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codeName="ThisWorkbook" hidePivotFieldList="1"/>
  <mc:AlternateContent xmlns:mc="http://schemas.openxmlformats.org/markup-compatibility/2006">
    <mc:Choice Requires="x15">
      <x15ac:absPath xmlns:x15ac="http://schemas.microsoft.com/office/spreadsheetml/2010/11/ac" url="https://pennineecological-my.sharepoint.com/personal/stuart_pennineecological_co_uk/Documents/2. Reports/1. BNG/2. March 2022/Goldthorpe Rotherham/FINAL Version 5/"/>
    </mc:Choice>
  </mc:AlternateContent>
  <xr:revisionPtr revIDLastSave="5" documentId="8_{DF024FB1-7ED7-4FB1-9F59-0FFEAEDA1D5F}" xr6:coauthVersionLast="47" xr6:coauthVersionMax="47" xr10:uidLastSave="{D14ABB25-284B-4EB9-8A53-03683B31ECFE}"/>
  <bookViews>
    <workbookView xWindow="-28920" yWindow="-120" windowWidth="29040" windowHeight="15840" tabRatio="741" firstSheet="12" activeTab="16"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O29" i="58"/>
  <c r="O30" i="58"/>
  <c r="O31" i="58"/>
  <c r="O32" i="58"/>
  <c r="O33" i="58"/>
  <c r="O34" i="58"/>
  <c r="O35" i="58"/>
  <c r="O36" i="58"/>
  <c r="R36" i="58" s="1"/>
  <c r="O37" i="58"/>
  <c r="O38" i="58"/>
  <c r="O39" i="58"/>
  <c r="O40" i="58"/>
  <c r="O41" i="58"/>
  <c r="O42" i="58"/>
  <c r="O43" i="58"/>
  <c r="O44" i="58"/>
  <c r="O45" i="58"/>
  <c r="O46" i="58"/>
  <c r="O47" i="58"/>
  <c r="O48" i="58"/>
  <c r="O49" i="58"/>
  <c r="O50" i="58"/>
  <c r="O51" i="58"/>
  <c r="O52" i="58"/>
  <c r="O53" i="58"/>
  <c r="O54" i="58"/>
  <c r="O55" i="58"/>
  <c r="O56" i="58"/>
  <c r="O57" i="58"/>
  <c r="O58" i="58"/>
  <c r="O59" i="58"/>
  <c r="O60" i="58"/>
  <c r="O61" i="58"/>
  <c r="O62" i="58"/>
  <c r="O63" i="58"/>
  <c r="O64" i="58"/>
  <c r="O65" i="58"/>
  <c r="O66" i="58"/>
  <c r="O67" i="58"/>
  <c r="O68" i="58"/>
  <c r="O69" i="58"/>
  <c r="O70" i="58"/>
  <c r="O71" i="58"/>
  <c r="O72" i="58"/>
  <c r="O73" i="58"/>
  <c r="O74" i="58"/>
  <c r="O75" i="58"/>
  <c r="O76" i="58"/>
  <c r="O77" i="58"/>
  <c r="O78" i="58"/>
  <c r="O79" i="58"/>
  <c r="O80" i="58"/>
  <c r="O81" i="58"/>
  <c r="O82" i="58"/>
  <c r="O83" i="58"/>
  <c r="O84" i="58"/>
  <c r="O85" i="58"/>
  <c r="O86" i="58"/>
  <c r="O87" i="58"/>
  <c r="O88" i="58"/>
  <c r="O89" i="58"/>
  <c r="O90" i="58"/>
  <c r="O91" i="58"/>
  <c r="O92" i="58"/>
  <c r="O93" i="58"/>
  <c r="O94" i="58"/>
  <c r="O95" i="58"/>
  <c r="O96" i="58"/>
  <c r="O97" i="58"/>
  <c r="O98" i="58"/>
  <c r="O99" i="58"/>
  <c r="O100" i="58"/>
  <c r="R100" i="58" s="1"/>
  <c r="O101" i="58"/>
  <c r="O102" i="58"/>
  <c r="O103" i="58"/>
  <c r="O104" i="58"/>
  <c r="O105" i="58"/>
  <c r="O106" i="58"/>
  <c r="O107" i="58"/>
  <c r="O108" i="58"/>
  <c r="O109" i="58"/>
  <c r="O110" i="58"/>
  <c r="O111" i="58"/>
  <c r="O112" i="58"/>
  <c r="O113" i="58"/>
  <c r="O114" i="58"/>
  <c r="O115" i="58"/>
  <c r="O116" i="58"/>
  <c r="O117" i="58"/>
  <c r="O118" i="58"/>
  <c r="O119" i="58"/>
  <c r="O120" i="58"/>
  <c r="O121" i="58"/>
  <c r="O122" i="58"/>
  <c r="O123" i="58"/>
  <c r="O124" i="58"/>
  <c r="O125" i="58"/>
  <c r="O126" i="58"/>
  <c r="O127" i="58"/>
  <c r="O128" i="58"/>
  <c r="O129" i="58"/>
  <c r="O130" i="58"/>
  <c r="O131" i="58"/>
  <c r="O132" i="58"/>
  <c r="O133" i="58"/>
  <c r="O134" i="58"/>
  <c r="R134" i="58" s="1"/>
  <c r="O135" i="58"/>
  <c r="O136" i="58"/>
  <c r="O137" i="58"/>
  <c r="O138" i="58"/>
  <c r="O139" i="58"/>
  <c r="O140" i="58"/>
  <c r="O141" i="58"/>
  <c r="O142" i="58"/>
  <c r="O143" i="58"/>
  <c r="O144" i="58"/>
  <c r="O145" i="58"/>
  <c r="O146" i="58"/>
  <c r="O147" i="58"/>
  <c r="O148" i="58"/>
  <c r="O149" i="58"/>
  <c r="O150" i="58"/>
  <c r="R150" i="58" s="1"/>
  <c r="O151" i="58"/>
  <c r="O152" i="58"/>
  <c r="O153" i="58"/>
  <c r="O154" i="58"/>
  <c r="O155" i="58"/>
  <c r="O156" i="58"/>
  <c r="O157" i="58"/>
  <c r="O158" i="58"/>
  <c r="O159" i="58"/>
  <c r="O160" i="58"/>
  <c r="O161" i="58"/>
  <c r="O162" i="58"/>
  <c r="O163" i="58"/>
  <c r="O164" i="58"/>
  <c r="R164" i="58" s="1"/>
  <c r="O165" i="58"/>
  <c r="O166" i="58"/>
  <c r="O167" i="58"/>
  <c r="O168" i="58"/>
  <c r="O169" i="58"/>
  <c r="O170" i="58"/>
  <c r="O171" i="58"/>
  <c r="O172" i="58"/>
  <c r="O173" i="58"/>
  <c r="O174" i="58"/>
  <c r="O175" i="58"/>
  <c r="O176" i="58"/>
  <c r="O177" i="58"/>
  <c r="O178" i="58"/>
  <c r="O179" i="58"/>
  <c r="O180" i="58"/>
  <c r="O181" i="58"/>
  <c r="O182" i="58"/>
  <c r="O183" i="58"/>
  <c r="O184" i="58"/>
  <c r="O185" i="58"/>
  <c r="O186" i="58"/>
  <c r="O187" i="58"/>
  <c r="O188" i="58"/>
  <c r="O189" i="58"/>
  <c r="O190" i="58"/>
  <c r="O191" i="58"/>
  <c r="O192" i="58"/>
  <c r="O193" i="58"/>
  <c r="O194" i="58"/>
  <c r="O195" i="58"/>
  <c r="O196" i="58"/>
  <c r="R196" i="58" s="1"/>
  <c r="O197" i="58"/>
  <c r="O198" i="58"/>
  <c r="O199" i="58"/>
  <c r="O200" i="58"/>
  <c r="O201" i="58"/>
  <c r="O202" i="58"/>
  <c r="O203" i="58"/>
  <c r="O204" i="58"/>
  <c r="R204" i="58" s="1"/>
  <c r="O205" i="58"/>
  <c r="O206" i="58"/>
  <c r="O207" i="58"/>
  <c r="O208" i="58"/>
  <c r="O209" i="58"/>
  <c r="O210" i="58"/>
  <c r="O211" i="58"/>
  <c r="O212" i="58"/>
  <c r="R212" i="58" s="1"/>
  <c r="O213" i="58"/>
  <c r="O214" i="58"/>
  <c r="O215" i="58"/>
  <c r="O216" i="58"/>
  <c r="O217" i="58"/>
  <c r="O218" i="58"/>
  <c r="O219" i="58"/>
  <c r="O220" i="58"/>
  <c r="R220" i="58" s="1"/>
  <c r="O221" i="58"/>
  <c r="O222" i="58"/>
  <c r="O223" i="58"/>
  <c r="O224" i="58"/>
  <c r="O225" i="58"/>
  <c r="O226" i="58"/>
  <c r="O227" i="58"/>
  <c r="O228" i="58"/>
  <c r="O229" i="58"/>
  <c r="O230" i="58"/>
  <c r="O231" i="58"/>
  <c r="O232" i="58"/>
  <c r="O233" i="58"/>
  <c r="O234" i="58"/>
  <c r="O235" i="58"/>
  <c r="O236" i="58"/>
  <c r="O237" i="58"/>
  <c r="O238" i="58"/>
  <c r="O239" i="58"/>
  <c r="O240" i="58"/>
  <c r="O241" i="58"/>
  <c r="O242" i="58"/>
  <c r="O243" i="58"/>
  <c r="O244" i="58"/>
  <c r="O245" i="58"/>
  <c r="O246" i="58"/>
  <c r="O247" i="58"/>
  <c r="O248" i="58"/>
  <c r="O249" i="58"/>
  <c r="O250" i="58"/>
  <c r="O251" i="58"/>
  <c r="O252" i="58"/>
  <c r="O253" i="58"/>
  <c r="O254" i="58"/>
  <c r="O255" i="58"/>
  <c r="O256" i="58"/>
  <c r="O257" i="58"/>
  <c r="O258" i="58"/>
  <c r="O259" i="58"/>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146" i="58" l="1"/>
  <c r="V146" i="58" s="1"/>
  <c r="S256" i="58"/>
  <c r="V256" i="58" s="1"/>
  <c r="S192" i="58"/>
  <c r="V192" i="58" s="1"/>
  <c r="S114" i="58"/>
  <c r="V114" i="58" s="1"/>
  <c r="S239" i="58"/>
  <c r="V239" i="58" s="1"/>
  <c r="S175" i="58"/>
  <c r="V175" i="58" s="1"/>
  <c r="S226" i="58"/>
  <c r="V226" i="58" s="1"/>
  <c r="S185" i="58"/>
  <c r="V185" i="58" s="1"/>
  <c r="S150" i="58"/>
  <c r="V150" i="58" s="1"/>
  <c r="S134" i="58"/>
  <c r="V134" i="58" s="1"/>
  <c r="S102" i="58"/>
  <c r="V102" i="58" s="1"/>
  <c r="R114" i="58"/>
  <c r="S177" i="58"/>
  <c r="V177" i="58" s="1"/>
  <c r="S221" i="58"/>
  <c r="V221" i="58" s="1"/>
  <c r="R94" i="58"/>
  <c r="S209" i="58"/>
  <c r="V209" i="58" s="1"/>
  <c r="S236" i="58"/>
  <c r="V236" i="58" s="1"/>
  <c r="S228" i="58"/>
  <c r="V228" i="58" s="1"/>
  <c r="S220" i="58"/>
  <c r="V220" i="58" s="1"/>
  <c r="S212" i="58"/>
  <c r="V212" i="58" s="1"/>
  <c r="S204" i="58"/>
  <c r="V204" i="58" s="1"/>
  <c r="S196" i="58"/>
  <c r="V196" i="58" s="1"/>
  <c r="S172" i="58"/>
  <c r="V172" i="58" s="1"/>
  <c r="R252" i="58"/>
  <c r="R188" i="58"/>
  <c r="S188" i="58" s="1"/>
  <c r="V188" i="58" s="1"/>
  <c r="R57" i="58"/>
  <c r="S57" i="58" s="1"/>
  <c r="V57" i="58" s="1"/>
  <c r="R162" i="58"/>
  <c r="S259" i="58"/>
  <c r="V259" i="58" s="1"/>
  <c r="S195" i="58"/>
  <c r="V195" i="58" s="1"/>
  <c r="R244" i="58"/>
  <c r="S244" i="58" s="1"/>
  <c r="V244" i="58" s="1"/>
  <c r="R180" i="58"/>
  <c r="S100" i="58"/>
  <c r="V100" i="58" s="1"/>
  <c r="R141" i="58"/>
  <c r="S141" i="58" s="1"/>
  <c r="V141" i="58" s="1"/>
  <c r="R119" i="58"/>
  <c r="S119" i="58" s="1"/>
  <c r="V119" i="58" s="1"/>
  <c r="R111" i="58"/>
  <c r="R103" i="58"/>
  <c r="R95" i="58"/>
  <c r="S95" i="58" s="1"/>
  <c r="V95" i="58" s="1"/>
  <c r="R87" i="58"/>
  <c r="S87" i="58" s="1"/>
  <c r="V87" i="58" s="1"/>
  <c r="R79" i="58"/>
  <c r="R71" i="58"/>
  <c r="R63" i="58"/>
  <c r="S63" i="58" s="1"/>
  <c r="V63" i="58" s="1"/>
  <c r="R55" i="58"/>
  <c r="S55" i="58" s="1"/>
  <c r="V55" i="58" s="1"/>
  <c r="R47" i="58"/>
  <c r="R39" i="58"/>
  <c r="R31" i="58"/>
  <c r="S31" i="58" s="1"/>
  <c r="V31" i="58" s="1"/>
  <c r="R23" i="58"/>
  <c r="S23" i="58" s="1"/>
  <c r="V23" i="58" s="1"/>
  <c r="R15" i="58"/>
  <c r="R254" i="58"/>
  <c r="R246" i="58"/>
  <c r="R238" i="58"/>
  <c r="R230" i="58"/>
  <c r="R222" i="58"/>
  <c r="R214" i="58"/>
  <c r="R206" i="58"/>
  <c r="R198" i="58"/>
  <c r="R190" i="58"/>
  <c r="R182" i="58"/>
  <c r="R174" i="58"/>
  <c r="R166" i="58"/>
  <c r="S166" i="58" s="1"/>
  <c r="V166" i="58" s="1"/>
  <c r="R153" i="58"/>
  <c r="S153" i="58" s="1"/>
  <c r="V153" i="58" s="1"/>
  <c r="R137" i="58"/>
  <c r="R121" i="58"/>
  <c r="S121" i="58" s="1"/>
  <c r="V121" i="58" s="1"/>
  <c r="R98" i="58"/>
  <c r="R73" i="58"/>
  <c r="S86" i="58"/>
  <c r="V86" i="58" s="1"/>
  <c r="R86" i="58"/>
  <c r="S78" i="58"/>
  <c r="V78" i="58" s="1"/>
  <c r="R78" i="58"/>
  <c r="S70" i="58"/>
  <c r="V70" i="58" s="1"/>
  <c r="R70" i="58"/>
  <c r="S62" i="58"/>
  <c r="V62" i="58" s="1"/>
  <c r="R62" i="58"/>
  <c r="S54" i="58"/>
  <c r="V54" i="58" s="1"/>
  <c r="R54" i="58"/>
  <c r="S46" i="58"/>
  <c r="V46" i="58" s="1"/>
  <c r="R46" i="58"/>
  <c r="S38" i="58"/>
  <c r="V38" i="58" s="1"/>
  <c r="R38" i="58"/>
  <c r="S30" i="58"/>
  <c r="V30" i="58" s="1"/>
  <c r="R30" i="58"/>
  <c r="S22" i="58"/>
  <c r="V22" i="58" s="1"/>
  <c r="R22" i="58"/>
  <c r="S14" i="58"/>
  <c r="V14" i="58" s="1"/>
  <c r="R14" i="58"/>
  <c r="R253" i="58"/>
  <c r="S253" i="58" s="1"/>
  <c r="V253" i="58" s="1"/>
  <c r="R245" i="58"/>
  <c r="S245" i="58" s="1"/>
  <c r="V245" i="58" s="1"/>
  <c r="R237" i="58"/>
  <c r="S237" i="58" s="1"/>
  <c r="V237" i="58" s="1"/>
  <c r="R229" i="58"/>
  <c r="S229" i="58" s="1"/>
  <c r="V229" i="58" s="1"/>
  <c r="R221" i="58"/>
  <c r="R213" i="58"/>
  <c r="R205" i="58"/>
  <c r="R197" i="58"/>
  <c r="S197" i="58" s="1"/>
  <c r="V197" i="58" s="1"/>
  <c r="R189" i="58"/>
  <c r="S189" i="58" s="1"/>
  <c r="V189" i="58" s="1"/>
  <c r="R181" i="58"/>
  <c r="S181" i="58" s="1"/>
  <c r="V181" i="58" s="1"/>
  <c r="R173" i="58"/>
  <c r="S173" i="58" s="1"/>
  <c r="V173" i="58" s="1"/>
  <c r="R165" i="58"/>
  <c r="S165" i="58" s="1"/>
  <c r="V165" i="58" s="1"/>
  <c r="R151" i="58"/>
  <c r="R135" i="58"/>
  <c r="R118" i="58"/>
  <c r="S118" i="58" s="1"/>
  <c r="V118" i="58" s="1"/>
  <c r="R97" i="58"/>
  <c r="S97" i="58" s="1"/>
  <c r="V97" i="58" s="1"/>
  <c r="R65" i="58"/>
  <c r="S65" i="58" s="1"/>
  <c r="V65" i="58" s="1"/>
  <c r="S164" i="58"/>
  <c r="V164" i="58" s="1"/>
  <c r="R117" i="58"/>
  <c r="S77" i="58"/>
  <c r="V77" i="58" s="1"/>
  <c r="R77" i="58"/>
  <c r="S61" i="58"/>
  <c r="V61" i="58" s="1"/>
  <c r="R61" i="58"/>
  <c r="S29" i="58"/>
  <c r="V29" i="58" s="1"/>
  <c r="R29" i="58"/>
  <c r="T228" i="58"/>
  <c r="T164" i="58"/>
  <c r="R156" i="58"/>
  <c r="S156" i="58" s="1"/>
  <c r="V156" i="58" s="1"/>
  <c r="R148" i="58"/>
  <c r="S148" i="58" s="1"/>
  <c r="V148" i="58" s="1"/>
  <c r="R140" i="58"/>
  <c r="S140" i="58" s="1"/>
  <c r="V140" i="58" s="1"/>
  <c r="R132" i="58"/>
  <c r="S132" i="58"/>
  <c r="V132" i="58" s="1"/>
  <c r="S124" i="58"/>
  <c r="V124" i="58" s="1"/>
  <c r="R124" i="58"/>
  <c r="S116" i="58"/>
  <c r="V116" i="58" s="1"/>
  <c r="R116" i="58"/>
  <c r="S108" i="58"/>
  <c r="V108" i="58" s="1"/>
  <c r="R108" i="58"/>
  <c r="T100" i="58"/>
  <c r="R92" i="58"/>
  <c r="S92" i="58" s="1"/>
  <c r="V92" i="58" s="1"/>
  <c r="R84" i="58"/>
  <c r="S84" i="58"/>
  <c r="V84" i="58" s="1"/>
  <c r="R76" i="58"/>
  <c r="S76" i="58" s="1"/>
  <c r="V76" i="58" s="1"/>
  <c r="R68" i="58"/>
  <c r="S68" i="58"/>
  <c r="V68" i="58" s="1"/>
  <c r="S60" i="58"/>
  <c r="V60" i="58" s="1"/>
  <c r="R60" i="58"/>
  <c r="R52" i="58"/>
  <c r="S52" i="58" s="1"/>
  <c r="V52" i="58" s="1"/>
  <c r="S44" i="58"/>
  <c r="V44" i="58" s="1"/>
  <c r="R44" i="58"/>
  <c r="R28" i="58"/>
  <c r="S28" i="58"/>
  <c r="V28" i="58" s="1"/>
  <c r="R20" i="58"/>
  <c r="S20" i="58" s="1"/>
  <c r="V20" i="58" s="1"/>
  <c r="R259" i="58"/>
  <c r="R251" i="58"/>
  <c r="R243" i="58"/>
  <c r="S243" i="58" s="1"/>
  <c r="V243" i="58" s="1"/>
  <c r="R235" i="58"/>
  <c r="S235" i="58" s="1"/>
  <c r="V235" i="58" s="1"/>
  <c r="R227" i="58"/>
  <c r="S227" i="58" s="1"/>
  <c r="V227" i="58" s="1"/>
  <c r="R219" i="58"/>
  <c r="S219" i="58" s="1"/>
  <c r="V219" i="58" s="1"/>
  <c r="R211" i="58"/>
  <c r="S211" i="58" s="1"/>
  <c r="V211" i="58" s="1"/>
  <c r="R203" i="58"/>
  <c r="S203" i="58" s="1"/>
  <c r="V203" i="58" s="1"/>
  <c r="R195" i="58"/>
  <c r="R187" i="58"/>
  <c r="R179" i="58"/>
  <c r="S179" i="58" s="1"/>
  <c r="V179" i="58" s="1"/>
  <c r="R171" i="58"/>
  <c r="S171" i="58" s="1"/>
  <c r="V171" i="58" s="1"/>
  <c r="R161" i="58"/>
  <c r="R146" i="58"/>
  <c r="R130" i="58"/>
  <c r="R113" i="58"/>
  <c r="R90" i="58"/>
  <c r="R49" i="58"/>
  <c r="S49" i="58" s="1"/>
  <c r="V49" i="58" s="1"/>
  <c r="S36" i="58"/>
  <c r="V36" i="58" s="1"/>
  <c r="S149" i="58"/>
  <c r="V149" i="58" s="1"/>
  <c r="R149" i="58"/>
  <c r="R125" i="58"/>
  <c r="R101" i="58"/>
  <c r="S101" i="58" s="1"/>
  <c r="V101" i="58" s="1"/>
  <c r="S69" i="58"/>
  <c r="V69" i="58" s="1"/>
  <c r="R69" i="58"/>
  <c r="S37" i="58"/>
  <c r="V37" i="58" s="1"/>
  <c r="R37" i="58"/>
  <c r="R163" i="58"/>
  <c r="R155" i="58"/>
  <c r="S155" i="58" s="1"/>
  <c r="V155" i="58" s="1"/>
  <c r="S147" i="58"/>
  <c r="V147" i="58" s="1"/>
  <c r="R147" i="58"/>
  <c r="S139" i="58"/>
  <c r="V139" i="58" s="1"/>
  <c r="R139" i="58"/>
  <c r="R131" i="58"/>
  <c r="R123" i="58"/>
  <c r="S123" i="58" s="1"/>
  <c r="V123" i="58" s="1"/>
  <c r="S115" i="58"/>
  <c r="V115" i="58" s="1"/>
  <c r="R115" i="58"/>
  <c r="S107" i="58"/>
  <c r="V107" i="58" s="1"/>
  <c r="R107" i="58"/>
  <c r="R99" i="58"/>
  <c r="R91" i="58"/>
  <c r="S83" i="58"/>
  <c r="V83" i="58" s="1"/>
  <c r="R83" i="58"/>
  <c r="S75" i="58"/>
  <c r="V75" i="58" s="1"/>
  <c r="R75" i="58"/>
  <c r="R67" i="58"/>
  <c r="R59" i="58"/>
  <c r="S51" i="58"/>
  <c r="V51" i="58" s="1"/>
  <c r="R51" i="58"/>
  <c r="S43" i="58"/>
  <c r="V43" i="58" s="1"/>
  <c r="R43" i="58"/>
  <c r="R35" i="58"/>
  <c r="R27" i="58"/>
  <c r="S19" i="58"/>
  <c r="V19" i="58" s="1"/>
  <c r="R19" i="58"/>
  <c r="R258" i="58"/>
  <c r="S258" i="58" s="1"/>
  <c r="V258" i="58" s="1"/>
  <c r="R250" i="58"/>
  <c r="S250" i="58" s="1"/>
  <c r="V250" i="58" s="1"/>
  <c r="R242" i="58"/>
  <c r="R234" i="58"/>
  <c r="R226" i="58"/>
  <c r="R218" i="58"/>
  <c r="R210" i="58"/>
  <c r="S210" i="58" s="1"/>
  <c r="V210" i="58" s="1"/>
  <c r="R202" i="58"/>
  <c r="S202" i="58" s="1"/>
  <c r="V202" i="58" s="1"/>
  <c r="R194" i="58"/>
  <c r="S194" i="58" s="1"/>
  <c r="V194" i="58" s="1"/>
  <c r="R186" i="58"/>
  <c r="R178" i="58"/>
  <c r="R170" i="58"/>
  <c r="R159" i="58"/>
  <c r="R145" i="58"/>
  <c r="R129" i="58"/>
  <c r="R110" i="58"/>
  <c r="S110" i="58" s="1"/>
  <c r="V110" i="58" s="1"/>
  <c r="R89" i="58"/>
  <c r="S89" i="58" s="1"/>
  <c r="V89" i="58" s="1"/>
  <c r="R41" i="58"/>
  <c r="R93" i="58"/>
  <c r="R66" i="58"/>
  <c r="S58" i="58"/>
  <c r="V58" i="58" s="1"/>
  <c r="R58" i="58"/>
  <c r="S50" i="58"/>
  <c r="V50" i="58" s="1"/>
  <c r="R50" i="58"/>
  <c r="R42" i="58"/>
  <c r="R34" i="58"/>
  <c r="S26" i="58"/>
  <c r="V26" i="58" s="1"/>
  <c r="R26" i="58"/>
  <c r="S18" i="58"/>
  <c r="V18" i="58" s="1"/>
  <c r="R18" i="58"/>
  <c r="R257" i="58"/>
  <c r="S257" i="58" s="1"/>
  <c r="V257" i="58" s="1"/>
  <c r="R249" i="58"/>
  <c r="R241" i="58"/>
  <c r="S241" i="58" s="1"/>
  <c r="V241" i="58" s="1"/>
  <c r="R233" i="58"/>
  <c r="R225" i="58"/>
  <c r="R217" i="58"/>
  <c r="S217" i="58" s="1"/>
  <c r="V217" i="58" s="1"/>
  <c r="R209" i="58"/>
  <c r="R201" i="58"/>
  <c r="S201" i="58" s="1"/>
  <c r="V201" i="58" s="1"/>
  <c r="R193" i="58"/>
  <c r="R185" i="58"/>
  <c r="R177" i="58"/>
  <c r="R169" i="58"/>
  <c r="R158" i="58"/>
  <c r="R143" i="58"/>
  <c r="S143" i="58" s="1"/>
  <c r="V143" i="58" s="1"/>
  <c r="R127" i="58"/>
  <c r="S127" i="58" s="1"/>
  <c r="V127" i="58" s="1"/>
  <c r="R106" i="58"/>
  <c r="S106" i="58" s="1"/>
  <c r="V106" i="58" s="1"/>
  <c r="R82" i="58"/>
  <c r="R33" i="58"/>
  <c r="R133" i="58"/>
  <c r="S85" i="58"/>
  <c r="V85" i="58" s="1"/>
  <c r="R85" i="58"/>
  <c r="S45" i="58"/>
  <c r="V45" i="58" s="1"/>
  <c r="R45" i="58"/>
  <c r="R256" i="58"/>
  <c r="R248" i="58"/>
  <c r="R240" i="58"/>
  <c r="R232" i="58"/>
  <c r="R224" i="58"/>
  <c r="R216" i="58"/>
  <c r="S216" i="58" s="1"/>
  <c r="V216" i="58" s="1"/>
  <c r="R208" i="58"/>
  <c r="S208" i="58" s="1"/>
  <c r="V208" i="58" s="1"/>
  <c r="R200" i="58"/>
  <c r="S200" i="58" s="1"/>
  <c r="V200" i="58" s="1"/>
  <c r="R192" i="58"/>
  <c r="R184" i="58"/>
  <c r="R176" i="58"/>
  <c r="R168" i="58"/>
  <c r="R157" i="58"/>
  <c r="R142" i="58"/>
  <c r="S142" i="58" s="1"/>
  <c r="V142" i="58" s="1"/>
  <c r="R126" i="58"/>
  <c r="S126" i="58" s="1"/>
  <c r="V126" i="58" s="1"/>
  <c r="R105" i="58"/>
  <c r="R81" i="58"/>
  <c r="S81" i="58" s="1"/>
  <c r="V81" i="58" s="1"/>
  <c r="R25" i="58"/>
  <c r="R109" i="58"/>
  <c r="S53" i="58"/>
  <c r="V53" i="58" s="1"/>
  <c r="R53" i="58"/>
  <c r="S21" i="58"/>
  <c r="V21" i="58" s="1"/>
  <c r="R21" i="58"/>
  <c r="R13" i="58"/>
  <c r="R160" i="58"/>
  <c r="S152" i="58"/>
  <c r="V152" i="58" s="1"/>
  <c r="R152" i="58"/>
  <c r="S144" i="58"/>
  <c r="V144" i="58" s="1"/>
  <c r="R144" i="58"/>
  <c r="R136" i="58"/>
  <c r="R128" i="58"/>
  <c r="S120" i="58"/>
  <c r="V120" i="58" s="1"/>
  <c r="R120" i="58"/>
  <c r="S112" i="58"/>
  <c r="V112" i="58" s="1"/>
  <c r="R112" i="58"/>
  <c r="R104" i="58"/>
  <c r="R96" i="58"/>
  <c r="S88" i="58"/>
  <c r="V88" i="58" s="1"/>
  <c r="R88" i="58"/>
  <c r="S80" i="58"/>
  <c r="V80" i="58" s="1"/>
  <c r="R80" i="58"/>
  <c r="R72" i="58"/>
  <c r="R64" i="58"/>
  <c r="S56" i="58"/>
  <c r="V56" i="58" s="1"/>
  <c r="R56" i="58"/>
  <c r="S48" i="58"/>
  <c r="V48" i="58" s="1"/>
  <c r="R48" i="58"/>
  <c r="R40" i="58"/>
  <c r="R32" i="58"/>
  <c r="S24" i="58"/>
  <c r="V24" i="58" s="1"/>
  <c r="R24" i="58"/>
  <c r="S16" i="58"/>
  <c r="V16" i="58" s="1"/>
  <c r="R16" i="58"/>
  <c r="R255" i="58"/>
  <c r="S255" i="58" s="1"/>
  <c r="V255" i="58" s="1"/>
  <c r="R247" i="58"/>
  <c r="S247" i="58" s="1"/>
  <c r="V247" i="58" s="1"/>
  <c r="R239" i="58"/>
  <c r="R231" i="58"/>
  <c r="R223" i="58"/>
  <c r="R215" i="58"/>
  <c r="S215" i="58" s="1"/>
  <c r="V215" i="58" s="1"/>
  <c r="R207" i="58"/>
  <c r="S207" i="58" s="1"/>
  <c r="V207" i="58" s="1"/>
  <c r="R199" i="58"/>
  <c r="S199" i="58" s="1"/>
  <c r="V199" i="58" s="1"/>
  <c r="R191" i="58"/>
  <c r="S191" i="58" s="1"/>
  <c r="V191" i="58" s="1"/>
  <c r="R183" i="58"/>
  <c r="S183" i="58" s="1"/>
  <c r="V183" i="58" s="1"/>
  <c r="R175" i="58"/>
  <c r="R167" i="58"/>
  <c r="R154" i="58"/>
  <c r="R138" i="58"/>
  <c r="S138" i="58" s="1"/>
  <c r="V138" i="58" s="1"/>
  <c r="R122" i="58"/>
  <c r="S122" i="58" s="1"/>
  <c r="V122" i="58" s="1"/>
  <c r="R102" i="58"/>
  <c r="R74" i="58"/>
  <c r="S74" i="58" s="1"/>
  <c r="V74" i="58" s="1"/>
  <c r="R17" i="58"/>
  <c r="R12" i="58"/>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T32" i="58" l="1"/>
  <c r="T133" i="58"/>
  <c r="T169" i="58"/>
  <c r="T27" i="58"/>
  <c r="T59" i="58"/>
  <c r="T195" i="58"/>
  <c r="T259" i="58"/>
  <c r="T84" i="58"/>
  <c r="T174" i="58"/>
  <c r="T238" i="58"/>
  <c r="S174" i="58"/>
  <c r="V174" i="58" s="1"/>
  <c r="S238" i="58"/>
  <c r="V238" i="58" s="1"/>
  <c r="S233" i="58"/>
  <c r="V233" i="58" s="1"/>
  <c r="S162" i="58"/>
  <c r="V162" i="58" s="1"/>
  <c r="T175" i="58"/>
  <c r="T239" i="58"/>
  <c r="S32" i="58"/>
  <c r="V32" i="58" s="1"/>
  <c r="S64" i="58"/>
  <c r="V64" i="58" s="1"/>
  <c r="S96" i="58"/>
  <c r="V96" i="58" s="1"/>
  <c r="S128" i="58"/>
  <c r="V128" i="58" s="1"/>
  <c r="S160" i="58"/>
  <c r="V160" i="58" s="1"/>
  <c r="S109" i="58"/>
  <c r="V109" i="58" s="1"/>
  <c r="S133" i="58"/>
  <c r="V133" i="58" s="1"/>
  <c r="T177" i="58"/>
  <c r="T241" i="58"/>
  <c r="S34" i="58"/>
  <c r="V34" i="58" s="1"/>
  <c r="S66" i="58"/>
  <c r="V66" i="58" s="1"/>
  <c r="T226" i="58"/>
  <c r="S27" i="58"/>
  <c r="V27" i="58" s="1"/>
  <c r="S59" i="58"/>
  <c r="V59" i="58" s="1"/>
  <c r="S91" i="58"/>
  <c r="V91" i="58" s="1"/>
  <c r="T203" i="58"/>
  <c r="T60" i="58"/>
  <c r="T156" i="58"/>
  <c r="T221" i="58"/>
  <c r="T246" i="58"/>
  <c r="S182" i="58"/>
  <c r="V182" i="58" s="1"/>
  <c r="S246" i="58"/>
  <c r="V246" i="58" s="1"/>
  <c r="T172" i="58"/>
  <c r="T196" i="58"/>
  <c r="T49" i="58"/>
  <c r="T183" i="58"/>
  <c r="T247" i="58"/>
  <c r="T40" i="58"/>
  <c r="T104" i="58"/>
  <c r="T33" i="58"/>
  <c r="T185" i="58"/>
  <c r="T67" i="58"/>
  <c r="T211" i="58"/>
  <c r="T20" i="58"/>
  <c r="T165" i="58"/>
  <c r="T229" i="58"/>
  <c r="S39" i="58"/>
  <c r="V39" i="58" s="1"/>
  <c r="S71" i="58"/>
  <c r="V71" i="58" s="1"/>
  <c r="S103" i="58"/>
  <c r="V103" i="58" s="1"/>
  <c r="S180" i="58"/>
  <c r="V180" i="58" s="1"/>
  <c r="S130" i="58"/>
  <c r="V130" i="58" s="1"/>
  <c r="S190" i="58"/>
  <c r="V190" i="58" s="1"/>
  <c r="S254" i="58"/>
  <c r="V254" i="58" s="1"/>
  <c r="S135" i="58"/>
  <c r="V135" i="58" s="1"/>
  <c r="S33" i="58"/>
  <c r="V33" i="58" s="1"/>
  <c r="S218" i="58"/>
  <c r="V218" i="58" s="1"/>
  <c r="S169" i="58"/>
  <c r="V169" i="58" s="1"/>
  <c r="T204" i="58"/>
  <c r="S230" i="58"/>
  <c r="V230" i="58" s="1"/>
  <c r="T74" i="58"/>
  <c r="T191" i="58"/>
  <c r="T255" i="58"/>
  <c r="S40" i="58"/>
  <c r="V40" i="58" s="1"/>
  <c r="S72" i="58"/>
  <c r="V72" i="58" s="1"/>
  <c r="S104" i="58"/>
  <c r="V104" i="58" s="1"/>
  <c r="S136" i="58"/>
  <c r="V136" i="58" s="1"/>
  <c r="S13" i="58"/>
  <c r="V13" i="58" s="1"/>
  <c r="T81" i="58"/>
  <c r="T192" i="58"/>
  <c r="T256" i="58"/>
  <c r="T193" i="58"/>
  <c r="T257" i="58"/>
  <c r="S42" i="58"/>
  <c r="V42" i="58" s="1"/>
  <c r="S93" i="58"/>
  <c r="V93" i="58" s="1"/>
  <c r="T178" i="58"/>
  <c r="S35" i="58"/>
  <c r="V35" i="58" s="1"/>
  <c r="S67" i="58"/>
  <c r="V67" i="58" s="1"/>
  <c r="S99" i="58"/>
  <c r="V99" i="58" s="1"/>
  <c r="S131" i="58"/>
  <c r="V131" i="58" s="1"/>
  <c r="S163" i="58"/>
  <c r="V163" i="58" s="1"/>
  <c r="S125" i="58"/>
  <c r="V125" i="58" s="1"/>
  <c r="T146" i="58"/>
  <c r="T219" i="58"/>
  <c r="S117" i="58"/>
  <c r="V117" i="58" s="1"/>
  <c r="T173" i="58"/>
  <c r="T237" i="58"/>
  <c r="T47" i="58"/>
  <c r="T244" i="58"/>
  <c r="S113" i="58"/>
  <c r="V113" i="58" s="1"/>
  <c r="S252" i="58"/>
  <c r="V252" i="58" s="1"/>
  <c r="S178" i="58"/>
  <c r="V178" i="58" s="1"/>
  <c r="S170" i="58"/>
  <c r="V170" i="58" s="1"/>
  <c r="S198" i="58"/>
  <c r="V198" i="58" s="1"/>
  <c r="S17" i="58"/>
  <c r="V17" i="58" s="1"/>
  <c r="S98" i="58"/>
  <c r="V98" i="58" s="1"/>
  <c r="S224" i="58"/>
  <c r="V224" i="58" s="1"/>
  <c r="T212" i="58"/>
  <c r="T102" i="58"/>
  <c r="T199" i="58"/>
  <c r="T16" i="58"/>
  <c r="T48" i="58"/>
  <c r="T80" i="58"/>
  <c r="T112" i="58"/>
  <c r="T144" i="58"/>
  <c r="T21" i="58"/>
  <c r="T200" i="58"/>
  <c r="T45" i="58"/>
  <c r="T106" i="58"/>
  <c r="T201" i="58"/>
  <c r="T18" i="58"/>
  <c r="T50" i="58"/>
  <c r="T41" i="58"/>
  <c r="T250" i="58"/>
  <c r="T43" i="58"/>
  <c r="T75" i="58"/>
  <c r="T107" i="58"/>
  <c r="T139" i="58"/>
  <c r="T37" i="58"/>
  <c r="T149" i="58"/>
  <c r="T227" i="58"/>
  <c r="T28" i="58"/>
  <c r="T181" i="58"/>
  <c r="T245" i="58"/>
  <c r="T121" i="58"/>
  <c r="S15" i="58"/>
  <c r="V15" i="58" s="1"/>
  <c r="S47" i="58"/>
  <c r="V47" i="58" s="1"/>
  <c r="S79" i="58"/>
  <c r="V79" i="58" s="1"/>
  <c r="S111" i="58"/>
  <c r="V111" i="58" s="1"/>
  <c r="S41" i="58"/>
  <c r="V41" i="58" s="1"/>
  <c r="S25" i="58"/>
  <c r="V25" i="58" s="1"/>
  <c r="S234" i="58"/>
  <c r="V234" i="58" s="1"/>
  <c r="S206" i="58"/>
  <c r="V206" i="58" s="1"/>
  <c r="S151" i="58"/>
  <c r="V151" i="58" s="1"/>
  <c r="S161" i="58"/>
  <c r="V161" i="58" s="1"/>
  <c r="S168" i="58"/>
  <c r="V168" i="58" s="1"/>
  <c r="S232" i="58"/>
  <c r="V232" i="58" s="1"/>
  <c r="S225" i="58"/>
  <c r="V225" i="58" s="1"/>
  <c r="T220" i="58"/>
  <c r="T210" i="58"/>
  <c r="S157" i="58"/>
  <c r="V157" i="58" s="1"/>
  <c r="T122" i="58"/>
  <c r="T207" i="58"/>
  <c r="T126" i="58"/>
  <c r="T208" i="58"/>
  <c r="T127" i="58"/>
  <c r="T209" i="58"/>
  <c r="T89" i="58"/>
  <c r="T194" i="58"/>
  <c r="T258" i="58"/>
  <c r="T171" i="58"/>
  <c r="T235" i="58"/>
  <c r="T140" i="58"/>
  <c r="T65" i="58"/>
  <c r="T189" i="58"/>
  <c r="T253" i="58"/>
  <c r="T137" i="58"/>
  <c r="S193" i="58"/>
  <c r="V193" i="58" s="1"/>
  <c r="S105" i="58"/>
  <c r="V105" i="58" s="1"/>
  <c r="S242" i="58"/>
  <c r="V242" i="58" s="1"/>
  <c r="S205" i="58"/>
  <c r="V205" i="58" s="1"/>
  <c r="S73" i="58"/>
  <c r="V73" i="58" s="1"/>
  <c r="T114" i="58"/>
  <c r="S214" i="58"/>
  <c r="V214" i="58" s="1"/>
  <c r="S154" i="58"/>
  <c r="V154" i="58" s="1"/>
  <c r="S159" i="58"/>
  <c r="V159" i="58" s="1"/>
  <c r="S223" i="58"/>
  <c r="V223" i="58" s="1"/>
  <c r="S249" i="58"/>
  <c r="V249" i="58" s="1"/>
  <c r="S176" i="58"/>
  <c r="V176" i="58" s="1"/>
  <c r="S240" i="58"/>
  <c r="V240" i="58" s="1"/>
  <c r="T236" i="58"/>
  <c r="T134" i="58"/>
  <c r="T118" i="58"/>
  <c r="T166" i="58"/>
  <c r="T188" i="58"/>
  <c r="T138" i="58"/>
  <c r="T215" i="58"/>
  <c r="T142" i="58"/>
  <c r="T216" i="58"/>
  <c r="T143" i="58"/>
  <c r="T217" i="58"/>
  <c r="T110" i="58"/>
  <c r="T202" i="58"/>
  <c r="T179" i="58"/>
  <c r="T243" i="58"/>
  <c r="T76" i="58"/>
  <c r="T116" i="58"/>
  <c r="T61" i="58"/>
  <c r="T97" i="58"/>
  <c r="T197" i="58"/>
  <c r="T14" i="58"/>
  <c r="T46" i="58"/>
  <c r="T78" i="58"/>
  <c r="T153" i="58"/>
  <c r="T222" i="58"/>
  <c r="S187" i="58"/>
  <c r="V187" i="58" s="1"/>
  <c r="S251" i="58"/>
  <c r="V251" i="58" s="1"/>
  <c r="T57" i="58"/>
  <c r="S145" i="58"/>
  <c r="V145" i="58" s="1"/>
  <c r="S213" i="58"/>
  <c r="V213" i="58" s="1"/>
  <c r="S129" i="58"/>
  <c r="V129" i="58" s="1"/>
  <c r="S94" i="58"/>
  <c r="V94" i="58" s="1"/>
  <c r="S158" i="58"/>
  <c r="V158" i="58" s="1"/>
  <c r="S222" i="58"/>
  <c r="V222" i="58" s="1"/>
  <c r="S137" i="58"/>
  <c r="V137" i="58" s="1"/>
  <c r="S186" i="58"/>
  <c r="V186" i="58" s="1"/>
  <c r="S167" i="58"/>
  <c r="V167" i="58" s="1"/>
  <c r="S231" i="58"/>
  <c r="V231" i="58" s="1"/>
  <c r="S90" i="58"/>
  <c r="V90" i="58" s="1"/>
  <c r="S184" i="58"/>
  <c r="V184" i="58" s="1"/>
  <c r="S248" i="58"/>
  <c r="V248" i="58" s="1"/>
  <c r="S82" i="58"/>
  <c r="V82" i="58" s="1"/>
  <c r="T150" i="58"/>
  <c r="S12" i="58"/>
  <c r="V12" i="58" s="1"/>
  <c r="T92" i="58"/>
  <c r="T30" i="58"/>
  <c r="T62" i="58"/>
  <c r="T132" i="58"/>
  <c r="T36" i="58"/>
  <c r="T68" i="58"/>
  <c r="T108" i="58"/>
  <c r="T29" i="58"/>
  <c r="T38" i="58"/>
  <c r="T70" i="58"/>
  <c r="T24" i="58"/>
  <c r="T56" i="58"/>
  <c r="T88" i="58"/>
  <c r="T120" i="58"/>
  <c r="T152" i="58"/>
  <c r="T53" i="58"/>
  <c r="T85" i="58"/>
  <c r="T26" i="58"/>
  <c r="T58" i="58"/>
  <c r="T19"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31" i="58" l="1"/>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7" i="46" l="1"/>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T148" i="22" s="1"/>
  <c r="D121" i="36" s="1"/>
  <c r="A149" i="22"/>
  <c r="S149" i="22" s="1"/>
  <c r="C122" i="36" s="1"/>
  <c r="A150" i="22"/>
  <c r="G150" i="22" s="1"/>
  <c r="A151" i="22"/>
  <c r="S151" i="22" s="1"/>
  <c r="C124" i="36" s="1"/>
  <c r="A152" i="22"/>
  <c r="T152" i="22" s="1"/>
  <c r="D125" i="36" s="1"/>
  <c r="A153" i="22"/>
  <c r="A154" i="22"/>
  <c r="S154" i="22" s="1"/>
  <c r="C127" i="36" s="1"/>
  <c r="A155" i="22"/>
  <c r="L155" i="22" s="1"/>
  <c r="A156" i="22"/>
  <c r="A157" i="22"/>
  <c r="I157" i="22" s="1"/>
  <c r="A158" i="22"/>
  <c r="E158" i="22" s="1"/>
  <c r="C111" i="36" s="1"/>
  <c r="S152" i="22"/>
  <c r="C125" i="36" s="1"/>
  <c r="K153" i="22"/>
  <c r="K146" i="22"/>
  <c r="I154" i="22"/>
  <c r="G146" i="22"/>
  <c r="E154" i="22"/>
  <c r="C107" i="36" s="1"/>
  <c r="E146" i="22"/>
  <c r="C99" i="36" s="1"/>
  <c r="T151" i="22" l="1"/>
  <c r="D124" i="36" s="1"/>
  <c r="G154" i="22"/>
  <c r="K154" i="22"/>
  <c r="L154" i="22"/>
  <c r="G152" i="22"/>
  <c r="E152" i="22"/>
  <c r="C105" i="36" s="1"/>
  <c r="C145" i="36" s="1"/>
  <c r="K152" i="22"/>
  <c r="G151" i="22"/>
  <c r="E150" i="22"/>
  <c r="C103" i="36" s="1"/>
  <c r="E151" i="22"/>
  <c r="C104" i="36" s="1"/>
  <c r="C144" i="36" s="1"/>
  <c r="L149" i="22"/>
  <c r="L151" i="22"/>
  <c r="K151" i="22"/>
  <c r="G155" i="22"/>
  <c r="T150" i="22"/>
  <c r="D123" i="36" s="1"/>
  <c r="C147" i="36"/>
  <c r="E156" i="22"/>
  <c r="C109" i="36" s="1"/>
  <c r="C139" i="36"/>
  <c r="I155" i="22"/>
  <c r="E157" i="22"/>
  <c r="C110" i="36" s="1"/>
  <c r="G157" i="22"/>
  <c r="K149" i="22"/>
  <c r="E149" i="22"/>
  <c r="C102" i="36" s="1"/>
  <c r="C142" i="36" s="1"/>
  <c r="S157" i="22"/>
  <c r="C130" i="36" s="1"/>
  <c r="G149" i="22"/>
  <c r="H157" i="22"/>
  <c r="T149" i="22"/>
  <c r="D122" i="36" s="1"/>
  <c r="L157" i="22"/>
  <c r="K157" i="22"/>
  <c r="E148" i="22"/>
  <c r="C101" i="36" s="1"/>
  <c r="K150" i="22"/>
  <c r="K158" i="22"/>
  <c r="S150" i="22"/>
  <c r="C123" i="36" s="1"/>
  <c r="V149" i="22"/>
  <c r="W149" i="22"/>
  <c r="V148" i="22"/>
  <c r="W148" i="22"/>
  <c r="W155" i="22"/>
  <c r="V155" i="22"/>
  <c r="T154" i="22"/>
  <c r="D127" i="36" s="1"/>
  <c r="W154" i="22"/>
  <c r="V154" i="22"/>
  <c r="S155" i="22"/>
  <c r="C128" i="36" s="1"/>
  <c r="S153" i="22"/>
  <c r="C126" i="36" s="1"/>
  <c r="V153" i="22"/>
  <c r="W156" i="22"/>
  <c r="G147" i="22"/>
  <c r="G156" i="22"/>
  <c r="G148" i="22"/>
  <c r="G158" i="22"/>
  <c r="K147" i="22"/>
  <c r="K155" i="22"/>
  <c r="S147" i="22"/>
  <c r="C120" i="36" s="1"/>
  <c r="C140" i="36" s="1"/>
  <c r="S156" i="22"/>
  <c r="C129" i="36" s="1"/>
  <c r="T155" i="22"/>
  <c r="D128" i="36" s="1"/>
  <c r="W152" i="22"/>
  <c r="V152" i="22"/>
  <c r="E155" i="22"/>
  <c r="C108" i="36" s="1"/>
  <c r="K148" i="22"/>
  <c r="K156" i="22"/>
  <c r="S148" i="22"/>
  <c r="C121" i="36" s="1"/>
  <c r="V151" i="22"/>
  <c r="W151" i="22"/>
  <c r="V150" i="22"/>
  <c r="W150" i="22"/>
  <c r="V157" i="22"/>
  <c r="W157" i="22"/>
  <c r="T157" i="22"/>
  <c r="D130" i="36" s="1"/>
  <c r="U152" i="22"/>
  <c r="X152" i="22"/>
  <c r="U153" i="22"/>
  <c r="X151" i="22"/>
  <c r="U151" i="22"/>
  <c r="G153" i="22"/>
  <c r="U158" i="22"/>
  <c r="U150" i="22"/>
  <c r="L153" i="22"/>
  <c r="X157" i="22"/>
  <c r="U157" i="22"/>
  <c r="F157" i="22"/>
  <c r="D110" i="36" s="1"/>
  <c r="X149" i="22"/>
  <c r="U149" i="22"/>
  <c r="I153" i="22"/>
  <c r="T153" i="22"/>
  <c r="D126" i="36" s="1"/>
  <c r="U156" i="22"/>
  <c r="X156" i="22"/>
  <c r="U148" i="22"/>
  <c r="E153" i="22"/>
  <c r="C106" i="36" s="1"/>
  <c r="S158" i="22"/>
  <c r="C131" i="36" s="1"/>
  <c r="C151" i="36" s="1"/>
  <c r="X155" i="22"/>
  <c r="U155" i="22"/>
  <c r="U147" i="22"/>
  <c r="X154"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D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c r="S18" i="42"/>
  <c r="V18" i="42"/>
  <c r="S19" i="42"/>
  <c r="V19" i="42"/>
  <c r="S20" i="42"/>
  <c r="V20" i="42"/>
  <c r="S21" i="42"/>
  <c r="V21" i="42"/>
  <c r="S22" i="42"/>
  <c r="V22" i="42"/>
  <c r="S23" i="42"/>
  <c r="V23" i="42"/>
  <c r="S24" i="42"/>
  <c r="V24" i="42"/>
  <c r="S25" i="42"/>
  <c r="V25" i="42"/>
  <c r="S26" i="42"/>
  <c r="V26" i="42"/>
  <c r="S27" i="42"/>
  <c r="V27" i="42"/>
  <c r="S28" i="42"/>
  <c r="V28" i="42"/>
  <c r="S29" i="42"/>
  <c r="V29" i="42"/>
  <c r="S30" i="42"/>
  <c r="V30" i="42"/>
  <c r="S31" i="42"/>
  <c r="V31" i="42"/>
  <c r="S32" i="42"/>
  <c r="V32" i="42"/>
  <c r="S33" i="42"/>
  <c r="V33" i="42"/>
  <c r="S34" i="42"/>
  <c r="V34" i="42"/>
  <c r="S35" i="42"/>
  <c r="V35" i="42"/>
  <c r="S36" i="42"/>
  <c r="V36" i="42"/>
  <c r="S37" i="42"/>
  <c r="V37" i="42"/>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Q173" i="42"/>
  <c r="U173" i="42" s="1"/>
  <c r="R173" i="42"/>
  <c r="P173" i="42"/>
  <c r="Q234" i="42"/>
  <c r="U234" i="42" s="1"/>
  <c r="R234" i="42"/>
  <c r="P234" i="42"/>
  <c r="Q256" i="42"/>
  <c r="U256" i="42" s="1"/>
  <c r="R256" i="42"/>
  <c r="P256" i="42"/>
  <c r="Q248" i="42"/>
  <c r="U248" i="42" s="1"/>
  <c r="R248" i="42"/>
  <c r="P248" i="42"/>
  <c r="Q240" i="42"/>
  <c r="U240" i="42" s="1"/>
  <c r="R240" i="42"/>
  <c r="P240" i="42"/>
  <c r="Q232" i="42"/>
  <c r="U232" i="42" s="1"/>
  <c r="R232" i="42"/>
  <c r="P232" i="42"/>
  <c r="Q224" i="42"/>
  <c r="U224" i="42" s="1"/>
  <c r="R224" i="42"/>
  <c r="P224" i="42"/>
  <c r="Q216" i="42"/>
  <c r="U216" i="42" s="1"/>
  <c r="R216" i="42"/>
  <c r="P216" i="42"/>
  <c r="Q208" i="42"/>
  <c r="U208" i="42" s="1"/>
  <c r="R208" i="42"/>
  <c r="P208" i="42"/>
  <c r="Q200" i="42"/>
  <c r="U200" i="42" s="1"/>
  <c r="R200" i="42"/>
  <c r="P200" i="42"/>
  <c r="Q192" i="42"/>
  <c r="U192" i="42" s="1"/>
  <c r="R192" i="42"/>
  <c r="P192" i="42"/>
  <c r="Q184" i="42"/>
  <c r="U184" i="42" s="1"/>
  <c r="R184" i="42"/>
  <c r="P184" i="42"/>
  <c r="Q176" i="42"/>
  <c r="U176" i="42" s="1"/>
  <c r="R176" i="42"/>
  <c r="P176" i="42"/>
  <c r="Q168" i="42"/>
  <c r="U168" i="42" s="1"/>
  <c r="P168" i="42"/>
  <c r="R168" i="42"/>
  <c r="Q160" i="42"/>
  <c r="U160" i="42" s="1"/>
  <c r="P160" i="42"/>
  <c r="R160" i="42"/>
  <c r="Q152" i="42"/>
  <c r="U152" i="42" s="1"/>
  <c r="P152" i="42"/>
  <c r="R152" i="42"/>
  <c r="Q144" i="42"/>
  <c r="U144" i="42" s="1"/>
  <c r="P144" i="42"/>
  <c r="R144" i="42"/>
  <c r="Q136" i="42"/>
  <c r="U136" i="42" s="1"/>
  <c r="P136" i="42"/>
  <c r="R136" i="42"/>
  <c r="Q128" i="42"/>
  <c r="U128" i="42" s="1"/>
  <c r="P128" i="42"/>
  <c r="R128" i="42"/>
  <c r="Q120" i="42"/>
  <c r="U120" i="42" s="1"/>
  <c r="P120" i="42"/>
  <c r="R120" i="42"/>
  <c r="Q112" i="42"/>
  <c r="U112" i="42" s="1"/>
  <c r="P112" i="42"/>
  <c r="R112" i="42"/>
  <c r="W112" i="42" s="1"/>
  <c r="Q104" i="42"/>
  <c r="U104" i="42" s="1"/>
  <c r="P104" i="42"/>
  <c r="R104" i="42"/>
  <c r="W104" i="42" s="1"/>
  <c r="Q96" i="42"/>
  <c r="U96" i="42" s="1"/>
  <c r="P96" i="42"/>
  <c r="R96" i="42"/>
  <c r="W96" i="42" s="1"/>
  <c r="Q88" i="42"/>
  <c r="U88" i="42" s="1"/>
  <c r="P88" i="42"/>
  <c r="R88" i="42"/>
  <c r="Q80" i="42"/>
  <c r="U80" i="42" s="1"/>
  <c r="P80" i="42"/>
  <c r="R80" i="42"/>
  <c r="W80" i="42" s="1"/>
  <c r="Q72" i="42"/>
  <c r="U72" i="42" s="1"/>
  <c r="P72" i="42"/>
  <c r="R72" i="42"/>
  <c r="Q64" i="42"/>
  <c r="U64" i="42" s="1"/>
  <c r="P64" i="42"/>
  <c r="R64" i="42"/>
  <c r="W64" i="42" s="1"/>
  <c r="Q56" i="42"/>
  <c r="U56" i="42" s="1"/>
  <c r="P56" i="42"/>
  <c r="R56" i="42"/>
  <c r="Q48" i="42"/>
  <c r="U48" i="42" s="1"/>
  <c r="P48" i="42"/>
  <c r="R48" i="42"/>
  <c r="W48" i="42" s="1"/>
  <c r="Q40" i="42"/>
  <c r="U40" i="42" s="1"/>
  <c r="P40" i="42"/>
  <c r="R40" i="42"/>
  <c r="Q32" i="42"/>
  <c r="U32" i="42" s="1"/>
  <c r="P32" i="42"/>
  <c r="R32" i="42"/>
  <c r="W32" i="42" s="1"/>
  <c r="Q24" i="42"/>
  <c r="U24" i="42" s="1"/>
  <c r="P24" i="42"/>
  <c r="R24" i="42"/>
  <c r="Q16" i="42"/>
  <c r="U16" i="42" s="1"/>
  <c r="P16" i="42"/>
  <c r="R16" i="42"/>
  <c r="Q213" i="42"/>
  <c r="U213" i="42" s="1"/>
  <c r="R213" i="42"/>
  <c r="P213" i="42"/>
  <c r="Q141" i="42"/>
  <c r="U141" i="42" s="1"/>
  <c r="R141" i="42"/>
  <c r="P141" i="42"/>
  <c r="Q93" i="42"/>
  <c r="U93" i="42" s="1"/>
  <c r="R93" i="42"/>
  <c r="P93" i="42"/>
  <c r="Q45" i="42"/>
  <c r="U45" i="42" s="1"/>
  <c r="R45" i="42"/>
  <c r="P45" i="42"/>
  <c r="Q255" i="42"/>
  <c r="U255" i="42" s="1"/>
  <c r="R255" i="42"/>
  <c r="P255" i="42"/>
  <c r="Q247" i="42"/>
  <c r="U247" i="42" s="1"/>
  <c r="R247" i="42"/>
  <c r="P247" i="42"/>
  <c r="Q239" i="42"/>
  <c r="U239" i="42" s="1"/>
  <c r="P239" i="42"/>
  <c r="R239" i="42"/>
  <c r="Q231" i="42"/>
  <c r="U231" i="42" s="1"/>
  <c r="P231" i="42"/>
  <c r="R231" i="42"/>
  <c r="Q223" i="42"/>
  <c r="U223" i="42" s="1"/>
  <c r="P223" i="42"/>
  <c r="R223" i="42"/>
  <c r="Q215" i="42"/>
  <c r="U215" i="42" s="1"/>
  <c r="P215" i="42"/>
  <c r="R215" i="42"/>
  <c r="Q207" i="42"/>
  <c r="U207" i="42" s="1"/>
  <c r="P207" i="42"/>
  <c r="R207" i="42"/>
  <c r="Q199" i="42"/>
  <c r="U199" i="42" s="1"/>
  <c r="P199" i="42"/>
  <c r="R199" i="42"/>
  <c r="Q191" i="42"/>
  <c r="U191" i="42" s="1"/>
  <c r="P191" i="42"/>
  <c r="R191" i="42"/>
  <c r="Q183" i="42"/>
  <c r="U183" i="42" s="1"/>
  <c r="P183" i="42"/>
  <c r="R183" i="42"/>
  <c r="Q175" i="42"/>
  <c r="U175" i="42" s="1"/>
  <c r="P175" i="42"/>
  <c r="R175" i="42"/>
  <c r="Q167" i="42"/>
  <c r="U167" i="42" s="1"/>
  <c r="P167" i="42"/>
  <c r="R167" i="42"/>
  <c r="Q159" i="42"/>
  <c r="U159" i="42" s="1"/>
  <c r="P159" i="42"/>
  <c r="R159" i="42"/>
  <c r="Q151" i="42"/>
  <c r="U151" i="42" s="1"/>
  <c r="P151" i="42"/>
  <c r="R151" i="42"/>
  <c r="Q143" i="42"/>
  <c r="U143" i="42" s="1"/>
  <c r="P143" i="42"/>
  <c r="R143" i="42"/>
  <c r="Q135" i="42"/>
  <c r="U135" i="42" s="1"/>
  <c r="P135" i="42"/>
  <c r="R135" i="42"/>
  <c r="Q127" i="42"/>
  <c r="U127" i="42" s="1"/>
  <c r="P127" i="42"/>
  <c r="R127" i="42"/>
  <c r="Q119" i="42"/>
  <c r="U119" i="42" s="1"/>
  <c r="P119" i="42"/>
  <c r="R119" i="42"/>
  <c r="Q111" i="42"/>
  <c r="U111" i="42" s="1"/>
  <c r="P111" i="42"/>
  <c r="R111" i="42"/>
  <c r="Q103" i="42"/>
  <c r="U103" i="42" s="1"/>
  <c r="P103" i="42"/>
  <c r="R103" i="42"/>
  <c r="Q95" i="42"/>
  <c r="U95" i="42" s="1"/>
  <c r="P95" i="42"/>
  <c r="R95" i="42"/>
  <c r="Q87" i="42"/>
  <c r="U87" i="42" s="1"/>
  <c r="P87" i="42"/>
  <c r="R87" i="42"/>
  <c r="Q79" i="42"/>
  <c r="U79" i="42" s="1"/>
  <c r="P79" i="42"/>
  <c r="R79" i="42"/>
  <c r="Q71" i="42"/>
  <c r="U71" i="42" s="1"/>
  <c r="P71" i="42"/>
  <c r="R71" i="42"/>
  <c r="Q63" i="42"/>
  <c r="U63" i="42" s="1"/>
  <c r="P63" i="42"/>
  <c r="R63" i="42"/>
  <c r="Q55" i="42"/>
  <c r="U55" i="42" s="1"/>
  <c r="P55" i="42"/>
  <c r="R55" i="42"/>
  <c r="Q47" i="42"/>
  <c r="U47" i="42" s="1"/>
  <c r="P47" i="42"/>
  <c r="R47" i="42"/>
  <c r="Q39" i="42"/>
  <c r="U39" i="42" s="1"/>
  <c r="P39" i="42"/>
  <c r="R39" i="42"/>
  <c r="Q31" i="42"/>
  <c r="U31" i="42" s="1"/>
  <c r="P31" i="42"/>
  <c r="R31" i="42"/>
  <c r="Q23" i="42"/>
  <c r="U23" i="42" s="1"/>
  <c r="P23" i="42"/>
  <c r="R23" i="42"/>
  <c r="Q15" i="42"/>
  <c r="U15" i="42" s="1"/>
  <c r="P15" i="42"/>
  <c r="R15" i="42"/>
  <c r="Q221" i="42"/>
  <c r="U221" i="42" s="1"/>
  <c r="R221" i="42"/>
  <c r="P221" i="42"/>
  <c r="Q165" i="42"/>
  <c r="U165" i="42" s="1"/>
  <c r="R165" i="42"/>
  <c r="P165" i="42"/>
  <c r="Q109" i="42"/>
  <c r="U109" i="42" s="1"/>
  <c r="R109" i="42"/>
  <c r="P109" i="42"/>
  <c r="Q37" i="42"/>
  <c r="U37" i="42" s="1"/>
  <c r="R37" i="42"/>
  <c r="P37" i="42"/>
  <c r="Q254" i="42"/>
  <c r="U254" i="42" s="1"/>
  <c r="R254" i="42"/>
  <c r="P254" i="42"/>
  <c r="Q246" i="42"/>
  <c r="U246" i="42" s="1"/>
  <c r="R246" i="42"/>
  <c r="P246" i="42"/>
  <c r="Q238" i="42"/>
  <c r="U238" i="42" s="1"/>
  <c r="R238" i="42"/>
  <c r="P238" i="42"/>
  <c r="Q230" i="42"/>
  <c r="U230" i="42" s="1"/>
  <c r="R230" i="42"/>
  <c r="P230" i="42"/>
  <c r="Q222" i="42"/>
  <c r="U222" i="42" s="1"/>
  <c r="R222" i="42"/>
  <c r="P222" i="42"/>
  <c r="Q214" i="42"/>
  <c r="U214" i="42" s="1"/>
  <c r="R214" i="42"/>
  <c r="P214" i="42"/>
  <c r="Q206" i="42"/>
  <c r="U206" i="42" s="1"/>
  <c r="R206" i="42"/>
  <c r="P206" i="42"/>
  <c r="Q198" i="42"/>
  <c r="U198" i="42" s="1"/>
  <c r="R198" i="42"/>
  <c r="P198" i="42"/>
  <c r="Q190" i="42"/>
  <c r="U190" i="42" s="1"/>
  <c r="R190" i="42"/>
  <c r="P190" i="42"/>
  <c r="Q182" i="42"/>
  <c r="U182" i="42" s="1"/>
  <c r="R182" i="42"/>
  <c r="P182" i="42"/>
  <c r="Q174" i="42"/>
  <c r="U174" i="42" s="1"/>
  <c r="R174" i="42"/>
  <c r="P174" i="42"/>
  <c r="Q166" i="42"/>
  <c r="U166" i="42" s="1"/>
  <c r="R166" i="42"/>
  <c r="P166" i="42"/>
  <c r="Q158" i="42"/>
  <c r="U158" i="42" s="1"/>
  <c r="R158" i="42"/>
  <c r="P158" i="42"/>
  <c r="Q150" i="42"/>
  <c r="R150" i="42"/>
  <c r="P150" i="42"/>
  <c r="U150" i="42"/>
  <c r="Q142" i="42"/>
  <c r="R142" i="42"/>
  <c r="P142" i="42"/>
  <c r="U142" i="42"/>
  <c r="Q134" i="42"/>
  <c r="R134" i="42"/>
  <c r="P134" i="42"/>
  <c r="U134" i="42"/>
  <c r="Q126" i="42"/>
  <c r="R126" i="42"/>
  <c r="P126" i="42"/>
  <c r="U126" i="42"/>
  <c r="Q118" i="42"/>
  <c r="R118" i="42"/>
  <c r="W118" i="42" s="1"/>
  <c r="P118" i="42"/>
  <c r="U118" i="42"/>
  <c r="Q110" i="42"/>
  <c r="R110" i="42"/>
  <c r="P110" i="42"/>
  <c r="U110" i="42"/>
  <c r="Q102" i="42"/>
  <c r="R102" i="42"/>
  <c r="W102" i="42" s="1"/>
  <c r="P102" i="42"/>
  <c r="U102" i="42"/>
  <c r="Q94" i="42"/>
  <c r="R94" i="42"/>
  <c r="W94" i="42" s="1"/>
  <c r="P94" i="42"/>
  <c r="U94" i="42"/>
  <c r="Q86" i="42"/>
  <c r="R86" i="42"/>
  <c r="W86" i="42" s="1"/>
  <c r="P86" i="42"/>
  <c r="U86" i="42"/>
  <c r="Q78" i="42"/>
  <c r="R78" i="42"/>
  <c r="W78" i="42" s="1"/>
  <c r="P78" i="42"/>
  <c r="U78" i="42"/>
  <c r="Q70" i="42"/>
  <c r="R70" i="42"/>
  <c r="W70" i="42" s="1"/>
  <c r="P70" i="42"/>
  <c r="U70" i="42"/>
  <c r="Q62" i="42"/>
  <c r="R62" i="42"/>
  <c r="W62" i="42" s="1"/>
  <c r="P62" i="42"/>
  <c r="U62" i="42"/>
  <c r="Q54" i="42"/>
  <c r="R54" i="42"/>
  <c r="W54" i="42" s="1"/>
  <c r="P54" i="42"/>
  <c r="U54" i="42"/>
  <c r="Q46" i="42"/>
  <c r="R46" i="42"/>
  <c r="W46" i="42" s="1"/>
  <c r="P46" i="42"/>
  <c r="U46" i="42"/>
  <c r="Q38" i="42"/>
  <c r="R38" i="42"/>
  <c r="W38" i="42" s="1"/>
  <c r="P38" i="42"/>
  <c r="U38" i="42"/>
  <c r="Q30" i="42"/>
  <c r="R30" i="42"/>
  <c r="P30" i="42"/>
  <c r="U30" i="42"/>
  <c r="Q22" i="42"/>
  <c r="R22" i="42"/>
  <c r="P22" i="42"/>
  <c r="U22" i="42"/>
  <c r="Q14" i="42"/>
  <c r="R14" i="42"/>
  <c r="P14" i="42"/>
  <c r="U14" i="42"/>
  <c r="Q245" i="42"/>
  <c r="R245" i="42"/>
  <c r="P245" i="42"/>
  <c r="U245" i="42"/>
  <c r="Q181" i="42"/>
  <c r="R181" i="42"/>
  <c r="P181" i="42"/>
  <c r="U181" i="42"/>
  <c r="Q101" i="42"/>
  <c r="R101" i="42"/>
  <c r="P101" i="42"/>
  <c r="U101" i="42"/>
  <c r="Q69" i="42"/>
  <c r="R69" i="42"/>
  <c r="P69" i="42"/>
  <c r="U69" i="42"/>
  <c r="Q61" i="42"/>
  <c r="R61" i="42"/>
  <c r="P61" i="42"/>
  <c r="U61" i="42"/>
  <c r="P13" i="42"/>
  <c r="Q13" i="42" s="1"/>
  <c r="T13" i="42" s="1"/>
  <c r="U13" i="42" s="1"/>
  <c r="Q252" i="42"/>
  <c r="U252" i="42" s="1"/>
  <c r="R252" i="42"/>
  <c r="P252" i="42"/>
  <c r="Q244" i="42"/>
  <c r="U244" i="42" s="1"/>
  <c r="R244" i="42"/>
  <c r="P244" i="42"/>
  <c r="Q236" i="42"/>
  <c r="U236" i="42" s="1"/>
  <c r="P236" i="42"/>
  <c r="R236" i="42"/>
  <c r="Q228" i="42"/>
  <c r="U228" i="42" s="1"/>
  <c r="P228" i="42"/>
  <c r="R228" i="42"/>
  <c r="Q220" i="42"/>
  <c r="U220" i="42" s="1"/>
  <c r="P220" i="42"/>
  <c r="R220" i="42"/>
  <c r="Q212" i="42"/>
  <c r="P212" i="42"/>
  <c r="R212" i="42"/>
  <c r="U212" i="42"/>
  <c r="Q204" i="42"/>
  <c r="P204" i="42"/>
  <c r="R204" i="42"/>
  <c r="U204" i="42"/>
  <c r="Q196" i="42"/>
  <c r="P196" i="42"/>
  <c r="R196" i="42"/>
  <c r="U196" i="42"/>
  <c r="Q188" i="42"/>
  <c r="P188" i="42"/>
  <c r="R188" i="42"/>
  <c r="U188" i="42"/>
  <c r="Q180" i="42"/>
  <c r="P180" i="42"/>
  <c r="R180" i="42"/>
  <c r="U180" i="42"/>
  <c r="Q172" i="42"/>
  <c r="P172" i="42"/>
  <c r="R172" i="42"/>
  <c r="U172" i="42"/>
  <c r="Q164" i="42"/>
  <c r="P164" i="42"/>
  <c r="R164" i="42"/>
  <c r="U164" i="42"/>
  <c r="Q156" i="42"/>
  <c r="P156" i="42"/>
  <c r="R156" i="42"/>
  <c r="U156" i="42"/>
  <c r="Q148" i="42"/>
  <c r="P148" i="42"/>
  <c r="R148" i="42"/>
  <c r="U148" i="42"/>
  <c r="Q140" i="42"/>
  <c r="P140" i="42"/>
  <c r="R140" i="42"/>
  <c r="U140" i="42"/>
  <c r="Q132" i="42"/>
  <c r="P132" i="42"/>
  <c r="R132" i="42"/>
  <c r="U132" i="42"/>
  <c r="Q124" i="42"/>
  <c r="P124" i="42"/>
  <c r="R124" i="42"/>
  <c r="U124" i="42"/>
  <c r="Q116" i="42"/>
  <c r="P116" i="42"/>
  <c r="R116" i="42"/>
  <c r="U116" i="42"/>
  <c r="Q108" i="42"/>
  <c r="P108" i="42"/>
  <c r="R108" i="42"/>
  <c r="U108" i="42"/>
  <c r="Q100" i="42"/>
  <c r="P100" i="42"/>
  <c r="R100" i="42"/>
  <c r="U100" i="42"/>
  <c r="Q92" i="42"/>
  <c r="P92" i="42"/>
  <c r="R92" i="42"/>
  <c r="U92" i="42"/>
  <c r="Q84" i="42"/>
  <c r="P84" i="42"/>
  <c r="R84" i="42"/>
  <c r="U84" i="42"/>
  <c r="Q76" i="42"/>
  <c r="P76" i="42"/>
  <c r="R76" i="42"/>
  <c r="U76" i="42"/>
  <c r="Q68" i="42"/>
  <c r="P68" i="42"/>
  <c r="R68" i="42"/>
  <c r="U68" i="42"/>
  <c r="Q60" i="42"/>
  <c r="P60" i="42"/>
  <c r="R60" i="42"/>
  <c r="U60" i="42"/>
  <c r="Q52" i="42"/>
  <c r="P52" i="42"/>
  <c r="R52" i="42"/>
  <c r="U52" i="42"/>
  <c r="Q44" i="42"/>
  <c r="P44" i="42"/>
  <c r="R44" i="42"/>
  <c r="U44" i="42"/>
  <c r="Q36" i="42"/>
  <c r="P36" i="42"/>
  <c r="R36" i="42"/>
  <c r="U36" i="42"/>
  <c r="Q28" i="42"/>
  <c r="P28" i="42"/>
  <c r="R28" i="42"/>
  <c r="U28" i="42"/>
  <c r="Q20" i="42"/>
  <c r="P20" i="42"/>
  <c r="R20" i="42"/>
  <c r="U20" i="42"/>
  <c r="Q253" i="42"/>
  <c r="R253" i="42"/>
  <c r="P253" i="42"/>
  <c r="U253" i="42"/>
  <c r="Q205" i="42"/>
  <c r="R205" i="42"/>
  <c r="P205" i="42"/>
  <c r="U205" i="42"/>
  <c r="Q157" i="42"/>
  <c r="R157" i="42"/>
  <c r="P157" i="42"/>
  <c r="U157" i="42"/>
  <c r="Q125" i="42"/>
  <c r="R125" i="42"/>
  <c r="P125" i="42"/>
  <c r="U125" i="42"/>
  <c r="Q85" i="42"/>
  <c r="R85" i="42"/>
  <c r="P85" i="42"/>
  <c r="U85" i="42"/>
  <c r="Q21" i="42"/>
  <c r="R21" i="42"/>
  <c r="P21" i="42"/>
  <c r="U21" i="42"/>
  <c r="Q259" i="42"/>
  <c r="P259" i="42"/>
  <c r="R259" i="42"/>
  <c r="W259" i="42" s="1"/>
  <c r="U259" i="42"/>
  <c r="Q251" i="42"/>
  <c r="P251" i="42"/>
  <c r="R251" i="42"/>
  <c r="W251" i="42" s="1"/>
  <c r="U251" i="42"/>
  <c r="Q243" i="42"/>
  <c r="P243" i="42"/>
  <c r="R243" i="42"/>
  <c r="W243" i="42" s="1"/>
  <c r="U243" i="42"/>
  <c r="Q235" i="42"/>
  <c r="P235" i="42"/>
  <c r="R235" i="42"/>
  <c r="W235" i="42" s="1"/>
  <c r="U235" i="42"/>
  <c r="Q227" i="42"/>
  <c r="P227" i="42"/>
  <c r="R227" i="42"/>
  <c r="W227" i="42" s="1"/>
  <c r="U227" i="42"/>
  <c r="Q219" i="42"/>
  <c r="P219" i="42"/>
  <c r="R219" i="42"/>
  <c r="W219" i="42" s="1"/>
  <c r="U219" i="42"/>
  <c r="Q211" i="42"/>
  <c r="P211" i="42"/>
  <c r="R211" i="42"/>
  <c r="W211" i="42" s="1"/>
  <c r="U211" i="42"/>
  <c r="Q203" i="42"/>
  <c r="P203" i="42"/>
  <c r="R203" i="42"/>
  <c r="W203" i="42" s="1"/>
  <c r="U203" i="42"/>
  <c r="Q195" i="42"/>
  <c r="P195" i="42"/>
  <c r="R195" i="42"/>
  <c r="W195" i="42" s="1"/>
  <c r="U195" i="42"/>
  <c r="Q187" i="42"/>
  <c r="P187" i="42"/>
  <c r="R187" i="42"/>
  <c r="W187" i="42" s="1"/>
  <c r="U187" i="42"/>
  <c r="Q179" i="42"/>
  <c r="P179" i="42"/>
  <c r="R179" i="42"/>
  <c r="W179" i="42" s="1"/>
  <c r="U179" i="42"/>
  <c r="Q171" i="42"/>
  <c r="P171" i="42"/>
  <c r="R171" i="42"/>
  <c r="W171" i="42" s="1"/>
  <c r="U171" i="42"/>
  <c r="Q163" i="42"/>
  <c r="P163" i="42"/>
  <c r="R163" i="42"/>
  <c r="W163" i="42" s="1"/>
  <c r="U163" i="42"/>
  <c r="Q155" i="42"/>
  <c r="P155" i="42"/>
  <c r="R155" i="42"/>
  <c r="W155" i="42" s="1"/>
  <c r="U155" i="42"/>
  <c r="Q147" i="42"/>
  <c r="P147" i="42"/>
  <c r="R147" i="42"/>
  <c r="W147" i="42" s="1"/>
  <c r="U147" i="42"/>
  <c r="Q139" i="42"/>
  <c r="P139" i="42"/>
  <c r="R139" i="42"/>
  <c r="W139" i="42" s="1"/>
  <c r="U139" i="42"/>
  <c r="Q131" i="42"/>
  <c r="P131" i="42"/>
  <c r="R131" i="42"/>
  <c r="W131" i="42" s="1"/>
  <c r="U131" i="42"/>
  <c r="Q123" i="42"/>
  <c r="P123" i="42"/>
  <c r="R123" i="42"/>
  <c r="W123" i="42" s="1"/>
  <c r="U123" i="42"/>
  <c r="Q115" i="42"/>
  <c r="P115" i="42"/>
  <c r="R115" i="42"/>
  <c r="W115" i="42" s="1"/>
  <c r="U115" i="42"/>
  <c r="Q107" i="42"/>
  <c r="P107" i="42"/>
  <c r="R107" i="42"/>
  <c r="W107" i="42" s="1"/>
  <c r="U107" i="42"/>
  <c r="Q99" i="42"/>
  <c r="P99" i="42"/>
  <c r="R99" i="42"/>
  <c r="W99" i="42" s="1"/>
  <c r="U99" i="42"/>
  <c r="Q91" i="42"/>
  <c r="P91" i="42"/>
  <c r="R91" i="42"/>
  <c r="W91" i="42" s="1"/>
  <c r="U91" i="42"/>
  <c r="Q83" i="42"/>
  <c r="P83" i="42"/>
  <c r="R83" i="42"/>
  <c r="W83" i="42" s="1"/>
  <c r="U83" i="42"/>
  <c r="Q75" i="42"/>
  <c r="P75" i="42"/>
  <c r="R75" i="42"/>
  <c r="W75" i="42" s="1"/>
  <c r="U75" i="42"/>
  <c r="Q67" i="42"/>
  <c r="P67" i="42"/>
  <c r="R67" i="42"/>
  <c r="W67" i="42" s="1"/>
  <c r="U67" i="42"/>
  <c r="Q59" i="42"/>
  <c r="P59" i="42"/>
  <c r="R59" i="42"/>
  <c r="W59" i="42" s="1"/>
  <c r="U59" i="42"/>
  <c r="Q51" i="42"/>
  <c r="P51" i="42"/>
  <c r="R51" i="42"/>
  <c r="W51" i="42" s="1"/>
  <c r="U51" i="42"/>
  <c r="Q43" i="42"/>
  <c r="P43" i="42"/>
  <c r="R43" i="42"/>
  <c r="W43" i="42" s="1"/>
  <c r="U43" i="42"/>
  <c r="Q35" i="42"/>
  <c r="P35" i="42"/>
  <c r="R35" i="42"/>
  <c r="W35" i="42" s="1"/>
  <c r="U35" i="42"/>
  <c r="Q27" i="42"/>
  <c r="P27" i="42"/>
  <c r="R27" i="42"/>
  <c r="W27" i="42" s="1"/>
  <c r="U27" i="42"/>
  <c r="Q19" i="42"/>
  <c r="P19" i="42"/>
  <c r="R19" i="42"/>
  <c r="W19" i="42" s="1"/>
  <c r="U19" i="42"/>
  <c r="Q229" i="42"/>
  <c r="R229" i="42"/>
  <c r="P229" i="42"/>
  <c r="U229" i="42"/>
  <c r="Q189" i="42"/>
  <c r="R189" i="42"/>
  <c r="P189" i="42"/>
  <c r="U189" i="42"/>
  <c r="Q133" i="42"/>
  <c r="R133" i="42"/>
  <c r="P133" i="42"/>
  <c r="U133" i="42"/>
  <c r="Q29" i="42"/>
  <c r="R29" i="42"/>
  <c r="P29" i="42"/>
  <c r="U29" i="42"/>
  <c r="Q250" i="42"/>
  <c r="R250" i="42"/>
  <c r="P250" i="42"/>
  <c r="U250" i="42"/>
  <c r="Q226" i="42"/>
  <c r="R226" i="42"/>
  <c r="P226" i="42"/>
  <c r="U226" i="42"/>
  <c r="Q210" i="42"/>
  <c r="R210" i="42"/>
  <c r="P210" i="42"/>
  <c r="U210" i="42"/>
  <c r="Q202" i="42"/>
  <c r="R202" i="42"/>
  <c r="P202" i="42"/>
  <c r="U202" i="42"/>
  <c r="Q186" i="42"/>
  <c r="P186" i="42"/>
  <c r="R186" i="42"/>
  <c r="U186" i="42"/>
  <c r="Q178" i="42"/>
  <c r="P178" i="42"/>
  <c r="R178" i="42"/>
  <c r="U178" i="42"/>
  <c r="Q170" i="42"/>
  <c r="P170" i="42"/>
  <c r="R170" i="42"/>
  <c r="U170" i="42"/>
  <c r="Q162" i="42"/>
  <c r="P162" i="42"/>
  <c r="R162" i="42"/>
  <c r="U162" i="42"/>
  <c r="Q154" i="42"/>
  <c r="P154" i="42"/>
  <c r="R154" i="42"/>
  <c r="U154" i="42"/>
  <c r="Q146" i="42"/>
  <c r="P146" i="42"/>
  <c r="R146" i="42"/>
  <c r="U146" i="42"/>
  <c r="Q138" i="42"/>
  <c r="P138" i="42"/>
  <c r="R138" i="42"/>
  <c r="U138" i="42"/>
  <c r="Q130" i="42"/>
  <c r="P130" i="42"/>
  <c r="R130" i="42"/>
  <c r="U130" i="42"/>
  <c r="Q122" i="42"/>
  <c r="P122" i="42"/>
  <c r="R122" i="42"/>
  <c r="W122" i="42" s="1"/>
  <c r="U122" i="42"/>
  <c r="Q114" i="42"/>
  <c r="P114" i="42"/>
  <c r="R114" i="42"/>
  <c r="W114" i="42" s="1"/>
  <c r="U114" i="42"/>
  <c r="Q106" i="42"/>
  <c r="P106" i="42"/>
  <c r="R106" i="42"/>
  <c r="W106" i="42" s="1"/>
  <c r="U106" i="42"/>
  <c r="Q98" i="42"/>
  <c r="P98" i="42"/>
  <c r="R98" i="42"/>
  <c r="W98" i="42" s="1"/>
  <c r="U98" i="42"/>
  <c r="Q90" i="42"/>
  <c r="P90" i="42"/>
  <c r="R90" i="42"/>
  <c r="W90" i="42" s="1"/>
  <c r="U90" i="42"/>
  <c r="Q82" i="42"/>
  <c r="P82" i="42"/>
  <c r="R82" i="42"/>
  <c r="W82" i="42" s="1"/>
  <c r="U82" i="42"/>
  <c r="Q74" i="42"/>
  <c r="P74" i="42"/>
  <c r="R74" i="42"/>
  <c r="W74" i="42" s="1"/>
  <c r="U74" i="42"/>
  <c r="Q66" i="42"/>
  <c r="P66" i="42"/>
  <c r="R66" i="42"/>
  <c r="W66" i="42" s="1"/>
  <c r="U66" i="42"/>
  <c r="Q58" i="42"/>
  <c r="P58" i="42"/>
  <c r="R58" i="42"/>
  <c r="W58" i="42" s="1"/>
  <c r="U58" i="42"/>
  <c r="Q50" i="42"/>
  <c r="P50" i="42"/>
  <c r="R50" i="42"/>
  <c r="W50" i="42" s="1"/>
  <c r="U50" i="42"/>
  <c r="Q42" i="42"/>
  <c r="P42" i="42"/>
  <c r="R42" i="42"/>
  <c r="W42" i="42" s="1"/>
  <c r="U42" i="42"/>
  <c r="Q34" i="42"/>
  <c r="P34" i="42"/>
  <c r="R34" i="42"/>
  <c r="W34" i="42" s="1"/>
  <c r="U34" i="42"/>
  <c r="Q26" i="42"/>
  <c r="P26" i="42"/>
  <c r="R26" i="42"/>
  <c r="U26" i="42"/>
  <c r="Q18" i="42"/>
  <c r="P18" i="42"/>
  <c r="R18" i="42"/>
  <c r="W18" i="42" s="1"/>
  <c r="U18" i="42"/>
  <c r="Q237" i="42"/>
  <c r="R237" i="42"/>
  <c r="P237" i="42"/>
  <c r="U237" i="42"/>
  <c r="Q197" i="42"/>
  <c r="R197" i="42"/>
  <c r="P197" i="42"/>
  <c r="U197" i="42"/>
  <c r="Q149" i="42"/>
  <c r="R149" i="42"/>
  <c r="P149" i="42"/>
  <c r="U149" i="42"/>
  <c r="Q117" i="42"/>
  <c r="R117" i="42"/>
  <c r="P117" i="42"/>
  <c r="U117" i="42"/>
  <c r="Q77" i="42"/>
  <c r="R77" i="42"/>
  <c r="P77" i="42"/>
  <c r="U77" i="42"/>
  <c r="Q53" i="42"/>
  <c r="R53" i="42"/>
  <c r="P53" i="42"/>
  <c r="U53" i="42"/>
  <c r="Q258" i="42"/>
  <c r="R258" i="42"/>
  <c r="P258" i="42"/>
  <c r="U258" i="42"/>
  <c r="Q242" i="42"/>
  <c r="R242" i="42"/>
  <c r="P242" i="42"/>
  <c r="U242" i="42"/>
  <c r="Q218" i="42"/>
  <c r="R218" i="42"/>
  <c r="P218" i="42"/>
  <c r="U218" i="42"/>
  <c r="Q194" i="42"/>
  <c r="P194" i="42"/>
  <c r="R194" i="42"/>
  <c r="U194" i="42"/>
  <c r="Q257" i="42"/>
  <c r="R257" i="42"/>
  <c r="W257" i="42" s="1"/>
  <c r="P257" i="42"/>
  <c r="U257" i="42"/>
  <c r="Q249" i="42"/>
  <c r="R249" i="42"/>
  <c r="W249" i="42" s="1"/>
  <c r="P249" i="42"/>
  <c r="U249" i="42"/>
  <c r="Q241" i="42"/>
  <c r="R241" i="42"/>
  <c r="P241" i="42"/>
  <c r="U241" i="42"/>
  <c r="Q233" i="42"/>
  <c r="R233" i="42"/>
  <c r="W233" i="42" s="1"/>
  <c r="P233" i="42"/>
  <c r="U233" i="42"/>
  <c r="Q225" i="42"/>
  <c r="R225" i="42"/>
  <c r="W225" i="42" s="1"/>
  <c r="P225" i="42"/>
  <c r="U225" i="42"/>
  <c r="Q217" i="42"/>
  <c r="R217" i="42"/>
  <c r="W217" i="42" s="1"/>
  <c r="P217" i="42"/>
  <c r="U217" i="42"/>
  <c r="Q209" i="42"/>
  <c r="R209" i="42"/>
  <c r="W209" i="42" s="1"/>
  <c r="P209" i="42"/>
  <c r="U209" i="42"/>
  <c r="Q201" i="42"/>
  <c r="R201" i="42"/>
  <c r="W201" i="42" s="1"/>
  <c r="P201" i="42"/>
  <c r="U201" i="42"/>
  <c r="Q193" i="42"/>
  <c r="P193" i="42"/>
  <c r="R193" i="42"/>
  <c r="W193" i="42" s="1"/>
  <c r="U193" i="42"/>
  <c r="Q185" i="42"/>
  <c r="P185" i="42"/>
  <c r="R185" i="42"/>
  <c r="W185" i="42" s="1"/>
  <c r="U185" i="42"/>
  <c r="Q177" i="42"/>
  <c r="P177" i="42"/>
  <c r="R177" i="42"/>
  <c r="W177" i="42" s="1"/>
  <c r="U177" i="42"/>
  <c r="Q169" i="42"/>
  <c r="P169" i="42"/>
  <c r="R169" i="42"/>
  <c r="W169" i="42" s="1"/>
  <c r="U169" i="42"/>
  <c r="Q161" i="42"/>
  <c r="P161" i="42"/>
  <c r="R161" i="42"/>
  <c r="W161" i="42" s="1"/>
  <c r="U161" i="42"/>
  <c r="Q153" i="42"/>
  <c r="P153" i="42"/>
  <c r="R153" i="42"/>
  <c r="W153" i="42" s="1"/>
  <c r="U153" i="42"/>
  <c r="Q145" i="42"/>
  <c r="P145" i="42"/>
  <c r="R145" i="42"/>
  <c r="W145" i="42" s="1"/>
  <c r="U145" i="42"/>
  <c r="Q137" i="42"/>
  <c r="P137" i="42"/>
  <c r="R137" i="42"/>
  <c r="W137" i="42" s="1"/>
  <c r="U137" i="42"/>
  <c r="Q129" i="42"/>
  <c r="P129" i="42"/>
  <c r="R129" i="42"/>
  <c r="W129" i="42" s="1"/>
  <c r="U129" i="42"/>
  <c r="Q121" i="42"/>
  <c r="P121" i="42"/>
  <c r="R121" i="42"/>
  <c r="W121" i="42" s="1"/>
  <c r="U121" i="42"/>
  <c r="Q113" i="42"/>
  <c r="P113" i="42"/>
  <c r="R113" i="42"/>
  <c r="W113" i="42" s="1"/>
  <c r="U113" i="42"/>
  <c r="Q105" i="42"/>
  <c r="P105" i="42"/>
  <c r="R105" i="42"/>
  <c r="W105" i="42" s="1"/>
  <c r="U105" i="42"/>
  <c r="Q97" i="42"/>
  <c r="P97" i="42"/>
  <c r="R97" i="42"/>
  <c r="W97" i="42" s="1"/>
  <c r="U97" i="42"/>
  <c r="Q89" i="42"/>
  <c r="P89" i="42"/>
  <c r="R89" i="42"/>
  <c r="W89" i="42" s="1"/>
  <c r="U89" i="42"/>
  <c r="Q81" i="42"/>
  <c r="P81" i="42"/>
  <c r="R81" i="42"/>
  <c r="W81" i="42" s="1"/>
  <c r="U81" i="42"/>
  <c r="Q73" i="42"/>
  <c r="P73" i="42"/>
  <c r="R73" i="42"/>
  <c r="W73" i="42" s="1"/>
  <c r="U73" i="42"/>
  <c r="Q65" i="42"/>
  <c r="P65" i="42"/>
  <c r="R65" i="42"/>
  <c r="W65" i="42" s="1"/>
  <c r="U65" i="42"/>
  <c r="Q57" i="42"/>
  <c r="P57" i="42"/>
  <c r="R57" i="42"/>
  <c r="W57" i="42" s="1"/>
  <c r="U57" i="42"/>
  <c r="Q49" i="42"/>
  <c r="P49" i="42"/>
  <c r="R49" i="42"/>
  <c r="W49" i="42" s="1"/>
  <c r="U49" i="42"/>
  <c r="Q41" i="42"/>
  <c r="P41" i="42"/>
  <c r="R41" i="42"/>
  <c r="W41" i="42" s="1"/>
  <c r="U41" i="42"/>
  <c r="Q33" i="42"/>
  <c r="P33" i="42"/>
  <c r="R33" i="42"/>
  <c r="W33" i="42" s="1"/>
  <c r="U33" i="42"/>
  <c r="Q25" i="42"/>
  <c r="P25" i="42"/>
  <c r="R25" i="42"/>
  <c r="W25" i="42" s="1"/>
  <c r="U25" i="42"/>
  <c r="Q17" i="42"/>
  <c r="P17" i="42"/>
  <c r="R17" i="42"/>
  <c r="W17" i="42" s="1"/>
  <c r="U17" i="42"/>
  <c r="P12" i="42"/>
  <c r="Q12" i="42" s="1"/>
  <c r="V12" i="42"/>
  <c r="N238" i="52"/>
  <c r="U238" i="52" s="1"/>
  <c r="N154" i="52"/>
  <c r="U154" i="52" s="1"/>
  <c r="N174" i="52"/>
  <c r="U174" i="52" s="1"/>
  <c r="N90" i="52"/>
  <c r="U90" i="52" s="1"/>
  <c r="K100"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F155" i="22" s="1"/>
  <c r="D108" i="36" s="1"/>
  <c r="D148" i="36" s="1"/>
  <c r="I146" i="22"/>
  <c r="K108" i="36"/>
  <c r="K106" i="36"/>
  <c r="K104" i="36"/>
  <c r="K102"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W253" i="42"/>
  <c r="W241" i="42"/>
  <c r="W221" i="42"/>
  <c r="W120" i="42"/>
  <c r="W88" i="42"/>
  <c r="W72" i="42"/>
  <c r="W56" i="42"/>
  <c r="W40" i="42"/>
  <c r="W126" i="42"/>
  <c r="W110" i="42"/>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H150" i="22" s="1"/>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U24" i="55" s="1"/>
  <c r="R244" i="55"/>
  <c r="S221" i="55"/>
  <c r="S193" i="55"/>
  <c r="S161" i="55"/>
  <c r="S129" i="55"/>
  <c r="S105" i="55"/>
  <c r="R84" i="55"/>
  <c r="N64" i="55"/>
  <c r="U64" i="55" s="1"/>
  <c r="R41" i="55"/>
  <c r="N20" i="55"/>
  <c r="U20" i="55" s="1"/>
  <c r="R240" i="55"/>
  <c r="R217" i="55"/>
  <c r="R189" i="55"/>
  <c r="S157" i="55"/>
  <c r="R125" i="55"/>
  <c r="R104" i="55"/>
  <c r="N81" i="55"/>
  <c r="U81" i="55" s="1"/>
  <c r="R60" i="55"/>
  <c r="S40" i="55"/>
  <c r="N17" i="55"/>
  <c r="U17" i="55" s="1"/>
  <c r="R237" i="55"/>
  <c r="R216" i="55"/>
  <c r="R185" i="55"/>
  <c r="S153" i="55"/>
  <c r="N121" i="55"/>
  <c r="U121" i="55" s="1"/>
  <c r="R100" i="55"/>
  <c r="R80" i="55"/>
  <c r="N57" i="55"/>
  <c r="U57" i="55" s="1"/>
  <c r="S36" i="55"/>
  <c r="R16" i="55"/>
  <c r="R213" i="55"/>
  <c r="R181" i="55"/>
  <c r="S149" i="55"/>
  <c r="N120" i="55"/>
  <c r="U120" i="55" s="1"/>
  <c r="S97" i="55"/>
  <c r="N76" i="55"/>
  <c r="U76" i="55" s="1"/>
  <c r="R56" i="55"/>
  <c r="N33" i="55"/>
  <c r="U33" i="55" s="1"/>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U25" i="55" s="1"/>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V156" i="22" s="1"/>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U31" i="55" s="1"/>
  <c r="R27" i="55"/>
  <c r="N23" i="55"/>
  <c r="U23" i="55" s="1"/>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R14" i="55"/>
  <c r="R13" i="55"/>
  <c r="S12" i="55"/>
  <c r="N11" i="55"/>
  <c r="U11" i="55" s="1"/>
  <c r="N10" i="55"/>
  <c r="R11" i="52"/>
  <c r="AK10" i="55" a="1"/>
  <c r="AK10" i="55" s="1"/>
  <c r="B12" i="57" s="1"/>
  <c r="AK10" i="52" a="1"/>
  <c r="AK10" i="52" s="1"/>
  <c r="B12" i="53" s="1"/>
  <c r="AJ10" i="55" a="1"/>
  <c r="AJ10" i="55" s="1"/>
  <c r="AJ11" i="55" s="1" a="1"/>
  <c r="AJ11" i="55" s="1"/>
  <c r="T258" i="55"/>
  <c r="AJ10" i="52" a="1"/>
  <c r="AJ10" i="52" s="1"/>
  <c r="AJ11" i="52" s="1" a="1"/>
  <c r="AJ11" i="52" s="1"/>
  <c r="T258" i="52"/>
  <c r="R13" i="42" l="1"/>
  <c r="M3" i="42"/>
  <c r="F153" i="22"/>
  <c r="D106" i="36" s="1"/>
  <c r="D146" i="36" s="1"/>
  <c r="F154" i="22"/>
  <c r="D107" i="36" s="1"/>
  <c r="D147" i="36" s="1"/>
  <c r="W146" i="22"/>
  <c r="W147" i="22"/>
  <c r="L12" i="53"/>
  <c r="P12" i="57"/>
  <c r="C12" i="57"/>
  <c r="M12" i="57" s="1"/>
  <c r="T12" i="42"/>
  <c r="U12" i="42" s="1"/>
  <c r="Y12" i="58"/>
  <c r="W158" i="22"/>
  <c r="W153" i="22"/>
  <c r="F146" i="22"/>
  <c r="D99" i="36" s="1"/>
  <c r="W14" i="42"/>
  <c r="W15" i="42"/>
  <c r="W255" i="42"/>
  <c r="R10" i="52"/>
  <c r="H148" i="22"/>
  <c r="T146" i="22"/>
  <c r="D119" i="36" s="1"/>
  <c r="T147" i="22"/>
  <c r="D120" i="36" s="1"/>
  <c r="S10" i="52"/>
  <c r="W242" i="42"/>
  <c r="W250" i="42"/>
  <c r="W26" i="42"/>
  <c r="W226" i="42"/>
  <c r="W258" i="42"/>
  <c r="W63" i="42"/>
  <c r="W127" i="42"/>
  <c r="W150" i="42"/>
  <c r="W238" i="42"/>
  <c r="W246" i="42"/>
  <c r="W234" i="42"/>
  <c r="W236" i="42"/>
  <c r="W87" i="42"/>
  <c r="W191" i="42"/>
  <c r="F148" i="22"/>
  <c r="D101" i="36" s="1"/>
  <c r="D141" i="36" s="1"/>
  <c r="F149" i="22"/>
  <c r="D102" i="36" s="1"/>
  <c r="D142" i="36" s="1"/>
  <c r="W183" i="42"/>
  <c r="W124" i="42"/>
  <c r="F150" i="22"/>
  <c r="D103" i="36" s="1"/>
  <c r="D14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D145" i="36" s="1"/>
  <c r="L102" i="36"/>
  <c r="L108" i="36"/>
  <c r="F158" i="22"/>
  <c r="D111" i="36" s="1"/>
  <c r="F151" i="22"/>
  <c r="D104" i="36" s="1"/>
  <c r="D144" i="36" s="1"/>
  <c r="N227" i="55"/>
  <c r="U227" i="55" s="1"/>
  <c r="W231" i="42"/>
  <c r="W189" i="42"/>
  <c r="W136" i="42"/>
  <c r="W144" i="42"/>
  <c r="W168" i="42"/>
  <c r="W240" i="42"/>
  <c r="W125" i="42"/>
  <c r="W142" i="42"/>
  <c r="W166" i="42"/>
  <c r="W206" i="42"/>
  <c r="W230" i="42"/>
  <c r="W29" i="42"/>
  <c r="W37" i="42"/>
  <c r="W52" i="42"/>
  <c r="W71" i="42"/>
  <c r="W92" i="42"/>
  <c r="W213" i="42"/>
  <c r="W93" i="42"/>
  <c r="W111" i="42"/>
  <c r="W146" i="42"/>
  <c r="W218" i="42"/>
  <c r="W149" i="42"/>
  <c r="W68" i="42"/>
  <c r="W95" i="42"/>
  <c r="W207" i="42"/>
  <c r="W205" i="42"/>
  <c r="W101" i="42"/>
  <c r="W119" i="42"/>
  <c r="W20" i="42"/>
  <c r="W158" i="42"/>
  <c r="W214" i="42"/>
  <c r="W181" i="42"/>
  <c r="W31" i="42"/>
  <c r="W55" i="42"/>
  <c r="W116" i="42"/>
  <c r="W223" i="42"/>
  <c r="W141" i="42"/>
  <c r="W173" i="42"/>
  <c r="W69" i="42"/>
  <c r="W108" i="42"/>
  <c r="W134" i="42"/>
  <c r="W198" i="42"/>
  <c r="W53" i="42"/>
  <c r="W229" i="42"/>
  <c r="W159" i="42"/>
  <c r="W21" i="42"/>
  <c r="W36" i="42"/>
  <c r="W167" i="42"/>
  <c r="W76" i="42"/>
  <c r="W165" i="42"/>
  <c r="F30" i="36"/>
  <c r="L12" i="57"/>
  <c r="N245" i="55"/>
  <c r="U245" i="55" s="1"/>
  <c r="N197" i="55"/>
  <c r="U197" i="55" s="1"/>
  <c r="S133" i="55"/>
  <c r="N65" i="55"/>
  <c r="U65" i="55" s="1"/>
  <c r="N193" i="55"/>
  <c r="U193" i="55" s="1"/>
  <c r="R96" i="55"/>
  <c r="N105" i="55"/>
  <c r="U105" i="55" s="1"/>
  <c r="S213" i="55"/>
  <c r="W16" i="42"/>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23" i="42"/>
  <c r="W44" i="42"/>
  <c r="W135" i="42"/>
  <c r="W100" i="42"/>
  <c r="W143" i="42"/>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R70" i="55"/>
  <c r="S70" i="55"/>
  <c r="S175" i="55"/>
  <c r="R175" i="55"/>
  <c r="S223" i="55"/>
  <c r="R223" i="55"/>
  <c r="N153" i="55"/>
  <c r="U153" i="55" s="1"/>
  <c r="R29" i="55"/>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22" i="4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S75" i="55"/>
  <c r="R248" i="55"/>
  <c r="S134" i="55"/>
  <c r="S166" i="55"/>
  <c r="S198" i="55"/>
  <c r="R17" i="55"/>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24" i="4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S57" i="55"/>
  <c r="S121" i="55"/>
  <c r="R28" i="55"/>
  <c r="S60" i="55"/>
  <c r="S92" i="55"/>
  <c r="S212" i="55"/>
  <c r="R257" i="55"/>
  <c r="R23" i="55"/>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28" i="4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30" i="4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R254" i="55"/>
  <c r="S11" i="52"/>
  <c r="U11" i="52" s="1"/>
  <c r="R36" i="55"/>
  <c r="S68" i="55"/>
  <c r="S100" i="55"/>
  <c r="S220" i="55"/>
  <c r="R31" i="55"/>
  <c r="S63" i="55"/>
  <c r="S130" i="55"/>
  <c r="S162" i="55"/>
  <c r="S194" i="55"/>
  <c r="R239" i="55"/>
  <c r="S101" i="52"/>
  <c r="R101" i="52"/>
  <c r="S15" i="52"/>
  <c r="R15" i="52"/>
  <c r="H151" i="22" s="1"/>
  <c r="W154" i="42"/>
  <c r="R17" i="52"/>
  <c r="S17" i="52"/>
  <c r="S49" i="52"/>
  <c r="R49" i="52"/>
  <c r="S81" i="52"/>
  <c r="R81" i="52"/>
  <c r="S113" i="52"/>
  <c r="R113" i="52"/>
  <c r="S145" i="52"/>
  <c r="R145" i="52"/>
  <c r="S177" i="52"/>
  <c r="R177" i="52"/>
  <c r="S209" i="52"/>
  <c r="R209" i="52"/>
  <c r="S241" i="52"/>
  <c r="R241" i="52"/>
  <c r="S27" i="52"/>
  <c r="R27" i="52"/>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U14" i="55" s="1"/>
  <c r="N142" i="55"/>
  <c r="U142" i="55" s="1"/>
  <c r="N206" i="55"/>
  <c r="U206" i="55" s="1"/>
  <c r="N12" i="55"/>
  <c r="U12" i="55" s="1"/>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U15" i="55" s="1"/>
  <c r="N103" i="55"/>
  <c r="U103" i="55" s="1"/>
  <c r="N233" i="55"/>
  <c r="U233" i="55" s="1"/>
  <c r="N252" i="55"/>
  <c r="U252" i="55" s="1"/>
  <c r="N21" i="55"/>
  <c r="N125" i="55"/>
  <c r="U125" i="55" s="1"/>
  <c r="N149" i="55"/>
  <c r="U149" i="55" s="1"/>
  <c r="N189" i="55"/>
  <c r="U189" i="55" s="1"/>
  <c r="N213" i="55"/>
  <c r="U213" i="55" s="1"/>
  <c r="N48" i="55"/>
  <c r="U48" i="55" s="1"/>
  <c r="N88" i="55"/>
  <c r="U88" i="55" s="1"/>
  <c r="N18" i="55"/>
  <c r="U18" i="55" s="1"/>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U19" i="55" s="1"/>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U29" i="55" s="1"/>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U16" i="55" s="1"/>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U13" i="55" s="1"/>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V146" i="22" s="1"/>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H154" i="22" l="1"/>
  <c r="H155" i="22"/>
  <c r="H146" i="22"/>
  <c r="H153" i="22"/>
  <c r="X146" i="22"/>
  <c r="X147" i="22"/>
  <c r="U21" i="55"/>
  <c r="T156" i="22"/>
  <c r="D129" i="36" s="1"/>
  <c r="D149" i="36" s="1"/>
  <c r="T158" i="22"/>
  <c r="D131" i="36" s="1"/>
  <c r="D151" i="36" s="1"/>
  <c r="N12" i="57"/>
  <c r="U10" i="55"/>
  <c r="N12" i="53"/>
  <c r="U10" i="52"/>
  <c r="H147" i="22"/>
  <c r="L13" i="57"/>
  <c r="AH12" i="53"/>
  <c r="Q12" i="57"/>
  <c r="T12" i="57" s="1"/>
  <c r="R12" i="42"/>
  <c r="W12" i="42" s="1"/>
  <c r="R12" i="53"/>
  <c r="Q12" i="53"/>
  <c r="R12" i="57"/>
  <c r="W12" i="58"/>
  <c r="X158" i="22"/>
  <c r="X153" i="22"/>
  <c r="V147" i="22"/>
  <c r="V158" i="22"/>
  <c r="H158" i="22"/>
  <c r="D139" i="36"/>
  <c r="D140" i="36"/>
  <c r="H152" i="22"/>
  <c r="H156" i="22"/>
  <c r="J146" i="22"/>
  <c r="AP12" i="57"/>
  <c r="W13" i="42"/>
  <c r="L152" i="22" s="1"/>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48" i="22" l="1"/>
  <c r="L150" i="22"/>
  <c r="O12" i="57"/>
  <c r="X12" i="57" s="1"/>
  <c r="AA12" i="57" s="1"/>
  <c r="O12" i="53"/>
  <c r="X12" i="53" s="1"/>
  <c r="AA12" i="53" s="1"/>
  <c r="AE12" i="53" s="1"/>
  <c r="L14" i="57"/>
  <c r="AC13"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C14" i="53"/>
  <c r="AC14" i="57"/>
  <c r="AB12" i="57"/>
  <c r="AC12" i="57" s="1"/>
  <c r="AE12" i="57"/>
  <c r="AF12" i="57" s="1"/>
  <c r="R14" i="57"/>
  <c r="R13" i="53"/>
  <c r="R14" i="53"/>
  <c r="F31" i="36"/>
  <c r="AD13" i="57"/>
  <c r="AP14" i="57"/>
  <c r="Q13" i="57"/>
  <c r="T13" i="57" s="1"/>
  <c r="AP13" i="57"/>
  <c r="N13" i="57"/>
  <c r="N14" i="57"/>
  <c r="AT13" i="53"/>
  <c r="N14" i="53"/>
  <c r="O14" i="53" s="1"/>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3" i="53" l="1"/>
  <c r="X13" i="53" s="1"/>
  <c r="AA13" i="53" s="1"/>
  <c r="AE13" i="53" s="1"/>
  <c r="O13" i="57"/>
  <c r="X13" i="57" s="1"/>
  <c r="AA13" i="57" s="1"/>
  <c r="O14" i="57"/>
  <c r="X14" i="57" s="1"/>
  <c r="L16" i="57"/>
  <c r="X14" i="53"/>
  <c r="AC15" i="57"/>
  <c r="R15" i="57"/>
  <c r="AG12" i="53"/>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B14" i="57" l="1"/>
  <c r="AA14" i="57"/>
  <c r="AF13" i="53"/>
  <c r="AB13" i="53"/>
  <c r="AC13" i="53" s="1"/>
  <c r="AA14" i="53"/>
  <c r="AE14" i="53" s="1"/>
  <c r="AF14" i="53" s="1"/>
  <c r="AB14" i="53"/>
  <c r="AE13" i="57"/>
  <c r="AF13" i="57" s="1"/>
  <c r="AB13" i="57"/>
  <c r="AE14" i="57"/>
  <c r="AF14" i="57" s="1"/>
  <c r="AC16" i="57"/>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O15" i="57" l="1"/>
  <c r="X15" i="57" s="1"/>
  <c r="N17" i="57"/>
  <c r="N17" i="53"/>
  <c r="O17" i="53" s="1"/>
  <c r="AG17" i="53" s="1"/>
  <c r="AC17" i="53"/>
  <c r="AC15" i="53"/>
  <c r="R16" i="53"/>
  <c r="AC16" i="53"/>
  <c r="AC17" i="57"/>
  <c r="R17" i="57"/>
  <c r="R15" i="53"/>
  <c r="R17" i="53"/>
  <c r="Q16" i="53"/>
  <c r="AD15" i="53"/>
  <c r="L18" i="57"/>
  <c r="AJ17" i="57"/>
  <c r="AP17" i="57"/>
  <c r="AJ13" i="57"/>
  <c r="AG14" i="57"/>
  <c r="N16" i="57"/>
  <c r="AD16" i="57"/>
  <c r="Q16" i="57"/>
  <c r="T16" i="57" s="1"/>
  <c r="AT15" i="53"/>
  <c r="Q15" i="53"/>
  <c r="N15" i="53"/>
  <c r="O15" i="53" s="1"/>
  <c r="AT16" i="53"/>
  <c r="AD16" i="53"/>
  <c r="N16" i="53"/>
  <c r="O16" i="53" s="1"/>
  <c r="AH17"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AE15" i="57" l="1"/>
  <c r="AF15" i="57" s="1"/>
  <c r="AA15" i="57"/>
  <c r="O16" i="57"/>
  <c r="X16" i="57" s="1"/>
  <c r="AA16" i="57" s="1"/>
  <c r="O17" i="57"/>
  <c r="AG17" i="57" s="1"/>
  <c r="N18" i="57"/>
  <c r="M18" i="53"/>
  <c r="N18" i="53" s="1"/>
  <c r="X17" i="53"/>
  <c r="AA17" i="53" s="1"/>
  <c r="AE17" i="53" s="1"/>
  <c r="AF17" i="53" s="1"/>
  <c r="X16" i="53"/>
  <c r="AB16" i="53" s="1"/>
  <c r="X15" i="53"/>
  <c r="AB15" i="57"/>
  <c r="AC18" i="57"/>
  <c r="R18" i="57"/>
  <c r="L19" i="57"/>
  <c r="AJ18"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R18" i="53" l="1"/>
  <c r="Q18" i="53"/>
  <c r="AT18" i="53"/>
  <c r="X17" i="57"/>
  <c r="N19" i="57"/>
  <c r="O18" i="57"/>
  <c r="AG18" i="57" s="1"/>
  <c r="AD18" i="53"/>
  <c r="AC18" i="53"/>
  <c r="N19" i="53"/>
  <c r="O19" i="53" s="1"/>
  <c r="AG19" i="53" s="1"/>
  <c r="M19" i="53"/>
  <c r="AC19" i="53" s="1"/>
  <c r="AH18" i="53"/>
  <c r="AB17" i="53"/>
  <c r="O18" i="53"/>
  <c r="AG18" i="53" s="1"/>
  <c r="AA16" i="53"/>
  <c r="AE16" i="53" s="1"/>
  <c r="AF16" i="53" s="1"/>
  <c r="AA15" i="53"/>
  <c r="AE15" i="53" s="1"/>
  <c r="AF15" i="53" s="1"/>
  <c r="AB15" i="53"/>
  <c r="AE16" i="57"/>
  <c r="AF16" i="57" s="1"/>
  <c r="AB16" i="57"/>
  <c r="AC19" i="57"/>
  <c r="R19" i="57"/>
  <c r="L20" i="57"/>
  <c r="AJ19"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7" i="57" l="1"/>
  <c r="AA17" i="57"/>
  <c r="Q19" i="53"/>
  <c r="AD19" i="53"/>
  <c r="AT19" i="53"/>
  <c r="R19" i="53"/>
  <c r="X19" i="53" s="1"/>
  <c r="AB19" i="53" s="1"/>
  <c r="AH19" i="53"/>
  <c r="AE17" i="57"/>
  <c r="AF17" i="57" s="1"/>
  <c r="O19" i="57"/>
  <c r="AG19" i="57" s="1"/>
  <c r="X18" i="57"/>
  <c r="N20" i="57"/>
  <c r="N20" i="53"/>
  <c r="M20" i="53"/>
  <c r="AH20" i="53" s="1"/>
  <c r="X18" i="53"/>
  <c r="AC20" i="57"/>
  <c r="R20" i="57"/>
  <c r="S116" i="22"/>
  <c r="E116" i="22"/>
  <c r="E120" i="22"/>
  <c r="S120" i="22"/>
  <c r="S112" i="22"/>
  <c r="E112" i="22"/>
  <c r="E121" i="22"/>
  <c r="S121" i="22"/>
  <c r="S113" i="22"/>
  <c r="E113" i="22"/>
  <c r="P54" i="11"/>
  <c r="Q54" i="11" s="1"/>
  <c r="P56" i="11"/>
  <c r="Q56" i="11" s="1"/>
  <c r="P57" i="11"/>
  <c r="Q57" i="11" s="1"/>
  <c r="L21" i="57"/>
  <c r="AJ20"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8" i="57" l="1"/>
  <c r="AA18" i="57"/>
  <c r="AD20" i="53"/>
  <c r="R20" i="53"/>
  <c r="Q20" i="53"/>
  <c r="X19" i="57"/>
  <c r="AE18" i="57"/>
  <c r="AF18" i="57" s="1"/>
  <c r="O20" i="57"/>
  <c r="AG20" i="57" s="1"/>
  <c r="N21" i="57"/>
  <c r="AT20" i="53"/>
  <c r="N21" i="53"/>
  <c r="M21" i="53"/>
  <c r="AH21" i="53" s="1"/>
  <c r="AA19" i="53"/>
  <c r="AE19" i="53" s="1"/>
  <c r="AF19" i="53" s="1"/>
  <c r="AB18" i="53"/>
  <c r="AA18" i="53"/>
  <c r="AE18" i="53" s="1"/>
  <c r="AF18" i="53" s="1"/>
  <c r="O20" i="53"/>
  <c r="AG20" i="53" s="1"/>
  <c r="AC20" i="53"/>
  <c r="AC21" i="57"/>
  <c r="R21" i="57"/>
  <c r="I120" i="22"/>
  <c r="I121" i="22"/>
  <c r="AH16" i="53"/>
  <c r="L22" i="57"/>
  <c r="AJ21" i="57"/>
  <c r="AP21" i="57"/>
  <c r="AJ16" i="57"/>
  <c r="AD21" i="57"/>
  <c r="AK21" i="52" a="1"/>
  <c r="AK21" i="52" s="1"/>
  <c r="B23" i="53" s="1"/>
  <c r="O23" i="53" s="1"/>
  <c r="Q21" i="57"/>
  <c r="T21" i="57" s="1"/>
  <c r="L22" i="53"/>
  <c r="P22" i="53"/>
  <c r="H22" i="53"/>
  <c r="F22" i="53"/>
  <c r="D22" i="53"/>
  <c r="G22" i="53"/>
  <c r="C22" i="53"/>
  <c r="J22" i="53"/>
  <c r="M22" i="53"/>
  <c r="N22" i="53" s="1"/>
  <c r="I22" i="53"/>
  <c r="E22" i="53"/>
  <c r="K22" i="53"/>
  <c r="K22" i="57"/>
  <c r="I22" i="57"/>
  <c r="H22" i="57"/>
  <c r="G22" i="57"/>
  <c r="E22" i="57"/>
  <c r="P22" i="57"/>
  <c r="D22" i="57"/>
  <c r="C22" i="57"/>
  <c r="M22" i="57" s="1"/>
  <c r="F22" i="57"/>
  <c r="J22" i="57"/>
  <c r="AK21" i="55" a="1"/>
  <c r="AK21" i="55" s="1"/>
  <c r="B23" i="57" s="1"/>
  <c r="AE19" i="57" l="1"/>
  <c r="AF19" i="57" s="1"/>
  <c r="AA19" i="57"/>
  <c r="AB19" i="57"/>
  <c r="X20" i="57"/>
  <c r="O21" i="57"/>
  <c r="AG21" i="57" s="1"/>
  <c r="N22" i="57"/>
  <c r="AT21" i="53"/>
  <c r="Q21" i="53"/>
  <c r="AC21" i="53"/>
  <c r="R21" i="53"/>
  <c r="AD21" i="53"/>
  <c r="X20" i="53"/>
  <c r="AC22" i="53"/>
  <c r="AC22" i="57"/>
  <c r="R22" i="57"/>
  <c r="R22" i="53"/>
  <c r="O22" i="53" s="1"/>
  <c r="AG22" i="53" s="1"/>
  <c r="L23" i="57"/>
  <c r="AJ22" i="57"/>
  <c r="AP22" i="57"/>
  <c r="AH15" i="53"/>
  <c r="AH22" i="53"/>
  <c r="AT22" i="53"/>
  <c r="N23" i="53"/>
  <c r="AD22" i="57"/>
  <c r="AD22" i="53"/>
  <c r="K23" i="57"/>
  <c r="I23" i="57"/>
  <c r="F23" i="57"/>
  <c r="C23" i="57"/>
  <c r="M23" i="57" s="1"/>
  <c r="P23" i="57"/>
  <c r="H23" i="57"/>
  <c r="D23" i="57"/>
  <c r="E23" i="57"/>
  <c r="G23" i="57"/>
  <c r="J23" i="57"/>
  <c r="Q22" i="53"/>
  <c r="Q22" i="57"/>
  <c r="T22" i="57" s="1"/>
  <c r="AK22" i="52" a="1"/>
  <c r="AK22" i="52" s="1"/>
  <c r="B24" i="53" s="1"/>
  <c r="O24" i="53" s="1"/>
  <c r="H23" i="53"/>
  <c r="G23" i="53"/>
  <c r="P23" i="53"/>
  <c r="E23" i="53"/>
  <c r="D23" i="53"/>
  <c r="M23" i="53"/>
  <c r="C23" i="53"/>
  <c r="K23" i="53"/>
  <c r="I23" i="53"/>
  <c r="L23" i="53"/>
  <c r="F23" i="53"/>
  <c r="J23" i="53"/>
  <c r="AK22" i="55" a="1"/>
  <c r="AK22" i="55" s="1"/>
  <c r="B24" i="57" s="1"/>
  <c r="O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E20" i="57" l="1"/>
  <c r="AF20" i="57" s="1"/>
  <c r="AA20" i="57"/>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AB20" i="57"/>
  <c r="X21" i="57"/>
  <c r="O22" i="57"/>
  <c r="AG22" i="57" s="1"/>
  <c r="N23" i="57"/>
  <c r="AB20" i="53"/>
  <c r="AA20" i="53"/>
  <c r="AE20" i="53" s="1"/>
  <c r="AF20" i="53" s="1"/>
  <c r="X22" i="53"/>
  <c r="AA22" i="53" s="1"/>
  <c r="AE22" i="53" s="1"/>
  <c r="AF22" i="53" s="1"/>
  <c r="O21" i="53"/>
  <c r="AG21" i="53" s="1"/>
  <c r="AE23" i="53"/>
  <c r="AC23" i="53"/>
  <c r="AC23" i="57"/>
  <c r="R23" i="57"/>
  <c r="R23" i="53"/>
  <c r="X23" i="53" s="1"/>
  <c r="AG24" i="57"/>
  <c r="L24" i="57"/>
  <c r="AJ23" i="57"/>
  <c r="AP23" i="57"/>
  <c r="AH23" i="53"/>
  <c r="AT23" i="53"/>
  <c r="AG23" i="53"/>
  <c r="N24" i="57"/>
  <c r="N24" i="53"/>
  <c r="AD23" i="57"/>
  <c r="AD23" i="53"/>
  <c r="AK23" i="52" a="1"/>
  <c r="AK23" i="52" s="1"/>
  <c r="B25" i="53" s="1"/>
  <c r="O25" i="53" s="1"/>
  <c r="H24" i="57"/>
  <c r="G24" i="57"/>
  <c r="E24" i="57"/>
  <c r="P24" i="57"/>
  <c r="D24" i="57"/>
  <c r="C24" i="57"/>
  <c r="M24" i="57" s="1"/>
  <c r="K24" i="57"/>
  <c r="I24" i="57"/>
  <c r="F24" i="57"/>
  <c r="J24" i="57"/>
  <c r="Q23" i="53"/>
  <c r="Q23" i="57"/>
  <c r="T23" i="57" s="1"/>
  <c r="L24" i="53"/>
  <c r="H24" i="53"/>
  <c r="F24" i="53"/>
  <c r="D24" i="53"/>
  <c r="P24" i="53"/>
  <c r="G24" i="53"/>
  <c r="C24" i="53"/>
  <c r="I24" i="53"/>
  <c r="M24" i="53"/>
  <c r="E24" i="53"/>
  <c r="J24" i="53"/>
  <c r="K24" i="53"/>
  <c r="AK23" i="55" a="1"/>
  <c r="AK23" i="55" s="1"/>
  <c r="B25" i="57" s="1"/>
  <c r="O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1" i="57" l="1"/>
  <c r="AA21" i="57"/>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AE21" i="57"/>
  <c r="AF21" i="57" s="1"/>
  <c r="O23" i="57"/>
  <c r="AG23" i="57" s="1"/>
  <c r="X21" i="53"/>
  <c r="AB23" i="53"/>
  <c r="AA23" i="53"/>
  <c r="AF23" i="53"/>
  <c r="AE24" i="53"/>
  <c r="AC24" i="53"/>
  <c r="AE24" i="57"/>
  <c r="AC24" i="57"/>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X24" i="53" s="1"/>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AG25" i="57"/>
  <c r="L25" i="57"/>
  <c r="AJ24" i="57"/>
  <c r="AP24" i="57"/>
  <c r="AH24" i="53"/>
  <c r="AT24" i="53"/>
  <c r="AG24" i="53"/>
  <c r="N25" i="57"/>
  <c r="N25" i="53"/>
  <c r="AD24" i="57"/>
  <c r="AD24" i="53"/>
  <c r="AK24" i="52" a="1"/>
  <c r="AK24" i="52" s="1"/>
  <c r="B26" i="53" s="1"/>
  <c r="O26" i="53" s="1"/>
  <c r="K25" i="57"/>
  <c r="J25" i="57"/>
  <c r="E25" i="57"/>
  <c r="P25" i="57"/>
  <c r="H25" i="57"/>
  <c r="F25" i="57"/>
  <c r="D25" i="57"/>
  <c r="G25" i="57"/>
  <c r="C25" i="57"/>
  <c r="M25" i="57" s="1"/>
  <c r="I25" i="57"/>
  <c r="Q24" i="53"/>
  <c r="Q24" i="57"/>
  <c r="T24" i="57" s="1"/>
  <c r="E25" i="53"/>
  <c r="C25" i="53"/>
  <c r="M25" i="53"/>
  <c r="K25" i="53"/>
  <c r="I25" i="53"/>
  <c r="G25" i="53"/>
  <c r="L25" i="53"/>
  <c r="F25" i="53"/>
  <c r="P25" i="53"/>
  <c r="J25" i="53"/>
  <c r="H25" i="53"/>
  <c r="D25" i="53"/>
  <c r="AK24" i="55" a="1"/>
  <c r="AK24" i="55" s="1"/>
  <c r="B26" i="57" s="1"/>
  <c r="O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2" i="57" l="1"/>
  <c r="AA22" i="57"/>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AE22" i="57"/>
  <c r="AF22" i="57" s="1"/>
  <c r="X23" i="57"/>
  <c r="AA21" i="53"/>
  <c r="AE21" i="53" s="1"/>
  <c r="AF21" i="53" s="1"/>
  <c r="AB21" i="53"/>
  <c r="X24" i="57"/>
  <c r="AA24" i="57" s="1"/>
  <c r="AB24" i="53"/>
  <c r="AA24" i="53"/>
  <c r="AF24" i="53"/>
  <c r="AE25" i="53"/>
  <c r="AC25" i="53"/>
  <c r="AE25" i="57"/>
  <c r="AC25" i="57"/>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X25" i="53" s="1"/>
  <c r="R13" i="63"/>
  <c r="W11" i="63"/>
  <c r="H27" i="36"/>
  <c r="R12" i="63"/>
  <c r="R11" i="63"/>
  <c r="G10" i="63"/>
  <c r="H21" i="36"/>
  <c r="AB12" i="68"/>
  <c r="X169" i="22" s="1"/>
  <c r="AG26" i="57"/>
  <c r="L26" i="57"/>
  <c r="AJ25" i="57"/>
  <c r="AP25" i="57"/>
  <c r="AG25" i="53"/>
  <c r="AH25" i="53"/>
  <c r="AT25" i="53"/>
  <c r="N26" i="57"/>
  <c r="N26" i="53"/>
  <c r="AD25" i="57"/>
  <c r="AD25" i="53"/>
  <c r="Q25" i="53"/>
  <c r="Q25" i="57"/>
  <c r="T25" i="57" s="1"/>
  <c r="AK25" i="52" a="1"/>
  <c r="AK25" i="52" s="1"/>
  <c r="B27" i="53" s="1"/>
  <c r="O27" i="53" s="1"/>
  <c r="G26" i="57"/>
  <c r="E26" i="57"/>
  <c r="P26" i="57"/>
  <c r="D26" i="57"/>
  <c r="C26" i="57"/>
  <c r="M26" i="57" s="1"/>
  <c r="K26" i="57"/>
  <c r="I26" i="57"/>
  <c r="H26" i="57"/>
  <c r="F26" i="57"/>
  <c r="J26" i="57"/>
  <c r="P26" i="53"/>
  <c r="L26" i="53"/>
  <c r="H26" i="53"/>
  <c r="D26" i="53"/>
  <c r="F26" i="53"/>
  <c r="I26" i="53"/>
  <c r="E26" i="53"/>
  <c r="K26" i="53"/>
  <c r="J26" i="53"/>
  <c r="M26" i="53"/>
  <c r="G26" i="53"/>
  <c r="C26" i="53"/>
  <c r="AK25" i="55" a="1"/>
  <c r="AK25" i="55" s="1"/>
  <c r="B27" i="57" s="1"/>
  <c r="O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AE23" i="57" l="1"/>
  <c r="AF23" i="57" s="1"/>
  <c r="AA23" i="57"/>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AB23" i="57"/>
  <c r="X25" i="57"/>
  <c r="AA25" i="57" s="1"/>
  <c r="AB24" i="57"/>
  <c r="AF24" i="57"/>
  <c r="AA25" i="53"/>
  <c r="AB25" i="53"/>
  <c r="AE26" i="53"/>
  <c r="AC26" i="53"/>
  <c r="AF25" i="53"/>
  <c r="AE26" i="57"/>
  <c r="AC26" i="57"/>
  <c r="R26" i="57"/>
  <c r="R26" i="53"/>
  <c r="X26" i="53" s="1"/>
  <c r="R10" i="63"/>
  <c r="V10" i="63"/>
  <c r="W10" i="63"/>
  <c r="Z15" i="64"/>
  <c r="Z14" i="64"/>
  <c r="Z13" i="64"/>
  <c r="Z12" i="64"/>
  <c r="L171" i="22" s="1"/>
  <c r="AG27" i="57"/>
  <c r="L27" i="57"/>
  <c r="AJ26" i="57"/>
  <c r="AP26" i="57"/>
  <c r="AH26" i="53"/>
  <c r="AT26" i="53"/>
  <c r="AG26" i="53"/>
  <c r="N27" i="57"/>
  <c r="N27" i="53"/>
  <c r="AD26" i="57"/>
  <c r="AD26" i="53"/>
  <c r="AK26" i="52" a="1"/>
  <c r="AK26" i="52" s="1"/>
  <c r="B28" i="53" s="1"/>
  <c r="O28" i="53" s="1"/>
  <c r="Q26" i="53"/>
  <c r="H27" i="53"/>
  <c r="G27" i="53"/>
  <c r="P27" i="53"/>
  <c r="E27" i="53"/>
  <c r="D27" i="53"/>
  <c r="M27" i="53"/>
  <c r="C27" i="53"/>
  <c r="L27" i="53"/>
  <c r="K27" i="53"/>
  <c r="I27" i="53"/>
  <c r="F27" i="53"/>
  <c r="J27" i="53"/>
  <c r="I27" i="57"/>
  <c r="F27" i="57"/>
  <c r="E27" i="57"/>
  <c r="C27" i="57"/>
  <c r="M27" i="57" s="1"/>
  <c r="K27" i="57"/>
  <c r="J27" i="57"/>
  <c r="P27" i="57"/>
  <c r="H27" i="57"/>
  <c r="D27" i="57"/>
  <c r="G27" i="57"/>
  <c r="Q26" i="57"/>
  <c r="T26" i="57" s="1"/>
  <c r="AK26" i="55" a="1"/>
  <c r="AK26" i="55" s="1"/>
  <c r="B28" i="57" s="1"/>
  <c r="O28" i="57" s="1"/>
  <c r="AN11" i="67" a="1"/>
  <c r="AN11" i="67" s="1"/>
  <c r="B12" i="69"/>
  <c r="R258" i="67"/>
  <c r="H22" i="73" s="1"/>
  <c r="V258" i="67"/>
  <c r="AM13" i="67" a="1"/>
  <c r="AM13" i="67" s="1"/>
  <c r="W258" i="67"/>
  <c r="L169" i="22" l="1"/>
  <c r="Y10" i="63"/>
  <c r="Y258" i="67"/>
  <c r="L12" i="69"/>
  <c r="O12" i="69"/>
  <c r="AB25" i="57"/>
  <c r="AF25" i="57"/>
  <c r="AB26" i="53"/>
  <c r="AA26" i="53"/>
  <c r="AF26" i="53"/>
  <c r="AE27" i="53"/>
  <c r="AC27" i="53"/>
  <c r="X26" i="57"/>
  <c r="AA26" i="57" s="1"/>
  <c r="AE27" i="57"/>
  <c r="AC27" i="57"/>
  <c r="L168" i="22"/>
  <c r="L172" i="22"/>
  <c r="R27" i="57"/>
  <c r="R27" i="53"/>
  <c r="X27" i="53" s="1"/>
  <c r="Z260" i="64"/>
  <c r="AG28" i="57"/>
  <c r="L28" i="57"/>
  <c r="AJ27" i="57"/>
  <c r="AP27" i="57"/>
  <c r="AG27" i="53"/>
  <c r="AH27" i="53"/>
  <c r="AT27" i="53"/>
  <c r="N28" i="57"/>
  <c r="P28" i="53"/>
  <c r="N28" i="53"/>
  <c r="AD27" i="57"/>
  <c r="AD27" i="53"/>
  <c r="F28" i="53"/>
  <c r="K28" i="53"/>
  <c r="E28" i="53"/>
  <c r="I28" i="53"/>
  <c r="M28" i="53"/>
  <c r="J28" i="53"/>
  <c r="G28" i="53"/>
  <c r="AK27" i="52" a="1"/>
  <c r="AK27" i="52" s="1"/>
  <c r="B29" i="53" s="1"/>
  <c r="O29" i="53" s="1"/>
  <c r="C28" i="53"/>
  <c r="H28" i="53"/>
  <c r="D28" i="53"/>
  <c r="L28" i="53"/>
  <c r="Q27" i="57"/>
  <c r="T27" i="57" s="1"/>
  <c r="Q27" i="53"/>
  <c r="I28" i="57"/>
  <c r="H28" i="57"/>
  <c r="G28" i="57"/>
  <c r="E28" i="57"/>
  <c r="P28" i="57"/>
  <c r="D28" i="57"/>
  <c r="C28" i="57"/>
  <c r="M28" i="57" s="1"/>
  <c r="K28" i="57"/>
  <c r="F28" i="57"/>
  <c r="J28" i="57"/>
  <c r="AK27" i="55" a="1"/>
  <c r="AK27" i="55" s="1"/>
  <c r="B29" i="57" s="1"/>
  <c r="O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L14" i="69" l="1"/>
  <c r="O14" i="69"/>
  <c r="L13" i="69"/>
  <c r="O13" i="69"/>
  <c r="X27" i="57"/>
  <c r="AA27" i="57" s="1"/>
  <c r="AB27" i="53"/>
  <c r="AA27" i="53"/>
  <c r="AF27" i="53"/>
  <c r="AE28" i="53"/>
  <c r="AC28" i="53"/>
  <c r="AF26" i="57"/>
  <c r="AB26" i="57"/>
  <c r="AC28" i="57"/>
  <c r="AE28" i="57"/>
  <c r="R28" i="57"/>
  <c r="R28" i="53"/>
  <c r="X28" i="53" s="1"/>
  <c r="N12" i="69"/>
  <c r="P72" i="11"/>
  <c r="Q72" i="11" s="1"/>
  <c r="P71" i="11"/>
  <c r="Q71" i="11" s="1"/>
  <c r="D113" i="22"/>
  <c r="P51" i="11"/>
  <c r="Q51" i="11" s="1"/>
  <c r="L29" i="57"/>
  <c r="AG29" i="57"/>
  <c r="AJ28" i="57"/>
  <c r="AP28" i="57"/>
  <c r="AG28" i="53"/>
  <c r="AH28" i="53"/>
  <c r="AT28" i="53"/>
  <c r="N29" i="57"/>
  <c r="N29" i="53"/>
  <c r="AD28" i="57"/>
  <c r="Q28" i="53"/>
  <c r="AD28" i="53"/>
  <c r="H29" i="53"/>
  <c r="F29" i="53"/>
  <c r="K29" i="53"/>
  <c r="C29" i="53"/>
  <c r="L29" i="53"/>
  <c r="G29" i="53"/>
  <c r="E29" i="53"/>
  <c r="D29" i="53"/>
  <c r="P29" i="53"/>
  <c r="M29" i="53"/>
  <c r="AK28" i="52" a="1"/>
  <c r="AK28" i="52" s="1"/>
  <c r="B30" i="53" s="1"/>
  <c r="O30" i="53" s="1"/>
  <c r="J29" i="53"/>
  <c r="I29" i="53"/>
  <c r="P29" i="57"/>
  <c r="J29" i="57"/>
  <c r="G29" i="57"/>
  <c r="H29" i="57"/>
  <c r="D29" i="57"/>
  <c r="C29" i="57"/>
  <c r="M29" i="57" s="1"/>
  <c r="F29" i="57"/>
  <c r="E29" i="57"/>
  <c r="K29" i="57"/>
  <c r="I29" i="57"/>
  <c r="Q28" i="57"/>
  <c r="T28" i="57" s="1"/>
  <c r="AK28" i="55" a="1"/>
  <c r="AK28" i="55" s="1"/>
  <c r="B30" i="57" s="1"/>
  <c r="O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O13" i="69" l="1"/>
  <c r="P13" i="69"/>
  <c r="AO14" i="69"/>
  <c r="P14" i="69"/>
  <c r="U12" i="69"/>
  <c r="AF12" i="69"/>
  <c r="AF27" i="57"/>
  <c r="AB27" i="57"/>
  <c r="AB28" i="53"/>
  <c r="AA28" i="53"/>
  <c r="AE29" i="53"/>
  <c r="AC29" i="53"/>
  <c r="AF28" i="53"/>
  <c r="X28" i="57"/>
  <c r="AE29" i="57"/>
  <c r="AC29" i="57"/>
  <c r="R29" i="57"/>
  <c r="R29" i="53"/>
  <c r="X29" i="53" s="1"/>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AG30" i="57"/>
  <c r="L30" i="57"/>
  <c r="AJ29" i="57"/>
  <c r="AP29" i="57"/>
  <c r="AH29" i="53"/>
  <c r="AT29" i="53"/>
  <c r="AG29" i="53"/>
  <c r="N30" i="57"/>
  <c r="L30" i="53"/>
  <c r="N30" i="53"/>
  <c r="AD29" i="57"/>
  <c r="AD29" i="53"/>
  <c r="Q29" i="53"/>
  <c r="AK29" i="52" a="1"/>
  <c r="AK29" i="52" s="1"/>
  <c r="B31" i="53" s="1"/>
  <c r="O31" i="53" s="1"/>
  <c r="G30" i="53"/>
  <c r="I30" i="53"/>
  <c r="P30" i="53"/>
  <c r="M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O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8" i="57" l="1"/>
  <c r="AA28" i="57"/>
  <c r="L15" i="69"/>
  <c r="O15" i="69"/>
  <c r="G12" i="69"/>
  <c r="H12" i="69" s="1"/>
  <c r="I12" i="69" s="1"/>
  <c r="J12" i="69" s="1"/>
  <c r="K12" i="69" s="1"/>
  <c r="M12" i="69" s="1"/>
  <c r="L16" i="69"/>
  <c r="O16" i="69"/>
  <c r="X29" i="57"/>
  <c r="AA29" i="57" s="1"/>
  <c r="AA29" i="53"/>
  <c r="AB29" i="53"/>
  <c r="AE30" i="53"/>
  <c r="AC30" i="53"/>
  <c r="AF29" i="53"/>
  <c r="AF28" i="57"/>
  <c r="AE30" i="57"/>
  <c r="AC30" i="57"/>
  <c r="R30" i="57"/>
  <c r="R30" i="53"/>
  <c r="X30" i="53" s="1"/>
  <c r="AX14" i="69"/>
  <c r="I126" i="22"/>
  <c r="AX13" i="69"/>
  <c r="AG31" i="57"/>
  <c r="L31" i="57"/>
  <c r="AJ30" i="57"/>
  <c r="AP30" i="57"/>
  <c r="AH30" i="53"/>
  <c r="AT30" i="53"/>
  <c r="AG30" i="53"/>
  <c r="N31" i="57"/>
  <c r="N31" i="53"/>
  <c r="AD30" i="57"/>
  <c r="AD30" i="53"/>
  <c r="Q30" i="53"/>
  <c r="AK30" i="52" a="1"/>
  <c r="AK30" i="52" s="1"/>
  <c r="B32" i="53" s="1"/>
  <c r="O32" i="53" s="1"/>
  <c r="F31" i="53"/>
  <c r="K31" i="53"/>
  <c r="M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O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Y12" i="69" l="1"/>
  <c r="AG12" i="69" s="1"/>
  <c r="AB13" i="69"/>
  <c r="AC13" i="69" s="1"/>
  <c r="AD13" i="69" s="1"/>
  <c r="AG13" i="69"/>
  <c r="AG14" i="69"/>
  <c r="AO16" i="69"/>
  <c r="P16" i="69"/>
  <c r="AF29" i="57"/>
  <c r="AB29" i="57"/>
  <c r="AE31" i="53"/>
  <c r="AC31" i="53"/>
  <c r="AF30" i="53"/>
  <c r="AB30" i="53"/>
  <c r="AA30" i="53"/>
  <c r="X30" i="57"/>
  <c r="AE31" i="57"/>
  <c r="AC31" i="57"/>
  <c r="R31" i="57"/>
  <c r="R31" i="53"/>
  <c r="X31" i="53" s="1"/>
  <c r="N15" i="69"/>
  <c r="AF15" i="69" s="1"/>
  <c r="AO15" i="69"/>
  <c r="E128" i="22"/>
  <c r="S128" i="22"/>
  <c r="AG32" i="57"/>
  <c r="L32" i="57"/>
  <c r="AJ31" i="57"/>
  <c r="AP31" i="57"/>
  <c r="AG31" i="53"/>
  <c r="AH31" i="53"/>
  <c r="AT31" i="53"/>
  <c r="N32" i="57"/>
  <c r="N32" i="53"/>
  <c r="AD31" i="57"/>
  <c r="AD31" i="53"/>
  <c r="AK31" i="52" a="1"/>
  <c r="AK31" i="52" s="1"/>
  <c r="B33" i="53" s="1"/>
  <c r="O33" i="53" s="1"/>
  <c r="L32" i="53"/>
  <c r="C32" i="53"/>
  <c r="G32" i="53"/>
  <c r="P32" i="53"/>
  <c r="E32" i="53"/>
  <c r="F32" i="53"/>
  <c r="Q31" i="53"/>
  <c r="J32" i="53"/>
  <c r="M32" i="53"/>
  <c r="I32" i="53"/>
  <c r="H32" i="53"/>
  <c r="D32" i="53"/>
  <c r="K32" i="53"/>
  <c r="H32" i="57"/>
  <c r="G32" i="57"/>
  <c r="E32" i="57"/>
  <c r="P32" i="57"/>
  <c r="D32" i="57"/>
  <c r="C32" i="57"/>
  <c r="M32" i="57" s="1"/>
  <c r="K32" i="57"/>
  <c r="I32" i="57"/>
  <c r="F32" i="57"/>
  <c r="J32" i="57"/>
  <c r="Q31" i="57"/>
  <c r="T31" i="57" s="1"/>
  <c r="AK31" i="55" a="1"/>
  <c r="AK31" i="55" s="1"/>
  <c r="B33" i="57" s="1"/>
  <c r="O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B30" i="57" l="1"/>
  <c r="AA30" i="57"/>
  <c r="AB12" i="69"/>
  <c r="AC12" i="69" s="1"/>
  <c r="AD12" i="69" s="1"/>
  <c r="L18" i="69"/>
  <c r="O18" i="69"/>
  <c r="L17" i="69"/>
  <c r="O17" i="69"/>
  <c r="W8" i="78"/>
  <c r="U8" i="78"/>
  <c r="W7" i="78"/>
  <c r="U7" i="78"/>
  <c r="W6" i="78"/>
  <c r="U6" i="78"/>
  <c r="U11" i="71"/>
  <c r="AB31" i="53"/>
  <c r="AA31" i="53"/>
  <c r="AE32" i="53"/>
  <c r="AC32" i="53"/>
  <c r="AF31" i="53"/>
  <c r="AF30" i="57"/>
  <c r="X31" i="57"/>
  <c r="AC32" i="57"/>
  <c r="AE32" i="57"/>
  <c r="AX15" i="69"/>
  <c r="R32" i="57"/>
  <c r="R32" i="53"/>
  <c r="X32" i="53" s="1"/>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AG33" i="57"/>
  <c r="L33" i="57"/>
  <c r="AJ32" i="57"/>
  <c r="AP32" i="57"/>
  <c r="AG32" i="53"/>
  <c r="AH32" i="53"/>
  <c r="AT32" i="53"/>
  <c r="N33" i="57"/>
  <c r="K33" i="53"/>
  <c r="N33" i="53"/>
  <c r="AD32" i="57"/>
  <c r="AD32" i="53"/>
  <c r="AK32" i="52" a="1"/>
  <c r="AK32" i="52" s="1"/>
  <c r="B34" i="53" s="1"/>
  <c r="O34" i="53" s="1"/>
  <c r="H33" i="53"/>
  <c r="G33" i="53"/>
  <c r="Q32" i="53"/>
  <c r="L33" i="53"/>
  <c r="F33" i="53"/>
  <c r="I33" i="53"/>
  <c r="J33" i="53"/>
  <c r="E33" i="53"/>
  <c r="M33" i="53"/>
  <c r="P33" i="53"/>
  <c r="D33" i="53"/>
  <c r="C33" i="53"/>
  <c r="K33" i="57"/>
  <c r="J33" i="57"/>
  <c r="E33" i="57"/>
  <c r="P33" i="57"/>
  <c r="C33" i="57"/>
  <c r="M33" i="57" s="1"/>
  <c r="H33" i="57"/>
  <c r="I33" i="57"/>
  <c r="D33" i="57"/>
  <c r="F33" i="57"/>
  <c r="G33" i="57"/>
  <c r="Q32" i="57"/>
  <c r="T32" i="57" s="1"/>
  <c r="AK32" i="55" a="1"/>
  <c r="AK32" i="55" s="1"/>
  <c r="B34" i="57" s="1"/>
  <c r="O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AB31" i="57"/>
  <c r="AA31" i="57"/>
  <c r="AO18" i="69"/>
  <c r="P18" i="69"/>
  <c r="AO17" i="69"/>
  <c r="P17" i="69"/>
  <c r="AG16" i="69"/>
  <c r="G15" i="69"/>
  <c r="H15" i="69" s="1"/>
  <c r="I15" i="69" s="1"/>
  <c r="J15" i="69" s="1"/>
  <c r="K15" i="69" s="1"/>
  <c r="M15" i="69" s="1"/>
  <c r="X32" i="57"/>
  <c r="W9" i="78"/>
  <c r="AB32" i="53"/>
  <c r="AA32" i="53"/>
  <c r="AE33" i="53"/>
  <c r="AC33" i="53"/>
  <c r="AF32" i="53"/>
  <c r="AF31" i="57"/>
  <c r="AE33" i="57"/>
  <c r="AC33" i="57"/>
  <c r="R33" i="57"/>
  <c r="R33" i="53"/>
  <c r="X33" i="53" s="1"/>
  <c r="C19" i="69"/>
  <c r="P19" i="69" s="1"/>
  <c r="L19" i="69"/>
  <c r="AG34" i="57"/>
  <c r="L34" i="57"/>
  <c r="AJ33" i="57"/>
  <c r="AP33" i="57"/>
  <c r="AG33" i="53"/>
  <c r="AH33" i="53"/>
  <c r="AT33" i="53"/>
  <c r="N34" i="57"/>
  <c r="N34" i="53"/>
  <c r="AD33" i="57"/>
  <c r="AD33" i="53"/>
  <c r="AK33" i="52" a="1"/>
  <c r="AK33" i="52" s="1"/>
  <c r="B35" i="53" s="1"/>
  <c r="O35" i="53" s="1"/>
  <c r="Q33" i="53"/>
  <c r="F34" i="53"/>
  <c r="H34" i="53"/>
  <c r="D34" i="53"/>
  <c r="C34" i="53"/>
  <c r="M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O35" i="57" s="1"/>
  <c r="AN18" i="67" a="1"/>
  <c r="AN18" i="67" s="1"/>
  <c r="B20" i="69" s="1"/>
  <c r="O20" i="69" s="1"/>
  <c r="D18" i="69"/>
  <c r="E18" i="69" s="1"/>
  <c r="F18" i="69" s="1"/>
  <c r="G18" i="69" s="1"/>
  <c r="H18" i="69" s="1"/>
  <c r="I18" i="69" s="1"/>
  <c r="J18" i="69" s="1"/>
  <c r="K18" i="69" s="1"/>
  <c r="M18" i="69" s="1"/>
  <c r="N18" i="69"/>
  <c r="AF18" i="69" s="1"/>
  <c r="N17" i="69"/>
  <c r="AF17" i="69" s="1"/>
  <c r="D17" i="69"/>
  <c r="AF32" i="57" l="1"/>
  <c r="AA32" i="57"/>
  <c r="Y15" i="69"/>
  <c r="X33" i="57"/>
  <c r="AB32" i="57"/>
  <c r="AA33" i="53"/>
  <c r="AB33" i="53"/>
  <c r="AE34" i="53"/>
  <c r="AC34" i="53"/>
  <c r="AF33" i="53"/>
  <c r="AE34" i="57"/>
  <c r="AC34" i="57"/>
  <c r="R34" i="57"/>
  <c r="R34" i="53"/>
  <c r="X34" i="53" s="1"/>
  <c r="N19" i="69"/>
  <c r="AF19" i="69" s="1"/>
  <c r="AO19" i="69"/>
  <c r="D19" i="69"/>
  <c r="E19" i="69" s="1"/>
  <c r="F19" i="69" s="1"/>
  <c r="G19" i="69" s="1"/>
  <c r="H19" i="69" s="1"/>
  <c r="I19" i="69" s="1"/>
  <c r="J19" i="69" s="1"/>
  <c r="K19" i="69" s="1"/>
  <c r="M19" i="69"/>
  <c r="AX18" i="69"/>
  <c r="L20" i="69"/>
  <c r="AX17" i="69"/>
  <c r="AG35" i="57"/>
  <c r="L35" i="57"/>
  <c r="AJ34" i="57"/>
  <c r="AP34" i="57"/>
  <c r="AH34" i="53"/>
  <c r="AT34" i="53"/>
  <c r="AG34" i="53"/>
  <c r="N35" i="57"/>
  <c r="E35" i="53"/>
  <c r="N35" i="53"/>
  <c r="AH18" i="69"/>
  <c r="AH17" i="69"/>
  <c r="AD34" i="57"/>
  <c r="AD34" i="53"/>
  <c r="Q34" i="53"/>
  <c r="J35" i="53"/>
  <c r="K35" i="53"/>
  <c r="M35" i="53"/>
  <c r="P35" i="53"/>
  <c r="F35" i="53"/>
  <c r="D35" i="53"/>
  <c r="G35" i="53"/>
  <c r="H35" i="53"/>
  <c r="L35" i="53"/>
  <c r="AK34" i="52" a="1"/>
  <c r="AK34" i="52" s="1"/>
  <c r="B36" i="53" s="1"/>
  <c r="O36" i="53" s="1"/>
  <c r="I35" i="53"/>
  <c r="C35" i="53"/>
  <c r="I35" i="57"/>
  <c r="F35" i="57"/>
  <c r="E35" i="57"/>
  <c r="C35" i="57"/>
  <c r="M35" i="57" s="1"/>
  <c r="K35" i="57"/>
  <c r="J35" i="57"/>
  <c r="H35" i="57"/>
  <c r="D35" i="57"/>
  <c r="G35" i="57"/>
  <c r="P35" i="57"/>
  <c r="Q34" i="57"/>
  <c r="T34" i="57" s="1"/>
  <c r="AK34" i="55" a="1"/>
  <c r="AK34" i="55" s="1"/>
  <c r="B36" i="57" s="1"/>
  <c r="O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AF33" i="57" l="1"/>
  <c r="AA33" i="57"/>
  <c r="AB18" i="69"/>
  <c r="AC18" i="69" s="1"/>
  <c r="AD18" i="69" s="1"/>
  <c r="AG18" i="69"/>
  <c r="Y17" i="69"/>
  <c r="AB15" i="69"/>
  <c r="AC15" i="69" s="1"/>
  <c r="AD15" i="69" s="1"/>
  <c r="AG15" i="69"/>
  <c r="AB33" i="57"/>
  <c r="X34" i="57"/>
  <c r="AA34" i="57" s="1"/>
  <c r="AB34" i="53"/>
  <c r="AA34" i="53"/>
  <c r="AF34" i="53"/>
  <c r="AE35" i="53"/>
  <c r="AC35" i="53"/>
  <c r="AE35" i="57"/>
  <c r="AC35" i="57"/>
  <c r="R35" i="57"/>
  <c r="R35" i="53"/>
  <c r="X35" i="53" s="1"/>
  <c r="AH19" i="69"/>
  <c r="U19" i="69"/>
  <c r="Q19" i="69"/>
  <c r="R19" i="69"/>
  <c r="S19" i="69" s="1"/>
  <c r="Y19" i="69" s="1"/>
  <c r="AE19" i="69"/>
  <c r="AX19" i="69"/>
  <c r="D20" i="69"/>
  <c r="E20" i="69" s="1"/>
  <c r="F20" i="69" s="1"/>
  <c r="G20" i="69" s="1"/>
  <c r="H20" i="69" s="1"/>
  <c r="I20" i="69" s="1"/>
  <c r="J20" i="69" s="1"/>
  <c r="K20" i="69" s="1"/>
  <c r="AO20" i="69"/>
  <c r="M20" i="69"/>
  <c r="L21" i="69"/>
  <c r="AG36" i="57"/>
  <c r="L36" i="57"/>
  <c r="AJ35" i="57"/>
  <c r="AP35" i="57"/>
  <c r="AH35" i="53"/>
  <c r="AT35" i="53"/>
  <c r="AG35" i="53"/>
  <c r="N36" i="57"/>
  <c r="L36" i="53"/>
  <c r="N36" i="53"/>
  <c r="AD35" i="57"/>
  <c r="Q35" i="53"/>
  <c r="AD35" i="53"/>
  <c r="AK35" i="52" a="1"/>
  <c r="AK35" i="52" s="1"/>
  <c r="B37" i="53" s="1"/>
  <c r="O37" i="53" s="1"/>
  <c r="C36" i="53"/>
  <c r="J36" i="53"/>
  <c r="F36" i="53"/>
  <c r="I36" i="53"/>
  <c r="G36" i="53"/>
  <c r="D36" i="53"/>
  <c r="H36" i="53"/>
  <c r="E36" i="53"/>
  <c r="K36" i="53"/>
  <c r="P36" i="53"/>
  <c r="M36" i="53"/>
  <c r="I36" i="57"/>
  <c r="H36" i="57"/>
  <c r="G36" i="57"/>
  <c r="E36" i="57"/>
  <c r="P36" i="57"/>
  <c r="D36" i="57"/>
  <c r="C36" i="57"/>
  <c r="M36" i="57" s="1"/>
  <c r="K36" i="57"/>
  <c r="F36" i="57"/>
  <c r="J36" i="57"/>
  <c r="Q35" i="57"/>
  <c r="T35" i="57" s="1"/>
  <c r="AK35" i="55" a="1"/>
  <c r="AK35" i="55" s="1"/>
  <c r="B37" i="57" s="1"/>
  <c r="O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AB19" i="69" l="1"/>
  <c r="AC19" i="69" s="1"/>
  <c r="AD19" i="69" s="1"/>
  <c r="AG19" i="69"/>
  <c r="AB17" i="69"/>
  <c r="AC17" i="69" s="1"/>
  <c r="AD17" i="69" s="1"/>
  <c r="AG17" i="69"/>
  <c r="AF34" i="57"/>
  <c r="AB34" i="57"/>
  <c r="X35" i="57"/>
  <c r="AB35" i="53"/>
  <c r="AA35" i="53"/>
  <c r="AE36" i="53"/>
  <c r="AC36" i="53"/>
  <c r="AF35" i="53"/>
  <c r="AC36" i="57"/>
  <c r="AE36" i="57"/>
  <c r="R36" i="57"/>
  <c r="R36" i="53"/>
  <c r="X36" i="53" s="1"/>
  <c r="D21" i="69"/>
  <c r="E21" i="69" s="1"/>
  <c r="F21" i="69" s="1"/>
  <c r="G21" i="69" s="1"/>
  <c r="H21" i="69" s="1"/>
  <c r="I21" i="69" s="1"/>
  <c r="J21" i="69" s="1"/>
  <c r="K21" i="69" s="1"/>
  <c r="AO21" i="69"/>
  <c r="D112" i="22"/>
  <c r="P52" i="11"/>
  <c r="Q52" i="11" s="1"/>
  <c r="M21" i="69"/>
  <c r="AX20" i="69"/>
  <c r="L37" i="57"/>
  <c r="AG37" i="57"/>
  <c r="AJ36" i="57"/>
  <c r="AP36" i="57"/>
  <c r="AG36" i="53"/>
  <c r="AH36" i="53"/>
  <c r="AT36" i="53"/>
  <c r="N37" i="57"/>
  <c r="N37" i="53"/>
  <c r="AH20" i="69"/>
  <c r="AD36" i="57"/>
  <c r="Q36" i="53"/>
  <c r="AD36" i="53"/>
  <c r="I37" i="53"/>
  <c r="C37" i="53"/>
  <c r="F37" i="53"/>
  <c r="L37" i="53"/>
  <c r="K37" i="53"/>
  <c r="E37" i="53"/>
  <c r="P37" i="53"/>
  <c r="H37" i="53"/>
  <c r="M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5" i="57" l="1"/>
  <c r="AA35" i="57"/>
  <c r="L23" i="69"/>
  <c r="O23" i="69"/>
  <c r="AG20" i="69"/>
  <c r="AF35" i="57"/>
  <c r="AB36" i="53"/>
  <c r="AA36" i="53"/>
  <c r="AF36" i="53"/>
  <c r="AE37" i="53"/>
  <c r="AC37" i="53"/>
  <c r="X36" i="57"/>
  <c r="AE37" i="57"/>
  <c r="AC37" i="57"/>
  <c r="R37" i="57"/>
  <c r="R37" i="53"/>
  <c r="X37" i="53" s="1"/>
  <c r="L22" i="69"/>
  <c r="AX21" i="69"/>
  <c r="AG38" i="57"/>
  <c r="L38" i="57"/>
  <c r="AJ37" i="57"/>
  <c r="AP37" i="57"/>
  <c r="AG37" i="53"/>
  <c r="AH37" i="53"/>
  <c r="AT37" i="53"/>
  <c r="N38" i="57"/>
  <c r="H38" i="53"/>
  <c r="N38" i="53"/>
  <c r="Q21" i="69"/>
  <c r="AH21" i="69"/>
  <c r="AD37" i="57"/>
  <c r="Q37" i="53"/>
  <c r="AD37" i="53"/>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AB36" i="57" l="1"/>
  <c r="AA36" i="57"/>
  <c r="AB21" i="69"/>
  <c r="AC21" i="69" s="1"/>
  <c r="AD21" i="69" s="1"/>
  <c r="AG21" i="69"/>
  <c r="L24" i="69"/>
  <c r="O24" i="69"/>
  <c r="AO23" i="69"/>
  <c r="P23" i="69"/>
  <c r="AA37" i="53"/>
  <c r="AB37" i="53"/>
  <c r="AE38" i="53"/>
  <c r="AC38" i="53"/>
  <c r="AF37" i="53"/>
  <c r="X37" i="57"/>
  <c r="AF36" i="57"/>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AF37" i="57" l="1"/>
  <c r="AA37" i="57"/>
  <c r="AO24" i="69"/>
  <c r="P24" i="69"/>
  <c r="L25" i="69"/>
  <c r="O25" i="69"/>
  <c r="AB38" i="53"/>
  <c r="AA38" i="53"/>
  <c r="AE39" i="53"/>
  <c r="AC39" i="53"/>
  <c r="AF38" i="53"/>
  <c r="AB37" i="57"/>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X39" i="57" s="1"/>
  <c r="AA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8" i="57" l="1"/>
  <c r="AA38" i="57"/>
  <c r="AB23" i="69"/>
  <c r="AC23" i="69" s="1"/>
  <c r="AD23" i="69" s="1"/>
  <c r="AG23" i="69"/>
  <c r="L26" i="69"/>
  <c r="O26" i="69"/>
  <c r="AO25" i="69"/>
  <c r="P25" i="69"/>
  <c r="AG22" i="69"/>
  <c r="AB39" i="53"/>
  <c r="AA39" i="53"/>
  <c r="AF39" i="53"/>
  <c r="AE40" i="53"/>
  <c r="AC40" i="53"/>
  <c r="AF38" i="57"/>
  <c r="AB39" i="57"/>
  <c r="AF39"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L27" i="69" l="1"/>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F54" i="22" s="1"/>
  <c r="B54" i="22"/>
  <c r="C54" i="22"/>
  <c r="A55" i="22"/>
  <c r="F55" i="22" s="1"/>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V89"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X65" i="57" s="1"/>
  <c r="AA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W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6" i="46" l="1"/>
  <c r="V16" i="46" s="1"/>
  <c r="W16" i="46" s="1"/>
  <c r="X16" i="46" s="1"/>
  <c r="R15" i="46"/>
  <c r="V15" i="46" s="1"/>
  <c r="W15" i="46" s="1"/>
  <c r="X15" i="46"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F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6" i="46" l="1"/>
  <c r="T16" i="46" s="1"/>
  <c r="S15" i="46"/>
  <c r="T15" i="46" s="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Q11" i="59" s="1"/>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X74" i="57" s="1"/>
  <c r="AA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AB73" i="57" l="1"/>
  <c r="AA73" i="57"/>
  <c r="U13" i="50"/>
  <c r="AD13" i="50" s="1"/>
  <c r="AG13" i="50" s="1"/>
  <c r="AH13" i="50" s="1"/>
  <c r="AG58" i="69"/>
  <c r="AO60" i="69"/>
  <c r="P60" i="69"/>
  <c r="L61" i="69"/>
  <c r="O61" i="69"/>
  <c r="AK16" i="50"/>
  <c r="T16" i="50"/>
  <c r="AB74" i="53"/>
  <c r="AA74" i="53"/>
  <c r="AE75" i="53"/>
  <c r="AC75" i="53"/>
  <c r="AF74" i="53"/>
  <c r="AF73" i="57"/>
  <c r="AB74" i="57"/>
  <c r="AF74"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K13" i="50" l="1"/>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54"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I39" i="22"/>
  <c r="I53" i="22"/>
  <c r="I46" i="22"/>
  <c r="AL19" i="59" a="1"/>
  <c r="AL19" i="59" s="1"/>
  <c r="E20" i="50" s="1"/>
  <c r="I89" i="22"/>
  <c r="I49" i="22"/>
  <c r="I33" i="22"/>
  <c r="I24" i="22"/>
  <c r="I92" i="22"/>
  <c r="I71" i="22"/>
  <c r="I40" i="22"/>
  <c r="AC15" i="11"/>
  <c r="AC13" i="11"/>
  <c r="Q13" i="11" s="1"/>
  <c r="X13" i="11" s="1"/>
  <c r="AC12" i="11"/>
  <c r="Q12" i="11" s="1"/>
  <c r="F53" i="22" l="1"/>
  <c r="F29" i="22"/>
  <c r="F33"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X85" i="57" s="1"/>
  <c r="AA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AB84" i="57" l="1"/>
  <c r="AA84" i="57"/>
  <c r="AB69" i="69"/>
  <c r="AC69" i="69" s="1"/>
  <c r="AD69" i="69" s="1"/>
  <c r="AG69" i="69"/>
  <c r="AO71" i="69"/>
  <c r="P71" i="69"/>
  <c r="L72" i="69"/>
  <c r="O72" i="69"/>
  <c r="T27" i="50"/>
  <c r="AK27" i="50"/>
  <c r="AB85" i="53"/>
  <c r="AA85" i="53"/>
  <c r="AE86" i="53"/>
  <c r="AC86" i="53"/>
  <c r="AF85" i="53"/>
  <c r="AF84" i="57"/>
  <c r="AB85" i="57"/>
  <c r="AF85"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B70" i="69" l="1"/>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X96" i="57" s="1"/>
  <c r="AA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AB95" i="57" l="1"/>
  <c r="AA95" i="57"/>
  <c r="L83" i="69"/>
  <c r="O83" i="69"/>
  <c r="AO82" i="69"/>
  <c r="P82" i="69"/>
  <c r="AG80" i="69"/>
  <c r="T38" i="50"/>
  <c r="AK38" i="50"/>
  <c r="AB96" i="53"/>
  <c r="AA96" i="53"/>
  <c r="AE97" i="53"/>
  <c r="AC97" i="53"/>
  <c r="AF96" i="53"/>
  <c r="T28" i="32"/>
  <c r="AK28" i="32"/>
  <c r="AF95" i="57"/>
  <c r="AB96" i="57"/>
  <c r="AE97" i="57"/>
  <c r="AC97" i="57"/>
  <c r="AF96"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X97" i="57" l="1"/>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X119" i="57" s="1"/>
  <c r="AA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AF118" i="57" l="1"/>
  <c r="AA118" i="57"/>
  <c r="AG103" i="69"/>
  <c r="AO105" i="69"/>
  <c r="P105" i="69"/>
  <c r="L106" i="69"/>
  <c r="O106" i="69"/>
  <c r="T61" i="50"/>
  <c r="AK61" i="50"/>
  <c r="AB118" i="57"/>
  <c r="AC120" i="53"/>
  <c r="AE120" i="53"/>
  <c r="AB119" i="53"/>
  <c r="AA119" i="53"/>
  <c r="AF119" i="53"/>
  <c r="AK51" i="32"/>
  <c r="T51" i="32"/>
  <c r="AB119" i="57"/>
  <c r="AC120" i="57"/>
  <c r="AE120" i="57"/>
  <c r="AF119"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X120" i="57" l="1"/>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X121" i="57" s="1"/>
  <c r="AA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AB120" i="57" l="1"/>
  <c r="AA120" i="57"/>
  <c r="AF120" i="57"/>
  <c r="AB105" i="69"/>
  <c r="AC105" i="69" s="1"/>
  <c r="AD105" i="69" s="1"/>
  <c r="AG105" i="69"/>
  <c r="L108" i="69"/>
  <c r="O108" i="69"/>
  <c r="AO107" i="69"/>
  <c r="P107" i="69"/>
  <c r="AK63" i="50"/>
  <c r="T63" i="50"/>
  <c r="AF121" i="53"/>
  <c r="AB121" i="53"/>
  <c r="AA121" i="53"/>
  <c r="AC122" i="53"/>
  <c r="AE122" i="53"/>
  <c r="AK53" i="32"/>
  <c r="T53" i="32"/>
  <c r="AB121" i="57"/>
  <c r="AF121" i="57"/>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O108" i="69" l="1"/>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X133" i="57" s="1"/>
  <c r="AA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AB132" i="57" l="1"/>
  <c r="AA132" i="57"/>
  <c r="AB117" i="69"/>
  <c r="AC117" i="69" s="1"/>
  <c r="AD117" i="69" s="1"/>
  <c r="AG117" i="69"/>
  <c r="L120" i="69"/>
  <c r="O120" i="69"/>
  <c r="AO119" i="69"/>
  <c r="P119" i="69"/>
  <c r="T75" i="50"/>
  <c r="AK75" i="50"/>
  <c r="AB133" i="53"/>
  <c r="AA133" i="53"/>
  <c r="AC134" i="53"/>
  <c r="AE134" i="53"/>
  <c r="AF133" i="53"/>
  <c r="AF132" i="57"/>
  <c r="AB133" i="57"/>
  <c r="AF133"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18" i="69" l="1"/>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45"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28" i="22" s="1"/>
  <c r="D24" i="36" l="1"/>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H17" i="73"/>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H28" i="73" s="1"/>
  <c r="H32" i="73" s="1"/>
  <c r="D22" i="36"/>
  <c r="BA9" i="22"/>
  <c r="BA13" i="22"/>
  <c r="AL5" i="22"/>
  <c r="R25" i="22"/>
  <c r="AO10" i="22"/>
  <c r="AK15" i="11" a="1"/>
  <c r="AK15" i="11" s="1"/>
  <c r="AK16" i="11" s="1" a="1"/>
  <c r="AK16" i="11" s="1"/>
  <c r="BG9" i="22"/>
  <c r="J80" i="22"/>
  <c r="AX13" i="22" s="1"/>
  <c r="AE80" i="22"/>
  <c r="H16" i="73" l="1"/>
  <c r="H10" i="36"/>
  <c r="H14" i="36"/>
  <c r="BB34" i="22"/>
  <c r="AP5" i="22"/>
  <c r="AF25" i="22"/>
  <c r="AL10" i="22"/>
  <c r="D64" i="36"/>
  <c r="H64" i="36" s="1"/>
  <c r="AK17" i="11" a="1"/>
  <c r="AK17" i="11" s="1"/>
  <c r="AK18" i="11" s="1" a="1"/>
  <c r="AK18" i="11" s="1"/>
  <c r="R80" i="22"/>
  <c r="BB9" i="22" l="1"/>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K165" i="36"/>
  <c r="L165"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AM11" i="63" l="1"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H30" i="73" s="1"/>
  <c r="D257" i="65"/>
  <c r="E257" i="65" s="1"/>
  <c r="F257" i="65" s="1"/>
  <c r="G257" i="65" s="1"/>
  <c r="H257" i="65" s="1"/>
  <c r="I257" i="65" s="1"/>
  <c r="J257" i="65" s="1"/>
  <c r="K257" i="65" s="1"/>
  <c r="P257" i="65"/>
  <c r="M170" i="22"/>
  <c r="O170" i="22" s="1"/>
  <c r="Q172" i="22" l="1"/>
  <c r="AE172" i="22" s="1"/>
  <c r="M169" i="22"/>
  <c r="O169" i="22" s="1"/>
  <c r="M171" i="22"/>
  <c r="O171" i="22" s="1"/>
  <c r="H18" i="73"/>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H34" i="73"/>
  <c r="H16" i="36" s="1"/>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<sst xmlns="http://schemas.openxmlformats.org/spreadsheetml/2006/main" count="6944" uniqueCount="1580">
  <si>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</si>
  <si>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</si>
  <si>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</si>
  <si>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</si>
  <si>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</si>
  <si>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</si>
  <si>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</si>
  <si>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</si>
  <si>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</si>
  <si>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</si>
  <si>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</si>
  <si>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</si>
  <si>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</si>
  <si>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</si>
  <si>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</si>
  <si>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</si>
  <si>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</si>
  <si>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</si>
  <si>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</si>
  <si>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</si>
  <si>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</si>
  <si>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</si>
  <si>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</si>
  <si>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</si>
  <si>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</si>
  <si>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</si>
  <si>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</si>
  <si>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</si>
  <si>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</si>
  <si>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</si>
  <si>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</si>
  <si>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</si>
  <si>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</si>
  <si>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</si>
  <si>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</si>
  <si>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</si>
  <si>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</si>
  <si>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</si>
  <si>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</si>
  <si>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</si>
  <si>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</si>
  <si>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</si>
  <si>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</si>
  <si>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</si>
  <si>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</si>
  <si>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</si>
  <si>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</si>
  <si>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</si>
  <si>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</si>
  <si>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</si>
  <si>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</si>
  <si>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</si>
  <si>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</si>
  <si>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</si>
  <si>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</si>
  <si>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</si>
  <si>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</si>
  <si>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</si>
  <si>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</si>
  <si>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</si>
  <si>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</si>
  <si>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</si>
  <si>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</si>
  <si>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</si>
  <si>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</si>
  <si>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</si>
  <si>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</si>
  <si>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</si>
  <si>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</si>
  <si>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</si>
  <si>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</si>
  <si>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</si>
  <si>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</si>
  <si>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</si>
  <si>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</si>
  <si>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</si>
  <si>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</si>
  <si>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</si>
  <si>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</si>
  <si>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</si>
  <si>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</si>
  <si>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</si>
  <si>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</si>
  <si>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</si>
  <si>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</si>
  <si>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</si>
  <si>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</si>
  <si>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</si>
  <si>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</si>
  <si>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</si>
  <si>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</si>
  <si>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</si>
  <si>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</si>
  <si>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</si>
  <si>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</si>
  <si>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</si>
  <si>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</si>
  <si>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</si>
  <si>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</si>
  <si>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</si>
  <si>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</si>
  <si>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</si>
  <si>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</si>
  <si>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</si>
  <si>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</si>
  <si>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</si>
  <si>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</si>
  <si>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</si>
  <si>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</si>
  <si>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</si>
  <si>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</si>
  <si>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</si>
  <si>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</si>
  <si>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</si>
  <si>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</si>
  <si>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</si>
  <si>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</si>
  <si>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</si>
  <si>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</si>
  <si>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</si>
  <si>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</si>
  <si>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</si>
  <si>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</si>
  <si>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</si>
  <si>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</si>
  <si>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</si>
  <si>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</si>
  <si>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</si>
  <si>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</si>
  <si>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</si>
  <si>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</si>
  <si>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</si>
  <si>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</si>
  <si>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</si>
  <si>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</si>
  <si>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</si>
  <si>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</si>
  <si>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</si>
  <si>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</si>
  <si>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</si>
  <si>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</si>
  <si>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</si>
  <si>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</si>
  <si>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</si>
  <si>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</si>
  <si>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</si>
  <si>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</si>
  <si>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</si>
  <si>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</si>
  <si>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</si>
  <si>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</si>
  <si>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</si>
  <si>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</si>
  <si>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</si>
  <si>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</si>
  <si>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</si>
  <si>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</si>
  <si>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</si>
  <si>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</si>
  <si>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</si>
  <si>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</si>
  <si>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</si>
  <si>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</si>
  <si>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</si>
  <si>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</si>
  <si>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</si>
  <si>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</si>
  <si>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</si>
  <si>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</si>
  <si>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</si>
  <si>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</si>
  <si>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</si>
  <si>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</si>
  <si>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</si>
  <si>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</si>
  <si>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</si>
  <si>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</si>
  <si>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</si>
  <si>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</si>
  <si>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</si>
  <si>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</si>
  <si>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</si>
  <si>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</si>
  <si>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</si>
  <si>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</si>
  <si>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</si>
  <si>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</si>
  <si>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</si>
  <si>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</si>
  <si>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</si>
  <si>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</si>
  <si>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</si>
  <si>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</si>
  <si>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</si>
  <si>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</si>
  <si>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</si>
  <si>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</si>
  <si>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</si>
  <si>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</si>
  <si>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</si>
  <si>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</si>
  <si>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</si>
  <si>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</si>
  <si>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</si>
  <si>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</si>
  <si>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</si>
  <si>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</si>
  <si>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</si>
  <si>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</si>
  <si>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</si>
  <si>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</si>
  <si>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</si>
  <si>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</si>
  <si>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</si>
  <si>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</si>
  <si>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</si>
  <si>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</si>
  <si>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</si>
  <si>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</si>
  <si>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</si>
  <si>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</si>
  <si>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</si>
  <si>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</si>
  <si>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</si>
  <si>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</si>
  <si>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</si>
  <si>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</si>
  <si>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</si>
  <si>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</si>
  <si>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</si>
  <si>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</si>
  <si>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</si>
  <si>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</si>
  <si>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</si>
  <si>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</si>
  <si>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</si>
  <si>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</si>
  <si>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</si>
  <si>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</si>
  <si>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</si>
  <si>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</si>
  <si>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</si>
  <si>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</si>
  <si>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</si>
  <si>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</si>
  <si>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</si>
  <si>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</si>
  <si>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</si>
  <si>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</si>
  <si>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</si>
  <si>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</si>
  <si>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</si>
  <si>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</si>
  <si>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</si>
  <si>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</si>
  <si>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</si>
  <si>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</si>
  <si>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</si>
  <si>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</si>
  <si>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</si>
  <si>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</si>
  <si>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</si>
  <si>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</si>
  <si>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</si>
  <si>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</si>
  <si>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</si>
  <si>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</si>
  <si>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</si>
  <si>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</si>
  <si>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</si>
  <si>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</si>
  <si>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</si>
  <si>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</si>
  <si>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</si>
  <si>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</si>
  <si>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</si>
  <si>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</si>
  <si>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</si>
  <si>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</si>
  <si>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</si>
  <si>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</si>
  <si>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</si>
  <si>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</si>
  <si>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</si>
  <si>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</si>
  <si>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</si>
  <si>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</si>
  <si>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</si>
  <si>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</si>
  <si>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</si>
  <si>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</si>
  <si>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</si>
  <si>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</si>
  <si>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</si>
  <si>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</si>
  <si>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</si>
  <si>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</si>
  <si>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</si>
  <si>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</si>
  <si>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</si>
  <si>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</si>
  <si>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</si>
  <si>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</si>
  <si>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</si>
  <si>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</si>
  <si>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</si>
  <si>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</si>
  <si>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</si>
  <si>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</si>
  <si>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</si>
  <si>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</si>
  <si>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</si>
  <si>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</si>
  <si>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</si>
  <si>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</si>
  <si>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</si>
  <si>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</si>
  <si>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</si>
  <si>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</si>
  <si>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</si>
  <si>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</si>
  <si>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</si>
  <si>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</si>
  <si>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</si>
  <si>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</si>
  <si>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</si>
  <si>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</si>
  <si>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</si>
  <si>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</si>
  <si>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</si>
  <si>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</si>
  <si>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</si>
  <si>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</si>
  <si>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</si>
  <si>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</si>
  <si>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</si>
  <si>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</si>
  <si>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</si>
  <si>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</si>
  <si>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</si>
  <si>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</si>
  <si>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</si>
  <si>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</si>
  <si>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</si>
  <si>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</si>
  <si>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</si>
  <si>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</si>
  <si>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</si>
  <si>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</si>
  <si>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</si>
  <si>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</si>
  <si>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</si>
  <si>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</si>
  <si>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</si>
  <si>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</si>
  <si>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</si>
  <si>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</si>
  <si>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</si>
  <si>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</si>
  <si>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</si>
  <si>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</si>
  <si>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</si>
  <si>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</si>
  <si>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</si>
  <si>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</si>
  <si>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</si>
  <si>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</si>
  <si>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</si>
  <si>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</si>
  <si>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</si>
  <si>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</si>
  <si>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</si>
  <si>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</si>
  <si>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</si>
  <si>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</si>
  <si>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</si>
  <si>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</si>
  <si>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</si>
  <si>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</si>
  <si>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</si>
  <si>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</si>
  <si>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</si>
  <si>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</si>
  <si>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</si>
  <si>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</si>
  <si>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</si>
  <si>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</si>
  <si>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</si>
  <si>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</si>
  <si>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</si>
  <si>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</si>
  <si>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</si>
  <si>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</si>
  <si>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</si>
  <si>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</si>
  <si>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</si>
  <si>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</si>
  <si>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</si>
  <si>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</si>
  <si>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</si>
  <si>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</si>
  <si>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</si>
  <si>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</si>
  <si>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</si>
  <si>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</si>
  <si>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</si>
  <si>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</si>
  <si>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</si>
  <si>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</si>
  <si>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</si>
  <si>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</si>
  <si>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</si>
  <si>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</si>
  <si>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</si>
  <si>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</si>
  <si>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</si>
  <si>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</si>
  <si>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</si>
  <si>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</si>
  <si>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</si>
  <si>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</si>
  <si>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</si>
  <si>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</si>
  <si>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</si>
  <si>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</si>
  <si>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</si>
  <si>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</si>
  <si>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</si>
  <si>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</si>
  <si>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</si>
  <si>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</si>
  <si>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</si>
  <si>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</si>
  <si>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</si>
  <si>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</si>
  <si>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</si>
  <si>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</si>
  <si>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</si>
  <si>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</si>
  <si>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</si>
  <si>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</si>
  <si>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</si>
  <si>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</si>
  <si>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</si>
  <si>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</si>
  <si>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</si>
  <si>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</si>
  <si>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</si>
  <si>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</si>
  <si>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</si>
  <si>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</si>
  <si>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</si>
  <si>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</si>
  <si>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</si>
  <si>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</si>
  <si>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</si>
  <si>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</si>
  <si>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</si>
  <si>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</si>
  <si>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</si>
  <si>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</si>
  <si>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</si>
  <si>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</si>
  <si>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</si>
  <si>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</si>
  <si>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</si>
  <si>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</si>
  <si>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</si>
  <si>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</si>
  <si>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</si>
  <si>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</si>
  <si>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</si>
  <si>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</si>
  <si>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</si>
  <si>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</si>
  <si>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</si>
  <si>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</si>
  <si>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</si>
  <si>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</si>
  <si>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</si>
  <si>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</si>
  <si>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</si>
  <si>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</si>
  <si>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</si>
  <si>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</si>
  <si>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</si>
  <si>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</si>
  <si>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</si>
  <si>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</si>
  <si>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</si>
  <si>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</si>
  <si>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</si>
  <si>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</si>
  <si>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</si>
  <si>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</si>
  <si>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</si>
  <si>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</si>
  <si>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</si>
  <si>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</si>
  <si>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</si>
  <si>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</si>
  <si>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</si>
  <si>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</si>
  <si>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</si>
  <si>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</si>
  <si>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</si>
  <si>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</si>
  <si>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</si>
  <si>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</si>
  <si>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</si>
  <si>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</si>
  <si>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</si>
  <si>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</si>
  <si>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</si>
  <si>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</si>
  <si>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</si>
  <si>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</si>
  <si>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</si>
  <si>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</si>
  <si>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</si>
  <si>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</si>
  <si>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</si>
  <si>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</si>
  <si>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</si>
  <si>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</si>
  <si>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</si>
  <si>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</si>
  <si>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</si>
  <si>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</si>
  <si>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</si>
  <si>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</si>
  <si>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</si>
  <si>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</si>
  <si>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</si>
  <si>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</si>
  <si>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</si>
  <si>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</si>
  <si>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</si>
  <si>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</si>
  <si>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</si>
  <si>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</si>
  <si>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</si>
  <si>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</si>
  <si>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</si>
  <si>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</si>
  <si>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</si>
  <si>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</si>
  <si>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</si>
  <si>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</si>
  <si>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</si>
  <si>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</si>
  <si>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</si>
  <si>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</si>
  <si>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</si>
  <si>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</si>
  <si>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</si>
  <si>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</si>
  <si>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</si>
  <si>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</si>
  <si>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</si>
  <si>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</si>
  <si>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</si>
  <si>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</si>
  <si>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</si>
  <si>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</si>
  <si>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</si>
  <si>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</si>
  <si>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</si>
  <si>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</si>
  <si>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</si>
  <si>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</si>
  <si>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</si>
  <si>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</si>
  <si>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</si>
  <si>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</si>
  <si>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</si>
  <si>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</si>
  <si>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</si>
  <si>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</si>
  <si>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</si>
  <si>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</si>
  <si>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</si>
  <si>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</si>
  <si>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</si>
  <si>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</si>
  <si>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</si>
  <si>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</si>
  <si>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</si>
  <si>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</si>
  <si>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</si>
  <si>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</si>
  <si>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</si>
  <si>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</si>
  <si>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</si>
  <si>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</si>
  <si>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</si>
  <si>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</si>
  <si>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</si>
  <si>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</si>
  <si>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</si>
  <si>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</si>
  <si>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</si>
  <si>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</si>
  <si>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</si>
  <si>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</si>
  <si>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</si>
  <si>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</si>
  <si>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</si>
  <si>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</si>
  <si>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</si>
  <si>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</si>
  <si>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</si>
  <si>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</si>
  <si>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</si>
  <si>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</si>
  <si>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</si>
  <si>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</si>
  <si>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</si>
  <si>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</si>
  <si>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</si>
  <si>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</si>
  <si>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</si>
  <si>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</si>
  <si>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</si>
  <si>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</si>
  <si>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</si>
  <si>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</si>
  <si>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</si>
  <si>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</si>
  <si>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</si>
  <si>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</si>
  <si>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</si>
  <si>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</si>
  <si>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</si>
  <si>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</si>
  <si>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</si>
  <si>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</si>
  <si>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</si>
  <si>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</si>
  <si>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</si>
  <si>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</si>
  <si>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</si>
  <si>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</si>
  <si>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</si>
  <si>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</si>
  <si>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</si>
  <si>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</si>
  <si>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</si>
  <si>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</si>
  <si>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</si>
  <si>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</si>
  <si>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</si>
  <si>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</si>
  <si>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</si>
  <si>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</si>
  <si>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</si>
  <si>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</si>
  <si>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</si>
  <si>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</si>
  <si>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</si>
  <si>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</si>
  <si>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</si>
  <si>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</si>
  <si>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</si>
  <si>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</si>
  <si>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</si>
  <si>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</si>
  <si>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</si>
  <si>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</si>
  <si>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</si>
  <si>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</si>
  <si>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</si>
  <si>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</si>
  <si>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</si>
  <si>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</si>
  <si>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</si>
  <si>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</si>
  <si>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</si>
  <si>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</si>
  <si>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</si>
  <si>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</si>
  <si>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</si>
  <si>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</si>
  <si>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</si>
  <si>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</si>
  <si>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</si>
  <si>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</si>
  <si>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</si>
  <si>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</si>
  <si>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</si>
  <si>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</si>
  <si>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</si>
  <si>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</si>
  <si>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</si>
  <si>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</si>
  <si>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</si>
  <si>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</si>
  <si>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</si>
  <si>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</si>
  <si>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</si>
  <si>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</si>
  <si>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</si>
  <si>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</si>
  <si>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</si>
  <si>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</si>
  <si>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</si>
  <si>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</si>
  <si>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</si>
  <si>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</si>
  <si>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</si>
  <si>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</si>
  <si>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</si>
  <si>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</si>
  <si>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</si>
  <si>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</si>
  <si>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</si>
  <si>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</si>
  <si>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</si>
  <si>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</si>
  <si>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</si>
  <si>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</si>
  <si>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</si>
  <si>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</si>
  <si>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</si>
  <si>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</si>
  <si>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</si>
  <si>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</si>
  <si>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</si>
  <si>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</si>
  <si>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</si>
  <si>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</si>
  <si>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</si>
  <si>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</si>
  <si>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</si>
  <si>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</si>
  <si>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</si>
  <si>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</si>
  <si>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</si>
  <si>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</si>
  <si>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</si>
  <si>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</si>
  <si>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</si>
  <si>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</si>
  <si>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</si>
  <si>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</si>
  <si>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</si>
  <si>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</si>
  <si>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</si>
  <si>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</si>
  <si>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</si>
  <si>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</si>
  <si>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</si>
  <si>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</si>
  <si>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</si>
  <si>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</si>
  <si>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</si>
  <si>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</si>
  <si>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</si>
  <si>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</si>
  <si>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</si>
  <si>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</si>
  <si>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</si>
  <si>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</si>
  <si>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</si>
  <si>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</si>
  <si>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</si>
  <si>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</si>
  <si>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</si>
  <si>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</si>
  <si>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</si>
  <si>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</si>
  <si>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</si>
  <si>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</si>
  <si>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</si>
  <si>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</si>
  <si>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</si>
  <si>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</si>
  <si>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</si>
  <si>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</si>
  <si>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</si>
  <si>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</si>
  <si>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</si>
  <si>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</si>
  <si>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</si>
  <si>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</si>
  <si>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</si>
  <si>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</si>
  <si>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</si>
  <si>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</si>
  <si>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</si>
  <si>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</si>
  <si>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</si>
  <si>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</si>
  <si>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</si>
  <si>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</si>
  <si>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</si>
  <si>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</si>
  <si>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</si>
  <si>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</si>
  <si>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</si>
  <si>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</si>
  <si>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</si>
  <si>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</si>
  <si>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</si>
  <si>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</si>
  <si>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</si>
  <si>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</si>
  <si>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</si>
  <si>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</si>
  <si>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</si>
  <si>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</si>
  <si>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</si>
  <si>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</si>
  <si>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</si>
  <si>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</si>
  <si>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</si>
  <si>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</si>
  <si>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</si>
  <si>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</si>
  <si>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</si>
  <si>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</si>
  <si>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</si>
  <si>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</si>
  <si>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</si>
  <si>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</si>
  <si>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</si>
  <si>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</si>
  <si>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</si>
  <si>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</si>
  <si>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</si>
  <si>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</si>
  <si>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</si>
  <si>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</si>
  <si>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</si>
  <si>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</si>
  <si>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</si>
  <si>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</si>
  <si>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</si>
  <si>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</si>
  <si>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</si>
  <si>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</si>
  <si>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</si>
  <si>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</si>
  <si>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</si>
  <si>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</si>
  <si>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</si>
  <si>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</si>
  <si>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</si>
  <si>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</si>
  <si>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</si>
  <si>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</si>
  <si>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</si>
  <si>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</si>
  <si>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</si>
  <si>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</si>
  <si>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</si>
  <si>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</si>
  <si>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</si>
  <si>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</si>
  <si>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</si>
  <si>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</si>
  <si>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</si>
  <si>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</si>
  <si>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</si>
  <si>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</si>
  <si>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</si>
  <si>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</si>
  <si>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</si>
  <si>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</si>
  <si>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</si>
  <si>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</si>
  <si>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</si>
  <si>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</si>
  <si>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</si>
  <si>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</si>
  <si>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</si>
  <si>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</si>
  <si>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</si>
  <si>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</si>
  <si>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</si>
  <si>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</si>
  <si>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</si>
  <si>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</si>
  <si>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</si>
  <si>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</si>
  <si>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</si>
  <si>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</si>
  <si>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</si>
  <si>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</si>
  <si>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</si>
  <si>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</si>
  <si>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</si>
  <si>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</si>
  <si>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</si>
  <si>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</si>
  <si>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</si>
  <si>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</si>
  <si>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</si>
  <si>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</si>
  <si>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</si>
  <si>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</si>
  <si>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</si>
  <si>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</si>
  <si>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</si>
  <si>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</si>
  <si>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</si>
  <si>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</si>
  <si>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</si>
  <si>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</si>
  <si>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</si>
  <si>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</si>
  <si>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</si>
  <si>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</si>
  <si>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</si>
  <si>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</si>
  <si>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</si>
  <si>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</si>
  <si>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</si>
  <si>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</si>
  <si>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</si>
  <si>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</si>
  <si>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</si>
  <si>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</si>
  <si>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</si>
  <si>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</si>
  <si>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</si>
  <si>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</si>
  <si>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</si>
  <si>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</si>
  <si>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</si>
  <si>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</si>
  <si>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</si>
  <si>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</si>
  <si>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</si>
  <si>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</si>
  <si>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</si>
  <si>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</si>
  <si>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</si>
  <si>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</si>
  <si>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</si>
  <si>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</si>
  <si>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</si>
  <si>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</si>
  <si>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</si>
  <si>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</si>
  <si>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</si>
  <si>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</si>
  <si>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</si>
  <si>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</si>
  <si>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</si>
  <si>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</si>
  <si>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</si>
  <si>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</si>
  <si>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</si>
  <si>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</si>
  <si>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</si>
  <si>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</si>
  <si>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</si>
  <si>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</si>
  <si>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</si>
  <si>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</si>
  <si>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</si>
  <si>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</si>
  <si>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</si>
  <si>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</si>
  <si>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</si>
  <si>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</si>
  <si>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</si>
  <si>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</si>
  <si>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</si>
  <si>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 xml:space="preserve">Distinctivness Category </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</si>
  <si>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</si>
  <si>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</si>
  <si>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</si>
  <si>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</si>
  <si>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</si>
  <si>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</si>
  <si>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</si>
  <si>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</si>
  <si>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</si>
  <si>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</si>
  <si>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</si>
  <si>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</si>
  <si>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</si>
  <si>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</si>
  <si>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</si>
  <si>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</si>
  <si>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</si>
  <si>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</si>
  <si>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</si>
  <si>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</si>
  <si>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</si>
  <si>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</si>
  <si>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</si>
  <si>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</si>
  <si>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</si>
  <si>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</si>
  <si>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</si>
  <si>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</si>
  <si>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</si>
  <si>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</si>
  <si>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</si>
  <si>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</si>
  <si>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</si>
  <si>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</si>
  <si>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</si>
  <si>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</si>
  <si>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</si>
  <si>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</si>
  <si>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</si>
  <si>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</si>
  <si>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</si>
  <si>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</si>
  <si>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</si>
  <si>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</si>
  <si>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</si>
  <si>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</si>
  <si>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</si>
  <si>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</si>
  <si>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</si>
  <si>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</si>
  <si>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</si>
  <si>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</si>
  <si>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</si>
  <si>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</si>
  <si>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</si>
  <si>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</si>
  <si>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</si>
  <si>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</si>
  <si>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</si>
  <si>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</si>
  <si>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</si>
  <si>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</si>
  <si>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</si>
  <si>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</si>
  <si>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</si>
  <si>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</si>
  <si>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</si>
  <si>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</si>
  <si>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</si>
  <si>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</si>
  <si>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</si>
  <si>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</si>
  <si>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</si>
  <si>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</si>
  <si>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</si>
  <si>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</si>
  <si>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</si>
  <si>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</si>
  <si>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</si>
  <si>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</si>
  <si>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</si>
  <si>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</si>
  <si>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</si>
  <si>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</si>
  <si>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</si>
  <si>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</si>
  <si>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</si>
  <si>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</si>
  <si>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</si>
  <si>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</si>
  <si>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</si>
  <si>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</si>
  <si>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</si>
  <si>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</si>
  <si>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</si>
  <si>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</si>
  <si>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</si>
  <si>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</si>
  <si>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</si>
  <si>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</si>
  <si>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</si>
  <si>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</si>
  <si>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</si>
  <si>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</si>
  <si>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</si>
  <si>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</si>
  <si>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</si>
  <si>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</si>
  <si>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</si>
  <si>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</si>
  <si>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</si>
  <si>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</si>
  <si>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</si>
  <si>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</si>
  <si>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</si>
  <si>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</si>
  <si>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</si>
  <si>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</si>
  <si>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</si>
  <si>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</si>
  <si>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</si>
  <si>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</si>
  <si>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</si>
  <si>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</si>
  <si>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</si>
  <si>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</si>
  <si>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</si>
  <si>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</si>
  <si>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</si>
  <si>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</si>
  <si>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</si>
  <si>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</si>
  <si>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</si>
  <si>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</si>
  <si>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</si>
  <si>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</si>
  <si>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</si>
  <si>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</si>
  <si>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</si>
  <si>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</si>
  <si>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</si>
  <si>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</si>
  <si>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</si>
  <si>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</si>
  <si>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</si>
  <si>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</si>
  <si>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</si>
  <si>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</si>
  <si>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</si>
  <si>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</si>
  <si>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</si>
  <si>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</si>
  <si>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</si>
  <si>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</si>
  <si>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</si>
  <si>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</si>
  <si>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</si>
  <si>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</si>
  <si>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</si>
  <si>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</si>
  <si>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</si>
  <si>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</si>
  <si>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</si>
  <si>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</si>
  <si>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</si>
  <si>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</si>
  <si>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</si>
  <si>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</si>
  <si>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</si>
  <si>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</si>
  <si>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</si>
  <si>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</si>
  <si>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</si>
  <si>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</si>
  <si>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</si>
  <si>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</si>
  <si>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</si>
  <si>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</si>
  <si>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</si>
  <si>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</si>
  <si>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</si>
  <si>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</si>
  <si>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</si>
  <si>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</si>
  <si>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</si>
  <si>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</si>
  <si>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</si>
  <si>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</si>
  <si>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</si>
  <si>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</si>
  <si>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</si>
  <si>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</si>
  <si>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</si>
  <si>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</si>
  <si>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</si>
  <si>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</si>
  <si>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</si>
  <si>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</si>
  <si>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</si>
  <si>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</si>
  <si>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</si>
  <si>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</si>
  <si>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</si>
  <si>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</si>
  <si>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</si>
  <si>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</si>
  <si>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</si>
  <si>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</si>
  <si>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</si>
  <si>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</si>
  <si>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</si>
  <si>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</si>
  <si>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</si>
  <si>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</si>
  <si>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</si>
  <si>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</si>
  <si>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</si>
  <si>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</si>
  <si>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</si>
  <si>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</si>
  <si>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</si>
  <si>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</si>
  <si>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</si>
  <si>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</si>
  <si>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</si>
  <si>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</si>
  <si>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</si>
  <si>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</si>
  <si>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</si>
  <si>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</si>
  <si>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</si>
  <si>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</si>
  <si>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</si>
  <si>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</si>
  <si>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</si>
  <si>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</si>
  <si>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</si>
  <si>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</si>
  <si>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</si>
  <si>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</si>
  <si>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</si>
  <si>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</si>
  <si>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</si>
  <si>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</si>
  <si>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</si>
  <si>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</si>
  <si>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</si>
  <si>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</si>
  <si>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</si>
  <si>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</si>
  <si>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</si>
  <si>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</si>
  <si>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</si>
  <si>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</si>
  <si>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</si>
  <si>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</si>
  <si>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</si>
  <si>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</si>
  <si>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</si>
  <si>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</si>
  <si>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</si>
  <si>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</si>
  <si>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</si>
  <si>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</si>
  <si>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</si>
  <si>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</si>
  <si>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</si>
  <si>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</si>
  <si>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</si>
  <si>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</si>
  <si>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</si>
  <si>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</si>
  <si>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</si>
  <si>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</si>
  <si>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</si>
  <si>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</si>
  <si>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</si>
  <si>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</si>
  <si>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</si>
  <si>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</si>
  <si>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</si>
  <si>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</si>
  <si>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</si>
  <si>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</si>
  <si>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</si>
  <si>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</si>
  <si>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</si>
  <si>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</si>
  <si>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</si>
  <si>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</si>
  <si>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</si>
  <si>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</si>
  <si>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</si>
  <si>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</si>
  <si>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</si>
  <si>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</si>
  <si>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</si>
  <si>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</si>
  <si>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</si>
  <si>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</si>
  <si>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</si>
  <si>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</si>
  <si>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</si>
  <si>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</si>
  <si>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</si>
  <si>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</si>
  <si>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</si>
  <si>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</si>
  <si>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</si>
  <si>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</si>
  <si>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</si>
  <si>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</si>
  <si>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</si>
  <si>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</si>
  <si>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</si>
  <si>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</si>
  <si>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</si>
  <si>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</si>
  <si>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</si>
  <si>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</si>
  <si>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</si>
  <si>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</si>
  <si>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</si>
  <si>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</si>
  <si>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</si>
  <si>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</si>
  <si>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</si>
  <si>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</si>
  <si>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</si>
  <si>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</si>
  <si>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</si>
  <si>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</si>
  <si>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</si>
  <si>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</si>
  <si>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</si>
  <si>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</si>
  <si>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</si>
  <si>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</si>
  <si>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</si>
  <si>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</si>
  <si>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</si>
  <si>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</si>
  <si>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</si>
  <si>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</si>
  <si>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</si>
  <si>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</si>
  <si>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</si>
  <si>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</si>
  <si>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</si>
  <si>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</si>
  <si>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</si>
  <si>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</si>
  <si>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</si>
  <si>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</si>
  <si>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</si>
  <si>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</si>
  <si>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</si>
  <si>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</si>
  <si>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</si>
  <si>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</si>
  <si>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</si>
  <si>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</si>
  <si>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</si>
  <si>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</si>
  <si>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</si>
  <si>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</si>
  <si>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</si>
  <si>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</si>
  <si>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</si>
  <si>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</si>
  <si>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</si>
  <si>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</si>
  <si>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</si>
  <si>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</si>
  <si>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</si>
  <si>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</si>
  <si>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</si>
  <si>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</si>
  <si>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</si>
  <si>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</si>
  <si>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</si>
  <si>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</si>
  <si>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</si>
  <si>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</si>
  <si>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</si>
  <si>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</si>
  <si>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</si>
  <si>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</si>
  <si>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</si>
  <si>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</si>
  <si>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</si>
  <si>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</si>
  <si>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</si>
  <si>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</si>
  <si>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</si>
  <si>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</si>
  <si>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</si>
  <si>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</si>
  <si>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</si>
  <si>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</si>
  <si>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</si>
  <si>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</si>
  <si>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</si>
  <si>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</si>
  <si>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</si>
  <si>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</si>
  <si>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</si>
  <si>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</si>
  <si>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</si>
  <si>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</si>
  <si>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</si>
  <si>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</si>
  <si>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</si>
  <si>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</si>
  <si>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</si>
  <si>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</si>
  <si>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</si>
  <si>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</si>
  <si>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</si>
  <si>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</si>
  <si>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</si>
  <si>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</si>
  <si>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</si>
  <si>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</si>
  <si>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</si>
  <si>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</si>
  <si>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</si>
  <si>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</si>
  <si>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</si>
  <si>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</si>
  <si>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</si>
  <si>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</si>
  <si>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</si>
  <si>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</si>
  <si>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</si>
  <si>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</si>
  <si>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</si>
  <si>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</si>
  <si>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</si>
  <si>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</si>
  <si>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</si>
  <si>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</si>
  <si>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</si>
  <si>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</si>
  <si>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</si>
  <si>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</si>
  <si>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</si>
  <si>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</si>
  <si>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</si>
  <si>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</si>
  <si>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</si>
  <si>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</si>
  <si>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</si>
  <si>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</si>
  <si>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</si>
  <si>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</si>
  <si>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</si>
  <si>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</si>
  <si>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</si>
  <si>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</si>
  <si>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</si>
  <si>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</si>
  <si>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</si>
  <si>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</si>
  <si>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</si>
  <si>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</si>
  <si>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</si>
  <si>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</si>
  <si>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</si>
  <si>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</si>
  <si>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</si>
  <si>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</si>
  <si>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</si>
  <si>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</si>
  <si>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</si>
  <si>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</si>
  <si>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</si>
  <si>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</si>
  <si>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</si>
  <si>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</si>
  <si>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</si>
  <si>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</si>
  <si>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</si>
  <si>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</si>
  <si>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</si>
  <si>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</si>
  <si>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</si>
  <si>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</si>
  <si>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</si>
  <si>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</si>
  <si>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</si>
  <si>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</si>
  <si>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</si>
  <si>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</si>
  <si>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</si>
  <si>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</si>
  <si>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</si>
  <si>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</si>
  <si>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</si>
  <si>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</si>
  <si>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</si>
  <si>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</si>
  <si>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</si>
  <si>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</si>
  <si>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</si>
  <si>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</si>
  <si>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</si>
  <si>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</si>
  <si>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</si>
  <si>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</si>
  <si>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</si>
  <si>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</si>
  <si>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</si>
  <si>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</si>
  <si>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</si>
  <si>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</si>
  <si>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</si>
  <si>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</si>
  <si>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</si>
  <si>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</si>
  <si>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</si>
  <si>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</si>
  <si>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</si>
  <si>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</si>
  <si>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</si>
  <si>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</si>
  <si>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</si>
  <si>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</si>
  <si>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</si>
  <si>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</si>
  <si>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</si>
  <si>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</si>
  <si>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</si>
  <si>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</si>
  <si>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</si>
  <si>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</si>
  <si>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</si>
  <si>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</si>
  <si>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</si>
  <si>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</si>
  <si>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</si>
  <si>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</si>
  <si>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</si>
  <si>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</si>
  <si>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</si>
  <si>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</si>
  <si>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</si>
  <si>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</si>
  <si>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</si>
  <si>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</si>
  <si>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</si>
  <si>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</si>
  <si>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</si>
  <si>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</si>
  <si>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</si>
  <si>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</si>
  <si>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</si>
  <si>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</si>
  <si>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</si>
  <si>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</si>
  <si>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</si>
  <si>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</si>
  <si>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</si>
  <si>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</si>
  <si>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</si>
  <si>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</si>
  <si>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</si>
  <si>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</si>
  <si>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</si>
  <si>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</si>
  <si>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</si>
  <si>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</si>
  <si>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</si>
  <si>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</si>
  <si>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</si>
  <si>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</si>
  <si>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</si>
  <si>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</si>
  <si>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</si>
  <si>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</si>
  <si>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</si>
  <si>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</si>
  <si>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</si>
  <si>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</si>
  <si>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</si>
  <si>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</si>
  <si>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</si>
  <si>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</si>
  <si>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Land at Doncaster Road, Goldthorpe, Rotherham</t>
  </si>
  <si>
    <t>Wrightson Associates</t>
  </si>
  <si>
    <t>Full Planning Consent</t>
  </si>
  <si>
    <t>Unknonwn by PENNINE Ecological</t>
  </si>
  <si>
    <t>Stuart Macpherson</t>
  </si>
  <si>
    <t>04.05.2022</t>
  </si>
  <si>
    <t>TBC</t>
  </si>
  <si>
    <t>Area of derelict ground which were formely the areas used as car parking and the hard standing playground.</t>
  </si>
  <si>
    <t>Proposed shrub mix to include laurel and pyracantha.</t>
  </si>
  <si>
    <t>Combination of buildings, hard standing i.e., car parking, walkways etc.</t>
  </si>
  <si>
    <t>Species to include red robin.</t>
  </si>
  <si>
    <t xml:space="preserve">Proposed species to include dogwood, hazel, hawthorn, holly, cherry laurel, blackthorn, dog rose, goat willow and guelder rose.
Reviewing the Condition Assessment Criteria the mixed scrub is likely to achieve three of the five (1, 2 and 3) required to reach 'moderate' condition. </t>
  </si>
  <si>
    <t>Species to be planted alder, silver birch, cherry and rowan.</t>
  </si>
  <si>
    <t>Improved grassland area which was formerly the primary school's playing field.
Passes 3 (2, 6 and 7) of the criteria which equates to poor.</t>
  </si>
  <si>
    <t>Areas of bramble, buddelia and willow dominated scrub, predominantly on the margins of the site.
Only 1 (2) of the criteria are passed which equates to poor.</t>
  </si>
  <si>
    <t>Grass mix to comprise Emorsgate EL1 Flowering Lawn Mixture' sown with 'Fine Lawn Grass Mixture'.
The EL1 mix does comprise 10 wildflower species, five grass species and two 'forb' species. If managed favourably (i.e., not mown regulalry and during flowering periods) then 3 of the 6 criteria will be met thus achieving 'moderate' condition (criteria 2, 4 and 5).</t>
  </si>
  <si>
    <t xml:space="preserve">Cotoneaster, privet, laurel dominated hedge with holly, elder and a rose species. </t>
  </si>
  <si>
    <t>Species to include dogwood, hazel, hawthorn, holly, blackthorn, dog rose and guelder rose. Condition assessment criteria passed are A1, B1, B2, C1, C2 and D1. However, this is very subjective given the hedgerow will be within a supermarket carpark.</t>
  </si>
  <si>
    <t>Existing tree species to be retained include; ash, cherry, rowan. 
Scores 3 of the 6 criteria (moderate). Criteria 1, 3 and 4.</t>
  </si>
  <si>
    <t xml:space="preserve">Short, ephemeral habitat has appeared in areas of what was suspected to be formally hard standing.
</t>
  </si>
  <si>
    <t>Existing tree species to be retained include; ash, cherry, rowan. 
Scores 5 of the 6 criteria (good). Criteria 1, 2, 3, 4 and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</si>
</sst>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6">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0" borderId="4" xfId="0" applyNumberFormat="1" applyFont="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48"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5.7599999999999998E-2</c:v>
                </c:pt>
                <c:pt idx="1">
                  <c:v>0</c:v>
                </c:pt>
                <c:pt idx="2">
                  <c:v>1.0329000000000002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0.57177999999999995</c:v>
                </c:pt>
                <c:pt idx="1">
                  <c:v>0</c:v>
                </c:pt>
                <c:pt idx="2">
                  <c:v>2.3894699999999998</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7.3499999999999996E-2</c:v>
                </c:pt>
                <c:pt idx="2">
                  <c:v>0.2011</c:v>
                </c:pt>
                <c:pt idx="3">
                  <c:v>0</c:v>
                </c:pt>
                <c:pt idx="4">
                  <c:v>0.3614</c:v>
                </c:pt>
                <c:pt idx="5">
                  <c:v>0.45450000000000002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9.7100000000000006E-2</c:v>
                </c:pt>
                <c:pt idx="2">
                  <c:v>9.4899999999999998E-2</c:v>
                </c:pt>
                <c:pt idx="3">
                  <c:v>0</c:v>
                </c:pt>
                <c:pt idx="4">
                  <c:v>0</c:v>
                </c:pt>
                <c:pt idx="5">
                  <c:v>1.0186999999999999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0.16904999999999998</c:v>
                </c:pt>
                <c:pt idx="2">
                  <c:v>0.92505999999999988</c:v>
                </c:pt>
                <c:pt idx="3">
                  <c:v>0</c:v>
                </c:pt>
                <c:pt idx="4">
                  <c:v>0.83121999999999996</c:v>
                </c:pt>
                <c:pt idx="5">
                  <c:v>1.03592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0.747555814819992</c:v>
                </c:pt>
                <c:pt idx="2">
                  <c:v>0.73061840191984795</c:v>
                </c:pt>
                <c:pt idx="3">
                  <c:v>0</c:v>
                </c:pt>
                <c:pt idx="4">
                  <c:v>0</c:v>
                </c:pt>
                <c:pt idx="5">
                  <c:v>1.2362744994343997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0.25090000000000001</c:v>
                </c:pt>
                <c:pt idx="3">
                  <c:v>0.43490000000000001</c:v>
                </c:pt>
                <c:pt idx="4">
                  <c:v>0.34710000000000002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0.16904999999999998</c:v>
                </c:pt>
                <c:pt idx="2">
                  <c:v>0.92505999999999988</c:v>
                </c:pt>
                <c:pt idx="3">
                  <c:v>0</c:v>
                </c:pt>
                <c:pt idx="4">
                  <c:v>0.83121999999999996</c:v>
                </c:pt>
                <c:pt idx="5">
                  <c:v>1.03592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0.747555814819992</c:v>
                </c:pt>
                <c:pt idx="2">
                  <c:v>0.73061840191984795</c:v>
                </c:pt>
                <c:pt idx="3">
                  <c:v>0</c:v>
                </c:pt>
                <c:pt idx="4">
                  <c:v>0</c:v>
                </c:pt>
                <c:pt idx="5">
                  <c:v>1.2362744994343997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0.57850581481999197</c:v>
                </c:pt>
                <c:pt idx="2">
                  <c:v>-0.19444159808015193</c:v>
                </c:pt>
                <c:pt idx="3">
                  <c:v>0</c:v>
                </c:pt>
                <c:pt idx="4">
                  <c:v>-0.83121999999999996</c:v>
                </c:pt>
                <c:pt idx="5">
                  <c:v>0.20035449943439976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7.3499999999999996E-2</c:v>
                </c:pt>
                <c:pt idx="2">
                  <c:v>0.2011</c:v>
                </c:pt>
                <c:pt idx="3">
                  <c:v>0</c:v>
                </c:pt>
                <c:pt idx="4">
                  <c:v>0.3614</c:v>
                </c:pt>
                <c:pt idx="5">
                  <c:v>0.45450000000000002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9.7100000000000006E-2</c:v>
                </c:pt>
                <c:pt idx="2">
                  <c:v>9.4899999999999998E-2</c:v>
                </c:pt>
                <c:pt idx="3">
                  <c:v>0</c:v>
                </c:pt>
                <c:pt idx="4">
                  <c:v>0</c:v>
                </c:pt>
                <c:pt idx="5">
                  <c:v>1.0186999999999999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2.360000000000001E-2</c:v>
                </c:pt>
                <c:pt idx="2">
                  <c:v>-0.1062</c:v>
                </c:pt>
                <c:pt idx="3">
                  <c:v>0</c:v>
                </c:pt>
                <c:pt idx="4">
                  <c:v>-0.3614</c:v>
                </c:pt>
                <c:pt idx="5">
                  <c:v>0.56419999999999992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3.7999999999999999E-2</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4.3699999999999996E-2</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4.3699999999999996E-2</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7.144375E-2</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4.3699999999999996E-2</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7.144375E-2</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2.7743750000000005E-2</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3.7999999999999999E-2</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6.3E-2</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3.7999999999999999E-2</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6.3E-2</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2.5000000000000001E-2</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13</xdr:col>
          <xdr:colOff>45720</xdr:colOff>
          <xdr:row>41</xdr:row>
          <xdr:rowOff>121920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66868" y="1608456"/>
          <a:ext cx="7108826" cy="45720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1009650</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169424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436849</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746004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592332</xdr:colOff>
      <xdr:row>24</xdr:row>
      <xdr:rowOff>54701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554990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92405</xdr:colOff>
      <xdr:row>38</xdr:row>
      <xdr:rowOff>592398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554976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95275</xdr:colOff>
      <xdr:row>38</xdr:row>
      <xdr:rowOff>669684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553901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552544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478790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475160</xdr:colOff>
      <xdr:row>8</xdr:row>
      <xdr:rowOff>18146</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7214" y="873359"/>
          <a:ext cx="7068185" cy="742081"/>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5730" y="834539"/>
          <a:ext cx="6881949" cy="777091"/>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9076" y="885825"/>
          <a:ext cx="5619750" cy="76416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31545"/>
          <a:ext cx="6892290" cy="77369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9530" y="1045845"/>
          <a:ext cx="6206490" cy="7736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3450"/>
          <a:ext cx="6542405" cy="754641"/>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200025" y="938893"/>
          <a:ext cx="5444218" cy="769609"/>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0976" y="962025"/>
          <a:ext cx="5962649" cy="76416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11455" y="1007745"/>
          <a:ext cx="4981574" cy="75464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1000" y="895350"/>
          <a:ext cx="5086350"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71450" y="923925"/>
          <a:ext cx="6153150" cy="75464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9075" y="1009650"/>
          <a:ext cx="4286250"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6092"/>
          <a:ext cx="4896022" cy="78546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201706" y="791696"/>
          <a:ext cx="5224743" cy="777052"/>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1336" y="1192049"/>
          <a:ext cx="3788689" cy="752380"/>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41510" y="888364"/>
          <a:ext cx="5217160" cy="78152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95350"/>
          <a:ext cx="4752975" cy="75464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2314" y="1208838"/>
          <a:ext cx="4466220" cy="74436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20" sqref="F20:J20"/>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3.8867187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704"/>
      <c r="G1" s="704"/>
      <c r="H1" s="704"/>
      <c r="I1" s="704"/>
      <c r="J1" s="704"/>
      <c r="K1" s="705"/>
      <c r="L1" s="705"/>
      <c r="M1" s="705"/>
      <c r="N1" s="705"/>
      <c r="O1" s="705"/>
      <c r="P1" s="705"/>
    </row>
    <row r="2" spans="1:19" ht="15.75" customHeight="1" x14ac:dyDescent="0.5">
      <c r="B2" s="12"/>
      <c r="C2" s="12"/>
      <c r="E2" s="13"/>
    </row>
    <row r="3" spans="1:19" ht="15.75" customHeight="1" x14ac:dyDescent="0.5">
      <c r="A3" s="13"/>
      <c r="B3" s="13"/>
      <c r="C3" s="13"/>
      <c r="D3" s="13"/>
      <c r="E3" s="13"/>
      <c r="F3" s="706"/>
      <c r="G3" s="706"/>
      <c r="H3" s="706"/>
      <c r="I3" s="706"/>
      <c r="J3" s="706"/>
      <c r="K3" s="706"/>
      <c r="L3" s="706"/>
      <c r="M3" s="706"/>
      <c r="N3" s="706"/>
      <c r="O3" s="706"/>
      <c r="P3" s="706"/>
      <c r="Q3" s="706"/>
    </row>
    <row r="4" spans="1:19" ht="16.5" customHeight="1" x14ac:dyDescent="0.5">
      <c r="A4" s="13"/>
      <c r="B4" s="13"/>
      <c r="C4" s="13"/>
      <c r="D4" s="13"/>
      <c r="E4" s="13"/>
      <c r="F4" s="706"/>
      <c r="G4" s="706"/>
      <c r="H4" s="706"/>
      <c r="I4" s="706"/>
      <c r="J4" s="706"/>
      <c r="K4" s="706"/>
      <c r="L4" s="706"/>
      <c r="M4" s="706"/>
      <c r="N4" s="706"/>
      <c r="O4" s="706"/>
      <c r="P4" s="706"/>
      <c r="Q4" s="706"/>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13"/>
      <c r="E8" s="712"/>
      <c r="F8" s="712"/>
      <c r="G8" s="712"/>
      <c r="H8" s="712"/>
      <c r="I8" s="712"/>
      <c r="J8" s="712"/>
      <c r="K8" s="14"/>
      <c r="L8" s="14"/>
      <c r="M8" s="14"/>
      <c r="N8" s="14"/>
      <c r="O8" s="14"/>
      <c r="P8" s="14"/>
      <c r="Q8" s="14"/>
      <c r="R8" s="14"/>
      <c r="S8" s="14"/>
    </row>
    <row r="9" spans="1:19" ht="23.4" customHeight="1" x14ac:dyDescent="0.25">
      <c r="B9" s="12"/>
      <c r="D9" s="688" t="s">
        <v>0</v>
      </c>
      <c r="E9" s="689"/>
      <c r="F9" s="689"/>
      <c r="G9" s="689"/>
      <c r="H9" s="689"/>
      <c r="I9" s="689"/>
      <c r="J9" s="690"/>
      <c r="K9" s="14"/>
      <c r="L9" s="14"/>
      <c r="M9" s="14"/>
      <c r="N9" s="14"/>
      <c r="O9" s="14"/>
      <c r="P9" s="14"/>
      <c r="Q9" s="14"/>
      <c r="R9" s="14"/>
      <c r="S9" s="14"/>
    </row>
    <row r="10" spans="1:19" ht="21.6" customHeight="1" thickBot="1" x14ac:dyDescent="0.3">
      <c r="B10" s="12"/>
      <c r="D10" s="691"/>
      <c r="E10" s="692"/>
      <c r="F10" s="692"/>
      <c r="G10" s="692"/>
      <c r="H10" s="692"/>
      <c r="I10" s="692"/>
      <c r="J10" s="693"/>
      <c r="K10" s="14"/>
      <c r="L10" s="14"/>
      <c r="M10" s="14"/>
      <c r="N10" s="14"/>
      <c r="P10" s="14"/>
      <c r="Q10" s="14"/>
      <c r="R10" s="14"/>
    </row>
    <row r="11" spans="1:19" ht="25.95" customHeight="1" x14ac:dyDescent="0.25">
      <c r="B11" s="12"/>
      <c r="D11" s="707" t="s">
        <v>1</v>
      </c>
      <c r="E11" s="708"/>
      <c r="F11" s="709" t="s">
        <v>1184</v>
      </c>
      <c r="G11" s="710"/>
      <c r="H11" s="710"/>
      <c r="I11" s="710"/>
      <c r="J11" s="711"/>
      <c r="K11" s="14"/>
      <c r="L11" s="14"/>
      <c r="M11" s="14"/>
      <c r="N11" s="14"/>
      <c r="P11" s="14"/>
      <c r="Q11" s="14"/>
      <c r="R11" s="14"/>
    </row>
    <row r="12" spans="1:19" ht="24" customHeight="1" x14ac:dyDescent="0.25">
      <c r="B12" s="12"/>
      <c r="D12" s="700" t="s">
        <v>2</v>
      </c>
      <c r="E12" s="701"/>
      <c r="F12" s="694" t="s">
        <v>1559</v>
      </c>
      <c r="G12" s="695"/>
      <c r="H12" s="695"/>
      <c r="I12" s="695"/>
      <c r="J12" s="696"/>
      <c r="K12" s="14"/>
      <c r="L12" s="14"/>
      <c r="M12" s="14"/>
      <c r="N12" s="14"/>
      <c r="P12" s="14"/>
      <c r="Q12" s="14"/>
      <c r="R12" s="14"/>
    </row>
    <row r="13" spans="1:19" ht="21.6" customHeight="1" x14ac:dyDescent="0.25">
      <c r="B13" s="12"/>
      <c r="D13" s="702" t="s">
        <v>3</v>
      </c>
      <c r="E13" s="703"/>
      <c r="F13" s="694" t="s">
        <v>1560</v>
      </c>
      <c r="G13" s="695"/>
      <c r="H13" s="695"/>
      <c r="I13" s="695"/>
      <c r="J13" s="696"/>
      <c r="K13" s="14"/>
      <c r="L13" s="14"/>
      <c r="M13" s="14"/>
      <c r="N13" s="14"/>
      <c r="P13" s="14"/>
      <c r="Q13" s="14"/>
      <c r="R13" s="14"/>
    </row>
    <row r="14" spans="1:19" ht="22.2" customHeight="1" x14ac:dyDescent="0.25">
      <c r="B14" s="12"/>
      <c r="D14" s="700" t="s">
        <v>4</v>
      </c>
      <c r="E14" s="701"/>
      <c r="F14" s="694" t="s">
        <v>1561</v>
      </c>
      <c r="G14" s="695"/>
      <c r="H14" s="695"/>
      <c r="I14" s="695"/>
      <c r="J14" s="696"/>
      <c r="K14" s="14"/>
      <c r="L14" s="14"/>
      <c r="M14" s="14"/>
      <c r="N14" s="14"/>
      <c r="P14" s="14"/>
      <c r="Q14" s="14"/>
      <c r="R14" s="14"/>
    </row>
    <row r="15" spans="1:19" ht="21.6" customHeight="1" x14ac:dyDescent="0.25">
      <c r="B15" s="12"/>
      <c r="D15" s="700" t="s">
        <v>5</v>
      </c>
      <c r="E15" s="701"/>
      <c r="F15" s="694" t="s">
        <v>1562</v>
      </c>
      <c r="G15" s="695"/>
      <c r="H15" s="695"/>
      <c r="I15" s="695"/>
      <c r="J15" s="696"/>
      <c r="K15" s="14"/>
      <c r="L15" s="14"/>
      <c r="M15" s="14"/>
      <c r="N15" s="14"/>
      <c r="P15" s="14"/>
      <c r="Q15" s="14"/>
      <c r="R15" s="14"/>
    </row>
    <row r="16" spans="1:19" ht="21" customHeight="1" x14ac:dyDescent="0.25">
      <c r="D16" s="700" t="s">
        <v>6</v>
      </c>
      <c r="E16" s="701"/>
      <c r="F16" s="694" t="s">
        <v>1563</v>
      </c>
      <c r="G16" s="695"/>
      <c r="H16" s="695"/>
      <c r="I16" s="695"/>
      <c r="J16" s="696"/>
      <c r="K16" s="14"/>
      <c r="L16" s="14"/>
      <c r="M16" s="14"/>
      <c r="N16" s="14"/>
      <c r="P16" s="14"/>
      <c r="Q16" s="14"/>
      <c r="R16" s="14"/>
    </row>
    <row r="17" spans="3:18" ht="23.4" customHeight="1" x14ac:dyDescent="0.25">
      <c r="D17" s="700" t="s">
        <v>7</v>
      </c>
      <c r="E17" s="701"/>
      <c r="F17" s="694" t="s">
        <v>1563</v>
      </c>
      <c r="G17" s="695"/>
      <c r="H17" s="695"/>
      <c r="I17" s="695"/>
      <c r="J17" s="696"/>
      <c r="K17" s="14"/>
      <c r="L17" s="14"/>
      <c r="M17" s="14"/>
      <c r="N17" s="14"/>
      <c r="P17" s="14"/>
      <c r="Q17" s="14"/>
      <c r="R17" s="14"/>
    </row>
    <row r="18" spans="3:18" ht="19.95" customHeight="1" x14ac:dyDescent="0.25">
      <c r="D18" s="700" t="s">
        <v>8</v>
      </c>
      <c r="E18" s="701"/>
      <c r="F18" s="694">
        <v>3.1</v>
      </c>
      <c r="G18" s="695"/>
      <c r="H18" s="695"/>
      <c r="I18" s="695"/>
      <c r="J18" s="696"/>
      <c r="K18" s="14"/>
      <c r="L18" s="14"/>
      <c r="M18" s="14"/>
      <c r="N18" s="14"/>
      <c r="P18" s="14"/>
      <c r="Q18" s="14"/>
      <c r="R18" s="14"/>
    </row>
    <row r="19" spans="3:18" ht="19.95" customHeight="1" x14ac:dyDescent="0.25">
      <c r="D19" s="700" t="s">
        <v>9</v>
      </c>
      <c r="E19" s="701"/>
      <c r="F19" s="697" t="s">
        <v>1564</v>
      </c>
      <c r="G19" s="698"/>
      <c r="H19" s="698"/>
      <c r="I19" s="698"/>
      <c r="J19" s="699"/>
      <c r="K19" s="14"/>
      <c r="L19" s="14"/>
      <c r="M19" s="14"/>
      <c r="N19" s="14"/>
      <c r="P19" s="14"/>
      <c r="Q19" s="14"/>
      <c r="R19" s="14"/>
    </row>
    <row r="20" spans="3:18" ht="21.6" customHeight="1" thickBot="1" x14ac:dyDescent="0.3">
      <c r="D20" s="668" t="s">
        <v>10</v>
      </c>
      <c r="E20" s="669"/>
      <c r="F20" s="670" t="s">
        <v>1565</v>
      </c>
      <c r="G20" s="671"/>
      <c r="H20" s="671"/>
      <c r="I20" s="671"/>
      <c r="J20" s="672"/>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4">
      <c r="C23" s="14"/>
      <c r="D23" s="675" t="s">
        <v>11</v>
      </c>
      <c r="E23" s="676"/>
      <c r="F23" s="676"/>
      <c r="G23" s="676"/>
      <c r="H23" s="676"/>
      <c r="I23" s="676"/>
      <c r="J23" s="677"/>
      <c r="K23" s="14"/>
      <c r="L23" s="15"/>
      <c r="M23" s="15"/>
      <c r="N23" s="15"/>
      <c r="P23" s="14"/>
      <c r="Q23" s="14"/>
      <c r="R23" s="14"/>
    </row>
    <row r="24" spans="3:18" ht="16.5" customHeight="1" x14ac:dyDescent="0.25">
      <c r="P24" s="14"/>
      <c r="Q24" s="14"/>
      <c r="R24" s="14"/>
    </row>
    <row r="25" spans="3:18" ht="16.5" customHeight="1" x14ac:dyDescent="0.3">
      <c r="D25" s="673"/>
      <c r="E25" s="674"/>
      <c r="F25" s="682" t="s">
        <v>12</v>
      </c>
      <c r="G25" s="683"/>
      <c r="H25" s="683"/>
      <c r="I25" s="683"/>
      <c r="J25" s="684"/>
      <c r="K25" s="14"/>
      <c r="L25" s="14"/>
      <c r="M25" s="14"/>
      <c r="N25" s="14"/>
      <c r="P25" s="14"/>
      <c r="Q25" s="14"/>
      <c r="R25" s="14"/>
    </row>
    <row r="26" spans="3:18" ht="16.5" customHeight="1" x14ac:dyDescent="0.3">
      <c r="D26" s="678"/>
      <c r="E26" s="679"/>
      <c r="F26" s="682" t="s">
        <v>13</v>
      </c>
      <c r="G26" s="683"/>
      <c r="H26" s="683"/>
      <c r="I26" s="683"/>
      <c r="J26" s="684"/>
      <c r="K26" s="14"/>
      <c r="L26" s="14"/>
      <c r="M26" s="14"/>
      <c r="N26" s="14"/>
      <c r="P26" s="14"/>
      <c r="Q26" s="14"/>
      <c r="R26" s="14"/>
    </row>
    <row r="27" spans="3:18" ht="16.5" customHeight="1" thickBot="1" x14ac:dyDescent="0.35">
      <c r="D27" s="680"/>
      <c r="E27" s="681"/>
      <c r="F27" s="685" t="s">
        <v>14</v>
      </c>
      <c r="G27" s="686"/>
      <c r="H27" s="686"/>
      <c r="I27" s="686"/>
      <c r="J27" s="687"/>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6" x14ac:dyDescent="0.25">
      <c r="D30" s="14"/>
      <c r="E30" s="14"/>
      <c r="F30" s="14"/>
      <c r="G30" s="14"/>
      <c r="H30" s="14"/>
      <c r="I30" s="14"/>
      <c r="J30" s="14"/>
      <c r="K30" s="14"/>
      <c r="L30" s="14"/>
      <c r="M30" s="14"/>
      <c r="N30" s="14"/>
      <c r="P30" s="14"/>
      <c r="Q30" s="14"/>
      <c r="R30" s="14"/>
    </row>
    <row r="31" spans="3:18" ht="15.6" x14ac:dyDescent="0.25">
      <c r="D31" s="14"/>
      <c r="E31" s="14"/>
      <c r="F31" s="14"/>
      <c r="G31" s="14"/>
      <c r="H31" s="14"/>
      <c r="I31" s="14"/>
      <c r="J31" s="14"/>
      <c r="K31" s="14"/>
      <c r="L31" s="14"/>
      <c r="M31" s="14"/>
      <c r="N31" s="14"/>
      <c r="O31" s="14"/>
      <c r="P31" s="14"/>
      <c r="Q31" s="14"/>
      <c r="R31" s="14"/>
    </row>
    <row r="32" spans="3:18" ht="15.6" x14ac:dyDescent="0.25">
      <c r="D32" s="14"/>
      <c r="E32" s="14"/>
      <c r="F32" s="14"/>
      <c r="G32" s="14"/>
      <c r="H32" s="14"/>
      <c r="I32" s="14"/>
      <c r="J32" s="14"/>
      <c r="K32" s="14"/>
      <c r="L32" s="14"/>
      <c r="M32" s="14"/>
      <c r="N32" s="14"/>
      <c r="O32" s="14"/>
      <c r="P32" s="14"/>
      <c r="Q32" s="14"/>
      <c r="R32" s="14"/>
    </row>
    <row r="33" spans="4:18" ht="15.6" x14ac:dyDescent="0.25">
      <c r="D33" s="14"/>
      <c r="E33" s="14"/>
      <c r="F33" s="14"/>
      <c r="G33" s="14"/>
      <c r="H33" s="14"/>
      <c r="I33" s="14"/>
      <c r="J33" s="14"/>
      <c r="K33" s="14"/>
      <c r="L33" s="14"/>
      <c r="M33" s="14"/>
      <c r="N33" s="14"/>
      <c r="O33" s="14"/>
      <c r="P33" s="14"/>
      <c r="Q33" s="14"/>
      <c r="R33" s="14"/>
    </row>
    <row r="34" spans="4:18" ht="15.6" x14ac:dyDescent="0.25">
      <c r="D34" s="14"/>
      <c r="E34" s="14"/>
      <c r="F34" s="14"/>
      <c r="G34" s="14"/>
      <c r="H34" s="14"/>
      <c r="I34" s="14"/>
      <c r="J34" s="14"/>
      <c r="K34" s="14"/>
      <c r="L34" s="14"/>
      <c r="M34" s="14"/>
      <c r="N34" s="14"/>
      <c r="O34" s="14"/>
      <c r="P34" s="14"/>
      <c r="Q34" s="14"/>
      <c r="R34" s="14"/>
    </row>
    <row r="35" spans="4:18" ht="15.6" x14ac:dyDescent="0.25">
      <c r="D35" s="14"/>
      <c r="E35" s="14"/>
      <c r="F35" s="14"/>
      <c r="G35" s="14"/>
      <c r="H35" s="14"/>
      <c r="I35" s="14"/>
      <c r="J35" s="14"/>
      <c r="K35" s="14"/>
      <c r="L35" s="14"/>
      <c r="M35" s="14"/>
      <c r="N35" s="14"/>
      <c r="O35" s="14"/>
      <c r="P35" s="14"/>
      <c r="Q35" s="14"/>
      <c r="R35" s="14"/>
    </row>
    <row r="36" spans="4:18" ht="15.6" x14ac:dyDescent="0.25">
      <c r="D36" s="14"/>
      <c r="E36" s="14"/>
      <c r="F36" s="14"/>
      <c r="G36" s="14"/>
      <c r="H36" s="14"/>
      <c r="I36" s="14"/>
      <c r="J36" s="14"/>
      <c r="K36" s="14"/>
      <c r="L36" s="14"/>
      <c r="M36" s="14"/>
      <c r="N36" s="14"/>
      <c r="O36" s="14"/>
      <c r="P36" s="14"/>
      <c r="Q36" s="14"/>
      <c r="R36" s="14"/>
    </row>
    <row r="37" spans="4:18" ht="15.6" x14ac:dyDescent="0.25">
      <c r="D37" s="14"/>
      <c r="E37" s="14"/>
      <c r="F37" s="14"/>
      <c r="G37" s="14"/>
      <c r="H37" s="14"/>
      <c r="I37" s="14"/>
      <c r="J37" s="14"/>
      <c r="K37" s="14"/>
      <c r="L37" s="14"/>
      <c r="M37" s="14"/>
      <c r="N37" s="14"/>
      <c r="O37" s="14"/>
      <c r="P37" s="14"/>
      <c r="Q37" s="14"/>
      <c r="R37" s="14"/>
    </row>
    <row r="38" spans="4:18" ht="15.6" x14ac:dyDescent="0.25">
      <c r="D38" s="14"/>
      <c r="E38" s="14"/>
      <c r="F38" s="14"/>
      <c r="G38" s="14"/>
      <c r="H38" s="14"/>
      <c r="I38" s="14"/>
      <c r="J38" s="14"/>
      <c r="K38" s="14"/>
      <c r="L38" s="14"/>
      <c r="M38" s="14"/>
      <c r="N38" s="14"/>
      <c r="O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6" x14ac:dyDescent="0.25">
      <c r="P46" s="14"/>
      <c r="Q46" s="14"/>
      <c r="R46" s="14"/>
    </row>
    <row r="47" spans="4:18" ht="13.8" x14ac:dyDescent="0.25"/>
    <row r="48" spans="4:18" ht="13.8" x14ac:dyDescent="0.25"/>
    <row r="49" ht="13.8" x14ac:dyDescent="0.25"/>
    <row r="50" ht="13.8" x14ac:dyDescent="0.25"/>
    <row r="51" ht="6" customHeight="1" x14ac:dyDescent="0.25"/>
    <row r="52" ht="13.8" x14ac:dyDescent="0.25"/>
    <row r="53" ht="13.8" x14ac:dyDescent="0.25"/>
    <row r="54" ht="13.8"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7" zoomScale="90" zoomScaleNormal="90" workbookViewId="0">
      <selection activeCell="P44" sqref="P44"/>
    </sheetView>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713"/>
      <c r="G1" s="713"/>
      <c r="H1" s="713"/>
      <c r="I1" s="713"/>
      <c r="J1" s="713"/>
      <c r="K1" s="714"/>
      <c r="L1" s="714"/>
      <c r="M1" s="714"/>
      <c r="N1" s="714"/>
      <c r="O1" s="714"/>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715"/>
      <c r="H10" s="715"/>
      <c r="I10" s="715"/>
      <c r="J10" s="715"/>
      <c r="K10" s="715"/>
      <c r="L10" s="715"/>
      <c r="M10" s="715"/>
      <c r="N10" s="715"/>
      <c r="O10" s="715"/>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13</xdr:col>
                <xdr:colOff>45720</xdr:colOff>
                <xdr:row>41</xdr:row>
                <xdr:rowOff>121920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4" zoomScaleNormal="100" workbookViewId="0">
      <selection activeCell="W12" sqref="W12"/>
    </sheetView>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6.5546875" style="1" bestFit="1" customWidth="1"/>
    <col min="20" max="20" width="12.88671875" style="1" bestFit="1" customWidth="1"/>
    <col min="21" max="21" width="6.5546875" style="1" bestFit="1" customWidth="1"/>
    <col min="22" max="22" width="12.88671875" style="1" bestFit="1" customWidth="1"/>
    <col min="23" max="23" width="6.5546875" style="1" bestFit="1" customWidth="1"/>
    <col min="24" max="31" width="9.109375" style="1" customWidth="1"/>
    <col min="32" max="16384" width="9.109375" style="1" hidden="1"/>
  </cols>
  <sheetData>
    <row r="1" spans="1:23" ht="15.75" customHeight="1" x14ac:dyDescent="0.6">
      <c r="B1" s="2"/>
      <c r="C1" s="2"/>
      <c r="E1" s="6"/>
      <c r="F1" s="721"/>
      <c r="G1" s="721"/>
      <c r="H1" s="721"/>
      <c r="I1" s="721"/>
      <c r="J1" s="721"/>
      <c r="K1" s="722"/>
      <c r="L1" s="722"/>
      <c r="M1" s="722"/>
      <c r="N1" s="722"/>
      <c r="O1" s="722"/>
    </row>
    <row r="2" spans="1:23" ht="15.75" customHeight="1" x14ac:dyDescent="0.3">
      <c r="B2" s="2"/>
      <c r="C2" s="2"/>
      <c r="D2" s="716"/>
      <c r="E2" s="716"/>
    </row>
    <row r="3" spans="1:23" ht="15.75" customHeight="1" x14ac:dyDescent="0.6">
      <c r="A3" s="6"/>
      <c r="B3" s="6"/>
      <c r="C3" s="6"/>
      <c r="D3" s="6"/>
      <c r="E3" s="6"/>
      <c r="F3" s="7"/>
      <c r="G3" s="7"/>
      <c r="H3" s="7"/>
      <c r="I3" s="7"/>
      <c r="J3" s="7"/>
      <c r="K3" s="7"/>
      <c r="L3" s="7"/>
      <c r="M3" s="7"/>
      <c r="N3" s="7"/>
      <c r="O3" s="7"/>
      <c r="P3" s="7"/>
      <c r="Q3" s="719" t="s">
        <v>15</v>
      </c>
      <c r="R3" s="720"/>
      <c r="S3" s="720"/>
    </row>
    <row r="4" spans="1:23" ht="35.25" customHeight="1" x14ac:dyDescent="0.6">
      <c r="A4" s="6"/>
      <c r="B4" s="6"/>
      <c r="C4" s="6"/>
      <c r="D4" s="6"/>
      <c r="E4" s="6"/>
      <c r="F4" s="7"/>
      <c r="G4" s="7"/>
      <c r="H4" s="7"/>
      <c r="I4" s="7"/>
      <c r="J4" s="7"/>
      <c r="K4" s="7"/>
      <c r="L4" s="7"/>
      <c r="M4" s="7"/>
      <c r="N4" s="7"/>
      <c r="O4" s="7"/>
      <c r="P4" s="7"/>
      <c r="Q4" s="724" t="s">
        <v>16</v>
      </c>
      <c r="R4" s="717" t="s">
        <v>17</v>
      </c>
      <c r="S4" s="717"/>
      <c r="T4" s="717"/>
      <c r="U4" s="717"/>
      <c r="V4" s="717"/>
      <c r="W4" s="718"/>
    </row>
    <row r="5" spans="1:23" ht="16.5" customHeight="1" x14ac:dyDescent="0.6">
      <c r="A5" s="6"/>
      <c r="B5" s="6"/>
      <c r="C5" s="6"/>
      <c r="D5" s="6"/>
      <c r="E5" s="6"/>
      <c r="F5" s="4"/>
      <c r="G5" s="4"/>
      <c r="H5" s="4"/>
      <c r="I5" s="4"/>
      <c r="J5" s="4"/>
      <c r="K5" s="4"/>
      <c r="L5" s="4"/>
      <c r="M5" s="4"/>
      <c r="N5" s="4"/>
      <c r="O5" s="4"/>
      <c r="P5" s="4"/>
      <c r="Q5" s="725"/>
      <c r="R5" s="628" t="s">
        <v>18</v>
      </c>
      <c r="S5" s="629" t="s">
        <v>19</v>
      </c>
      <c r="T5" s="630" t="s">
        <v>20</v>
      </c>
      <c r="U5" s="629" t="s">
        <v>19</v>
      </c>
      <c r="V5" s="629" t="s">
        <v>21</v>
      </c>
      <c r="W5" s="629" t="s">
        <v>19</v>
      </c>
    </row>
    <row r="6" spans="1:23" ht="16.5" customHeight="1" x14ac:dyDescent="0.6">
      <c r="B6" s="2"/>
      <c r="C6" s="2"/>
      <c r="D6" s="6"/>
      <c r="E6" s="6"/>
      <c r="F6" s="4"/>
      <c r="G6" s="4"/>
      <c r="H6" s="4"/>
      <c r="I6" s="4"/>
      <c r="J6" s="4"/>
      <c r="K6" s="4"/>
      <c r="L6" s="4"/>
      <c r="M6" s="4"/>
      <c r="N6" s="4"/>
      <c r="O6" s="4"/>
      <c r="P6" s="4"/>
      <c r="Q6" s="627" t="s">
        <v>22</v>
      </c>
      <c r="R6" s="21"/>
      <c r="S6" s="562">
        <f>R6*'G-3 Multipliers'!$Z$4</f>
        <v>0</v>
      </c>
      <c r="T6" s="21"/>
      <c r="U6" s="562">
        <f>T6*'G-3 Multipliers'!$Z$4</f>
        <v>0</v>
      </c>
      <c r="V6" s="21"/>
      <c r="W6" s="562">
        <f>V6*'G-3 Multipliers'!$Z$4</f>
        <v>0</v>
      </c>
    </row>
    <row r="7" spans="1:23" ht="16.5" customHeight="1" x14ac:dyDescent="0.6">
      <c r="B7" s="2"/>
      <c r="C7" s="6"/>
      <c r="D7" s="6"/>
      <c r="E7" s="6"/>
      <c r="F7" s="4"/>
      <c r="G7" s="4"/>
      <c r="H7" s="4"/>
      <c r="I7" s="4"/>
      <c r="J7" s="4"/>
      <c r="K7" s="4"/>
      <c r="L7" s="4"/>
      <c r="M7" s="4"/>
      <c r="N7" s="4"/>
      <c r="O7" s="4"/>
      <c r="P7" s="4"/>
      <c r="Q7" s="627" t="s">
        <v>23</v>
      </c>
      <c r="R7" s="21"/>
      <c r="S7" s="562">
        <f>R7*'G-3 Multipliers'!$Z$5</f>
        <v>0</v>
      </c>
      <c r="T7" s="21"/>
      <c r="U7" s="562">
        <f>T7*'G-3 Multipliers'!$Z$5</f>
        <v>0</v>
      </c>
      <c r="V7" s="21"/>
      <c r="W7" s="562">
        <f>V7*'G-3 Multipliers'!$Z$5</f>
        <v>0</v>
      </c>
    </row>
    <row r="8" spans="1:23" ht="18" customHeight="1" x14ac:dyDescent="0.6">
      <c r="B8" s="2"/>
      <c r="C8" s="2"/>
      <c r="D8" s="6"/>
      <c r="E8" s="6"/>
      <c r="F8" s="4"/>
      <c r="G8" s="4"/>
      <c r="H8" s="4"/>
      <c r="I8" s="4"/>
      <c r="J8" s="4"/>
      <c r="K8" s="4"/>
      <c r="L8" s="4"/>
      <c r="M8" s="4"/>
      <c r="N8" s="4"/>
      <c r="O8" s="4"/>
      <c r="P8" s="4"/>
      <c r="Q8" s="627" t="s">
        <v>24</v>
      </c>
      <c r="R8" s="21"/>
      <c r="S8" s="562">
        <f>R8*'G-3 Multipliers'!$Z$6</f>
        <v>0</v>
      </c>
      <c r="T8" s="21">
        <v>13</v>
      </c>
      <c r="U8" s="562">
        <f>T8*'G-3 Multipliers'!$Z$6</f>
        <v>0.9933955200000002</v>
      </c>
      <c r="V8" s="21"/>
      <c r="W8" s="562">
        <f>V8*'G-3 Multipliers'!$Z$6</f>
        <v>0</v>
      </c>
    </row>
    <row r="9" spans="1:23" ht="16.5" customHeight="1" x14ac:dyDescent="0.3">
      <c r="B9" s="2"/>
      <c r="C9" s="2"/>
      <c r="D9" s="3"/>
      <c r="E9" s="3"/>
      <c r="F9" s="4"/>
      <c r="G9" s="4"/>
      <c r="H9" s="4"/>
      <c r="I9" s="4"/>
      <c r="J9" s="4"/>
      <c r="K9" s="4"/>
      <c r="L9" s="4"/>
      <c r="M9" s="4"/>
      <c r="N9" s="4"/>
      <c r="O9" s="4"/>
      <c r="P9" s="4"/>
      <c r="Q9" s="627" t="s">
        <v>25</v>
      </c>
      <c r="R9" s="653">
        <f t="shared" ref="R9:W9" si="0">SUM(R6:R8)</f>
        <v>0</v>
      </c>
      <c r="S9" s="561">
        <f t="shared" si="0"/>
        <v>0</v>
      </c>
      <c r="T9" s="653">
        <f t="shared" si="0"/>
        <v>13</v>
      </c>
      <c r="U9" s="561">
        <f t="shared" si="0"/>
        <v>0.9933955200000002</v>
      </c>
      <c r="V9" s="653">
        <f t="shared" si="0"/>
        <v>0</v>
      </c>
      <c r="W9" s="561">
        <f t="shared" si="0"/>
        <v>0</v>
      </c>
    </row>
    <row r="10" spans="1:23" ht="30" customHeight="1" x14ac:dyDescent="0.4">
      <c r="B10" s="2"/>
      <c r="C10" s="2"/>
      <c r="D10" s="5"/>
      <c r="E10" s="5"/>
      <c r="F10" s="723"/>
      <c r="G10" s="723"/>
      <c r="H10" s="723"/>
      <c r="I10" s="723"/>
      <c r="J10" s="723"/>
      <c r="K10" s="723"/>
      <c r="L10" s="723"/>
      <c r="M10" s="723"/>
      <c r="N10" s="723"/>
      <c r="O10" s="723"/>
      <c r="P10" s="723"/>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09375" style="254" customWidth="1"/>
    <col min="4" max="4" width="18.6640625" style="254" customWidth="1"/>
    <col min="5" max="8" width="9.109375" style="254" customWidth="1"/>
    <col min="9" max="9" width="7" style="254" customWidth="1"/>
    <col min="10" max="12" width="9.109375" style="254" customWidth="1"/>
    <col min="13" max="13" width="12.109375" style="254" customWidth="1"/>
    <col min="14" max="14" width="5.6640625" style="254" customWidth="1"/>
    <col min="15" max="15" width="9.109375" style="254" customWidth="1"/>
    <col min="16" max="16" width="34.5546875" style="254" customWidth="1"/>
    <col min="17" max="17" width="13.6640625" style="254" bestFit="1" customWidth="1"/>
    <col min="18" max="18" width="19.33203125" style="254" customWidth="1"/>
    <col min="19" max="31" width="9.109375" style="254" customWidth="1"/>
    <col min="32" max="16384" width="9.109375" style="254" hidden="1"/>
  </cols>
  <sheetData>
    <row r="1" spans="1:18" ht="15.75" customHeight="1" x14ac:dyDescent="0.5">
      <c r="B1" s="255"/>
      <c r="C1" s="255"/>
      <c r="E1" s="256"/>
      <c r="F1" s="726"/>
      <c r="G1" s="726"/>
      <c r="H1" s="726"/>
      <c r="I1" s="726"/>
      <c r="J1" s="726"/>
      <c r="K1" s="727"/>
      <c r="L1" s="727"/>
      <c r="M1" s="727"/>
      <c r="N1" s="727"/>
      <c r="O1" s="727"/>
    </row>
    <row r="2" spans="1:18" ht="15.75" customHeight="1" x14ac:dyDescent="0.5">
      <c r="B2" s="255"/>
      <c r="C2" s="255"/>
      <c r="E2" s="256"/>
    </row>
    <row r="3" spans="1:18" ht="15.75" customHeight="1" x14ac:dyDescent="0.5">
      <c r="A3" s="256"/>
      <c r="B3" s="256"/>
      <c r="C3" s="256"/>
      <c r="D3" s="256"/>
      <c r="E3" s="256"/>
      <c r="F3" s="257"/>
      <c r="G3" s="257"/>
      <c r="H3" s="257"/>
      <c r="I3" s="257"/>
      <c r="J3" s="257"/>
      <c r="K3" s="257"/>
      <c r="L3" s="257"/>
      <c r="M3" s="257"/>
      <c r="N3" s="257"/>
      <c r="O3" s="257"/>
      <c r="P3" s="257"/>
    </row>
    <row r="4" spans="1:18" ht="16.5" customHeight="1" x14ac:dyDescent="0.5">
      <c r="A4" s="256"/>
      <c r="B4" s="256"/>
      <c r="C4" s="256"/>
      <c r="D4" s="256"/>
      <c r="E4" s="256"/>
      <c r="F4" s="257"/>
      <c r="G4" s="257"/>
      <c r="H4" s="257"/>
      <c r="I4" s="257"/>
      <c r="J4" s="257"/>
      <c r="K4" s="257"/>
      <c r="L4" s="257"/>
      <c r="M4" s="257"/>
      <c r="N4" s="257"/>
      <c r="O4" s="257"/>
      <c r="P4" s="257"/>
    </row>
    <row r="5" spans="1:18" ht="16.5" customHeight="1" x14ac:dyDescent="0.5">
      <c r="A5" s="256"/>
      <c r="B5" s="256"/>
      <c r="C5" s="256"/>
      <c r="D5" s="256"/>
      <c r="E5" s="256"/>
      <c r="F5" s="258"/>
      <c r="G5" s="258"/>
      <c r="H5" s="258"/>
      <c r="I5" s="258"/>
      <c r="J5" s="258"/>
      <c r="K5" s="258"/>
      <c r="L5" s="258"/>
      <c r="M5" s="258"/>
      <c r="N5" s="258"/>
      <c r="O5" s="258"/>
      <c r="P5" s="258"/>
      <c r="Q5" s="258"/>
      <c r="R5" s="258"/>
    </row>
    <row r="6" spans="1:18" ht="16.5" customHeight="1" x14ac:dyDescent="0.5">
      <c r="B6" s="255"/>
      <c r="C6" s="255"/>
      <c r="D6" s="256"/>
      <c r="E6" s="256"/>
      <c r="F6" s="258"/>
      <c r="G6" s="258"/>
      <c r="H6" s="258"/>
      <c r="I6" s="258"/>
      <c r="J6" s="258"/>
      <c r="K6" s="258"/>
      <c r="L6" s="258"/>
      <c r="M6" s="258"/>
      <c r="N6" s="258"/>
      <c r="O6" s="258"/>
      <c r="P6" s="258"/>
      <c r="Q6" s="258"/>
      <c r="R6" s="258"/>
    </row>
    <row r="7" spans="1:18" ht="16.5" customHeight="1" x14ac:dyDescent="0.5">
      <c r="B7" s="255"/>
      <c r="C7" s="256"/>
      <c r="D7" s="256"/>
      <c r="E7" s="256"/>
      <c r="F7" s="258"/>
      <c r="G7" s="258"/>
      <c r="H7" s="258"/>
      <c r="I7" s="258"/>
      <c r="J7" s="258"/>
      <c r="K7" s="258"/>
      <c r="L7" s="258"/>
      <c r="M7" s="258"/>
      <c r="N7" s="258"/>
      <c r="O7" s="258"/>
      <c r="P7" s="258"/>
      <c r="Q7" s="258"/>
      <c r="R7" s="258"/>
    </row>
    <row r="8" spans="1:18" ht="16.5" customHeight="1" x14ac:dyDescent="0.5">
      <c r="B8" s="255"/>
      <c r="C8" s="255"/>
      <c r="D8" s="256"/>
      <c r="E8" s="256"/>
      <c r="F8" s="258"/>
      <c r="G8" s="258"/>
      <c r="H8" s="258"/>
      <c r="I8" s="258"/>
      <c r="J8" s="258"/>
      <c r="K8" s="258"/>
      <c r="L8" s="258"/>
      <c r="M8" s="258"/>
      <c r="N8" s="258"/>
      <c r="O8" s="258"/>
      <c r="P8" s="258"/>
      <c r="Q8" s="258"/>
      <c r="R8" s="258"/>
    </row>
    <row r="9" spans="1:18" ht="16.5" customHeight="1" x14ac:dyDescent="0.25">
      <c r="B9" s="255"/>
      <c r="C9" s="255"/>
      <c r="D9" s="259"/>
      <c r="E9" s="259"/>
      <c r="F9" s="258"/>
      <c r="G9" s="258"/>
      <c r="H9" s="258"/>
      <c r="I9" s="258"/>
      <c r="J9" s="258"/>
      <c r="K9" s="258"/>
      <c r="L9" s="258"/>
      <c r="M9" s="258"/>
      <c r="N9" s="258"/>
      <c r="O9" s="258"/>
      <c r="P9" s="258"/>
      <c r="Q9" s="258"/>
      <c r="R9" s="258"/>
    </row>
    <row r="10" spans="1:18" ht="30" customHeight="1" x14ac:dyDescent="0.35">
      <c r="B10" s="255"/>
      <c r="C10" s="255"/>
      <c r="D10" s="728"/>
      <c r="E10" s="728"/>
      <c r="F10" s="728"/>
      <c r="G10" s="728"/>
      <c r="H10" s="728"/>
      <c r="I10" s="728"/>
      <c r="J10" s="728"/>
      <c r="K10" s="728"/>
      <c r="L10" s="728"/>
      <c r="M10" s="728"/>
    </row>
    <row r="11" spans="1:18" ht="16.5" customHeight="1" x14ac:dyDescent="0.25">
      <c r="B11" s="255"/>
      <c r="C11" s="255"/>
    </row>
    <row r="12" spans="1:18" ht="16.5" customHeight="1" x14ac:dyDescent="0.25">
      <c r="B12" s="255"/>
      <c r="C12" s="255"/>
    </row>
    <row r="13" spans="1:18" ht="16.5" customHeight="1" x14ac:dyDescent="0.25">
      <c r="B13" s="255"/>
      <c r="C13" s="255"/>
    </row>
    <row r="14" spans="1:18" ht="16.5" customHeight="1" x14ac:dyDescent="0.25">
      <c r="B14" s="255"/>
      <c r="C14" s="255"/>
    </row>
    <row r="15" spans="1:18" ht="16.5" customHeight="1" x14ac:dyDescent="0.25">
      <c r="B15" s="255"/>
      <c r="C15" s="255"/>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opLeftCell="A19" zoomScaleNormal="100" workbookViewId="0">
      <selection activeCell="B20" sqref="B20:E22"/>
    </sheetView>
  </sheetViews>
  <sheetFormatPr defaultColWidth="0" defaultRowHeight="13.8" zeroHeight="1" x14ac:dyDescent="0.25"/>
  <cols>
    <col min="1" max="1" width="4.332031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12.5546875" style="22" customWidth="1"/>
    <col min="11" max="11" width="33.109375" style="22" bestFit="1" customWidth="1"/>
    <col min="12" max="14" width="15" style="22" customWidth="1"/>
    <col min="15" max="15" width="8.88671875" style="22" customWidth="1"/>
    <col min="16" max="16" width="14.5546875" style="22" bestFit="1" customWidth="1"/>
    <col min="17" max="17" width="14" style="22" customWidth="1"/>
    <col min="18" max="18" width="12.33203125" style="22" customWidth="1"/>
    <col min="19" max="19" width="13.44140625" style="22" hidden="1" customWidth="1"/>
    <col min="20" max="20" width="10.5546875" style="22" hidden="1" customWidth="1"/>
    <col min="21" max="30" width="8.88671875" style="22" hidden="1" customWidth="1"/>
    <col min="31" max="31" width="12.109375" style="22" hidden="1" customWidth="1"/>
    <col min="32" max="51" width="0" style="22" hidden="1" customWidth="1"/>
    <col min="52" max="16384" width="8.88671875" style="22" hidden="1"/>
  </cols>
  <sheetData>
    <row r="1" spans="2:22" ht="15.75" customHeight="1" thickBot="1" x14ac:dyDescent="0.3"/>
    <row r="2" spans="2:22" ht="19.2" customHeight="1" thickBot="1" x14ac:dyDescent="0.3">
      <c r="B2" s="786" t="str">
        <f>IF(Start!$F$12="","",Start!$F$12)</f>
        <v>Land at Doncaster Road, Goldthorpe, Rotherham</v>
      </c>
      <c r="C2" s="787"/>
      <c r="D2" s="788"/>
    </row>
    <row r="3" spans="2:22" ht="15.75" customHeight="1" x14ac:dyDescent="0.25">
      <c r="B3" s="780" t="str">
        <f ca="1">MID(CELL("filename",A1),FIND("]",CELL("filename",A1))+1,256)</f>
        <v>Headline Results</v>
      </c>
      <c r="C3" s="781"/>
      <c r="D3" s="782"/>
    </row>
    <row r="4" spans="2:22" ht="15.75" customHeight="1" thickBot="1" x14ac:dyDescent="0.3">
      <c r="B4" s="783"/>
      <c r="C4" s="784"/>
      <c r="D4" s="785"/>
    </row>
    <row r="5" spans="2:22" ht="9.9" customHeight="1" x14ac:dyDescent="0.25"/>
    <row r="6" spans="2:22" ht="9.9" customHeight="1" x14ac:dyDescent="0.5">
      <c r="B6" s="770"/>
      <c r="C6" s="770"/>
      <c r="K6" s="23"/>
      <c r="L6" s="23"/>
      <c r="M6" s="23"/>
      <c r="N6" s="23"/>
    </row>
    <row r="7" spans="2:22" ht="9.9" customHeight="1" thickBot="1" x14ac:dyDescent="0.55000000000000004">
      <c r="B7" s="24"/>
      <c r="C7" s="24"/>
      <c r="K7" s="23"/>
      <c r="L7" s="23"/>
      <c r="M7" s="23"/>
      <c r="N7" s="23"/>
      <c r="O7" s="25"/>
      <c r="Q7" s="25"/>
      <c r="R7" s="25"/>
    </row>
    <row r="8" spans="2:22" ht="21.9" customHeight="1" x14ac:dyDescent="0.5">
      <c r="B8" s="752" t="s">
        <v>26</v>
      </c>
      <c r="C8" s="753"/>
      <c r="D8" s="753"/>
      <c r="E8" s="753"/>
      <c r="F8" s="729" t="s">
        <v>27</v>
      </c>
      <c r="G8" s="730"/>
      <c r="H8" s="776">
        <f>IFERROR('A-1 Site Habitat Baseline'!Q259,"Check Data ⚠")</f>
        <v>2.9612499999999997</v>
      </c>
      <c r="I8" s="777"/>
      <c r="J8" s="26"/>
      <c r="K8" s="23"/>
      <c r="L8" s="23"/>
      <c r="M8" s="23"/>
      <c r="N8" s="23"/>
      <c r="O8" s="25"/>
      <c r="P8" s="25"/>
      <c r="Q8" s="25"/>
      <c r="R8" s="25"/>
      <c r="S8" s="25"/>
    </row>
    <row r="9" spans="2:22" ht="21.9" customHeight="1" x14ac:dyDescent="0.5">
      <c r="B9" s="755"/>
      <c r="C9" s="756"/>
      <c r="D9" s="756"/>
      <c r="E9" s="756"/>
      <c r="F9" s="733" t="s">
        <v>28</v>
      </c>
      <c r="G9" s="734"/>
      <c r="H9" s="778">
        <f>IFERROR('B-1 Site Hedge Baseline'!N258,"Check Data ⚠")</f>
        <v>4.3699999999999996E-2</v>
      </c>
      <c r="I9" s="779"/>
      <c r="K9" s="23"/>
      <c r="L9" s="23"/>
      <c r="M9" s="23"/>
      <c r="N9" s="23"/>
    </row>
    <row r="10" spans="2:22" ht="21.9" customHeight="1" thickBot="1" x14ac:dyDescent="0.55000000000000004">
      <c r="B10" s="758"/>
      <c r="C10" s="759"/>
      <c r="D10" s="759"/>
      <c r="E10" s="759"/>
      <c r="F10" s="737" t="s">
        <v>29</v>
      </c>
      <c r="G10" s="765"/>
      <c r="H10" s="766">
        <f>'C-1 Site River Baseline'!R258</f>
        <v>0</v>
      </c>
      <c r="I10" s="767"/>
      <c r="K10" s="23"/>
      <c r="L10" s="23"/>
      <c r="M10" s="23"/>
      <c r="N10" s="23"/>
    </row>
    <row r="11" spans="2:22" ht="4.5" customHeight="1" thickBot="1" x14ac:dyDescent="0.55000000000000004">
      <c r="H11" s="312"/>
      <c r="I11" s="312"/>
      <c r="K11" s="23"/>
      <c r="L11" s="23"/>
      <c r="M11" s="23"/>
      <c r="N11" s="23"/>
    </row>
    <row r="12" spans="2:22" ht="21.9" customHeight="1" x14ac:dyDescent="0.5">
      <c r="B12" s="752" t="s">
        <v>30</v>
      </c>
      <c r="C12" s="753"/>
      <c r="D12" s="753"/>
      <c r="E12" s="754"/>
      <c r="F12" s="729" t="s">
        <v>27</v>
      </c>
      <c r="G12" s="730"/>
      <c r="H12" s="761">
        <f>IFERROR('A-2 Site Habitat Creation'!Y257+'A-3 Site Habitat Enhancement'!AN258+'A-1 Site Habitat Baseline'!U259,"Check Data ⚠")</f>
        <v>2.7144487161742399</v>
      </c>
      <c r="I12" s="762"/>
      <c r="K12" s="23"/>
      <c r="L12" s="23"/>
      <c r="M12" s="23"/>
      <c r="N12" s="23"/>
      <c r="U12" s="770"/>
      <c r="V12" s="770"/>
    </row>
    <row r="13" spans="2:22" ht="21.9" customHeight="1" x14ac:dyDescent="0.5">
      <c r="B13" s="755"/>
      <c r="C13" s="756"/>
      <c r="D13" s="756"/>
      <c r="E13" s="757"/>
      <c r="F13" s="733" t="s">
        <v>28</v>
      </c>
      <c r="G13" s="734"/>
      <c r="H13" s="771">
        <f>IFERROR('B-2 Site Hedge Creation'!W260+'B-3 Site Hedge Enhancement'!AH258+'B-1 Site Hedge Baseline'!R258,"Check Data⚠")</f>
        <v>0.98760381141687981</v>
      </c>
      <c r="I13" s="764"/>
      <c r="K13" s="23"/>
      <c r="L13" s="23"/>
      <c r="M13" s="23"/>
      <c r="N13" s="23"/>
      <c r="U13" s="770"/>
      <c r="V13" s="770"/>
    </row>
    <row r="14" spans="2:22" ht="21.9" customHeight="1" thickBot="1" x14ac:dyDescent="0.55000000000000004">
      <c r="B14" s="758"/>
      <c r="C14" s="759"/>
      <c r="D14" s="759"/>
      <c r="E14" s="760"/>
      <c r="F14" s="737" t="s">
        <v>29</v>
      </c>
      <c r="G14" s="765"/>
      <c r="H14" s="766">
        <f>IFERROR('C-2 Site River Creation'!Z260 + 'C-3 Site River Enhancement'!AM258+'C-1 Site River Baseline'!V258,"Check Data ⚠")</f>
        <v>0</v>
      </c>
      <c r="I14" s="767"/>
      <c r="K14" s="23"/>
      <c r="L14" s="23"/>
      <c r="M14" s="23"/>
      <c r="N14" s="23"/>
    </row>
    <row r="15" spans="2:22" ht="4.5" customHeight="1" thickBot="1" x14ac:dyDescent="0.55000000000000004">
      <c r="B15" s="454"/>
      <c r="C15" s="454"/>
      <c r="D15" s="454"/>
      <c r="E15" s="454"/>
      <c r="F15" s="455"/>
      <c r="G15" s="455"/>
      <c r="H15" s="456"/>
      <c r="I15" s="456"/>
      <c r="K15" s="23"/>
      <c r="L15" s="23"/>
      <c r="M15" s="23"/>
      <c r="N15" s="23"/>
    </row>
    <row r="16" spans="2:22" ht="21.9" customHeight="1" x14ac:dyDescent="0.5">
      <c r="B16" s="752" t="s">
        <v>31</v>
      </c>
      <c r="C16" s="753"/>
      <c r="D16" s="753"/>
      <c r="E16" s="754"/>
      <c r="F16" s="729" t="s">
        <v>27</v>
      </c>
      <c r="G16" s="730"/>
      <c r="H16" s="731">
        <f>IF(H12=0,0,IF(AND(H8=0,H12&gt;0),1,IFERROR((H12/H8)-1,"Check Data ⚠")))</f>
        <v>-8.3343616319378588E-2</v>
      </c>
      <c r="I16" s="732"/>
      <c r="J16" s="457"/>
      <c r="K16" s="23"/>
      <c r="L16" s="23"/>
      <c r="M16" s="23"/>
      <c r="N16" s="23"/>
    </row>
    <row r="17" spans="2:14" ht="21.9" customHeight="1" x14ac:dyDescent="0.5">
      <c r="B17" s="755"/>
      <c r="C17" s="756"/>
      <c r="D17" s="756"/>
      <c r="E17" s="757"/>
      <c r="F17" s="733" t="s">
        <v>28</v>
      </c>
      <c r="G17" s="734"/>
      <c r="H17" s="735">
        <f>IF(H13=0,0,IF(AND(H9=0,H13&gt;0),1,IFERROR((H13/H9)-1,"Check Data ⚠")))</f>
        <v>21.599629551873683</v>
      </c>
      <c r="I17" s="736"/>
      <c r="K17" s="23"/>
      <c r="L17" s="23"/>
      <c r="M17" s="23"/>
      <c r="N17" s="23"/>
    </row>
    <row r="18" spans="2:14" ht="21.9" customHeight="1" thickBot="1" x14ac:dyDescent="0.55000000000000004">
      <c r="B18" s="758"/>
      <c r="C18" s="759"/>
      <c r="D18" s="759"/>
      <c r="E18" s="760"/>
      <c r="F18" s="737" t="s">
        <v>29</v>
      </c>
      <c r="G18" s="738"/>
      <c r="H18" s="739">
        <f>IF(H14=0,0,IF(AND(H10=0,H14&gt;0),1,IFERROR((H14/H10)-1,"Check Data ⚠")))</f>
        <v>0</v>
      </c>
      <c r="I18" s="740"/>
      <c r="K18" s="23"/>
      <c r="L18" s="23"/>
      <c r="M18" s="23"/>
      <c r="N18" s="23"/>
    </row>
    <row r="19" spans="2:14" ht="24.9" customHeight="1" thickBot="1" x14ac:dyDescent="0.55000000000000004">
      <c r="H19" s="312"/>
      <c r="I19" s="312"/>
      <c r="K19" s="23"/>
      <c r="L19" s="23"/>
      <c r="M19" s="23"/>
      <c r="N19" s="23"/>
    </row>
    <row r="20" spans="2:14" ht="21.9" customHeight="1" x14ac:dyDescent="0.5">
      <c r="B20" s="752" t="s">
        <v>32</v>
      </c>
      <c r="C20" s="753"/>
      <c r="D20" s="753"/>
      <c r="E20" s="753"/>
      <c r="F20" s="729" t="s">
        <v>27</v>
      </c>
      <c r="G20" s="730"/>
      <c r="H20" s="772">
        <f>IFERROR('D-1 Off Site Habitat Baseline'!Q259,"Check Data ⚠")</f>
        <v>0</v>
      </c>
      <c r="I20" s="773"/>
      <c r="K20" s="23"/>
      <c r="L20" s="23"/>
      <c r="M20" s="23"/>
      <c r="N20" s="23"/>
    </row>
    <row r="21" spans="2:14" ht="21.9" customHeight="1" x14ac:dyDescent="0.5">
      <c r="B21" s="755"/>
      <c r="C21" s="756"/>
      <c r="D21" s="756"/>
      <c r="E21" s="756"/>
      <c r="F21" s="733" t="s">
        <v>28</v>
      </c>
      <c r="G21" s="734"/>
      <c r="H21" s="774">
        <f>IFERROR('E-1 Off Site Hedge Baseline'!N258,"Check Data ⚠")</f>
        <v>0</v>
      </c>
      <c r="I21" s="775"/>
      <c r="K21" s="23"/>
      <c r="L21" s="23"/>
      <c r="M21" s="23"/>
      <c r="N21" s="23"/>
    </row>
    <row r="22" spans="2:14" ht="21.9" customHeight="1" thickBot="1" x14ac:dyDescent="0.55000000000000004">
      <c r="B22" s="758"/>
      <c r="C22" s="759"/>
      <c r="D22" s="759"/>
      <c r="E22" s="759"/>
      <c r="F22" s="737" t="s">
        <v>29</v>
      </c>
      <c r="G22" s="765"/>
      <c r="H22" s="768">
        <f>IFERROR('F-1 Off Site River Baseline'!R258,"Check Data ⚠")</f>
        <v>0</v>
      </c>
      <c r="I22" s="769"/>
      <c r="K22" s="23"/>
      <c r="L22" s="23"/>
      <c r="M22" s="23"/>
      <c r="N22" s="23"/>
    </row>
    <row r="23" spans="2:14" ht="4.5" customHeight="1" thickBot="1" x14ac:dyDescent="0.55000000000000004">
      <c r="H23" s="312"/>
      <c r="I23" s="312"/>
      <c r="K23" s="23"/>
      <c r="L23" s="23"/>
      <c r="M23" s="23"/>
      <c r="N23" s="23"/>
    </row>
    <row r="24" spans="2:14" ht="21.9" customHeight="1" x14ac:dyDescent="0.5">
      <c r="B24" s="752" t="s">
        <v>33</v>
      </c>
      <c r="C24" s="753"/>
      <c r="D24" s="753"/>
      <c r="E24" s="754"/>
      <c r="F24" s="729" t="s">
        <v>27</v>
      </c>
      <c r="G24" s="730"/>
      <c r="H24" s="761">
        <f>IFERROR('D-1 Off Site Habitat Baseline'!$U$259+'D-2 Off Site Habitat Creation'!AA257+'D-3 Off Site Habitat Enhancment'!AP259,"Check Data ⚠")</f>
        <v>0</v>
      </c>
      <c r="I24" s="762"/>
      <c r="K24" s="23"/>
      <c r="L24" s="23"/>
      <c r="M24" s="23"/>
      <c r="N24" s="23"/>
    </row>
    <row r="25" spans="2:14" ht="21.9" customHeight="1" x14ac:dyDescent="0.5">
      <c r="B25" s="755"/>
      <c r="C25" s="756"/>
      <c r="D25" s="756"/>
      <c r="E25" s="757"/>
      <c r="F25" s="733" t="s">
        <v>28</v>
      </c>
      <c r="G25" s="734"/>
      <c r="H25" s="763">
        <f>IFERROR('E-1 Off Site Hedge Baseline'!R258+'E-2 Off Site Hedge Creation'!Y260+'E-3 Off Site Hedge Enhancement'!AJ258,"Check Data ⚠")</f>
        <v>0</v>
      </c>
      <c r="I25" s="764"/>
      <c r="K25" s="23"/>
      <c r="L25" s="23"/>
      <c r="M25" s="23"/>
      <c r="N25" s="23"/>
    </row>
    <row r="26" spans="2:14" ht="21.9" customHeight="1" thickBot="1" x14ac:dyDescent="0.55000000000000004">
      <c r="B26" s="758"/>
      <c r="C26" s="759"/>
      <c r="D26" s="759"/>
      <c r="E26" s="760"/>
      <c r="F26" s="737" t="s">
        <v>29</v>
      </c>
      <c r="G26" s="765"/>
      <c r="H26" s="766">
        <f>IFERROR('F-1 Off Site River Baseline'!V258+'F-2 Off Site River Creation'!AB260+'F-3 Off Site River Enhancement'!AO258,"Check Data ⚠")</f>
        <v>0</v>
      </c>
      <c r="I26" s="767"/>
      <c r="K26" s="23"/>
      <c r="L26" s="23"/>
      <c r="M26" s="23"/>
      <c r="N26" s="23"/>
    </row>
    <row r="27" spans="2:14" ht="24.9" customHeight="1" thickBot="1" x14ac:dyDescent="0.55000000000000004">
      <c r="H27" s="312"/>
      <c r="I27" s="312"/>
      <c r="K27" s="23"/>
      <c r="L27" s="23"/>
      <c r="M27" s="23"/>
      <c r="N27" s="23"/>
    </row>
    <row r="28" spans="2:14" ht="21.9" customHeight="1" x14ac:dyDescent="0.5">
      <c r="B28" s="752" t="s">
        <v>34</v>
      </c>
      <c r="C28" s="753"/>
      <c r="D28" s="753"/>
      <c r="E28" s="754"/>
      <c r="F28" s="729" t="s">
        <v>27</v>
      </c>
      <c r="G28" s="730"/>
      <c r="H28" s="761">
        <f>IFERROR((H12-H8)+((H24-H20)),"Check Data ⚠")</f>
        <v>-0.24680128382575983</v>
      </c>
      <c r="I28" s="762"/>
      <c r="J28" s="747"/>
      <c r="K28" s="748"/>
      <c r="L28" s="23"/>
      <c r="M28" s="23"/>
      <c r="N28" s="23"/>
    </row>
    <row r="29" spans="2:14" ht="21.9" customHeight="1" x14ac:dyDescent="0.5">
      <c r="B29" s="755"/>
      <c r="C29" s="756"/>
      <c r="D29" s="756"/>
      <c r="E29" s="757"/>
      <c r="F29" s="733" t="s">
        <v>28</v>
      </c>
      <c r="G29" s="734"/>
      <c r="H29" s="763">
        <f>IFERROR((H13-H9)+((H25-H21)),"Check Data ⚠")</f>
        <v>0.94390381141687985</v>
      </c>
      <c r="I29" s="764"/>
      <c r="J29" s="747"/>
      <c r="K29" s="748"/>
      <c r="L29" s="23"/>
      <c r="M29" s="23"/>
      <c r="N29" s="23"/>
    </row>
    <row r="30" spans="2:14" ht="21.9" customHeight="1" thickBot="1" x14ac:dyDescent="0.55000000000000004">
      <c r="B30" s="758"/>
      <c r="C30" s="759"/>
      <c r="D30" s="759"/>
      <c r="E30" s="760"/>
      <c r="F30" s="737" t="s">
        <v>29</v>
      </c>
      <c r="G30" s="765"/>
      <c r="H30" s="766">
        <f>IFERROR((H14-H10)+((H26-H22)),"Check Data ⚠")</f>
        <v>0</v>
      </c>
      <c r="I30" s="767"/>
      <c r="J30" s="747"/>
      <c r="K30" s="748"/>
      <c r="L30" s="23"/>
      <c r="M30" s="23"/>
      <c r="N30" s="23"/>
    </row>
    <row r="31" spans="2:14" ht="4.5" customHeight="1" thickBot="1" x14ac:dyDescent="0.55000000000000004">
      <c r="H31" s="313"/>
      <c r="I31" s="313"/>
      <c r="K31" s="23"/>
      <c r="L31" s="23"/>
      <c r="M31" s="23"/>
      <c r="N31" s="23"/>
    </row>
    <row r="32" spans="2:14" ht="21.9" customHeight="1" x14ac:dyDescent="0.5">
      <c r="B32" s="752" t="s">
        <v>35</v>
      </c>
      <c r="C32" s="753"/>
      <c r="D32" s="753"/>
      <c r="E32" s="754"/>
      <c r="F32" s="729" t="s">
        <v>27</v>
      </c>
      <c r="G32" s="730"/>
      <c r="H32" s="731">
        <f>IF(H28=0,0,IF(AND(H8=0,H20=0,H28&gt;0),1,IFERROR((H28/H8),"Check Data ⚠")))</f>
        <v>-8.3343616319378588E-2</v>
      </c>
      <c r="I32" s="732"/>
      <c r="J32" s="747"/>
      <c r="K32" s="748"/>
      <c r="L32" s="23"/>
      <c r="M32" s="23"/>
      <c r="N32" s="23"/>
    </row>
    <row r="33" spans="1:33" ht="21.9" customHeight="1" x14ac:dyDescent="0.5">
      <c r="A33" s="27"/>
      <c r="B33" s="755"/>
      <c r="C33" s="756"/>
      <c r="D33" s="756"/>
      <c r="E33" s="757"/>
      <c r="F33" s="733" t="s">
        <v>28</v>
      </c>
      <c r="G33" s="734"/>
      <c r="H33" s="735">
        <f>IF(H29=0,0,IF(AND(H9=0,H21=0,H29&gt;0),1,IFERROR((H29/H9),"Check Data ⚠")))</f>
        <v>21.599629551873683</v>
      </c>
      <c r="I33" s="736"/>
      <c r="J33" s="747"/>
      <c r="K33" s="748"/>
      <c r="L33" s="23"/>
      <c r="M33" s="23"/>
      <c r="N33" s="23"/>
    </row>
    <row r="34" spans="1:33" ht="21.9" customHeight="1" thickBot="1" x14ac:dyDescent="0.55000000000000004">
      <c r="A34" s="27"/>
      <c r="B34" s="758"/>
      <c r="C34" s="759"/>
      <c r="D34" s="759"/>
      <c r="E34" s="760"/>
      <c r="F34" s="737" t="s">
        <v>29</v>
      </c>
      <c r="G34" s="738"/>
      <c r="H34" s="739">
        <f>IF(H30=0,0,IF(AND(H10=0,H22=0,H30&gt;0),1,IFERROR((H30/H10),"Check Data ⚠")))</f>
        <v>0</v>
      </c>
      <c r="I34" s="740"/>
      <c r="J34" s="749"/>
      <c r="K34" s="750"/>
      <c r="L34" s="23"/>
      <c r="M34" s="23"/>
      <c r="N34" s="23"/>
    </row>
    <row r="35" spans="1:33" ht="24.9" customHeight="1" thickBot="1" x14ac:dyDescent="0.55000000000000004">
      <c r="B35" s="751"/>
      <c r="C35" s="751"/>
      <c r="D35" s="751"/>
      <c r="F35" s="28"/>
      <c r="G35" s="28"/>
      <c r="H35" s="28"/>
      <c r="I35" s="28"/>
      <c r="J35" s="28"/>
      <c r="K35" s="28"/>
      <c r="L35" s="28"/>
      <c r="M35" s="28"/>
    </row>
    <row r="36" spans="1:33" s="29" customFormat="1" ht="38.25" customHeight="1" thickBot="1" x14ac:dyDescent="0.3">
      <c r="B36" s="741" t="s">
        <v>36</v>
      </c>
      <c r="C36" s="742"/>
      <c r="D36" s="742"/>
      <c r="E36" s="743"/>
      <c r="F36" s="744" t="str">
        <f>IF(OR('Trading Summary'!G5="No ▲",'Trading Summary'!G6="No ▲",'Trading Summary'!G7="No ▲",'Trading Summary'!G8="No ▲"),"No - Check Trading Summary ▲","Yes ✓")</f>
        <v>No - Check Trading Summary ▲</v>
      </c>
      <c r="G36" s="745"/>
      <c r="H36" s="745"/>
      <c r="I36" s="746"/>
      <c r="J36" s="30"/>
      <c r="K36" s="30"/>
      <c r="L36" s="30"/>
      <c r="M36" s="30"/>
      <c r="N36" s="22"/>
      <c r="O36" s="22"/>
      <c r="P36" s="22"/>
      <c r="Q36" s="22"/>
      <c r="X36" s="22"/>
      <c r="Y36" s="22"/>
      <c r="Z36" s="22"/>
      <c r="AA36" s="22"/>
      <c r="AB36" s="22"/>
      <c r="AC36" s="22"/>
      <c r="AD36" s="22"/>
      <c r="AE36" s="22"/>
      <c r="AF36" s="22"/>
      <c r="AG36" s="22"/>
    </row>
    <row r="37" spans="1:33" ht="15.6" x14ac:dyDescent="0.25">
      <c r="B37" s="30"/>
      <c r="C37" s="30"/>
      <c r="D37" s="30"/>
      <c r="E37" s="30"/>
      <c r="F37" s="30"/>
      <c r="G37" s="30"/>
      <c r="H37" s="30"/>
      <c r="I37" s="30"/>
      <c r="J37" s="30"/>
      <c r="K37" s="30"/>
      <c r="L37" s="30"/>
      <c r="M37" s="30"/>
      <c r="X37" s="29"/>
      <c r="Y37" s="29"/>
      <c r="Z37" s="29"/>
      <c r="AA37" s="29"/>
      <c r="AB37" s="29"/>
    </row>
    <row r="38" spans="1:33" ht="15.6" x14ac:dyDescent="0.25">
      <c r="B38" s="30"/>
      <c r="C38" s="30"/>
      <c r="D38" s="30"/>
      <c r="E38" s="30"/>
      <c r="F38" s="30"/>
      <c r="G38" s="30"/>
      <c r="H38" s="30"/>
      <c r="I38" s="30"/>
      <c r="J38" s="30"/>
      <c r="K38" s="30"/>
      <c r="L38" s="30"/>
      <c r="M38" s="30"/>
      <c r="X38" s="29"/>
      <c r="Y38" s="29"/>
      <c r="Z38" s="29"/>
      <c r="AA38" s="29"/>
      <c r="AB38" s="29"/>
    </row>
    <row r="39" spans="1:33" ht="15.6"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5" hidden="1" customHeight="1" x14ac:dyDescent="0.25"/>
    <row r="106" ht="29.4" hidden="1" customHeight="1" x14ac:dyDescent="0.25"/>
    <row r="109" x14ac:dyDescent="0.25"/>
  </sheetData>
  <sheetProtection algorithmName="SHA-512" hashValue="drXQeXeTieQq3KvcFwj/cxLIN2H5Q6qsF5ZKEqe2bGeexloOmzzQGfoU1dPsgoavfKuDdvZIbMRP+CkX8YKQaQ==" saltValue="zxTLo31H9YhZEGTrp4NnzA=="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393" priority="50" operator="lessThan">
      <formula>0</formula>
    </cfRule>
    <cfRule type="cellIs" dxfId="392" priority="51" operator="greaterThan">
      <formula>0</formula>
    </cfRule>
  </conditionalFormatting>
  <conditionalFormatting sqref="L20:L21">
    <cfRule type="cellIs" dxfId="391" priority="45" operator="equal">
      <formula>"Error"</formula>
    </cfRule>
  </conditionalFormatting>
  <conditionalFormatting sqref="H28:I28">
    <cfRule type="cellIs" dxfId="390" priority="43" operator="equal">
      <formula>"Error"</formula>
    </cfRule>
  </conditionalFormatting>
  <conditionalFormatting sqref="H32:I32">
    <cfRule type="expression" dxfId="389" priority="24">
      <formula>AND(OR($H$8&gt;0,$H$20&gt;0),$H$32&lt;0.1)</formula>
    </cfRule>
    <cfRule type="expression" dxfId="388" priority="29">
      <formula>AND(OR($H$8&gt;0,$H$20&gt;0),$H$32&gt;=0.1)</formula>
    </cfRule>
  </conditionalFormatting>
  <conditionalFormatting sqref="L25:L26">
    <cfRule type="cellIs" dxfId="387" priority="41" operator="greaterThan">
      <formula>0</formula>
    </cfRule>
  </conditionalFormatting>
  <conditionalFormatting sqref="L8:L9">
    <cfRule type="cellIs" dxfId="386" priority="40" operator="equal">
      <formula>"Error"</formula>
    </cfRule>
  </conditionalFormatting>
  <conditionalFormatting sqref="L11">
    <cfRule type="cellIs" dxfId="385" priority="39" operator="equal">
      <formula>"Error"</formula>
    </cfRule>
  </conditionalFormatting>
  <conditionalFormatting sqref="L13:L18">
    <cfRule type="cellIs" dxfId="384" priority="37" operator="equal">
      <formula>"Error"</formula>
    </cfRule>
  </conditionalFormatting>
  <conditionalFormatting sqref="H33:I34">
    <cfRule type="cellIs" dxfId="383" priority="31" operator="equal">
      <formula>"Error"</formula>
    </cfRule>
  </conditionalFormatting>
  <conditionalFormatting sqref="H33:I34">
    <cfRule type="cellIs" dxfId="382" priority="30" operator="equal">
      <formula>"Error"</formula>
    </cfRule>
  </conditionalFormatting>
  <conditionalFormatting sqref="H33:I33">
    <cfRule type="expression" dxfId="381" priority="25">
      <formula>AND(OR($H$9&gt;0,$H$21&gt;0),$H$33&lt;0.1)</formula>
    </cfRule>
    <cfRule type="expression" dxfId="380" priority="28">
      <formula>$H$33&gt;=0.1</formula>
    </cfRule>
  </conditionalFormatting>
  <conditionalFormatting sqref="H34:I34">
    <cfRule type="expression" dxfId="379" priority="26">
      <formula>AND(OR($H$10&gt;0,$H$22&gt;0),$H$34&lt;0.1)</formula>
    </cfRule>
    <cfRule type="expression" dxfId="378" priority="27">
      <formula>$H$34&gt;=0.1</formula>
    </cfRule>
  </conditionalFormatting>
  <conditionalFormatting sqref="H8:I15 H19:I34">
    <cfRule type="containsText" dxfId="377" priority="18" operator="containsText" text="Check">
      <formula>NOT(ISERROR(SEARCH("Check",H8)))</formula>
    </cfRule>
    <cfRule type="containsText" dxfId="376" priority="42" operator="containsText" text="Error">
      <formula>NOT(ISERROR(SEARCH("Error",H8)))</formula>
    </cfRule>
  </conditionalFormatting>
  <conditionalFormatting sqref="F36:I36">
    <cfRule type="containsText" dxfId="375" priority="16" operator="containsText" text="No">
      <formula>NOT(ISERROR(SEARCH("No",F36)))</formula>
    </cfRule>
    <cfRule type="containsText" dxfId="374" priority="17" operator="containsText" text="Yes">
      <formula>NOT(ISERROR(SEARCH("Yes",F36)))</formula>
    </cfRule>
  </conditionalFormatting>
  <conditionalFormatting sqref="H17:I18">
    <cfRule type="cellIs" dxfId="373" priority="14" operator="equal">
      <formula>"Error"</formula>
    </cfRule>
  </conditionalFormatting>
  <conditionalFormatting sqref="H17:I18">
    <cfRule type="cellIs" dxfId="372" priority="13" operator="equal">
      <formula>"Error"</formula>
    </cfRule>
  </conditionalFormatting>
  <conditionalFormatting sqref="H16:I18">
    <cfRule type="containsText" dxfId="371" priority="6" operator="containsText" text="Check">
      <formula>NOT(ISERROR(SEARCH("Check",H16)))</formula>
    </cfRule>
    <cfRule type="containsText" dxfId="370" priority="15" operator="containsText" text="Error">
      <formula>NOT(ISERROR(SEARCH("Error",H16)))</formula>
    </cfRule>
  </conditionalFormatting>
  <conditionalFormatting sqref="H16:I16">
    <cfRule type="expression" dxfId="369" priority="7">
      <formula>AND($H$8&gt;0,$H$16&lt;0.1)</formula>
    </cfRule>
    <cfRule type="expression" dxfId="368" priority="12">
      <formula>AND($H$8&gt;0,$H$16&gt;=0.1)</formula>
    </cfRule>
  </conditionalFormatting>
  <conditionalFormatting sqref="H17:I17">
    <cfRule type="expression" dxfId="367" priority="2">
      <formula>$H$17&gt;=0.1</formula>
    </cfRule>
    <cfRule type="expression" dxfId="366" priority="4">
      <formula>AND($H$9&gt;0,$H$17&lt;0.1)</formula>
    </cfRule>
  </conditionalFormatting>
  <conditionalFormatting sqref="H18:I18">
    <cfRule type="expression" dxfId="365" priority="1">
      <formula>$H$18&gt;=0.1</formula>
    </cfRule>
    <cfRule type="expression" dxfId="364"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topLeftCell="A46" zoomScale="70" zoomScaleNormal="70" workbookViewId="0">
      <selection activeCell="H14" sqref="H14:I14"/>
    </sheetView>
  </sheetViews>
  <sheetFormatPr defaultColWidth="8.88671875" defaultRowHeight="13.8" x14ac:dyDescent="0.25"/>
  <cols>
    <col min="1" max="1" width="4.33203125" style="31" customWidth="1"/>
    <col min="2" max="2" width="72.88671875" style="31" customWidth="1"/>
    <col min="3" max="3" width="13.88671875" style="31" customWidth="1"/>
    <col min="4" max="4" width="18.33203125" style="31" customWidth="1"/>
    <col min="5" max="5" width="16" style="31" customWidth="1"/>
    <col min="6" max="6" width="14.5546875" style="31" customWidth="1"/>
    <col min="7" max="7" width="12.44140625" style="31" customWidth="1"/>
    <col min="8" max="8" width="15.5546875" style="31" customWidth="1"/>
    <col min="9" max="9" width="16.10937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09375" style="31" customWidth="1"/>
    <col min="16" max="16" width="16.33203125" style="31" customWidth="1"/>
    <col min="17" max="17" width="14" style="31" customWidth="1"/>
    <col min="18" max="18" width="12.33203125" style="31" customWidth="1"/>
    <col min="19" max="19" width="13.44140625" style="31" customWidth="1"/>
    <col min="20" max="20" width="10.5546875" style="31" customWidth="1"/>
    <col min="21" max="30" width="8.88671875" style="31"/>
    <col min="31" max="31" width="12.109375" style="31" customWidth="1"/>
    <col min="32" max="16384" width="8.88671875" style="31"/>
  </cols>
  <sheetData>
    <row r="1" spans="2:19" ht="15.75" customHeight="1" thickBot="1" x14ac:dyDescent="0.3"/>
    <row r="2" spans="2:19" ht="22.2" customHeight="1" thickBot="1" x14ac:dyDescent="0.3">
      <c r="B2" s="803" t="str">
        <f>IF(Start!$F$12="","",Start!$F$12)</f>
        <v>Land at Doncaster Road, Goldthorpe, Rotherham</v>
      </c>
      <c r="C2" s="804"/>
      <c r="D2" s="805"/>
    </row>
    <row r="3" spans="2:19" ht="19.95" customHeight="1" x14ac:dyDescent="0.25">
      <c r="B3" s="780" t="str">
        <f ca="1">MID(CELL("filename",A1),FIND("]",CELL("filename",A1))+1,256)</f>
        <v>Detailed Results</v>
      </c>
      <c r="C3" s="781"/>
      <c r="D3" s="782"/>
    </row>
    <row r="4" spans="2:19" ht="21.6" customHeight="1" thickBot="1" x14ac:dyDescent="0.3">
      <c r="B4" s="783"/>
      <c r="C4" s="784"/>
      <c r="D4" s="785"/>
    </row>
    <row r="5" spans="2:19" ht="15.75" customHeight="1" x14ac:dyDescent="0.25"/>
    <row r="6" spans="2:19" ht="25.5" customHeight="1" thickBot="1" x14ac:dyDescent="0.3"/>
    <row r="7" spans="2:19" ht="18.75" customHeight="1" x14ac:dyDescent="0.25">
      <c r="B7" s="820" t="s">
        <v>37</v>
      </c>
      <c r="C7" s="821"/>
    </row>
    <row r="8" spans="2:19" ht="20.25" customHeight="1" thickBot="1" x14ac:dyDescent="0.3">
      <c r="B8" s="822"/>
      <c r="C8" s="823"/>
    </row>
    <row r="9" spans="2:19" ht="15.75" customHeight="1" thickBot="1" x14ac:dyDescent="0.55000000000000004">
      <c r="B9" s="32"/>
      <c r="C9" s="32"/>
      <c r="O9" s="33"/>
      <c r="Q9" s="33"/>
      <c r="R9" s="33"/>
    </row>
    <row r="10" spans="2:19" ht="18" customHeight="1" x14ac:dyDescent="0.3">
      <c r="B10" s="752" t="s">
        <v>38</v>
      </c>
      <c r="C10" s="753"/>
      <c r="D10" s="753"/>
      <c r="E10" s="754"/>
      <c r="F10" s="826" t="s">
        <v>27</v>
      </c>
      <c r="G10" s="827"/>
      <c r="H10" s="824">
        <f>IFERROR('Headline Results'!$H$28:$I$28,"Check Data ⚠")</f>
        <v>-0.24680128382575983</v>
      </c>
      <c r="I10" s="825"/>
      <c r="J10" s="34"/>
      <c r="O10" s="33"/>
      <c r="P10" s="33"/>
      <c r="Q10" s="33"/>
      <c r="R10" s="33"/>
      <c r="S10" s="33"/>
    </row>
    <row r="11" spans="2:19" ht="15.75" customHeight="1" x14ac:dyDescent="0.3">
      <c r="B11" s="755"/>
      <c r="C11" s="756"/>
      <c r="D11" s="756"/>
      <c r="E11" s="757"/>
      <c r="F11" s="830" t="s">
        <v>28</v>
      </c>
      <c r="G11" s="837"/>
      <c r="H11" s="835">
        <f>IFERROR('Headline Results'!$H$29:$I$29,"Check Data ⚠")</f>
        <v>0.94390381141687985</v>
      </c>
      <c r="I11" s="836"/>
    </row>
    <row r="12" spans="2:19" ht="18.600000000000001" customHeight="1" thickBot="1" x14ac:dyDescent="0.35">
      <c r="B12" s="758"/>
      <c r="C12" s="759"/>
      <c r="D12" s="759"/>
      <c r="E12" s="760"/>
      <c r="F12" s="806" t="s">
        <v>29</v>
      </c>
      <c r="G12" s="807"/>
      <c r="H12" s="814">
        <f>IFERROR('Headline Results'!$H$30:$I$30,"Check Data ⚠")</f>
        <v>0</v>
      </c>
      <c r="I12" s="815"/>
    </row>
    <row r="13" spans="2:19" ht="15.75" customHeight="1" thickBot="1" x14ac:dyDescent="0.3"/>
    <row r="14" spans="2:19" ht="18.75" customHeight="1" x14ac:dyDescent="0.25">
      <c r="B14" s="752" t="s">
        <v>39</v>
      </c>
      <c r="C14" s="753"/>
      <c r="D14" s="753"/>
      <c r="E14" s="754"/>
      <c r="F14" s="826" t="s">
        <v>27</v>
      </c>
      <c r="G14" s="834"/>
      <c r="H14" s="832">
        <f>IFERROR('Headline Results'!$H$32:$I$32,"Check Data ⚠")</f>
        <v>-8.3343616319378588E-2</v>
      </c>
      <c r="I14" s="833"/>
    </row>
    <row r="15" spans="2:19" ht="18.75" customHeight="1" x14ac:dyDescent="0.25">
      <c r="B15" s="755"/>
      <c r="C15" s="756"/>
      <c r="D15" s="756"/>
      <c r="E15" s="757"/>
      <c r="F15" s="830" t="s">
        <v>28</v>
      </c>
      <c r="G15" s="831"/>
      <c r="H15" s="828">
        <f>IFERROR('Headline Results'!$H$33:$I$33,"Check Data ⚠")</f>
        <v>21.599629551873683</v>
      </c>
      <c r="I15" s="829"/>
    </row>
    <row r="16" spans="2:19" ht="18.75" customHeight="1" thickBot="1" x14ac:dyDescent="0.3">
      <c r="B16" s="758"/>
      <c r="C16" s="759"/>
      <c r="D16" s="759"/>
      <c r="E16" s="760"/>
      <c r="F16" s="806" t="s">
        <v>29</v>
      </c>
      <c r="G16" s="840"/>
      <c r="H16" s="838">
        <f>IFERROR('Headline Results'!$H$34:$I$34,"Check Data ⚠")</f>
        <v>0</v>
      </c>
      <c r="I16" s="839"/>
    </row>
    <row r="17" spans="2:9" ht="18.75" customHeight="1" thickBot="1" x14ac:dyDescent="0.3"/>
    <row r="18" spans="2:9" ht="25.5" customHeight="1" x14ac:dyDescent="0.25">
      <c r="B18" s="844" t="s">
        <v>40</v>
      </c>
      <c r="C18" s="844"/>
      <c r="D18" s="844"/>
      <c r="E18" s="844"/>
      <c r="F18" s="844"/>
      <c r="G18" s="844"/>
      <c r="H18" s="844"/>
      <c r="I18" s="844"/>
    </row>
    <row r="19" spans="2:9" ht="22.5" customHeight="1" thickBot="1" x14ac:dyDescent="0.3">
      <c r="B19" s="845"/>
      <c r="C19" s="845"/>
      <c r="D19" s="845"/>
      <c r="E19" s="845"/>
      <c r="F19" s="845"/>
      <c r="G19" s="845"/>
      <c r="H19" s="845"/>
      <c r="I19" s="845"/>
    </row>
    <row r="20" spans="2:9" ht="18.75" customHeight="1" thickBot="1" x14ac:dyDescent="0.55000000000000004">
      <c r="B20" s="848"/>
      <c r="C20" s="848"/>
      <c r="D20" s="843" t="s">
        <v>41</v>
      </c>
      <c r="E20" s="843"/>
      <c r="F20" s="843" t="s">
        <v>42</v>
      </c>
      <c r="G20" s="843"/>
      <c r="H20" s="843" t="s">
        <v>43</v>
      </c>
      <c r="I20" s="843"/>
    </row>
    <row r="21" spans="2:9" ht="18.75" customHeight="1" x14ac:dyDescent="0.25">
      <c r="B21" s="849" t="s">
        <v>44</v>
      </c>
      <c r="C21" s="850"/>
      <c r="D21" s="841">
        <f>IF(AND($K$40=0,'A-1 Site Habitat Baseline'!Y11:Y258&lt;&gt;"No",'D-1 Off Site Habitat Baseline'!Y11:Y258&lt;&gt;"No"),'A-1 Site Habitat Baseline'!$H259+'D-1 Off Site Habitat Baseline'!H259,"Error ▲")</f>
        <v>1.0905</v>
      </c>
      <c r="E21" s="841"/>
      <c r="F21" s="846">
        <f>'B-1 Site Hedge Baseline'!$E$258+'E-1 Off Site Hedge Baseline'!$E$258</f>
        <v>3.7999999999999999E-2</v>
      </c>
      <c r="G21" s="846"/>
      <c r="H21" s="846">
        <f>'C-1 Site River Baseline'!$E$258+'F-1 Off Site River Baseline'!$E$258</f>
        <v>0</v>
      </c>
      <c r="I21" s="853"/>
    </row>
    <row r="22" spans="2:9" ht="18.75" customHeight="1" thickBot="1" x14ac:dyDescent="0.3">
      <c r="B22" s="851" t="s">
        <v>45</v>
      </c>
      <c r="C22" s="852"/>
      <c r="D22" s="842">
        <f>IF(AND($K$40=0,'A-1 Site Habitat Baseline'!Y11:Y258&lt;&gt;"No",'D-1 Off Site Habitat Baseline'!Y11:Y258&lt;&gt;"No"),'A-1 Site Habitat Baseline'!$Q259+'D-1 Off Site Habitat Baseline'!Q259,"Error ▲")</f>
        <v>2.9612499999999997</v>
      </c>
      <c r="E22" s="842"/>
      <c r="F22" s="847">
        <f>'B-1 Site Hedge Baseline'!$N$258+'E-1 Off Site Hedge Baseline'!$N$258</f>
        <v>4.3699999999999996E-2</v>
      </c>
      <c r="G22" s="847"/>
      <c r="H22" s="847">
        <f>'C-1 Site River Baseline'!$R$258+'F-1 Off Site River Baseline'!$R$258</f>
        <v>0</v>
      </c>
      <c r="I22" s="854"/>
    </row>
    <row r="23" spans="2:9" ht="18.75" customHeight="1" thickBot="1" x14ac:dyDescent="0.3">
      <c r="D23" s="34"/>
      <c r="F23" s="34"/>
      <c r="H23" s="34"/>
    </row>
    <row r="24" spans="2:9" ht="18.75" customHeight="1" x14ac:dyDescent="0.25">
      <c r="B24" s="849" t="s">
        <v>46</v>
      </c>
      <c r="C24" s="850"/>
      <c r="D24" s="841">
        <f>IF(AND($K$40=0,'A-1 Site Habitat Baseline'!Y11:Y258&lt;&gt;"No",'D-1 Off Site Habitat Baseline'!Y11:Y258&lt;&gt;"No"),'A-1 Site Habitat Baseline'!$S259+'D-1 Off Site Habitat Baseline'!S259,"Error ▲")</f>
        <v>5.7599999999999998E-2</v>
      </c>
      <c r="E24" s="841"/>
      <c r="F24" s="846">
        <f>'B-1 Site Hedge Baseline'!$P$258+'E-1 Off Site Hedge Baseline'!$P$258</f>
        <v>3.7999999999999999E-2</v>
      </c>
      <c r="G24" s="846"/>
      <c r="H24" s="846">
        <f>'C-1 Site River Baseline'!T258+'F-1 Off Site River Baseline'!T258</f>
        <v>0</v>
      </c>
      <c r="I24" s="853"/>
    </row>
    <row r="25" spans="2:9" ht="18.75" customHeight="1" thickBot="1" x14ac:dyDescent="0.3">
      <c r="B25" s="851" t="s">
        <v>47</v>
      </c>
      <c r="C25" s="852"/>
      <c r="D25" s="842">
        <f>IF(AND($K$40=0,'A-1 Site Habitat Baseline'!Y11:Y258&lt;&gt;"No",'D-1 Off Site Habitat Baseline'!Y11:Y258&lt;&gt;"No"),'A-1 Site Habitat Baseline'!$U259+'D-1 Off Site Habitat Baseline'!U259,"Error ▲")</f>
        <v>0.57177999999999995</v>
      </c>
      <c r="E25" s="842"/>
      <c r="F25" s="847">
        <f>'B-1 Site Hedge Baseline'!R258+'E-1 Off Site Hedge Baseline'!R258</f>
        <v>4.3699999999999996E-2</v>
      </c>
      <c r="G25" s="847"/>
      <c r="H25" s="847">
        <f>'C-1 Site River Baseline'!V258+'F-1 Off Site River Baseline'!V258</f>
        <v>0</v>
      </c>
      <c r="I25" s="854"/>
    </row>
    <row r="26" spans="2:9" ht="18.75" customHeight="1" thickBot="1" x14ac:dyDescent="0.3">
      <c r="D26" s="34"/>
      <c r="F26" s="34"/>
      <c r="H26" s="34"/>
    </row>
    <row r="27" spans="2:9" ht="18.75" customHeight="1" x14ac:dyDescent="0.25">
      <c r="B27" s="849" t="s">
        <v>48</v>
      </c>
      <c r="C27" s="850"/>
      <c r="D27" s="841">
        <f>IF(AND($K$40=0,'A-1 Site Habitat Baseline'!Y11:Y258&lt;&gt;"No",'D-1 Off Site Habitat Baseline'!Y11:Y258&lt;&gt;"No"),'A-1 Site Habitat Baseline'!$T259+'D-1 Off Site Habitat Baseline'!T259,"Error ▲")</f>
        <v>0</v>
      </c>
      <c r="E27" s="841"/>
      <c r="F27" s="846">
        <f>'B-1 Site Hedge Baseline'!$Q$258+'E-1 Off Site Hedge Baseline'!$Q$258</f>
        <v>0</v>
      </c>
      <c r="G27" s="846"/>
      <c r="H27" s="846">
        <f>'C-1 Site River Baseline'!U258+'F-1 Off Site River Baseline'!U258</f>
        <v>0</v>
      </c>
      <c r="I27" s="853"/>
    </row>
    <row r="28" spans="2:9" ht="18.75" customHeight="1" thickBot="1" x14ac:dyDescent="0.3">
      <c r="B28" s="851" t="s">
        <v>49</v>
      </c>
      <c r="C28" s="852"/>
      <c r="D28" s="842">
        <f>IF(AND($K$40=0,'A-1 Site Habitat Baseline'!Y11:Y258&lt;&gt;"No",'D-1 Off Site Habitat Baseline'!Y11:Y258&lt;&gt;"No"),'A-1 Site Habitat Baseline'!$V259+'D-1 Off Site Habitat Baseline'!V259,"Error ▲")</f>
        <v>0</v>
      </c>
      <c r="E28" s="842"/>
      <c r="F28" s="847">
        <f>'B-1 Site Hedge Baseline'!$S$258+'E-1 Off Site Hedge Baseline'!$S$258</f>
        <v>0</v>
      </c>
      <c r="G28" s="847"/>
      <c r="H28" s="847">
        <f>'C-1 Site River Baseline'!W258+'F-1 Off Site River Baseline'!W258</f>
        <v>0</v>
      </c>
      <c r="I28" s="854"/>
    </row>
    <row r="29" spans="2:9" ht="18.75" customHeight="1" thickBot="1" x14ac:dyDescent="0.3">
      <c r="D29" s="34"/>
      <c r="F29" s="34"/>
      <c r="H29" s="34"/>
    </row>
    <row r="30" spans="2:9" ht="18.75" customHeight="1" x14ac:dyDescent="0.25">
      <c r="B30" s="849" t="s">
        <v>50</v>
      </c>
      <c r="C30" s="850"/>
      <c r="D30" s="841">
        <f>IF(AND($K$40=0,'A-1 Site Habitat Baseline'!Y11:Y258&lt;&gt;"No",'D-1 Off Site Habitat Baseline'!Y11:Y258&lt;&gt;"No"),'A-1 Site Habitat Baseline'!$W259+'D-1 Off Site Habitat Baseline'!W259,"Error ▲")</f>
        <v>1.0329000000000002</v>
      </c>
      <c r="E30" s="841"/>
      <c r="F30" s="846">
        <f>'B-1 Site Hedge Baseline'!$T$258+'E-1 Off Site Hedge Baseline'!$T$258</f>
        <v>0</v>
      </c>
      <c r="G30" s="846"/>
      <c r="H30" s="846">
        <f>'C-1 Site River Baseline'!X258+'F-1 Off Site River Baseline'!X258</f>
        <v>0</v>
      </c>
      <c r="I30" s="853"/>
    </row>
    <row r="31" spans="2:9" ht="18.75" customHeight="1" thickBot="1" x14ac:dyDescent="0.3">
      <c r="B31" s="851" t="s">
        <v>51</v>
      </c>
      <c r="C31" s="852"/>
      <c r="D31" s="842">
        <f>IF(AND($K$40=0,'A-1 Site Habitat Baseline'!Y11:Y258&lt;&gt;"No",'D-1 Off Site Habitat Baseline'!Y11:Y258&lt;&gt;"No"),'A-1 Site Habitat Baseline'!$X259+'D-1 Off Site Habitat Baseline'!X259,"Error ▲")</f>
        <v>2.3894699999999998</v>
      </c>
      <c r="E31" s="842"/>
      <c r="F31" s="847">
        <f>'B-1 Site Hedge Baseline'!$U$258+'E-1 Off Site Hedge Baseline'!$U$258</f>
        <v>0</v>
      </c>
      <c r="G31" s="847"/>
      <c r="H31" s="847">
        <f>'C-1 Site River Baseline'!Y258+'F-1 Off Site River Baseline'!Y258</f>
        <v>0</v>
      </c>
      <c r="I31" s="854"/>
    </row>
    <row r="32" spans="2:9" ht="25.95" customHeight="1" thickBot="1" x14ac:dyDescent="0.3">
      <c r="C32" s="34"/>
      <c r="D32" s="34"/>
      <c r="E32" s="34"/>
    </row>
    <row r="33" spans="1:22" s="334" customFormat="1" ht="43.95" customHeight="1" thickTop="1" thickBot="1" x14ac:dyDescent="0.3">
      <c r="A33" s="855" t="s">
        <v>52</v>
      </c>
      <c r="C33" s="335"/>
      <c r="D33" s="335"/>
      <c r="E33" s="335"/>
    </row>
    <row r="34" spans="1:22" ht="25.8" thickBot="1" x14ac:dyDescent="0.5">
      <c r="A34" s="856"/>
      <c r="B34" s="464" t="s">
        <v>53</v>
      </c>
    </row>
    <row r="35" spans="1:22" ht="18.75" customHeight="1" thickBot="1" x14ac:dyDescent="0.3">
      <c r="A35" s="856"/>
    </row>
    <row r="36" spans="1:22" ht="22.2" customHeight="1" thickBot="1" x14ac:dyDescent="0.35">
      <c r="A36" s="856"/>
      <c r="B36" s="795" t="s">
        <v>54</v>
      </c>
      <c r="C36" s="795"/>
      <c r="D36" s="795"/>
      <c r="E36" s="795"/>
      <c r="F36" s="795"/>
      <c r="G36" s="795"/>
      <c r="H36" s="795"/>
      <c r="J36" s="808" t="s">
        <v>55</v>
      </c>
      <c r="K36" s="809"/>
      <c r="L36" s="810"/>
    </row>
    <row r="37" spans="1:22" ht="34.200000000000003" customHeight="1" thickBot="1" x14ac:dyDescent="0.3">
      <c r="A37" s="856"/>
      <c r="B37" s="35"/>
      <c r="C37" s="790" t="s">
        <v>56</v>
      </c>
      <c r="D37" s="790"/>
      <c r="E37" s="790" t="s">
        <v>57</v>
      </c>
      <c r="F37" s="790"/>
      <c r="G37" s="790" t="s">
        <v>58</v>
      </c>
      <c r="H37" s="790"/>
      <c r="J37" s="811"/>
      <c r="K37" s="812"/>
      <c r="L37" s="813"/>
      <c r="U37" s="789"/>
      <c r="V37" s="789"/>
    </row>
    <row r="38" spans="1:22" ht="52.95" customHeight="1" thickBot="1" x14ac:dyDescent="0.3">
      <c r="A38" s="856"/>
      <c r="B38" s="324" t="s">
        <v>59</v>
      </c>
      <c r="C38" s="35" t="s">
        <v>60</v>
      </c>
      <c r="D38" s="35" t="s">
        <v>61</v>
      </c>
      <c r="E38" s="35" t="s">
        <v>62</v>
      </c>
      <c r="F38" s="35" t="s">
        <v>63</v>
      </c>
      <c r="G38" s="35" t="s">
        <v>64</v>
      </c>
      <c r="H38" s="35" t="s">
        <v>65</v>
      </c>
      <c r="J38" s="799" t="s">
        <v>66</v>
      </c>
      <c r="K38" s="816" t="s">
        <v>67</v>
      </c>
      <c r="L38" s="818" t="s">
        <v>68</v>
      </c>
      <c r="U38" s="789"/>
      <c r="V38" s="789"/>
    </row>
    <row r="39" spans="1:22" ht="15.6" x14ac:dyDescent="0.25">
      <c r="A39" s="856"/>
      <c r="B39" s="43" t="s">
        <v>69</v>
      </c>
      <c r="C39" s="465">
        <f>'G-2 Habitat groups'!$AK$4</f>
        <v>0</v>
      </c>
      <c r="D39" s="465">
        <f>'G-2 Habitat groups'!$AL$4</f>
        <v>0</v>
      </c>
      <c r="E39" s="465">
        <f>'G-2 Habitat groups'!$AM$4</f>
        <v>0</v>
      </c>
      <c r="F39" s="465">
        <f>'G-2 Habitat groups'!$AN$4</f>
        <v>0</v>
      </c>
      <c r="G39" s="465">
        <f>E39-C39</f>
        <v>0</v>
      </c>
      <c r="H39" s="465">
        <f>F39-D39</f>
        <v>0</v>
      </c>
      <c r="J39" s="800"/>
      <c r="K39" s="817"/>
      <c r="L39" s="819"/>
    </row>
    <row r="40" spans="1:22" ht="15.6" x14ac:dyDescent="0.25">
      <c r="A40" s="856"/>
      <c r="B40" s="37" t="s">
        <v>70</v>
      </c>
      <c r="C40" s="467">
        <f>'G-2 Habitat groups'!$AK$5</f>
        <v>7.3499999999999996E-2</v>
      </c>
      <c r="D40" s="467">
        <f>'G-2 Habitat groups'!$AL$5</f>
        <v>0.16904999999999998</v>
      </c>
      <c r="E40" s="467">
        <f>'G-2 Habitat groups'!$AM$5</f>
        <v>9.7100000000000006E-2</v>
      </c>
      <c r="F40" s="467">
        <f>'G-2 Habitat groups'!$AN$5</f>
        <v>0.747555814819992</v>
      </c>
      <c r="G40" s="467">
        <f t="shared" ref="G40:G50" si="0">E40-C40</f>
        <v>2.360000000000001E-2</v>
      </c>
      <c r="H40" s="467">
        <f t="shared" ref="H40:H50" si="1">F40-D40</f>
        <v>0.57850581481999197</v>
      </c>
      <c r="J40" s="793" t="str">
        <f>'G-1 All Habitats'!$V$3</f>
        <v>V.High</v>
      </c>
      <c r="K40" s="801">
        <f>SUMIF('A-1 Site Habitat Baseline'!$I$11:$I$258,'Detailed Results'!J40,'A-1 Site Habitat Baseline'!$W$11:$W$258)+SUMIF('D-1 Off Site Habitat Baseline'!$I$11:$I$258,'Detailed Results'!J40,'D-1 Off Site Habitat Baseline'!$W$11:$W$258)</f>
        <v>0</v>
      </c>
      <c r="L40" s="791" t="str">
        <f>IF(K40=0,"",(K40/(SUM($K$40:$K$49)))*100)</f>
        <v/>
      </c>
    </row>
    <row r="41" spans="1:22" ht="15.6" x14ac:dyDescent="0.25">
      <c r="A41" s="856"/>
      <c r="B41" s="37" t="s">
        <v>71</v>
      </c>
      <c r="C41" s="467">
        <f>'G-2 Habitat groups'!$AK$6</f>
        <v>0.2011</v>
      </c>
      <c r="D41" s="467">
        <f>'G-2 Habitat groups'!$AL$6</f>
        <v>0.92505999999999988</v>
      </c>
      <c r="E41" s="467">
        <f>'G-2 Habitat groups'!$AM$6</f>
        <v>9.4899999999999998E-2</v>
      </c>
      <c r="F41" s="467">
        <f>'G-2 Habitat groups'!$AN$6</f>
        <v>0.73061840191984795</v>
      </c>
      <c r="G41" s="467">
        <f t="shared" si="0"/>
        <v>-0.1062</v>
      </c>
      <c r="H41" s="467">
        <f t="shared" si="1"/>
        <v>-0.19444159808015193</v>
      </c>
      <c r="J41" s="794"/>
      <c r="K41" s="802"/>
      <c r="L41" s="792"/>
    </row>
    <row r="42" spans="1:22" ht="15.6" x14ac:dyDescent="0.25">
      <c r="A42" s="856"/>
      <c r="B42" s="37" t="s">
        <v>72</v>
      </c>
      <c r="C42" s="467">
        <f>'G-2 Habitat groups'!$AK$7</f>
        <v>0</v>
      </c>
      <c r="D42" s="467">
        <f>'G-2 Habitat groups'!$AL$7</f>
        <v>0</v>
      </c>
      <c r="E42" s="467">
        <f>'G-2 Habitat groups'!$AM$7</f>
        <v>0</v>
      </c>
      <c r="F42" s="467">
        <f>'G-2 Habitat groups'!$AN$7</f>
        <v>0</v>
      </c>
      <c r="G42" s="467">
        <f t="shared" si="0"/>
        <v>0</v>
      </c>
      <c r="H42" s="467">
        <f t="shared" si="1"/>
        <v>0</v>
      </c>
      <c r="J42" s="793" t="str">
        <f>'G-1 All Habitats'!$V$4</f>
        <v>High</v>
      </c>
      <c r="K42" s="801">
        <f>SUMIF('A-1 Site Habitat Baseline'!$I$11:$I$258,'Detailed Results'!J42,'A-1 Site Habitat Baseline'!$W$11:$W$258)+SUMIF('D-1 Off Site Habitat Baseline'!$I$11:$I$258,'Detailed Results'!J42,'D-1 Off Site Habitat Baseline'!$W$11:$W$258)</f>
        <v>0</v>
      </c>
      <c r="L42" s="791" t="str">
        <f>IF(K42=0,"",(K42/(SUM($K$40:$K$49)))*100)</f>
        <v/>
      </c>
    </row>
    <row r="43" spans="1:22" ht="15.6" x14ac:dyDescent="0.25">
      <c r="A43" s="856"/>
      <c r="B43" s="37" t="s">
        <v>73</v>
      </c>
      <c r="C43" s="467">
        <f>'G-2 Habitat groups'!$AK$8</f>
        <v>0.3614</v>
      </c>
      <c r="D43" s="467">
        <f>'G-2 Habitat groups'!$AL$8</f>
        <v>0.83121999999999996</v>
      </c>
      <c r="E43" s="467">
        <f>'G-2 Habitat groups'!$AM$8</f>
        <v>0</v>
      </c>
      <c r="F43" s="467">
        <f>'G-2 Habitat groups'!$AN$8</f>
        <v>0</v>
      </c>
      <c r="G43" s="467">
        <f t="shared" si="0"/>
        <v>-0.3614</v>
      </c>
      <c r="H43" s="467">
        <f t="shared" si="1"/>
        <v>-0.83121999999999996</v>
      </c>
      <c r="J43" s="794"/>
      <c r="K43" s="802"/>
      <c r="L43" s="792"/>
    </row>
    <row r="44" spans="1:22" ht="15.6" x14ac:dyDescent="0.25">
      <c r="A44" s="856"/>
      <c r="B44" s="37" t="s">
        <v>74</v>
      </c>
      <c r="C44" s="467">
        <f>'G-2 Habitat groups'!$AK$9</f>
        <v>0.45450000000000002</v>
      </c>
      <c r="D44" s="467">
        <f>'G-2 Habitat groups'!$AL$9</f>
        <v>1.03592</v>
      </c>
      <c r="E44" s="467">
        <f>'G-2 Habitat groups'!$AM$9</f>
        <v>1.0186999999999999</v>
      </c>
      <c r="F44" s="467">
        <f>'G-2 Habitat groups'!$AN$9</f>
        <v>1.2362744994343997</v>
      </c>
      <c r="G44" s="467">
        <f t="shared" si="0"/>
        <v>0.56419999999999992</v>
      </c>
      <c r="H44" s="467">
        <f t="shared" si="1"/>
        <v>0.20035449943439976</v>
      </c>
      <c r="J44" s="793" t="str">
        <f>'G-1 All Habitats'!$V5</f>
        <v>Medium</v>
      </c>
      <c r="K44" s="801">
        <f>SUMIF('A-1 Site Habitat Baseline'!$I$11:$I$258,'Detailed Results'!J44,'A-1 Site Habitat Baseline'!$W$11:$W$258)+SUMIF('D-1 Off Site Habitat Baseline'!$I$11:$I$258,'Detailed Results'!J44,'D-1 Off Site Habitat Baseline'!$W$11:$W$258)</f>
        <v>0.25090000000000001</v>
      </c>
      <c r="L44" s="791">
        <f>IF(K44=0,"",(K44/(SUM($K$40:$K$49)))*100)</f>
        <v>24.290831639074455</v>
      </c>
    </row>
    <row r="45" spans="1:22" ht="15.6" x14ac:dyDescent="0.25">
      <c r="A45" s="856"/>
      <c r="B45" s="37" t="s">
        <v>75</v>
      </c>
      <c r="C45" s="467">
        <f>'G-2 Habitat groups'!$AK$10</f>
        <v>0</v>
      </c>
      <c r="D45" s="467">
        <f>'G-2 Habitat groups'!$AL$10</f>
        <v>0</v>
      </c>
      <c r="E45" s="467">
        <f>'G-2 Habitat groups'!$AM$10</f>
        <v>0</v>
      </c>
      <c r="F45" s="467">
        <f>'G-2 Habitat groups'!$AN$10</f>
        <v>0</v>
      </c>
      <c r="G45" s="467">
        <f t="shared" si="0"/>
        <v>0</v>
      </c>
      <c r="H45" s="467">
        <f t="shared" si="1"/>
        <v>0</v>
      </c>
      <c r="J45" s="794"/>
      <c r="K45" s="802"/>
      <c r="L45" s="792"/>
    </row>
    <row r="46" spans="1:22" ht="15.6" x14ac:dyDescent="0.25">
      <c r="A46" s="856"/>
      <c r="B46" s="38" t="s">
        <v>76</v>
      </c>
      <c r="C46" s="467">
        <f>'G-2 Habitat groups'!$AK$11</f>
        <v>0</v>
      </c>
      <c r="D46" s="467">
        <f>'G-2 Habitat groups'!$AL$11</f>
        <v>0</v>
      </c>
      <c r="E46" s="467">
        <f>'G-2 Habitat groups'!$AM$11</f>
        <v>0</v>
      </c>
      <c r="F46" s="467">
        <f>'G-2 Habitat groups'!$AN$11</f>
        <v>0</v>
      </c>
      <c r="G46" s="467">
        <f t="shared" si="0"/>
        <v>0</v>
      </c>
      <c r="H46" s="467">
        <f t="shared" si="1"/>
        <v>0</v>
      </c>
      <c r="J46" s="793" t="str">
        <f>'G-1 All Habitats'!$V$6</f>
        <v>Low</v>
      </c>
      <c r="K46" s="801">
        <f>SUMIF('A-1 Site Habitat Baseline'!$I$11:$I$258,'Detailed Results'!J46,'A-1 Site Habitat Baseline'!$W$11:$W$258)+SUMIF('D-1 Off Site Habitat Baseline'!$I$11:$I$258,'Detailed Results'!J46,'D-1 Off Site Habitat Baseline'!$W$11:$W$258)</f>
        <v>0.43490000000000001</v>
      </c>
      <c r="L46" s="791">
        <f>IF(K46=0,"",(K46/(SUM($K$40:$K$49)))*100)</f>
        <v>42.104753606351053</v>
      </c>
    </row>
    <row r="47" spans="1:22" ht="15.6" x14ac:dyDescent="0.25">
      <c r="A47" s="856"/>
      <c r="B47" s="39" t="s">
        <v>77</v>
      </c>
      <c r="C47" s="467">
        <f>'G-2 Habitat groups'!$AK$12</f>
        <v>0</v>
      </c>
      <c r="D47" s="467">
        <f>'G-2 Habitat groups'!$AL$12</f>
        <v>0</v>
      </c>
      <c r="E47" s="467">
        <f>'G-2 Habitat groups'!$AM$12</f>
        <v>0</v>
      </c>
      <c r="F47" s="467">
        <f>'G-2 Habitat groups'!$AN$12</f>
        <v>0</v>
      </c>
      <c r="G47" s="467">
        <f t="shared" si="0"/>
        <v>0</v>
      </c>
      <c r="H47" s="467">
        <f t="shared" si="1"/>
        <v>0</v>
      </c>
      <c r="J47" s="794"/>
      <c r="K47" s="802"/>
      <c r="L47" s="792"/>
    </row>
    <row r="48" spans="1:22" ht="15.6" x14ac:dyDescent="0.25">
      <c r="A48" s="856"/>
      <c r="B48" s="39" t="s">
        <v>78</v>
      </c>
      <c r="C48" s="467">
        <f>'G-2 Habitat groups'!$AK$13</f>
        <v>0</v>
      </c>
      <c r="D48" s="467">
        <f>'G-2 Habitat groups'!$AL$13</f>
        <v>0</v>
      </c>
      <c r="E48" s="467">
        <f>'G-2 Habitat groups'!$AM$13</f>
        <v>0</v>
      </c>
      <c r="F48" s="467">
        <f>'G-2 Habitat groups'!$AN$13</f>
        <v>0</v>
      </c>
      <c r="G48" s="467">
        <f t="shared" si="0"/>
        <v>0</v>
      </c>
      <c r="H48" s="467">
        <f t="shared" si="1"/>
        <v>0</v>
      </c>
      <c r="J48" s="793" t="str">
        <f>'G-1 All Habitats'!$V$7</f>
        <v>V.Low</v>
      </c>
      <c r="K48" s="801">
        <f>SUMIF('A-1 Site Habitat Baseline'!$I$11:$I$258,'Detailed Results'!J48,'A-1 Site Habitat Baseline'!$W$11:$W$258)+SUMIF('D-1 Off Site Habitat Baseline'!$I$11:$I$258,'Detailed Results'!J48,'D-1 Off Site Habitat Baseline'!$W$11:$W$258)</f>
        <v>0.34710000000000002</v>
      </c>
      <c r="L48" s="791">
        <f>IF(K48=0,"",(K48/(SUM($K$40:$K$49)))*100)</f>
        <v>33.604414754574499</v>
      </c>
    </row>
    <row r="49" spans="1:33" ht="16.2" thickBot="1" x14ac:dyDescent="0.3">
      <c r="A49" s="856"/>
      <c r="B49" s="39" t="s">
        <v>79</v>
      </c>
      <c r="C49" s="467">
        <f>'G-2 Habitat groups'!$AK$14</f>
        <v>0</v>
      </c>
      <c r="D49" s="467">
        <f>'G-2 Habitat groups'!$AL$14</f>
        <v>0</v>
      </c>
      <c r="E49" s="467">
        <f>'G-2 Habitat groups'!$AM$14</f>
        <v>0</v>
      </c>
      <c r="F49" s="467">
        <f>'G-2 Habitat groups'!$AN$14</f>
        <v>0</v>
      </c>
      <c r="G49" s="467">
        <f t="shared" si="0"/>
        <v>0</v>
      </c>
      <c r="H49" s="467">
        <f t="shared" si="1"/>
        <v>0</v>
      </c>
      <c r="J49" s="863"/>
      <c r="K49" s="802"/>
      <c r="L49" s="792"/>
    </row>
    <row r="50" spans="1:33" ht="15.6" x14ac:dyDescent="0.25">
      <c r="A50" s="856"/>
      <c r="B50" s="39" t="s">
        <v>80</v>
      </c>
      <c r="C50" s="467">
        <f>'G-2 Habitat groups'!$AK$15</f>
        <v>0</v>
      </c>
      <c r="D50" s="467">
        <f>'G-2 Habitat groups'!$AL$15</f>
        <v>0</v>
      </c>
      <c r="E50" s="467">
        <f>'G-2 Habitat groups'!$AM$15</f>
        <v>0</v>
      </c>
      <c r="F50" s="467">
        <f>'G-2 Habitat groups'!$AN$15</f>
        <v>0</v>
      </c>
      <c r="G50" s="467">
        <f t="shared" si="0"/>
        <v>0</v>
      </c>
      <c r="H50" s="467">
        <f t="shared" si="1"/>
        <v>0</v>
      </c>
    </row>
    <row r="51" spans="1:33" ht="15.6" x14ac:dyDescent="0.25">
      <c r="A51" s="856"/>
      <c r="B51" s="39" t="s">
        <v>81</v>
      </c>
      <c r="C51" s="467">
        <f>'G-2 Habitat groups'!$AK$16</f>
        <v>0</v>
      </c>
      <c r="D51" s="467">
        <f>'G-2 Habitat groups'!$AL$16</f>
        <v>0</v>
      </c>
      <c r="E51" s="467">
        <f>'G-2 Habitat groups'!$AM$16</f>
        <v>0</v>
      </c>
      <c r="F51" s="467">
        <f>'G-2 Habitat groups'!$AN$16</f>
        <v>0</v>
      </c>
      <c r="G51" s="467">
        <f t="shared" ref="G51" si="2">E51-C51</f>
        <v>0</v>
      </c>
      <c r="H51" s="467">
        <f t="shared" ref="H51" si="3">F51-D51</f>
        <v>0</v>
      </c>
    </row>
    <row r="52" spans="1:33" ht="15.75" customHeight="1" x14ac:dyDescent="0.25">
      <c r="A52" s="856"/>
    </row>
    <row r="53" spans="1:33" ht="15.75" customHeight="1" x14ac:dyDescent="0.25">
      <c r="A53" s="856"/>
    </row>
    <row r="54" spans="1:33" ht="10.199999999999999" customHeight="1" thickBot="1" x14ac:dyDescent="0.3">
      <c r="A54" s="856"/>
    </row>
    <row r="55" spans="1:33" ht="22.95" customHeight="1" thickBot="1" x14ac:dyDescent="0.5">
      <c r="A55" s="856"/>
      <c r="B55" s="795" t="s">
        <v>82</v>
      </c>
      <c r="C55" s="795"/>
      <c r="D55" s="795"/>
      <c r="E55" s="795"/>
      <c r="F55" s="795"/>
      <c r="G55" s="795"/>
      <c r="H55" s="795"/>
      <c r="I55" s="41"/>
      <c r="J55" s="41"/>
      <c r="K55" s="41"/>
      <c r="L55" s="41"/>
      <c r="M55" s="41"/>
    </row>
    <row r="56" spans="1:33" s="42" customFormat="1" ht="38.25" customHeight="1" thickBot="1" x14ac:dyDescent="0.3">
      <c r="A56" s="856"/>
      <c r="B56" s="35"/>
      <c r="C56" s="790" t="s">
        <v>56</v>
      </c>
      <c r="D56" s="790"/>
      <c r="E56" s="790" t="s">
        <v>83</v>
      </c>
      <c r="F56" s="790"/>
      <c r="G56" s="790" t="s">
        <v>84</v>
      </c>
      <c r="H56" s="790"/>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856"/>
      <c r="B57" s="324" t="s">
        <v>59</v>
      </c>
      <c r="C57" s="35" t="s">
        <v>60</v>
      </c>
      <c r="D57" s="35" t="s">
        <v>85</v>
      </c>
      <c r="E57" s="35" t="s">
        <v>86</v>
      </c>
      <c r="F57" s="35" t="s">
        <v>87</v>
      </c>
      <c r="G57" s="35" t="s">
        <v>88</v>
      </c>
      <c r="H57" s="35" t="s">
        <v>89</v>
      </c>
      <c r="I57" s="40"/>
      <c r="J57" s="40"/>
    </row>
    <row r="58" spans="1:33" ht="15.6" x14ac:dyDescent="0.25">
      <c r="A58" s="856"/>
      <c r="B58" s="43" t="s">
        <v>69</v>
      </c>
      <c r="C58" s="465">
        <f>'G-2 Habitat groups'!$AK$20</f>
        <v>0</v>
      </c>
      <c r="D58" s="465">
        <f>'G-2 Habitat groups'!$AL$20</f>
        <v>0</v>
      </c>
      <c r="E58" s="465">
        <f>'G-2 Habitat groups'!$AM$20</f>
        <v>0</v>
      </c>
      <c r="F58" s="465">
        <f>'G-2 Habitat groups'!$AN$20</f>
        <v>0</v>
      </c>
      <c r="G58" s="465">
        <f t="shared" ref="G58:G69" si="4">E58-C58</f>
        <v>0</v>
      </c>
      <c r="H58" s="466">
        <f t="shared" ref="H58:H69" si="5">F58-D58</f>
        <v>0</v>
      </c>
      <c r="I58" s="40"/>
      <c r="J58" s="40"/>
    </row>
    <row r="59" spans="1:33" ht="15.6" x14ac:dyDescent="0.25">
      <c r="A59" s="856"/>
      <c r="B59" s="37" t="s">
        <v>70</v>
      </c>
      <c r="C59" s="465">
        <f>'G-2 Habitat groups'!$AK$21</f>
        <v>0</v>
      </c>
      <c r="D59" s="465">
        <f>'G-2 Habitat groups'!$AL$21</f>
        <v>0</v>
      </c>
      <c r="E59" s="465">
        <f>'G-2 Habitat groups'!$AM$21</f>
        <v>0</v>
      </c>
      <c r="F59" s="465">
        <f>'G-2 Habitat groups'!$AN$21</f>
        <v>0</v>
      </c>
      <c r="G59" s="467">
        <f t="shared" si="4"/>
        <v>0</v>
      </c>
      <c r="H59" s="468">
        <f t="shared" si="5"/>
        <v>0</v>
      </c>
      <c r="I59" s="40"/>
      <c r="J59" s="40"/>
    </row>
    <row r="60" spans="1:33" ht="15.75" customHeight="1" x14ac:dyDescent="0.25">
      <c r="A60" s="856"/>
      <c r="B60" s="37" t="s">
        <v>71</v>
      </c>
      <c r="C60" s="465">
        <f>'G-2 Habitat groups'!$AK$22</f>
        <v>0</v>
      </c>
      <c r="D60" s="465">
        <f>'G-2 Habitat groups'!$AL$22</f>
        <v>0</v>
      </c>
      <c r="E60" s="465">
        <f>'G-2 Habitat groups'!$AM$22</f>
        <v>0</v>
      </c>
      <c r="F60" s="465">
        <f>'G-2 Habitat groups'!$AN$22</f>
        <v>0</v>
      </c>
      <c r="G60" s="467">
        <f t="shared" si="4"/>
        <v>0</v>
      </c>
      <c r="H60" s="468">
        <f t="shared" si="5"/>
        <v>0</v>
      </c>
      <c r="I60" s="40"/>
      <c r="J60" s="40"/>
    </row>
    <row r="61" spans="1:33" ht="15.6" x14ac:dyDescent="0.25">
      <c r="A61" s="856"/>
      <c r="B61" s="37" t="s">
        <v>72</v>
      </c>
      <c r="C61" s="465">
        <f>'G-2 Habitat groups'!$AK$23</f>
        <v>0</v>
      </c>
      <c r="D61" s="465">
        <f>'G-2 Habitat groups'!$AL$23</f>
        <v>0</v>
      </c>
      <c r="E61" s="465">
        <f>'G-2 Habitat groups'!$AM$23</f>
        <v>0</v>
      </c>
      <c r="F61" s="465">
        <f>'G-2 Habitat groups'!$AN$23</f>
        <v>0</v>
      </c>
      <c r="G61" s="467">
        <f t="shared" si="4"/>
        <v>0</v>
      </c>
      <c r="H61" s="468">
        <f t="shared" si="5"/>
        <v>0</v>
      </c>
      <c r="I61" s="40"/>
      <c r="J61" s="40"/>
    </row>
    <row r="62" spans="1:33" ht="15.6" x14ac:dyDescent="0.25">
      <c r="A62" s="856"/>
      <c r="B62" s="37" t="s">
        <v>73</v>
      </c>
      <c r="C62" s="465">
        <f>'G-2 Habitat groups'!$AK$24</f>
        <v>0</v>
      </c>
      <c r="D62" s="465">
        <f>'G-2 Habitat groups'!$AL$24</f>
        <v>0</v>
      </c>
      <c r="E62" s="465">
        <f>'G-2 Habitat groups'!$AM$24</f>
        <v>0</v>
      </c>
      <c r="F62" s="465">
        <f>'G-2 Habitat groups'!$AN$24</f>
        <v>0</v>
      </c>
      <c r="G62" s="467">
        <f t="shared" si="4"/>
        <v>0</v>
      </c>
      <c r="H62" s="468">
        <f t="shared" si="5"/>
        <v>0</v>
      </c>
      <c r="I62" s="40"/>
      <c r="J62" s="40"/>
    </row>
    <row r="63" spans="1:33" ht="15.6" x14ac:dyDescent="0.25">
      <c r="A63" s="856"/>
      <c r="B63" s="37" t="s">
        <v>74</v>
      </c>
      <c r="C63" s="465">
        <f>'G-2 Habitat groups'!$AK$25</f>
        <v>0</v>
      </c>
      <c r="D63" s="465">
        <f>'G-2 Habitat groups'!$AL$25</f>
        <v>0</v>
      </c>
      <c r="E63" s="465">
        <f>'G-2 Habitat groups'!$AM$25</f>
        <v>0</v>
      </c>
      <c r="F63" s="465">
        <f>'G-2 Habitat groups'!$AN$25</f>
        <v>0</v>
      </c>
      <c r="G63" s="467">
        <f t="shared" si="4"/>
        <v>0</v>
      </c>
      <c r="H63" s="468">
        <f t="shared" si="5"/>
        <v>0</v>
      </c>
      <c r="I63" s="40"/>
      <c r="J63" s="40"/>
    </row>
    <row r="64" spans="1:33" ht="15.6" x14ac:dyDescent="0.25">
      <c r="A64" s="856"/>
      <c r="B64" s="37" t="s">
        <v>75</v>
      </c>
      <c r="C64" s="465">
        <f>'G-2 Habitat groups'!$AK$26</f>
        <v>0</v>
      </c>
      <c r="D64" s="465">
        <f>'G-2 Habitat groups'!$AL$26</f>
        <v>0</v>
      </c>
      <c r="E64" s="465">
        <f>'G-2 Habitat groups'!$AM$26</f>
        <v>0</v>
      </c>
      <c r="F64" s="465">
        <f>'G-2 Habitat groups'!$AN$26</f>
        <v>0</v>
      </c>
      <c r="G64" s="467">
        <f t="shared" si="4"/>
        <v>0</v>
      </c>
      <c r="H64" s="468">
        <f t="shared" si="5"/>
        <v>0</v>
      </c>
      <c r="I64" s="40"/>
      <c r="J64" s="40"/>
    </row>
    <row r="65" spans="1:10" ht="15.6" x14ac:dyDescent="0.25">
      <c r="A65" s="856"/>
      <c r="B65" s="38" t="s">
        <v>76</v>
      </c>
      <c r="C65" s="465">
        <f>'G-2 Habitat groups'!$AK$27</f>
        <v>0</v>
      </c>
      <c r="D65" s="465">
        <f>'G-2 Habitat groups'!$AL$27</f>
        <v>0</v>
      </c>
      <c r="E65" s="465">
        <f>'G-2 Habitat groups'!$AM$27</f>
        <v>0</v>
      </c>
      <c r="F65" s="465">
        <f>'G-2 Habitat groups'!$AN$27</f>
        <v>0</v>
      </c>
      <c r="G65" s="467">
        <f t="shared" si="4"/>
        <v>0</v>
      </c>
      <c r="H65" s="468">
        <f t="shared" si="5"/>
        <v>0</v>
      </c>
      <c r="I65" s="40"/>
      <c r="J65" s="40"/>
    </row>
    <row r="66" spans="1:10" ht="15.75" customHeight="1" x14ac:dyDescent="0.25">
      <c r="A66" s="856"/>
      <c r="B66" s="44" t="s">
        <v>77</v>
      </c>
      <c r="C66" s="465">
        <f>'G-2 Habitat groups'!$AK$28</f>
        <v>0</v>
      </c>
      <c r="D66" s="465">
        <f>'G-2 Habitat groups'!$AL$28</f>
        <v>0</v>
      </c>
      <c r="E66" s="465">
        <f>'G-2 Habitat groups'!$AM$28</f>
        <v>0</v>
      </c>
      <c r="F66" s="465">
        <f>'G-2 Habitat groups'!$AN$28</f>
        <v>0</v>
      </c>
      <c r="G66" s="467">
        <f t="shared" si="4"/>
        <v>0</v>
      </c>
      <c r="H66" s="468">
        <f t="shared" si="5"/>
        <v>0</v>
      </c>
      <c r="I66" s="40"/>
      <c r="J66" s="40"/>
    </row>
    <row r="67" spans="1:10" ht="15.75" customHeight="1" x14ac:dyDescent="0.25">
      <c r="A67" s="856"/>
      <c r="B67" s="44" t="s">
        <v>78</v>
      </c>
      <c r="C67" s="465">
        <f>'G-2 Habitat groups'!$AK$29</f>
        <v>0</v>
      </c>
      <c r="D67" s="465">
        <f>'G-2 Habitat groups'!$AL$29</f>
        <v>0</v>
      </c>
      <c r="E67" s="465">
        <f>'G-2 Habitat groups'!$AM$29</f>
        <v>0</v>
      </c>
      <c r="F67" s="465">
        <f>'G-2 Habitat groups'!$AN$29</f>
        <v>0</v>
      </c>
      <c r="G67" s="467">
        <f t="shared" si="4"/>
        <v>0</v>
      </c>
      <c r="H67" s="468">
        <f t="shared" si="5"/>
        <v>0</v>
      </c>
      <c r="I67" s="40"/>
      <c r="J67" s="40"/>
    </row>
    <row r="68" spans="1:10" ht="15.75" customHeight="1" x14ac:dyDescent="0.25">
      <c r="A68" s="856"/>
      <c r="B68" s="44" t="s">
        <v>79</v>
      </c>
      <c r="C68" s="465">
        <f>'G-2 Habitat groups'!$AK$30</f>
        <v>0</v>
      </c>
      <c r="D68" s="465">
        <f>'G-2 Habitat groups'!$AL$30</f>
        <v>0</v>
      </c>
      <c r="E68" s="465">
        <f>'G-2 Habitat groups'!$AM$30</f>
        <v>0</v>
      </c>
      <c r="F68" s="465">
        <f>'G-2 Habitat groups'!$AN$30</f>
        <v>0</v>
      </c>
      <c r="G68" s="467">
        <f t="shared" si="4"/>
        <v>0</v>
      </c>
      <c r="H68" s="468">
        <f t="shared" si="5"/>
        <v>0</v>
      </c>
      <c r="I68" s="40"/>
      <c r="J68" s="40"/>
    </row>
    <row r="69" spans="1:10" ht="15.75" customHeight="1" x14ac:dyDescent="0.25">
      <c r="A69" s="856"/>
      <c r="B69" s="44" t="s">
        <v>80</v>
      </c>
      <c r="C69" s="465">
        <f>'G-2 Habitat groups'!$AK$31</f>
        <v>0</v>
      </c>
      <c r="D69" s="465">
        <f>'G-2 Habitat groups'!$AL$31</f>
        <v>0</v>
      </c>
      <c r="E69" s="465">
        <f>'G-2 Habitat groups'!$AM$31</f>
        <v>0</v>
      </c>
      <c r="F69" s="465">
        <f>'G-2 Habitat groups'!$AN$31</f>
        <v>0</v>
      </c>
      <c r="G69" s="467">
        <f t="shared" si="4"/>
        <v>0</v>
      </c>
      <c r="H69" s="468">
        <f t="shared" si="5"/>
        <v>0</v>
      </c>
      <c r="I69" s="40"/>
      <c r="J69" s="40"/>
    </row>
    <row r="70" spans="1:10" ht="15.75" customHeight="1" thickBot="1" x14ac:dyDescent="0.3">
      <c r="A70" s="856"/>
      <c r="B70" s="45" t="s">
        <v>81</v>
      </c>
      <c r="C70" s="469">
        <f>'G-2 Habitat groups'!$AK$32</f>
        <v>0</v>
      </c>
      <c r="D70" s="469">
        <f>'G-2 Habitat groups'!$AL$32</f>
        <v>0</v>
      </c>
      <c r="E70" s="469">
        <f>'G-2 Habitat groups'!$AM$32</f>
        <v>0</v>
      </c>
      <c r="F70" s="469">
        <f>'G-2 Habitat groups'!$AN$32</f>
        <v>0</v>
      </c>
      <c r="G70" s="470">
        <f t="shared" ref="G70" si="6">E70-C70</f>
        <v>0</v>
      </c>
      <c r="H70" s="471">
        <f t="shared" ref="H70" si="7">F70-D70</f>
        <v>0</v>
      </c>
      <c r="I70" s="40"/>
      <c r="J70" s="40"/>
    </row>
    <row r="71" spans="1:10" ht="15.75" customHeight="1" x14ac:dyDescent="0.25">
      <c r="A71" s="856"/>
      <c r="B71" s="40"/>
      <c r="C71" s="40"/>
      <c r="D71" s="40"/>
      <c r="E71" s="40"/>
      <c r="F71" s="40"/>
      <c r="G71" s="40"/>
      <c r="H71" s="40"/>
      <c r="I71" s="40"/>
      <c r="J71" s="40"/>
    </row>
    <row r="72" spans="1:10" ht="15.75" customHeight="1" x14ac:dyDescent="0.25">
      <c r="A72" s="856"/>
      <c r="B72" s="40"/>
      <c r="C72" s="40"/>
      <c r="D72" s="40"/>
      <c r="E72" s="40"/>
      <c r="F72" s="40"/>
      <c r="G72" s="40"/>
      <c r="H72" s="40"/>
      <c r="I72" s="40"/>
      <c r="J72" s="40"/>
    </row>
    <row r="73" spans="1:10" ht="10.95" customHeight="1" thickBot="1" x14ac:dyDescent="0.3">
      <c r="A73" s="856"/>
      <c r="B73" s="40"/>
      <c r="C73" s="40"/>
      <c r="D73" s="40"/>
      <c r="E73" s="40"/>
      <c r="F73" s="40"/>
      <c r="G73" s="40"/>
      <c r="H73" s="40"/>
      <c r="I73" s="40"/>
      <c r="J73" s="40"/>
    </row>
    <row r="74" spans="1:10" ht="18" thickBot="1" x14ac:dyDescent="0.35">
      <c r="A74" s="856"/>
      <c r="B74" s="795" t="s">
        <v>90</v>
      </c>
      <c r="C74" s="795"/>
      <c r="D74" s="795"/>
      <c r="E74" s="795"/>
      <c r="F74" s="795"/>
      <c r="G74" s="795"/>
      <c r="H74" s="795"/>
      <c r="I74" s="40"/>
      <c r="J74" s="40"/>
    </row>
    <row r="75" spans="1:10" ht="33.6" customHeight="1" thickBot="1" x14ac:dyDescent="0.3">
      <c r="A75" s="856"/>
      <c r="B75" s="35"/>
      <c r="C75" s="790" t="s">
        <v>56</v>
      </c>
      <c r="D75" s="790"/>
      <c r="E75" s="790" t="s">
        <v>91</v>
      </c>
      <c r="F75" s="790"/>
      <c r="G75" s="790" t="s">
        <v>92</v>
      </c>
      <c r="H75" s="790"/>
      <c r="I75" s="40"/>
      <c r="J75" s="40"/>
    </row>
    <row r="76" spans="1:10" ht="45.6" customHeight="1" x14ac:dyDescent="0.25">
      <c r="A76" s="856"/>
      <c r="B76" s="36" t="s">
        <v>59</v>
      </c>
      <c r="C76" s="325" t="s">
        <v>60</v>
      </c>
      <c r="D76" s="325" t="s">
        <v>61</v>
      </c>
      <c r="E76" s="325" t="s">
        <v>93</v>
      </c>
      <c r="F76" s="325" t="s">
        <v>94</v>
      </c>
      <c r="G76" s="325" t="s">
        <v>62</v>
      </c>
      <c r="H76" s="325" t="s">
        <v>63</v>
      </c>
      <c r="I76" s="40"/>
      <c r="J76" s="40"/>
    </row>
    <row r="77" spans="1:10" ht="15.75" customHeight="1" x14ac:dyDescent="0.25">
      <c r="A77" s="856"/>
      <c r="B77" s="37" t="s">
        <v>69</v>
      </c>
      <c r="C77" s="467">
        <f t="shared" ref="C77:H89" si="8">C39+C58</f>
        <v>0</v>
      </c>
      <c r="D77" s="467">
        <f t="shared" si="8"/>
        <v>0</v>
      </c>
      <c r="E77" s="467">
        <f t="shared" si="8"/>
        <v>0</v>
      </c>
      <c r="F77" s="467">
        <f t="shared" si="8"/>
        <v>0</v>
      </c>
      <c r="G77" s="467">
        <f t="shared" si="8"/>
        <v>0</v>
      </c>
      <c r="H77" s="468">
        <f t="shared" si="8"/>
        <v>0</v>
      </c>
      <c r="I77" s="40"/>
      <c r="J77" s="40"/>
    </row>
    <row r="78" spans="1:10" ht="15.75" customHeight="1" x14ac:dyDescent="0.25">
      <c r="A78" s="856"/>
      <c r="B78" s="37" t="s">
        <v>70</v>
      </c>
      <c r="C78" s="467">
        <f t="shared" si="8"/>
        <v>7.3499999999999996E-2</v>
      </c>
      <c r="D78" s="467">
        <f t="shared" si="8"/>
        <v>0.16904999999999998</v>
      </c>
      <c r="E78" s="467">
        <f t="shared" si="8"/>
        <v>9.7100000000000006E-2</v>
      </c>
      <c r="F78" s="467">
        <f t="shared" si="8"/>
        <v>0.747555814819992</v>
      </c>
      <c r="G78" s="467">
        <f t="shared" si="8"/>
        <v>2.360000000000001E-2</v>
      </c>
      <c r="H78" s="468">
        <f t="shared" si="8"/>
        <v>0.57850581481999197</v>
      </c>
      <c r="I78" s="40"/>
      <c r="J78" s="40"/>
    </row>
    <row r="79" spans="1:10" ht="15.75" customHeight="1" x14ac:dyDescent="0.25">
      <c r="A79" s="856"/>
      <c r="B79" s="37" t="s">
        <v>71</v>
      </c>
      <c r="C79" s="467">
        <f t="shared" si="8"/>
        <v>0.2011</v>
      </c>
      <c r="D79" s="467">
        <f t="shared" si="8"/>
        <v>0.92505999999999988</v>
      </c>
      <c r="E79" s="467">
        <f t="shared" si="8"/>
        <v>9.4899999999999998E-2</v>
      </c>
      <c r="F79" s="467">
        <f t="shared" si="8"/>
        <v>0.73061840191984795</v>
      </c>
      <c r="G79" s="467">
        <f t="shared" si="8"/>
        <v>-0.1062</v>
      </c>
      <c r="H79" s="468">
        <f t="shared" si="8"/>
        <v>-0.19444159808015193</v>
      </c>
      <c r="I79" s="40"/>
      <c r="J79" s="40"/>
    </row>
    <row r="80" spans="1:10" ht="15.75" customHeight="1" x14ac:dyDescent="0.25">
      <c r="A80" s="856"/>
      <c r="B80" s="37" t="s">
        <v>72</v>
      </c>
      <c r="C80" s="467">
        <f t="shared" si="8"/>
        <v>0</v>
      </c>
      <c r="D80" s="467">
        <f t="shared" si="8"/>
        <v>0</v>
      </c>
      <c r="E80" s="467">
        <f t="shared" si="8"/>
        <v>0</v>
      </c>
      <c r="F80" s="467">
        <f t="shared" si="8"/>
        <v>0</v>
      </c>
      <c r="G80" s="467">
        <f t="shared" si="8"/>
        <v>0</v>
      </c>
      <c r="H80" s="468">
        <f t="shared" si="8"/>
        <v>0</v>
      </c>
      <c r="I80" s="40"/>
      <c r="J80" s="40"/>
    </row>
    <row r="81" spans="1:12" ht="15.75" customHeight="1" x14ac:dyDescent="0.25">
      <c r="A81" s="856"/>
      <c r="B81" s="37" t="s">
        <v>73</v>
      </c>
      <c r="C81" s="467">
        <f t="shared" si="8"/>
        <v>0.3614</v>
      </c>
      <c r="D81" s="467">
        <f t="shared" si="8"/>
        <v>0.83121999999999996</v>
      </c>
      <c r="E81" s="467">
        <f t="shared" si="8"/>
        <v>0</v>
      </c>
      <c r="F81" s="467">
        <f t="shared" si="8"/>
        <v>0</v>
      </c>
      <c r="G81" s="467">
        <f t="shared" si="8"/>
        <v>-0.3614</v>
      </c>
      <c r="H81" s="468">
        <f t="shared" si="8"/>
        <v>-0.83121999999999996</v>
      </c>
      <c r="I81" s="40"/>
      <c r="J81" s="40"/>
    </row>
    <row r="82" spans="1:12" ht="15.75" customHeight="1" x14ac:dyDescent="0.25">
      <c r="A82" s="856"/>
      <c r="B82" s="37" t="s">
        <v>74</v>
      </c>
      <c r="C82" s="467">
        <f t="shared" si="8"/>
        <v>0.45450000000000002</v>
      </c>
      <c r="D82" s="467">
        <f t="shared" si="8"/>
        <v>1.03592</v>
      </c>
      <c r="E82" s="467">
        <f t="shared" si="8"/>
        <v>1.0186999999999999</v>
      </c>
      <c r="F82" s="467">
        <f t="shared" si="8"/>
        <v>1.2362744994343997</v>
      </c>
      <c r="G82" s="467">
        <f t="shared" si="8"/>
        <v>0.56419999999999992</v>
      </c>
      <c r="H82" s="468">
        <f t="shared" si="8"/>
        <v>0.20035449943439976</v>
      </c>
      <c r="I82" s="40"/>
      <c r="J82" s="40"/>
    </row>
    <row r="83" spans="1:12" ht="15.75" customHeight="1" x14ac:dyDescent="0.25">
      <c r="A83" s="856"/>
      <c r="B83" s="37" t="s">
        <v>75</v>
      </c>
      <c r="C83" s="467">
        <f t="shared" si="8"/>
        <v>0</v>
      </c>
      <c r="D83" s="467">
        <f t="shared" si="8"/>
        <v>0</v>
      </c>
      <c r="E83" s="467">
        <f t="shared" si="8"/>
        <v>0</v>
      </c>
      <c r="F83" s="467">
        <f t="shared" si="8"/>
        <v>0</v>
      </c>
      <c r="G83" s="467">
        <f t="shared" si="8"/>
        <v>0</v>
      </c>
      <c r="H83" s="468">
        <f t="shared" si="8"/>
        <v>0</v>
      </c>
      <c r="I83" s="40"/>
      <c r="J83" s="40"/>
    </row>
    <row r="84" spans="1:12" ht="18" customHeight="1" x14ac:dyDescent="0.25">
      <c r="A84" s="856"/>
      <c r="B84" s="38" t="s">
        <v>76</v>
      </c>
      <c r="C84" s="467">
        <f t="shared" si="8"/>
        <v>0</v>
      </c>
      <c r="D84" s="467">
        <f t="shared" si="8"/>
        <v>0</v>
      </c>
      <c r="E84" s="467">
        <f t="shared" si="8"/>
        <v>0</v>
      </c>
      <c r="F84" s="467">
        <f t="shared" si="8"/>
        <v>0</v>
      </c>
      <c r="G84" s="467">
        <f t="shared" si="8"/>
        <v>0</v>
      </c>
      <c r="H84" s="468">
        <f t="shared" si="8"/>
        <v>0</v>
      </c>
      <c r="I84" s="40"/>
      <c r="J84" s="40"/>
    </row>
    <row r="85" spans="1:12" ht="15.6" x14ac:dyDescent="0.25">
      <c r="A85" s="856"/>
      <c r="B85" s="44" t="s">
        <v>77</v>
      </c>
      <c r="C85" s="467">
        <f t="shared" si="8"/>
        <v>0</v>
      </c>
      <c r="D85" s="467">
        <f t="shared" si="8"/>
        <v>0</v>
      </c>
      <c r="E85" s="467">
        <f t="shared" si="8"/>
        <v>0</v>
      </c>
      <c r="F85" s="467">
        <f t="shared" si="8"/>
        <v>0</v>
      </c>
      <c r="G85" s="467">
        <f t="shared" si="8"/>
        <v>0</v>
      </c>
      <c r="H85" s="468">
        <f t="shared" si="8"/>
        <v>0</v>
      </c>
      <c r="I85" s="40"/>
      <c r="J85" s="40"/>
    </row>
    <row r="86" spans="1:12" ht="15.6" x14ac:dyDescent="0.25">
      <c r="A86" s="856"/>
      <c r="B86" s="44" t="s">
        <v>78</v>
      </c>
      <c r="C86" s="467">
        <f t="shared" si="8"/>
        <v>0</v>
      </c>
      <c r="D86" s="467">
        <f t="shared" si="8"/>
        <v>0</v>
      </c>
      <c r="E86" s="467">
        <f t="shared" si="8"/>
        <v>0</v>
      </c>
      <c r="F86" s="467">
        <f t="shared" si="8"/>
        <v>0</v>
      </c>
      <c r="G86" s="467">
        <f t="shared" si="8"/>
        <v>0</v>
      </c>
      <c r="H86" s="468">
        <f t="shared" si="8"/>
        <v>0</v>
      </c>
      <c r="I86" s="40"/>
      <c r="J86" s="40"/>
    </row>
    <row r="87" spans="1:12" ht="15.6" x14ac:dyDescent="0.25">
      <c r="A87" s="856"/>
      <c r="B87" s="44" t="s">
        <v>79</v>
      </c>
      <c r="C87" s="467">
        <f t="shared" si="8"/>
        <v>0</v>
      </c>
      <c r="D87" s="467">
        <f t="shared" si="8"/>
        <v>0</v>
      </c>
      <c r="E87" s="467">
        <f t="shared" si="8"/>
        <v>0</v>
      </c>
      <c r="F87" s="467">
        <f t="shared" si="8"/>
        <v>0</v>
      </c>
      <c r="G87" s="467">
        <f t="shared" si="8"/>
        <v>0</v>
      </c>
      <c r="H87" s="468">
        <f t="shared" si="8"/>
        <v>0</v>
      </c>
      <c r="I87" s="40"/>
      <c r="J87" s="40"/>
    </row>
    <row r="88" spans="1:12" ht="15.6" x14ac:dyDescent="0.25">
      <c r="A88" s="856"/>
      <c r="B88" s="44" t="s">
        <v>80</v>
      </c>
      <c r="C88" s="467">
        <f t="shared" si="8"/>
        <v>0</v>
      </c>
      <c r="D88" s="467">
        <f t="shared" si="8"/>
        <v>0</v>
      </c>
      <c r="E88" s="467">
        <f t="shared" si="8"/>
        <v>0</v>
      </c>
      <c r="F88" s="467">
        <f t="shared" si="8"/>
        <v>0</v>
      </c>
      <c r="G88" s="467">
        <f t="shared" si="8"/>
        <v>0</v>
      </c>
      <c r="H88" s="468">
        <f t="shared" si="8"/>
        <v>0</v>
      </c>
      <c r="I88" s="40"/>
      <c r="J88" s="40"/>
    </row>
    <row r="89" spans="1:12" ht="16.2" thickBot="1" x14ac:dyDescent="0.3">
      <c r="A89" s="856"/>
      <c r="B89" s="45" t="s">
        <v>81</v>
      </c>
      <c r="C89" s="470">
        <f t="shared" si="8"/>
        <v>0</v>
      </c>
      <c r="D89" s="470">
        <f t="shared" si="8"/>
        <v>0</v>
      </c>
      <c r="E89" s="470">
        <f t="shared" si="8"/>
        <v>0</v>
      </c>
      <c r="F89" s="470">
        <f t="shared" si="8"/>
        <v>0</v>
      </c>
      <c r="G89" s="470">
        <f t="shared" si="8"/>
        <v>0</v>
      </c>
      <c r="H89" s="471">
        <f t="shared" si="8"/>
        <v>0</v>
      </c>
      <c r="I89" s="40"/>
      <c r="J89" s="40"/>
    </row>
    <row r="90" spans="1:12" ht="15" customHeight="1" x14ac:dyDescent="0.25">
      <c r="A90" s="856"/>
      <c r="B90" s="40"/>
      <c r="C90" s="40"/>
      <c r="D90" s="40"/>
      <c r="E90" s="40"/>
      <c r="F90" s="40"/>
      <c r="G90" s="40"/>
      <c r="H90" s="40"/>
      <c r="I90" s="40"/>
      <c r="J90" s="40"/>
    </row>
    <row r="91" spans="1:12" s="333" customFormat="1" ht="66" customHeight="1" thickBot="1" x14ac:dyDescent="0.3">
      <c r="A91" s="857"/>
    </row>
    <row r="92" spans="1:12" ht="37.950000000000003" customHeight="1" thickTop="1" thickBot="1" x14ac:dyDescent="0.3">
      <c r="A92" s="858" t="s">
        <v>95</v>
      </c>
    </row>
    <row r="93" spans="1:12" ht="25.8" thickBot="1" x14ac:dyDescent="0.5">
      <c r="A93" s="859"/>
      <c r="B93" s="796" t="s">
        <v>96</v>
      </c>
      <c r="C93" s="797"/>
      <c r="D93" s="798"/>
    </row>
    <row r="94" spans="1:12" x14ac:dyDescent="0.25">
      <c r="A94" s="859"/>
    </row>
    <row r="95" spans="1:12" ht="15" customHeight="1" thickBot="1" x14ac:dyDescent="0.3">
      <c r="A95" s="859"/>
    </row>
    <row r="96" spans="1:12" ht="18" customHeight="1" thickBot="1" x14ac:dyDescent="0.35">
      <c r="A96" s="859"/>
      <c r="B96" s="795" t="s">
        <v>97</v>
      </c>
      <c r="C96" s="795"/>
      <c r="D96" s="795"/>
      <c r="E96" s="795"/>
      <c r="F96" s="795"/>
      <c r="G96" s="795"/>
      <c r="H96" s="795"/>
      <c r="J96" s="808" t="s">
        <v>98</v>
      </c>
      <c r="K96" s="809"/>
      <c r="L96" s="810"/>
    </row>
    <row r="97" spans="1:12" ht="16.2" customHeight="1" thickBot="1" x14ac:dyDescent="0.3">
      <c r="A97" s="859"/>
      <c r="B97" s="35"/>
      <c r="C97" s="790" t="s">
        <v>56</v>
      </c>
      <c r="D97" s="790"/>
      <c r="E97" s="790" t="s">
        <v>57</v>
      </c>
      <c r="F97" s="790"/>
      <c r="G97" s="790" t="s">
        <v>58</v>
      </c>
      <c r="H97" s="790"/>
      <c r="J97" s="811"/>
      <c r="K97" s="812"/>
      <c r="L97" s="813"/>
    </row>
    <row r="98" spans="1:12" ht="47.4" thickBot="1" x14ac:dyDescent="0.3">
      <c r="A98" s="859"/>
      <c r="B98" s="324" t="s">
        <v>99</v>
      </c>
      <c r="C98" s="35" t="s">
        <v>100</v>
      </c>
      <c r="D98" s="35" t="s">
        <v>61</v>
      </c>
      <c r="E98" s="35" t="s">
        <v>101</v>
      </c>
      <c r="F98" s="35" t="s">
        <v>102</v>
      </c>
      <c r="G98" s="35" t="s">
        <v>103</v>
      </c>
      <c r="H98" s="35" t="s">
        <v>104</v>
      </c>
      <c r="J98" s="799" t="s">
        <v>66</v>
      </c>
      <c r="K98" s="816" t="s">
        <v>105</v>
      </c>
      <c r="L98" s="818" t="s">
        <v>106</v>
      </c>
    </row>
    <row r="99" spans="1:12" ht="31.2" x14ac:dyDescent="0.25">
      <c r="A99" s="859"/>
      <c r="B99" s="329" t="s">
        <v>107</v>
      </c>
      <c r="C99" s="465">
        <f>'G-2 Habitat groups'!E146</f>
        <v>0</v>
      </c>
      <c r="D99" s="465">
        <f>'G-2 Habitat groups'!F146</f>
        <v>0</v>
      </c>
      <c r="E99" s="465">
        <f>'G-2 Habitat groups'!O146</f>
        <v>0</v>
      </c>
      <c r="F99" s="465">
        <f>'G-2 Habitat groups'!P146</f>
        <v>0</v>
      </c>
      <c r="G99" s="465">
        <f>E99-C99</f>
        <v>0</v>
      </c>
      <c r="H99" s="465">
        <f t="shared" ref="H99:H111" si="9">F99-D99</f>
        <v>0</v>
      </c>
      <c r="J99" s="800"/>
      <c r="K99" s="817"/>
      <c r="L99" s="819"/>
    </row>
    <row r="100" spans="1:12" ht="15.6" x14ac:dyDescent="0.25">
      <c r="A100" s="859"/>
      <c r="B100" s="330" t="s">
        <v>108</v>
      </c>
      <c r="C100" s="465">
        <f>'G-2 Habitat groups'!E147</f>
        <v>0</v>
      </c>
      <c r="D100" s="465">
        <f>'G-2 Habitat groups'!F147</f>
        <v>0</v>
      </c>
      <c r="E100" s="465">
        <f>'G-2 Habitat groups'!O147</f>
        <v>0</v>
      </c>
      <c r="F100" s="465">
        <f>'G-2 Habitat groups'!P147</f>
        <v>0</v>
      </c>
      <c r="G100" s="465">
        <f t="shared" ref="G100:G111" si="10">E100-C100</f>
        <v>0</v>
      </c>
      <c r="H100" s="465">
        <f t="shared" si="9"/>
        <v>0</v>
      </c>
      <c r="J100" s="793" t="str">
        <f>'G-1 All Habitats'!$V$3</f>
        <v>V.High</v>
      </c>
      <c r="K100" s="801">
        <f>SUMIF('B-1 Site Hedge Baseline'!$F$10:$F$257,'Detailed Results'!J100,'B-1 Site Hedge Baseline'!$T$10:$T$257)+SUMIF('E-1 Off Site Hedge Baseline'!$F$10:$F$257,'Detailed Results'!J100,'E-1 Off Site Hedge Baseline'!$T$10:$T$257)</f>
        <v>0</v>
      </c>
      <c r="L100" s="791" t="str">
        <f>IF(K100=0,"",(K100/(SUM($K$100:$K$109)))*100)</f>
        <v/>
      </c>
    </row>
    <row r="101" spans="1:12" ht="15.6" x14ac:dyDescent="0.25">
      <c r="A101" s="859"/>
      <c r="B101" s="330" t="s">
        <v>109</v>
      </c>
      <c r="C101" s="465">
        <f>'G-2 Habitat groups'!E148</f>
        <v>0</v>
      </c>
      <c r="D101" s="465">
        <f>'G-2 Habitat groups'!F148</f>
        <v>0</v>
      </c>
      <c r="E101" s="465">
        <f>'G-2 Habitat groups'!O148</f>
        <v>0</v>
      </c>
      <c r="F101" s="465">
        <f>'G-2 Habitat groups'!P148</f>
        <v>0</v>
      </c>
      <c r="G101" s="465">
        <f t="shared" si="10"/>
        <v>0</v>
      </c>
      <c r="H101" s="465">
        <f t="shared" si="9"/>
        <v>0</v>
      </c>
      <c r="J101" s="794"/>
      <c r="K101" s="802"/>
      <c r="L101" s="792"/>
    </row>
    <row r="102" spans="1:12" ht="15.6" x14ac:dyDescent="0.25">
      <c r="A102" s="859"/>
      <c r="B102" s="330" t="s">
        <v>110</v>
      </c>
      <c r="C102" s="465">
        <f>'G-2 Habitat groups'!E149</f>
        <v>0</v>
      </c>
      <c r="D102" s="465">
        <f>'G-2 Habitat groups'!F149</f>
        <v>0</v>
      </c>
      <c r="E102" s="465">
        <f>'G-2 Habitat groups'!O149</f>
        <v>0</v>
      </c>
      <c r="F102" s="465">
        <f>'G-2 Habitat groups'!P149</f>
        <v>0</v>
      </c>
      <c r="G102" s="465">
        <f t="shared" si="10"/>
        <v>0</v>
      </c>
      <c r="H102" s="465">
        <f t="shared" si="9"/>
        <v>0</v>
      </c>
      <c r="J102" s="793" t="str">
        <f>'G-1 All Habitats'!$V$4</f>
        <v>High</v>
      </c>
      <c r="K102" s="801">
        <f>SUMIF('B-1 Site Hedge Baseline'!$F$10:$F$257,'Detailed Results'!J102,'B-1 Site Hedge Baseline'!$T$10:$T$257)+SUMIF('E-1 Off Site Hedge Baseline'!$F$10:$F$257,'Detailed Results'!J102,'E-1 Off Site Hedge Baseline'!$T$10:$T$257)</f>
        <v>0</v>
      </c>
      <c r="L102" s="791" t="str">
        <f t="shared" ref="L102" si="11">IF(K102=0,"",(K102/(SUM($K$100:$K$109)))*100)</f>
        <v/>
      </c>
    </row>
    <row r="103" spans="1:12" ht="15.6" x14ac:dyDescent="0.25">
      <c r="A103" s="859"/>
      <c r="B103" s="330" t="s">
        <v>111</v>
      </c>
      <c r="C103" s="465">
        <f>'G-2 Habitat groups'!E150</f>
        <v>0</v>
      </c>
      <c r="D103" s="465">
        <f>'G-2 Habitat groups'!F150</f>
        <v>0</v>
      </c>
      <c r="E103" s="465">
        <f>'G-2 Habitat groups'!O150</f>
        <v>0.11899999999999999</v>
      </c>
      <c r="F103" s="465">
        <f>'G-2 Habitat groups'!P150</f>
        <v>0.91616006141687989</v>
      </c>
      <c r="G103" s="465">
        <f t="shared" si="10"/>
        <v>0.11899999999999999</v>
      </c>
      <c r="H103" s="465">
        <f t="shared" si="9"/>
        <v>0.91616006141687989</v>
      </c>
      <c r="J103" s="794"/>
      <c r="K103" s="802"/>
      <c r="L103" s="792"/>
    </row>
    <row r="104" spans="1:12" ht="15.6" x14ac:dyDescent="0.25">
      <c r="A104" s="859"/>
      <c r="B104" s="330" t="s">
        <v>112</v>
      </c>
      <c r="C104" s="465">
        <f>'G-2 Habitat groups'!E151</f>
        <v>0</v>
      </c>
      <c r="D104" s="465">
        <f>'G-2 Habitat groups'!F151</f>
        <v>0</v>
      </c>
      <c r="E104" s="465">
        <f>'G-2 Habitat groups'!O151</f>
        <v>0</v>
      </c>
      <c r="F104" s="465">
        <f>'G-2 Habitat groups'!P151</f>
        <v>0</v>
      </c>
      <c r="G104" s="465">
        <f t="shared" si="10"/>
        <v>0</v>
      </c>
      <c r="H104" s="465">
        <f t="shared" si="9"/>
        <v>0</v>
      </c>
      <c r="J104" s="793" t="str">
        <f>'G-1 All Habitats'!$V$5</f>
        <v>Medium</v>
      </c>
      <c r="K104" s="801">
        <f>SUMIF('B-1 Site Hedge Baseline'!$F$10:$F$257,'Detailed Results'!J104,'B-1 Site Hedge Baseline'!$T$10:$T$257)+SUMIF('E-1 Off Site Hedge Baseline'!$F$10:$F$257,'Detailed Results'!J104,'E-1 Off Site Hedge Baseline'!$T$10:$T$257)</f>
        <v>0</v>
      </c>
      <c r="L104" s="791" t="str">
        <f t="shared" ref="L104" si="12">IF(K104=0,"",(K104/(SUM($K$100:$K$109)))*100)</f>
        <v/>
      </c>
    </row>
    <row r="105" spans="1:12" ht="15.6" x14ac:dyDescent="0.25">
      <c r="A105" s="859"/>
      <c r="B105" s="330" t="s">
        <v>113</v>
      </c>
      <c r="C105" s="465">
        <f>'G-2 Habitat groups'!E152</f>
        <v>0</v>
      </c>
      <c r="D105" s="465">
        <f>'G-2 Habitat groups'!F152</f>
        <v>0</v>
      </c>
      <c r="E105" s="465">
        <f>'G-2 Habitat groups'!O152</f>
        <v>0</v>
      </c>
      <c r="F105" s="465">
        <f>'G-2 Habitat groups'!P152</f>
        <v>0</v>
      </c>
      <c r="G105" s="465">
        <f t="shared" si="10"/>
        <v>0</v>
      </c>
      <c r="H105" s="465">
        <f t="shared" si="9"/>
        <v>0</v>
      </c>
      <c r="J105" s="794"/>
      <c r="K105" s="802"/>
      <c r="L105" s="792"/>
    </row>
    <row r="106" spans="1:12" ht="15.6" x14ac:dyDescent="0.25">
      <c r="A106" s="859"/>
      <c r="B106" s="331" t="s">
        <v>114</v>
      </c>
      <c r="C106" s="465">
        <f>'G-2 Habitat groups'!E153</f>
        <v>0</v>
      </c>
      <c r="D106" s="465">
        <f>'G-2 Habitat groups'!F153</f>
        <v>0</v>
      </c>
      <c r="E106" s="465">
        <f>'G-2 Habitat groups'!O153</f>
        <v>0</v>
      </c>
      <c r="F106" s="465">
        <f>'G-2 Habitat groups'!P153</f>
        <v>0</v>
      </c>
      <c r="G106" s="465">
        <f t="shared" si="10"/>
        <v>0</v>
      </c>
      <c r="H106" s="465">
        <f t="shared" si="9"/>
        <v>0</v>
      </c>
      <c r="J106" s="793" t="str">
        <f>'G-1 All Habitats'!$V$6</f>
        <v>Low</v>
      </c>
      <c r="K106" s="801">
        <f>SUMIF('B-1 Site Hedge Baseline'!$F$10:$F$257,'Detailed Results'!J106,'B-1 Site Hedge Baseline'!$T$10:$T$257)+SUMIF('E-1 Off Site Hedge Baseline'!$F$10:$F$257,'Detailed Results'!J106,'E-1 Off Site Hedge Baseline'!$T$10:$T$257)</f>
        <v>0</v>
      </c>
      <c r="L106" s="791" t="str">
        <f t="shared" ref="L106" si="13">IF(K106=0,"",(K106/(SUM($K$100:$K$109)))*100)</f>
        <v/>
      </c>
    </row>
    <row r="107" spans="1:12" ht="15.6" x14ac:dyDescent="0.25">
      <c r="A107" s="859"/>
      <c r="B107" s="332" t="s">
        <v>115</v>
      </c>
      <c r="C107" s="465">
        <f>'G-2 Habitat groups'!E154</f>
        <v>0</v>
      </c>
      <c r="D107" s="465">
        <f>'G-2 Habitat groups'!F154</f>
        <v>0</v>
      </c>
      <c r="E107" s="465">
        <f>'G-2 Habitat groups'!O154</f>
        <v>0</v>
      </c>
      <c r="F107" s="465">
        <f>'G-2 Habitat groups'!P154</f>
        <v>0</v>
      </c>
      <c r="G107" s="465">
        <f t="shared" si="10"/>
        <v>0</v>
      </c>
      <c r="H107" s="465">
        <f t="shared" si="9"/>
        <v>0</v>
      </c>
      <c r="J107" s="794"/>
      <c r="K107" s="802"/>
      <c r="L107" s="792"/>
    </row>
    <row r="108" spans="1:12" ht="15.6" x14ac:dyDescent="0.25">
      <c r="A108" s="859"/>
      <c r="B108" s="332" t="s">
        <v>116</v>
      </c>
      <c r="C108" s="465">
        <f>'G-2 Habitat groups'!E155</f>
        <v>0</v>
      </c>
      <c r="D108" s="465">
        <f>'G-2 Habitat groups'!F155</f>
        <v>0</v>
      </c>
      <c r="E108" s="465">
        <f>'G-2 Habitat groups'!O155</f>
        <v>0</v>
      </c>
      <c r="F108" s="465">
        <f>'G-2 Habitat groups'!P155</f>
        <v>0</v>
      </c>
      <c r="G108" s="465">
        <f t="shared" si="10"/>
        <v>0</v>
      </c>
      <c r="H108" s="465">
        <f t="shared" si="9"/>
        <v>0</v>
      </c>
      <c r="J108" s="793" t="str">
        <f>'G-1 All Habitats'!$V$7</f>
        <v>V.Low</v>
      </c>
      <c r="K108" s="801">
        <f>SUMIF('B-1 Site Hedge Baseline'!$F$10:$F$257,'Detailed Results'!J108,'B-1 Site Hedge Baseline'!$T$10:$T$257)+SUMIF('E-1 Off Site Hedge Baseline'!$F$10:$F$257,'Detailed Results'!J108,'E-1 Off Site Hedge Baseline'!$T$10:$T$257)</f>
        <v>0</v>
      </c>
      <c r="L108" s="791" t="str">
        <f t="shared" ref="L108" si="14">IF(K108=0,"",(K108/(SUM($K$100:$K$109)))*100)</f>
        <v/>
      </c>
    </row>
    <row r="109" spans="1:12" ht="16.2" thickBot="1" x14ac:dyDescent="0.3">
      <c r="A109" s="859"/>
      <c r="B109" s="332" t="s">
        <v>117</v>
      </c>
      <c r="C109" s="465">
        <f>'G-2 Habitat groups'!E156</f>
        <v>0</v>
      </c>
      <c r="D109" s="465">
        <f>'G-2 Habitat groups'!F156</f>
        <v>0</v>
      </c>
      <c r="E109" s="465">
        <f>'G-2 Habitat groups'!O156</f>
        <v>0</v>
      </c>
      <c r="F109" s="465">
        <f>'G-2 Habitat groups'!P156</f>
        <v>0</v>
      </c>
      <c r="G109" s="465">
        <f t="shared" si="10"/>
        <v>0</v>
      </c>
      <c r="H109" s="465">
        <f t="shared" si="9"/>
        <v>0</v>
      </c>
      <c r="J109" s="863"/>
      <c r="K109" s="802"/>
      <c r="L109" s="792"/>
    </row>
    <row r="110" spans="1:12" ht="15.6" x14ac:dyDescent="0.25">
      <c r="A110" s="859"/>
      <c r="B110" s="332" t="s">
        <v>118</v>
      </c>
      <c r="C110" s="465">
        <f>'G-2 Habitat groups'!E157</f>
        <v>0</v>
      </c>
      <c r="D110" s="465">
        <f>'G-2 Habitat groups'!F157</f>
        <v>0</v>
      </c>
      <c r="E110" s="465">
        <f>'G-2 Habitat groups'!O157</f>
        <v>0</v>
      </c>
      <c r="F110" s="465">
        <f>'G-2 Habitat groups'!P157</f>
        <v>0</v>
      </c>
      <c r="G110" s="465">
        <f t="shared" si="10"/>
        <v>0</v>
      </c>
      <c r="H110" s="465">
        <f t="shared" si="9"/>
        <v>0</v>
      </c>
    </row>
    <row r="111" spans="1:12" ht="15.6" x14ac:dyDescent="0.25">
      <c r="A111" s="859"/>
      <c r="B111" s="332" t="s">
        <v>119</v>
      </c>
      <c r="C111" s="465">
        <f>'G-2 Habitat groups'!E158</f>
        <v>3.7999999999999999E-2</v>
      </c>
      <c r="D111" s="465">
        <f>'G-2 Habitat groups'!F158</f>
        <v>4.3699999999999996E-2</v>
      </c>
      <c r="E111" s="465">
        <f>'G-2 Habitat groups'!O158</f>
        <v>6.3E-2</v>
      </c>
      <c r="F111" s="465">
        <f>'G-2 Habitat groups'!P158</f>
        <v>7.144375E-2</v>
      </c>
      <c r="G111" s="465">
        <f t="shared" si="10"/>
        <v>2.5000000000000001E-2</v>
      </c>
      <c r="H111" s="465">
        <f t="shared" si="9"/>
        <v>2.7743750000000005E-2</v>
      </c>
    </row>
    <row r="112" spans="1:12" x14ac:dyDescent="0.25">
      <c r="A112" s="859"/>
    </row>
    <row r="113" spans="1:8" x14ac:dyDescent="0.25">
      <c r="A113" s="859"/>
    </row>
    <row r="114" spans="1:8" x14ac:dyDescent="0.25">
      <c r="A114" s="859"/>
    </row>
    <row r="115" spans="1:8" ht="14.4" thickBot="1" x14ac:dyDescent="0.3">
      <c r="A115" s="859"/>
    </row>
    <row r="116" spans="1:8" ht="18" thickBot="1" x14ac:dyDescent="0.35">
      <c r="A116" s="859"/>
      <c r="B116" s="795" t="s">
        <v>120</v>
      </c>
      <c r="C116" s="795"/>
      <c r="D116" s="795"/>
      <c r="E116" s="795"/>
      <c r="F116" s="795"/>
      <c r="G116" s="795"/>
      <c r="H116" s="795"/>
    </row>
    <row r="117" spans="1:8" ht="16.2" thickBot="1" x14ac:dyDescent="0.3">
      <c r="A117" s="859"/>
      <c r="B117" s="35"/>
      <c r="C117" s="790" t="s">
        <v>121</v>
      </c>
      <c r="D117" s="790"/>
      <c r="E117" s="790" t="s">
        <v>122</v>
      </c>
      <c r="F117" s="790"/>
      <c r="G117" s="790" t="s">
        <v>123</v>
      </c>
      <c r="H117" s="790"/>
    </row>
    <row r="118" spans="1:8" ht="47.4" thickBot="1" x14ac:dyDescent="0.3">
      <c r="A118" s="859"/>
      <c r="B118" s="324" t="s">
        <v>99</v>
      </c>
      <c r="C118" s="35" t="s">
        <v>124</v>
      </c>
      <c r="D118" s="35" t="s">
        <v>125</v>
      </c>
      <c r="E118" s="35" t="s">
        <v>126</v>
      </c>
      <c r="F118" s="35" t="s">
        <v>127</v>
      </c>
      <c r="G118" s="35" t="s">
        <v>128</v>
      </c>
      <c r="H118" s="35" t="s">
        <v>129</v>
      </c>
    </row>
    <row r="119" spans="1:8" ht="31.2" x14ac:dyDescent="0.25">
      <c r="A119" s="859"/>
      <c r="B119" s="329" t="s">
        <v>107</v>
      </c>
      <c r="C119" s="465">
        <f>'G-2 Habitat groups'!S146</f>
        <v>0</v>
      </c>
      <c r="D119" s="465">
        <f>'G-2 Habitat groups'!T146</f>
        <v>0</v>
      </c>
      <c r="E119" s="465">
        <f>'G-2 Habitat groups'!AA146</f>
        <v>0</v>
      </c>
      <c r="F119" s="465">
        <f>'G-2 Habitat groups'!AB146</f>
        <v>0</v>
      </c>
      <c r="G119" s="465">
        <f t="shared" ref="G119:G131" si="15">E119-C119</f>
        <v>0</v>
      </c>
      <c r="H119" s="465">
        <f t="shared" ref="H119:H131" si="16">F119-D119</f>
        <v>0</v>
      </c>
    </row>
    <row r="120" spans="1:8" ht="15.6" x14ac:dyDescent="0.25">
      <c r="A120" s="859"/>
      <c r="B120" s="330" t="s">
        <v>108</v>
      </c>
      <c r="C120" s="465">
        <f>'G-2 Habitat groups'!S147</f>
        <v>0</v>
      </c>
      <c r="D120" s="465">
        <f>'G-2 Habitat groups'!T147</f>
        <v>0</v>
      </c>
      <c r="E120" s="465">
        <f>'G-2 Habitat groups'!AA147</f>
        <v>0</v>
      </c>
      <c r="F120" s="465">
        <f>'G-2 Habitat groups'!AB147</f>
        <v>0</v>
      </c>
      <c r="G120" s="465">
        <f t="shared" si="15"/>
        <v>0</v>
      </c>
      <c r="H120" s="465">
        <f t="shared" si="16"/>
        <v>0</v>
      </c>
    </row>
    <row r="121" spans="1:8" ht="15.6" x14ac:dyDescent="0.25">
      <c r="A121" s="859"/>
      <c r="B121" s="330" t="s">
        <v>109</v>
      </c>
      <c r="C121" s="465">
        <f>'G-2 Habitat groups'!S148</f>
        <v>0</v>
      </c>
      <c r="D121" s="465">
        <f>'G-2 Habitat groups'!T148</f>
        <v>0</v>
      </c>
      <c r="E121" s="465">
        <f>'G-2 Habitat groups'!AA148</f>
        <v>0</v>
      </c>
      <c r="F121" s="465">
        <f>'G-2 Habitat groups'!AB148</f>
        <v>0</v>
      </c>
      <c r="G121" s="465">
        <f t="shared" si="15"/>
        <v>0</v>
      </c>
      <c r="H121" s="465">
        <f t="shared" si="16"/>
        <v>0</v>
      </c>
    </row>
    <row r="122" spans="1:8" ht="15.6" x14ac:dyDescent="0.25">
      <c r="A122" s="859"/>
      <c r="B122" s="330" t="s">
        <v>110</v>
      </c>
      <c r="C122" s="465">
        <f>'G-2 Habitat groups'!S149</f>
        <v>0</v>
      </c>
      <c r="D122" s="465">
        <f>'G-2 Habitat groups'!T149</f>
        <v>0</v>
      </c>
      <c r="E122" s="465">
        <f>'G-2 Habitat groups'!AA149</f>
        <v>0</v>
      </c>
      <c r="F122" s="465">
        <f>'G-2 Habitat groups'!AB149</f>
        <v>0</v>
      </c>
      <c r="G122" s="465">
        <f t="shared" si="15"/>
        <v>0</v>
      </c>
      <c r="H122" s="465">
        <f t="shared" si="16"/>
        <v>0</v>
      </c>
    </row>
    <row r="123" spans="1:8" ht="15.6" x14ac:dyDescent="0.25">
      <c r="A123" s="859"/>
      <c r="B123" s="330" t="s">
        <v>111</v>
      </c>
      <c r="C123" s="465">
        <f>'G-2 Habitat groups'!S150</f>
        <v>0</v>
      </c>
      <c r="D123" s="465">
        <f>'G-2 Habitat groups'!T150</f>
        <v>0</v>
      </c>
      <c r="E123" s="465">
        <f>'G-2 Habitat groups'!AA150</f>
        <v>0</v>
      </c>
      <c r="F123" s="465">
        <f>'G-2 Habitat groups'!AB150</f>
        <v>0</v>
      </c>
      <c r="G123" s="465">
        <f t="shared" si="15"/>
        <v>0</v>
      </c>
      <c r="H123" s="465">
        <f t="shared" si="16"/>
        <v>0</v>
      </c>
    </row>
    <row r="124" spans="1:8" ht="15.6" x14ac:dyDescent="0.25">
      <c r="A124" s="859"/>
      <c r="B124" s="330" t="s">
        <v>112</v>
      </c>
      <c r="C124" s="465">
        <f>'G-2 Habitat groups'!S151</f>
        <v>0</v>
      </c>
      <c r="D124" s="465">
        <f>'G-2 Habitat groups'!T151</f>
        <v>0</v>
      </c>
      <c r="E124" s="465">
        <f>'G-2 Habitat groups'!AA151</f>
        <v>0</v>
      </c>
      <c r="F124" s="465">
        <f>'G-2 Habitat groups'!AB151</f>
        <v>0</v>
      </c>
      <c r="G124" s="465">
        <f t="shared" si="15"/>
        <v>0</v>
      </c>
      <c r="H124" s="465">
        <f t="shared" si="16"/>
        <v>0</v>
      </c>
    </row>
    <row r="125" spans="1:8" ht="15.6" x14ac:dyDescent="0.25">
      <c r="A125" s="859"/>
      <c r="B125" s="330" t="s">
        <v>113</v>
      </c>
      <c r="C125" s="465">
        <f>'G-2 Habitat groups'!S152</f>
        <v>0</v>
      </c>
      <c r="D125" s="465">
        <f>'G-2 Habitat groups'!T152</f>
        <v>0</v>
      </c>
      <c r="E125" s="465">
        <f>'G-2 Habitat groups'!AA152</f>
        <v>0</v>
      </c>
      <c r="F125" s="465">
        <f>'G-2 Habitat groups'!AB152</f>
        <v>0</v>
      </c>
      <c r="G125" s="465">
        <f t="shared" si="15"/>
        <v>0</v>
      </c>
      <c r="H125" s="465">
        <f t="shared" si="16"/>
        <v>0</v>
      </c>
    </row>
    <row r="126" spans="1:8" ht="15.6" x14ac:dyDescent="0.25">
      <c r="A126" s="859"/>
      <c r="B126" s="331" t="s">
        <v>114</v>
      </c>
      <c r="C126" s="465">
        <f>'G-2 Habitat groups'!S153</f>
        <v>0</v>
      </c>
      <c r="D126" s="465">
        <f>'G-2 Habitat groups'!T153</f>
        <v>0</v>
      </c>
      <c r="E126" s="465">
        <f>'G-2 Habitat groups'!AA153</f>
        <v>0</v>
      </c>
      <c r="F126" s="465">
        <f>'G-2 Habitat groups'!AB153</f>
        <v>0</v>
      </c>
      <c r="G126" s="465">
        <f t="shared" si="15"/>
        <v>0</v>
      </c>
      <c r="H126" s="465">
        <f t="shared" si="16"/>
        <v>0</v>
      </c>
    </row>
    <row r="127" spans="1:8" ht="15.6" x14ac:dyDescent="0.25">
      <c r="A127" s="859"/>
      <c r="B127" s="332" t="s">
        <v>115</v>
      </c>
      <c r="C127" s="465">
        <f>'G-2 Habitat groups'!S154</f>
        <v>0</v>
      </c>
      <c r="D127" s="465">
        <f>'G-2 Habitat groups'!T154</f>
        <v>0</v>
      </c>
      <c r="E127" s="465">
        <f>'G-2 Habitat groups'!AA154</f>
        <v>0</v>
      </c>
      <c r="F127" s="465">
        <f>'G-2 Habitat groups'!AB154</f>
        <v>0</v>
      </c>
      <c r="G127" s="465">
        <f t="shared" si="15"/>
        <v>0</v>
      </c>
      <c r="H127" s="465">
        <f t="shared" si="16"/>
        <v>0</v>
      </c>
    </row>
    <row r="128" spans="1:8" ht="15.6" x14ac:dyDescent="0.25">
      <c r="A128" s="859"/>
      <c r="B128" s="332" t="s">
        <v>116</v>
      </c>
      <c r="C128" s="465">
        <f>'G-2 Habitat groups'!S155</f>
        <v>0</v>
      </c>
      <c r="D128" s="465">
        <f>'G-2 Habitat groups'!T155</f>
        <v>0</v>
      </c>
      <c r="E128" s="465">
        <f>'G-2 Habitat groups'!AA155</f>
        <v>0</v>
      </c>
      <c r="F128" s="465">
        <f>'G-2 Habitat groups'!AB155</f>
        <v>0</v>
      </c>
      <c r="G128" s="465">
        <f t="shared" si="15"/>
        <v>0</v>
      </c>
      <c r="H128" s="465">
        <f t="shared" si="16"/>
        <v>0</v>
      </c>
    </row>
    <row r="129" spans="1:8" ht="15.6" x14ac:dyDescent="0.25">
      <c r="A129" s="859"/>
      <c r="B129" s="332" t="s">
        <v>117</v>
      </c>
      <c r="C129" s="465">
        <f>'G-2 Habitat groups'!S156</f>
        <v>0</v>
      </c>
      <c r="D129" s="465">
        <f>'G-2 Habitat groups'!T156</f>
        <v>0</v>
      </c>
      <c r="E129" s="465">
        <f>'G-2 Habitat groups'!AA156</f>
        <v>0</v>
      </c>
      <c r="F129" s="465">
        <f>'G-2 Habitat groups'!AB156</f>
        <v>0</v>
      </c>
      <c r="G129" s="465">
        <f t="shared" si="15"/>
        <v>0</v>
      </c>
      <c r="H129" s="465">
        <f t="shared" si="16"/>
        <v>0</v>
      </c>
    </row>
    <row r="130" spans="1:8" ht="15.6" x14ac:dyDescent="0.25">
      <c r="A130" s="859"/>
      <c r="B130" s="332" t="s">
        <v>130</v>
      </c>
      <c r="C130" s="465">
        <f>'G-2 Habitat groups'!S157</f>
        <v>0</v>
      </c>
      <c r="D130" s="465">
        <f>'G-2 Habitat groups'!T157</f>
        <v>0</v>
      </c>
      <c r="E130" s="465">
        <f>'G-2 Habitat groups'!AA157</f>
        <v>0</v>
      </c>
      <c r="F130" s="465">
        <f>'G-2 Habitat groups'!AB157</f>
        <v>0</v>
      </c>
      <c r="G130" s="465">
        <f t="shared" si="15"/>
        <v>0</v>
      </c>
      <c r="H130" s="465">
        <f t="shared" si="16"/>
        <v>0</v>
      </c>
    </row>
    <row r="131" spans="1:8" ht="15.6" x14ac:dyDescent="0.25">
      <c r="A131" s="859"/>
      <c r="B131" s="332" t="s">
        <v>119</v>
      </c>
      <c r="C131" s="465">
        <f>'G-2 Habitat groups'!S158</f>
        <v>0</v>
      </c>
      <c r="D131" s="465">
        <f>'G-2 Habitat groups'!T158</f>
        <v>0</v>
      </c>
      <c r="E131" s="465">
        <f>'G-2 Habitat groups'!AA158</f>
        <v>0</v>
      </c>
      <c r="F131" s="465">
        <f>'G-2 Habitat groups'!AB158</f>
        <v>0</v>
      </c>
      <c r="G131" s="465">
        <f t="shared" si="15"/>
        <v>0</v>
      </c>
      <c r="H131" s="465">
        <f t="shared" si="16"/>
        <v>0</v>
      </c>
    </row>
    <row r="132" spans="1:8" x14ac:dyDescent="0.25">
      <c r="A132" s="859"/>
      <c r="B132" s="40"/>
      <c r="C132" s="40"/>
    </row>
    <row r="133" spans="1:8" x14ac:dyDescent="0.25">
      <c r="A133" s="859"/>
      <c r="B133" s="40"/>
      <c r="C133" s="40"/>
    </row>
    <row r="134" spans="1:8" x14ac:dyDescent="0.25">
      <c r="A134" s="859"/>
      <c r="B134" s="40"/>
      <c r="C134" s="40"/>
    </row>
    <row r="135" spans="1:8" ht="14.4" thickBot="1" x14ac:dyDescent="0.3">
      <c r="A135" s="859"/>
      <c r="B135" s="40"/>
      <c r="C135" s="40"/>
    </row>
    <row r="136" spans="1:8" ht="18" thickBot="1" x14ac:dyDescent="0.35">
      <c r="A136" s="859"/>
      <c r="B136" s="795" t="s">
        <v>131</v>
      </c>
      <c r="C136" s="795"/>
      <c r="D136" s="795"/>
      <c r="E136" s="795"/>
      <c r="F136" s="795"/>
      <c r="G136" s="795"/>
      <c r="H136" s="795"/>
    </row>
    <row r="137" spans="1:8" ht="16.2" thickBot="1" x14ac:dyDescent="0.3">
      <c r="A137" s="859"/>
      <c r="B137" s="35"/>
      <c r="C137" s="790" t="s">
        <v>56</v>
      </c>
      <c r="D137" s="790"/>
      <c r="E137" s="790" t="s">
        <v>57</v>
      </c>
      <c r="F137" s="790"/>
      <c r="G137" s="790" t="s">
        <v>58</v>
      </c>
      <c r="H137" s="790"/>
    </row>
    <row r="138" spans="1:8" ht="31.8" thickBot="1" x14ac:dyDescent="0.3">
      <c r="A138" s="859"/>
      <c r="B138" s="324" t="s">
        <v>99</v>
      </c>
      <c r="C138" s="35" t="s">
        <v>132</v>
      </c>
      <c r="D138" s="35" t="s">
        <v>61</v>
      </c>
      <c r="E138" s="35" t="s">
        <v>133</v>
      </c>
      <c r="F138" s="35" t="s">
        <v>63</v>
      </c>
      <c r="G138" s="35" t="s">
        <v>134</v>
      </c>
      <c r="H138" s="35" t="s">
        <v>65</v>
      </c>
    </row>
    <row r="139" spans="1:8" ht="31.2" x14ac:dyDescent="0.25">
      <c r="A139" s="859"/>
      <c r="B139" s="336" t="s">
        <v>107</v>
      </c>
      <c r="C139" s="467">
        <f>C99+C119</f>
        <v>0</v>
      </c>
      <c r="D139" s="467">
        <f t="shared" ref="D139:H139" si="17">D99+D119</f>
        <v>0</v>
      </c>
      <c r="E139" s="467">
        <f t="shared" si="17"/>
        <v>0</v>
      </c>
      <c r="F139" s="467">
        <f t="shared" si="17"/>
        <v>0</v>
      </c>
      <c r="G139" s="467">
        <f>G99+G119</f>
        <v>0</v>
      </c>
      <c r="H139" s="467">
        <f t="shared" si="17"/>
        <v>0</v>
      </c>
    </row>
    <row r="140" spans="1:8" ht="15.6" x14ac:dyDescent="0.25">
      <c r="A140" s="859"/>
      <c r="B140" s="337" t="s">
        <v>108</v>
      </c>
      <c r="C140" s="467">
        <f t="shared" ref="C140:H140" si="18">C100+C120</f>
        <v>0</v>
      </c>
      <c r="D140" s="467">
        <f t="shared" si="18"/>
        <v>0</v>
      </c>
      <c r="E140" s="467">
        <f t="shared" si="18"/>
        <v>0</v>
      </c>
      <c r="F140" s="467">
        <f t="shared" si="18"/>
        <v>0</v>
      </c>
      <c r="G140" s="467">
        <f t="shared" si="18"/>
        <v>0</v>
      </c>
      <c r="H140" s="467">
        <f t="shared" si="18"/>
        <v>0</v>
      </c>
    </row>
    <row r="141" spans="1:8" ht="15.6" x14ac:dyDescent="0.25">
      <c r="A141" s="859"/>
      <c r="B141" s="337" t="s">
        <v>109</v>
      </c>
      <c r="C141" s="467">
        <f>C101+C121</f>
        <v>0</v>
      </c>
      <c r="D141" s="467">
        <f t="shared" ref="D141:H141" si="19">D101+D121</f>
        <v>0</v>
      </c>
      <c r="E141" s="467">
        <f t="shared" si="19"/>
        <v>0</v>
      </c>
      <c r="F141" s="467">
        <f t="shared" si="19"/>
        <v>0</v>
      </c>
      <c r="G141" s="467">
        <f t="shared" si="19"/>
        <v>0</v>
      </c>
      <c r="H141" s="467">
        <f t="shared" si="19"/>
        <v>0</v>
      </c>
    </row>
    <row r="142" spans="1:8" ht="15.6" x14ac:dyDescent="0.25">
      <c r="A142" s="859"/>
      <c r="B142" s="337" t="s">
        <v>110</v>
      </c>
      <c r="C142" s="467">
        <f t="shared" ref="C142:H142" si="20">C102+C122</f>
        <v>0</v>
      </c>
      <c r="D142" s="467">
        <f t="shared" si="20"/>
        <v>0</v>
      </c>
      <c r="E142" s="467">
        <f t="shared" si="20"/>
        <v>0</v>
      </c>
      <c r="F142" s="467">
        <f t="shared" si="20"/>
        <v>0</v>
      </c>
      <c r="G142" s="467">
        <f t="shared" si="20"/>
        <v>0</v>
      </c>
      <c r="H142" s="467">
        <f t="shared" si="20"/>
        <v>0</v>
      </c>
    </row>
    <row r="143" spans="1:8" ht="15.6" x14ac:dyDescent="0.25">
      <c r="A143" s="859"/>
      <c r="B143" s="337" t="s">
        <v>111</v>
      </c>
      <c r="C143" s="467">
        <f t="shared" ref="C143:H143" si="21">C103+C123</f>
        <v>0</v>
      </c>
      <c r="D143" s="467">
        <f t="shared" si="21"/>
        <v>0</v>
      </c>
      <c r="E143" s="467">
        <f t="shared" si="21"/>
        <v>0.11899999999999999</v>
      </c>
      <c r="F143" s="467">
        <f t="shared" si="21"/>
        <v>0.91616006141687989</v>
      </c>
      <c r="G143" s="467">
        <f t="shared" si="21"/>
        <v>0.11899999999999999</v>
      </c>
      <c r="H143" s="467">
        <f t="shared" si="21"/>
        <v>0.91616006141687989</v>
      </c>
    </row>
    <row r="144" spans="1:8" ht="15.6" x14ac:dyDescent="0.25">
      <c r="A144" s="859"/>
      <c r="B144" s="337" t="s">
        <v>112</v>
      </c>
      <c r="C144" s="467">
        <f t="shared" ref="C144:H144" si="22">C104+C124</f>
        <v>0</v>
      </c>
      <c r="D144" s="467">
        <f t="shared" si="22"/>
        <v>0</v>
      </c>
      <c r="E144" s="467">
        <f t="shared" si="22"/>
        <v>0</v>
      </c>
      <c r="F144" s="467">
        <f t="shared" si="22"/>
        <v>0</v>
      </c>
      <c r="G144" s="467">
        <f t="shared" si="22"/>
        <v>0</v>
      </c>
      <c r="H144" s="467">
        <f t="shared" si="22"/>
        <v>0</v>
      </c>
    </row>
    <row r="145" spans="1:12" ht="15.6" x14ac:dyDescent="0.25">
      <c r="A145" s="859"/>
      <c r="B145" s="337" t="s">
        <v>113</v>
      </c>
      <c r="C145" s="467">
        <f t="shared" ref="C145:H145" si="23">C105+C125</f>
        <v>0</v>
      </c>
      <c r="D145" s="467">
        <f t="shared" si="23"/>
        <v>0</v>
      </c>
      <c r="E145" s="467">
        <f t="shared" si="23"/>
        <v>0</v>
      </c>
      <c r="F145" s="467">
        <f t="shared" si="23"/>
        <v>0</v>
      </c>
      <c r="G145" s="467">
        <f t="shared" si="23"/>
        <v>0</v>
      </c>
      <c r="H145" s="467">
        <f t="shared" si="23"/>
        <v>0</v>
      </c>
    </row>
    <row r="146" spans="1:12" ht="15.6" x14ac:dyDescent="0.25">
      <c r="A146" s="859"/>
      <c r="B146" s="337" t="s">
        <v>114</v>
      </c>
      <c r="C146" s="467">
        <f t="shared" ref="C146:H146" si="24">C106+C126</f>
        <v>0</v>
      </c>
      <c r="D146" s="467">
        <f t="shared" si="24"/>
        <v>0</v>
      </c>
      <c r="E146" s="467">
        <f t="shared" si="24"/>
        <v>0</v>
      </c>
      <c r="F146" s="467">
        <f t="shared" si="24"/>
        <v>0</v>
      </c>
      <c r="G146" s="467">
        <f t="shared" si="24"/>
        <v>0</v>
      </c>
      <c r="H146" s="467">
        <f t="shared" si="24"/>
        <v>0</v>
      </c>
    </row>
    <row r="147" spans="1:12" ht="15.6" x14ac:dyDescent="0.25">
      <c r="A147" s="859"/>
      <c r="B147" s="332" t="s">
        <v>115</v>
      </c>
      <c r="C147" s="467">
        <f t="shared" ref="C147:H147" si="25">C107+C127</f>
        <v>0</v>
      </c>
      <c r="D147" s="467">
        <f t="shared" si="25"/>
        <v>0</v>
      </c>
      <c r="E147" s="467">
        <f t="shared" si="25"/>
        <v>0</v>
      </c>
      <c r="F147" s="467">
        <f t="shared" si="25"/>
        <v>0</v>
      </c>
      <c r="G147" s="467">
        <f t="shared" si="25"/>
        <v>0</v>
      </c>
      <c r="H147" s="467">
        <f t="shared" si="25"/>
        <v>0</v>
      </c>
    </row>
    <row r="148" spans="1:12" ht="15.6" x14ac:dyDescent="0.25">
      <c r="A148" s="859"/>
      <c r="B148" s="332" t="s">
        <v>116</v>
      </c>
      <c r="C148" s="467">
        <f t="shared" ref="C148:H148" si="26">C108+C128</f>
        <v>0</v>
      </c>
      <c r="D148" s="467">
        <f t="shared" si="26"/>
        <v>0</v>
      </c>
      <c r="E148" s="467">
        <f t="shared" si="26"/>
        <v>0</v>
      </c>
      <c r="F148" s="467">
        <f t="shared" si="26"/>
        <v>0</v>
      </c>
      <c r="G148" s="467">
        <f t="shared" si="26"/>
        <v>0</v>
      </c>
      <c r="H148" s="467">
        <f t="shared" si="26"/>
        <v>0</v>
      </c>
    </row>
    <row r="149" spans="1:12" ht="15.6" x14ac:dyDescent="0.25">
      <c r="A149" s="859"/>
      <c r="B149" s="332" t="s">
        <v>117</v>
      </c>
      <c r="C149" s="467">
        <f t="shared" ref="C149:H149" si="27">C109+C129</f>
        <v>0</v>
      </c>
      <c r="D149" s="467">
        <f t="shared" si="27"/>
        <v>0</v>
      </c>
      <c r="E149" s="467">
        <f t="shared" si="27"/>
        <v>0</v>
      </c>
      <c r="F149" s="467">
        <f t="shared" si="27"/>
        <v>0</v>
      </c>
      <c r="G149" s="467">
        <f t="shared" si="27"/>
        <v>0</v>
      </c>
      <c r="H149" s="467">
        <f t="shared" si="27"/>
        <v>0</v>
      </c>
    </row>
    <row r="150" spans="1:12" ht="15.6" x14ac:dyDescent="0.25">
      <c r="A150" s="859"/>
      <c r="B150" s="332" t="s">
        <v>130</v>
      </c>
      <c r="C150" s="467">
        <f t="shared" ref="C150:H150" si="28">C110+C130</f>
        <v>0</v>
      </c>
      <c r="D150" s="467">
        <f t="shared" si="28"/>
        <v>0</v>
      </c>
      <c r="E150" s="467">
        <f t="shared" si="28"/>
        <v>0</v>
      </c>
      <c r="F150" s="467">
        <f t="shared" si="28"/>
        <v>0</v>
      </c>
      <c r="G150" s="467">
        <f t="shared" si="28"/>
        <v>0</v>
      </c>
      <c r="H150" s="467">
        <f t="shared" si="28"/>
        <v>0</v>
      </c>
    </row>
    <row r="151" spans="1:12" ht="15.6" x14ac:dyDescent="0.25">
      <c r="A151" s="859"/>
      <c r="B151" s="332" t="s">
        <v>119</v>
      </c>
      <c r="C151" s="467">
        <f t="shared" ref="C151:H151" si="29">C111+C131</f>
        <v>3.7999999999999999E-2</v>
      </c>
      <c r="D151" s="467">
        <f t="shared" si="29"/>
        <v>4.3699999999999996E-2</v>
      </c>
      <c r="E151" s="467">
        <f t="shared" si="29"/>
        <v>6.3E-2</v>
      </c>
      <c r="F151" s="467">
        <f t="shared" si="29"/>
        <v>7.144375E-2</v>
      </c>
      <c r="G151" s="467">
        <f t="shared" si="29"/>
        <v>2.5000000000000001E-2</v>
      </c>
      <c r="H151" s="467">
        <f t="shared" si="29"/>
        <v>2.7743750000000005E-2</v>
      </c>
    </row>
    <row r="152" spans="1:12" x14ac:dyDescent="0.25">
      <c r="A152" s="859"/>
    </row>
    <row r="153" spans="1:12" ht="14.4" thickBot="1" x14ac:dyDescent="0.3">
      <c r="A153" s="860"/>
    </row>
    <row r="154" spans="1:12" s="334" customFormat="1" ht="31.95" customHeight="1" thickTop="1" x14ac:dyDescent="0.25">
      <c r="A154" s="861" t="s">
        <v>135</v>
      </c>
    </row>
    <row r="155" spans="1:12" ht="14.4" thickBot="1" x14ac:dyDescent="0.3">
      <c r="A155" s="862"/>
    </row>
    <row r="156" spans="1:12" ht="25.8" thickBot="1" x14ac:dyDescent="0.5">
      <c r="A156" s="862"/>
      <c r="B156" s="796" t="s">
        <v>136</v>
      </c>
      <c r="C156" s="797"/>
      <c r="D156" s="798"/>
    </row>
    <row r="157" spans="1:12" x14ac:dyDescent="0.25">
      <c r="A157" s="862"/>
    </row>
    <row r="158" spans="1:12" ht="14.4" thickBot="1" x14ac:dyDescent="0.3">
      <c r="A158" s="862"/>
    </row>
    <row r="159" spans="1:12" ht="18" thickBot="1" x14ac:dyDescent="0.35">
      <c r="A159" s="862"/>
      <c r="B159" s="795" t="s">
        <v>137</v>
      </c>
      <c r="C159" s="795"/>
      <c r="D159" s="795"/>
      <c r="E159" s="795"/>
      <c r="F159" s="795"/>
      <c r="G159" s="795"/>
      <c r="H159" s="795"/>
      <c r="J159" s="808" t="s">
        <v>98</v>
      </c>
      <c r="K159" s="809"/>
      <c r="L159" s="810"/>
    </row>
    <row r="160" spans="1:12" ht="16.2" thickBot="1" x14ac:dyDescent="0.3">
      <c r="A160" s="862"/>
      <c r="B160" s="35"/>
      <c r="C160" s="790" t="s">
        <v>56</v>
      </c>
      <c r="D160" s="790"/>
      <c r="E160" s="790" t="s">
        <v>57</v>
      </c>
      <c r="F160" s="790"/>
      <c r="G160" s="790" t="s">
        <v>58</v>
      </c>
      <c r="H160" s="790"/>
      <c r="J160" s="811"/>
      <c r="K160" s="812"/>
      <c r="L160" s="813"/>
    </row>
    <row r="161" spans="1:12" ht="31.8" thickBot="1" x14ac:dyDescent="0.3">
      <c r="A161" s="862"/>
      <c r="B161" s="324" t="s">
        <v>138</v>
      </c>
      <c r="C161" s="35" t="s">
        <v>132</v>
      </c>
      <c r="D161" s="35" t="s">
        <v>61</v>
      </c>
      <c r="E161" s="35" t="s">
        <v>133</v>
      </c>
      <c r="F161" s="35" t="s">
        <v>63</v>
      </c>
      <c r="G161" s="35" t="s">
        <v>134</v>
      </c>
      <c r="H161" s="35" t="s">
        <v>65</v>
      </c>
      <c r="J161" s="799" t="s">
        <v>66</v>
      </c>
      <c r="K161" s="816" t="s">
        <v>105</v>
      </c>
      <c r="L161" s="818" t="s">
        <v>106</v>
      </c>
    </row>
    <row r="162" spans="1:12" ht="15.6" x14ac:dyDescent="0.25">
      <c r="A162" s="862"/>
      <c r="B162" s="329" t="s">
        <v>139</v>
      </c>
      <c r="C162" s="472">
        <f>'G-2 Habitat groups'!E168</f>
        <v>0</v>
      </c>
      <c r="D162" s="472">
        <f>'G-2 Habitat groups'!F168</f>
        <v>0</v>
      </c>
      <c r="E162" s="472">
        <f>'G-2 Habitat groups'!O168</f>
        <v>0</v>
      </c>
      <c r="F162" s="472">
        <f>'G-2 Habitat groups'!P168</f>
        <v>0</v>
      </c>
      <c r="G162" s="472">
        <f>E162-C162</f>
        <v>0</v>
      </c>
      <c r="H162" s="472">
        <f t="shared" ref="H162" si="30">F162-D162</f>
        <v>0</v>
      </c>
      <c r="J162" s="800"/>
      <c r="K162" s="817"/>
      <c r="L162" s="819"/>
    </row>
    <row r="163" spans="1:12" ht="15.6" x14ac:dyDescent="0.25">
      <c r="A163" s="862"/>
      <c r="B163" s="330" t="s">
        <v>140</v>
      </c>
      <c r="C163" s="472">
        <f>'G-2 Habitat groups'!E169</f>
        <v>0</v>
      </c>
      <c r="D163" s="472">
        <f>'G-2 Habitat groups'!F169</f>
        <v>0</v>
      </c>
      <c r="E163" s="472">
        <f>'G-2 Habitat groups'!O169</f>
        <v>0</v>
      </c>
      <c r="F163" s="472">
        <f>'G-2 Habitat groups'!P169</f>
        <v>0</v>
      </c>
      <c r="G163" s="472">
        <f t="shared" ref="G163:G166" si="31">E163-C163</f>
        <v>0</v>
      </c>
      <c r="H163" s="472">
        <f t="shared" ref="H163:H166" si="32">F163-D163</f>
        <v>0</v>
      </c>
      <c r="J163" s="793" t="str">
        <f>'G-1 All Habitats'!$V$3</f>
        <v>V.High</v>
      </c>
      <c r="K163" s="801">
        <f>SUMIF('C-1 Site River Baseline'!$F$10:$F$257,'Detailed Results'!J163,'C-1 Site River Baseline'!$X$10:$X$257)+SUMIF('F-1 Off Site River Baseline'!$F$10:$F$257,'Detailed Results'!J163,'F-1 Off Site River Baseline'!$X$10:$X$257)</f>
        <v>0</v>
      </c>
      <c r="L163" s="791" t="str">
        <f>IF(K163=0,"",(K163/(SUM($K$100:$K$109)))*100)</f>
        <v/>
      </c>
    </row>
    <row r="164" spans="1:12" ht="15.6" x14ac:dyDescent="0.25">
      <c r="A164" s="862"/>
      <c r="B164" s="330" t="s">
        <v>141</v>
      </c>
      <c r="C164" s="472">
        <f>'G-2 Habitat groups'!E170</f>
        <v>0</v>
      </c>
      <c r="D164" s="472">
        <f>'G-2 Habitat groups'!F170</f>
        <v>0</v>
      </c>
      <c r="E164" s="472">
        <f>'G-2 Habitat groups'!O170</f>
        <v>0</v>
      </c>
      <c r="F164" s="472">
        <f>'G-2 Habitat groups'!P170</f>
        <v>0</v>
      </c>
      <c r="G164" s="472">
        <f t="shared" si="31"/>
        <v>0</v>
      </c>
      <c r="H164" s="472">
        <f t="shared" si="32"/>
        <v>0</v>
      </c>
      <c r="J164" s="794"/>
      <c r="K164" s="802"/>
      <c r="L164" s="792"/>
    </row>
    <row r="165" spans="1:12" ht="15.6" x14ac:dyDescent="0.25">
      <c r="A165" s="862"/>
      <c r="B165" s="330" t="s">
        <v>142</v>
      </c>
      <c r="C165" s="472">
        <f>'G-2 Habitat groups'!E171</f>
        <v>0</v>
      </c>
      <c r="D165" s="472">
        <f>'G-2 Habitat groups'!F171</f>
        <v>0</v>
      </c>
      <c r="E165" s="472">
        <f>'G-2 Habitat groups'!O171</f>
        <v>0</v>
      </c>
      <c r="F165" s="472">
        <f>'G-2 Habitat groups'!P171</f>
        <v>0</v>
      </c>
      <c r="G165" s="472">
        <f t="shared" si="31"/>
        <v>0</v>
      </c>
      <c r="H165" s="472">
        <f t="shared" si="32"/>
        <v>0</v>
      </c>
      <c r="J165" s="793" t="str">
        <f>'G-1 All Habitats'!$V$4</f>
        <v>High</v>
      </c>
      <c r="K165" s="801">
        <f>SUMIF('C-1 Site River Baseline'!$F$10:$F$257,'Detailed Results'!J165,'C-1 Site River Baseline'!$X$10:$X$257)+SUMIF('F-1 Off Site River Baseline'!$F$10:$F$257,'Detailed Results'!J165,'F-1 Off Site River Baseline'!$X$10:$X$257)</f>
        <v>0</v>
      </c>
      <c r="L165" s="791" t="str">
        <f t="shared" ref="L165" si="33">IF(K165=0,"",(K165/(SUM($K$100:$K$109)))*100)</f>
        <v/>
      </c>
    </row>
    <row r="166" spans="1:12" ht="15.6" x14ac:dyDescent="0.25">
      <c r="A166" s="862"/>
      <c r="B166" s="330" t="s">
        <v>143</v>
      </c>
      <c r="C166" s="472">
        <f>'G-2 Habitat groups'!E172</f>
        <v>0</v>
      </c>
      <c r="D166" s="472">
        <f>'G-2 Habitat groups'!F172</f>
        <v>0</v>
      </c>
      <c r="E166" s="472">
        <f>'G-2 Habitat groups'!O172</f>
        <v>0</v>
      </c>
      <c r="F166" s="472">
        <f>'G-2 Habitat groups'!P172</f>
        <v>0</v>
      </c>
      <c r="G166" s="472">
        <f t="shared" si="31"/>
        <v>0</v>
      </c>
      <c r="H166" s="472">
        <f t="shared" si="32"/>
        <v>0</v>
      </c>
      <c r="J166" s="794"/>
      <c r="K166" s="802"/>
      <c r="L166" s="792"/>
    </row>
    <row r="167" spans="1:12" x14ac:dyDescent="0.25">
      <c r="A167" s="862"/>
      <c r="J167" s="793" t="str">
        <f>'G-1 All Habitats'!$V$5</f>
        <v>Medium</v>
      </c>
      <c r="K167" s="801">
        <f>SUMIF('C-1 Site River Baseline'!$F$10:$F$257,'Detailed Results'!J167,'C-1 Site River Baseline'!$X$10:$X$257)+SUMIF('F-1 Off Site River Baseline'!$F$10:$F$257,'Detailed Results'!J167,'F-1 Off Site River Baseline'!$X$10:$X$257)</f>
        <v>0</v>
      </c>
      <c r="L167" s="791" t="str">
        <f t="shared" ref="L167" si="34">IF(K167=0,"",(K167/(SUM($K$100:$K$109)))*100)</f>
        <v/>
      </c>
    </row>
    <row r="168" spans="1:12" x14ac:dyDescent="0.25">
      <c r="A168" s="862"/>
      <c r="J168" s="794"/>
      <c r="K168" s="802"/>
      <c r="L168" s="792"/>
    </row>
    <row r="169" spans="1:12" x14ac:dyDescent="0.25">
      <c r="A169" s="862"/>
      <c r="J169" s="793" t="str">
        <f>'G-1 All Habitats'!$V$6</f>
        <v>Low</v>
      </c>
      <c r="K169" s="801">
        <f>SUMIF('C-1 Site River Baseline'!$F$10:$F$257,'Detailed Results'!J169,'C-1 Site River Baseline'!$X$10:$X$257)+SUMIF('F-1 Off Site River Baseline'!$F$10:$F$257,'Detailed Results'!J169,'F-1 Off Site River Baseline'!$X$10:$X$257)</f>
        <v>0</v>
      </c>
      <c r="L169" s="791" t="str">
        <f t="shared" ref="L169" si="35">IF(K169=0,"",(K169/(SUM($K$100:$K$109)))*100)</f>
        <v/>
      </c>
    </row>
    <row r="170" spans="1:12" x14ac:dyDescent="0.25">
      <c r="A170" s="862"/>
      <c r="J170" s="794"/>
      <c r="K170" s="802"/>
      <c r="L170" s="792"/>
    </row>
    <row r="171" spans="1:12" x14ac:dyDescent="0.25">
      <c r="A171" s="862"/>
    </row>
    <row r="172" spans="1:12" x14ac:dyDescent="0.25">
      <c r="A172" s="862"/>
    </row>
    <row r="173" spans="1:12" x14ac:dyDescent="0.25">
      <c r="A173" s="862"/>
    </row>
    <row r="174" spans="1:12" x14ac:dyDescent="0.25">
      <c r="A174" s="862"/>
    </row>
    <row r="175" spans="1:12" x14ac:dyDescent="0.25">
      <c r="A175" s="862"/>
    </row>
    <row r="176" spans="1:12" x14ac:dyDescent="0.25">
      <c r="A176" s="862"/>
    </row>
    <row r="177" spans="1:8" x14ac:dyDescent="0.25">
      <c r="A177" s="862"/>
    </row>
    <row r="178" spans="1:8" ht="14.4" thickBot="1" x14ac:dyDescent="0.3">
      <c r="A178" s="862"/>
    </row>
    <row r="179" spans="1:8" ht="18" thickBot="1" x14ac:dyDescent="0.35">
      <c r="A179" s="862"/>
      <c r="B179" s="795" t="s">
        <v>144</v>
      </c>
      <c r="C179" s="795"/>
      <c r="D179" s="795"/>
      <c r="E179" s="795"/>
      <c r="F179" s="795"/>
      <c r="G179" s="795"/>
      <c r="H179" s="795"/>
    </row>
    <row r="180" spans="1:8" ht="16.2" thickBot="1" x14ac:dyDescent="0.3">
      <c r="A180" s="862"/>
      <c r="B180" s="35"/>
      <c r="C180" s="790" t="s">
        <v>56</v>
      </c>
      <c r="D180" s="790"/>
      <c r="E180" s="790" t="s">
        <v>145</v>
      </c>
      <c r="F180" s="790"/>
      <c r="G180" s="790" t="s">
        <v>84</v>
      </c>
      <c r="H180" s="790"/>
    </row>
    <row r="181" spans="1:8" ht="47.4" thickBot="1" x14ac:dyDescent="0.3">
      <c r="A181" s="862"/>
      <c r="B181" s="324" t="s">
        <v>138</v>
      </c>
      <c r="C181" s="35" t="s">
        <v>124</v>
      </c>
      <c r="D181" s="35" t="s">
        <v>125</v>
      </c>
      <c r="E181" s="35" t="s">
        <v>126</v>
      </c>
      <c r="F181" s="35" t="s">
        <v>127</v>
      </c>
      <c r="G181" s="35" t="s">
        <v>128</v>
      </c>
      <c r="H181" s="35" t="s">
        <v>89</v>
      </c>
    </row>
    <row r="182" spans="1:8" ht="15.6" x14ac:dyDescent="0.25">
      <c r="A182" s="862"/>
      <c r="B182" s="329" t="s">
        <v>139</v>
      </c>
      <c r="C182" s="472">
        <f>'G-2 Habitat groups'!S168</f>
        <v>0</v>
      </c>
      <c r="D182" s="472">
        <f>'G-2 Habitat groups'!T168</f>
        <v>0</v>
      </c>
      <c r="E182" s="472">
        <f>'G-2 Habitat groups'!AA168</f>
        <v>0</v>
      </c>
      <c r="F182" s="472">
        <f>'G-2 Habitat groups'!AB209</f>
        <v>0</v>
      </c>
      <c r="G182" s="472">
        <f t="shared" ref="G182:G186" si="36">E182-C182</f>
        <v>0</v>
      </c>
      <c r="H182" s="472">
        <f t="shared" ref="H182:H186" si="37">F182-D182</f>
        <v>0</v>
      </c>
    </row>
    <row r="183" spans="1:8" ht="15.6" x14ac:dyDescent="0.25">
      <c r="A183" s="862"/>
      <c r="B183" s="330" t="s">
        <v>140</v>
      </c>
      <c r="C183" s="472">
        <f>'G-2 Habitat groups'!S169</f>
        <v>0</v>
      </c>
      <c r="D183" s="472">
        <f>'G-2 Habitat groups'!T169</f>
        <v>0</v>
      </c>
      <c r="E183" s="472">
        <f>'G-2 Habitat groups'!AA169</f>
        <v>0</v>
      </c>
      <c r="F183" s="472">
        <f>'G-2 Habitat groups'!AB210</f>
        <v>0</v>
      </c>
      <c r="G183" s="472">
        <f t="shared" si="36"/>
        <v>0</v>
      </c>
      <c r="H183" s="472">
        <f t="shared" si="37"/>
        <v>0</v>
      </c>
    </row>
    <row r="184" spans="1:8" ht="15.6" x14ac:dyDescent="0.25">
      <c r="A184" s="862"/>
      <c r="B184" s="330" t="s">
        <v>141</v>
      </c>
      <c r="C184" s="472">
        <f>'G-2 Habitat groups'!S170</f>
        <v>0</v>
      </c>
      <c r="D184" s="472">
        <f>'G-2 Habitat groups'!T170</f>
        <v>0</v>
      </c>
      <c r="E184" s="472">
        <f>'G-2 Habitat groups'!AA170</f>
        <v>0</v>
      </c>
      <c r="F184" s="472">
        <f>'G-2 Habitat groups'!AB211</f>
        <v>0</v>
      </c>
      <c r="G184" s="472">
        <f t="shared" si="36"/>
        <v>0</v>
      </c>
      <c r="H184" s="472">
        <f t="shared" si="37"/>
        <v>0</v>
      </c>
    </row>
    <row r="185" spans="1:8" ht="15.6" x14ac:dyDescent="0.25">
      <c r="A185" s="862"/>
      <c r="B185" s="330" t="s">
        <v>142</v>
      </c>
      <c r="C185" s="472">
        <f>'G-2 Habitat groups'!S171</f>
        <v>0</v>
      </c>
      <c r="D185" s="472">
        <f>'G-2 Habitat groups'!T171</f>
        <v>0</v>
      </c>
      <c r="E185" s="472">
        <f>'G-2 Habitat groups'!AA171</f>
        <v>0</v>
      </c>
      <c r="F185" s="472">
        <f>'G-2 Habitat groups'!AB212</f>
        <v>0</v>
      </c>
      <c r="G185" s="472">
        <f t="shared" si="36"/>
        <v>0</v>
      </c>
      <c r="H185" s="472">
        <f t="shared" si="37"/>
        <v>0</v>
      </c>
    </row>
    <row r="186" spans="1:8" ht="15.6" x14ac:dyDescent="0.25">
      <c r="A186" s="862"/>
      <c r="B186" s="330" t="s">
        <v>143</v>
      </c>
      <c r="C186" s="472">
        <f>'G-2 Habitat groups'!S172</f>
        <v>0</v>
      </c>
      <c r="D186" s="472">
        <f>'G-2 Habitat groups'!T172</f>
        <v>0</v>
      </c>
      <c r="E186" s="472">
        <f>'G-2 Habitat groups'!AA172</f>
        <v>0</v>
      </c>
      <c r="F186" s="472">
        <f>'G-2 Habitat groups'!AB213</f>
        <v>0</v>
      </c>
      <c r="G186" s="472">
        <f t="shared" si="36"/>
        <v>0</v>
      </c>
      <c r="H186" s="472">
        <f t="shared" si="37"/>
        <v>0</v>
      </c>
    </row>
    <row r="187" spans="1:8" x14ac:dyDescent="0.25">
      <c r="A187" s="862"/>
      <c r="B187" s="40"/>
      <c r="C187" s="40"/>
      <c r="D187" s="40"/>
      <c r="E187" s="40"/>
      <c r="F187" s="40"/>
      <c r="G187" s="40"/>
      <c r="H187" s="40"/>
    </row>
    <row r="188" spans="1:8" x14ac:dyDescent="0.25">
      <c r="A188" s="862"/>
      <c r="B188" s="40"/>
      <c r="C188" s="40"/>
      <c r="D188" s="40"/>
      <c r="E188" s="40"/>
      <c r="F188" s="40"/>
      <c r="G188" s="40"/>
      <c r="H188" s="40"/>
    </row>
    <row r="189" spans="1:8" x14ac:dyDescent="0.25">
      <c r="A189" s="862"/>
      <c r="B189" s="40"/>
      <c r="C189" s="40"/>
      <c r="D189" s="40"/>
      <c r="E189" s="40"/>
      <c r="F189" s="40"/>
      <c r="G189" s="40"/>
      <c r="H189" s="40"/>
    </row>
    <row r="190" spans="1:8" x14ac:dyDescent="0.25">
      <c r="A190" s="862"/>
      <c r="B190" s="40"/>
      <c r="C190" s="40"/>
      <c r="D190" s="40"/>
      <c r="E190" s="40"/>
      <c r="F190" s="40"/>
      <c r="G190" s="40"/>
      <c r="H190" s="40"/>
    </row>
    <row r="191" spans="1:8" x14ac:dyDescent="0.25">
      <c r="A191" s="862"/>
      <c r="B191" s="40"/>
      <c r="C191" s="40"/>
      <c r="D191" s="40"/>
      <c r="E191" s="40"/>
      <c r="F191" s="40"/>
      <c r="G191" s="40"/>
      <c r="H191" s="40"/>
    </row>
    <row r="192" spans="1:8" x14ac:dyDescent="0.25">
      <c r="A192" s="862"/>
      <c r="B192" s="40"/>
      <c r="C192" s="40"/>
      <c r="D192" s="40"/>
      <c r="E192" s="40"/>
      <c r="F192" s="40"/>
      <c r="G192" s="40"/>
      <c r="H192" s="40"/>
    </row>
    <row r="193" spans="1:8" x14ac:dyDescent="0.25">
      <c r="A193" s="862"/>
      <c r="B193" s="40"/>
      <c r="C193" s="40"/>
      <c r="D193" s="40"/>
      <c r="E193" s="40"/>
      <c r="F193" s="40"/>
      <c r="G193" s="40"/>
      <c r="H193" s="40"/>
    </row>
    <row r="194" spans="1:8" x14ac:dyDescent="0.25">
      <c r="A194" s="862"/>
      <c r="B194" s="40"/>
      <c r="C194" s="40"/>
      <c r="D194" s="40"/>
      <c r="E194" s="40"/>
      <c r="F194" s="40"/>
      <c r="G194" s="40"/>
      <c r="H194" s="40"/>
    </row>
    <row r="195" spans="1:8" x14ac:dyDescent="0.25">
      <c r="A195" s="862"/>
      <c r="B195" s="40"/>
      <c r="C195" s="40"/>
    </row>
    <row r="196" spans="1:8" x14ac:dyDescent="0.25">
      <c r="A196" s="862"/>
      <c r="B196" s="40"/>
      <c r="C196" s="40"/>
    </row>
    <row r="197" spans="1:8" x14ac:dyDescent="0.25">
      <c r="A197" s="862"/>
      <c r="B197" s="40"/>
      <c r="C197" s="40"/>
    </row>
    <row r="198" spans="1:8" ht="14.4" thickBot="1" x14ac:dyDescent="0.3">
      <c r="A198" s="862"/>
      <c r="B198" s="40"/>
      <c r="C198" s="40"/>
    </row>
    <row r="199" spans="1:8" ht="18" thickBot="1" x14ac:dyDescent="0.35">
      <c r="A199" s="862"/>
      <c r="B199" s="795" t="s">
        <v>146</v>
      </c>
      <c r="C199" s="795"/>
      <c r="D199" s="795"/>
      <c r="E199" s="795"/>
      <c r="F199" s="795"/>
      <c r="G199" s="795"/>
      <c r="H199" s="795"/>
    </row>
    <row r="200" spans="1:8" ht="16.2" thickBot="1" x14ac:dyDescent="0.3">
      <c r="A200" s="862"/>
      <c r="B200" s="35"/>
      <c r="C200" s="790" t="s">
        <v>56</v>
      </c>
      <c r="D200" s="790"/>
      <c r="E200" s="790" t="s">
        <v>57</v>
      </c>
      <c r="F200" s="790"/>
      <c r="G200" s="790" t="s">
        <v>58</v>
      </c>
      <c r="H200" s="790"/>
    </row>
    <row r="201" spans="1:8" ht="31.8" thickBot="1" x14ac:dyDescent="0.3">
      <c r="A201" s="862"/>
      <c r="B201" s="324" t="s">
        <v>138</v>
      </c>
      <c r="C201" s="35" t="s">
        <v>132</v>
      </c>
      <c r="D201" s="35" t="s">
        <v>61</v>
      </c>
      <c r="E201" s="35" t="s">
        <v>133</v>
      </c>
      <c r="F201" s="35" t="s">
        <v>63</v>
      </c>
      <c r="G201" s="35" t="s">
        <v>134</v>
      </c>
      <c r="H201" s="35" t="s">
        <v>65</v>
      </c>
    </row>
    <row r="202" spans="1:8" ht="15.6" x14ac:dyDescent="0.25">
      <c r="A202" s="862"/>
      <c r="B202" s="329" t="s">
        <v>139</v>
      </c>
      <c r="C202" s="472">
        <f>C162+C182</f>
        <v>0</v>
      </c>
      <c r="D202" s="472">
        <f t="shared" ref="D202:H202" si="38">D162+D182</f>
        <v>0</v>
      </c>
      <c r="E202" s="472">
        <f t="shared" si="38"/>
        <v>0</v>
      </c>
      <c r="F202" s="472">
        <f t="shared" si="38"/>
        <v>0</v>
      </c>
      <c r="G202" s="472">
        <f t="shared" si="38"/>
        <v>0</v>
      </c>
      <c r="H202" s="472">
        <f t="shared" si="38"/>
        <v>0</v>
      </c>
    </row>
    <row r="203" spans="1:8" ht="15.6" x14ac:dyDescent="0.25">
      <c r="A203" s="862"/>
      <c r="B203" s="330" t="s">
        <v>140</v>
      </c>
      <c r="C203" s="472">
        <f>C163+C183</f>
        <v>0</v>
      </c>
      <c r="D203" s="472">
        <f t="shared" ref="D203:H203" si="39">D163+D183</f>
        <v>0</v>
      </c>
      <c r="E203" s="472">
        <f t="shared" si="39"/>
        <v>0</v>
      </c>
      <c r="F203" s="472">
        <f t="shared" si="39"/>
        <v>0</v>
      </c>
      <c r="G203" s="472">
        <f t="shared" si="39"/>
        <v>0</v>
      </c>
      <c r="H203" s="472">
        <f t="shared" si="39"/>
        <v>0</v>
      </c>
    </row>
    <row r="204" spans="1:8" ht="15.6" x14ac:dyDescent="0.25">
      <c r="A204" s="862"/>
      <c r="B204" s="330" t="s">
        <v>141</v>
      </c>
      <c r="C204" s="472">
        <f t="shared" ref="C204:H204" si="40">C164+C184</f>
        <v>0</v>
      </c>
      <c r="D204" s="472">
        <f t="shared" si="40"/>
        <v>0</v>
      </c>
      <c r="E204" s="472">
        <f t="shared" si="40"/>
        <v>0</v>
      </c>
      <c r="F204" s="472">
        <f t="shared" si="40"/>
        <v>0</v>
      </c>
      <c r="G204" s="472">
        <f t="shared" si="40"/>
        <v>0</v>
      </c>
      <c r="H204" s="472">
        <f t="shared" si="40"/>
        <v>0</v>
      </c>
    </row>
    <row r="205" spans="1:8" ht="15.6" x14ac:dyDescent="0.25">
      <c r="A205" s="862"/>
      <c r="B205" s="330" t="s">
        <v>142</v>
      </c>
      <c r="C205" s="472">
        <f t="shared" ref="C205:H205" si="41">C165+C185</f>
        <v>0</v>
      </c>
      <c r="D205" s="472">
        <f t="shared" si="41"/>
        <v>0</v>
      </c>
      <c r="E205" s="472">
        <f t="shared" si="41"/>
        <v>0</v>
      </c>
      <c r="F205" s="472">
        <f t="shared" si="41"/>
        <v>0</v>
      </c>
      <c r="G205" s="472">
        <f t="shared" si="41"/>
        <v>0</v>
      </c>
      <c r="H205" s="472">
        <f t="shared" si="41"/>
        <v>0</v>
      </c>
    </row>
    <row r="206" spans="1:8" ht="15.6" x14ac:dyDescent="0.25">
      <c r="A206" s="862"/>
      <c r="B206" s="330" t="s">
        <v>143</v>
      </c>
      <c r="C206" s="472">
        <f t="shared" ref="C206:H206" si="42">C166+C186</f>
        <v>0</v>
      </c>
      <c r="D206" s="472">
        <f t="shared" si="42"/>
        <v>0</v>
      </c>
      <c r="E206" s="472">
        <f t="shared" si="42"/>
        <v>0</v>
      </c>
      <c r="F206" s="472">
        <f t="shared" si="42"/>
        <v>0</v>
      </c>
      <c r="G206" s="472">
        <f t="shared" si="42"/>
        <v>0</v>
      </c>
      <c r="H206" s="472">
        <f t="shared" si="42"/>
        <v>0</v>
      </c>
    </row>
    <row r="207" spans="1:8" x14ac:dyDescent="0.25">
      <c r="A207" s="862"/>
      <c r="B207" s="40"/>
      <c r="C207" s="40"/>
      <c r="D207" s="40"/>
      <c r="E207" s="40"/>
      <c r="F207" s="40"/>
      <c r="G207" s="40"/>
      <c r="H207" s="40"/>
    </row>
    <row r="208" spans="1:8" x14ac:dyDescent="0.25">
      <c r="A208" s="862"/>
      <c r="B208" s="40"/>
      <c r="C208" s="40"/>
      <c r="D208" s="40"/>
      <c r="E208" s="40"/>
      <c r="F208" s="40"/>
      <c r="G208" s="40"/>
      <c r="H208" s="40"/>
    </row>
    <row r="209" spans="1:8" x14ac:dyDescent="0.25">
      <c r="A209" s="862"/>
      <c r="B209" s="40"/>
      <c r="C209" s="40"/>
      <c r="D209" s="40"/>
      <c r="E209" s="40"/>
      <c r="F209" s="40"/>
      <c r="G209" s="40"/>
      <c r="H209" s="40"/>
    </row>
    <row r="210" spans="1:8" x14ac:dyDescent="0.25">
      <c r="A210" s="862"/>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1Ebyjkch07OnlCT/uFg87NNSCD0s3qZaIW7W5aZ63VuS6lhw4pIdfLC/jbM2s69NCkkVSoskFnZPcssf6CI1IQ==" saltValue="DY6eJWmjDHq37iMa0BcZ0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358" priority="90" operator="greaterThan">
      <formula>0</formula>
    </cfRule>
  </conditionalFormatting>
  <conditionalFormatting sqref="H14:I16">
    <cfRule type="cellIs" dxfId="357" priority="62" operator="equal">
      <formula>"Error"</formula>
    </cfRule>
  </conditionalFormatting>
  <conditionalFormatting sqref="D21:D22">
    <cfRule type="cellIs" dxfId="356" priority="44" operator="equal">
      <formula>"Error ▲"</formula>
    </cfRule>
  </conditionalFormatting>
  <conditionalFormatting sqref="D24:D25">
    <cfRule type="cellIs" dxfId="355" priority="43" operator="equal">
      <formula>"Error ▲"</formula>
    </cfRule>
  </conditionalFormatting>
  <conditionalFormatting sqref="D27:D28">
    <cfRule type="cellIs" dxfId="354" priority="42" operator="equal">
      <formula>"Error ▲"</formula>
    </cfRule>
  </conditionalFormatting>
  <conditionalFormatting sqref="D30:D31">
    <cfRule type="cellIs" dxfId="353" priority="21" operator="equal">
      <formula>"Error ▲"</formula>
    </cfRule>
  </conditionalFormatting>
  <conditionalFormatting sqref="H10:I12 H14:I16">
    <cfRule type="containsText" dxfId="352" priority="9" operator="containsText" text="Check">
      <formula>NOT(ISERROR(SEARCH("Check",H10)))</formula>
    </cfRule>
  </conditionalFormatting>
  <conditionalFormatting sqref="I16">
    <cfRule type="expression" dxfId="351" priority="335">
      <formula>AND($H$21&gt;0,$H$16&lt;0.1)</formula>
    </cfRule>
  </conditionalFormatting>
  <conditionalFormatting sqref="H16">
    <cfRule type="expression" dxfId="350" priority="340">
      <formula>$H$16&gt;=0.1</formula>
    </cfRule>
  </conditionalFormatting>
  <conditionalFormatting sqref="H15">
    <cfRule type="expression" dxfId="349" priority="346">
      <formula>$H$15&gt;=0.1</formula>
    </cfRule>
    <cfRule type="expression" dxfId="348" priority="347">
      <formula>AND($F$21&gt;0,$H$15&lt;0.1)</formula>
    </cfRule>
  </conditionalFormatting>
  <conditionalFormatting sqref="H10:I10">
    <cfRule type="cellIs" dxfId="347" priority="352" operator="equal">
      <formula>"Error"</formula>
    </cfRule>
  </conditionalFormatting>
  <conditionalFormatting sqref="H14">
    <cfRule type="expression" dxfId="346" priority="353">
      <formula>$H$14&gt;=0.1</formula>
    </cfRule>
    <cfRule type="expression" dxfId="345" priority="354">
      <formula>AND($D$21&gt;0,$H$14&lt;0.1)</formula>
    </cfRule>
  </conditionalFormatting>
  <conditionalFormatting sqref="K102 K104 K106 K108">
    <cfRule type="cellIs" dxfId="344" priority="6" operator="greaterThan">
      <formula>0</formula>
    </cfRule>
  </conditionalFormatting>
  <conditionalFormatting sqref="K163">
    <cfRule type="cellIs" dxfId="343" priority="5" operator="greaterThan">
      <formula>0</formula>
    </cfRule>
  </conditionalFormatting>
  <conditionalFormatting sqref="K165 K167 K169">
    <cfRule type="cellIs" dxfId="342" priority="4" operator="greaterThan">
      <formula>0</formula>
    </cfRule>
  </conditionalFormatting>
  <conditionalFormatting sqref="K100">
    <cfRule type="cellIs" dxfId="341" priority="3" operator="greaterThan">
      <formula>0</formula>
    </cfRule>
  </conditionalFormatting>
  <conditionalFormatting sqref="H15:I15">
    <cfRule type="expression" dxfId="340" priority="2">
      <formula>AND($F$21&gt;0,$H$16&lt;0.1)</formula>
    </cfRule>
  </conditionalFormatting>
  <conditionalFormatting sqref="H16:I16">
    <cfRule type="expression" dxfId="339"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70" zoomScaleNormal="70" workbookViewId="0">
      <selection activeCell="N107" sqref="N107"/>
    </sheetView>
  </sheetViews>
  <sheetFormatPr defaultColWidth="0" defaultRowHeight="13.8" zeroHeight="1" x14ac:dyDescent="0.25"/>
  <cols>
    <col min="1" max="1" width="17" style="31" customWidth="1"/>
    <col min="2" max="2" width="104.88671875" style="31" bestFit="1" customWidth="1"/>
    <col min="3" max="3" width="24.44140625" style="31" bestFit="1" customWidth="1"/>
    <col min="4" max="4" width="10.5546875" style="31" bestFit="1" customWidth="1"/>
    <col min="5" max="5" width="10.33203125" style="31" bestFit="1" customWidth="1"/>
    <col min="6" max="6" width="18.109375" style="31" customWidth="1"/>
    <col min="7" max="7" width="31" style="31" customWidth="1"/>
    <col min="8" max="8" width="5" style="31" customWidth="1"/>
    <col min="9" max="9" width="49.44140625" style="31" customWidth="1"/>
    <col min="10" max="10" width="10.88671875" style="31" customWidth="1"/>
    <col min="11" max="11" width="2" style="31" customWidth="1"/>
    <col min="12" max="12" width="2.5546875" style="31" customWidth="1"/>
    <col min="13" max="13" width="4.109375" style="31" customWidth="1"/>
    <col min="14" max="16" width="9.109375" style="31" customWidth="1"/>
    <col min="17" max="17" width="10.5546875" style="31" customWidth="1"/>
    <col min="18" max="20" width="9.109375" style="31" customWidth="1"/>
    <col min="21" max="22" width="0" style="31" hidden="1" customWidth="1"/>
    <col min="23" max="16384" width="9.109375" style="31" hidden="1"/>
  </cols>
  <sheetData>
    <row r="1" spans="1:17" ht="15" thickBot="1" x14ac:dyDescent="0.3">
      <c r="A1" s="453"/>
      <c r="B1" s="40"/>
      <c r="C1" s="40"/>
      <c r="D1" s="40"/>
      <c r="E1" s="40"/>
      <c r="G1" s="40"/>
      <c r="H1" s="40"/>
      <c r="I1" s="40"/>
      <c r="J1" s="40"/>
      <c r="K1" s="40"/>
      <c r="L1" s="40"/>
      <c r="M1" s="40"/>
      <c r="N1" s="40"/>
      <c r="O1" s="40"/>
      <c r="P1" s="40"/>
      <c r="Q1" s="40"/>
    </row>
    <row r="2" spans="1:17" ht="25.8" thickBot="1" x14ac:dyDescent="0.3">
      <c r="A2" s="40"/>
      <c r="B2" s="867" t="s">
        <v>147</v>
      </c>
      <c r="C2" s="868"/>
      <c r="D2" s="868"/>
      <c r="E2" s="868"/>
      <c r="F2" s="868"/>
      <c r="G2" s="869"/>
      <c r="H2" s="40"/>
      <c r="I2" s="40"/>
      <c r="J2" s="40"/>
      <c r="K2" s="40"/>
      <c r="L2" s="40"/>
      <c r="M2" s="40"/>
      <c r="N2" s="40"/>
      <c r="O2" s="40"/>
      <c r="P2" s="40"/>
      <c r="Q2" s="40"/>
    </row>
    <row r="3" spans="1:17" ht="15" customHeight="1" x14ac:dyDescent="0.25">
      <c r="A3" s="40"/>
      <c r="B3" s="872" t="s">
        <v>148</v>
      </c>
      <c r="C3" s="874" t="s">
        <v>149</v>
      </c>
      <c r="D3" s="874"/>
      <c r="E3" s="874"/>
      <c r="F3" s="874"/>
      <c r="G3" s="870" t="s">
        <v>150</v>
      </c>
      <c r="H3" s="272"/>
      <c r="I3" s="272"/>
      <c r="J3" s="272"/>
      <c r="K3" s="272"/>
      <c r="L3" s="40"/>
      <c r="M3" s="40"/>
      <c r="N3" s="40"/>
      <c r="O3" s="40"/>
      <c r="P3" s="40"/>
      <c r="Q3" s="40"/>
    </row>
    <row r="4" spans="1:17" ht="14.25" customHeight="1" x14ac:dyDescent="0.25">
      <c r="A4" s="40"/>
      <c r="B4" s="873"/>
      <c r="C4" s="875"/>
      <c r="D4" s="875"/>
      <c r="E4" s="875"/>
      <c r="F4" s="875"/>
      <c r="G4" s="871"/>
      <c r="H4" s="272"/>
      <c r="I4" s="272"/>
      <c r="J4" s="272"/>
      <c r="K4" s="272"/>
      <c r="L4" s="40"/>
      <c r="M4" s="40"/>
      <c r="N4" s="40"/>
      <c r="O4" s="40"/>
      <c r="P4" s="40"/>
      <c r="Q4" s="40"/>
    </row>
    <row r="5" spans="1:17" ht="20.399999999999999" x14ac:dyDescent="0.25">
      <c r="A5" s="40"/>
      <c r="B5" s="129" t="s">
        <v>151</v>
      </c>
      <c r="C5" s="876" t="s">
        <v>152</v>
      </c>
      <c r="D5" s="876"/>
      <c r="E5" s="876"/>
      <c r="F5" s="876"/>
      <c r="G5" s="263" t="str">
        <f>IF(('A-1 Site Habitat Baseline'!AQ259+'D-1 Off Site Habitat Baseline'!AQ259)&gt;0,"No ▲","Yes ✓")</f>
        <v>Yes ✓</v>
      </c>
      <c r="H5" s="272"/>
      <c r="I5" s="272"/>
      <c r="J5" s="272"/>
      <c r="K5" s="272"/>
      <c r="L5" s="40"/>
      <c r="M5" s="40"/>
      <c r="N5" s="40"/>
      <c r="O5" s="40"/>
      <c r="P5" s="40"/>
      <c r="Q5" s="40"/>
    </row>
    <row r="6" spans="1:17" ht="22.5" customHeight="1" x14ac:dyDescent="0.25">
      <c r="A6" s="40"/>
      <c r="B6" s="129" t="s">
        <v>153</v>
      </c>
      <c r="C6" s="864" t="s">
        <v>154</v>
      </c>
      <c r="D6" s="864"/>
      <c r="E6" s="864"/>
      <c r="F6" s="864"/>
      <c r="G6" s="263" t="str">
        <f>IFERROR(IF(J41&lt;0,"No ▲","Yes ✓"),"")</f>
        <v>Yes ✓</v>
      </c>
      <c r="H6" s="40"/>
      <c r="I6" s="40"/>
      <c r="J6" s="40"/>
      <c r="K6" s="40"/>
      <c r="L6" s="40"/>
      <c r="M6" s="40"/>
      <c r="N6" s="40"/>
      <c r="O6" s="40"/>
      <c r="P6" s="40"/>
      <c r="Q6" s="40"/>
    </row>
    <row r="7" spans="1:17" ht="19.5" customHeight="1" x14ac:dyDescent="0.25">
      <c r="A7" s="40"/>
      <c r="B7" s="129" t="s">
        <v>23</v>
      </c>
      <c r="C7" s="865" t="s">
        <v>155</v>
      </c>
      <c r="D7" s="865"/>
      <c r="E7" s="865"/>
      <c r="F7" s="865"/>
      <c r="G7" s="148" t="str">
        <f>IF(J40+J12+J89&lt;0,"No ▲","Yes ✓")</f>
        <v>No ▲</v>
      </c>
      <c r="H7" s="40"/>
      <c r="I7" s="40"/>
      <c r="J7" s="40"/>
      <c r="K7" s="40"/>
      <c r="L7" s="40"/>
      <c r="M7" s="40"/>
      <c r="N7" s="40"/>
      <c r="O7" s="40"/>
      <c r="P7" s="40"/>
      <c r="Q7" s="40"/>
    </row>
    <row r="8" spans="1:17" ht="18.75" customHeight="1" thickBot="1" x14ac:dyDescent="0.3">
      <c r="A8" s="40"/>
      <c r="B8" s="97" t="s">
        <v>156</v>
      </c>
      <c r="C8" s="866" t="s">
        <v>157</v>
      </c>
      <c r="D8" s="866"/>
      <c r="E8" s="866"/>
      <c r="F8" s="866"/>
      <c r="G8" s="162" t="str">
        <f>IF(J124&lt;0,"No ▲","Yes ✓")</f>
        <v>No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4.4" thickBot="1" x14ac:dyDescent="0.3">
      <c r="A10" s="40"/>
      <c r="B10" s="40"/>
      <c r="C10" s="40"/>
      <c r="D10" s="40"/>
      <c r="E10" s="40"/>
      <c r="F10" s="40"/>
      <c r="G10" s="40"/>
      <c r="H10" s="40"/>
      <c r="I10" s="40"/>
      <c r="J10" s="40"/>
      <c r="K10" s="40"/>
      <c r="L10" s="40"/>
      <c r="M10" s="40"/>
      <c r="N10" s="40"/>
      <c r="O10" s="40"/>
      <c r="P10" s="40"/>
      <c r="Q10" s="40"/>
    </row>
    <row r="11" spans="1:17" ht="25.8" thickBot="1" x14ac:dyDescent="0.3">
      <c r="A11" s="40"/>
      <c r="B11" s="867" t="s">
        <v>158</v>
      </c>
      <c r="C11" s="868"/>
      <c r="D11" s="868"/>
      <c r="E11" s="868"/>
      <c r="F11" s="868"/>
      <c r="G11" s="869"/>
      <c r="H11" s="40"/>
      <c r="I11" s="879" t="s">
        <v>159</v>
      </c>
      <c r="J11" s="880"/>
      <c r="K11" s="40"/>
      <c r="L11" s="40"/>
      <c r="M11" s="40"/>
      <c r="N11" s="40"/>
      <c r="O11" s="40"/>
      <c r="P11" s="40"/>
      <c r="Q11" s="40"/>
    </row>
    <row r="12" spans="1:17" s="42" customFormat="1" ht="47.4" thickBot="1" x14ac:dyDescent="0.3">
      <c r="A12" s="40"/>
      <c r="B12" s="93" t="s">
        <v>59</v>
      </c>
      <c r="C12" s="94" t="s">
        <v>160</v>
      </c>
      <c r="D12" s="94" t="s">
        <v>161</v>
      </c>
      <c r="E12" s="94" t="s">
        <v>162</v>
      </c>
      <c r="F12" s="94" t="s">
        <v>163</v>
      </c>
      <c r="G12" s="95" t="s">
        <v>164</v>
      </c>
      <c r="H12" s="40"/>
      <c r="I12" s="358" t="s">
        <v>165</v>
      </c>
      <c r="J12" s="483">
        <f>SUMIF($F$13:$F$32,"&gt;0")</f>
        <v>0</v>
      </c>
      <c r="K12" s="40"/>
      <c r="L12" s="40"/>
      <c r="M12" s="40"/>
      <c r="N12" s="40"/>
      <c r="O12" s="40"/>
      <c r="P12" s="40"/>
      <c r="Q12" s="40"/>
    </row>
    <row r="13" spans="1:17" ht="15.75" customHeight="1" x14ac:dyDescent="0.25">
      <c r="A13" s="40"/>
      <c r="B13" s="347" t="str">
        <f>'G-2 Habitat groups'!AU5</f>
        <v>Grassland - Lowland dry acid grassland</v>
      </c>
      <c r="C13" s="348" t="str">
        <f>'G-2 Habitat groups'!AV5</f>
        <v>Grassland</v>
      </c>
      <c r="D13" s="481">
        <f>'G-2 Habitat groups'!BB5</f>
        <v>0</v>
      </c>
      <c r="E13" s="481">
        <f>'G-2 Habitat groups'!BD5</f>
        <v>0</v>
      </c>
      <c r="F13" s="481">
        <f>'G-2 Habitat groups'!BE5</f>
        <v>0</v>
      </c>
      <c r="G13" s="482" t="str">
        <f>'G-2 Habitat groups'!BF5</f>
        <v/>
      </c>
      <c r="H13" s="40"/>
      <c r="I13" s="887" t="str">
        <f>IF($G$33&lt;0,"Very high distinctiveness unit defecit - CHECK DATA","")</f>
        <v/>
      </c>
      <c r="J13" s="887"/>
      <c r="K13" s="40"/>
      <c r="L13" s="40"/>
      <c r="M13" s="40"/>
      <c r="N13" s="40"/>
      <c r="O13" s="40"/>
      <c r="P13" s="40"/>
      <c r="Q13" s="40"/>
    </row>
    <row r="14" spans="1:17" x14ac:dyDescent="0.25">
      <c r="A14" s="40"/>
      <c r="B14" s="347" t="str">
        <f>'G-2 Habitat groups'!AU6</f>
        <v>Grassland - Lowland meadows</v>
      </c>
      <c r="C14" s="348" t="str">
        <f>'G-2 Habitat groups'!AV6</f>
        <v>Grassland</v>
      </c>
      <c r="D14" s="481">
        <f>'G-2 Habitat groups'!BB6</f>
        <v>0</v>
      </c>
      <c r="E14" s="481">
        <f>'G-2 Habitat groups'!BD6</f>
        <v>0</v>
      </c>
      <c r="F14" s="481">
        <f>'G-2 Habitat groups'!BE6</f>
        <v>0</v>
      </c>
      <c r="G14" s="482" t="str">
        <f>'G-2 Habitat groups'!BF6</f>
        <v/>
      </c>
      <c r="H14" s="40"/>
      <c r="K14" s="40"/>
      <c r="L14" s="40"/>
      <c r="M14" s="40"/>
      <c r="N14" s="40"/>
      <c r="O14" s="40"/>
      <c r="P14" s="40"/>
      <c r="Q14" s="40"/>
    </row>
    <row r="15" spans="1:17" x14ac:dyDescent="0.25">
      <c r="A15" s="40"/>
      <c r="B15" s="347" t="str">
        <f>'G-2 Habitat groups'!AU7</f>
        <v>Grassland - Upland hay meadows</v>
      </c>
      <c r="C15" s="348" t="str">
        <f>'G-2 Habitat groups'!AV7</f>
        <v>Grassland</v>
      </c>
      <c r="D15" s="481">
        <f>'G-2 Habitat groups'!BB7</f>
        <v>0</v>
      </c>
      <c r="E15" s="481">
        <f>'G-2 Habitat groups'!BD7</f>
        <v>0</v>
      </c>
      <c r="F15" s="481">
        <f>'G-2 Habitat groups'!BE7</f>
        <v>0</v>
      </c>
      <c r="G15" s="482" t="str">
        <f>'G-2 Habitat groups'!BF7</f>
        <v/>
      </c>
      <c r="H15" s="40"/>
      <c r="K15" s="40"/>
      <c r="L15" s="40"/>
      <c r="M15" s="40"/>
      <c r="N15" s="40"/>
      <c r="O15" s="40"/>
      <c r="P15" s="40"/>
      <c r="Q15" s="40"/>
    </row>
    <row r="16" spans="1:17" x14ac:dyDescent="0.25">
      <c r="A16" s="40"/>
      <c r="B16" s="347" t="str">
        <f>'G-2 Habitat groups'!AU8</f>
        <v>Heathland and shrub - Mountain heaths and willow scrub</v>
      </c>
      <c r="C16" s="348" t="str">
        <f>'G-2 Habitat groups'!AV8</f>
        <v>Heathland and shrub</v>
      </c>
      <c r="D16" s="481">
        <f>'G-2 Habitat groups'!BB8</f>
        <v>0</v>
      </c>
      <c r="E16" s="481">
        <f>'G-2 Habitat groups'!BD8</f>
        <v>0</v>
      </c>
      <c r="F16" s="481">
        <f>'G-2 Habitat groups'!BE8</f>
        <v>0</v>
      </c>
      <c r="G16" s="482" t="str">
        <f>'G-2 Habitat groups'!BF8</f>
        <v/>
      </c>
      <c r="H16" s="40"/>
      <c r="K16" s="40"/>
      <c r="L16" s="40"/>
      <c r="M16" s="40"/>
      <c r="N16" s="40"/>
      <c r="O16" s="40"/>
      <c r="P16" s="40"/>
      <c r="Q16" s="40"/>
    </row>
    <row r="17" spans="1:17" x14ac:dyDescent="0.25">
      <c r="A17" s="40"/>
      <c r="B17" s="347" t="str">
        <f>'G-2 Habitat groups'!AU9</f>
        <v>Lakes - Aquifer fed naturally fluctuating water bodies</v>
      </c>
      <c r="C17" s="348" t="str">
        <f>'G-2 Habitat groups'!AV9</f>
        <v>Lakes</v>
      </c>
      <c r="D17" s="481">
        <f>'G-2 Habitat groups'!BB9</f>
        <v>0</v>
      </c>
      <c r="E17" s="481">
        <f>'G-2 Habitat groups'!BD9</f>
        <v>0</v>
      </c>
      <c r="F17" s="481">
        <f>'G-2 Habitat groups'!BE9</f>
        <v>0</v>
      </c>
      <c r="G17" s="482" t="str">
        <f>'G-2 Habitat groups'!BF9</f>
        <v/>
      </c>
      <c r="H17" s="40"/>
      <c r="K17" s="40"/>
      <c r="L17" s="40"/>
      <c r="M17" s="40"/>
      <c r="N17" s="40"/>
      <c r="O17" s="40"/>
      <c r="P17" s="40"/>
      <c r="Q17" s="40"/>
    </row>
    <row r="18" spans="1:17" x14ac:dyDescent="0.25">
      <c r="A18" s="40"/>
      <c r="B18" s="347" t="str">
        <f>'G-2 Habitat groups'!AU10</f>
        <v>Sparsely vegetated land - Calaminarian grasslands</v>
      </c>
      <c r="C18" s="348" t="str">
        <f>'G-2 Habitat groups'!AV10</f>
        <v>Sparsely vegetated land</v>
      </c>
      <c r="D18" s="481">
        <f>'G-2 Habitat groups'!BB10</f>
        <v>0</v>
      </c>
      <c r="E18" s="481">
        <f>'G-2 Habitat groups'!BD10</f>
        <v>0</v>
      </c>
      <c r="F18" s="481">
        <f>'G-2 Habitat groups'!BE10</f>
        <v>0</v>
      </c>
      <c r="G18" s="482" t="str">
        <f>'G-2 Habitat groups'!BF10</f>
        <v/>
      </c>
      <c r="H18" s="40"/>
      <c r="K18" s="40"/>
      <c r="L18" s="40"/>
      <c r="M18" s="40"/>
      <c r="N18" s="40"/>
      <c r="O18" s="40"/>
      <c r="P18" s="40"/>
      <c r="Q18" s="40"/>
    </row>
    <row r="19" spans="1:17" x14ac:dyDescent="0.25">
      <c r="A19" s="40"/>
      <c r="B19" s="347" t="str">
        <f>'G-2 Habitat groups'!AU11</f>
        <v>Sparsely vegetated land - Limestone pavement</v>
      </c>
      <c r="C19" s="348" t="str">
        <f>'G-2 Habitat groups'!AV11</f>
        <v>Sparsely vegetated land</v>
      </c>
      <c r="D19" s="481">
        <f>'G-2 Habitat groups'!BB11</f>
        <v>0</v>
      </c>
      <c r="E19" s="481">
        <f>'G-2 Habitat groups'!BD11</f>
        <v>0</v>
      </c>
      <c r="F19" s="481">
        <f>'G-2 Habitat groups'!BE11</f>
        <v>0</v>
      </c>
      <c r="G19" s="482" t="str">
        <f>'G-2 Habitat groups'!BF11</f>
        <v/>
      </c>
      <c r="H19" s="40"/>
      <c r="I19" s="40"/>
      <c r="J19" s="40"/>
      <c r="K19" s="40"/>
      <c r="L19" s="40"/>
      <c r="M19" s="40"/>
      <c r="N19" s="40"/>
      <c r="O19" s="40"/>
      <c r="P19" s="40"/>
      <c r="Q19" s="40"/>
    </row>
    <row r="20" spans="1:17" x14ac:dyDescent="0.25">
      <c r="A20" s="40"/>
      <c r="B20" s="347" t="str">
        <f>'G-2 Habitat groups'!AU12</f>
        <v>Wetland - Blanket bog</v>
      </c>
      <c r="C20" s="348" t="str">
        <f>'G-2 Habitat groups'!AV12</f>
        <v>Wetland</v>
      </c>
      <c r="D20" s="481">
        <f>'G-2 Habitat groups'!BB12</f>
        <v>0</v>
      </c>
      <c r="E20" s="481">
        <f>'G-2 Habitat groups'!BD12</f>
        <v>0</v>
      </c>
      <c r="F20" s="481">
        <f>'G-2 Habitat groups'!BE12</f>
        <v>0</v>
      </c>
      <c r="G20" s="482" t="str">
        <f>'G-2 Habitat groups'!BF12</f>
        <v/>
      </c>
      <c r="H20" s="40"/>
      <c r="I20" s="40"/>
      <c r="J20" s="40"/>
      <c r="K20" s="40"/>
      <c r="L20" s="40"/>
      <c r="M20" s="40"/>
      <c r="N20" s="40"/>
      <c r="O20" s="40"/>
      <c r="P20" s="40"/>
      <c r="Q20" s="40"/>
    </row>
    <row r="21" spans="1:17" x14ac:dyDescent="0.25">
      <c r="A21" s="40"/>
      <c r="B21" s="347" t="str">
        <f>'G-2 Habitat groups'!AU13</f>
        <v>Wetland - Depressions on Peat substrates (H7150)</v>
      </c>
      <c r="C21" s="348" t="str">
        <f>'G-2 Habitat groups'!AV13</f>
        <v>Wetland</v>
      </c>
      <c r="D21" s="481">
        <f>'G-2 Habitat groups'!BB13</f>
        <v>0</v>
      </c>
      <c r="E21" s="481">
        <f>'G-2 Habitat groups'!BD13</f>
        <v>0</v>
      </c>
      <c r="F21" s="481">
        <f>'G-2 Habitat groups'!BE13</f>
        <v>0</v>
      </c>
      <c r="G21" s="482" t="str">
        <f>'G-2 Habitat groups'!BF13</f>
        <v/>
      </c>
      <c r="H21" s="40"/>
      <c r="I21" s="40"/>
      <c r="J21" s="40"/>
      <c r="K21" s="40"/>
      <c r="L21" s="40"/>
      <c r="M21" s="40"/>
      <c r="N21" s="40"/>
      <c r="O21" s="40"/>
      <c r="P21" s="40"/>
      <c r="Q21" s="40"/>
    </row>
    <row r="22" spans="1:17" x14ac:dyDescent="0.25">
      <c r="A22" s="40"/>
      <c r="B22" s="347" t="str">
        <f>'G-2 Habitat groups'!AU14</f>
        <v>Wetland - Fens (upland and lowland)</v>
      </c>
      <c r="C22" s="348" t="str">
        <f>'G-2 Habitat groups'!AV14</f>
        <v>Wetland</v>
      </c>
      <c r="D22" s="481">
        <f>'G-2 Habitat groups'!BB14</f>
        <v>0</v>
      </c>
      <c r="E22" s="481">
        <f>'G-2 Habitat groups'!BD14</f>
        <v>0</v>
      </c>
      <c r="F22" s="481">
        <f>'G-2 Habitat groups'!BE14</f>
        <v>0</v>
      </c>
      <c r="G22" s="482" t="str">
        <f>'G-2 Habitat groups'!BF14</f>
        <v/>
      </c>
      <c r="H22" s="40"/>
      <c r="I22" s="40"/>
      <c r="J22" s="40"/>
      <c r="K22" s="40"/>
      <c r="L22" s="40"/>
      <c r="M22" s="40"/>
      <c r="N22" s="40"/>
      <c r="O22" s="40"/>
      <c r="P22" s="40"/>
      <c r="Q22" s="40"/>
    </row>
    <row r="23" spans="1:17" x14ac:dyDescent="0.25">
      <c r="A23" s="40"/>
      <c r="B23" s="347" t="str">
        <f>'G-2 Habitat groups'!AU15</f>
        <v>Wetland - Lowland raised bog</v>
      </c>
      <c r="C23" s="348" t="str">
        <f>'G-2 Habitat groups'!AV15</f>
        <v>Wetland</v>
      </c>
      <c r="D23" s="481">
        <f>'G-2 Habitat groups'!BB15</f>
        <v>0</v>
      </c>
      <c r="E23" s="481">
        <f>'G-2 Habitat groups'!BD15</f>
        <v>0</v>
      </c>
      <c r="F23" s="481">
        <f>'G-2 Habitat groups'!BE15</f>
        <v>0</v>
      </c>
      <c r="G23" s="482" t="str">
        <f>'G-2 Habitat groups'!BF15</f>
        <v/>
      </c>
      <c r="H23" s="40"/>
      <c r="I23" s="40"/>
      <c r="J23" s="40"/>
      <c r="K23" s="40"/>
      <c r="L23" s="40"/>
      <c r="M23" s="40"/>
      <c r="N23" s="40"/>
      <c r="O23" s="40"/>
      <c r="P23" s="40"/>
      <c r="Q23" s="40"/>
    </row>
    <row r="24" spans="1:17" x14ac:dyDescent="0.25">
      <c r="A24" s="40"/>
      <c r="B24" s="347" t="str">
        <f>'G-2 Habitat groups'!AU16</f>
        <v>Wetland - Oceanic Valley Mire[1] (D2.1)</v>
      </c>
      <c r="C24" s="348" t="str">
        <f>'G-2 Habitat groups'!AV16</f>
        <v>Wetland</v>
      </c>
      <c r="D24" s="481">
        <f>'G-2 Habitat groups'!BB16</f>
        <v>0</v>
      </c>
      <c r="E24" s="481">
        <f>'G-2 Habitat groups'!BD16</f>
        <v>0</v>
      </c>
      <c r="F24" s="481">
        <f>'G-2 Habitat groups'!BE16</f>
        <v>0</v>
      </c>
      <c r="G24" s="482" t="str">
        <f>'G-2 Habitat groups'!BF16</f>
        <v/>
      </c>
      <c r="H24" s="40"/>
      <c r="I24" s="40"/>
      <c r="J24" s="40"/>
      <c r="K24" s="40"/>
      <c r="L24" s="40"/>
      <c r="M24" s="40"/>
      <c r="N24" s="40"/>
      <c r="O24" s="40"/>
      <c r="P24" s="40"/>
      <c r="Q24" s="40"/>
    </row>
    <row r="25" spans="1:17" x14ac:dyDescent="0.25">
      <c r="A25" s="40"/>
      <c r="B25" s="347" t="str">
        <f>'G-2 Habitat groups'!AU17</f>
        <v>Wetland - Purple moor grass and rush pastures</v>
      </c>
      <c r="C25" s="348" t="str">
        <f>'G-2 Habitat groups'!AV17</f>
        <v>Wetland</v>
      </c>
      <c r="D25" s="481">
        <f>'G-2 Habitat groups'!BB17</f>
        <v>0</v>
      </c>
      <c r="E25" s="481">
        <f>'G-2 Habitat groups'!BD17</f>
        <v>0</v>
      </c>
      <c r="F25" s="481">
        <f>'G-2 Habitat groups'!BE17</f>
        <v>0</v>
      </c>
      <c r="G25" s="482" t="str">
        <f>'G-2 Habitat groups'!BF17</f>
        <v/>
      </c>
      <c r="H25" s="40"/>
      <c r="I25" s="40"/>
      <c r="J25" s="40"/>
      <c r="K25" s="40"/>
      <c r="L25" s="40"/>
      <c r="M25" s="40"/>
      <c r="N25" s="40"/>
      <c r="O25" s="40"/>
      <c r="P25" s="40"/>
      <c r="Q25" s="40"/>
    </row>
    <row r="26" spans="1:17" x14ac:dyDescent="0.25">
      <c r="A26" s="40"/>
      <c r="B26" s="347" t="str">
        <f>'G-2 Habitat groups'!AU18</f>
        <v>Wetland - Transition mires and quaking bogs (H7140)</v>
      </c>
      <c r="C26" s="348" t="str">
        <f>'G-2 Habitat groups'!AV18</f>
        <v>Wetland</v>
      </c>
      <c r="D26" s="481">
        <f>'G-2 Habitat groups'!BB18</f>
        <v>0</v>
      </c>
      <c r="E26" s="481">
        <f>'G-2 Habitat groups'!BD18</f>
        <v>0</v>
      </c>
      <c r="F26" s="481">
        <f>'G-2 Habitat groups'!BE18</f>
        <v>0</v>
      </c>
      <c r="G26" s="482" t="str">
        <f>'G-2 Habitat groups'!BF18</f>
        <v/>
      </c>
      <c r="H26" s="40"/>
      <c r="I26" s="40"/>
      <c r="J26" s="40"/>
      <c r="K26" s="40"/>
      <c r="L26" s="40"/>
      <c r="M26" s="40"/>
      <c r="N26" s="40"/>
      <c r="O26" s="40"/>
      <c r="P26" s="40"/>
      <c r="Q26" s="40"/>
    </row>
    <row r="27" spans="1:17" x14ac:dyDescent="0.25">
      <c r="A27" s="40"/>
      <c r="B27" s="347" t="str">
        <f>'G-2 Habitat groups'!AU19</f>
        <v>Woodland and forest - Wood-pasture and parkland</v>
      </c>
      <c r="C27" s="348" t="str">
        <f>'G-2 Habitat groups'!AV19</f>
        <v>Woodland and forest</v>
      </c>
      <c r="D27" s="481">
        <f>'G-2 Habitat groups'!BB19</f>
        <v>0</v>
      </c>
      <c r="E27" s="481">
        <f>'G-2 Habitat groups'!BD19</f>
        <v>0</v>
      </c>
      <c r="F27" s="481">
        <f>'G-2 Habitat groups'!BE19</f>
        <v>0</v>
      </c>
      <c r="G27" s="482" t="str">
        <f>'G-2 Habitat groups'!BF19</f>
        <v/>
      </c>
      <c r="H27" s="40"/>
      <c r="I27" s="40"/>
      <c r="J27" s="40"/>
      <c r="K27" s="40"/>
      <c r="L27" s="40"/>
      <c r="M27" s="40"/>
      <c r="N27" s="40"/>
      <c r="O27" s="40"/>
      <c r="P27" s="40"/>
      <c r="Q27" s="40"/>
    </row>
    <row r="28" spans="1:17" x14ac:dyDescent="0.25">
      <c r="A28" s="40"/>
      <c r="B28" s="347" t="str">
        <f>'G-2 Habitat groups'!AU20</f>
        <v>Rocky shore - High energy littoral rock - on peat, clay or chalk</v>
      </c>
      <c r="C28" s="348" t="str">
        <f>'G-2 Habitat groups'!AV20</f>
        <v>Rocky shore</v>
      </c>
      <c r="D28" s="481">
        <f>'G-2 Habitat groups'!BB20</f>
        <v>0</v>
      </c>
      <c r="E28" s="481">
        <f>'G-2 Habitat groups'!BD20</f>
        <v>0</v>
      </c>
      <c r="F28" s="481">
        <f>'G-2 Habitat groups'!BE20</f>
        <v>0</v>
      </c>
      <c r="G28" s="482" t="str">
        <f>'G-2 Habitat groups'!BF20</f>
        <v/>
      </c>
      <c r="H28" s="40"/>
      <c r="I28" s="40"/>
      <c r="J28" s="40"/>
      <c r="K28" s="40"/>
      <c r="L28" s="40"/>
      <c r="M28" s="40"/>
      <c r="N28" s="40"/>
      <c r="O28" s="40"/>
      <c r="P28" s="40"/>
      <c r="Q28" s="40"/>
    </row>
    <row r="29" spans="1:17" ht="14.25" customHeight="1" x14ac:dyDescent="0.25">
      <c r="A29" s="40"/>
      <c r="B29" s="347" t="str">
        <f>'G-2 Habitat groups'!AU21</f>
        <v>Rocky shore - Moderate energy littoral rock - on peat, clay or chalk</v>
      </c>
      <c r="C29" s="348" t="str">
        <f>'G-2 Habitat groups'!AV21</f>
        <v>Rocky shore</v>
      </c>
      <c r="D29" s="481">
        <f>'G-2 Habitat groups'!BB21</f>
        <v>0</v>
      </c>
      <c r="E29" s="481">
        <f>'G-2 Habitat groups'!BD21</f>
        <v>0</v>
      </c>
      <c r="F29" s="481">
        <f>'G-2 Habitat groups'!BE21</f>
        <v>0</v>
      </c>
      <c r="G29" s="482" t="str">
        <f>'G-2 Habitat groups'!BF21</f>
        <v/>
      </c>
      <c r="H29" s="40"/>
      <c r="I29" s="40"/>
      <c r="J29" s="40"/>
      <c r="K29" s="40"/>
      <c r="L29" s="40"/>
      <c r="M29" s="40"/>
      <c r="N29" s="40"/>
      <c r="O29" s="40"/>
      <c r="P29" s="40"/>
      <c r="Q29" s="40"/>
    </row>
    <row r="30" spans="1:17" s="42" customFormat="1" ht="18.600000000000001" customHeight="1" x14ac:dyDescent="0.25">
      <c r="A30" s="40"/>
      <c r="B30" s="347" t="str">
        <f>'G-2 Habitat groups'!AU22</f>
        <v>Rocky shore - Low energy littoral rock - on peat, clay or chalk</v>
      </c>
      <c r="C30" s="348" t="str">
        <f>'G-2 Habitat groups'!AV22</f>
        <v>Rocky shore</v>
      </c>
      <c r="D30" s="481">
        <f>'G-2 Habitat groups'!BB22</f>
        <v>0</v>
      </c>
      <c r="E30" s="481">
        <f>'G-2 Habitat groups'!BD22</f>
        <v>0</v>
      </c>
      <c r="F30" s="481">
        <f>'G-2 Habitat groups'!BE22</f>
        <v>0</v>
      </c>
      <c r="G30" s="482" t="str">
        <f>'G-2 Habitat groups'!BF22</f>
        <v/>
      </c>
      <c r="H30" s="40"/>
      <c r="I30" s="40"/>
      <c r="J30" s="40"/>
      <c r="K30" s="40"/>
      <c r="L30" s="40"/>
      <c r="M30" s="40"/>
      <c r="N30" s="40"/>
      <c r="O30" s="40"/>
      <c r="P30" s="40"/>
      <c r="Q30" s="40"/>
    </row>
    <row r="31" spans="1:17" x14ac:dyDescent="0.25">
      <c r="A31" s="40"/>
      <c r="B31" s="347" t="str">
        <f>'G-2 Habitat groups'!AU23</f>
        <v>Rocky shore - Features of littoral rock - on peat, clay or chalk</v>
      </c>
      <c r="C31" s="348" t="str">
        <f>'G-2 Habitat groups'!AV23</f>
        <v>Rocky shore</v>
      </c>
      <c r="D31" s="481">
        <f>'G-2 Habitat groups'!BB23</f>
        <v>0</v>
      </c>
      <c r="E31" s="481">
        <f>'G-2 Habitat groups'!BD23</f>
        <v>0</v>
      </c>
      <c r="F31" s="481">
        <f>'G-2 Habitat groups'!BE23</f>
        <v>0</v>
      </c>
      <c r="G31" s="482" t="str">
        <f>'G-2 Habitat groups'!BF23</f>
        <v/>
      </c>
      <c r="H31" s="40"/>
      <c r="I31" s="40"/>
      <c r="J31" s="40"/>
      <c r="K31" s="40"/>
      <c r="L31" s="40"/>
      <c r="M31" s="40"/>
      <c r="N31" s="40"/>
      <c r="O31" s="40"/>
      <c r="P31" s="40"/>
      <c r="Q31" s="40"/>
    </row>
    <row r="32" spans="1:17" ht="14.4" thickBot="1" x14ac:dyDescent="0.3">
      <c r="A32" s="40"/>
      <c r="B32" s="349" t="str">
        <f>'G-2 Habitat groups'!AU24</f>
        <v>Intertidal sediment - Littoral seagrass on peat, clay or chalk</v>
      </c>
      <c r="C32" s="350" t="str">
        <f>'G-2 Habitat groups'!AV24</f>
        <v>Intertidal sediment</v>
      </c>
      <c r="D32" s="481">
        <f>'G-2 Habitat groups'!BB24</f>
        <v>0</v>
      </c>
      <c r="E32" s="481">
        <f>'G-2 Habitat groups'!BD24</f>
        <v>0</v>
      </c>
      <c r="F32" s="481">
        <f>'G-2 Habitat groups'!BE24</f>
        <v>0</v>
      </c>
      <c r="G32" s="482" t="str">
        <f>'G-2 Habitat groups'!BF24</f>
        <v/>
      </c>
      <c r="H32" s="40"/>
      <c r="I32" s="40"/>
      <c r="J32" s="40"/>
      <c r="K32" s="40"/>
      <c r="L32" s="40"/>
      <c r="M32" s="40"/>
      <c r="N32" s="40"/>
      <c r="O32" s="40"/>
      <c r="P32" s="40"/>
      <c r="Q32" s="40"/>
    </row>
    <row r="33" spans="1:17" ht="14.4" thickBot="1" x14ac:dyDescent="0.3">
      <c r="A33" s="40"/>
      <c r="B33" s="40"/>
      <c r="C33" s="40"/>
      <c r="D33" s="473">
        <f>SUM(D13:D32)</f>
        <v>0</v>
      </c>
      <c r="E33" s="474">
        <f>SUM(E13:E32)</f>
        <v>0</v>
      </c>
      <c r="F33" s="475">
        <f>SUM(F13:F32)</f>
        <v>0</v>
      </c>
      <c r="G33" s="476">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4.4" thickBot="1" x14ac:dyDescent="0.3">
      <c r="A38" s="40"/>
      <c r="B38" s="40"/>
      <c r="C38" s="40"/>
      <c r="D38" s="40"/>
      <c r="E38" s="40"/>
      <c r="F38" s="40"/>
      <c r="G38" s="40"/>
      <c r="H38" s="40"/>
      <c r="I38" s="40"/>
      <c r="J38" s="40"/>
      <c r="K38" s="40"/>
      <c r="L38" s="40"/>
      <c r="M38" s="40"/>
      <c r="N38" s="40"/>
      <c r="O38" s="40"/>
      <c r="P38" s="40"/>
      <c r="Q38" s="40"/>
    </row>
    <row r="39" spans="1:17" ht="25.8" thickBot="1" x14ac:dyDescent="0.3">
      <c r="A39" s="40"/>
      <c r="B39" s="867" t="s">
        <v>166</v>
      </c>
      <c r="C39" s="868"/>
      <c r="D39" s="868"/>
      <c r="E39" s="868"/>
      <c r="F39" s="868"/>
      <c r="G39" s="869"/>
      <c r="H39" s="40"/>
      <c r="I39" s="879" t="s">
        <v>167</v>
      </c>
      <c r="J39" s="880"/>
      <c r="K39" s="40"/>
      <c r="L39" s="40"/>
      <c r="M39" s="40"/>
    </row>
    <row r="40" spans="1:17" ht="46.8" x14ac:dyDescent="0.25">
      <c r="A40" s="40"/>
      <c r="B40" s="93" t="s">
        <v>59</v>
      </c>
      <c r="C40" s="94" t="s">
        <v>160</v>
      </c>
      <c r="D40" s="94" t="s">
        <v>161</v>
      </c>
      <c r="E40" s="94" t="s">
        <v>162</v>
      </c>
      <c r="F40" s="94" t="s">
        <v>163</v>
      </c>
      <c r="G40" s="95" t="s">
        <v>168</v>
      </c>
      <c r="H40" s="40"/>
      <c r="I40" s="96" t="s">
        <v>169</v>
      </c>
      <c r="J40" s="486">
        <f>SUMIF($F$41:$F$81,"&gt;0")</f>
        <v>0</v>
      </c>
      <c r="K40" s="40"/>
      <c r="L40" s="40"/>
      <c r="M40" s="40"/>
      <c r="N40" s="40"/>
      <c r="O40" s="40"/>
    </row>
    <row r="41" spans="1:17" ht="14.4" thickBot="1" x14ac:dyDescent="0.3">
      <c r="A41" s="40"/>
      <c r="B41" s="345" t="str">
        <f>'G-2 Habitat groups'!AU30</f>
        <v>Grassland - Traditional orchards</v>
      </c>
      <c r="C41" s="346" t="str">
        <f>'G-2 Habitat groups'!AV30</f>
        <v>Grassland</v>
      </c>
      <c r="D41" s="484">
        <f>'G-2 Habitat groups'!BB30</f>
        <v>0</v>
      </c>
      <c r="E41" s="484">
        <f>'G-2 Habitat groups'!BD30</f>
        <v>0</v>
      </c>
      <c r="F41" s="484">
        <f>'G-2 Habitat groups'!BE30</f>
        <v>0</v>
      </c>
      <c r="G41" s="485" t="str">
        <f>'G-2 Habitat groups'!BF30</f>
        <v/>
      </c>
      <c r="H41" s="40"/>
      <c r="I41" s="97" t="s">
        <v>170</v>
      </c>
      <c r="J41" s="487">
        <f>G82</f>
        <v>0</v>
      </c>
      <c r="K41" s="40"/>
      <c r="L41" s="40"/>
      <c r="M41" s="40"/>
      <c r="N41" s="40"/>
      <c r="O41" s="40"/>
    </row>
    <row r="42" spans="1:17" x14ac:dyDescent="0.25">
      <c r="A42" s="40"/>
      <c r="B42" s="345" t="str">
        <f>'G-2 Habitat groups'!AU31</f>
        <v>Grassland - Floodplain Wetland Mosaic (CFGM)</v>
      </c>
      <c r="C42" s="346" t="str">
        <f>'G-2 Habitat groups'!AV31</f>
        <v>Grassland</v>
      </c>
      <c r="D42" s="484">
        <f>'G-2 Habitat groups'!BB31</f>
        <v>0</v>
      </c>
      <c r="E42" s="484">
        <f>'G-2 Habitat groups'!BD31</f>
        <v>0</v>
      </c>
      <c r="F42" s="484">
        <f>'G-2 Habitat groups'!BE31</f>
        <v>0</v>
      </c>
      <c r="G42" s="485" t="str">
        <f>'G-2 Habitat groups'!BF31</f>
        <v/>
      </c>
      <c r="H42" s="40"/>
      <c r="I42" s="40"/>
      <c r="J42" s="40"/>
      <c r="K42" s="40"/>
      <c r="L42" s="40"/>
      <c r="M42" s="40"/>
      <c r="N42" s="40"/>
      <c r="O42" s="40"/>
    </row>
    <row r="43" spans="1:17" ht="14.25" customHeight="1" x14ac:dyDescent="0.25">
      <c r="A43" s="40"/>
      <c r="B43" s="345" t="str">
        <f>'G-2 Habitat groups'!AU32</f>
        <v>Grassland - Lowland calcareous grassland</v>
      </c>
      <c r="C43" s="346" t="str">
        <f>'G-2 Habitat groups'!AV32</f>
        <v>Grassland</v>
      </c>
      <c r="D43" s="484">
        <f>'G-2 Habitat groups'!BB32</f>
        <v>0</v>
      </c>
      <c r="E43" s="484">
        <f>'G-2 Habitat groups'!BD32</f>
        <v>0</v>
      </c>
      <c r="F43" s="484">
        <f>'G-2 Habitat groups'!BE32</f>
        <v>0</v>
      </c>
      <c r="G43" s="485" t="str">
        <f>'G-2 Habitat groups'!BF32</f>
        <v/>
      </c>
      <c r="H43" s="40"/>
      <c r="K43" s="40"/>
      <c r="L43" s="40"/>
      <c r="M43" s="40"/>
      <c r="N43" s="40"/>
    </row>
    <row r="44" spans="1:17" ht="15" customHeight="1" x14ac:dyDescent="0.25">
      <c r="A44" s="40"/>
      <c r="B44" s="345" t="str">
        <f>'G-2 Habitat groups'!AU33</f>
        <v>Grassland - Tall herb communities (H6430)</v>
      </c>
      <c r="C44" s="346" t="str">
        <f>'G-2 Habitat groups'!AV33</f>
        <v>Grassland</v>
      </c>
      <c r="D44" s="484">
        <f>'G-2 Habitat groups'!BB33</f>
        <v>0</v>
      </c>
      <c r="E44" s="484">
        <f>'G-2 Habitat groups'!BD33</f>
        <v>0</v>
      </c>
      <c r="F44" s="484">
        <f>'G-2 Habitat groups'!BE33</f>
        <v>0</v>
      </c>
      <c r="G44" s="485" t="str">
        <f>'G-2 Habitat groups'!BF33</f>
        <v/>
      </c>
      <c r="H44" s="40"/>
      <c r="K44" s="40"/>
      <c r="L44" s="40"/>
      <c r="M44" s="40"/>
      <c r="N44" s="40"/>
    </row>
    <row r="45" spans="1:17" ht="15" customHeight="1" x14ac:dyDescent="0.25">
      <c r="A45" s="40"/>
      <c r="B45" s="345" t="str">
        <f>'G-2 Habitat groups'!AU34</f>
        <v>Grassland - Upland calcareous grassland</v>
      </c>
      <c r="C45" s="346" t="str">
        <f>'G-2 Habitat groups'!AV34</f>
        <v>Grassland</v>
      </c>
      <c r="D45" s="484">
        <f>'G-2 Habitat groups'!BB34</f>
        <v>0</v>
      </c>
      <c r="E45" s="484">
        <f>'G-2 Habitat groups'!BD34</f>
        <v>0</v>
      </c>
      <c r="F45" s="484">
        <f>'G-2 Habitat groups'!BE34</f>
        <v>0</v>
      </c>
      <c r="G45" s="485" t="str">
        <f>'G-2 Habitat groups'!BF34</f>
        <v/>
      </c>
      <c r="H45" s="40"/>
      <c r="K45" s="40"/>
      <c r="L45" s="40"/>
      <c r="M45" s="40"/>
      <c r="N45" s="40"/>
    </row>
    <row r="46" spans="1:17" ht="15" customHeight="1" x14ac:dyDescent="0.25">
      <c r="A46" s="40"/>
      <c r="B46" s="345" t="str">
        <f>'G-2 Habitat groups'!AU35</f>
        <v>Heathland and shrub - Lowland Heathland</v>
      </c>
      <c r="C46" s="346" t="str">
        <f>'G-2 Habitat groups'!AV35</f>
        <v>Heathland and shrub</v>
      </c>
      <c r="D46" s="484">
        <f>'G-2 Habitat groups'!BB35</f>
        <v>0</v>
      </c>
      <c r="E46" s="484">
        <f>'G-2 Habitat groups'!BD35</f>
        <v>0</v>
      </c>
      <c r="F46" s="484">
        <f>'G-2 Habitat groups'!BE35</f>
        <v>0</v>
      </c>
      <c r="G46" s="485" t="str">
        <f>'G-2 Habitat groups'!BF35</f>
        <v/>
      </c>
      <c r="H46" s="40"/>
      <c r="K46" s="40"/>
      <c r="L46" s="40"/>
      <c r="M46" s="40"/>
      <c r="N46" s="40"/>
    </row>
    <row r="47" spans="1:17" ht="15" customHeight="1" x14ac:dyDescent="0.25">
      <c r="A47" s="40"/>
      <c r="B47" s="345" t="str">
        <f>'G-2 Habitat groups'!AU36</f>
        <v>Heathland and shrub - Sea buckthorn scrub (Annex 1)</v>
      </c>
      <c r="C47" s="346" t="str">
        <f>'G-2 Habitat groups'!AV36</f>
        <v>Heathland and shrub</v>
      </c>
      <c r="D47" s="484">
        <f>'G-2 Habitat groups'!BB36</f>
        <v>0</v>
      </c>
      <c r="E47" s="484">
        <f>'G-2 Habitat groups'!BD36</f>
        <v>0</v>
      </c>
      <c r="F47" s="484">
        <f>'G-2 Habitat groups'!BE36</f>
        <v>0</v>
      </c>
      <c r="G47" s="485" t="str">
        <f>'G-2 Habitat groups'!BF36</f>
        <v/>
      </c>
      <c r="H47" s="40"/>
      <c r="I47" s="40"/>
      <c r="J47" s="40"/>
      <c r="K47" s="40"/>
      <c r="L47" s="40"/>
    </row>
    <row r="48" spans="1:17" ht="15" customHeight="1" x14ac:dyDescent="0.25">
      <c r="A48" s="40"/>
      <c r="B48" s="345" t="str">
        <f>'G-2 Habitat groups'!AU37</f>
        <v>Heathland and shrub - Upland Heathland</v>
      </c>
      <c r="C48" s="346" t="str">
        <f>'G-2 Habitat groups'!AV37</f>
        <v>Heathland and shrub</v>
      </c>
      <c r="D48" s="484">
        <f>'G-2 Habitat groups'!BB37</f>
        <v>0</v>
      </c>
      <c r="E48" s="484">
        <f>'G-2 Habitat groups'!BD37</f>
        <v>0</v>
      </c>
      <c r="F48" s="484">
        <f>'G-2 Habitat groups'!BE37</f>
        <v>0</v>
      </c>
      <c r="G48" s="485" t="str">
        <f>'G-2 Habitat groups'!BF37</f>
        <v/>
      </c>
      <c r="H48" s="40"/>
      <c r="I48" s="40"/>
      <c r="J48" s="40"/>
      <c r="K48" s="40"/>
      <c r="L48" s="40"/>
    </row>
    <row r="49" spans="1:15" ht="15" customHeight="1" x14ac:dyDescent="0.25">
      <c r="A49" s="40"/>
      <c r="B49" s="345" t="str">
        <f>'G-2 Habitat groups'!AU38</f>
        <v>Lakes - High alkalinity lakes</v>
      </c>
      <c r="C49" s="346" t="str">
        <f>'G-2 Habitat groups'!AV38</f>
        <v>Lakes</v>
      </c>
      <c r="D49" s="484">
        <f>'G-2 Habitat groups'!BB38</f>
        <v>0</v>
      </c>
      <c r="E49" s="484">
        <f>'G-2 Habitat groups'!BD38</f>
        <v>0</v>
      </c>
      <c r="F49" s="484">
        <f>'G-2 Habitat groups'!BE38</f>
        <v>0</v>
      </c>
      <c r="G49" s="485" t="str">
        <f>'G-2 Habitat groups'!BF38</f>
        <v/>
      </c>
      <c r="H49" s="40"/>
      <c r="I49" s="40"/>
      <c r="J49" s="40"/>
      <c r="K49" s="40"/>
      <c r="L49" s="40"/>
    </row>
    <row r="50" spans="1:15" ht="15.75" customHeight="1" x14ac:dyDescent="0.25">
      <c r="A50" s="40"/>
      <c r="B50" s="345" t="str">
        <f>'G-2 Habitat groups'!AU39</f>
        <v>Lakes - Low alkalinity lakes</v>
      </c>
      <c r="C50" s="346" t="str">
        <f>'G-2 Habitat groups'!AV39</f>
        <v>Lakes</v>
      </c>
      <c r="D50" s="484">
        <f>'G-2 Habitat groups'!BB39</f>
        <v>0</v>
      </c>
      <c r="E50" s="484">
        <f>'G-2 Habitat groups'!BD39</f>
        <v>0</v>
      </c>
      <c r="F50" s="484">
        <f>'G-2 Habitat groups'!BE39</f>
        <v>0</v>
      </c>
      <c r="G50" s="485" t="str">
        <f>'G-2 Habitat groups'!BF39</f>
        <v/>
      </c>
      <c r="H50" s="40"/>
      <c r="I50" s="40"/>
      <c r="J50" s="40"/>
      <c r="K50" s="40"/>
      <c r="L50" s="40"/>
    </row>
    <row r="51" spans="1:15" x14ac:dyDescent="0.25">
      <c r="A51" s="40"/>
      <c r="B51" s="345" t="str">
        <f>'G-2 Habitat groups'!AU40</f>
        <v>Lakes - Marl Lakes</v>
      </c>
      <c r="C51" s="346" t="str">
        <f>'G-2 Habitat groups'!AV40</f>
        <v>Lakes</v>
      </c>
      <c r="D51" s="484">
        <f>'G-2 Habitat groups'!BB40</f>
        <v>0</v>
      </c>
      <c r="E51" s="484">
        <f>'G-2 Habitat groups'!BD40</f>
        <v>0</v>
      </c>
      <c r="F51" s="484">
        <f>'G-2 Habitat groups'!BE40</f>
        <v>0</v>
      </c>
      <c r="G51" s="485" t="str">
        <f>'G-2 Habitat groups'!BF40</f>
        <v/>
      </c>
      <c r="H51" s="40"/>
      <c r="I51" s="40"/>
      <c r="J51" s="40"/>
      <c r="K51" s="40"/>
      <c r="L51" s="40"/>
      <c r="M51" s="40"/>
    </row>
    <row r="52" spans="1:15" x14ac:dyDescent="0.25">
      <c r="A52" s="40"/>
      <c r="B52" s="345" t="str">
        <f>'G-2 Habitat groups'!AU41</f>
        <v>Lakes - Moderate alkalinity lakes</v>
      </c>
      <c r="C52" s="346" t="str">
        <f>'G-2 Habitat groups'!AV41</f>
        <v>Lakes</v>
      </c>
      <c r="D52" s="484">
        <f>'G-2 Habitat groups'!BB41</f>
        <v>0</v>
      </c>
      <c r="E52" s="484">
        <f>'G-2 Habitat groups'!BD41</f>
        <v>0</v>
      </c>
      <c r="F52" s="484">
        <f>'G-2 Habitat groups'!BE41</f>
        <v>0</v>
      </c>
      <c r="G52" s="485" t="str">
        <f>'G-2 Habitat groups'!BF41</f>
        <v/>
      </c>
      <c r="H52" s="40"/>
      <c r="I52" s="40"/>
      <c r="J52" s="40"/>
      <c r="K52" s="40"/>
      <c r="L52" s="40"/>
      <c r="M52" s="40"/>
    </row>
    <row r="53" spans="1:15" x14ac:dyDescent="0.25">
      <c r="A53" s="40"/>
      <c r="B53" s="345" t="str">
        <f>'G-2 Habitat groups'!AU42</f>
        <v>Lakes - Peat Lakes</v>
      </c>
      <c r="C53" s="346" t="str">
        <f>'G-2 Habitat groups'!AV42</f>
        <v>Lakes</v>
      </c>
      <c r="D53" s="484">
        <f>'G-2 Habitat groups'!BB42</f>
        <v>0</v>
      </c>
      <c r="E53" s="484">
        <f>'G-2 Habitat groups'!BD42</f>
        <v>0</v>
      </c>
      <c r="F53" s="484">
        <f>'G-2 Habitat groups'!BE42</f>
        <v>0</v>
      </c>
      <c r="G53" s="485" t="str">
        <f>'G-2 Habitat groups'!BF42</f>
        <v/>
      </c>
      <c r="H53" s="40"/>
      <c r="I53" s="40"/>
      <c r="J53" s="40"/>
      <c r="K53" s="40"/>
      <c r="L53" s="40"/>
      <c r="M53" s="40"/>
    </row>
    <row r="54" spans="1:15" x14ac:dyDescent="0.25">
      <c r="A54" s="40"/>
      <c r="B54" s="345" t="str">
        <f>'G-2 Habitat groups'!AU43</f>
        <v>Lakes - Ponds (Priority Habitat)</v>
      </c>
      <c r="C54" s="346" t="str">
        <f>'G-2 Habitat groups'!AV43</f>
        <v>Lakes</v>
      </c>
      <c r="D54" s="484">
        <f>'G-2 Habitat groups'!BB43</f>
        <v>0</v>
      </c>
      <c r="E54" s="484">
        <f>'G-2 Habitat groups'!BD43</f>
        <v>0</v>
      </c>
      <c r="F54" s="484">
        <f>'G-2 Habitat groups'!BE43</f>
        <v>0</v>
      </c>
      <c r="G54" s="485" t="str">
        <f>'G-2 Habitat groups'!BF43</f>
        <v/>
      </c>
      <c r="H54" s="40"/>
      <c r="I54" s="40"/>
      <c r="J54" s="40"/>
      <c r="K54" s="40"/>
      <c r="L54" s="40"/>
      <c r="M54" s="40"/>
    </row>
    <row r="55" spans="1:15" ht="15" customHeight="1" x14ac:dyDescent="0.25">
      <c r="A55" s="40"/>
      <c r="B55" s="345" t="str">
        <f>'G-2 Habitat groups'!AU44</f>
        <v>Lakes - Temporary lakes, ponds and pools</v>
      </c>
      <c r="C55" s="346" t="str">
        <f>'G-2 Habitat groups'!AV44</f>
        <v>Lakes</v>
      </c>
      <c r="D55" s="484">
        <f>'G-2 Habitat groups'!BB44</f>
        <v>0</v>
      </c>
      <c r="E55" s="484">
        <f>'G-2 Habitat groups'!BD44</f>
        <v>0</v>
      </c>
      <c r="F55" s="484">
        <f>'G-2 Habitat groups'!BE44</f>
        <v>0</v>
      </c>
      <c r="G55" s="485" t="str">
        <f>'G-2 Habitat groups'!BF44</f>
        <v/>
      </c>
      <c r="H55" s="40"/>
      <c r="I55" s="40"/>
      <c r="J55" s="40"/>
      <c r="K55" s="40"/>
      <c r="L55" s="40"/>
      <c r="M55" s="40"/>
    </row>
    <row r="56" spans="1:15" ht="15" customHeight="1" x14ac:dyDescent="0.25">
      <c r="A56" s="40"/>
      <c r="B56" s="345" t="str">
        <f>'G-2 Habitat groups'!AU45</f>
        <v>Sparsely vegetated land - Coastal sand dunes</v>
      </c>
      <c r="C56" s="346" t="str">
        <f>'G-2 Habitat groups'!AV45</f>
        <v>Sparsely vegetated land</v>
      </c>
      <c r="D56" s="484">
        <f>'G-2 Habitat groups'!BB45</f>
        <v>0</v>
      </c>
      <c r="E56" s="484">
        <f>'G-2 Habitat groups'!BD45</f>
        <v>0</v>
      </c>
      <c r="F56" s="484">
        <f>'G-2 Habitat groups'!BE45</f>
        <v>0</v>
      </c>
      <c r="G56" s="485" t="str">
        <f>'G-2 Habitat groups'!BF45</f>
        <v/>
      </c>
      <c r="H56" s="40"/>
      <c r="I56" s="40"/>
      <c r="J56" s="40"/>
      <c r="K56" s="40"/>
      <c r="L56" s="40"/>
    </row>
    <row r="57" spans="1:15" x14ac:dyDescent="0.25">
      <c r="A57" s="40"/>
      <c r="B57" s="345" t="str">
        <f>'G-2 Habitat groups'!AU46</f>
        <v>Sparsely vegetated land - Coastal vegetated shingle</v>
      </c>
      <c r="C57" s="346" t="str">
        <f>'G-2 Habitat groups'!AV46</f>
        <v>Sparsely vegetated land</v>
      </c>
      <c r="D57" s="484">
        <f>'G-2 Habitat groups'!BB46</f>
        <v>0</v>
      </c>
      <c r="E57" s="484">
        <f>'G-2 Habitat groups'!BD46</f>
        <v>0</v>
      </c>
      <c r="F57" s="484">
        <f>'G-2 Habitat groups'!BE46</f>
        <v>0</v>
      </c>
      <c r="G57" s="485" t="str">
        <f>'G-2 Habitat groups'!BF46</f>
        <v/>
      </c>
      <c r="H57" s="40"/>
      <c r="I57" s="40"/>
      <c r="J57" s="40"/>
      <c r="K57" s="40"/>
      <c r="L57" s="40"/>
    </row>
    <row r="58" spans="1:15" x14ac:dyDescent="0.25">
      <c r="A58" s="40"/>
      <c r="B58" s="345" t="str">
        <f>'G-2 Habitat groups'!AU47</f>
        <v>Sparsely vegetated land - Inland rock outcrop and scree habitats</v>
      </c>
      <c r="C58" s="346" t="str">
        <f>'G-2 Habitat groups'!AV47</f>
        <v>Sparsely vegetated land</v>
      </c>
      <c r="D58" s="484">
        <f>'G-2 Habitat groups'!BB47</f>
        <v>0</v>
      </c>
      <c r="E58" s="484">
        <f>'G-2 Habitat groups'!BD47</f>
        <v>0</v>
      </c>
      <c r="F58" s="484">
        <f>'G-2 Habitat groups'!BE47</f>
        <v>0</v>
      </c>
      <c r="G58" s="485" t="str">
        <f>'G-2 Habitat groups'!BF47</f>
        <v/>
      </c>
      <c r="H58" s="40"/>
      <c r="I58" s="40"/>
      <c r="J58" s="40"/>
      <c r="K58" s="40"/>
      <c r="L58" s="40"/>
      <c r="M58" s="40"/>
      <c r="N58" s="40"/>
      <c r="O58" s="40"/>
    </row>
    <row r="59" spans="1:15" x14ac:dyDescent="0.25">
      <c r="A59" s="40"/>
      <c r="B59" s="345" t="str">
        <f>'G-2 Habitat groups'!AU48</f>
        <v>Sparsely vegetated land - Maritime cliff and slopes</v>
      </c>
      <c r="C59" s="346" t="str">
        <f>'G-2 Habitat groups'!AV48</f>
        <v>Sparsely vegetated land</v>
      </c>
      <c r="D59" s="484">
        <f>'G-2 Habitat groups'!BB48</f>
        <v>0</v>
      </c>
      <c r="E59" s="484">
        <f>'G-2 Habitat groups'!BD48</f>
        <v>0</v>
      </c>
      <c r="F59" s="484">
        <f>'G-2 Habitat groups'!BE48</f>
        <v>0</v>
      </c>
      <c r="G59" s="485" t="str">
        <f>'G-2 Habitat groups'!BF48</f>
        <v/>
      </c>
      <c r="H59" s="40"/>
      <c r="I59" s="40"/>
      <c r="J59" s="40"/>
      <c r="K59" s="40"/>
      <c r="L59" s="40"/>
      <c r="M59" s="40"/>
      <c r="N59" s="40"/>
      <c r="O59" s="40"/>
    </row>
    <row r="60" spans="1:15" x14ac:dyDescent="0.25">
      <c r="A60" s="40"/>
      <c r="B60" s="345" t="str">
        <f>'G-2 Habitat groups'!AU49</f>
        <v>Urban - Open Mosaic Habitats on Previously Developed Land</v>
      </c>
      <c r="C60" s="346" t="str">
        <f>'G-2 Habitat groups'!AV49</f>
        <v>Urban</v>
      </c>
      <c r="D60" s="484">
        <f>'G-2 Habitat groups'!BB49</f>
        <v>0</v>
      </c>
      <c r="E60" s="484">
        <f>'G-2 Habitat groups'!BD49</f>
        <v>0</v>
      </c>
      <c r="F60" s="484">
        <f>'G-2 Habitat groups'!BE49</f>
        <v>0</v>
      </c>
      <c r="G60" s="485" t="str">
        <f>'G-2 Habitat groups'!BF49</f>
        <v/>
      </c>
      <c r="H60" s="40"/>
      <c r="K60" s="40"/>
      <c r="L60" s="40"/>
      <c r="M60" s="40"/>
      <c r="N60" s="40"/>
      <c r="O60" s="40"/>
    </row>
    <row r="61" spans="1:15" x14ac:dyDescent="0.25">
      <c r="A61" s="40"/>
      <c r="B61" s="345" t="str">
        <f>'G-2 Habitat groups'!AU50</f>
        <v>Wetland - Reedbeds</v>
      </c>
      <c r="C61" s="346" t="str">
        <f>'G-2 Habitat groups'!AV50</f>
        <v>Wetland</v>
      </c>
      <c r="D61" s="484">
        <f>'G-2 Habitat groups'!BB50</f>
        <v>0</v>
      </c>
      <c r="E61" s="484">
        <f>'G-2 Habitat groups'!BD50</f>
        <v>0</v>
      </c>
      <c r="F61" s="484">
        <f>'G-2 Habitat groups'!BE50</f>
        <v>0</v>
      </c>
      <c r="G61" s="485" t="str">
        <f>'G-2 Habitat groups'!BF50</f>
        <v/>
      </c>
      <c r="H61" s="40"/>
      <c r="K61" s="40"/>
      <c r="L61" s="40"/>
      <c r="M61" s="40"/>
      <c r="N61" s="40"/>
      <c r="O61" s="40"/>
    </row>
    <row r="62" spans="1:15" x14ac:dyDescent="0.25">
      <c r="A62" s="40"/>
      <c r="B62" s="345" t="str">
        <f>'G-2 Habitat groups'!AU51</f>
        <v>Woodland and forest - Felled</v>
      </c>
      <c r="C62" s="346" t="str">
        <f>'G-2 Habitat groups'!AV51</f>
        <v>Woodland and forest</v>
      </c>
      <c r="D62" s="484">
        <f>'G-2 Habitat groups'!BB51</f>
        <v>0</v>
      </c>
      <c r="E62" s="484">
        <f>'G-2 Habitat groups'!BD51</f>
        <v>0</v>
      </c>
      <c r="F62" s="484">
        <f>'G-2 Habitat groups'!BE51</f>
        <v>0</v>
      </c>
      <c r="G62" s="485" t="str">
        <f>'G-2 Habitat groups'!BF51</f>
        <v/>
      </c>
      <c r="H62" s="40"/>
      <c r="K62" s="40"/>
      <c r="L62" s="40"/>
      <c r="M62" s="40"/>
      <c r="N62" s="40"/>
      <c r="O62" s="40"/>
    </row>
    <row r="63" spans="1:15" x14ac:dyDescent="0.25">
      <c r="A63" s="40"/>
      <c r="B63" s="345" t="str">
        <f>'G-2 Habitat groups'!AU52</f>
        <v>Woodland and forest - Lowland beech and yew woodland</v>
      </c>
      <c r="C63" s="346" t="str">
        <f>'G-2 Habitat groups'!AV52</f>
        <v>Woodland and forest</v>
      </c>
      <c r="D63" s="484">
        <f>'G-2 Habitat groups'!BB52</f>
        <v>0</v>
      </c>
      <c r="E63" s="484">
        <f>'G-2 Habitat groups'!BD52</f>
        <v>0</v>
      </c>
      <c r="F63" s="484">
        <f>'G-2 Habitat groups'!BE52</f>
        <v>0</v>
      </c>
      <c r="G63" s="485" t="str">
        <f>'G-2 Habitat groups'!BF52</f>
        <v/>
      </c>
      <c r="H63" s="40"/>
      <c r="I63" s="40"/>
      <c r="J63" s="40"/>
      <c r="K63" s="40"/>
      <c r="L63" s="40"/>
      <c r="M63" s="40"/>
      <c r="N63" s="40"/>
      <c r="O63" s="40"/>
    </row>
    <row r="64" spans="1:15" x14ac:dyDescent="0.25">
      <c r="A64" s="40"/>
      <c r="B64" s="345" t="str">
        <f>'G-2 Habitat groups'!AU53</f>
        <v>Woodland and forest - Lowland mixed deciduous woodland</v>
      </c>
      <c r="C64" s="346" t="str">
        <f>'G-2 Habitat groups'!AV53</f>
        <v>Woodland and forest</v>
      </c>
      <c r="D64" s="484">
        <f>'G-2 Habitat groups'!BB53</f>
        <v>0</v>
      </c>
      <c r="E64" s="484">
        <f>'G-2 Habitat groups'!BD53</f>
        <v>0</v>
      </c>
      <c r="F64" s="484">
        <f>'G-2 Habitat groups'!BE53</f>
        <v>0</v>
      </c>
      <c r="G64" s="485" t="str">
        <f>'G-2 Habitat groups'!BF53</f>
        <v/>
      </c>
      <c r="H64" s="40"/>
      <c r="I64" s="40"/>
      <c r="J64" s="40"/>
      <c r="K64" s="40"/>
      <c r="L64" s="40"/>
      <c r="M64" s="40"/>
      <c r="N64" s="40"/>
      <c r="O64" s="40"/>
    </row>
    <row r="65" spans="1:15" x14ac:dyDescent="0.25">
      <c r="A65" s="40"/>
      <c r="B65" s="345" t="str">
        <f>'G-2 Habitat groups'!AU54</f>
        <v>Woodland and forest - Native pine woodlands</v>
      </c>
      <c r="C65" s="346" t="str">
        <f>'G-2 Habitat groups'!AV54</f>
        <v>Woodland and forest</v>
      </c>
      <c r="D65" s="484">
        <f>'G-2 Habitat groups'!BB54</f>
        <v>0</v>
      </c>
      <c r="E65" s="484">
        <f>'G-2 Habitat groups'!BD54</f>
        <v>0</v>
      </c>
      <c r="F65" s="484">
        <f>'G-2 Habitat groups'!BE54</f>
        <v>0</v>
      </c>
      <c r="G65" s="485" t="str">
        <f>'G-2 Habitat groups'!BF54</f>
        <v/>
      </c>
      <c r="H65" s="40"/>
      <c r="I65" s="40"/>
      <c r="J65" s="40"/>
      <c r="K65" s="40"/>
      <c r="L65" s="40"/>
      <c r="M65" s="40"/>
      <c r="N65" s="40"/>
      <c r="O65" s="40"/>
    </row>
    <row r="66" spans="1:15" x14ac:dyDescent="0.25">
      <c r="A66" s="40"/>
      <c r="B66" s="345" t="str">
        <f>'G-2 Habitat groups'!AU55</f>
        <v>Woodland and forest - Upland birchwoods</v>
      </c>
      <c r="C66" s="346" t="str">
        <f>'G-2 Habitat groups'!AV55</f>
        <v>Woodland and forest</v>
      </c>
      <c r="D66" s="484">
        <f>'G-2 Habitat groups'!BB55</f>
        <v>0</v>
      </c>
      <c r="E66" s="484">
        <f>'G-2 Habitat groups'!BD55</f>
        <v>0</v>
      </c>
      <c r="F66" s="484">
        <f>'G-2 Habitat groups'!BE55</f>
        <v>0</v>
      </c>
      <c r="G66" s="485" t="str">
        <f>'G-2 Habitat groups'!BF55</f>
        <v/>
      </c>
      <c r="H66" s="40"/>
      <c r="I66" s="40"/>
      <c r="J66" s="40"/>
      <c r="K66" s="40"/>
      <c r="L66" s="40"/>
      <c r="M66" s="40"/>
      <c r="N66" s="40"/>
      <c r="O66" s="40"/>
    </row>
    <row r="67" spans="1:15" x14ac:dyDescent="0.25">
      <c r="A67" s="40"/>
      <c r="B67" s="345" t="str">
        <f>'G-2 Habitat groups'!AU56</f>
        <v>Woodland and forest - Upland mixed ashwoods</v>
      </c>
      <c r="C67" s="346" t="str">
        <f>'G-2 Habitat groups'!AV56</f>
        <v>Woodland and forest</v>
      </c>
      <c r="D67" s="484">
        <f>'G-2 Habitat groups'!BB56</f>
        <v>0</v>
      </c>
      <c r="E67" s="484">
        <f>'G-2 Habitat groups'!BD56</f>
        <v>0</v>
      </c>
      <c r="F67" s="484">
        <f>'G-2 Habitat groups'!BE56</f>
        <v>0</v>
      </c>
      <c r="G67" s="485" t="str">
        <f>'G-2 Habitat groups'!BF56</f>
        <v/>
      </c>
      <c r="H67" s="40"/>
      <c r="I67" s="40"/>
      <c r="J67" s="40"/>
      <c r="K67" s="40"/>
      <c r="L67" s="40"/>
      <c r="M67" s="40"/>
      <c r="N67" s="40"/>
      <c r="O67" s="40"/>
    </row>
    <row r="68" spans="1:15" x14ac:dyDescent="0.25">
      <c r="A68" s="40"/>
      <c r="B68" s="345" t="str">
        <f>'G-2 Habitat groups'!AU57</f>
        <v>Woodland and forest - Upland oakwood</v>
      </c>
      <c r="C68" s="346" t="str">
        <f>'G-2 Habitat groups'!AV57</f>
        <v>Woodland and forest</v>
      </c>
      <c r="D68" s="484">
        <f>'G-2 Habitat groups'!BB57</f>
        <v>0</v>
      </c>
      <c r="E68" s="484">
        <f>'G-2 Habitat groups'!BD57</f>
        <v>0</v>
      </c>
      <c r="F68" s="484">
        <f>'G-2 Habitat groups'!BE57</f>
        <v>0</v>
      </c>
      <c r="G68" s="485" t="str">
        <f>'G-2 Habitat groups'!BF57</f>
        <v/>
      </c>
      <c r="H68" s="40"/>
      <c r="I68" s="40"/>
      <c r="J68" s="40"/>
      <c r="K68" s="40"/>
      <c r="L68" s="40"/>
      <c r="M68" s="40"/>
      <c r="N68" s="40"/>
      <c r="O68" s="40"/>
    </row>
    <row r="69" spans="1:15" ht="14.4" customHeight="1" x14ac:dyDescent="0.25">
      <c r="A69" s="40"/>
      <c r="B69" s="345" t="str">
        <f>'G-2 Habitat groups'!AU58</f>
        <v>Woodland and forest - Wet woodland</v>
      </c>
      <c r="C69" s="346" t="str">
        <f>'G-2 Habitat groups'!AV58</f>
        <v>Woodland and forest</v>
      </c>
      <c r="D69" s="484">
        <f>'G-2 Habitat groups'!BB58</f>
        <v>0</v>
      </c>
      <c r="E69" s="484">
        <f>'G-2 Habitat groups'!BD58</f>
        <v>0</v>
      </c>
      <c r="F69" s="484">
        <f>'G-2 Habitat groups'!BE58</f>
        <v>0</v>
      </c>
      <c r="G69" s="485" t="str">
        <f>'G-2 Habitat groups'!BF58</f>
        <v/>
      </c>
      <c r="H69" s="40"/>
      <c r="I69" s="40"/>
      <c r="J69" s="40"/>
      <c r="K69" s="40"/>
      <c r="L69" s="40"/>
      <c r="M69" s="40"/>
      <c r="N69" s="40"/>
      <c r="O69" s="40"/>
    </row>
    <row r="70" spans="1:15" x14ac:dyDescent="0.25">
      <c r="A70" s="40"/>
      <c r="B70" s="345" t="str">
        <f>'G-2 Habitat groups'!AU59</f>
        <v>Coastal lagoons - Coastal lagoons</v>
      </c>
      <c r="C70" s="346" t="str">
        <f>'G-2 Habitat groups'!AV59</f>
        <v>Coastal lagoons</v>
      </c>
      <c r="D70" s="484">
        <f>'G-2 Habitat groups'!BB59</f>
        <v>0</v>
      </c>
      <c r="E70" s="484">
        <f>'G-2 Habitat groups'!BD59</f>
        <v>0</v>
      </c>
      <c r="F70" s="484">
        <f>'G-2 Habitat groups'!BE59</f>
        <v>0</v>
      </c>
      <c r="G70" s="485" t="str">
        <f>'G-2 Habitat groups'!BF59</f>
        <v/>
      </c>
      <c r="H70" s="40"/>
      <c r="I70" s="40"/>
      <c r="J70" s="40"/>
      <c r="K70" s="40"/>
      <c r="L70" s="40"/>
      <c r="M70" s="40"/>
      <c r="N70" s="40"/>
      <c r="O70" s="40"/>
    </row>
    <row r="71" spans="1:15" x14ac:dyDescent="0.25">
      <c r="A71" s="40"/>
      <c r="B71" s="345" t="str">
        <f>'G-2 Habitat groups'!AU60</f>
        <v>Rocky shore - High energy littoral rock</v>
      </c>
      <c r="C71" s="346" t="str">
        <f>'G-2 Habitat groups'!AV60</f>
        <v>Rocky shore</v>
      </c>
      <c r="D71" s="484">
        <f>'G-2 Habitat groups'!BB60</f>
        <v>0</v>
      </c>
      <c r="E71" s="484">
        <f>'G-2 Habitat groups'!BD60</f>
        <v>0</v>
      </c>
      <c r="F71" s="484">
        <f>'G-2 Habitat groups'!BE60</f>
        <v>0</v>
      </c>
      <c r="G71" s="485" t="str">
        <f>'G-2 Habitat groups'!BF60</f>
        <v/>
      </c>
      <c r="H71" s="40"/>
      <c r="I71" s="40"/>
      <c r="J71" s="40"/>
      <c r="K71" s="40"/>
      <c r="L71" s="40"/>
      <c r="M71" s="40"/>
      <c r="N71" s="40"/>
      <c r="O71" s="40"/>
    </row>
    <row r="72" spans="1:15" x14ac:dyDescent="0.25">
      <c r="A72" s="40"/>
      <c r="B72" s="345" t="str">
        <f>'G-2 Habitat groups'!AU61</f>
        <v>Rocky shore - Moderate energy littoral rock</v>
      </c>
      <c r="C72" s="346" t="str">
        <f>'G-2 Habitat groups'!AV61</f>
        <v>Rocky shore</v>
      </c>
      <c r="D72" s="484">
        <f>'G-2 Habitat groups'!BB61</f>
        <v>0</v>
      </c>
      <c r="E72" s="484">
        <f>'G-2 Habitat groups'!BD61</f>
        <v>0</v>
      </c>
      <c r="F72" s="484">
        <f>'G-2 Habitat groups'!BE61</f>
        <v>0</v>
      </c>
      <c r="G72" s="485" t="str">
        <f>'G-2 Habitat groups'!BF61</f>
        <v/>
      </c>
      <c r="H72" s="40"/>
      <c r="I72" s="40"/>
      <c r="J72" s="40"/>
      <c r="K72" s="40"/>
      <c r="L72" s="40"/>
      <c r="M72" s="40"/>
      <c r="N72" s="40"/>
      <c r="O72" s="40"/>
    </row>
    <row r="73" spans="1:15" x14ac:dyDescent="0.25">
      <c r="A73" s="40"/>
      <c r="B73" s="345" t="str">
        <f>'G-2 Habitat groups'!AU62</f>
        <v>Rocky shore - Low energy littoral rock</v>
      </c>
      <c r="C73" s="346" t="str">
        <f>'G-2 Habitat groups'!AV62</f>
        <v>Rocky shore</v>
      </c>
      <c r="D73" s="484">
        <f>'G-2 Habitat groups'!BB62</f>
        <v>0</v>
      </c>
      <c r="E73" s="484">
        <f>'G-2 Habitat groups'!BD62</f>
        <v>0</v>
      </c>
      <c r="F73" s="484">
        <f>'G-2 Habitat groups'!BE62</f>
        <v>0</v>
      </c>
      <c r="G73" s="485" t="str">
        <f>'G-2 Habitat groups'!BF62</f>
        <v/>
      </c>
      <c r="H73" s="40"/>
      <c r="I73" s="40"/>
      <c r="J73" s="40"/>
      <c r="K73" s="40"/>
      <c r="L73" s="40"/>
      <c r="M73" s="40"/>
      <c r="N73" s="40"/>
      <c r="O73" s="40"/>
    </row>
    <row r="74" spans="1:15" x14ac:dyDescent="0.25">
      <c r="A74" s="40"/>
      <c r="B74" s="345" t="str">
        <f>'G-2 Habitat groups'!AU63</f>
        <v>Rocky shore - Features of littoral rock</v>
      </c>
      <c r="C74" s="346" t="str">
        <f>'G-2 Habitat groups'!AV63</f>
        <v>Rocky shore</v>
      </c>
      <c r="D74" s="484">
        <f>'G-2 Habitat groups'!BB63</f>
        <v>0</v>
      </c>
      <c r="E74" s="484">
        <f>'G-2 Habitat groups'!BD63</f>
        <v>0</v>
      </c>
      <c r="F74" s="484">
        <f>'G-2 Habitat groups'!BE63</f>
        <v>0</v>
      </c>
      <c r="G74" s="485" t="str">
        <f>'G-2 Habitat groups'!BF63</f>
        <v/>
      </c>
      <c r="H74" s="40"/>
      <c r="I74" s="40"/>
      <c r="J74" s="40"/>
      <c r="K74" s="40"/>
      <c r="L74" s="40"/>
      <c r="M74" s="40"/>
      <c r="N74" s="40"/>
      <c r="O74" s="40"/>
    </row>
    <row r="75" spans="1:15" x14ac:dyDescent="0.25">
      <c r="A75" s="40"/>
      <c r="B75" s="345" t="str">
        <f>'G-2 Habitat groups'!AU64</f>
        <v>Intertidal sediment - Littoral mud</v>
      </c>
      <c r="C75" s="346" t="str">
        <f>'G-2 Habitat groups'!AV64</f>
        <v>Intertidal sediment</v>
      </c>
      <c r="D75" s="484">
        <f>'G-2 Habitat groups'!BB64</f>
        <v>0</v>
      </c>
      <c r="E75" s="484">
        <f>'G-2 Habitat groups'!BD64</f>
        <v>0</v>
      </c>
      <c r="F75" s="484">
        <f>'G-2 Habitat groups'!BE64</f>
        <v>0</v>
      </c>
      <c r="G75" s="485" t="str">
        <f>'G-2 Habitat groups'!BF64</f>
        <v/>
      </c>
      <c r="H75" s="40"/>
      <c r="I75" s="40"/>
      <c r="J75" s="40"/>
      <c r="K75" s="40"/>
      <c r="L75" s="40"/>
      <c r="M75" s="40"/>
      <c r="N75" s="40"/>
      <c r="O75" s="40"/>
    </row>
    <row r="76" spans="1:15" x14ac:dyDescent="0.25">
      <c r="A76" s="40"/>
      <c r="B76" s="345" t="str">
        <f>'G-2 Habitat groups'!AU65</f>
        <v>Intertidal sediment - Littoral mixed sediments</v>
      </c>
      <c r="C76" s="346" t="str">
        <f>'G-2 Habitat groups'!AV65</f>
        <v>Intertidal sediment</v>
      </c>
      <c r="D76" s="484">
        <f>'G-2 Habitat groups'!BB65</f>
        <v>0</v>
      </c>
      <c r="E76" s="484">
        <f>'G-2 Habitat groups'!BD65</f>
        <v>0</v>
      </c>
      <c r="F76" s="484">
        <f>'G-2 Habitat groups'!BE65</f>
        <v>0</v>
      </c>
      <c r="G76" s="485" t="str">
        <f>'G-2 Habitat groups'!BF65</f>
        <v/>
      </c>
      <c r="H76" s="40"/>
      <c r="I76" s="40"/>
      <c r="J76" s="40"/>
      <c r="K76" s="40"/>
      <c r="L76" s="40"/>
      <c r="M76" s="40"/>
      <c r="N76" s="40"/>
      <c r="O76" s="40"/>
    </row>
    <row r="77" spans="1:15" x14ac:dyDescent="0.25">
      <c r="A77" s="40"/>
      <c r="B77" s="345" t="str">
        <f>'G-2 Habitat groups'!AU66</f>
        <v>Coastal saltmarsh - Saltmarshes and saline reedbeds</v>
      </c>
      <c r="C77" s="346" t="str">
        <f>'G-2 Habitat groups'!AV66</f>
        <v>Coastal Saltmarsh</v>
      </c>
      <c r="D77" s="484">
        <f>'G-2 Habitat groups'!BB66</f>
        <v>0</v>
      </c>
      <c r="E77" s="484">
        <f>'G-2 Habitat groups'!BD66</f>
        <v>0</v>
      </c>
      <c r="F77" s="484">
        <f>'G-2 Habitat groups'!BE66</f>
        <v>0</v>
      </c>
      <c r="G77" s="485" t="str">
        <f>'G-2 Habitat groups'!BF66</f>
        <v/>
      </c>
      <c r="H77" s="40"/>
      <c r="I77" s="40"/>
      <c r="J77" s="40"/>
      <c r="K77" s="40"/>
      <c r="L77" s="40"/>
      <c r="M77" s="40"/>
      <c r="N77" s="40"/>
      <c r="O77" s="40"/>
    </row>
    <row r="78" spans="1:15" x14ac:dyDescent="0.25">
      <c r="A78" s="40"/>
      <c r="B78" s="345" t="str">
        <f>'G-2 Habitat groups'!AU67</f>
        <v>Intertidal sediment - Littoral biogenic reefs - Mussels</v>
      </c>
      <c r="C78" s="346" t="str">
        <f>'G-2 Habitat groups'!AV67</f>
        <v>Intertidal sediment</v>
      </c>
      <c r="D78" s="484">
        <f>'G-2 Habitat groups'!BB67</f>
        <v>0</v>
      </c>
      <c r="E78" s="484">
        <f>'G-2 Habitat groups'!BD67</f>
        <v>0</v>
      </c>
      <c r="F78" s="484">
        <f>'G-2 Habitat groups'!BE67</f>
        <v>0</v>
      </c>
      <c r="G78" s="485" t="str">
        <f>'G-2 Habitat groups'!BF67</f>
        <v/>
      </c>
      <c r="H78" s="40"/>
      <c r="I78" s="40"/>
      <c r="J78" s="40"/>
      <c r="K78" s="40"/>
      <c r="L78" s="40"/>
      <c r="M78" s="40"/>
      <c r="N78" s="40"/>
      <c r="O78" s="40"/>
    </row>
    <row r="79" spans="1:15" x14ac:dyDescent="0.25">
      <c r="A79" s="40"/>
      <c r="B79" s="345" t="str">
        <f>'G-2 Habitat groups'!AU68</f>
        <v>Intertidal sediment - Littoral biogenic reefs - Sabellaria</v>
      </c>
      <c r="C79" s="346" t="str">
        <f>'G-2 Habitat groups'!AV68</f>
        <v>Intertidal sediment</v>
      </c>
      <c r="D79" s="484">
        <f>'G-2 Habitat groups'!BB68</f>
        <v>0</v>
      </c>
      <c r="E79" s="484">
        <f>'G-2 Habitat groups'!BD68</f>
        <v>0</v>
      </c>
      <c r="F79" s="484">
        <f>'G-2 Habitat groups'!BE68</f>
        <v>0</v>
      </c>
      <c r="G79" s="485" t="str">
        <f>'G-2 Habitat groups'!BF68</f>
        <v/>
      </c>
      <c r="H79" s="40"/>
      <c r="I79" s="40"/>
      <c r="J79" s="40"/>
      <c r="K79" s="40"/>
      <c r="L79" s="40"/>
      <c r="M79" s="40"/>
      <c r="N79" s="40"/>
      <c r="O79" s="40"/>
    </row>
    <row r="80" spans="1:15" x14ac:dyDescent="0.25">
      <c r="A80" s="40"/>
      <c r="B80" s="347" t="str">
        <f>'G-2 Habitat groups'!AU69</f>
        <v>Intertidal sediment - Features of littoral sediment</v>
      </c>
      <c r="C80" s="348" t="str">
        <f>'G-2 Habitat groups'!AV69</f>
        <v>Intertidal sediment</v>
      </c>
      <c r="D80" s="484">
        <f>'G-2 Habitat groups'!BB69</f>
        <v>0</v>
      </c>
      <c r="E80" s="484">
        <f>'G-2 Habitat groups'!BD69</f>
        <v>0</v>
      </c>
      <c r="F80" s="484">
        <f>'G-2 Habitat groups'!BE69</f>
        <v>0</v>
      </c>
      <c r="G80" s="485" t="str">
        <f>'G-2 Habitat groups'!BF69</f>
        <v/>
      </c>
      <c r="H80" s="40"/>
      <c r="I80" s="40"/>
      <c r="J80" s="40"/>
      <c r="K80" s="40"/>
      <c r="L80" s="40"/>
      <c r="M80" s="40"/>
      <c r="N80" s="40"/>
      <c r="O80" s="40"/>
    </row>
    <row r="81" spans="1:17" ht="14.4" thickBot="1" x14ac:dyDescent="0.3">
      <c r="A81" s="40"/>
      <c r="B81" s="349" t="str">
        <f>'G-2 Habitat groups'!AU70</f>
        <v>Intertidal sediment - Littoral muddy sand</v>
      </c>
      <c r="C81" s="350" t="str">
        <f>'G-2 Habitat groups'!AV70</f>
        <v>Intertidal sediment</v>
      </c>
      <c r="D81" s="484">
        <f>'G-2 Habitat groups'!BB70</f>
        <v>0</v>
      </c>
      <c r="E81" s="484">
        <f>'G-2 Habitat groups'!BD70</f>
        <v>0</v>
      </c>
      <c r="F81" s="484">
        <f>'G-2 Habitat groups'!BE70</f>
        <v>0</v>
      </c>
      <c r="G81" s="485" t="str">
        <f>'G-2 Habitat groups'!BF70</f>
        <v/>
      </c>
      <c r="H81" s="40"/>
      <c r="I81" s="40"/>
      <c r="J81" s="40"/>
      <c r="K81" s="40"/>
      <c r="L81" s="40"/>
      <c r="M81" s="40"/>
      <c r="N81" s="40"/>
      <c r="O81" s="40"/>
      <c r="P81" s="40"/>
      <c r="Q81" s="40"/>
    </row>
    <row r="82" spans="1:17" ht="14.4" thickBot="1" x14ac:dyDescent="0.3">
      <c r="A82" s="40"/>
      <c r="B82" s="46"/>
      <c r="C82" s="46"/>
      <c r="D82" s="473">
        <f>SUM(D41:D81)</f>
        <v>0</v>
      </c>
      <c r="E82" s="474">
        <f>SUM(E41:E81)</f>
        <v>0</v>
      </c>
      <c r="F82" s="475">
        <f>SUM(F41:F81)</f>
        <v>0</v>
      </c>
      <c r="G82" s="476">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4.4" thickBot="1" x14ac:dyDescent="0.3">
      <c r="A86" s="40"/>
      <c r="B86" s="40"/>
      <c r="C86" s="40"/>
      <c r="D86" s="40"/>
      <c r="E86" s="40"/>
      <c r="F86" s="40"/>
      <c r="G86" s="40"/>
      <c r="H86" s="40"/>
      <c r="I86" s="40"/>
      <c r="J86" s="40"/>
      <c r="K86" s="40"/>
      <c r="L86" s="40"/>
      <c r="M86" s="40"/>
      <c r="N86" s="40"/>
      <c r="O86" s="40"/>
      <c r="P86" s="40"/>
      <c r="Q86" s="40"/>
    </row>
    <row r="87" spans="1:17" ht="28.2" thickBot="1" x14ac:dyDescent="0.45">
      <c r="A87" s="40"/>
      <c r="B87" s="884" t="s">
        <v>171</v>
      </c>
      <c r="C87" s="885"/>
      <c r="D87" s="885"/>
      <c r="E87" s="885"/>
      <c r="F87" s="885"/>
      <c r="G87" s="886"/>
      <c r="H87" s="40"/>
      <c r="I87" s="877" t="s">
        <v>172</v>
      </c>
      <c r="J87" s="878"/>
      <c r="K87" s="40"/>
      <c r="L87" s="40"/>
      <c r="M87" s="40"/>
      <c r="N87" s="40"/>
      <c r="O87" s="40"/>
    </row>
    <row r="88" spans="1:17" ht="47.4" thickBot="1" x14ac:dyDescent="0.3">
      <c r="A88" s="40"/>
      <c r="B88" s="351" t="s">
        <v>173</v>
      </c>
      <c r="C88" s="352" t="s">
        <v>160</v>
      </c>
      <c r="D88" s="352" t="s">
        <v>174</v>
      </c>
      <c r="E88" s="352" t="s">
        <v>175</v>
      </c>
      <c r="F88" s="352" t="s">
        <v>176</v>
      </c>
      <c r="G88" s="353" t="s">
        <v>177</v>
      </c>
      <c r="H88" s="40"/>
      <c r="I88" s="96" t="s">
        <v>178</v>
      </c>
      <c r="J88" s="488">
        <f>SUMIF(G89:G113,"&gt;0")</f>
        <v>0.88110336425439184</v>
      </c>
      <c r="K88" s="40"/>
      <c r="L88" s="40"/>
    </row>
    <row r="89" spans="1:17" ht="27.6" x14ac:dyDescent="0.25">
      <c r="A89" s="40"/>
      <c r="B89" s="354" t="str">
        <f>'G-2 Habitat groups'!AU77</f>
        <v>Cropland - Arable field margins cultivated annually</v>
      </c>
      <c r="C89" s="355" t="str">
        <f>'G-2 Habitat groups'!AV77</f>
        <v>Cropland</v>
      </c>
      <c r="D89" s="490">
        <f>'G-2 Habitat groups'!BB77</f>
        <v>0</v>
      </c>
      <c r="E89" s="490">
        <f>'G-2 Habitat groups'!BD77</f>
        <v>0</v>
      </c>
      <c r="F89" s="490">
        <f>'G-2 Habitat groups'!BE77</f>
        <v>0</v>
      </c>
      <c r="G89" s="881">
        <f>SUM(F89:F92)</f>
        <v>0</v>
      </c>
      <c r="H89" s="40"/>
      <c r="I89" s="129" t="s">
        <v>179</v>
      </c>
      <c r="J89" s="489">
        <f>SUMIF(G89:G113,"&lt;0")</f>
        <v>-0.19444159808015193</v>
      </c>
      <c r="K89" s="40"/>
      <c r="L89" s="40"/>
    </row>
    <row r="90" spans="1:17" ht="27.6" x14ac:dyDescent="0.25">
      <c r="A90" s="40"/>
      <c r="B90" s="347" t="str">
        <f>'G-2 Habitat groups'!AU78</f>
        <v>Cropland - Arable field margins game bird mix</v>
      </c>
      <c r="C90" s="348" t="str">
        <f>'G-2 Habitat groups'!AV78</f>
        <v>Cropland</v>
      </c>
      <c r="D90" s="481">
        <f>'G-2 Habitat groups'!BB78</f>
        <v>0</v>
      </c>
      <c r="E90" s="481">
        <f>'G-2 Habitat groups'!BD78</f>
        <v>0</v>
      </c>
      <c r="F90" s="481">
        <f>'G-2 Habitat groups'!BE78</f>
        <v>0</v>
      </c>
      <c r="G90" s="882"/>
      <c r="H90" s="40"/>
      <c r="I90" s="129" t="s">
        <v>180</v>
      </c>
      <c r="J90" s="489">
        <f>IF(J40+J12+J89&gt;0,J40+J12+J89,0)</f>
        <v>0</v>
      </c>
    </row>
    <row r="91" spans="1:17" ht="14.4" thickBot="1" x14ac:dyDescent="0.3">
      <c r="A91" s="40"/>
      <c r="B91" s="347" t="str">
        <f>'G-2 Habitat groups'!AU79</f>
        <v>Cropland - Arable field margins pollen &amp; nectar</v>
      </c>
      <c r="C91" s="348" t="str">
        <f>'G-2 Habitat groups'!AV79</f>
        <v>Cropland</v>
      </c>
      <c r="D91" s="481">
        <f>'G-2 Habitat groups'!BB79</f>
        <v>0</v>
      </c>
      <c r="E91" s="481">
        <f>'G-2 Habitat groups'!BD79</f>
        <v>0</v>
      </c>
      <c r="F91" s="481">
        <f>'G-2 Habitat groups'!BE79</f>
        <v>0</v>
      </c>
      <c r="G91" s="882"/>
      <c r="H91" s="40"/>
      <c r="I91" s="97" t="s">
        <v>181</v>
      </c>
      <c r="J91" s="487">
        <f>J90+J88</f>
        <v>0.88110336425439184</v>
      </c>
      <c r="K91" s="40"/>
      <c r="L91" s="40"/>
    </row>
    <row r="92" spans="1:17" ht="14.4" thickBot="1" x14ac:dyDescent="0.3">
      <c r="A92" s="40"/>
      <c r="B92" s="347" t="str">
        <f>'G-2 Habitat groups'!AU80</f>
        <v>Cropland - Arable field margins tussocky</v>
      </c>
      <c r="C92" s="348" t="str">
        <f>'G-2 Habitat groups'!AV80</f>
        <v>Cropland</v>
      </c>
      <c r="D92" s="481">
        <f>'G-2 Habitat groups'!BB80</f>
        <v>0</v>
      </c>
      <c r="E92" s="481">
        <f>'G-2 Habitat groups'!BD80</f>
        <v>0</v>
      </c>
      <c r="F92" s="481">
        <f>'G-2 Habitat groups'!BE80</f>
        <v>0</v>
      </c>
      <c r="G92" s="882"/>
      <c r="H92" s="40"/>
      <c r="I92" s="40"/>
      <c r="J92" s="40"/>
      <c r="K92" s="40"/>
      <c r="L92" s="40"/>
    </row>
    <row r="93" spans="1:17" x14ac:dyDescent="0.25">
      <c r="A93" s="40"/>
      <c r="B93" s="354" t="str">
        <f>'G-2 Habitat groups'!AU81</f>
        <v>Grassland - Other lowland acid grassland</v>
      </c>
      <c r="C93" s="355" t="str">
        <f>'G-2 Habitat groups'!AV81</f>
        <v>Grassland</v>
      </c>
      <c r="D93" s="490">
        <f>'G-2 Habitat groups'!BB81</f>
        <v>0</v>
      </c>
      <c r="E93" s="490">
        <f>'G-2 Habitat groups'!BD81</f>
        <v>0</v>
      </c>
      <c r="F93" s="490">
        <f>'G-2 Habitat groups'!BE81</f>
        <v>0</v>
      </c>
      <c r="G93" s="881">
        <f>SUM(F93:F95)</f>
        <v>0.747555814819992</v>
      </c>
      <c r="H93" s="40"/>
      <c r="I93" s="40"/>
      <c r="J93" s="40"/>
      <c r="K93" s="40"/>
      <c r="L93" s="40"/>
    </row>
    <row r="94" spans="1:17" x14ac:dyDescent="0.25">
      <c r="A94" s="40"/>
      <c r="B94" s="347" t="str">
        <f>'G-2 Habitat groups'!AU82</f>
        <v>Grassland - Other neutral grassland</v>
      </c>
      <c r="C94" s="348" t="str">
        <f>'G-2 Habitat groups'!AV82</f>
        <v>Grassland</v>
      </c>
      <c r="D94" s="481">
        <f>'G-2 Habitat groups'!BB82</f>
        <v>0.747555814819992</v>
      </c>
      <c r="E94" s="481">
        <f>'G-2 Habitat groups'!BD82</f>
        <v>0</v>
      </c>
      <c r="F94" s="481">
        <f>'G-2 Habitat groups'!BE82</f>
        <v>0.747555814819992</v>
      </c>
      <c r="G94" s="882"/>
      <c r="H94" s="40"/>
      <c r="I94" s="40"/>
      <c r="J94" s="40"/>
      <c r="K94" s="40"/>
      <c r="L94" s="40"/>
    </row>
    <row r="95" spans="1:17" ht="14.4" thickBot="1" x14ac:dyDescent="0.3">
      <c r="A95" s="40"/>
      <c r="B95" s="349" t="str">
        <f>'G-2 Habitat groups'!AU83</f>
        <v>Grassland - Upland acid grassland</v>
      </c>
      <c r="C95" s="350" t="str">
        <f>'G-2 Habitat groups'!AV83</f>
        <v>Grassland</v>
      </c>
      <c r="D95" s="491">
        <f>'G-2 Habitat groups'!BB83</f>
        <v>0</v>
      </c>
      <c r="E95" s="491">
        <f>'G-2 Habitat groups'!BD83</f>
        <v>0</v>
      </c>
      <c r="F95" s="491">
        <f>'G-2 Habitat groups'!BE83</f>
        <v>0</v>
      </c>
      <c r="G95" s="883"/>
      <c r="H95" s="40"/>
      <c r="I95" s="40"/>
      <c r="J95" s="40"/>
      <c r="K95" s="40"/>
      <c r="L95" s="40"/>
      <c r="M95" s="40"/>
    </row>
    <row r="96" spans="1:17" x14ac:dyDescent="0.25">
      <c r="A96" s="40"/>
      <c r="B96" s="354" t="str">
        <f>'G-2 Habitat groups'!AU84</f>
        <v>Heathland and shrub - Blackthorn scrub</v>
      </c>
      <c r="C96" s="355" t="str">
        <f>'G-2 Habitat groups'!AV84</f>
        <v>Heathland and shrub</v>
      </c>
      <c r="D96" s="490">
        <f>'G-2 Habitat groups'!BB84</f>
        <v>0</v>
      </c>
      <c r="E96" s="490">
        <f>'G-2 Habitat groups'!BD84</f>
        <v>0</v>
      </c>
      <c r="F96" s="490">
        <f>'G-2 Habitat groups'!BE84</f>
        <v>0</v>
      </c>
      <c r="G96" s="881">
        <f>SUM(F96:F101)</f>
        <v>-0.19444159808015193</v>
      </c>
      <c r="H96" s="40"/>
      <c r="I96" s="40"/>
      <c r="J96" s="40"/>
      <c r="K96" s="40"/>
      <c r="L96" s="40"/>
      <c r="M96" s="40"/>
    </row>
    <row r="97" spans="1:15" x14ac:dyDescent="0.25">
      <c r="A97" s="40"/>
      <c r="B97" s="347" t="str">
        <f>'G-2 Habitat groups'!AU85</f>
        <v>Heathland and shrub - Bramble scrub</v>
      </c>
      <c r="C97" s="348" t="str">
        <f>'G-2 Habitat groups'!AV85</f>
        <v>Heathland and shrub</v>
      </c>
      <c r="D97" s="481">
        <f>'G-2 Habitat groups'!BB85</f>
        <v>0</v>
      </c>
      <c r="E97" s="481">
        <f>'G-2 Habitat groups'!BD85</f>
        <v>0</v>
      </c>
      <c r="F97" s="481">
        <f>'G-2 Habitat groups'!BE85</f>
        <v>0</v>
      </c>
      <c r="G97" s="882"/>
      <c r="H97" s="40"/>
      <c r="I97" s="40"/>
      <c r="J97" s="40"/>
      <c r="K97" s="40"/>
      <c r="L97" s="40"/>
      <c r="M97" s="40"/>
    </row>
    <row r="98" spans="1:15" x14ac:dyDescent="0.25">
      <c r="A98" s="40"/>
      <c r="B98" s="347" t="str">
        <f>'G-2 Habitat groups'!AU86</f>
        <v>Heathland and shrub - Gorse scrub</v>
      </c>
      <c r="C98" s="348" t="str">
        <f>'G-2 Habitat groups'!AV86</f>
        <v>Heathland and shrub</v>
      </c>
      <c r="D98" s="481">
        <f>'G-2 Habitat groups'!BB86</f>
        <v>0</v>
      </c>
      <c r="E98" s="481">
        <f>'G-2 Habitat groups'!BD86</f>
        <v>0</v>
      </c>
      <c r="F98" s="481">
        <f>'G-2 Habitat groups'!BE86</f>
        <v>0</v>
      </c>
      <c r="G98" s="882"/>
      <c r="H98" s="40"/>
      <c r="I98" s="40"/>
      <c r="J98" s="40"/>
      <c r="K98" s="40"/>
      <c r="L98" s="40"/>
      <c r="M98" s="40"/>
    </row>
    <row r="99" spans="1:15" x14ac:dyDescent="0.25">
      <c r="A99" s="40"/>
      <c r="B99" s="347" t="str">
        <f>'G-2 Habitat groups'!AU87</f>
        <v>Heathland and shrub - Hawthorn scrub</v>
      </c>
      <c r="C99" s="348" t="str">
        <f>'G-2 Habitat groups'!AV87</f>
        <v>Heathland and shrub</v>
      </c>
      <c r="D99" s="481">
        <f>'G-2 Habitat groups'!BB87</f>
        <v>0</v>
      </c>
      <c r="E99" s="481">
        <f>'G-2 Habitat groups'!BD87</f>
        <v>0</v>
      </c>
      <c r="F99" s="481">
        <f>'G-2 Habitat groups'!BE87</f>
        <v>0</v>
      </c>
      <c r="G99" s="882"/>
      <c r="H99" s="40"/>
      <c r="I99" s="40"/>
      <c r="J99" s="40"/>
      <c r="K99" s="40"/>
      <c r="L99" s="40"/>
      <c r="M99" s="40"/>
    </row>
    <row r="100" spans="1:15" x14ac:dyDescent="0.25">
      <c r="A100" s="40"/>
      <c r="B100" s="347" t="str">
        <f>'G-2 Habitat groups'!AU88</f>
        <v>Heathland and shrub - Hazel scrub</v>
      </c>
      <c r="C100" s="348" t="str">
        <f>'G-2 Habitat groups'!AV88</f>
        <v>Heathland and shrub</v>
      </c>
      <c r="D100" s="481">
        <f>'G-2 Habitat groups'!BB88</f>
        <v>0</v>
      </c>
      <c r="E100" s="481">
        <f>'G-2 Habitat groups'!BD88</f>
        <v>0</v>
      </c>
      <c r="F100" s="481">
        <f>'G-2 Habitat groups'!BE88</f>
        <v>0</v>
      </c>
      <c r="G100" s="882"/>
      <c r="H100" s="40"/>
      <c r="I100" s="40"/>
      <c r="J100" s="40"/>
      <c r="K100" s="40"/>
      <c r="L100" s="40"/>
      <c r="M100" s="40"/>
      <c r="N100" s="40"/>
      <c r="O100" s="40"/>
    </row>
    <row r="101" spans="1:15" ht="14.4" thickBot="1" x14ac:dyDescent="0.3">
      <c r="A101" s="40"/>
      <c r="B101" s="349" t="str">
        <f>'G-2 Habitat groups'!AU89</f>
        <v>Heathland and shrub - Mixed scrub</v>
      </c>
      <c r="C101" s="350" t="str">
        <f>'G-2 Habitat groups'!AV89</f>
        <v>Heathland and shrub</v>
      </c>
      <c r="D101" s="491">
        <f>'G-2 Habitat groups'!BB89</f>
        <v>-0.19444159808015193</v>
      </c>
      <c r="E101" s="491">
        <f>'G-2 Habitat groups'!BD89</f>
        <v>0</v>
      </c>
      <c r="F101" s="491">
        <f>'G-2 Habitat groups'!BE89</f>
        <v>-0.19444159808015193</v>
      </c>
      <c r="G101" s="883"/>
      <c r="H101" s="40"/>
      <c r="I101" s="40"/>
      <c r="J101" s="40"/>
      <c r="K101" s="40"/>
      <c r="L101" s="40"/>
      <c r="M101" s="40"/>
      <c r="N101" s="40"/>
      <c r="O101" s="40"/>
    </row>
    <row r="102" spans="1:15" x14ac:dyDescent="0.25">
      <c r="A102" s="40"/>
      <c r="B102" s="354" t="str">
        <f>'G-2 Habitat groups'!AU90</f>
        <v>Lakes - Ponds (Non- Priority Habitat)</v>
      </c>
      <c r="C102" s="355" t="str">
        <f>'G-2 Habitat groups'!AV90</f>
        <v>Lakes</v>
      </c>
      <c r="D102" s="490">
        <f>'G-2 Habitat groups'!BB90</f>
        <v>0</v>
      </c>
      <c r="E102" s="490">
        <f>'G-2 Habitat groups'!BD90</f>
        <v>0</v>
      </c>
      <c r="F102" s="490">
        <f>'G-2 Habitat groups'!BE90</f>
        <v>0</v>
      </c>
      <c r="G102" s="881">
        <f>SUM(F102:F103)</f>
        <v>0</v>
      </c>
      <c r="H102" s="40"/>
      <c r="K102" s="40"/>
      <c r="L102" s="40"/>
      <c r="M102" s="40"/>
      <c r="N102" s="40"/>
      <c r="O102" s="40"/>
    </row>
    <row r="103" spans="1:15" ht="14.4" thickBot="1" x14ac:dyDescent="0.3">
      <c r="A103" s="40"/>
      <c r="B103" s="349" t="str">
        <f>'G-2 Habitat groups'!AU91</f>
        <v>Lakes - Reservoirs</v>
      </c>
      <c r="C103" s="350" t="str">
        <f>'G-2 Habitat groups'!AV91</f>
        <v>Lakes</v>
      </c>
      <c r="D103" s="491">
        <f>'G-2 Habitat groups'!BB91</f>
        <v>0</v>
      </c>
      <c r="E103" s="491">
        <f>'G-2 Habitat groups'!BD91</f>
        <v>0</v>
      </c>
      <c r="F103" s="491">
        <f>'G-2 Habitat groups'!BE91</f>
        <v>0</v>
      </c>
      <c r="G103" s="883"/>
      <c r="H103" s="40"/>
      <c r="K103" s="40"/>
      <c r="L103" s="40"/>
      <c r="M103" s="40"/>
      <c r="N103" s="40"/>
      <c r="O103" s="40"/>
    </row>
    <row r="104" spans="1:15" ht="14.4" thickBot="1" x14ac:dyDescent="0.3">
      <c r="A104" s="40"/>
      <c r="B104" s="356" t="str">
        <f>'G-2 Habitat groups'!AU92</f>
        <v>Sparsely vegetated land - Other inland rock and scree</v>
      </c>
      <c r="C104" s="357" t="str">
        <f>'G-2 Habitat groups'!AV92</f>
        <v>Sparsely vegetated land</v>
      </c>
      <c r="D104" s="492">
        <f>'G-2 Habitat groups'!BB92</f>
        <v>0</v>
      </c>
      <c r="E104" s="492">
        <f>'G-2 Habitat groups'!BD92</f>
        <v>0</v>
      </c>
      <c r="F104" s="492">
        <f>'G-2 Habitat groups'!BE92</f>
        <v>0</v>
      </c>
      <c r="G104" s="493">
        <f>F104</f>
        <v>0</v>
      </c>
      <c r="H104" s="40"/>
      <c r="K104" s="40"/>
      <c r="L104" s="40"/>
      <c r="M104" s="40"/>
      <c r="N104" s="40"/>
      <c r="O104" s="40"/>
    </row>
    <row r="105" spans="1:15" x14ac:dyDescent="0.25">
      <c r="A105" s="40"/>
      <c r="B105" s="347" t="str">
        <f>'G-2 Habitat groups'!AU93</f>
        <v>Urban - Cemeteries and churchyards</v>
      </c>
      <c r="C105" s="348" t="str">
        <f>'G-2 Habitat groups'!AV93</f>
        <v>Urban</v>
      </c>
      <c r="D105" s="481">
        <f>'G-2 Habitat groups'!BB93</f>
        <v>0</v>
      </c>
      <c r="E105" s="481">
        <f>'G-2 Habitat groups'!BD93</f>
        <v>0</v>
      </c>
      <c r="F105" s="481">
        <f>'G-2 Habitat groups'!BE93</f>
        <v>0</v>
      </c>
      <c r="G105" s="881">
        <f>SUM(F105:F107)</f>
        <v>0.13354754943439984</v>
      </c>
      <c r="H105" s="40"/>
      <c r="I105" s="40"/>
      <c r="J105" s="40"/>
      <c r="K105" s="40"/>
      <c r="L105" s="40"/>
      <c r="M105" s="40"/>
      <c r="N105" s="40"/>
      <c r="O105" s="40"/>
    </row>
    <row r="106" spans="1:15" ht="15" customHeight="1" x14ac:dyDescent="0.25">
      <c r="A106" s="40"/>
      <c r="B106" s="661" t="str">
        <f>'G-2 Habitat groups'!AU94</f>
        <v>Urban - Biodiverse green roof</v>
      </c>
      <c r="C106" s="662" t="str">
        <f>'G-2 Habitat groups'!AV94</f>
        <v>Urban</v>
      </c>
      <c r="D106" s="496">
        <f>'G-2 Habitat groups'!BB94</f>
        <v>0</v>
      </c>
      <c r="E106" s="496">
        <f>'G-2 Habitat groups'!BD94</f>
        <v>0</v>
      </c>
      <c r="F106" s="496">
        <f>'G-2 Habitat groups'!BE94</f>
        <v>0</v>
      </c>
      <c r="G106" s="882"/>
      <c r="H106" s="40"/>
      <c r="I106" s="40"/>
      <c r="J106" s="40"/>
      <c r="K106" s="40"/>
      <c r="L106" s="40"/>
      <c r="M106" s="40"/>
      <c r="N106" s="40"/>
      <c r="O106" s="40"/>
    </row>
    <row r="107" spans="1:15" ht="15.75" customHeight="1" thickBot="1" x14ac:dyDescent="0.3">
      <c r="A107" s="40"/>
      <c r="B107" s="663" t="str">
        <f>'G-2 Habitat groups'!AU130</f>
        <v>Urban - Urban Tree</v>
      </c>
      <c r="C107" s="124" t="str">
        <f>'G-2 Habitat groups'!AV130</f>
        <v>Urban</v>
      </c>
      <c r="D107" s="664">
        <f>'G-2 Habitat groups'!BB130</f>
        <v>0.13354754943439984</v>
      </c>
      <c r="E107" s="664">
        <f>'G-2 Habitat groups'!BD130</f>
        <v>0</v>
      </c>
      <c r="F107" s="481">
        <f>'G-2 Habitat groups'!BE130</f>
        <v>0.13354754943439984</v>
      </c>
      <c r="G107" s="883"/>
      <c r="H107" s="40"/>
      <c r="I107" s="40"/>
      <c r="J107" s="40"/>
      <c r="K107" s="40"/>
      <c r="L107" s="40"/>
      <c r="M107" s="40"/>
      <c r="N107" s="40"/>
      <c r="O107" s="40"/>
    </row>
    <row r="108" spans="1:15" x14ac:dyDescent="0.25">
      <c r="A108" s="40"/>
      <c r="B108" s="354" t="str">
        <f>'G-2 Habitat groups'!AU95</f>
        <v>Woodland and forest - Other Scot's Pine woodland</v>
      </c>
      <c r="C108" s="355" t="str">
        <f>'G-2 Habitat groups'!AV95</f>
        <v>Woodland and forest</v>
      </c>
      <c r="D108" s="490">
        <f>'G-2 Habitat groups'!BB95</f>
        <v>0</v>
      </c>
      <c r="E108" s="490">
        <f>'G-2 Habitat groups'!BD95</f>
        <v>0</v>
      </c>
      <c r="F108" s="490">
        <f>'G-2 Habitat groups'!BE95</f>
        <v>0</v>
      </c>
      <c r="G108" s="881">
        <f>SUM(F108:F110)</f>
        <v>0</v>
      </c>
      <c r="H108" s="40"/>
      <c r="I108" s="40"/>
      <c r="J108" s="40"/>
      <c r="K108" s="40"/>
      <c r="L108" s="40"/>
      <c r="M108" s="40"/>
      <c r="N108" s="40"/>
      <c r="O108" s="40"/>
    </row>
    <row r="109" spans="1:15" x14ac:dyDescent="0.25">
      <c r="A109" s="40"/>
      <c r="B109" s="347" t="str">
        <f>'G-2 Habitat groups'!AU96</f>
        <v>Woodland and forest - Other woodland; broadleaved</v>
      </c>
      <c r="C109" s="348" t="str">
        <f>'G-2 Habitat groups'!AV96</f>
        <v>Woodland and forest</v>
      </c>
      <c r="D109" s="481">
        <f>'G-2 Habitat groups'!BB96</f>
        <v>0</v>
      </c>
      <c r="E109" s="481">
        <f>'G-2 Habitat groups'!BD96</f>
        <v>0</v>
      </c>
      <c r="F109" s="481">
        <f>'G-2 Habitat groups'!BE96</f>
        <v>0</v>
      </c>
      <c r="G109" s="882"/>
      <c r="H109" s="40"/>
      <c r="I109" s="40"/>
      <c r="J109" s="40"/>
      <c r="K109" s="40"/>
      <c r="L109" s="40"/>
      <c r="M109" s="40"/>
      <c r="N109" s="40"/>
      <c r="O109" s="40"/>
    </row>
    <row r="110" spans="1:15" ht="14.4" thickBot="1" x14ac:dyDescent="0.3">
      <c r="A110" s="40"/>
      <c r="B110" s="349" t="str">
        <f>'G-2 Habitat groups'!AU97</f>
        <v>Woodland and forest - Other woodland; mixed</v>
      </c>
      <c r="C110" s="350" t="str">
        <f>'G-2 Habitat groups'!AV97</f>
        <v>Woodland and forest</v>
      </c>
      <c r="D110" s="491">
        <f>'G-2 Habitat groups'!BB97</f>
        <v>0</v>
      </c>
      <c r="E110" s="491">
        <f>'G-2 Habitat groups'!BD97</f>
        <v>0</v>
      </c>
      <c r="F110" s="491">
        <f>'G-2 Habitat groups'!BE97</f>
        <v>0</v>
      </c>
      <c r="G110" s="883"/>
      <c r="H110" s="40"/>
      <c r="I110" s="40"/>
      <c r="J110" s="40"/>
      <c r="K110" s="40"/>
      <c r="L110" s="40"/>
      <c r="M110" s="40"/>
      <c r="N110" s="40"/>
      <c r="O110" s="40"/>
    </row>
    <row r="111" spans="1:15" x14ac:dyDescent="0.25">
      <c r="A111" s="40"/>
      <c r="B111" s="354" t="str">
        <f>'G-2 Habitat groups'!AU98</f>
        <v>Intertidal sediment - Littoral coarse sediment</v>
      </c>
      <c r="C111" s="355" t="str">
        <f>'G-2 Habitat groups'!AV98</f>
        <v>Intertidal sediment</v>
      </c>
      <c r="D111" s="490">
        <f>'G-2 Habitat groups'!BB98</f>
        <v>0</v>
      </c>
      <c r="E111" s="490">
        <f>'G-2 Habitat groups'!BD98</f>
        <v>0</v>
      </c>
      <c r="F111" s="490">
        <f>'G-2 Habitat groups'!BE98</f>
        <v>0</v>
      </c>
      <c r="G111" s="881">
        <f>SUM(F111:F113)</f>
        <v>0</v>
      </c>
      <c r="H111" s="40"/>
      <c r="I111" s="40"/>
      <c r="J111" s="40"/>
      <c r="K111" s="40"/>
      <c r="L111" s="40"/>
      <c r="M111" s="40"/>
      <c r="N111" s="40"/>
      <c r="O111" s="40"/>
    </row>
    <row r="112" spans="1:15" x14ac:dyDescent="0.25">
      <c r="A112" s="40"/>
      <c r="B112" s="347" t="str">
        <f>'G-2 Habitat groups'!AU99</f>
        <v>Intertidal sediment - Littoral sand</v>
      </c>
      <c r="C112" s="348" t="str">
        <f>'G-2 Habitat groups'!AV99</f>
        <v>Intertidal sediment</v>
      </c>
      <c r="D112" s="481">
        <f>'G-2 Habitat groups'!BB99</f>
        <v>0</v>
      </c>
      <c r="E112" s="481">
        <f>'G-2 Habitat groups'!BD99</f>
        <v>0</v>
      </c>
      <c r="F112" s="481">
        <f>'G-2 Habitat groups'!BE99</f>
        <v>0</v>
      </c>
      <c r="G112" s="882"/>
      <c r="H112" s="40"/>
      <c r="I112" s="40"/>
      <c r="J112" s="40"/>
      <c r="K112" s="40"/>
      <c r="L112" s="40"/>
      <c r="M112" s="40"/>
      <c r="N112" s="40"/>
      <c r="O112" s="40"/>
    </row>
    <row r="113" spans="1:17" ht="21" customHeight="1" thickBot="1" x14ac:dyDescent="0.3">
      <c r="A113" s="40"/>
      <c r="B113" s="349" t="str">
        <f>'G-2 Habitat groups'!AU100</f>
        <v>Intertidal Hard Structures - Artificial hard structures with Integrated Greening of Grey Infrastructure (IGGI)</v>
      </c>
      <c r="C113" s="350" t="str">
        <f>'G-2 Habitat groups'!AV100</f>
        <v xml:space="preserve">Intertidal </v>
      </c>
      <c r="D113" s="491">
        <f>'G-2 Habitat groups'!BB100</f>
        <v>0</v>
      </c>
      <c r="E113" s="491">
        <f>'G-2 Habitat groups'!BD100</f>
        <v>0</v>
      </c>
      <c r="F113" s="491">
        <f>'G-2 Habitat groups'!BE100</f>
        <v>0</v>
      </c>
      <c r="G113" s="883"/>
      <c r="H113" s="40"/>
      <c r="I113" s="40"/>
      <c r="J113" s="40"/>
      <c r="K113" s="40"/>
      <c r="L113" s="40"/>
      <c r="M113" s="40"/>
      <c r="N113" s="40"/>
      <c r="O113" s="40"/>
    </row>
    <row r="114" spans="1:17" ht="14.4" customHeight="1" thickBot="1" x14ac:dyDescent="0.3">
      <c r="A114" s="40"/>
      <c r="B114" s="40"/>
      <c r="C114" s="40"/>
      <c r="D114" s="477">
        <f>SUM(D89:D113)</f>
        <v>0.68666176617423991</v>
      </c>
      <c r="E114" s="478">
        <f>SUM(E89:E113)</f>
        <v>0</v>
      </c>
      <c r="F114" s="479">
        <f>SUM(F89:F113)</f>
        <v>0.68666176617423991</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4.4" thickBot="1" x14ac:dyDescent="0.3">
      <c r="A120" s="40"/>
      <c r="B120" s="40"/>
      <c r="C120" s="40"/>
      <c r="D120" s="40"/>
      <c r="E120" s="40"/>
      <c r="F120" s="40"/>
      <c r="G120" s="40"/>
      <c r="H120" s="40"/>
      <c r="I120" s="40"/>
      <c r="J120" s="40"/>
      <c r="K120" s="40"/>
      <c r="L120" s="40"/>
      <c r="M120" s="40"/>
      <c r="N120" s="40"/>
      <c r="O120" s="40"/>
      <c r="P120" s="40"/>
      <c r="Q120" s="40"/>
    </row>
    <row r="121" spans="1:17" ht="25.8" thickBot="1" x14ac:dyDescent="0.3">
      <c r="A121" s="40"/>
      <c r="B121" s="867" t="s">
        <v>182</v>
      </c>
      <c r="C121" s="868"/>
      <c r="D121" s="868"/>
      <c r="E121" s="868"/>
      <c r="F121" s="868"/>
      <c r="G121" s="40"/>
      <c r="H121" s="40"/>
      <c r="I121" s="40"/>
      <c r="J121" s="40"/>
      <c r="K121" s="40"/>
      <c r="L121" s="40"/>
      <c r="M121" s="40"/>
      <c r="N121" s="40"/>
      <c r="O121" s="40"/>
    </row>
    <row r="122" spans="1:17" ht="47.4" thickBot="1" x14ac:dyDescent="0.45">
      <c r="A122" s="40"/>
      <c r="B122" s="93" t="s">
        <v>59</v>
      </c>
      <c r="C122" s="94" t="s">
        <v>160</v>
      </c>
      <c r="D122" s="94" t="s">
        <v>183</v>
      </c>
      <c r="E122" s="94" t="s">
        <v>162</v>
      </c>
      <c r="F122" s="94" t="s">
        <v>176</v>
      </c>
      <c r="G122" s="40"/>
      <c r="H122" s="40"/>
      <c r="I122" s="877" t="s">
        <v>184</v>
      </c>
      <c r="J122" s="878"/>
      <c r="K122" s="40"/>
      <c r="L122" s="40"/>
      <c r="M122" s="40"/>
      <c r="N122" s="40"/>
    </row>
    <row r="123" spans="1:17" x14ac:dyDescent="0.25">
      <c r="A123" s="40"/>
      <c r="B123" s="87" t="str">
        <f>'G-2 Habitat groups'!AU110</f>
        <v>Cropland - Cereal crops</v>
      </c>
      <c r="C123" s="88" t="str">
        <f>'G-2 Habitat groups'!AV110</f>
        <v>Cropland</v>
      </c>
      <c r="D123" s="494">
        <f>'G-2 Habitat groups'!BB110</f>
        <v>0</v>
      </c>
      <c r="E123" s="494">
        <f>'G-2 Habitat groups'!BD110</f>
        <v>0</v>
      </c>
      <c r="F123" s="481">
        <f>'G-2 Habitat groups'!BE110</f>
        <v>0</v>
      </c>
      <c r="G123" s="40"/>
      <c r="H123" s="40"/>
      <c r="I123" s="96" t="s">
        <v>185</v>
      </c>
      <c r="J123" s="488">
        <f>F159</f>
        <v>-0.93346304999999996</v>
      </c>
      <c r="K123" s="40"/>
      <c r="L123" s="40"/>
      <c r="M123" s="40"/>
      <c r="N123" s="40"/>
    </row>
    <row r="124" spans="1:17" ht="14.4" thickBot="1" x14ac:dyDescent="0.3">
      <c r="A124" s="40"/>
      <c r="B124" s="87" t="str">
        <f>'G-2 Habitat groups'!AU111</f>
        <v>Cropland - Horticulture</v>
      </c>
      <c r="C124" s="88" t="str">
        <f>'G-2 Habitat groups'!AV111</f>
        <v>Cropland</v>
      </c>
      <c r="D124" s="494">
        <f>'G-2 Habitat groups'!BB111</f>
        <v>0</v>
      </c>
      <c r="E124" s="494">
        <f>'G-2 Habitat groups'!BD111</f>
        <v>0</v>
      </c>
      <c r="F124" s="481">
        <f>'G-2 Habitat groups'!BE111</f>
        <v>0</v>
      </c>
      <c r="G124" s="40"/>
      <c r="H124" s="40"/>
      <c r="I124" s="97" t="s">
        <v>181</v>
      </c>
      <c r="J124" s="487">
        <f>J123+J91</f>
        <v>-5.235968574560812E-2</v>
      </c>
      <c r="K124" s="40"/>
      <c r="L124" s="40"/>
      <c r="M124" s="40"/>
      <c r="N124" s="40"/>
    </row>
    <row r="125" spans="1:17" x14ac:dyDescent="0.25">
      <c r="A125" s="40"/>
      <c r="B125" s="87" t="str">
        <f>'G-2 Habitat groups'!AU112</f>
        <v>Cropland - Intensive orchards</v>
      </c>
      <c r="C125" s="88" t="str">
        <f>'G-2 Habitat groups'!AV112</f>
        <v>Cropland</v>
      </c>
      <c r="D125" s="494">
        <f>'G-2 Habitat groups'!BB112</f>
        <v>0</v>
      </c>
      <c r="E125" s="494">
        <f>'G-2 Habitat groups'!BD112</f>
        <v>0</v>
      </c>
      <c r="F125" s="481">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4">
        <f>'G-2 Habitat groups'!BB113</f>
        <v>0</v>
      </c>
      <c r="E126" s="494">
        <f>'G-2 Habitat groups'!BD113</f>
        <v>0</v>
      </c>
      <c r="F126" s="481">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4">
        <f>'G-2 Habitat groups'!BB114</f>
        <v>0</v>
      </c>
      <c r="E127" s="494">
        <f>'G-2 Habitat groups'!BD114</f>
        <v>0</v>
      </c>
      <c r="F127" s="481">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4">
        <f>'G-2 Habitat groups'!BB115</f>
        <v>0</v>
      </c>
      <c r="E128" s="494">
        <f>'G-2 Habitat groups'!BD115</f>
        <v>0</v>
      </c>
      <c r="F128" s="481">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4">
        <f>'G-2 Habitat groups'!BB116</f>
        <v>-0.16904999999999998</v>
      </c>
      <c r="E129" s="494">
        <f>'G-2 Habitat groups'!BD116</f>
        <v>0</v>
      </c>
      <c r="F129" s="481">
        <f>'G-2 Habitat groups'!BE116</f>
        <v>-0.16904999999999998</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4">
        <f>'G-2 Habitat groups'!BB117</f>
        <v>0</v>
      </c>
      <c r="E130" s="494">
        <f>'G-2 Habitat groups'!BD117</f>
        <v>0</v>
      </c>
      <c r="F130" s="481">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4">
        <f>'G-2 Habitat groups'!BB118</f>
        <v>0</v>
      </c>
      <c r="E131" s="494">
        <f>'G-2 Habitat groups'!BD118</f>
        <v>0</v>
      </c>
      <c r="F131" s="481">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4">
        <f>'G-2 Habitat groups'!BB119</f>
        <v>0</v>
      </c>
      <c r="E132" s="494">
        <f>'G-2 Habitat groups'!BD119</f>
        <v>0</v>
      </c>
      <c r="F132" s="481">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4">
        <f>'G-2 Habitat groups'!BB120</f>
        <v>-0.83121999999999996</v>
      </c>
      <c r="E133" s="494">
        <f>'G-2 Habitat groups'!BD120</f>
        <v>0</v>
      </c>
      <c r="F133" s="481">
        <f>'G-2 Habitat groups'!BE120</f>
        <v>-0.83121999999999996</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4">
        <f>'G-2 Habitat groups'!BB121</f>
        <v>0</v>
      </c>
      <c r="E134" s="494">
        <f>'G-2 Habitat groups'!BD121</f>
        <v>0</v>
      </c>
      <c r="F134" s="481">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4">
        <f>'G-2 Habitat groups'!BB122</f>
        <v>0</v>
      </c>
      <c r="E135" s="494">
        <f>'G-2 Habitat groups'!BD122</f>
        <v>0</v>
      </c>
      <c r="F135" s="481">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4">
        <f>'G-2 Habitat groups'!BB123</f>
        <v>0</v>
      </c>
      <c r="E136" s="494">
        <f>'G-2 Habitat groups'!BD123</f>
        <v>0</v>
      </c>
      <c r="F136" s="481">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4">
        <f>'G-2 Habitat groups'!BB124</f>
        <v>0</v>
      </c>
      <c r="E137" s="494">
        <f>'G-2 Habitat groups'!BD124</f>
        <v>0</v>
      </c>
      <c r="F137" s="481">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4">
        <f>'G-2 Habitat groups'!BB125</f>
        <v>0</v>
      </c>
      <c r="E138" s="494">
        <f>'G-2 Habitat groups'!BD125</f>
        <v>0</v>
      </c>
      <c r="F138" s="481">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4">
        <f>'G-2 Habitat groups'!BB126</f>
        <v>0</v>
      </c>
      <c r="E139" s="494">
        <f>'G-2 Habitat groups'!BD126</f>
        <v>0</v>
      </c>
      <c r="F139" s="481">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4">
        <f>'G-2 Habitat groups'!BB146</f>
        <v>0</v>
      </c>
      <c r="E140" s="494">
        <f>'G-2 Habitat groups'!BD146</f>
        <v>0</v>
      </c>
      <c r="F140" s="481">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4">
        <f>'G-2 Habitat groups'!BB127</f>
        <v>6.680694999999999E-2</v>
      </c>
      <c r="E141" s="494">
        <f>'G-2 Habitat groups'!BD127</f>
        <v>0</v>
      </c>
      <c r="F141" s="481">
        <f>'G-2 Habitat groups'!BE127</f>
        <v>6.680694999999999E-2</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4">
        <f>'G-2 Habitat groups'!BB128</f>
        <v>0</v>
      </c>
      <c r="E142" s="494">
        <f>'G-2 Habitat groups'!BD128</f>
        <v>0</v>
      </c>
      <c r="F142" s="481">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4">
        <f>'G-2 Habitat groups'!BB129</f>
        <v>0</v>
      </c>
      <c r="E143" s="494">
        <f>'G-2 Habitat groups'!BD129</f>
        <v>0</v>
      </c>
      <c r="F143" s="481">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4">
        <f>'G-2 Habitat groups'!BB131</f>
        <v>0</v>
      </c>
      <c r="E144" s="494">
        <f>'G-2 Habitat groups'!BD131</f>
        <v>0</v>
      </c>
      <c r="F144" s="481">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4">
        <f>'G-2 Habitat groups'!BB132</f>
        <v>0</v>
      </c>
      <c r="E145" s="494">
        <f>'G-2 Habitat groups'!BD132</f>
        <v>0</v>
      </c>
      <c r="F145" s="481">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4">
        <f>'G-2 Habitat groups'!BB133</f>
        <v>0</v>
      </c>
      <c r="E146" s="494">
        <f>'G-2 Habitat groups'!BD133</f>
        <v>0</v>
      </c>
      <c r="F146" s="481">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5">
        <f>'G-2 Habitat groups'!BB134</f>
        <v>0</v>
      </c>
      <c r="E147" s="495">
        <f>'G-2 Habitat groups'!BD134</f>
        <v>0</v>
      </c>
      <c r="F147" s="496">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4">
        <f>'G-2 Habitat groups'!BB135</f>
        <v>0</v>
      </c>
      <c r="E148" s="494">
        <f>'G-2 Habitat groups'!BD135</f>
        <v>0</v>
      </c>
      <c r="F148" s="481">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4">
        <f>'G-2 Habitat groups'!BB136</f>
        <v>0</v>
      </c>
      <c r="E149" s="494">
        <f>'G-2 Habitat groups'!BD136</f>
        <v>0</v>
      </c>
      <c r="F149" s="481">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4">
        <f>'G-2 Habitat groups'!BB137</f>
        <v>0</v>
      </c>
      <c r="E150" s="494">
        <f>'G-2 Habitat groups'!BD137</f>
        <v>0</v>
      </c>
      <c r="F150" s="481">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4">
        <f>'G-2 Habitat groups'!BB138</f>
        <v>0</v>
      </c>
      <c r="E151" s="494">
        <f>'G-2 Habitat groups'!BD138</f>
        <v>0</v>
      </c>
      <c r="F151" s="481">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4">
        <f>'G-2 Habitat groups'!BB139</f>
        <v>0</v>
      </c>
      <c r="E152" s="494">
        <f>'G-2 Habitat groups'!BD139</f>
        <v>0</v>
      </c>
      <c r="F152" s="481">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4">
        <f>'G-2 Habitat groups'!BB140</f>
        <v>0</v>
      </c>
      <c r="E153" s="494">
        <f>'G-2 Habitat groups'!BD140</f>
        <v>0</v>
      </c>
      <c r="F153" s="481">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4">
        <f>'G-2 Habitat groups'!BB141</f>
        <v>0</v>
      </c>
      <c r="E154" s="494">
        <f>'G-2 Habitat groups'!BD141</f>
        <v>0</v>
      </c>
      <c r="F154" s="481">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4">
        <f>'G-2 Habitat groups'!BB142</f>
        <v>0</v>
      </c>
      <c r="E155" s="494">
        <f>'G-2 Habitat groups'!BD142</f>
        <v>0</v>
      </c>
      <c r="F155" s="481">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4">
        <f>'G-2 Habitat groups'!BB143</f>
        <v>0</v>
      </c>
      <c r="E156" s="494">
        <f>'G-2 Habitat groups'!BD143</f>
        <v>0</v>
      </c>
      <c r="F156" s="481">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5">
        <f>'G-2 Habitat groups'!BB144</f>
        <v>0</v>
      </c>
      <c r="E157" s="495">
        <f>'G-2 Habitat groups'!BD144</f>
        <v>0</v>
      </c>
      <c r="F157" s="496">
        <f>'G-2 Habitat groups'!BE144</f>
        <v>0</v>
      </c>
      <c r="G157" s="40"/>
      <c r="H157" s="40"/>
      <c r="I157" s="40"/>
      <c r="J157" s="40"/>
      <c r="K157" s="40"/>
      <c r="L157" s="40"/>
      <c r="M157" s="40"/>
      <c r="N157" s="40"/>
      <c r="O157" s="40"/>
    </row>
    <row r="158" spans="1:17" ht="14.4" thickBot="1" x14ac:dyDescent="0.3">
      <c r="A158" s="40"/>
      <c r="B158" s="89" t="str">
        <f>'G-2 Habitat groups'!AU145</f>
        <v>Heathland and shrub - Sea buckthorn scrub (other)</v>
      </c>
      <c r="C158" s="90" t="str">
        <f>'G-2 Habitat groups'!AV145</f>
        <v>Heathland and shrub</v>
      </c>
      <c r="D158" s="497">
        <f>'G-2 Habitat groups'!BB145</f>
        <v>0</v>
      </c>
      <c r="E158" s="497">
        <f>'G-2 Habitat groups'!BD145</f>
        <v>0</v>
      </c>
      <c r="F158" s="491">
        <f>'G-2 Habitat groups'!BE145</f>
        <v>0</v>
      </c>
      <c r="G158" s="40"/>
      <c r="H158" s="40"/>
      <c r="I158" s="40"/>
      <c r="J158" s="40"/>
      <c r="K158" s="40"/>
      <c r="L158" s="40"/>
      <c r="M158" s="40"/>
      <c r="N158" s="40"/>
      <c r="O158" s="40"/>
    </row>
    <row r="159" spans="1:17" ht="14.4" thickBot="1" x14ac:dyDescent="0.3">
      <c r="A159" s="40"/>
      <c r="B159" s="40"/>
      <c r="C159" s="40"/>
      <c r="D159" s="480">
        <f>SUM(D123:D158)</f>
        <v>-0.93346304999999996</v>
      </c>
      <c r="E159" s="40"/>
      <c r="F159" s="480">
        <f>SUM(F123:F158)</f>
        <v>-0.93346304999999996</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338" priority="92" operator="equal">
      <formula>"Check Proposed Habitat Trading"</formula>
    </cfRule>
    <cfRule type="cellIs" dxfId="337" priority="93" operator="equal">
      <formula>"Overall Trading Acceptable"</formula>
    </cfRule>
  </conditionalFormatting>
  <conditionalFormatting sqref="J12">
    <cfRule type="cellIs" dxfId="336" priority="65" operator="greaterThan">
      <formula>0</formula>
    </cfRule>
    <cfRule type="cellIs" dxfId="335" priority="66" operator="lessThan">
      <formula>0</formula>
    </cfRule>
  </conditionalFormatting>
  <conditionalFormatting sqref="J41">
    <cfRule type="cellIs" dxfId="334" priority="58" operator="greaterThanOrEqual">
      <formula>0</formula>
    </cfRule>
    <cfRule type="cellIs" dxfId="333" priority="61" operator="lessThan">
      <formula>0</formula>
    </cfRule>
  </conditionalFormatting>
  <conditionalFormatting sqref="J40">
    <cfRule type="cellIs" dxfId="332" priority="59" operator="greaterThan">
      <formula>0</formula>
    </cfRule>
    <cfRule type="cellIs" dxfId="331" priority="60" operator="lessThan">
      <formula>0</formula>
    </cfRule>
  </conditionalFormatting>
  <conditionalFormatting sqref="J88 J90:J91 J123:J124">
    <cfRule type="cellIs" dxfId="330" priority="32" operator="lessThan">
      <formula>0</formula>
    </cfRule>
    <cfRule type="cellIs" dxfId="329" priority="33" operator="greaterThan">
      <formula>0</formula>
    </cfRule>
  </conditionalFormatting>
  <conditionalFormatting sqref="G5:G8">
    <cfRule type="containsText" dxfId="328" priority="62" operator="containsText" text="Yes">
      <formula>NOT(ISERROR(SEARCH("Yes",G5)))</formula>
    </cfRule>
    <cfRule type="containsText" dxfId="327" priority="63" operator="containsText" text="No">
      <formula>NOT(ISERROR(SEARCH("No",G5)))</formula>
    </cfRule>
  </conditionalFormatting>
  <conditionalFormatting sqref="J89">
    <cfRule type="cellIs" dxfId="326" priority="29" operator="lessThan">
      <formula>0</formula>
    </cfRule>
  </conditionalFormatting>
  <conditionalFormatting sqref="B41:G81 B89:F113 B123:F158">
    <cfRule type="expression" dxfId="325" priority="13">
      <formula>$F41&gt;0</formula>
    </cfRule>
    <cfRule type="expression" dxfId="324" priority="14">
      <formula>$F41&lt;0</formula>
    </cfRule>
  </conditionalFormatting>
  <conditionalFormatting sqref="G89:G104 G108:G113">
    <cfRule type="expression" dxfId="323" priority="11">
      <formula>$G89&gt;0</formula>
    </cfRule>
    <cfRule type="expression" dxfId="322" priority="12">
      <formula>$G89&lt;0</formula>
    </cfRule>
  </conditionalFormatting>
  <conditionalFormatting sqref="B13:G32">
    <cfRule type="expression" dxfId="321" priority="5">
      <formula>$F13&gt;0</formula>
    </cfRule>
    <cfRule type="expression" dxfId="320" priority="6">
      <formula>$F13&lt;0</formula>
    </cfRule>
  </conditionalFormatting>
  <conditionalFormatting sqref="I13:J13">
    <cfRule type="containsText" dxfId="319" priority="4" operator="containsText" text="Very high distinctiveness unit defecit - CHECK DATA">
      <formula>NOT(ISERROR(SEARCH("Very high distinctiveness unit defecit - CHECK DATA",I13)))</formula>
    </cfRule>
  </conditionalFormatting>
  <conditionalFormatting sqref="G105:G107">
    <cfRule type="expression" dxfId="318" priority="1">
      <formula>$G105&gt;0</formula>
    </cfRule>
    <cfRule type="expression" dxfId="317"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H1" zoomScale="70" zoomScaleNormal="70" workbookViewId="0">
      <pane ySplit="10" topLeftCell="A11" activePane="bottomLeft" state="frozen"/>
      <selection activeCell="S28" sqref="S28"/>
      <selection pane="bottomLeft" activeCell="W16" sqref="W16"/>
    </sheetView>
  </sheetViews>
  <sheetFormatPr defaultColWidth="0" defaultRowHeight="13.8" zeroHeight="1" x14ac:dyDescent="0.25"/>
  <cols>
    <col min="1" max="1" width="11.44140625" style="47" hidden="1" customWidth="1"/>
    <col min="2" max="2" width="9.109375" style="47" hidden="1" customWidth="1"/>
    <col min="3" max="3" width="0.44140625" style="47" customWidth="1"/>
    <col min="4" max="4" width="5.33203125" style="47" customWidth="1"/>
    <col min="5" max="5" width="24.33203125" style="47" customWidth="1"/>
    <col min="6" max="6" width="72.88671875" style="47" customWidth="1"/>
    <col min="7" max="7" width="30.33203125" style="47" hidden="1" customWidth="1"/>
    <col min="8" max="8" width="14.109375" style="47" customWidth="1"/>
    <col min="9" max="9" width="17.6640625" style="47" customWidth="1"/>
    <col min="10" max="10" width="7.44140625" style="47" customWidth="1"/>
    <col min="11" max="11" width="17.109375" style="47" customWidth="1"/>
    <col min="12" max="12" width="9.5546875" style="47" customWidth="1"/>
    <col min="13" max="13" width="41.6640625" style="47" customWidth="1"/>
    <col min="14" max="14" width="17.44140625" style="47" customWidth="1"/>
    <col min="15" max="15" width="17.109375" style="47" customWidth="1"/>
    <col min="16" max="16" width="30.6640625" style="47" customWidth="1"/>
    <col min="17" max="17" width="18" style="47" bestFit="1" customWidth="1"/>
    <col min="18" max="18" width="6" style="47" customWidth="1"/>
    <col min="19" max="19" width="10.109375" style="47" customWidth="1"/>
    <col min="20" max="20" width="11.44140625" style="47" customWidth="1"/>
    <col min="21" max="21" width="10.33203125" style="47" bestFit="1" customWidth="1"/>
    <col min="22" max="22" width="11.6640625" style="47" bestFit="1" customWidth="1"/>
    <col min="23" max="23" width="14.44140625" style="47" customWidth="1"/>
    <col min="24" max="24" width="17" style="47" customWidth="1"/>
    <col min="25" max="25" width="19" style="47" customWidth="1"/>
    <col min="26" max="27" width="50.109375" style="47" customWidth="1"/>
    <col min="28" max="28" width="12.6640625" style="47" customWidth="1"/>
    <col min="29" max="16384" width="12.6640625" style="47" hidden="1"/>
  </cols>
  <sheetData>
    <row r="1" spans="1:43" ht="14.4" thickBot="1" x14ac:dyDescent="0.3"/>
    <row r="2" spans="1:43" ht="18" thickBot="1" x14ac:dyDescent="0.3">
      <c r="D2" s="897" t="str">
        <f>IF(Start!$F$12="","",Start!$F$12)</f>
        <v>Land at Doncaster Road, Goldthorpe, Rotherham</v>
      </c>
      <c r="E2" s="898"/>
      <c r="F2" s="899"/>
    </row>
    <row r="3" spans="1:43" ht="15.6" customHeight="1" x14ac:dyDescent="0.25">
      <c r="D3" s="891" t="str">
        <f ca="1">MID(CELL("filename",C1),FIND("]",CELL("filename",C1))+1,256)</f>
        <v>A-1 Site Habitat Baseline</v>
      </c>
      <c r="E3" s="892"/>
      <c r="F3" s="893"/>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5" customHeight="1" thickBot="1" x14ac:dyDescent="0.3">
      <c r="D4" s="894"/>
      <c r="E4" s="895"/>
      <c r="F4" s="896"/>
      <c r="AF4" s="47" t="s">
        <v>187</v>
      </c>
      <c r="AG4" s="47" t="s">
        <v>187</v>
      </c>
      <c r="AH4" s="47" t="s">
        <v>187</v>
      </c>
      <c r="AI4" s="47" t="s">
        <v>187</v>
      </c>
      <c r="AJ4" s="47" t="s">
        <v>187</v>
      </c>
      <c r="AK4" s="47" t="s">
        <v>187</v>
      </c>
      <c r="AL4" s="47" t="s">
        <v>187</v>
      </c>
      <c r="AM4" s="47" t="s">
        <v>187</v>
      </c>
      <c r="AN4" s="47" t="s">
        <v>187</v>
      </c>
    </row>
    <row r="5" spans="1:43" ht="15.6" customHeight="1" x14ac:dyDescent="0.25"/>
    <row r="6" spans="1:43" ht="16.2" customHeight="1" x14ac:dyDescent="0.25"/>
    <row r="7" spans="1:43" x14ac:dyDescent="0.25"/>
    <row r="8" spans="1:43" ht="31.2" customHeight="1" thickBot="1" x14ac:dyDescent="0.3">
      <c r="D8" s="48"/>
      <c r="E8" s="48"/>
      <c r="F8" s="48"/>
    </row>
    <row r="9" spans="1:43" ht="29.4" customHeight="1" thickBot="1" x14ac:dyDescent="0.3">
      <c r="C9" s="49"/>
      <c r="D9" s="50"/>
      <c r="E9" s="900" t="s">
        <v>188</v>
      </c>
      <c r="F9" s="901"/>
      <c r="G9" s="901"/>
      <c r="H9" s="902"/>
      <c r="I9" s="900" t="s">
        <v>189</v>
      </c>
      <c r="J9" s="902"/>
      <c r="K9" s="900" t="s">
        <v>190</v>
      </c>
      <c r="L9" s="902"/>
      <c r="M9" s="900" t="s">
        <v>191</v>
      </c>
      <c r="N9" s="901"/>
      <c r="O9" s="902"/>
      <c r="P9" s="906" t="s">
        <v>192</v>
      </c>
      <c r="Q9" s="51" t="s">
        <v>193</v>
      </c>
      <c r="R9" s="52"/>
      <c r="S9" s="903" t="s">
        <v>194</v>
      </c>
      <c r="T9" s="905"/>
      <c r="U9" s="905"/>
      <c r="V9" s="905"/>
      <c r="W9" s="905"/>
      <c r="X9" s="904"/>
      <c r="Y9" s="906" t="s">
        <v>195</v>
      </c>
      <c r="Z9" s="903" t="s">
        <v>196</v>
      </c>
      <c r="AA9" s="904"/>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1" t="s">
        <v>202</v>
      </c>
      <c r="F10" s="632" t="s">
        <v>203</v>
      </c>
      <c r="G10" s="372" t="s">
        <v>204</v>
      </c>
      <c r="H10" s="57" t="s">
        <v>205</v>
      </c>
      <c r="I10" s="59" t="s">
        <v>189</v>
      </c>
      <c r="J10" s="57" t="s">
        <v>206</v>
      </c>
      <c r="K10" s="58" t="s">
        <v>190</v>
      </c>
      <c r="L10" s="57" t="s">
        <v>206</v>
      </c>
      <c r="M10" s="58" t="s">
        <v>191</v>
      </c>
      <c r="N10" s="372" t="s">
        <v>191</v>
      </c>
      <c r="O10" s="57" t="s">
        <v>207</v>
      </c>
      <c r="P10" s="907"/>
      <c r="Q10" s="56" t="s">
        <v>208</v>
      </c>
      <c r="R10" s="52"/>
      <c r="S10" s="60" t="s">
        <v>209</v>
      </c>
      <c r="T10" s="61" t="s">
        <v>210</v>
      </c>
      <c r="U10" s="62" t="s">
        <v>211</v>
      </c>
      <c r="V10" s="62" t="s">
        <v>212</v>
      </c>
      <c r="W10" s="62" t="s">
        <v>213</v>
      </c>
      <c r="X10" s="63" t="s">
        <v>214</v>
      </c>
      <c r="Y10" s="907"/>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69" x14ac:dyDescent="0.25">
      <c r="A11" s="47" t="str">
        <f>IFERROR(INDEX('G-1 All Habitats'!$AG$3:$AG$15,MATCH(E11,'G-1 All Habitats'!$AF$3:$AF$15,0)),"")</f>
        <v>Grassland</v>
      </c>
      <c r="B11" s="47" t="str">
        <f>IFERROR(INDEX('G-8 Condition Look up'!$I$4:$I$130,MATCH(G11,'G-8 Condition Look up'!$A$4:$A$130,0)),"")</f>
        <v>Cond4</v>
      </c>
      <c r="D11" s="67">
        <v>1</v>
      </c>
      <c r="E11" s="68" t="s">
        <v>70</v>
      </c>
      <c r="F11" s="68" t="s">
        <v>448</v>
      </c>
      <c r="G11" s="69" t="str">
        <f>IFERROR(INDEX('G-1 All Habitats'!$B$3:$B$129,MATCH(F11,'G-1 All Habitats'!$A$3:$A$129,0)),"")</f>
        <v>Grassland - Modified grassland</v>
      </c>
      <c r="H11" s="70">
        <v>7.3499999999999996E-2</v>
      </c>
      <c r="I11" s="498" t="str">
        <f>IF(G11="","",VLOOKUP(G11,'G-1 All Habitats'!$B$2:$M$129,10,FALSE))</f>
        <v>Low</v>
      </c>
      <c r="J11" s="499">
        <f>IFERROR(VLOOKUP(I11,'G-1 All Habitats'!$V$3:$W$7,2,FALSE),"")</f>
        <v>2</v>
      </c>
      <c r="K11" s="71" t="s">
        <v>242</v>
      </c>
      <c r="L11" s="499">
        <f>IFERROR(INDEX('G-8 Condition Look up'!$A$3:$H$130,MATCH(G11,'G-8 Condition Look up'!$A$3:$A$130,0),MATCH(K11,'G-8 Condition Look up'!$A$3:$H$3,0)),"")</f>
        <v>1</v>
      </c>
      <c r="M11" s="71" t="s">
        <v>913</v>
      </c>
      <c r="N11" s="504" t="str">
        <f>IF(M11="","",IF(VLOOKUP(M11,'G-3 Multipliers'!$L$3:$N$6,2,FALSE)=0,"Spatial Data Missing",VLOOKUP(M11,'G-3 Multipliers'!$L$3:$N$6,2,FALSE)))</f>
        <v xml:space="preserve">High strategic significance </v>
      </c>
      <c r="O11" s="505">
        <f>IF(M11="","",IF(VLOOKUP(M11,'G-3 Multipliers'!$L$3:$N$6,3,FALSE)=0,"Spatial Data Missing ▲",VLOOKUP(M11,'G-3 Multipliers'!$L$3:$N$6,3,FALSE)))</f>
        <v>1.1499999999999999</v>
      </c>
      <c r="P11" s="506" t="str">
        <f>IFERROR(VLOOKUP(G11,'G-1 All Habitats'!$B$2:$M$129,12,FALSE),"")</f>
        <v>Same distinctiveness or better habitat required ≥</v>
      </c>
      <c r="Q11" s="513">
        <f>IFERROR(IF(P11="","",IF(AND(P11='G-1 All Habitats'!$X$3,T11&gt;0),U11+V11,IF(AND(P11='G-1 All Habitats'!$X$3,S11&gt;0),U11+V11,IF(AND(P11='G-1 All Habitats'!$X$3,AC11&gt;0),"Any Loss Unacceptable ▲",IF(AND(P11='G-1 All Habitats'!$X$3,W11&gt;0),"Any Loss Unacceptable ▲",H11*J11*L11*O11))))),"Check Data ▲")</f>
        <v>0.16904999999999998</v>
      </c>
      <c r="R11" s="50"/>
      <c r="S11" s="71"/>
      <c r="T11" s="72"/>
      <c r="U11" s="511">
        <f>IFERROR(S11*J11*L11*O11,"")</f>
        <v>0</v>
      </c>
      <c r="V11" s="511">
        <f>IFERROR(T11*J11*L11*O11,"")</f>
        <v>0</v>
      </c>
      <c r="W11" s="511">
        <f>IF(E11="","",IF(H11&lt;S11+T11,"Error in Areas ▲",IF(P11&lt;&gt;'G-1 All Habitats'!$X$3,H11-S11-T11,IF(AND(P11='G-1 All Habitats'!$X$3,Y11="Yes"),"Unacceptable Loss",IF(AND(P11='G-1 All Habitats'!$X$3,Y11="No"),AC11,IF(AND(P11='G-1 All Habitats'!$X$3,Y11=""),AC11,IF(AND(P11='G-1 All Habitats'!$X$3,AC11="None",AC11),IF(AND(P11='G-1 All Habitats'!$X$3,AC11&gt;0),H11-S11-T11))))))))</f>
        <v>7.3499999999999996E-2</v>
      </c>
      <c r="X11" s="515">
        <f>IFERROR(IF(H11="","",IF(H11-S11-T11=0&lt;0,"Error in Areas ▲",IF(S11+T11&gt;H11,"Error in Areas ▲",IF(AND(P11='G-1 All Habitats'!$X$3,Y11="Yes"),"Alternative Compensation ✓",IF(W11=0,0,IF(P11='G-1 All Habitats'!$X$3,"Unacceptable Loss ▲",Q11-U11-V11)))))),"Check Data ▲")</f>
        <v>0.16904999999999998</v>
      </c>
      <c r="Y11" s="72"/>
      <c r="Z11" s="73" t="s">
        <v>1572</v>
      </c>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5</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69" x14ac:dyDescent="0.25">
      <c r="A12" s="47" t="str">
        <f>IFERROR(INDEX('G-1 All Habitats'!$AG$3:$AG$15,MATCH(E12,'G-1 All Habitats'!$AF$3:$AF$15,0)),"")</f>
        <v>Heathland_and_shrub</v>
      </c>
      <c r="B12" s="47" t="str">
        <f>IFERROR(INDEX('G-8 Condition Look up'!$I$4:$I$130,MATCH(G12,'G-8 Condition Look up'!$A$4:$A$130,0)),"")</f>
        <v>Cond4</v>
      </c>
      <c r="D12" s="77">
        <v>2</v>
      </c>
      <c r="E12" s="341" t="s">
        <v>71</v>
      </c>
      <c r="F12" s="79" t="s">
        <v>495</v>
      </c>
      <c r="G12" s="69" t="str">
        <f>IFERROR(INDEX('G-1 All Habitats'!$B$3:$B$129,MATCH(F12,'G-1 All Habitats'!$A$3:$A$129,0)),"")</f>
        <v>Heathland and shrub - Mixed scrub</v>
      </c>
      <c r="H12" s="70">
        <v>0.2011</v>
      </c>
      <c r="I12" s="498" t="str">
        <f>IF(G12="","",VLOOKUP(G12,'G-1 All Habitats'!$B$2:$M$129,10,FALSE))</f>
        <v>Medium</v>
      </c>
      <c r="J12" s="499">
        <f>IFERROR(VLOOKUP(I12,'G-1 All Habitats'!$V$3:$W$7,2,FALSE),"")</f>
        <v>4</v>
      </c>
      <c r="K12" s="71" t="s">
        <v>242</v>
      </c>
      <c r="L12" s="499">
        <f>IFERROR(INDEX('G-8 Condition Look up'!$A$3:$H$130,MATCH(G12,'G-8 Condition Look up'!$A$3:$A$130,0),MATCH(K12,'G-8 Condition Look up'!$A$3:$H$3,0)),"")</f>
        <v>1</v>
      </c>
      <c r="M12" s="71" t="s">
        <v>913</v>
      </c>
      <c r="N12" s="520" t="str">
        <f>IF(M12="","",IF(VLOOKUP(M12,'G-3 Multipliers'!$L$3:$N$6,2,FALSE)=0,"Spatial Data Missing",VLOOKUP(M12,'G-3 Multipliers'!$L$3:$N$6,2,FALSE)))</f>
        <v xml:space="preserve">High strategic significance </v>
      </c>
      <c r="O12" s="505">
        <f>IF(M12="","",IF(VLOOKUP(M12,'G-3 Multipliers'!$L$3:$N$6,3,FALSE)=0,"Spatial Data Missing ▲",VLOOKUP(M12,'G-3 Multipliers'!$L$3:$N$6,3,FALSE)))</f>
        <v>1.1499999999999999</v>
      </c>
      <c r="P12" s="506" t="str">
        <f>IFERROR(VLOOKUP(G12,'G-1 All Habitats'!$B$2:$M$129,12,FALSE),"")</f>
        <v>Same broad habitat or a higher distinctiveness habitat required (≥)</v>
      </c>
      <c r="Q12" s="513">
        <f>IFERROR(IF(P12="","",IF(AND(P12='G-1 All Habitats'!$X$3,T12&gt;0),U12+V12,IF(AND(P12='G-1 All Habitats'!$X$3,S12&gt;0),U12+V12,IF(AND(P12='G-1 All Habitats'!$X$3,AC12&gt;0),"Any Loss Unacceptable ▲",IF(AND(P12='G-1 All Habitats'!$X$3,W12&gt;0),"Any Loss Unacceptable ▲",H12*J12*L12*O12))))),"Check Data ▲")</f>
        <v>0.92505999999999988</v>
      </c>
      <c r="R12" s="50"/>
      <c r="S12" s="71"/>
      <c r="T12" s="72"/>
      <c r="U12" s="511">
        <f>IFERROR(S12*J12*L12*O12,"")</f>
        <v>0</v>
      </c>
      <c r="V12" s="511">
        <f>IFERROR(T12*J12*L12*O12,"")</f>
        <v>0</v>
      </c>
      <c r="W12" s="511">
        <f>IF(E12="","",IF(H12&lt;S12+T12,"Error in Areas ▲",IF(P12&lt;&gt;'G-1 All Habitats'!$X$3,H12-S12-T12,IF(AND(P12='G-1 All Habitats'!$X$3,Y12="Yes"),"Unacceptable Loss",IF(AND(P12='G-1 All Habitats'!$X$3,Y12="No"),AC12,IF(AND(P12='G-1 All Habitats'!$X$3,Y12=""),AC12,IF(AND(P12='G-1 All Habitats'!$X$3,AC12="None",AC12),IF(AND(P12='G-1 All Habitats'!$X$3,AC12&gt;0),H12-S12-T12))))))))</f>
        <v>0.2011</v>
      </c>
      <c r="X12" s="515">
        <f>IFERROR(IF(H12="","",IF(H12-S12-T12=0&lt;0,"Error in Areas ▲",IF(S12+T12&gt;H12,"Error in Areas ▲",IF(AND(P12='G-1 All Habitats'!$X$3,Y12="Yes"),"Alternative Compensation ✓",IF(W12=0,0,IF(P12='G-1 All Habitats'!$X$3,"Unacceptable Loss ▲",Q12-U12-V12)))))),"Check Data ▲")</f>
        <v>0.92505999999999988</v>
      </c>
      <c r="Y12" s="72"/>
      <c r="Z12" s="80" t="s">
        <v>1573</v>
      </c>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f t="array" ref="AK12">IFERROR(INDEX($AI$11:$AI$259, MATCH(0, IF(TRUE=$AF$11:$AF$259, COUNTIF($AK$10:$AK11, $AI$11:$AI$259), ""), 0)),"")</f>
        <v>6</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41.4" x14ac:dyDescent="0.25">
      <c r="A13" s="47" t="str">
        <f>IFERROR(INDEX('G-1 All Habitats'!$AG$3:$AG$15,MATCH(E13,'G-1 All Habitats'!$AF$3:$AF$15,0)),"")</f>
        <v>Urban</v>
      </c>
      <c r="B13" s="47" t="str">
        <f>IFERROR(INDEX('G-8 Condition Look up'!$I$4:$I$130,MATCH(G13,'G-8 Condition Look up'!$A$4:$A$130,0)),"")</f>
        <v>Cond2</v>
      </c>
      <c r="D13" s="77">
        <v>3</v>
      </c>
      <c r="E13" s="341" t="s">
        <v>74</v>
      </c>
      <c r="F13" s="79" t="s">
        <v>599</v>
      </c>
      <c r="G13" s="69" t="str">
        <f>IFERROR(INDEX('G-1 All Habitats'!$B$3:$B$129,MATCH(F13,'G-1 All Habitats'!$A$3:$A$129,0)),"")</f>
        <v>Urban - Developed land; sealed surface</v>
      </c>
      <c r="H13" s="70">
        <v>0.34710000000000002</v>
      </c>
      <c r="I13" s="498" t="str">
        <f>IF(G13="","",VLOOKUP(G13,'G-1 All Habitats'!$B$2:$M$129,10,FALSE))</f>
        <v>V.Low</v>
      </c>
      <c r="J13" s="499">
        <f>IFERROR(VLOOKUP(I13,'G-1 All Habitats'!$V$3:$W$7,2,FALSE),"")</f>
        <v>0</v>
      </c>
      <c r="K13" s="71" t="s">
        <v>407</v>
      </c>
      <c r="L13" s="499">
        <f>IFERROR(INDEX('G-8 Condition Look up'!$A$3:$H$130,MATCH(G13,'G-8 Condition Look up'!$A$3:$A$130,0),MATCH(K13,'G-8 Condition Look up'!$A$3:$H$3,0)),"")</f>
        <v>0</v>
      </c>
      <c r="M13" s="71" t="s">
        <v>921</v>
      </c>
      <c r="N13" s="520" t="str">
        <f>IF(M13="","",IF(VLOOKUP(M13,'G-3 Multipliers'!$L$3:$N$6,2,FALSE)=0,"Spatial Data Missing",VLOOKUP(M13,'G-3 Multipliers'!$L$3:$N$6,2,FALSE)))</f>
        <v>Low Strategic Significance</v>
      </c>
      <c r="O13" s="505">
        <f>IF(M13="","",IF(VLOOKUP(M13,'G-3 Multipliers'!$L$3:$N$6,3,FALSE)=0,"Spatial Data Missing ▲",VLOOKUP(M13,'G-3 Multipliers'!$L$3:$N$6,3,FALSE)))</f>
        <v>1</v>
      </c>
      <c r="P13" s="506" t="str">
        <f>IFERROR(VLOOKUP(G13,'G-1 All Habitats'!$B$2:$M$129,12,FALSE),"")</f>
        <v>Compensation Not Required</v>
      </c>
      <c r="Q13" s="513">
        <f>IFERROR(IF(P13="","",IF(AND(P13='G-1 All Habitats'!$X$3,T13&gt;0),U13+V13,IF(AND(P13='G-1 All Habitats'!$X$3,S13&gt;0),U13+V13,IF(AND(P13='G-1 All Habitats'!$X$3,AC13&gt;0),"Any Loss Unacceptable ▲",IF(AND(P13='G-1 All Habitats'!$X$3,W13&gt;0),"Any Loss Unacceptable ▲",H13*J13*L13*O13))))),"Check Data ▲")</f>
        <v>0</v>
      </c>
      <c r="R13" s="50"/>
      <c r="S13" s="71"/>
      <c r="T13" s="72"/>
      <c r="U13" s="511">
        <f t="shared" ref="U13:U76" si="3">IFERROR(S13*J13*L13*O13,"")</f>
        <v>0</v>
      </c>
      <c r="V13" s="511">
        <f t="shared" ref="V13:V76" si="4">IFERROR(T13*J13*L13*O13,"")</f>
        <v>0</v>
      </c>
      <c r="W13" s="511">
        <f>IF(E13="","",IF(H13&lt;S13+T13,"Error in Areas ▲",IF(P13&lt;&gt;'G-1 All Habitats'!$X$3,H13-S13-T13,IF(AND(P13='G-1 All Habitats'!$X$3,Y13="Yes"),"Unacceptable Loss",IF(AND(P13='G-1 All Habitats'!$X$3,Y13="No"),AC13,IF(AND(P13='G-1 All Habitats'!$X$3,Y13=""),AC13,IF(AND(P13='G-1 All Habitats'!$X$3,AC13="None",AC13),IF(AND(P13='G-1 All Habitats'!$X$3,AC13&gt;0),H13-S13-T13))))))))</f>
        <v>0.34710000000000002</v>
      </c>
      <c r="X13" s="515">
        <f>IFERROR(IF(H13="","",IF(H13-S13-T13=0&lt;0,"Error in Areas ▲",IF(S13+T13&gt;H13,"Error in Areas ▲",IF(AND(P13='G-1 All Habitats'!$X$3,Y13="Yes"),"Alternative Compensation ✓",IF(W13=0,0,IF(P13='G-1 All Habitats'!$X$3,"Unacceptable Loss ▲",Q13-U13-V13)))))),"Check Data ▲")</f>
        <v>0</v>
      </c>
      <c r="Y13" s="72"/>
      <c r="Z13" s="80" t="s">
        <v>1566</v>
      </c>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41.4" x14ac:dyDescent="0.25">
      <c r="A14" s="47" t="str">
        <f>IFERROR(INDEX('G-1 All Habitats'!$AG$3:$AG$15,MATCH(E14,'G-1 All Habitats'!$AF$3:$AF$15,0)),"")</f>
        <v>Sparsely_vegetated_land</v>
      </c>
      <c r="B14" s="47" t="str">
        <f>IFERROR(INDEX('G-8 Condition Look up'!$I$4:$I$130,MATCH(G14,'G-8 Condition Look up'!$A$4:$A$130,0)),"")</f>
        <v>Cond4</v>
      </c>
      <c r="D14" s="77">
        <v>4</v>
      </c>
      <c r="E14" s="79" t="s">
        <v>73</v>
      </c>
      <c r="F14" s="79" t="s">
        <v>564</v>
      </c>
      <c r="G14" s="69" t="str">
        <f>IFERROR(INDEX('G-1 All Habitats'!$B$3:$B$129,MATCH(F14,'G-1 All Habitats'!$A$3:$A$129,0)),"")</f>
        <v>Sparsely vegetated land - Ruderal/Ephemeral</v>
      </c>
      <c r="H14" s="70">
        <v>0.3614</v>
      </c>
      <c r="I14" s="498" t="str">
        <f>IF(G14="","",VLOOKUP(G14,'G-1 All Habitats'!$B$2:$M$129,10,FALSE))</f>
        <v>Low</v>
      </c>
      <c r="J14" s="499">
        <f>IFERROR(VLOOKUP(I14,'G-1 All Habitats'!$V$3:$W$7,2,FALSE),"")</f>
        <v>2</v>
      </c>
      <c r="K14" s="71" t="s">
        <v>242</v>
      </c>
      <c r="L14" s="499">
        <f>IFERROR(INDEX('G-8 Condition Look up'!$A$3:$H$130,MATCH(G14,'G-8 Condition Look up'!$A$3:$A$130,0),MATCH(K14,'G-8 Condition Look up'!$A$3:$H$3,0)),"")</f>
        <v>1</v>
      </c>
      <c r="M14" s="71" t="s">
        <v>913</v>
      </c>
      <c r="N14" s="520" t="str">
        <f>IF(M14="","",IF(VLOOKUP(M14,'G-3 Multipliers'!$L$3:$N$6,2,FALSE)=0,"Spatial Data Missing",VLOOKUP(M14,'G-3 Multipliers'!$L$3:$N$6,2,FALSE)))</f>
        <v xml:space="preserve">High strategic significance </v>
      </c>
      <c r="O14" s="505">
        <f>IF(M14="","",IF(VLOOKUP(M14,'G-3 Multipliers'!$L$3:$N$6,3,FALSE)=0,"Spatial Data Missing ▲",VLOOKUP(M14,'G-3 Multipliers'!$L$3:$N$6,3,FALSE)))</f>
        <v>1.1499999999999999</v>
      </c>
      <c r="P14" s="506" t="str">
        <f>IFERROR(VLOOKUP(G14,'G-1 All Habitats'!$B$2:$M$129,12,FALSE),"")</f>
        <v>Same distinctiveness or better habitat required ≥</v>
      </c>
      <c r="Q14" s="513">
        <f>IFERROR(IF(P14="","",IF(AND(P14='G-1 All Habitats'!$X$3,T14&gt;0),U14+V14,IF(AND(P14='G-1 All Habitats'!$X$3,S14&gt;0),U14+V14,IF(AND(P14='G-1 All Habitats'!$X$3,AC14&gt;0),"Any Loss Unacceptable ▲",IF(AND(P14='G-1 All Habitats'!$X$3,W14&gt;0),"Any Loss Unacceptable ▲",H14*J14*L14*O14))))),"Check Data ▲")</f>
        <v>0.83121999999999996</v>
      </c>
      <c r="R14" s="50"/>
      <c r="S14" s="71"/>
      <c r="T14" s="72"/>
      <c r="U14" s="511">
        <f t="shared" si="3"/>
        <v>0</v>
      </c>
      <c r="V14" s="511">
        <f t="shared" si="4"/>
        <v>0</v>
      </c>
      <c r="W14" s="511">
        <f>IF(E14="","",IF(H14&lt;S14+T14,"Error in Areas ▲",IF(P14&lt;&gt;'G-1 All Habitats'!$X$3,H14-S14-T14,IF(AND(P14='G-1 All Habitats'!$X$3,Y14="Yes"),"Unacceptable Loss",IF(AND(P14='G-1 All Habitats'!$X$3,Y14="No"),AC14,IF(AND(P14='G-1 All Habitats'!$X$3,Y14=""),AC14,IF(AND(P14='G-1 All Habitats'!$X$3,AC14="None",AC14),IF(AND(P14='G-1 All Habitats'!$X$3,AC14&gt;0),H14-S14-T14))))))))</f>
        <v>0.3614</v>
      </c>
      <c r="X14" s="515">
        <f>IFERROR(IF(H14="","",IF(H14-S14-T14=0&lt;0,"Error in Areas ▲",IF(S14+T14&gt;H14,"Error in Areas ▲",IF(AND(P14='G-1 All Habitats'!$X$3,Y14="Yes"),"Alternative Compensation ✓",IF(W14=0,0,IF(P14='G-1 All Habitats'!$X$3,"Unacceptable Loss ▲",Q14-U14-V14)))))),"Check Data ▲")</f>
        <v>0.83121999999999996</v>
      </c>
      <c r="Y14" s="72"/>
      <c r="Z14" s="80" t="s">
        <v>1578</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69" x14ac:dyDescent="0.25">
      <c r="A15" s="47" t="str">
        <f>IFERROR(INDEX('G-1 All Habitats'!$AG$3:$AG$15,MATCH(E15,'G-1 All Habitats'!$AF$3:$AF$15,0)),"")</f>
        <v>Urban</v>
      </c>
      <c r="B15" s="47" t="str">
        <f>IFERROR(INDEX('G-8 Condition Look up'!$I$4:$I$130,MATCH(G15,'G-8 Condition Look up'!$A$4:$A$130,0)),"")</f>
        <v>Cond4</v>
      </c>
      <c r="D15" s="77">
        <v>5</v>
      </c>
      <c r="E15" s="341" t="s">
        <v>74</v>
      </c>
      <c r="F15" s="79" t="s">
        <v>627</v>
      </c>
      <c r="G15" s="69" t="str">
        <f>IFERROR(INDEX('G-1 All Habitats'!$B$3:$B$129,MATCH(F15,'G-1 All Habitats'!$A$3:$A$129,0)),"")</f>
        <v>Urban - Urban Tree</v>
      </c>
      <c r="H15" s="70">
        <v>1.04E-2</v>
      </c>
      <c r="I15" s="498" t="str">
        <f>IF(G15="","",VLOOKUP(G15,'G-1 All Habitats'!$B$2:$M$129,10,FALSE))</f>
        <v>Medium</v>
      </c>
      <c r="J15" s="499">
        <f>IFERROR(VLOOKUP(I15,'G-1 All Habitats'!$V$3:$W$7,2,FALSE),"")</f>
        <v>4</v>
      </c>
      <c r="K15" s="71" t="s">
        <v>21</v>
      </c>
      <c r="L15" s="499">
        <f>IFERROR(INDEX('G-8 Condition Look up'!$A$3:$H$130,MATCH(G15,'G-8 Condition Look up'!$A$3:$A$130,0),MATCH(K15,'G-8 Condition Look up'!$A$3:$H$3,0)),"")</f>
        <v>3</v>
      </c>
      <c r="M15" s="71" t="s">
        <v>913</v>
      </c>
      <c r="N15" s="520" t="str">
        <f>IF(M15="","",IF(VLOOKUP(M15,'G-3 Multipliers'!$L$3:$N$6,2,FALSE)=0,"Spatial Data Missing",VLOOKUP(M15,'G-3 Multipliers'!$L$3:$N$6,2,FALSE)))</f>
        <v xml:space="preserve">High strategic significance </v>
      </c>
      <c r="O15" s="505">
        <f>IF(M15="","",IF(VLOOKUP(M15,'G-3 Multipliers'!$L$3:$N$6,3,FALSE)=0,"Spatial Data Missing ▲",VLOOKUP(M15,'G-3 Multipliers'!$L$3:$N$6,3,FALSE)))</f>
        <v>1.1499999999999999</v>
      </c>
      <c r="P15" s="506" t="str">
        <f>IFERROR(VLOOKUP(G15,'G-1 All Habitats'!$B$2:$M$129,12,FALSE),"")</f>
        <v>Same broad habitat or a higher distinctiveness habitat required (≥)</v>
      </c>
      <c r="Q15" s="513">
        <f>IFERROR(IF(P15="","",IF(AND(P15='G-1 All Habitats'!$X$3,T15&gt;0),U15+V15,IF(AND(P15='G-1 All Habitats'!$X$3,S15&gt;0),U15+V15,IF(AND(P15='G-1 All Habitats'!$X$3,AC15&gt;0),"Any Loss Unacceptable ▲",IF(AND(P15='G-1 All Habitats'!$X$3,W15&gt;0),"Any Loss Unacceptable ▲",H15*J15*L15*O15))))),"Check Data ▲")</f>
        <v>0.14351999999999998</v>
      </c>
      <c r="R15" s="50"/>
      <c r="S15" s="71">
        <v>9.1000000000000004E-3</v>
      </c>
      <c r="T15" s="72"/>
      <c r="U15" s="511">
        <f t="shared" si="3"/>
        <v>0.12558</v>
      </c>
      <c r="V15" s="511">
        <f t="shared" si="4"/>
        <v>0</v>
      </c>
      <c r="W15" s="511">
        <f>IF(E15="","",IF(H15&lt;S15+T15,"Error in Areas ▲",IF(P15&lt;&gt;'G-1 All Habitats'!$X$3,H15-S15-T15,IF(AND(P15='G-1 All Habitats'!$X$3,Y15="Yes"),"Unacceptable Loss",IF(AND(P15='G-1 All Habitats'!$X$3,Y15="No"),AC15,IF(AND(P15='G-1 All Habitats'!$X$3,Y15=""),AC15,IF(AND(P15='G-1 All Habitats'!$X$3,AC15="None",AC15),IF(AND(P15='G-1 All Habitats'!$X$3,AC15&gt;0),H15-S15-T15))))))))</f>
        <v>1.2999999999999991E-3</v>
      </c>
      <c r="X15" s="515">
        <f>IFERROR(IF(H15="","",IF(H15-S15-T15=0&lt;0,"Error in Areas ▲",IF(S15+T15&gt;H15,"Error in Areas ▲",IF(AND(P15='G-1 All Habitats'!$X$3,Y15="Yes"),"Alternative Compensation ✓",IF(W15=0,0,IF(P15='G-1 All Habitats'!$X$3,"Unacceptable Loss ▲",Q15-U15-V15)))))),"Check Data ▲")</f>
        <v>1.7939999999999984E-2</v>
      </c>
      <c r="Y15" s="72"/>
      <c r="Z15" s="80" t="s">
        <v>1579</v>
      </c>
      <c r="AA15" s="81"/>
      <c r="AC15" s="75" t="str">
        <f>IF(P15="","",IF(P15='G-1 All Habitats'!$X$3,H15-S15-T15,"None"))</f>
        <v>None</v>
      </c>
      <c r="AD15" s="76" t="str">
        <f>IFERROR(AC15*J15*L15*#REF!*O15,IF(P15="","","None"))</f>
        <v>None</v>
      </c>
      <c r="AF15" s="54" t="b">
        <f t="shared" si="0"/>
        <v>1</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69" x14ac:dyDescent="0.25">
      <c r="A16" s="47" t="str">
        <f>IFERROR(INDEX('G-1 All Habitats'!$AG$3:$AG$15,MATCH(E16,'G-1 All Habitats'!$AF$3:$AF$15,0)),"")</f>
        <v>Urban</v>
      </c>
      <c r="B16" s="47" t="str">
        <f>IFERROR(INDEX('G-8 Condition Look up'!$I$4:$I$130,MATCH(G16,'G-8 Condition Look up'!$A$4:$A$130,0)),"")</f>
        <v>Cond4</v>
      </c>
      <c r="D16" s="77">
        <v>6</v>
      </c>
      <c r="E16" s="79" t="s">
        <v>74</v>
      </c>
      <c r="F16" s="79" t="s">
        <v>627</v>
      </c>
      <c r="G16" s="69" t="str">
        <f>IFERROR(INDEX('G-1 All Habitats'!$B$3:$B$129,MATCH(F16,'G-1 All Habitats'!$A$3:$A$129,0)),"")</f>
        <v>Urban - Urban Tree</v>
      </c>
      <c r="H16" s="70">
        <v>9.7000000000000003E-2</v>
      </c>
      <c r="I16" s="498" t="str">
        <f>IF(G16="","",VLOOKUP(G16,'G-1 All Habitats'!$B$2:$M$129,10,FALSE))</f>
        <v>Medium</v>
      </c>
      <c r="J16" s="499">
        <f>IFERROR(VLOOKUP(I16,'G-1 All Habitats'!$V$3:$W$7,2,FALSE),"")</f>
        <v>4</v>
      </c>
      <c r="K16" s="71" t="s">
        <v>20</v>
      </c>
      <c r="L16" s="499">
        <f>IFERROR(INDEX('G-8 Condition Look up'!$A$3:$H$130,MATCH(G16,'G-8 Condition Look up'!$A$3:$A$130,0),MATCH(K16,'G-8 Condition Look up'!$A$3:$H$3,0)),"")</f>
        <v>2</v>
      </c>
      <c r="M16" s="71" t="s">
        <v>913</v>
      </c>
      <c r="N16" s="520" t="str">
        <f>IF(M16="","",IF(VLOOKUP(M16,'G-3 Multipliers'!$L$3:$N$6,2,FALSE)=0,"Spatial Data Missing",VLOOKUP(M16,'G-3 Multipliers'!$L$3:$N$6,2,FALSE)))</f>
        <v xml:space="preserve">High strategic significance </v>
      </c>
      <c r="O16" s="505">
        <f>IF(M16="","",IF(VLOOKUP(M16,'G-3 Multipliers'!$L$3:$N$6,3,FALSE)=0,"Spatial Data Missing ▲",VLOOKUP(M16,'G-3 Multipliers'!$L$3:$N$6,3,FALSE)))</f>
        <v>1.1499999999999999</v>
      </c>
      <c r="P16" s="506" t="str">
        <f>IFERROR(VLOOKUP(G16,'G-1 All Habitats'!$B$2:$M$129,12,FALSE),"")</f>
        <v>Same broad habitat or a higher distinctiveness habitat required (≥)</v>
      </c>
      <c r="Q16" s="513">
        <f>IFERROR(IF(P16="","",IF(AND(P16='G-1 All Habitats'!$X$3,T16&gt;0),U16+V16,IF(AND(P16='G-1 All Habitats'!$X$3,S16&gt;0),U16+V16,IF(AND(P16='G-1 All Habitats'!$X$3,AC16&gt;0),"Any Loss Unacceptable ▲",IF(AND(P16='G-1 All Habitats'!$X$3,W16&gt;0),"Any Loss Unacceptable ▲",H16*J16*L16*O16))))),"Check Data ▲")</f>
        <v>0.89239999999999997</v>
      </c>
      <c r="R16" s="50"/>
      <c r="S16" s="71">
        <v>4.8500000000000001E-2</v>
      </c>
      <c r="T16" s="72"/>
      <c r="U16" s="511">
        <f t="shared" si="3"/>
        <v>0.44619999999999999</v>
      </c>
      <c r="V16" s="511">
        <f t="shared" si="4"/>
        <v>0</v>
      </c>
      <c r="W16" s="511">
        <f>IF(E16="","",IF(H16&lt;S16+T16,"Error in Areas ▲",IF(P16&lt;&gt;'G-1 All Habitats'!$X$3,H16-S16-T16,IF(AND(P16='G-1 All Habitats'!$X$3,Y16="Yes"),"Unacceptable Loss",IF(AND(P16='G-1 All Habitats'!$X$3,Y16="No"),AC16,IF(AND(P16='G-1 All Habitats'!$X$3,Y16=""),AC16,IF(AND(P16='G-1 All Habitats'!$X$3,AC16="None",AC16),IF(AND(P16='G-1 All Habitats'!$X$3,AC16&gt;0),H16-S16-T16))))))))</f>
        <v>4.8500000000000001E-2</v>
      </c>
      <c r="X16" s="515">
        <f>IFERROR(IF(H16="","",IF(H16-S16-T16=0&lt;0,"Error in Areas ▲",IF(S16+T16&gt;H16,"Error in Areas ▲",IF(AND(P16='G-1 All Habitats'!$X$3,Y16="Yes"),"Alternative Compensation ✓",IF(W16=0,0,IF(P16='G-1 All Habitats'!$X$3,"Unacceptable Loss ▲",Q16-U16-V16)))))),"Check Data ▲")</f>
        <v>0.44619999999999999</v>
      </c>
      <c r="Y16" s="72"/>
      <c r="Z16" s="80" t="s">
        <v>1577</v>
      </c>
      <c r="AA16" s="81"/>
      <c r="AC16" s="75" t="str">
        <f>IF(P16="","",IF(P16='G-1 All Habitats'!$X$3,H16-S16-T16,"None"))</f>
        <v>None</v>
      </c>
      <c r="AD16" s="76" t="str">
        <f>IFERROR(AC16*J16*L16*#REF!*O16,IF(P16="","","None"))</f>
        <v>None</v>
      </c>
      <c r="AF16" s="54" t="b">
        <f t="shared" si="0"/>
        <v>1</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2"/>
      <c r="F17" s="79"/>
      <c r="G17" s="69" t="str">
        <f>IFERROR(INDEX('G-1 All Habitats'!$B$3:$B$129,MATCH(F17,'G-1 All Habitats'!$A$3:$A$129,0)),"")</f>
        <v/>
      </c>
      <c r="H17" s="70"/>
      <c r="I17" s="498" t="str">
        <f>IF(G17="","",VLOOKUP(G17,'G-1 All Habitats'!$B$2:$M$129,10,FALSE))</f>
        <v/>
      </c>
      <c r="J17" s="499" t="str">
        <f>IFERROR(VLOOKUP(I17,'G-1 All Habitats'!$V$3:$W$7,2,FALSE),"")</f>
        <v/>
      </c>
      <c r="K17" s="71"/>
      <c r="L17" s="499" t="str">
        <f>IFERROR(INDEX('G-8 Condition Look up'!$A$3:$H$130,MATCH(G17,'G-8 Condition Look up'!$A$3:$A$130,0),MATCH(K17,'G-8 Condition Look up'!$A$3:$H$3,0)),"")</f>
        <v/>
      </c>
      <c r="M17" s="71"/>
      <c r="N17" s="520" t="str">
        <f>IF(M17="","",IF(VLOOKUP(M17,'G-3 Multipliers'!$L$3:$N$6,2,FALSE)=0,"Spatial Data Missing",VLOOKUP(M17,'G-3 Multipliers'!$L$3:$N$6,2,FALSE)))</f>
        <v/>
      </c>
      <c r="O17" s="505"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 ▲",IF(AND(P17='G-1 All Habitats'!$X$3,W17&gt;0),"Any Loss Unacceptable ▲",H17*J17*L17*O17))))),"Check Data ▲")</f>
        <v/>
      </c>
      <c r="R17" s="50"/>
      <c r="S17" s="71"/>
      <c r="T17" s="72"/>
      <c r="U17" s="511" t="str">
        <f t="shared" si="3"/>
        <v/>
      </c>
      <c r="V17" s="511" t="str">
        <f t="shared" si="4"/>
        <v/>
      </c>
      <c r="W17" s="511"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5"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8" t="str">
        <f>IF(G18="","",VLOOKUP(G18,'G-1 All Habitats'!$B$2:$M$129,10,FALSE))</f>
        <v/>
      </c>
      <c r="J18" s="499" t="str">
        <f>IFERROR(VLOOKUP(I18,'G-1 All Habitats'!$V$3:$W$7,2,FALSE),"")</f>
        <v/>
      </c>
      <c r="K18" s="71"/>
      <c r="L18" s="499" t="str">
        <f>IFERROR(INDEX('G-8 Condition Look up'!$A$3:$H$130,MATCH(G18,'G-8 Condition Look up'!$A$3:$A$130,0),MATCH(K18,'G-8 Condition Look up'!$A$3:$H$3,0)),"")</f>
        <v/>
      </c>
      <c r="M18" s="71"/>
      <c r="N18" s="520" t="str">
        <f>IF(M18="","",IF(VLOOKUP(M18,'G-3 Multipliers'!$L$3:$N$6,2,FALSE)=0,"Spatial Data Missing",VLOOKUP(M18,'G-3 Multipliers'!$L$3:$N$6,2,FALSE)))</f>
        <v/>
      </c>
      <c r="O18" s="505"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 ▲",IF(AND(P18='G-1 All Habitats'!$X$3,W18&gt;0),"Any Loss Unacceptable ▲",H18*J18*L18*O18))))),"Check Data ▲")</f>
        <v/>
      </c>
      <c r="R18" s="50"/>
      <c r="S18" s="71"/>
      <c r="T18" s="72"/>
      <c r="U18" s="511" t="str">
        <f t="shared" si="3"/>
        <v/>
      </c>
      <c r="V18" s="511" t="str">
        <f t="shared" si="4"/>
        <v/>
      </c>
      <c r="W18" s="511"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5"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8" t="str">
        <f>IF(G19="","",VLOOKUP(G19,'G-1 All Habitats'!$B$2:$M$129,10,FALSE))</f>
        <v/>
      </c>
      <c r="J19" s="499" t="str">
        <f>IFERROR(VLOOKUP(I19,'G-1 All Habitats'!$V$3:$W$7,2,FALSE),"")</f>
        <v/>
      </c>
      <c r="K19" s="71"/>
      <c r="L19" s="499" t="str">
        <f>IFERROR(INDEX('G-8 Condition Look up'!$A$3:$H$130,MATCH(G19,'G-8 Condition Look up'!$A$3:$A$130,0),MATCH(K19,'G-8 Condition Look up'!$A$3:$H$3,0)),"")</f>
        <v/>
      </c>
      <c r="M19" s="71"/>
      <c r="N19" s="520" t="str">
        <f>IF(M19="","",IF(VLOOKUP(M19,'G-3 Multipliers'!$L$3:$N$6,2,FALSE)=0,"Spatial Data Missing",VLOOKUP(M19,'G-3 Multipliers'!$L$3:$N$6,2,FALSE)))</f>
        <v/>
      </c>
      <c r="O19" s="505"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 ▲",IF(AND(P19='G-1 All Habitats'!$X$3,W19&gt;0),"Any Loss Unacceptable ▲",H19*J19*L19*O19))))),"Check Data ▲")</f>
        <v/>
      </c>
      <c r="R19" s="50"/>
      <c r="S19" s="71"/>
      <c r="T19" s="72"/>
      <c r="U19" s="511" t="str">
        <f t="shared" si="3"/>
        <v/>
      </c>
      <c r="V19" s="511" t="str">
        <f t="shared" si="4"/>
        <v/>
      </c>
      <c r="W19" s="511"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5"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8" t="str">
        <f>IF(G20="","",VLOOKUP(G20,'G-1 All Habitats'!$B$2:$M$129,10,FALSE))</f>
        <v/>
      </c>
      <c r="J20" s="499" t="str">
        <f>IFERROR(VLOOKUP(I20,'G-1 All Habitats'!$V$3:$W$7,2,FALSE),"")</f>
        <v/>
      </c>
      <c r="K20" s="71"/>
      <c r="L20" s="499" t="str">
        <f>IFERROR(INDEX('G-8 Condition Look up'!$A$3:$H$130,MATCH(G20,'G-8 Condition Look up'!$A$3:$A$130,0),MATCH(K20,'G-8 Condition Look up'!$A$3:$H$3,0)),"")</f>
        <v/>
      </c>
      <c r="M20" s="71"/>
      <c r="N20" s="520" t="str">
        <f>IF(M20="","",IF(VLOOKUP(M20,'G-3 Multipliers'!$L$3:$N$6,2,FALSE)=0,"Spatial Data Missing",VLOOKUP(M20,'G-3 Multipliers'!$L$3:$N$6,2,FALSE)))</f>
        <v/>
      </c>
      <c r="O20" s="505"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 ▲",IF(AND(P20='G-1 All Habitats'!$X$3,W20&gt;0),"Any Loss Unacceptable ▲",H20*J20*L20*O20))))),"Check Data ▲")</f>
        <v/>
      </c>
      <c r="R20" s="50"/>
      <c r="S20" s="71"/>
      <c r="T20" s="72"/>
      <c r="U20" s="511" t="str">
        <f t="shared" si="3"/>
        <v/>
      </c>
      <c r="V20" s="511" t="str">
        <f t="shared" si="4"/>
        <v/>
      </c>
      <c r="W20" s="511"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5"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8" t="str">
        <f>IF(G21="","",VLOOKUP(G21,'G-1 All Habitats'!$B$2:$M$129,10,FALSE))</f>
        <v/>
      </c>
      <c r="J21" s="499" t="str">
        <f>IFERROR(VLOOKUP(I21,'G-1 All Habitats'!$V$3:$W$7,2,FALSE),"")</f>
        <v/>
      </c>
      <c r="K21" s="71"/>
      <c r="L21" s="499" t="str">
        <f>IFERROR(INDEX('G-8 Condition Look up'!$A$3:$H$130,MATCH(G21,'G-8 Condition Look up'!$A$3:$A$130,0),MATCH(K21,'G-8 Condition Look up'!$A$3:$H$3,0)),"")</f>
        <v/>
      </c>
      <c r="M21" s="71"/>
      <c r="N21" s="520" t="str">
        <f>IF(M21="","",IF(VLOOKUP(M21,'G-3 Multipliers'!$L$3:$N$6,2,FALSE)=0,"Spatial Data Missing",VLOOKUP(M21,'G-3 Multipliers'!$L$3:$N$6,2,FALSE)))</f>
        <v/>
      </c>
      <c r="O21" s="505"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 ▲",IF(AND(P21='G-1 All Habitats'!$X$3,W21&gt;0),"Any Loss Unacceptable ▲",H21*J21*L21*O21))))),"Check Data ▲")</f>
        <v/>
      </c>
      <c r="R21" s="50"/>
      <c r="S21" s="71"/>
      <c r="T21" s="72"/>
      <c r="U21" s="511" t="str">
        <f t="shared" si="3"/>
        <v/>
      </c>
      <c r="V21" s="511" t="str">
        <f t="shared" si="4"/>
        <v/>
      </c>
      <c r="W21" s="511"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5"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8" t="str">
        <f>IF(G22="","",VLOOKUP(G22,'G-1 All Habitats'!$B$2:$M$129,10,FALSE))</f>
        <v/>
      </c>
      <c r="J22" s="499" t="str">
        <f>IFERROR(VLOOKUP(I22,'G-1 All Habitats'!$V$3:$W$7,2,FALSE),"")</f>
        <v/>
      </c>
      <c r="K22" s="71"/>
      <c r="L22" s="499" t="str">
        <f>IFERROR(INDEX('G-8 Condition Look up'!$A$3:$H$130,MATCH(G22,'G-8 Condition Look up'!$A$3:$A$130,0),MATCH(K22,'G-8 Condition Look up'!$A$3:$H$3,0)),"")</f>
        <v/>
      </c>
      <c r="M22" s="71"/>
      <c r="N22" s="520" t="str">
        <f>IF(M22="","",IF(VLOOKUP(M22,'G-3 Multipliers'!$L$3:$N$6,2,FALSE)=0,"Spatial Data Missing",VLOOKUP(M22,'G-3 Multipliers'!$L$3:$N$6,2,FALSE)))</f>
        <v/>
      </c>
      <c r="O22" s="505"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 ▲",IF(AND(P22='G-1 All Habitats'!$X$3,W22&gt;0),"Any Loss Unacceptable ▲",H22*J22*L22*O22))))),"Check Data ▲")</f>
        <v/>
      </c>
      <c r="R22" s="50"/>
      <c r="S22" s="71"/>
      <c r="T22" s="72"/>
      <c r="U22" s="511" t="str">
        <f t="shared" si="3"/>
        <v/>
      </c>
      <c r="V22" s="511" t="str">
        <f t="shared" si="4"/>
        <v/>
      </c>
      <c r="W22" s="511"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5"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8" t="str">
        <f>IF(G23="","",VLOOKUP(G23,'G-1 All Habitats'!$B$2:$M$129,10,FALSE))</f>
        <v/>
      </c>
      <c r="J23" s="499" t="str">
        <f>IFERROR(VLOOKUP(I23,'G-1 All Habitats'!$V$3:$W$7,2,FALSE),"")</f>
        <v/>
      </c>
      <c r="K23" s="71"/>
      <c r="L23" s="499" t="str">
        <f>IFERROR(INDEX('G-8 Condition Look up'!$A$3:$H$130,MATCH(G23,'G-8 Condition Look up'!$A$3:$A$130,0),MATCH(K23,'G-8 Condition Look up'!$A$3:$H$3,0)),"")</f>
        <v/>
      </c>
      <c r="M23" s="71"/>
      <c r="N23" s="520" t="str">
        <f>IF(M23="","",IF(VLOOKUP(M23,'G-3 Multipliers'!$L$3:$N$6,2,FALSE)=0,"Spatial Data Missing",VLOOKUP(M23,'G-3 Multipliers'!$L$3:$N$6,2,FALSE)))</f>
        <v/>
      </c>
      <c r="O23" s="505"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 ▲",IF(AND(P23='G-1 All Habitats'!$X$3,W23&gt;0),"Any Loss Unacceptable ▲",H23*J23*L23*O23))))),"Check Data ▲")</f>
        <v/>
      </c>
      <c r="R23" s="50"/>
      <c r="S23" s="71"/>
      <c r="T23" s="72"/>
      <c r="U23" s="511" t="str">
        <f t="shared" si="3"/>
        <v/>
      </c>
      <c r="V23" s="511" t="str">
        <f t="shared" si="4"/>
        <v/>
      </c>
      <c r="W23" s="511"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5"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8" t="str">
        <f>IF(G24="","",VLOOKUP(G24,'G-1 All Habitats'!$B$2:$M$129,10,FALSE))</f>
        <v/>
      </c>
      <c r="J24" s="499" t="str">
        <f>IFERROR(VLOOKUP(I24,'G-1 All Habitats'!$V$3:$W$7,2,FALSE),"")</f>
        <v/>
      </c>
      <c r="K24" s="71"/>
      <c r="L24" s="499" t="str">
        <f>IFERROR(INDEX('G-8 Condition Look up'!$A$3:$H$130,MATCH(G24,'G-8 Condition Look up'!$A$3:$A$130,0),MATCH(K24,'G-8 Condition Look up'!$A$3:$H$3,0)),"")</f>
        <v/>
      </c>
      <c r="M24" s="71"/>
      <c r="N24" s="520" t="str">
        <f>IF(M24="","",IF(VLOOKUP(M24,'G-3 Multipliers'!$L$3:$N$6,2,FALSE)=0,"Spatial Data Missing",VLOOKUP(M24,'G-3 Multipliers'!$L$3:$N$6,2,FALSE)))</f>
        <v/>
      </c>
      <c r="O24" s="505"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 ▲",IF(AND(P24='G-1 All Habitats'!$X$3,W24&gt;0),"Any Loss Unacceptable ▲",H24*J24*L24*O24))))),"Check Data ▲")</f>
        <v/>
      </c>
      <c r="R24" s="50"/>
      <c r="S24" s="71"/>
      <c r="T24" s="72"/>
      <c r="U24" s="511" t="str">
        <f t="shared" si="3"/>
        <v/>
      </c>
      <c r="V24" s="511" t="str">
        <f t="shared" si="4"/>
        <v/>
      </c>
      <c r="W24" s="511"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5"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8" t="str">
        <f>IF(G25="","",VLOOKUP(G25,'G-1 All Habitats'!$B$2:$M$129,10,FALSE))</f>
        <v/>
      </c>
      <c r="J25" s="499" t="str">
        <f>IFERROR(VLOOKUP(I25,'G-1 All Habitats'!$V$3:$W$7,2,FALSE),"")</f>
        <v/>
      </c>
      <c r="K25" s="71"/>
      <c r="L25" s="499" t="str">
        <f>IFERROR(INDEX('G-8 Condition Look up'!$A$3:$H$130,MATCH(G25,'G-8 Condition Look up'!$A$3:$A$130,0),MATCH(K25,'G-8 Condition Look up'!$A$3:$H$3,0)),"")</f>
        <v/>
      </c>
      <c r="M25" s="71"/>
      <c r="N25" s="520" t="str">
        <f>IF(M25="","",IF(VLOOKUP(M25,'G-3 Multipliers'!$L$3:$N$6,2,FALSE)=0,"Spatial Data Missing",VLOOKUP(M25,'G-3 Multipliers'!$L$3:$N$6,2,FALSE)))</f>
        <v/>
      </c>
      <c r="O25" s="505"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 ▲",IF(AND(P25='G-1 All Habitats'!$X$3,W25&gt;0),"Any Loss Unacceptable ▲",H25*J25*L25*O25))))),"Check Data ▲")</f>
        <v/>
      </c>
      <c r="R25" s="50"/>
      <c r="S25" s="71"/>
      <c r="T25" s="72"/>
      <c r="U25" s="511" t="str">
        <f t="shared" si="3"/>
        <v/>
      </c>
      <c r="V25" s="511" t="str">
        <f t="shared" si="4"/>
        <v/>
      </c>
      <c r="W25" s="511"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5"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8" t="str">
        <f>IF(G26="","",VLOOKUP(G26,'G-1 All Habitats'!$B$2:$M$129,10,FALSE))</f>
        <v/>
      </c>
      <c r="J26" s="499" t="str">
        <f>IFERROR(VLOOKUP(I26,'G-1 All Habitats'!$V$3:$W$7,2,FALSE),"")</f>
        <v/>
      </c>
      <c r="K26" s="71"/>
      <c r="L26" s="499" t="str">
        <f>IFERROR(INDEX('G-8 Condition Look up'!$A$3:$H$130,MATCH(G26,'G-8 Condition Look up'!$A$3:$A$130,0),MATCH(K26,'G-8 Condition Look up'!$A$3:$H$3,0)),"")</f>
        <v/>
      </c>
      <c r="M26" s="71"/>
      <c r="N26" s="520" t="str">
        <f>IF(M26="","",IF(VLOOKUP(M26,'G-3 Multipliers'!$L$3:$N$6,2,FALSE)=0,"Spatial Data Missing",VLOOKUP(M26,'G-3 Multipliers'!$L$3:$N$6,2,FALSE)))</f>
        <v/>
      </c>
      <c r="O26" s="505"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 ▲",IF(AND(P26='G-1 All Habitats'!$X$3,W26&gt;0),"Any Loss Unacceptable ▲",H26*J26*L26*O26))))),"Check Data ▲")</f>
        <v/>
      </c>
      <c r="R26" s="50"/>
      <c r="S26" s="71"/>
      <c r="T26" s="72"/>
      <c r="U26" s="511" t="str">
        <f t="shared" si="3"/>
        <v/>
      </c>
      <c r="V26" s="511" t="str">
        <f t="shared" si="4"/>
        <v/>
      </c>
      <c r="W26" s="511"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5"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8" t="str">
        <f>IF(G27="","",VLOOKUP(G27,'G-1 All Habitats'!$B$2:$M$129,10,FALSE))</f>
        <v/>
      </c>
      <c r="J27" s="499" t="str">
        <f>IFERROR(VLOOKUP(I27,'G-1 All Habitats'!$V$3:$W$7,2,FALSE),"")</f>
        <v/>
      </c>
      <c r="K27" s="71"/>
      <c r="L27" s="499" t="str">
        <f>IFERROR(INDEX('G-8 Condition Look up'!$A$3:$H$130,MATCH(G27,'G-8 Condition Look up'!$A$3:$A$130,0),MATCH(K27,'G-8 Condition Look up'!$A$3:$H$3,0)),"")</f>
        <v/>
      </c>
      <c r="M27" s="71"/>
      <c r="N27" s="520" t="str">
        <f>IF(M27="","",IF(VLOOKUP(M27,'G-3 Multipliers'!$L$3:$N$6,2,FALSE)=0,"Spatial Data Missing",VLOOKUP(M27,'G-3 Multipliers'!$L$3:$N$6,2,FALSE)))</f>
        <v/>
      </c>
      <c r="O27" s="505"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 ▲",IF(AND(P27='G-1 All Habitats'!$X$3,W27&gt;0),"Any Loss Unacceptable ▲",H27*J27*L27*O27))))),"Check Data ▲")</f>
        <v/>
      </c>
      <c r="R27" s="50"/>
      <c r="S27" s="71"/>
      <c r="T27" s="72"/>
      <c r="U27" s="511" t="str">
        <f t="shared" si="3"/>
        <v/>
      </c>
      <c r="V27" s="511" t="str">
        <f t="shared" si="4"/>
        <v/>
      </c>
      <c r="W27" s="511"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5"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8" t="str">
        <f>IF(G28="","",VLOOKUP(G28,'G-1 All Habitats'!$B$2:$M$129,10,FALSE))</f>
        <v/>
      </c>
      <c r="J28" s="499" t="str">
        <f>IFERROR(VLOOKUP(I28,'G-1 All Habitats'!$V$3:$W$7,2,FALSE),"")</f>
        <v/>
      </c>
      <c r="K28" s="71"/>
      <c r="L28" s="499" t="str">
        <f>IFERROR(INDEX('G-8 Condition Look up'!$A$3:$H$130,MATCH(G28,'G-8 Condition Look up'!$A$3:$A$130,0),MATCH(K28,'G-8 Condition Look up'!$A$3:$H$3,0)),"")</f>
        <v/>
      </c>
      <c r="M28" s="71"/>
      <c r="N28" s="520" t="str">
        <f>IF(M28="","",IF(VLOOKUP(M28,'G-3 Multipliers'!$L$3:$N$6,2,FALSE)=0,"Spatial Data Missing",VLOOKUP(M28,'G-3 Multipliers'!$L$3:$N$6,2,FALSE)))</f>
        <v/>
      </c>
      <c r="O28" s="505"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 ▲",IF(AND(P28='G-1 All Habitats'!$X$3,W28&gt;0),"Any Loss Unacceptable ▲",H28*J28*L28*O28))))),"Check Data ▲")</f>
        <v/>
      </c>
      <c r="R28" s="50"/>
      <c r="S28" s="71"/>
      <c r="T28" s="72"/>
      <c r="U28" s="511" t="str">
        <f t="shared" si="3"/>
        <v/>
      </c>
      <c r="V28" s="511" t="str">
        <f t="shared" si="4"/>
        <v/>
      </c>
      <c r="W28" s="511"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5"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8" t="str">
        <f>IF(G29="","",VLOOKUP(G29,'G-1 All Habitats'!$B$2:$M$129,10,FALSE))</f>
        <v/>
      </c>
      <c r="J29" s="499" t="str">
        <f>IFERROR(VLOOKUP(I29,'G-1 All Habitats'!$V$3:$W$7,2,FALSE),"")</f>
        <v/>
      </c>
      <c r="K29" s="71"/>
      <c r="L29" s="499" t="str">
        <f>IFERROR(INDEX('G-8 Condition Look up'!$A$3:$H$130,MATCH(G29,'G-8 Condition Look up'!$A$3:$A$130,0),MATCH(K29,'G-8 Condition Look up'!$A$3:$H$3,0)),"")</f>
        <v/>
      </c>
      <c r="M29" s="71"/>
      <c r="N29" s="520" t="str">
        <f>IF(M29="","",IF(VLOOKUP(M29,'G-3 Multipliers'!$L$3:$N$6,2,FALSE)=0,"Spatial Data Missing",VLOOKUP(M29,'G-3 Multipliers'!$L$3:$N$6,2,FALSE)))</f>
        <v/>
      </c>
      <c r="O29" s="505"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 ▲",IF(AND(P29='G-1 All Habitats'!$X$3,W29&gt;0),"Any Loss Unacceptable ▲",H29*J29*L29*O29))))),"Check Data ▲")</f>
        <v/>
      </c>
      <c r="R29" s="50"/>
      <c r="S29" s="71"/>
      <c r="T29" s="72"/>
      <c r="U29" s="511" t="str">
        <f t="shared" si="3"/>
        <v/>
      </c>
      <c r="V29" s="511" t="str">
        <f t="shared" si="4"/>
        <v/>
      </c>
      <c r="W29" s="511"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5"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8" t="str">
        <f>IF(G30="","",VLOOKUP(G30,'G-1 All Habitats'!$B$2:$M$129,10,FALSE))</f>
        <v/>
      </c>
      <c r="J30" s="499" t="str">
        <f>IFERROR(VLOOKUP(I30,'G-1 All Habitats'!$V$3:$W$7,2,FALSE),"")</f>
        <v/>
      </c>
      <c r="K30" s="71"/>
      <c r="L30" s="499" t="str">
        <f>IFERROR(INDEX('G-8 Condition Look up'!$A$3:$H$130,MATCH(G30,'G-8 Condition Look up'!$A$3:$A$130,0),MATCH(K30,'G-8 Condition Look up'!$A$3:$H$3,0)),"")</f>
        <v/>
      </c>
      <c r="M30" s="71"/>
      <c r="N30" s="520" t="str">
        <f>IF(M30="","",IF(VLOOKUP(M30,'G-3 Multipliers'!$L$3:$N$6,2,FALSE)=0,"Spatial Data Missing",VLOOKUP(M30,'G-3 Multipliers'!$L$3:$N$6,2,FALSE)))</f>
        <v/>
      </c>
      <c r="O30" s="505"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 ▲",IF(AND(P30='G-1 All Habitats'!$X$3,W30&gt;0),"Any Loss Unacceptable ▲",H30*J30*L30*O30))))),"Check Data ▲")</f>
        <v/>
      </c>
      <c r="R30" s="50"/>
      <c r="S30" s="71"/>
      <c r="T30" s="72"/>
      <c r="U30" s="511" t="str">
        <f t="shared" si="3"/>
        <v/>
      </c>
      <c r="V30" s="511" t="str">
        <f t="shared" si="4"/>
        <v/>
      </c>
      <c r="W30" s="511"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5"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8" t="str">
        <f>IF(G31="","",VLOOKUP(G31,'G-1 All Habitats'!$B$2:$M$129,10,FALSE))</f>
        <v/>
      </c>
      <c r="J31" s="499" t="str">
        <f>IFERROR(VLOOKUP(I31,'G-1 All Habitats'!$V$3:$W$7,2,FALSE),"")</f>
        <v/>
      </c>
      <c r="K31" s="71"/>
      <c r="L31" s="499" t="str">
        <f>IFERROR(INDEX('G-8 Condition Look up'!$A$3:$H$130,MATCH(G31,'G-8 Condition Look up'!$A$3:$A$130,0),MATCH(K31,'G-8 Condition Look up'!$A$3:$H$3,0)),"")</f>
        <v/>
      </c>
      <c r="M31" s="71"/>
      <c r="N31" s="520" t="str">
        <f>IF(M31="","",IF(VLOOKUP(M31,'G-3 Multipliers'!$L$3:$N$6,2,FALSE)=0,"Spatial Data Missing",VLOOKUP(M31,'G-3 Multipliers'!$L$3:$N$6,2,FALSE)))</f>
        <v/>
      </c>
      <c r="O31" s="505"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 ▲",IF(AND(P31='G-1 All Habitats'!$X$3,W31&gt;0),"Any Loss Unacceptable ▲",H31*J31*L31*O31))))),"Check Data ▲")</f>
        <v/>
      </c>
      <c r="R31" s="50"/>
      <c r="S31" s="71"/>
      <c r="T31" s="72"/>
      <c r="U31" s="511" t="str">
        <f t="shared" si="3"/>
        <v/>
      </c>
      <c r="V31" s="511" t="str">
        <f t="shared" si="4"/>
        <v/>
      </c>
      <c r="W31" s="511"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5"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8" t="str">
        <f>IF(G32="","",VLOOKUP(G32,'G-1 All Habitats'!$B$2:$M$129,10,FALSE))</f>
        <v/>
      </c>
      <c r="J32" s="499" t="str">
        <f>IFERROR(VLOOKUP(I32,'G-1 All Habitats'!$V$3:$W$7,2,FALSE),"")</f>
        <v/>
      </c>
      <c r="K32" s="71"/>
      <c r="L32" s="499" t="str">
        <f>IFERROR(INDEX('G-8 Condition Look up'!$A$3:$H$130,MATCH(G32,'G-8 Condition Look up'!$A$3:$A$130,0),MATCH(K32,'G-8 Condition Look up'!$A$3:$H$3,0)),"")</f>
        <v/>
      </c>
      <c r="M32" s="71"/>
      <c r="N32" s="520" t="str">
        <f>IF(M32="","",IF(VLOOKUP(M32,'G-3 Multipliers'!$L$3:$N$6,2,FALSE)=0,"Spatial Data Missing",VLOOKUP(M32,'G-3 Multipliers'!$L$3:$N$6,2,FALSE)))</f>
        <v/>
      </c>
      <c r="O32" s="505"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 ▲",IF(AND(P32='G-1 All Habitats'!$X$3,W32&gt;0),"Any Loss Unacceptable ▲",H32*J32*L32*O32))))),"Check Data ▲")</f>
        <v/>
      </c>
      <c r="R32" s="50"/>
      <c r="S32" s="71"/>
      <c r="T32" s="72"/>
      <c r="U32" s="511" t="str">
        <f t="shared" si="3"/>
        <v/>
      </c>
      <c r="V32" s="511" t="str">
        <f t="shared" si="4"/>
        <v/>
      </c>
      <c r="W32" s="511"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5"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8" t="str">
        <f>IF(G33="","",VLOOKUP(G33,'G-1 All Habitats'!$B$2:$M$129,10,FALSE))</f>
        <v/>
      </c>
      <c r="J33" s="499" t="str">
        <f>IFERROR(VLOOKUP(I33,'G-1 All Habitats'!$V$3:$W$7,2,FALSE),"")</f>
        <v/>
      </c>
      <c r="K33" s="71"/>
      <c r="L33" s="499" t="str">
        <f>IFERROR(INDEX('G-8 Condition Look up'!$A$3:$H$130,MATCH(G33,'G-8 Condition Look up'!$A$3:$A$130,0),MATCH(K33,'G-8 Condition Look up'!$A$3:$H$3,0)),"")</f>
        <v/>
      </c>
      <c r="M33" s="71"/>
      <c r="N33" s="520" t="str">
        <f>IF(M33="","",IF(VLOOKUP(M33,'G-3 Multipliers'!$L$3:$N$6,2,FALSE)=0,"Spatial Data Missing",VLOOKUP(M33,'G-3 Multipliers'!$L$3:$N$6,2,FALSE)))</f>
        <v/>
      </c>
      <c r="O33" s="505"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 ▲",IF(AND(P33='G-1 All Habitats'!$X$3,W33&gt;0),"Any Loss Unacceptable ▲",H33*J33*L33*O33))))),"Check Data ▲")</f>
        <v/>
      </c>
      <c r="R33" s="50"/>
      <c r="S33" s="71"/>
      <c r="T33" s="72"/>
      <c r="U33" s="511" t="str">
        <f t="shared" si="3"/>
        <v/>
      </c>
      <c r="V33" s="511" t="str">
        <f t="shared" si="4"/>
        <v/>
      </c>
      <c r="W33" s="511"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5"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8" t="str">
        <f>IF(G34="","",VLOOKUP(G34,'G-1 All Habitats'!$B$2:$M$129,10,FALSE))</f>
        <v/>
      </c>
      <c r="J34" s="499" t="str">
        <f>IFERROR(VLOOKUP(I34,'G-1 All Habitats'!$V$3:$W$7,2,FALSE),"")</f>
        <v/>
      </c>
      <c r="K34" s="71"/>
      <c r="L34" s="499" t="str">
        <f>IFERROR(INDEX('G-8 Condition Look up'!$A$3:$H$130,MATCH(G34,'G-8 Condition Look up'!$A$3:$A$130,0),MATCH(K34,'G-8 Condition Look up'!$A$3:$H$3,0)),"")</f>
        <v/>
      </c>
      <c r="M34" s="71"/>
      <c r="N34" s="520" t="str">
        <f>IF(M34="","",IF(VLOOKUP(M34,'G-3 Multipliers'!$L$3:$N$6,2,FALSE)=0,"Spatial Data Missing",VLOOKUP(M34,'G-3 Multipliers'!$L$3:$N$6,2,FALSE)))</f>
        <v/>
      </c>
      <c r="O34" s="505"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 ▲",IF(AND(P34='G-1 All Habitats'!$X$3,W34&gt;0),"Any Loss Unacceptable ▲",H34*J34*L34*O34))))),"Check Data ▲")</f>
        <v/>
      </c>
      <c r="R34" s="50"/>
      <c r="S34" s="71"/>
      <c r="T34" s="72"/>
      <c r="U34" s="511" t="str">
        <f t="shared" si="3"/>
        <v/>
      </c>
      <c r="V34" s="511" t="str">
        <f t="shared" si="4"/>
        <v/>
      </c>
      <c r="W34" s="511"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5"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8" t="str">
        <f>IF(G35="","",VLOOKUP(G35,'G-1 All Habitats'!$B$2:$M$129,10,FALSE))</f>
        <v/>
      </c>
      <c r="J35" s="499" t="str">
        <f>IFERROR(VLOOKUP(I35,'G-1 All Habitats'!$V$3:$W$7,2,FALSE),"")</f>
        <v/>
      </c>
      <c r="K35" s="71"/>
      <c r="L35" s="499" t="str">
        <f>IFERROR(INDEX('G-8 Condition Look up'!$A$3:$H$130,MATCH(G35,'G-8 Condition Look up'!$A$3:$A$130,0),MATCH(K35,'G-8 Condition Look up'!$A$3:$H$3,0)),"")</f>
        <v/>
      </c>
      <c r="M35" s="71"/>
      <c r="N35" s="520" t="str">
        <f>IF(M35="","",IF(VLOOKUP(M35,'G-3 Multipliers'!$L$3:$N$6,2,FALSE)=0,"Spatial Data Missing",VLOOKUP(M35,'G-3 Multipliers'!$L$3:$N$6,2,FALSE)))</f>
        <v/>
      </c>
      <c r="O35" s="505"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 ▲",IF(AND(P35='G-1 All Habitats'!$X$3,W35&gt;0),"Any Loss Unacceptable ▲",H35*J35*L35*O35))))),"Check Data ▲")</f>
        <v/>
      </c>
      <c r="R35" s="50"/>
      <c r="S35" s="71"/>
      <c r="T35" s="72"/>
      <c r="U35" s="511" t="str">
        <f t="shared" si="3"/>
        <v/>
      </c>
      <c r="V35" s="511" t="str">
        <f t="shared" si="4"/>
        <v/>
      </c>
      <c r="W35" s="511"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5"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8" t="str">
        <f>IF(G36="","",VLOOKUP(G36,'G-1 All Habitats'!$B$2:$M$129,10,FALSE))</f>
        <v/>
      </c>
      <c r="J36" s="499" t="str">
        <f>IFERROR(VLOOKUP(I36,'G-1 All Habitats'!$V$3:$W$7,2,FALSE),"")</f>
        <v/>
      </c>
      <c r="K36" s="71"/>
      <c r="L36" s="499" t="str">
        <f>IFERROR(INDEX('G-8 Condition Look up'!$A$3:$H$130,MATCH(G36,'G-8 Condition Look up'!$A$3:$A$130,0),MATCH(K36,'G-8 Condition Look up'!$A$3:$H$3,0)),"")</f>
        <v/>
      </c>
      <c r="M36" s="71"/>
      <c r="N36" s="520" t="str">
        <f>IF(M36="","",IF(VLOOKUP(M36,'G-3 Multipliers'!$L$3:$N$6,2,FALSE)=0,"Spatial Data Missing",VLOOKUP(M36,'G-3 Multipliers'!$L$3:$N$6,2,FALSE)))</f>
        <v/>
      </c>
      <c r="O36" s="505"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 ▲",IF(AND(P36='G-1 All Habitats'!$X$3,W36&gt;0),"Any Loss Unacceptable ▲",H36*J36*L36*O36))))),"Check Data ▲")</f>
        <v/>
      </c>
      <c r="R36" s="50"/>
      <c r="S36" s="71"/>
      <c r="T36" s="72"/>
      <c r="U36" s="511" t="str">
        <f t="shared" si="3"/>
        <v/>
      </c>
      <c r="V36" s="511" t="str">
        <f t="shared" si="4"/>
        <v/>
      </c>
      <c r="W36" s="511"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5"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8" t="str">
        <f>IF(G37="","",VLOOKUP(G37,'G-1 All Habitats'!$B$2:$M$129,10,FALSE))</f>
        <v/>
      </c>
      <c r="J37" s="499" t="str">
        <f>IFERROR(VLOOKUP(I37,'G-1 All Habitats'!$V$3:$W$7,2,FALSE),"")</f>
        <v/>
      </c>
      <c r="K37" s="71"/>
      <c r="L37" s="499" t="str">
        <f>IFERROR(INDEX('G-8 Condition Look up'!$A$3:$H$130,MATCH(G37,'G-8 Condition Look up'!$A$3:$A$130,0),MATCH(K37,'G-8 Condition Look up'!$A$3:$H$3,0)),"")</f>
        <v/>
      </c>
      <c r="M37" s="71"/>
      <c r="N37" s="520" t="str">
        <f>IF(M37="","",IF(VLOOKUP(M37,'G-3 Multipliers'!$L$3:$N$6,2,FALSE)=0,"Spatial Data Missing",VLOOKUP(M37,'G-3 Multipliers'!$L$3:$N$6,2,FALSE)))</f>
        <v/>
      </c>
      <c r="O37" s="505"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 ▲",IF(AND(P37='G-1 All Habitats'!$X$3,W37&gt;0),"Any Loss Unacceptable ▲",H37*J37*L37*O37))))),"Check Data ▲")</f>
        <v/>
      </c>
      <c r="R37" s="50"/>
      <c r="S37" s="71"/>
      <c r="T37" s="72"/>
      <c r="U37" s="511" t="str">
        <f t="shared" si="3"/>
        <v/>
      </c>
      <c r="V37" s="511" t="str">
        <f t="shared" si="4"/>
        <v/>
      </c>
      <c r="W37" s="511"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5"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8" t="str">
        <f>IF(G38="","",VLOOKUP(G38,'G-1 All Habitats'!$B$2:$M$129,10,FALSE))</f>
        <v/>
      </c>
      <c r="J38" s="499" t="str">
        <f>IFERROR(VLOOKUP(I38,'G-1 All Habitats'!$V$3:$W$7,2,FALSE),"")</f>
        <v/>
      </c>
      <c r="K38" s="71"/>
      <c r="L38" s="499" t="str">
        <f>IFERROR(INDEX('G-8 Condition Look up'!$A$3:$H$130,MATCH(G38,'G-8 Condition Look up'!$A$3:$A$130,0),MATCH(K38,'G-8 Condition Look up'!$A$3:$H$3,0)),"")</f>
        <v/>
      </c>
      <c r="M38" s="71"/>
      <c r="N38" s="520" t="str">
        <f>IF(M38="","",IF(VLOOKUP(M38,'G-3 Multipliers'!$L$3:$N$6,2,FALSE)=0,"Spatial Data Missing",VLOOKUP(M38,'G-3 Multipliers'!$L$3:$N$6,2,FALSE)))</f>
        <v/>
      </c>
      <c r="O38" s="505"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 ▲",IF(AND(P38='G-1 All Habitats'!$X$3,W38&gt;0),"Any Loss Unacceptable ▲",H38*J38*L38*O38))))),"Check Data ▲")</f>
        <v/>
      </c>
      <c r="R38" s="50"/>
      <c r="S38" s="71"/>
      <c r="T38" s="72"/>
      <c r="U38" s="511" t="str">
        <f t="shared" si="3"/>
        <v/>
      </c>
      <c r="V38" s="511" t="str">
        <f t="shared" si="4"/>
        <v/>
      </c>
      <c r="W38" s="511"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5"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8" t="str">
        <f>IF(G39="","",VLOOKUP(G39,'G-1 All Habitats'!$B$2:$M$129,10,FALSE))</f>
        <v/>
      </c>
      <c r="J39" s="499" t="str">
        <f>IFERROR(VLOOKUP(I39,'G-1 All Habitats'!$V$3:$W$7,2,FALSE),"")</f>
        <v/>
      </c>
      <c r="K39" s="71"/>
      <c r="L39" s="499" t="str">
        <f>IFERROR(INDEX('G-8 Condition Look up'!$A$3:$H$130,MATCH(G39,'G-8 Condition Look up'!$A$3:$A$130,0),MATCH(K39,'G-8 Condition Look up'!$A$3:$H$3,0)),"")</f>
        <v/>
      </c>
      <c r="M39" s="71"/>
      <c r="N39" s="520" t="str">
        <f>IF(M39="","",IF(VLOOKUP(M39,'G-3 Multipliers'!$L$3:$N$6,2,FALSE)=0,"Spatial Data Missing",VLOOKUP(M39,'G-3 Multipliers'!$L$3:$N$6,2,FALSE)))</f>
        <v/>
      </c>
      <c r="O39" s="505"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 ▲",IF(AND(P39='G-1 All Habitats'!$X$3,W39&gt;0),"Any Loss Unacceptable ▲",H39*J39*L39*O39))))),"Check Data ▲")</f>
        <v/>
      </c>
      <c r="R39" s="50"/>
      <c r="S39" s="71"/>
      <c r="T39" s="72"/>
      <c r="U39" s="511" t="str">
        <f t="shared" si="3"/>
        <v/>
      </c>
      <c r="V39" s="511" t="str">
        <f t="shared" si="4"/>
        <v/>
      </c>
      <c r="W39" s="511"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5"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8" t="str">
        <f>IF(G40="","",VLOOKUP(G40,'G-1 All Habitats'!$B$2:$M$129,10,FALSE))</f>
        <v/>
      </c>
      <c r="J40" s="499" t="str">
        <f>IFERROR(VLOOKUP(I40,'G-1 All Habitats'!$V$3:$W$7,2,FALSE),"")</f>
        <v/>
      </c>
      <c r="K40" s="71"/>
      <c r="L40" s="499" t="str">
        <f>IFERROR(INDEX('G-8 Condition Look up'!$A$3:$H$130,MATCH(G40,'G-8 Condition Look up'!$A$3:$A$130,0),MATCH(K40,'G-8 Condition Look up'!$A$3:$H$3,0)),"")</f>
        <v/>
      </c>
      <c r="M40" s="71"/>
      <c r="N40" s="520" t="str">
        <f>IF(M40="","",IF(VLOOKUP(M40,'G-3 Multipliers'!$L$3:$N$6,2,FALSE)=0,"Spatial Data Missing",VLOOKUP(M40,'G-3 Multipliers'!$L$3:$N$6,2,FALSE)))</f>
        <v/>
      </c>
      <c r="O40" s="505"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 ▲",IF(AND(P40='G-1 All Habitats'!$X$3,W40&gt;0),"Any Loss Unacceptable ▲",H40*J40*L40*O40))))),"Check Data ▲")</f>
        <v/>
      </c>
      <c r="R40" s="50"/>
      <c r="S40" s="71"/>
      <c r="T40" s="72"/>
      <c r="U40" s="511" t="str">
        <f t="shared" si="3"/>
        <v/>
      </c>
      <c r="V40" s="511" t="str">
        <f t="shared" si="4"/>
        <v/>
      </c>
      <c r="W40" s="511"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5"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8" t="str">
        <f>IF(G41="","",VLOOKUP(G41,'G-1 All Habitats'!$B$2:$M$129,10,FALSE))</f>
        <v/>
      </c>
      <c r="J41" s="499" t="str">
        <f>IFERROR(VLOOKUP(I41,'G-1 All Habitats'!$V$3:$W$7,2,FALSE),"")</f>
        <v/>
      </c>
      <c r="K41" s="71"/>
      <c r="L41" s="499" t="str">
        <f>IFERROR(INDEX('G-8 Condition Look up'!$A$3:$H$130,MATCH(G41,'G-8 Condition Look up'!$A$3:$A$130,0),MATCH(K41,'G-8 Condition Look up'!$A$3:$H$3,0)),"")</f>
        <v/>
      </c>
      <c r="M41" s="71"/>
      <c r="N41" s="520" t="str">
        <f>IF(M41="","",IF(VLOOKUP(M41,'G-3 Multipliers'!$L$3:$N$6,2,FALSE)=0,"Spatial Data Missing",VLOOKUP(M41,'G-3 Multipliers'!$L$3:$N$6,2,FALSE)))</f>
        <v/>
      </c>
      <c r="O41" s="505"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 ▲",IF(AND(P41='G-1 All Habitats'!$X$3,W41&gt;0),"Any Loss Unacceptable ▲",H41*J41*L41*O41))))),"Check Data ▲")</f>
        <v/>
      </c>
      <c r="R41" s="50"/>
      <c r="S41" s="71"/>
      <c r="T41" s="72"/>
      <c r="U41" s="511" t="str">
        <f t="shared" si="3"/>
        <v/>
      </c>
      <c r="V41" s="511" t="str">
        <f t="shared" si="4"/>
        <v/>
      </c>
      <c r="W41" s="511"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5"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8" t="str">
        <f>IF(G42="","",VLOOKUP(G42,'G-1 All Habitats'!$B$2:$M$129,10,FALSE))</f>
        <v/>
      </c>
      <c r="J42" s="499" t="str">
        <f>IFERROR(VLOOKUP(I42,'G-1 All Habitats'!$V$3:$W$7,2,FALSE),"")</f>
        <v/>
      </c>
      <c r="K42" s="71"/>
      <c r="L42" s="499" t="str">
        <f>IFERROR(INDEX('G-8 Condition Look up'!$A$3:$H$130,MATCH(G42,'G-8 Condition Look up'!$A$3:$A$130,0),MATCH(K42,'G-8 Condition Look up'!$A$3:$H$3,0)),"")</f>
        <v/>
      </c>
      <c r="M42" s="71"/>
      <c r="N42" s="520" t="str">
        <f>IF(M42="","",IF(VLOOKUP(M42,'G-3 Multipliers'!$L$3:$N$6,2,FALSE)=0,"Spatial Data Missing",VLOOKUP(M42,'G-3 Multipliers'!$L$3:$N$6,2,FALSE)))</f>
        <v/>
      </c>
      <c r="O42" s="505"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 ▲",IF(AND(P42='G-1 All Habitats'!$X$3,W42&gt;0),"Any Loss Unacceptable ▲",H42*J42*L42*O42))))),"Check Data ▲")</f>
        <v/>
      </c>
      <c r="R42" s="50"/>
      <c r="S42" s="71"/>
      <c r="T42" s="72"/>
      <c r="U42" s="511" t="str">
        <f t="shared" si="3"/>
        <v/>
      </c>
      <c r="V42" s="511" t="str">
        <f t="shared" si="4"/>
        <v/>
      </c>
      <c r="W42" s="511"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5"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8" t="str">
        <f>IF(G43="","",VLOOKUP(G43,'G-1 All Habitats'!$B$2:$M$129,10,FALSE))</f>
        <v/>
      </c>
      <c r="J43" s="499" t="str">
        <f>IFERROR(VLOOKUP(I43,'G-1 All Habitats'!$V$3:$W$7,2,FALSE),"")</f>
        <v/>
      </c>
      <c r="K43" s="71"/>
      <c r="L43" s="499" t="str">
        <f>IFERROR(INDEX('G-8 Condition Look up'!$A$3:$H$130,MATCH(G43,'G-8 Condition Look up'!$A$3:$A$130,0),MATCH(K43,'G-8 Condition Look up'!$A$3:$H$3,0)),"")</f>
        <v/>
      </c>
      <c r="M43" s="71"/>
      <c r="N43" s="520" t="str">
        <f>IF(M43="","",IF(VLOOKUP(M43,'G-3 Multipliers'!$L$3:$N$6,2,FALSE)=0,"Spatial Data Missing",VLOOKUP(M43,'G-3 Multipliers'!$L$3:$N$6,2,FALSE)))</f>
        <v/>
      </c>
      <c r="O43" s="505"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 ▲",IF(AND(P43='G-1 All Habitats'!$X$3,W43&gt;0),"Any Loss Unacceptable ▲",H43*J43*L43*O43))))),"Check Data ▲")</f>
        <v/>
      </c>
      <c r="R43" s="50"/>
      <c r="S43" s="71"/>
      <c r="T43" s="72"/>
      <c r="U43" s="511" t="str">
        <f t="shared" si="3"/>
        <v/>
      </c>
      <c r="V43" s="511" t="str">
        <f t="shared" si="4"/>
        <v/>
      </c>
      <c r="W43" s="511"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5"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8" t="str">
        <f>IF(G44="","",VLOOKUP(G44,'G-1 All Habitats'!$B$2:$M$129,10,FALSE))</f>
        <v/>
      </c>
      <c r="J44" s="499" t="str">
        <f>IFERROR(VLOOKUP(I44,'G-1 All Habitats'!$V$3:$W$7,2,FALSE),"")</f>
        <v/>
      </c>
      <c r="K44" s="71"/>
      <c r="L44" s="499" t="str">
        <f>IFERROR(INDEX('G-8 Condition Look up'!$A$3:$H$130,MATCH(G44,'G-8 Condition Look up'!$A$3:$A$130,0),MATCH(K44,'G-8 Condition Look up'!$A$3:$H$3,0)),"")</f>
        <v/>
      </c>
      <c r="M44" s="71"/>
      <c r="N44" s="520" t="str">
        <f>IF(M44="","",IF(VLOOKUP(M44,'G-3 Multipliers'!$L$3:$N$6,2,FALSE)=0,"Spatial Data Missing",VLOOKUP(M44,'G-3 Multipliers'!$L$3:$N$6,2,FALSE)))</f>
        <v/>
      </c>
      <c r="O44" s="505"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 ▲",IF(AND(P44='G-1 All Habitats'!$X$3,W44&gt;0),"Any Loss Unacceptable ▲",H44*J44*L44*O44))))),"Check Data ▲")</f>
        <v/>
      </c>
      <c r="R44" s="50"/>
      <c r="S44" s="71"/>
      <c r="T44" s="72"/>
      <c r="U44" s="511" t="str">
        <f t="shared" si="3"/>
        <v/>
      </c>
      <c r="V44" s="511" t="str">
        <f t="shared" si="4"/>
        <v/>
      </c>
      <c r="W44" s="511"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5"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8" t="str">
        <f>IF(G45="","",VLOOKUP(G45,'G-1 All Habitats'!$B$2:$M$129,10,FALSE))</f>
        <v/>
      </c>
      <c r="J45" s="499" t="str">
        <f>IFERROR(VLOOKUP(I45,'G-1 All Habitats'!$V$3:$W$7,2,FALSE),"")</f>
        <v/>
      </c>
      <c r="K45" s="71"/>
      <c r="L45" s="499" t="str">
        <f>IFERROR(INDEX('G-8 Condition Look up'!$A$3:$H$130,MATCH(G45,'G-8 Condition Look up'!$A$3:$A$130,0),MATCH(K45,'G-8 Condition Look up'!$A$3:$H$3,0)),"")</f>
        <v/>
      </c>
      <c r="M45" s="71"/>
      <c r="N45" s="520" t="str">
        <f>IF(M45="","",IF(VLOOKUP(M45,'G-3 Multipliers'!$L$3:$N$6,2,FALSE)=0,"Spatial Data Missing",VLOOKUP(M45,'G-3 Multipliers'!$L$3:$N$6,2,FALSE)))</f>
        <v/>
      </c>
      <c r="O45" s="505"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 ▲",IF(AND(P45='G-1 All Habitats'!$X$3,W45&gt;0),"Any Loss Unacceptable ▲",H45*J45*L45*O45))))),"Check Data ▲")</f>
        <v/>
      </c>
      <c r="R45" s="50"/>
      <c r="S45" s="71"/>
      <c r="T45" s="72"/>
      <c r="U45" s="511" t="str">
        <f t="shared" si="3"/>
        <v/>
      </c>
      <c r="V45" s="511" t="str">
        <f t="shared" si="4"/>
        <v/>
      </c>
      <c r="W45" s="511"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5"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8" t="str">
        <f>IF(G46="","",VLOOKUP(G46,'G-1 All Habitats'!$B$2:$M$129,10,FALSE))</f>
        <v/>
      </c>
      <c r="J46" s="499" t="str">
        <f>IFERROR(VLOOKUP(I46,'G-1 All Habitats'!$V$3:$W$7,2,FALSE),"")</f>
        <v/>
      </c>
      <c r="K46" s="71"/>
      <c r="L46" s="499" t="str">
        <f>IFERROR(INDEX('G-8 Condition Look up'!$A$3:$H$130,MATCH(G46,'G-8 Condition Look up'!$A$3:$A$130,0),MATCH(K46,'G-8 Condition Look up'!$A$3:$H$3,0)),"")</f>
        <v/>
      </c>
      <c r="M46" s="71"/>
      <c r="N46" s="520" t="str">
        <f>IF(M46="","",IF(VLOOKUP(M46,'G-3 Multipliers'!$L$3:$N$6,2,FALSE)=0,"Spatial Data Missing",VLOOKUP(M46,'G-3 Multipliers'!$L$3:$N$6,2,FALSE)))</f>
        <v/>
      </c>
      <c r="O46" s="505"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 ▲",IF(AND(P46='G-1 All Habitats'!$X$3,W46&gt;0),"Any Loss Unacceptable ▲",H46*J46*L46*O46))))),"Check Data ▲")</f>
        <v/>
      </c>
      <c r="R46" s="50"/>
      <c r="S46" s="71"/>
      <c r="T46" s="72"/>
      <c r="U46" s="511" t="str">
        <f t="shared" si="3"/>
        <v/>
      </c>
      <c r="V46" s="511" t="str">
        <f t="shared" si="4"/>
        <v/>
      </c>
      <c r="W46" s="511"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5"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8" t="str">
        <f>IF(G47="","",VLOOKUP(G47,'G-1 All Habitats'!$B$2:$M$129,10,FALSE))</f>
        <v/>
      </c>
      <c r="J47" s="499" t="str">
        <f>IFERROR(VLOOKUP(I47,'G-1 All Habitats'!$V$3:$W$7,2,FALSE),"")</f>
        <v/>
      </c>
      <c r="K47" s="71"/>
      <c r="L47" s="499" t="str">
        <f>IFERROR(INDEX('G-8 Condition Look up'!$A$3:$H$130,MATCH(G47,'G-8 Condition Look up'!$A$3:$A$130,0),MATCH(K47,'G-8 Condition Look up'!$A$3:$H$3,0)),"")</f>
        <v/>
      </c>
      <c r="M47" s="71"/>
      <c r="N47" s="520" t="str">
        <f>IF(M47="","",IF(VLOOKUP(M47,'G-3 Multipliers'!$L$3:$N$6,2,FALSE)=0,"Spatial Data Missing",VLOOKUP(M47,'G-3 Multipliers'!$L$3:$N$6,2,FALSE)))</f>
        <v/>
      </c>
      <c r="O47" s="505"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 ▲",IF(AND(P47='G-1 All Habitats'!$X$3,W47&gt;0),"Any Loss Unacceptable ▲",H47*J47*L47*O47))))),"Check Data ▲")</f>
        <v/>
      </c>
      <c r="R47" s="50"/>
      <c r="S47" s="71"/>
      <c r="T47" s="72"/>
      <c r="U47" s="511" t="str">
        <f t="shared" si="3"/>
        <v/>
      </c>
      <c r="V47" s="511" t="str">
        <f t="shared" si="4"/>
        <v/>
      </c>
      <c r="W47" s="511"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5"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8" t="str">
        <f>IF(G48="","",VLOOKUP(G48,'G-1 All Habitats'!$B$2:$M$129,10,FALSE))</f>
        <v/>
      </c>
      <c r="J48" s="499" t="str">
        <f>IFERROR(VLOOKUP(I48,'G-1 All Habitats'!$V$3:$W$7,2,FALSE),"")</f>
        <v/>
      </c>
      <c r="K48" s="71"/>
      <c r="L48" s="499" t="str">
        <f>IFERROR(INDEX('G-8 Condition Look up'!$A$3:$H$130,MATCH(G48,'G-8 Condition Look up'!$A$3:$A$130,0),MATCH(K48,'G-8 Condition Look up'!$A$3:$H$3,0)),"")</f>
        <v/>
      </c>
      <c r="M48" s="71"/>
      <c r="N48" s="520" t="str">
        <f>IF(M48="","",IF(VLOOKUP(M48,'G-3 Multipliers'!$L$3:$N$6,2,FALSE)=0,"Spatial Data Missing",VLOOKUP(M48,'G-3 Multipliers'!$L$3:$N$6,2,FALSE)))</f>
        <v/>
      </c>
      <c r="O48" s="505"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 ▲",IF(AND(P48='G-1 All Habitats'!$X$3,W48&gt;0),"Any Loss Unacceptable ▲",H48*J48*L48*O48))))),"Check Data ▲")</f>
        <v/>
      </c>
      <c r="R48" s="50"/>
      <c r="S48" s="71"/>
      <c r="T48" s="72"/>
      <c r="U48" s="511" t="str">
        <f t="shared" si="3"/>
        <v/>
      </c>
      <c r="V48" s="511" t="str">
        <f t="shared" si="4"/>
        <v/>
      </c>
      <c r="W48" s="511"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5"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8" t="str">
        <f>IF(G49="","",VLOOKUP(G49,'G-1 All Habitats'!$B$2:$M$129,10,FALSE))</f>
        <v/>
      </c>
      <c r="J49" s="499" t="str">
        <f>IFERROR(VLOOKUP(I49,'G-1 All Habitats'!$V$3:$W$7,2,FALSE),"")</f>
        <v/>
      </c>
      <c r="K49" s="71"/>
      <c r="L49" s="499" t="str">
        <f>IFERROR(INDEX('G-8 Condition Look up'!$A$3:$H$130,MATCH(G49,'G-8 Condition Look up'!$A$3:$A$130,0),MATCH(K49,'G-8 Condition Look up'!$A$3:$H$3,0)),"")</f>
        <v/>
      </c>
      <c r="M49" s="71"/>
      <c r="N49" s="520" t="str">
        <f>IF(M49="","",IF(VLOOKUP(M49,'G-3 Multipliers'!$L$3:$N$6,2,FALSE)=0,"Spatial Data Missing",VLOOKUP(M49,'G-3 Multipliers'!$L$3:$N$6,2,FALSE)))</f>
        <v/>
      </c>
      <c r="O49" s="505"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 ▲",IF(AND(P49='G-1 All Habitats'!$X$3,W49&gt;0),"Any Loss Unacceptable ▲",H49*J49*L49*O49))))),"Check Data ▲")</f>
        <v/>
      </c>
      <c r="R49" s="50"/>
      <c r="S49" s="71"/>
      <c r="T49" s="72"/>
      <c r="U49" s="511" t="str">
        <f t="shared" si="3"/>
        <v/>
      </c>
      <c r="V49" s="511" t="str">
        <f t="shared" si="4"/>
        <v/>
      </c>
      <c r="W49" s="511"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5"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8" t="str">
        <f>IF(G50="","",VLOOKUP(G50,'G-1 All Habitats'!$B$2:$M$129,10,FALSE))</f>
        <v/>
      </c>
      <c r="J50" s="499" t="str">
        <f>IFERROR(VLOOKUP(I50,'G-1 All Habitats'!$V$3:$W$7,2,FALSE),"")</f>
        <v/>
      </c>
      <c r="K50" s="71"/>
      <c r="L50" s="499" t="str">
        <f>IFERROR(INDEX('G-8 Condition Look up'!$A$3:$H$130,MATCH(G50,'G-8 Condition Look up'!$A$3:$A$130,0),MATCH(K50,'G-8 Condition Look up'!$A$3:$H$3,0)),"")</f>
        <v/>
      </c>
      <c r="M50" s="71"/>
      <c r="N50" s="520" t="str">
        <f>IF(M50="","",IF(VLOOKUP(M50,'G-3 Multipliers'!$L$3:$N$6,2,FALSE)=0,"Spatial Data Missing",VLOOKUP(M50,'G-3 Multipliers'!$L$3:$N$6,2,FALSE)))</f>
        <v/>
      </c>
      <c r="O50" s="505"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 ▲",IF(AND(P50='G-1 All Habitats'!$X$3,W50&gt;0),"Any Loss Unacceptable ▲",H50*J50*L50*O50))))),"Check Data ▲")</f>
        <v/>
      </c>
      <c r="R50" s="50"/>
      <c r="S50" s="71"/>
      <c r="T50" s="72"/>
      <c r="U50" s="511" t="str">
        <f t="shared" si="3"/>
        <v/>
      </c>
      <c r="V50" s="511" t="str">
        <f t="shared" si="4"/>
        <v/>
      </c>
      <c r="W50" s="511"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5"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8" t="str">
        <f>IF(G51="","",VLOOKUP(G51,'G-1 All Habitats'!$B$2:$M$129,10,FALSE))</f>
        <v/>
      </c>
      <c r="J51" s="499" t="str">
        <f>IFERROR(VLOOKUP(I51,'G-1 All Habitats'!$V$3:$W$7,2,FALSE),"")</f>
        <v/>
      </c>
      <c r="K51" s="71"/>
      <c r="L51" s="499" t="str">
        <f>IFERROR(INDEX('G-8 Condition Look up'!$A$3:$H$130,MATCH(G51,'G-8 Condition Look up'!$A$3:$A$130,0),MATCH(K51,'G-8 Condition Look up'!$A$3:$H$3,0)),"")</f>
        <v/>
      </c>
      <c r="M51" s="71"/>
      <c r="N51" s="520" t="str">
        <f>IF(M51="","",IF(VLOOKUP(M51,'G-3 Multipliers'!$L$3:$N$6,2,FALSE)=0,"Spatial Data Missing",VLOOKUP(M51,'G-3 Multipliers'!$L$3:$N$6,2,FALSE)))</f>
        <v/>
      </c>
      <c r="O51" s="505"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 ▲",IF(AND(P51='G-1 All Habitats'!$X$3,W51&gt;0),"Any Loss Unacceptable ▲",H51*J51*L51*O51))))),"Check Data ▲")</f>
        <v/>
      </c>
      <c r="R51" s="50"/>
      <c r="S51" s="71"/>
      <c r="T51" s="72"/>
      <c r="U51" s="511" t="str">
        <f t="shared" si="3"/>
        <v/>
      </c>
      <c r="V51" s="511" t="str">
        <f t="shared" si="4"/>
        <v/>
      </c>
      <c r="W51" s="511"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5"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8" t="str">
        <f>IF(G52="","",VLOOKUP(G52,'G-1 All Habitats'!$B$2:$M$129,10,FALSE))</f>
        <v/>
      </c>
      <c r="J52" s="499" t="str">
        <f>IFERROR(VLOOKUP(I52,'G-1 All Habitats'!$V$3:$W$7,2,FALSE),"")</f>
        <v/>
      </c>
      <c r="K52" s="71"/>
      <c r="L52" s="499" t="str">
        <f>IFERROR(INDEX('G-8 Condition Look up'!$A$3:$H$130,MATCH(G52,'G-8 Condition Look up'!$A$3:$A$130,0),MATCH(K52,'G-8 Condition Look up'!$A$3:$H$3,0)),"")</f>
        <v/>
      </c>
      <c r="M52" s="71"/>
      <c r="N52" s="520" t="str">
        <f>IF(M52="","",IF(VLOOKUP(M52,'G-3 Multipliers'!$L$3:$N$6,2,FALSE)=0,"Spatial Data Missing",VLOOKUP(M52,'G-3 Multipliers'!$L$3:$N$6,2,FALSE)))</f>
        <v/>
      </c>
      <c r="O52" s="505"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 ▲",IF(AND(P52='G-1 All Habitats'!$X$3,W52&gt;0),"Any Loss Unacceptable ▲",H52*J52*L52*O52))))),"Check Data ▲")</f>
        <v/>
      </c>
      <c r="R52" s="50"/>
      <c r="S52" s="71"/>
      <c r="T52" s="72"/>
      <c r="U52" s="511" t="str">
        <f t="shared" si="3"/>
        <v/>
      </c>
      <c r="V52" s="511" t="str">
        <f t="shared" si="4"/>
        <v/>
      </c>
      <c r="W52" s="511"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5"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8" t="str">
        <f>IF(G53="","",VLOOKUP(G53,'G-1 All Habitats'!$B$2:$M$129,10,FALSE))</f>
        <v/>
      </c>
      <c r="J53" s="499" t="str">
        <f>IFERROR(VLOOKUP(I53,'G-1 All Habitats'!$V$3:$W$7,2,FALSE),"")</f>
        <v/>
      </c>
      <c r="K53" s="71"/>
      <c r="L53" s="499" t="str">
        <f>IFERROR(INDEX('G-8 Condition Look up'!$A$3:$H$130,MATCH(G53,'G-8 Condition Look up'!$A$3:$A$130,0),MATCH(K53,'G-8 Condition Look up'!$A$3:$H$3,0)),"")</f>
        <v/>
      </c>
      <c r="M53" s="71"/>
      <c r="N53" s="520" t="str">
        <f>IF(M53="","",IF(VLOOKUP(M53,'G-3 Multipliers'!$L$3:$N$6,2,FALSE)=0,"Spatial Data Missing",VLOOKUP(M53,'G-3 Multipliers'!$L$3:$N$6,2,FALSE)))</f>
        <v/>
      </c>
      <c r="O53" s="505"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 ▲",IF(AND(P53='G-1 All Habitats'!$X$3,W53&gt;0),"Any Loss Unacceptable ▲",H53*J53*L53*O53))))),"Check Data ▲")</f>
        <v/>
      </c>
      <c r="R53" s="50"/>
      <c r="S53" s="71"/>
      <c r="T53" s="72"/>
      <c r="U53" s="511" t="str">
        <f t="shared" si="3"/>
        <v/>
      </c>
      <c r="V53" s="511" t="str">
        <f t="shared" si="4"/>
        <v/>
      </c>
      <c r="W53" s="511"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5"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8" t="str">
        <f>IF(G54="","",VLOOKUP(G54,'G-1 All Habitats'!$B$2:$M$129,10,FALSE))</f>
        <v/>
      </c>
      <c r="J54" s="499" t="str">
        <f>IFERROR(VLOOKUP(I54,'G-1 All Habitats'!$V$3:$W$7,2,FALSE),"")</f>
        <v/>
      </c>
      <c r="K54" s="71"/>
      <c r="L54" s="499" t="str">
        <f>IFERROR(INDEX('G-8 Condition Look up'!$A$3:$H$130,MATCH(G54,'G-8 Condition Look up'!$A$3:$A$130,0),MATCH(K54,'G-8 Condition Look up'!$A$3:$H$3,0)),"")</f>
        <v/>
      </c>
      <c r="M54" s="71"/>
      <c r="N54" s="520" t="str">
        <f>IF(M54="","",IF(VLOOKUP(M54,'G-3 Multipliers'!$L$3:$N$6,2,FALSE)=0,"Spatial Data Missing",VLOOKUP(M54,'G-3 Multipliers'!$L$3:$N$6,2,FALSE)))</f>
        <v/>
      </c>
      <c r="O54" s="505"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 ▲",IF(AND(P54='G-1 All Habitats'!$X$3,W54&gt;0),"Any Loss Unacceptable ▲",H54*J54*L54*O54))))),"Check Data ▲")</f>
        <v/>
      </c>
      <c r="R54" s="50"/>
      <c r="S54" s="71"/>
      <c r="T54" s="72"/>
      <c r="U54" s="511" t="str">
        <f t="shared" si="3"/>
        <v/>
      </c>
      <c r="V54" s="511" t="str">
        <f t="shared" si="4"/>
        <v/>
      </c>
      <c r="W54" s="511"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5"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8" t="str">
        <f>IF(G55="","",VLOOKUP(G55,'G-1 All Habitats'!$B$2:$M$129,10,FALSE))</f>
        <v/>
      </c>
      <c r="J55" s="499" t="str">
        <f>IFERROR(VLOOKUP(I55,'G-1 All Habitats'!$V$3:$W$7,2,FALSE),"")</f>
        <v/>
      </c>
      <c r="K55" s="71"/>
      <c r="L55" s="499" t="str">
        <f>IFERROR(INDEX('G-8 Condition Look up'!$A$3:$H$130,MATCH(G55,'G-8 Condition Look up'!$A$3:$A$130,0),MATCH(K55,'G-8 Condition Look up'!$A$3:$H$3,0)),"")</f>
        <v/>
      </c>
      <c r="M55" s="71"/>
      <c r="N55" s="520" t="str">
        <f>IF(M55="","",IF(VLOOKUP(M55,'G-3 Multipliers'!$L$3:$N$6,2,FALSE)=0,"Spatial Data Missing",VLOOKUP(M55,'G-3 Multipliers'!$L$3:$N$6,2,FALSE)))</f>
        <v/>
      </c>
      <c r="O55" s="505"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 ▲",IF(AND(P55='G-1 All Habitats'!$X$3,W55&gt;0),"Any Loss Unacceptable ▲",H55*J55*L55*O55))))),"Check Data ▲")</f>
        <v/>
      </c>
      <c r="R55" s="50"/>
      <c r="S55" s="71"/>
      <c r="T55" s="72"/>
      <c r="U55" s="511" t="str">
        <f t="shared" si="3"/>
        <v/>
      </c>
      <c r="V55" s="511" t="str">
        <f t="shared" si="4"/>
        <v/>
      </c>
      <c r="W55" s="511"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5"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8" t="str">
        <f>IF(G56="","",VLOOKUP(G56,'G-1 All Habitats'!$B$2:$M$129,10,FALSE))</f>
        <v/>
      </c>
      <c r="J56" s="499" t="str">
        <f>IFERROR(VLOOKUP(I56,'G-1 All Habitats'!$V$3:$W$7,2,FALSE),"")</f>
        <v/>
      </c>
      <c r="K56" s="71"/>
      <c r="L56" s="499" t="str">
        <f>IFERROR(INDEX('G-8 Condition Look up'!$A$3:$H$130,MATCH(G56,'G-8 Condition Look up'!$A$3:$A$130,0),MATCH(K56,'G-8 Condition Look up'!$A$3:$H$3,0)),"")</f>
        <v/>
      </c>
      <c r="M56" s="71"/>
      <c r="N56" s="520" t="str">
        <f>IF(M56="","",IF(VLOOKUP(M56,'G-3 Multipliers'!$L$3:$N$6,2,FALSE)=0,"Spatial Data Missing",VLOOKUP(M56,'G-3 Multipliers'!$L$3:$N$6,2,FALSE)))</f>
        <v/>
      </c>
      <c r="O56" s="505"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 ▲",IF(AND(P56='G-1 All Habitats'!$X$3,W56&gt;0),"Any Loss Unacceptable ▲",H56*J56*L56*O56))))),"Check Data ▲")</f>
        <v/>
      </c>
      <c r="R56" s="50"/>
      <c r="S56" s="71"/>
      <c r="T56" s="72"/>
      <c r="U56" s="511" t="str">
        <f t="shared" si="3"/>
        <v/>
      </c>
      <c r="V56" s="511" t="str">
        <f t="shared" si="4"/>
        <v/>
      </c>
      <c r="W56" s="511"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5"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8" t="str">
        <f>IF(G57="","",VLOOKUP(G57,'G-1 All Habitats'!$B$2:$M$129,10,FALSE))</f>
        <v/>
      </c>
      <c r="J57" s="499" t="str">
        <f>IFERROR(VLOOKUP(I57,'G-1 All Habitats'!$V$3:$W$7,2,FALSE),"")</f>
        <v/>
      </c>
      <c r="K57" s="71"/>
      <c r="L57" s="499" t="str">
        <f>IFERROR(INDEX('G-8 Condition Look up'!$A$3:$H$130,MATCH(G57,'G-8 Condition Look up'!$A$3:$A$130,0),MATCH(K57,'G-8 Condition Look up'!$A$3:$H$3,0)),"")</f>
        <v/>
      </c>
      <c r="M57" s="71"/>
      <c r="N57" s="520" t="str">
        <f>IF(M57="","",IF(VLOOKUP(M57,'G-3 Multipliers'!$L$3:$N$6,2,FALSE)=0,"Spatial Data Missing",VLOOKUP(M57,'G-3 Multipliers'!$L$3:$N$6,2,FALSE)))</f>
        <v/>
      </c>
      <c r="O57" s="505"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 ▲",IF(AND(P57='G-1 All Habitats'!$X$3,W57&gt;0),"Any Loss Unacceptable ▲",H57*J57*L57*O57))))),"Check Data ▲")</f>
        <v/>
      </c>
      <c r="R57" s="50"/>
      <c r="S57" s="71"/>
      <c r="T57" s="72"/>
      <c r="U57" s="511" t="str">
        <f t="shared" si="3"/>
        <v/>
      </c>
      <c r="V57" s="511" t="str">
        <f t="shared" si="4"/>
        <v/>
      </c>
      <c r="W57" s="511"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5"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8" t="str">
        <f>IF(G58="","",VLOOKUP(G58,'G-1 All Habitats'!$B$2:$M$129,10,FALSE))</f>
        <v/>
      </c>
      <c r="J58" s="499" t="str">
        <f>IFERROR(VLOOKUP(I58,'G-1 All Habitats'!$V$3:$W$7,2,FALSE),"")</f>
        <v/>
      </c>
      <c r="K58" s="71"/>
      <c r="L58" s="499" t="str">
        <f>IFERROR(INDEX('G-8 Condition Look up'!$A$3:$H$130,MATCH(G58,'G-8 Condition Look up'!$A$3:$A$130,0),MATCH(K58,'G-8 Condition Look up'!$A$3:$H$3,0)),"")</f>
        <v/>
      </c>
      <c r="M58" s="71"/>
      <c r="N58" s="520" t="str">
        <f>IF(M58="","",IF(VLOOKUP(M58,'G-3 Multipliers'!$L$3:$N$6,2,FALSE)=0,"Spatial Data Missing",VLOOKUP(M58,'G-3 Multipliers'!$L$3:$N$6,2,FALSE)))</f>
        <v/>
      </c>
      <c r="O58" s="505"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 ▲",IF(AND(P58='G-1 All Habitats'!$X$3,W58&gt;0),"Any Loss Unacceptable ▲",H58*J58*L58*O58))))),"Check Data ▲")</f>
        <v/>
      </c>
      <c r="R58" s="50"/>
      <c r="S58" s="71"/>
      <c r="T58" s="72"/>
      <c r="U58" s="511" t="str">
        <f t="shared" si="3"/>
        <v/>
      </c>
      <c r="V58" s="511" t="str">
        <f t="shared" si="4"/>
        <v/>
      </c>
      <c r="W58" s="511"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5"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8" t="str">
        <f>IF(G59="","",VLOOKUP(G59,'G-1 All Habitats'!$B$2:$M$129,10,FALSE))</f>
        <v/>
      </c>
      <c r="J59" s="499" t="str">
        <f>IFERROR(VLOOKUP(I59,'G-1 All Habitats'!$V$3:$W$7,2,FALSE),"")</f>
        <v/>
      </c>
      <c r="K59" s="71"/>
      <c r="L59" s="499" t="str">
        <f>IFERROR(INDEX('G-8 Condition Look up'!$A$3:$H$130,MATCH(G59,'G-8 Condition Look up'!$A$3:$A$130,0),MATCH(K59,'G-8 Condition Look up'!$A$3:$H$3,0)),"")</f>
        <v/>
      </c>
      <c r="M59" s="71"/>
      <c r="N59" s="520" t="str">
        <f>IF(M59="","",IF(VLOOKUP(M59,'G-3 Multipliers'!$L$3:$N$6,2,FALSE)=0,"Spatial Data Missing",VLOOKUP(M59,'G-3 Multipliers'!$L$3:$N$6,2,FALSE)))</f>
        <v/>
      </c>
      <c r="O59" s="505"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 ▲",IF(AND(P59='G-1 All Habitats'!$X$3,W59&gt;0),"Any Loss Unacceptable ▲",H59*J59*L59*O59))))),"Check Data ▲")</f>
        <v/>
      </c>
      <c r="R59" s="50"/>
      <c r="S59" s="71"/>
      <c r="T59" s="72"/>
      <c r="U59" s="511" t="str">
        <f t="shared" si="3"/>
        <v/>
      </c>
      <c r="V59" s="511" t="str">
        <f t="shared" si="4"/>
        <v/>
      </c>
      <c r="W59" s="511"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5"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8" t="str">
        <f>IF(G60="","",VLOOKUP(G60,'G-1 All Habitats'!$B$2:$M$129,10,FALSE))</f>
        <v/>
      </c>
      <c r="J60" s="499" t="str">
        <f>IFERROR(VLOOKUP(I60,'G-1 All Habitats'!$V$3:$W$7,2,FALSE),"")</f>
        <v/>
      </c>
      <c r="K60" s="71"/>
      <c r="L60" s="499" t="str">
        <f>IFERROR(INDEX('G-8 Condition Look up'!$A$3:$H$130,MATCH(G60,'G-8 Condition Look up'!$A$3:$A$130,0),MATCH(K60,'G-8 Condition Look up'!$A$3:$H$3,0)),"")</f>
        <v/>
      </c>
      <c r="M60" s="71"/>
      <c r="N60" s="520" t="str">
        <f>IF(M60="","",IF(VLOOKUP(M60,'G-3 Multipliers'!$L$3:$N$6,2,FALSE)=0,"Spatial Data Missing",VLOOKUP(M60,'G-3 Multipliers'!$L$3:$N$6,2,FALSE)))</f>
        <v/>
      </c>
      <c r="O60" s="505"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 ▲",IF(AND(P60='G-1 All Habitats'!$X$3,W60&gt;0),"Any Loss Unacceptable ▲",H60*J60*L60*O60))))),"Check Data ▲")</f>
        <v/>
      </c>
      <c r="R60" s="50"/>
      <c r="S60" s="71"/>
      <c r="T60" s="72"/>
      <c r="U60" s="511" t="str">
        <f t="shared" si="3"/>
        <v/>
      </c>
      <c r="V60" s="511" t="str">
        <f t="shared" si="4"/>
        <v/>
      </c>
      <c r="W60" s="511"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5"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8" t="str">
        <f>IF(G61="","",VLOOKUP(G61,'G-1 All Habitats'!$B$2:$M$129,10,FALSE))</f>
        <v/>
      </c>
      <c r="J61" s="499" t="str">
        <f>IFERROR(VLOOKUP(I61,'G-1 All Habitats'!$V$3:$W$7,2,FALSE),"")</f>
        <v/>
      </c>
      <c r="K61" s="71"/>
      <c r="L61" s="499" t="str">
        <f>IFERROR(INDEX('G-8 Condition Look up'!$A$3:$H$130,MATCH(G61,'G-8 Condition Look up'!$A$3:$A$130,0),MATCH(K61,'G-8 Condition Look up'!$A$3:$H$3,0)),"")</f>
        <v/>
      </c>
      <c r="M61" s="71"/>
      <c r="N61" s="520" t="str">
        <f>IF(M61="","",IF(VLOOKUP(M61,'G-3 Multipliers'!$L$3:$N$6,2,FALSE)=0,"Spatial Data Missing",VLOOKUP(M61,'G-3 Multipliers'!$L$3:$N$6,2,FALSE)))</f>
        <v/>
      </c>
      <c r="O61" s="505"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 ▲",IF(AND(P61='G-1 All Habitats'!$X$3,W61&gt;0),"Any Loss Unacceptable ▲",H61*J61*L61*O61))))),"Check Data ▲")</f>
        <v/>
      </c>
      <c r="R61" s="50"/>
      <c r="S61" s="71"/>
      <c r="T61" s="72"/>
      <c r="U61" s="511" t="str">
        <f t="shared" si="3"/>
        <v/>
      </c>
      <c r="V61" s="511" t="str">
        <f t="shared" si="4"/>
        <v/>
      </c>
      <c r="W61" s="511"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5"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8" t="str">
        <f>IF(G62="","",VLOOKUP(G62,'G-1 All Habitats'!$B$2:$M$129,10,FALSE))</f>
        <v/>
      </c>
      <c r="J62" s="499" t="str">
        <f>IFERROR(VLOOKUP(I62,'G-1 All Habitats'!$V$3:$W$7,2,FALSE),"")</f>
        <v/>
      </c>
      <c r="K62" s="71"/>
      <c r="L62" s="499" t="str">
        <f>IFERROR(INDEX('G-8 Condition Look up'!$A$3:$H$130,MATCH(G62,'G-8 Condition Look up'!$A$3:$A$130,0),MATCH(K62,'G-8 Condition Look up'!$A$3:$H$3,0)),"")</f>
        <v/>
      </c>
      <c r="M62" s="71"/>
      <c r="N62" s="520" t="str">
        <f>IF(M62="","",IF(VLOOKUP(M62,'G-3 Multipliers'!$L$3:$N$6,2,FALSE)=0,"Spatial Data Missing",VLOOKUP(M62,'G-3 Multipliers'!$L$3:$N$6,2,FALSE)))</f>
        <v/>
      </c>
      <c r="O62" s="505"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 ▲",IF(AND(P62='G-1 All Habitats'!$X$3,W62&gt;0),"Any Loss Unacceptable ▲",H62*J62*L62*O62))))),"Check Data ▲")</f>
        <v/>
      </c>
      <c r="R62" s="50"/>
      <c r="S62" s="71"/>
      <c r="T62" s="72"/>
      <c r="U62" s="511" t="str">
        <f t="shared" si="3"/>
        <v/>
      </c>
      <c r="V62" s="511" t="str">
        <f t="shared" si="4"/>
        <v/>
      </c>
      <c r="W62" s="511"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5"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8" t="str">
        <f>IF(G63="","",VLOOKUP(G63,'G-1 All Habitats'!$B$2:$M$129,10,FALSE))</f>
        <v/>
      </c>
      <c r="J63" s="499" t="str">
        <f>IFERROR(VLOOKUP(I63,'G-1 All Habitats'!$V$3:$W$7,2,FALSE),"")</f>
        <v/>
      </c>
      <c r="K63" s="71"/>
      <c r="L63" s="499" t="str">
        <f>IFERROR(INDEX('G-8 Condition Look up'!$A$3:$H$130,MATCH(G63,'G-8 Condition Look up'!$A$3:$A$130,0),MATCH(K63,'G-8 Condition Look up'!$A$3:$H$3,0)),"")</f>
        <v/>
      </c>
      <c r="M63" s="71"/>
      <c r="N63" s="520" t="str">
        <f>IF(M63="","",IF(VLOOKUP(M63,'G-3 Multipliers'!$L$3:$N$6,2,FALSE)=0,"Spatial Data Missing",VLOOKUP(M63,'G-3 Multipliers'!$L$3:$N$6,2,FALSE)))</f>
        <v/>
      </c>
      <c r="O63" s="505"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 ▲",IF(AND(P63='G-1 All Habitats'!$X$3,W63&gt;0),"Any Loss Unacceptable ▲",H63*J63*L63*O63))))),"Check Data ▲")</f>
        <v/>
      </c>
      <c r="R63" s="50"/>
      <c r="S63" s="71"/>
      <c r="T63" s="72"/>
      <c r="U63" s="511" t="str">
        <f t="shared" si="3"/>
        <v/>
      </c>
      <c r="V63" s="511" t="str">
        <f t="shared" si="4"/>
        <v/>
      </c>
      <c r="W63" s="511"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5"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8" t="str">
        <f>IF(G64="","",VLOOKUP(G64,'G-1 All Habitats'!$B$2:$M$129,10,FALSE))</f>
        <v/>
      </c>
      <c r="J64" s="499" t="str">
        <f>IFERROR(VLOOKUP(I64,'G-1 All Habitats'!$V$3:$W$7,2,FALSE),"")</f>
        <v/>
      </c>
      <c r="K64" s="71"/>
      <c r="L64" s="499" t="str">
        <f>IFERROR(INDEX('G-8 Condition Look up'!$A$3:$H$130,MATCH(G64,'G-8 Condition Look up'!$A$3:$A$130,0),MATCH(K64,'G-8 Condition Look up'!$A$3:$H$3,0)),"")</f>
        <v/>
      </c>
      <c r="M64" s="71"/>
      <c r="N64" s="520" t="str">
        <f>IF(M64="","",IF(VLOOKUP(M64,'G-3 Multipliers'!$L$3:$N$6,2,FALSE)=0,"Spatial Data Missing",VLOOKUP(M64,'G-3 Multipliers'!$L$3:$N$6,2,FALSE)))</f>
        <v/>
      </c>
      <c r="O64" s="505"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 ▲",IF(AND(P64='G-1 All Habitats'!$X$3,W64&gt;0),"Any Loss Unacceptable ▲",H64*J64*L64*O64))))),"Check Data ▲")</f>
        <v/>
      </c>
      <c r="R64" s="50"/>
      <c r="S64" s="71"/>
      <c r="T64" s="72"/>
      <c r="U64" s="511" t="str">
        <f t="shared" si="3"/>
        <v/>
      </c>
      <c r="V64" s="511" t="str">
        <f t="shared" si="4"/>
        <v/>
      </c>
      <c r="W64" s="511"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5"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8" t="str">
        <f>IF(G65="","",VLOOKUP(G65,'G-1 All Habitats'!$B$2:$M$129,10,FALSE))</f>
        <v/>
      </c>
      <c r="J65" s="499" t="str">
        <f>IFERROR(VLOOKUP(I65,'G-1 All Habitats'!$V$3:$W$7,2,FALSE),"")</f>
        <v/>
      </c>
      <c r="K65" s="71"/>
      <c r="L65" s="499" t="str">
        <f>IFERROR(INDEX('G-8 Condition Look up'!$A$3:$H$130,MATCH(G65,'G-8 Condition Look up'!$A$3:$A$130,0),MATCH(K65,'G-8 Condition Look up'!$A$3:$H$3,0)),"")</f>
        <v/>
      </c>
      <c r="M65" s="71"/>
      <c r="N65" s="520" t="str">
        <f>IF(M65="","",IF(VLOOKUP(M65,'G-3 Multipliers'!$L$3:$N$6,2,FALSE)=0,"Spatial Data Missing",VLOOKUP(M65,'G-3 Multipliers'!$L$3:$N$6,2,FALSE)))</f>
        <v/>
      </c>
      <c r="O65" s="505"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 ▲",IF(AND(P65='G-1 All Habitats'!$X$3,W65&gt;0),"Any Loss Unacceptable ▲",H65*J65*L65*O65))))),"Check Data ▲")</f>
        <v/>
      </c>
      <c r="R65" s="50"/>
      <c r="S65" s="71"/>
      <c r="T65" s="72"/>
      <c r="U65" s="511" t="str">
        <f t="shared" si="3"/>
        <v/>
      </c>
      <c r="V65" s="511" t="str">
        <f t="shared" si="4"/>
        <v/>
      </c>
      <c r="W65" s="511"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5"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8" t="str">
        <f>IF(G66="","",VLOOKUP(G66,'G-1 All Habitats'!$B$2:$M$129,10,FALSE))</f>
        <v/>
      </c>
      <c r="J66" s="499" t="str">
        <f>IFERROR(VLOOKUP(I66,'G-1 All Habitats'!$V$3:$W$7,2,FALSE),"")</f>
        <v/>
      </c>
      <c r="K66" s="71"/>
      <c r="L66" s="499" t="str">
        <f>IFERROR(INDEX('G-8 Condition Look up'!$A$3:$H$130,MATCH(G66,'G-8 Condition Look up'!$A$3:$A$130,0),MATCH(K66,'G-8 Condition Look up'!$A$3:$H$3,0)),"")</f>
        <v/>
      </c>
      <c r="M66" s="71"/>
      <c r="N66" s="520" t="str">
        <f>IF(M66="","",IF(VLOOKUP(M66,'G-3 Multipliers'!$L$3:$N$6,2,FALSE)=0,"Spatial Data Missing",VLOOKUP(M66,'G-3 Multipliers'!$L$3:$N$6,2,FALSE)))</f>
        <v/>
      </c>
      <c r="O66" s="505"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 ▲",IF(AND(P66='G-1 All Habitats'!$X$3,W66&gt;0),"Any Loss Unacceptable ▲",H66*J66*L66*O66))))),"Check Data ▲")</f>
        <v/>
      </c>
      <c r="R66" s="50"/>
      <c r="S66" s="71"/>
      <c r="T66" s="72"/>
      <c r="U66" s="511" t="str">
        <f t="shared" si="3"/>
        <v/>
      </c>
      <c r="V66" s="511" t="str">
        <f t="shared" si="4"/>
        <v/>
      </c>
      <c r="W66" s="511"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5"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8" t="str">
        <f>IF(G67="","",VLOOKUP(G67,'G-1 All Habitats'!$B$2:$M$129,10,FALSE))</f>
        <v/>
      </c>
      <c r="J67" s="499" t="str">
        <f>IFERROR(VLOOKUP(I67,'G-1 All Habitats'!$V$3:$W$7,2,FALSE),"")</f>
        <v/>
      </c>
      <c r="K67" s="71"/>
      <c r="L67" s="499" t="str">
        <f>IFERROR(INDEX('G-8 Condition Look up'!$A$3:$H$130,MATCH(G67,'G-8 Condition Look up'!$A$3:$A$130,0),MATCH(K67,'G-8 Condition Look up'!$A$3:$H$3,0)),"")</f>
        <v/>
      </c>
      <c r="M67" s="71"/>
      <c r="N67" s="520" t="str">
        <f>IF(M67="","",IF(VLOOKUP(M67,'G-3 Multipliers'!$L$3:$N$6,2,FALSE)=0,"Spatial Data Missing",VLOOKUP(M67,'G-3 Multipliers'!$L$3:$N$6,2,FALSE)))</f>
        <v/>
      </c>
      <c r="O67" s="505"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 ▲",IF(AND(P67='G-1 All Habitats'!$X$3,W67&gt;0),"Any Loss Unacceptable ▲",H67*J67*L67*O67))))),"Check Data ▲")</f>
        <v/>
      </c>
      <c r="R67" s="50"/>
      <c r="S67" s="71"/>
      <c r="T67" s="72"/>
      <c r="U67" s="511" t="str">
        <f t="shared" si="3"/>
        <v/>
      </c>
      <c r="V67" s="511" t="str">
        <f t="shared" si="4"/>
        <v/>
      </c>
      <c r="W67" s="511"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5"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8" t="str">
        <f>IF(G68="","",VLOOKUP(G68,'G-1 All Habitats'!$B$2:$M$129,10,FALSE))</f>
        <v/>
      </c>
      <c r="J68" s="499" t="str">
        <f>IFERROR(VLOOKUP(I68,'G-1 All Habitats'!$V$3:$W$7,2,FALSE),"")</f>
        <v/>
      </c>
      <c r="K68" s="71"/>
      <c r="L68" s="499" t="str">
        <f>IFERROR(INDEX('G-8 Condition Look up'!$A$3:$H$130,MATCH(G68,'G-8 Condition Look up'!$A$3:$A$130,0),MATCH(K68,'G-8 Condition Look up'!$A$3:$H$3,0)),"")</f>
        <v/>
      </c>
      <c r="M68" s="71"/>
      <c r="N68" s="520" t="str">
        <f>IF(M68="","",IF(VLOOKUP(M68,'G-3 Multipliers'!$L$3:$N$6,2,FALSE)=0,"Spatial Data Missing",VLOOKUP(M68,'G-3 Multipliers'!$L$3:$N$6,2,FALSE)))</f>
        <v/>
      </c>
      <c r="O68" s="505"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 ▲",IF(AND(P68='G-1 All Habitats'!$X$3,W68&gt;0),"Any Loss Unacceptable ▲",H68*J68*L68*O68))))),"Check Data ▲")</f>
        <v/>
      </c>
      <c r="R68" s="50"/>
      <c r="S68" s="71"/>
      <c r="T68" s="72"/>
      <c r="U68" s="511" t="str">
        <f t="shared" si="3"/>
        <v/>
      </c>
      <c r="V68" s="511" t="str">
        <f t="shared" si="4"/>
        <v/>
      </c>
      <c r="W68" s="511"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5"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8" t="str">
        <f>IF(G69="","",VLOOKUP(G69,'G-1 All Habitats'!$B$2:$M$129,10,FALSE))</f>
        <v/>
      </c>
      <c r="J69" s="499" t="str">
        <f>IFERROR(VLOOKUP(I69,'G-1 All Habitats'!$V$3:$W$7,2,FALSE),"")</f>
        <v/>
      </c>
      <c r="K69" s="71"/>
      <c r="L69" s="499" t="str">
        <f>IFERROR(INDEX('G-8 Condition Look up'!$A$3:$H$130,MATCH(G69,'G-8 Condition Look up'!$A$3:$A$130,0),MATCH(K69,'G-8 Condition Look up'!$A$3:$H$3,0)),"")</f>
        <v/>
      </c>
      <c r="M69" s="71"/>
      <c r="N69" s="520" t="str">
        <f>IF(M69="","",IF(VLOOKUP(M69,'G-3 Multipliers'!$L$3:$N$6,2,FALSE)=0,"Spatial Data Missing",VLOOKUP(M69,'G-3 Multipliers'!$L$3:$N$6,2,FALSE)))</f>
        <v/>
      </c>
      <c r="O69" s="505"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 ▲",IF(AND(P69='G-1 All Habitats'!$X$3,W69&gt;0),"Any Loss Unacceptable ▲",H69*J69*L69*O69))))),"Check Data ▲")</f>
        <v/>
      </c>
      <c r="R69" s="50"/>
      <c r="S69" s="71"/>
      <c r="T69" s="72"/>
      <c r="U69" s="511" t="str">
        <f t="shared" si="3"/>
        <v/>
      </c>
      <c r="V69" s="511" t="str">
        <f t="shared" si="4"/>
        <v/>
      </c>
      <c r="W69" s="511"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5"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8" t="str">
        <f>IF(G70="","",VLOOKUP(G70,'G-1 All Habitats'!$B$2:$M$129,10,FALSE))</f>
        <v/>
      </c>
      <c r="J70" s="499" t="str">
        <f>IFERROR(VLOOKUP(I70,'G-1 All Habitats'!$V$3:$W$7,2,FALSE),"")</f>
        <v/>
      </c>
      <c r="K70" s="71"/>
      <c r="L70" s="499" t="str">
        <f>IFERROR(INDEX('G-8 Condition Look up'!$A$3:$H$130,MATCH(G70,'G-8 Condition Look up'!$A$3:$A$130,0),MATCH(K70,'G-8 Condition Look up'!$A$3:$H$3,0)),"")</f>
        <v/>
      </c>
      <c r="M70" s="71"/>
      <c r="N70" s="520" t="str">
        <f>IF(M70="","",IF(VLOOKUP(M70,'G-3 Multipliers'!$L$3:$N$6,2,FALSE)=0,"Spatial Data Missing",VLOOKUP(M70,'G-3 Multipliers'!$L$3:$N$6,2,FALSE)))</f>
        <v/>
      </c>
      <c r="O70" s="505"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 ▲",IF(AND(P70='G-1 All Habitats'!$X$3,W70&gt;0),"Any Loss Unacceptable ▲",H70*J70*L70*O70))))),"Check Data ▲")</f>
        <v/>
      </c>
      <c r="R70" s="50"/>
      <c r="S70" s="71"/>
      <c r="T70" s="72"/>
      <c r="U70" s="511" t="str">
        <f t="shared" si="3"/>
        <v/>
      </c>
      <c r="V70" s="511" t="str">
        <f t="shared" si="4"/>
        <v/>
      </c>
      <c r="W70" s="511"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5"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8" t="str">
        <f>IF(G71="","",VLOOKUP(G71,'G-1 All Habitats'!$B$2:$M$129,10,FALSE))</f>
        <v/>
      </c>
      <c r="J71" s="499" t="str">
        <f>IFERROR(VLOOKUP(I71,'G-1 All Habitats'!$V$3:$W$7,2,FALSE),"")</f>
        <v/>
      </c>
      <c r="K71" s="71"/>
      <c r="L71" s="499" t="str">
        <f>IFERROR(INDEX('G-8 Condition Look up'!$A$3:$H$130,MATCH(G71,'G-8 Condition Look up'!$A$3:$A$130,0),MATCH(K71,'G-8 Condition Look up'!$A$3:$H$3,0)),"")</f>
        <v/>
      </c>
      <c r="M71" s="71"/>
      <c r="N71" s="520" t="str">
        <f>IF(M71="","",IF(VLOOKUP(M71,'G-3 Multipliers'!$L$3:$N$6,2,FALSE)=0,"Spatial Data Missing",VLOOKUP(M71,'G-3 Multipliers'!$L$3:$N$6,2,FALSE)))</f>
        <v/>
      </c>
      <c r="O71" s="505"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 ▲",IF(AND(P71='G-1 All Habitats'!$X$3,W71&gt;0),"Any Loss Unacceptable ▲",H71*J71*L71*O71))))),"Check Data ▲")</f>
        <v/>
      </c>
      <c r="R71" s="50"/>
      <c r="S71" s="71"/>
      <c r="T71" s="72"/>
      <c r="U71" s="511" t="str">
        <f t="shared" si="3"/>
        <v/>
      </c>
      <c r="V71" s="511" t="str">
        <f t="shared" si="4"/>
        <v/>
      </c>
      <c r="W71" s="511"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5"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8" t="str">
        <f>IF(G72="","",VLOOKUP(G72,'G-1 All Habitats'!$B$2:$M$129,10,FALSE))</f>
        <v/>
      </c>
      <c r="J72" s="499" t="str">
        <f>IFERROR(VLOOKUP(I72,'G-1 All Habitats'!$V$3:$W$7,2,FALSE),"")</f>
        <v/>
      </c>
      <c r="K72" s="71"/>
      <c r="L72" s="499" t="str">
        <f>IFERROR(INDEX('G-8 Condition Look up'!$A$3:$H$130,MATCH(G72,'G-8 Condition Look up'!$A$3:$A$130,0),MATCH(K72,'G-8 Condition Look up'!$A$3:$H$3,0)),"")</f>
        <v/>
      </c>
      <c r="M72" s="71"/>
      <c r="N72" s="520" t="str">
        <f>IF(M72="","",IF(VLOOKUP(M72,'G-3 Multipliers'!$L$3:$N$6,2,FALSE)=0,"Spatial Data Missing",VLOOKUP(M72,'G-3 Multipliers'!$L$3:$N$6,2,FALSE)))</f>
        <v/>
      </c>
      <c r="O72" s="505"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 ▲",IF(AND(P72='G-1 All Habitats'!$X$3,W72&gt;0),"Any Loss Unacceptable ▲",H72*J72*L72*O72))))),"Check Data ▲")</f>
        <v/>
      </c>
      <c r="R72" s="50"/>
      <c r="S72" s="71"/>
      <c r="T72" s="72"/>
      <c r="U72" s="511" t="str">
        <f t="shared" si="3"/>
        <v/>
      </c>
      <c r="V72" s="511" t="str">
        <f t="shared" si="4"/>
        <v/>
      </c>
      <c r="W72" s="511"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5"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8" t="str">
        <f>IF(G73="","",VLOOKUP(G73,'G-1 All Habitats'!$B$2:$M$129,10,FALSE))</f>
        <v/>
      </c>
      <c r="J73" s="499" t="str">
        <f>IFERROR(VLOOKUP(I73,'G-1 All Habitats'!$V$3:$W$7,2,FALSE),"")</f>
        <v/>
      </c>
      <c r="K73" s="71"/>
      <c r="L73" s="499" t="str">
        <f>IFERROR(INDEX('G-8 Condition Look up'!$A$3:$H$130,MATCH(G73,'G-8 Condition Look up'!$A$3:$A$130,0),MATCH(K73,'G-8 Condition Look up'!$A$3:$H$3,0)),"")</f>
        <v/>
      </c>
      <c r="M73" s="71"/>
      <c r="N73" s="520" t="str">
        <f>IF(M73="","",IF(VLOOKUP(M73,'G-3 Multipliers'!$L$3:$N$6,2,FALSE)=0,"Spatial Data Missing",VLOOKUP(M73,'G-3 Multipliers'!$L$3:$N$6,2,FALSE)))</f>
        <v/>
      </c>
      <c r="O73" s="505"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 ▲",IF(AND(P73='G-1 All Habitats'!$X$3,W73&gt;0),"Any Loss Unacceptable ▲",H73*J73*L73*O73))))),"Check Data ▲")</f>
        <v/>
      </c>
      <c r="R73" s="50"/>
      <c r="S73" s="71"/>
      <c r="T73" s="72"/>
      <c r="U73" s="511" t="str">
        <f t="shared" si="3"/>
        <v/>
      </c>
      <c r="V73" s="511" t="str">
        <f t="shared" si="4"/>
        <v/>
      </c>
      <c r="W73" s="511"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5"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8" t="str">
        <f>IF(G74="","",VLOOKUP(G74,'G-1 All Habitats'!$B$2:$M$129,10,FALSE))</f>
        <v/>
      </c>
      <c r="J74" s="499" t="str">
        <f>IFERROR(VLOOKUP(I74,'G-1 All Habitats'!$V$3:$W$7,2,FALSE),"")</f>
        <v/>
      </c>
      <c r="K74" s="71"/>
      <c r="L74" s="499" t="str">
        <f>IFERROR(INDEX('G-8 Condition Look up'!$A$3:$H$130,MATCH(G74,'G-8 Condition Look up'!$A$3:$A$130,0),MATCH(K74,'G-8 Condition Look up'!$A$3:$H$3,0)),"")</f>
        <v/>
      </c>
      <c r="M74" s="71"/>
      <c r="N74" s="520" t="str">
        <f>IF(M74="","",IF(VLOOKUP(M74,'G-3 Multipliers'!$L$3:$N$6,2,FALSE)=0,"Spatial Data Missing",VLOOKUP(M74,'G-3 Multipliers'!$L$3:$N$6,2,FALSE)))</f>
        <v/>
      </c>
      <c r="O74" s="505"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 ▲",IF(AND(P74='G-1 All Habitats'!$X$3,W74&gt;0),"Any Loss Unacceptable ▲",H74*J74*L74*O74))))),"Check Data ▲")</f>
        <v/>
      </c>
      <c r="R74" s="50"/>
      <c r="S74" s="71"/>
      <c r="T74" s="72"/>
      <c r="U74" s="511" t="str">
        <f t="shared" si="3"/>
        <v/>
      </c>
      <c r="V74" s="511" t="str">
        <f t="shared" si="4"/>
        <v/>
      </c>
      <c r="W74" s="511"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5"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8" t="str">
        <f>IF(G75="","",VLOOKUP(G75,'G-1 All Habitats'!$B$2:$M$129,10,FALSE))</f>
        <v/>
      </c>
      <c r="J75" s="499" t="str">
        <f>IFERROR(VLOOKUP(I75,'G-1 All Habitats'!$V$3:$W$7,2,FALSE),"")</f>
        <v/>
      </c>
      <c r="K75" s="71"/>
      <c r="L75" s="499" t="str">
        <f>IFERROR(INDEX('G-8 Condition Look up'!$A$3:$H$130,MATCH(G75,'G-8 Condition Look up'!$A$3:$A$130,0),MATCH(K75,'G-8 Condition Look up'!$A$3:$H$3,0)),"")</f>
        <v/>
      </c>
      <c r="M75" s="71"/>
      <c r="N75" s="520" t="str">
        <f>IF(M75="","",IF(VLOOKUP(M75,'G-3 Multipliers'!$L$3:$N$6,2,FALSE)=0,"Spatial Data Missing",VLOOKUP(M75,'G-3 Multipliers'!$L$3:$N$6,2,FALSE)))</f>
        <v/>
      </c>
      <c r="O75" s="505"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 ▲",IF(AND(P75='G-1 All Habitats'!$X$3,W75&gt;0),"Any Loss Unacceptable ▲",H75*J75*L75*O75))))),"Check Data ▲")</f>
        <v/>
      </c>
      <c r="R75" s="50"/>
      <c r="S75" s="71"/>
      <c r="T75" s="72"/>
      <c r="U75" s="511" t="str">
        <f t="shared" si="3"/>
        <v/>
      </c>
      <c r="V75" s="511" t="str">
        <f t="shared" si="4"/>
        <v/>
      </c>
      <c r="W75" s="511"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5"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8" t="str">
        <f>IF(G76="","",VLOOKUP(G76,'G-1 All Habitats'!$B$2:$M$129,10,FALSE))</f>
        <v/>
      </c>
      <c r="J76" s="499" t="str">
        <f>IFERROR(VLOOKUP(I76,'G-1 All Habitats'!$V$3:$W$7,2,FALSE),"")</f>
        <v/>
      </c>
      <c r="K76" s="71"/>
      <c r="L76" s="499" t="str">
        <f>IFERROR(INDEX('G-8 Condition Look up'!$A$3:$H$130,MATCH(G76,'G-8 Condition Look up'!$A$3:$A$130,0),MATCH(K76,'G-8 Condition Look up'!$A$3:$H$3,0)),"")</f>
        <v/>
      </c>
      <c r="M76" s="71"/>
      <c r="N76" s="520" t="str">
        <f>IF(M76="","",IF(VLOOKUP(M76,'G-3 Multipliers'!$L$3:$N$6,2,FALSE)=0,"Spatial Data Missing",VLOOKUP(M76,'G-3 Multipliers'!$L$3:$N$6,2,FALSE)))</f>
        <v/>
      </c>
      <c r="O76" s="505"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 ▲",IF(AND(P76='G-1 All Habitats'!$X$3,W76&gt;0),"Any Loss Unacceptable ▲",H76*J76*L76*O76))))),"Check Data ▲")</f>
        <v/>
      </c>
      <c r="R76" s="50"/>
      <c r="S76" s="71"/>
      <c r="T76" s="72"/>
      <c r="U76" s="511" t="str">
        <f t="shared" si="3"/>
        <v/>
      </c>
      <c r="V76" s="511" t="str">
        <f t="shared" si="4"/>
        <v/>
      </c>
      <c r="W76" s="511"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5"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8" t="str">
        <f>IF(G77="","",VLOOKUP(G77,'G-1 All Habitats'!$B$2:$M$129,10,FALSE))</f>
        <v/>
      </c>
      <c r="J77" s="499" t="str">
        <f>IFERROR(VLOOKUP(I77,'G-1 All Habitats'!$V$3:$W$7,2,FALSE),"")</f>
        <v/>
      </c>
      <c r="K77" s="71"/>
      <c r="L77" s="499" t="str">
        <f>IFERROR(INDEX('G-8 Condition Look up'!$A$3:$H$130,MATCH(G77,'G-8 Condition Look up'!$A$3:$A$130,0),MATCH(K77,'G-8 Condition Look up'!$A$3:$H$3,0)),"")</f>
        <v/>
      </c>
      <c r="M77" s="71"/>
      <c r="N77" s="520" t="str">
        <f>IF(M77="","",IF(VLOOKUP(M77,'G-3 Multipliers'!$L$3:$N$6,2,FALSE)=0,"Spatial Data Missing",VLOOKUP(M77,'G-3 Multipliers'!$L$3:$N$6,2,FALSE)))</f>
        <v/>
      </c>
      <c r="O77" s="505"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 ▲",IF(AND(P77='G-1 All Habitats'!$X$3,W77&gt;0),"Any Loss Unacceptable ▲",H77*J77*L77*O77))))),"Check Data ▲")</f>
        <v/>
      </c>
      <c r="R77" s="50"/>
      <c r="S77" s="71"/>
      <c r="T77" s="72"/>
      <c r="U77" s="511" t="str">
        <f t="shared" ref="U77:U140" si="8">IFERROR(S77*J77*L77*O77,"")</f>
        <v/>
      </c>
      <c r="V77" s="511" t="str">
        <f t="shared" ref="V77:V140" si="9">IFERROR(T77*J77*L77*O77,"")</f>
        <v/>
      </c>
      <c r="W77" s="511"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5"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8" t="str">
        <f>IF(G78="","",VLOOKUP(G78,'G-1 All Habitats'!$B$2:$M$129,10,FALSE))</f>
        <v/>
      </c>
      <c r="J78" s="499" t="str">
        <f>IFERROR(VLOOKUP(I78,'G-1 All Habitats'!$V$3:$W$7,2,FALSE),"")</f>
        <v/>
      </c>
      <c r="K78" s="71"/>
      <c r="L78" s="499" t="str">
        <f>IFERROR(INDEX('G-8 Condition Look up'!$A$3:$H$130,MATCH(G78,'G-8 Condition Look up'!$A$3:$A$130,0),MATCH(K78,'G-8 Condition Look up'!$A$3:$H$3,0)),"")</f>
        <v/>
      </c>
      <c r="M78" s="71"/>
      <c r="N78" s="520" t="str">
        <f>IF(M78="","",IF(VLOOKUP(M78,'G-3 Multipliers'!$L$3:$N$6,2,FALSE)=0,"Spatial Data Missing",VLOOKUP(M78,'G-3 Multipliers'!$L$3:$N$6,2,FALSE)))</f>
        <v/>
      </c>
      <c r="O78" s="505"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 ▲",IF(AND(P78='G-1 All Habitats'!$X$3,W78&gt;0),"Any Loss Unacceptable ▲",H78*J78*L78*O78))))),"Check Data ▲")</f>
        <v/>
      </c>
      <c r="R78" s="50"/>
      <c r="S78" s="71"/>
      <c r="T78" s="72"/>
      <c r="U78" s="511" t="str">
        <f t="shared" si="8"/>
        <v/>
      </c>
      <c r="V78" s="511" t="str">
        <f t="shared" si="9"/>
        <v/>
      </c>
      <c r="W78" s="511"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5"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8" t="str">
        <f>IF(G79="","",VLOOKUP(G79,'G-1 All Habitats'!$B$2:$M$129,10,FALSE))</f>
        <v/>
      </c>
      <c r="J79" s="499" t="str">
        <f>IFERROR(VLOOKUP(I79,'G-1 All Habitats'!$V$3:$W$7,2,FALSE),"")</f>
        <v/>
      </c>
      <c r="K79" s="71"/>
      <c r="L79" s="499" t="str">
        <f>IFERROR(INDEX('G-8 Condition Look up'!$A$3:$H$130,MATCH(G79,'G-8 Condition Look up'!$A$3:$A$130,0),MATCH(K79,'G-8 Condition Look up'!$A$3:$H$3,0)),"")</f>
        <v/>
      </c>
      <c r="M79" s="71"/>
      <c r="N79" s="520" t="str">
        <f>IF(M79="","",IF(VLOOKUP(M79,'G-3 Multipliers'!$L$3:$N$6,2,FALSE)=0,"Spatial Data Missing",VLOOKUP(M79,'G-3 Multipliers'!$L$3:$N$6,2,FALSE)))</f>
        <v/>
      </c>
      <c r="O79" s="505"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 ▲",IF(AND(P79='G-1 All Habitats'!$X$3,W79&gt;0),"Any Loss Unacceptable ▲",H79*J79*L79*O79))))),"Check Data ▲")</f>
        <v/>
      </c>
      <c r="R79" s="50"/>
      <c r="S79" s="71"/>
      <c r="T79" s="72"/>
      <c r="U79" s="511" t="str">
        <f t="shared" si="8"/>
        <v/>
      </c>
      <c r="V79" s="511" t="str">
        <f t="shared" si="9"/>
        <v/>
      </c>
      <c r="W79" s="511"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5"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8" t="str">
        <f>IF(G80="","",VLOOKUP(G80,'G-1 All Habitats'!$B$2:$M$129,10,FALSE))</f>
        <v/>
      </c>
      <c r="J80" s="499" t="str">
        <f>IFERROR(VLOOKUP(I80,'G-1 All Habitats'!$V$3:$W$7,2,FALSE),"")</f>
        <v/>
      </c>
      <c r="K80" s="71"/>
      <c r="L80" s="499" t="str">
        <f>IFERROR(INDEX('G-8 Condition Look up'!$A$3:$H$130,MATCH(G80,'G-8 Condition Look up'!$A$3:$A$130,0),MATCH(K80,'G-8 Condition Look up'!$A$3:$H$3,0)),"")</f>
        <v/>
      </c>
      <c r="M80" s="71"/>
      <c r="N80" s="520" t="str">
        <f>IF(M80="","",IF(VLOOKUP(M80,'G-3 Multipliers'!$L$3:$N$6,2,FALSE)=0,"Spatial Data Missing",VLOOKUP(M80,'G-3 Multipliers'!$L$3:$N$6,2,FALSE)))</f>
        <v/>
      </c>
      <c r="O80" s="505"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 ▲",IF(AND(P80='G-1 All Habitats'!$X$3,W80&gt;0),"Any Loss Unacceptable ▲",H80*J80*L80*O80))))),"Check Data ▲")</f>
        <v/>
      </c>
      <c r="R80" s="50"/>
      <c r="S80" s="71"/>
      <c r="T80" s="72"/>
      <c r="U80" s="511" t="str">
        <f t="shared" si="8"/>
        <v/>
      </c>
      <c r="V80" s="511" t="str">
        <f t="shared" si="9"/>
        <v/>
      </c>
      <c r="W80" s="511"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5"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8" t="str">
        <f>IF(G81="","",VLOOKUP(G81,'G-1 All Habitats'!$B$2:$M$129,10,FALSE))</f>
        <v/>
      </c>
      <c r="J81" s="499" t="str">
        <f>IFERROR(VLOOKUP(I81,'G-1 All Habitats'!$V$3:$W$7,2,FALSE),"")</f>
        <v/>
      </c>
      <c r="K81" s="71"/>
      <c r="L81" s="499" t="str">
        <f>IFERROR(INDEX('G-8 Condition Look up'!$A$3:$H$130,MATCH(G81,'G-8 Condition Look up'!$A$3:$A$130,0),MATCH(K81,'G-8 Condition Look up'!$A$3:$H$3,0)),"")</f>
        <v/>
      </c>
      <c r="M81" s="71"/>
      <c r="N81" s="520" t="str">
        <f>IF(M81="","",IF(VLOOKUP(M81,'G-3 Multipliers'!$L$3:$N$6,2,FALSE)=0,"Spatial Data Missing",VLOOKUP(M81,'G-3 Multipliers'!$L$3:$N$6,2,FALSE)))</f>
        <v/>
      </c>
      <c r="O81" s="505"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 ▲",IF(AND(P81='G-1 All Habitats'!$X$3,W81&gt;0),"Any Loss Unacceptable ▲",H81*J81*L81*O81))))),"Check Data ▲")</f>
        <v/>
      </c>
      <c r="R81" s="50"/>
      <c r="S81" s="71"/>
      <c r="T81" s="72"/>
      <c r="U81" s="511" t="str">
        <f t="shared" si="8"/>
        <v/>
      </c>
      <c r="V81" s="511" t="str">
        <f t="shared" si="9"/>
        <v/>
      </c>
      <c r="W81" s="511"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5"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8" t="str">
        <f>IF(G82="","",VLOOKUP(G82,'G-1 All Habitats'!$B$2:$M$129,10,FALSE))</f>
        <v/>
      </c>
      <c r="J82" s="499" t="str">
        <f>IFERROR(VLOOKUP(I82,'G-1 All Habitats'!$V$3:$W$7,2,FALSE),"")</f>
        <v/>
      </c>
      <c r="K82" s="71"/>
      <c r="L82" s="499" t="str">
        <f>IFERROR(INDEX('G-8 Condition Look up'!$A$3:$H$130,MATCH(G82,'G-8 Condition Look up'!$A$3:$A$130,0),MATCH(K82,'G-8 Condition Look up'!$A$3:$H$3,0)),"")</f>
        <v/>
      </c>
      <c r="M82" s="71"/>
      <c r="N82" s="520" t="str">
        <f>IF(M82="","",IF(VLOOKUP(M82,'G-3 Multipliers'!$L$3:$N$6,2,FALSE)=0,"Spatial Data Missing",VLOOKUP(M82,'G-3 Multipliers'!$L$3:$N$6,2,FALSE)))</f>
        <v/>
      </c>
      <c r="O82" s="505"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 ▲",IF(AND(P82='G-1 All Habitats'!$X$3,W82&gt;0),"Any Loss Unacceptable ▲",H82*J82*L82*O82))))),"Check Data ▲")</f>
        <v/>
      </c>
      <c r="R82" s="50"/>
      <c r="S82" s="71"/>
      <c r="T82" s="72"/>
      <c r="U82" s="511" t="str">
        <f t="shared" si="8"/>
        <v/>
      </c>
      <c r="V82" s="511" t="str">
        <f t="shared" si="9"/>
        <v/>
      </c>
      <c r="W82" s="511"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5"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8" t="str">
        <f>IF(G83="","",VLOOKUP(G83,'G-1 All Habitats'!$B$2:$M$129,10,FALSE))</f>
        <v/>
      </c>
      <c r="J83" s="499" t="str">
        <f>IFERROR(VLOOKUP(I83,'G-1 All Habitats'!$V$3:$W$7,2,FALSE),"")</f>
        <v/>
      </c>
      <c r="K83" s="71"/>
      <c r="L83" s="499" t="str">
        <f>IFERROR(INDEX('G-8 Condition Look up'!$A$3:$H$130,MATCH(G83,'G-8 Condition Look up'!$A$3:$A$130,0),MATCH(K83,'G-8 Condition Look up'!$A$3:$H$3,0)),"")</f>
        <v/>
      </c>
      <c r="M83" s="71"/>
      <c r="N83" s="520" t="str">
        <f>IF(M83="","",IF(VLOOKUP(M83,'G-3 Multipliers'!$L$3:$N$6,2,FALSE)=0,"Spatial Data Missing",VLOOKUP(M83,'G-3 Multipliers'!$L$3:$N$6,2,FALSE)))</f>
        <v/>
      </c>
      <c r="O83" s="505"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 ▲",IF(AND(P83='G-1 All Habitats'!$X$3,W83&gt;0),"Any Loss Unacceptable ▲",H83*J83*L83*O83))))),"Check Data ▲")</f>
        <v/>
      </c>
      <c r="R83" s="50"/>
      <c r="S83" s="71"/>
      <c r="T83" s="72"/>
      <c r="U83" s="511" t="str">
        <f t="shared" si="8"/>
        <v/>
      </c>
      <c r="V83" s="511" t="str">
        <f t="shared" si="9"/>
        <v/>
      </c>
      <c r="W83" s="511"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5"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8" t="str">
        <f>IF(G84="","",VLOOKUP(G84,'G-1 All Habitats'!$B$2:$M$129,10,FALSE))</f>
        <v/>
      </c>
      <c r="J84" s="499" t="str">
        <f>IFERROR(VLOOKUP(I84,'G-1 All Habitats'!$V$3:$W$7,2,FALSE),"")</f>
        <v/>
      </c>
      <c r="K84" s="71"/>
      <c r="L84" s="499" t="str">
        <f>IFERROR(INDEX('G-8 Condition Look up'!$A$3:$H$130,MATCH(G84,'G-8 Condition Look up'!$A$3:$A$130,0),MATCH(K84,'G-8 Condition Look up'!$A$3:$H$3,0)),"")</f>
        <v/>
      </c>
      <c r="M84" s="71"/>
      <c r="N84" s="520" t="str">
        <f>IF(M84="","",IF(VLOOKUP(M84,'G-3 Multipliers'!$L$3:$N$6,2,FALSE)=0,"Spatial Data Missing",VLOOKUP(M84,'G-3 Multipliers'!$L$3:$N$6,2,FALSE)))</f>
        <v/>
      </c>
      <c r="O84" s="505"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 ▲",IF(AND(P84='G-1 All Habitats'!$X$3,W84&gt;0),"Any Loss Unacceptable ▲",H84*J84*L84*O84))))),"Check Data ▲")</f>
        <v/>
      </c>
      <c r="R84" s="50"/>
      <c r="S84" s="71"/>
      <c r="T84" s="72"/>
      <c r="U84" s="511" t="str">
        <f t="shared" si="8"/>
        <v/>
      </c>
      <c r="V84" s="511" t="str">
        <f t="shared" si="9"/>
        <v/>
      </c>
      <c r="W84" s="511"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5"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8" t="str">
        <f>IF(G85="","",VLOOKUP(G85,'G-1 All Habitats'!$B$2:$M$129,10,FALSE))</f>
        <v/>
      </c>
      <c r="J85" s="499" t="str">
        <f>IFERROR(VLOOKUP(I85,'G-1 All Habitats'!$V$3:$W$7,2,FALSE),"")</f>
        <v/>
      </c>
      <c r="K85" s="71"/>
      <c r="L85" s="499" t="str">
        <f>IFERROR(INDEX('G-8 Condition Look up'!$A$3:$H$130,MATCH(G85,'G-8 Condition Look up'!$A$3:$A$130,0),MATCH(K85,'G-8 Condition Look up'!$A$3:$H$3,0)),"")</f>
        <v/>
      </c>
      <c r="M85" s="71"/>
      <c r="N85" s="520" t="str">
        <f>IF(M85="","",IF(VLOOKUP(M85,'G-3 Multipliers'!$L$3:$N$6,2,FALSE)=0,"Spatial Data Missing",VLOOKUP(M85,'G-3 Multipliers'!$L$3:$N$6,2,FALSE)))</f>
        <v/>
      </c>
      <c r="O85" s="505"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 ▲",IF(AND(P85='G-1 All Habitats'!$X$3,W85&gt;0),"Any Loss Unacceptable ▲",H85*J85*L85*O85))))),"Check Data ▲")</f>
        <v/>
      </c>
      <c r="R85" s="50"/>
      <c r="S85" s="71"/>
      <c r="T85" s="72"/>
      <c r="U85" s="511" t="str">
        <f t="shared" si="8"/>
        <v/>
      </c>
      <c r="V85" s="511" t="str">
        <f t="shared" si="9"/>
        <v/>
      </c>
      <c r="W85" s="511"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5"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8" t="str">
        <f>IF(G86="","",VLOOKUP(G86,'G-1 All Habitats'!$B$2:$M$129,10,FALSE))</f>
        <v/>
      </c>
      <c r="J86" s="499" t="str">
        <f>IFERROR(VLOOKUP(I86,'G-1 All Habitats'!$V$3:$W$7,2,FALSE),"")</f>
        <v/>
      </c>
      <c r="K86" s="71"/>
      <c r="L86" s="499" t="str">
        <f>IFERROR(INDEX('G-8 Condition Look up'!$A$3:$H$130,MATCH(G86,'G-8 Condition Look up'!$A$3:$A$130,0),MATCH(K86,'G-8 Condition Look up'!$A$3:$H$3,0)),"")</f>
        <v/>
      </c>
      <c r="M86" s="71"/>
      <c r="N86" s="520" t="str">
        <f>IF(M86="","",IF(VLOOKUP(M86,'G-3 Multipliers'!$L$3:$N$6,2,FALSE)=0,"Spatial Data Missing",VLOOKUP(M86,'G-3 Multipliers'!$L$3:$N$6,2,FALSE)))</f>
        <v/>
      </c>
      <c r="O86" s="505"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 ▲",IF(AND(P86='G-1 All Habitats'!$X$3,W86&gt;0),"Any Loss Unacceptable ▲",H86*J86*L86*O86))))),"Check Data ▲")</f>
        <v/>
      </c>
      <c r="R86" s="50"/>
      <c r="S86" s="71"/>
      <c r="T86" s="72"/>
      <c r="U86" s="511" t="str">
        <f t="shared" si="8"/>
        <v/>
      </c>
      <c r="V86" s="511" t="str">
        <f t="shared" si="9"/>
        <v/>
      </c>
      <c r="W86" s="511"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5"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8" t="str">
        <f>IF(G87="","",VLOOKUP(G87,'G-1 All Habitats'!$B$2:$M$129,10,FALSE))</f>
        <v/>
      </c>
      <c r="J87" s="499" t="str">
        <f>IFERROR(VLOOKUP(I87,'G-1 All Habitats'!$V$3:$W$7,2,FALSE),"")</f>
        <v/>
      </c>
      <c r="K87" s="71"/>
      <c r="L87" s="499" t="str">
        <f>IFERROR(INDEX('G-8 Condition Look up'!$A$3:$H$130,MATCH(G87,'G-8 Condition Look up'!$A$3:$A$130,0),MATCH(K87,'G-8 Condition Look up'!$A$3:$H$3,0)),"")</f>
        <v/>
      </c>
      <c r="M87" s="71"/>
      <c r="N87" s="520" t="str">
        <f>IF(M87="","",IF(VLOOKUP(M87,'G-3 Multipliers'!$L$3:$N$6,2,FALSE)=0,"Spatial Data Missing",VLOOKUP(M87,'G-3 Multipliers'!$L$3:$N$6,2,FALSE)))</f>
        <v/>
      </c>
      <c r="O87" s="505"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 ▲",IF(AND(P87='G-1 All Habitats'!$X$3,W87&gt;0),"Any Loss Unacceptable ▲",H87*J87*L87*O87))))),"Check Data ▲")</f>
        <v/>
      </c>
      <c r="R87" s="50"/>
      <c r="S87" s="71"/>
      <c r="T87" s="72"/>
      <c r="U87" s="511" t="str">
        <f t="shared" si="8"/>
        <v/>
      </c>
      <c r="V87" s="511" t="str">
        <f t="shared" si="9"/>
        <v/>
      </c>
      <c r="W87" s="511"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5"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8" t="str">
        <f>IF(G88="","",VLOOKUP(G88,'G-1 All Habitats'!$B$2:$M$129,10,FALSE))</f>
        <v/>
      </c>
      <c r="J88" s="499" t="str">
        <f>IFERROR(VLOOKUP(I88,'G-1 All Habitats'!$V$3:$W$7,2,FALSE),"")</f>
        <v/>
      </c>
      <c r="K88" s="71"/>
      <c r="L88" s="499" t="str">
        <f>IFERROR(INDEX('G-8 Condition Look up'!$A$3:$H$130,MATCH(G88,'G-8 Condition Look up'!$A$3:$A$130,0),MATCH(K88,'G-8 Condition Look up'!$A$3:$H$3,0)),"")</f>
        <v/>
      </c>
      <c r="M88" s="71"/>
      <c r="N88" s="520" t="str">
        <f>IF(M88="","",IF(VLOOKUP(M88,'G-3 Multipliers'!$L$3:$N$6,2,FALSE)=0,"Spatial Data Missing",VLOOKUP(M88,'G-3 Multipliers'!$L$3:$N$6,2,FALSE)))</f>
        <v/>
      </c>
      <c r="O88" s="505"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 ▲",IF(AND(P88='G-1 All Habitats'!$X$3,W88&gt;0),"Any Loss Unacceptable ▲",H88*J88*L88*O88))))),"Check Data ▲")</f>
        <v/>
      </c>
      <c r="R88" s="50"/>
      <c r="S88" s="71"/>
      <c r="T88" s="72"/>
      <c r="U88" s="511" t="str">
        <f t="shared" si="8"/>
        <v/>
      </c>
      <c r="V88" s="511" t="str">
        <f t="shared" si="9"/>
        <v/>
      </c>
      <c r="W88" s="511"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5"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8" t="str">
        <f>IF(G89="","",VLOOKUP(G89,'G-1 All Habitats'!$B$2:$M$129,10,FALSE))</f>
        <v/>
      </c>
      <c r="J89" s="499" t="str">
        <f>IFERROR(VLOOKUP(I89,'G-1 All Habitats'!$V$3:$W$7,2,FALSE),"")</f>
        <v/>
      </c>
      <c r="K89" s="71"/>
      <c r="L89" s="499" t="str">
        <f>IFERROR(INDEX('G-8 Condition Look up'!$A$3:$H$130,MATCH(G89,'G-8 Condition Look up'!$A$3:$A$130,0),MATCH(K89,'G-8 Condition Look up'!$A$3:$H$3,0)),"")</f>
        <v/>
      </c>
      <c r="M89" s="71"/>
      <c r="N89" s="520" t="str">
        <f>IF(M89="","",IF(VLOOKUP(M89,'G-3 Multipliers'!$L$3:$N$6,2,FALSE)=0,"Spatial Data Missing",VLOOKUP(M89,'G-3 Multipliers'!$L$3:$N$6,2,FALSE)))</f>
        <v/>
      </c>
      <c r="O89" s="505"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 ▲",IF(AND(P89='G-1 All Habitats'!$X$3,W89&gt;0),"Any Loss Unacceptable ▲",H89*J89*L89*O89))))),"Check Data ▲")</f>
        <v/>
      </c>
      <c r="R89" s="50"/>
      <c r="S89" s="71"/>
      <c r="T89" s="72"/>
      <c r="U89" s="511" t="str">
        <f t="shared" si="8"/>
        <v/>
      </c>
      <c r="V89" s="511" t="str">
        <f t="shared" si="9"/>
        <v/>
      </c>
      <c r="W89" s="511"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5"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8" t="str">
        <f>IF(G90="","",VLOOKUP(G90,'G-1 All Habitats'!$B$2:$M$129,10,FALSE))</f>
        <v/>
      </c>
      <c r="J90" s="499" t="str">
        <f>IFERROR(VLOOKUP(I90,'G-1 All Habitats'!$V$3:$W$7,2,FALSE),"")</f>
        <v/>
      </c>
      <c r="K90" s="71"/>
      <c r="L90" s="499" t="str">
        <f>IFERROR(INDEX('G-8 Condition Look up'!$A$3:$H$130,MATCH(G90,'G-8 Condition Look up'!$A$3:$A$130,0),MATCH(K90,'G-8 Condition Look up'!$A$3:$H$3,0)),"")</f>
        <v/>
      </c>
      <c r="M90" s="71"/>
      <c r="N90" s="520" t="str">
        <f>IF(M90="","",IF(VLOOKUP(M90,'G-3 Multipliers'!$L$3:$N$6,2,FALSE)=0,"Spatial Data Missing",VLOOKUP(M90,'G-3 Multipliers'!$L$3:$N$6,2,FALSE)))</f>
        <v/>
      </c>
      <c r="O90" s="505"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 ▲",IF(AND(P90='G-1 All Habitats'!$X$3,W90&gt;0),"Any Loss Unacceptable ▲",H90*J90*L90*O90))))),"Check Data ▲")</f>
        <v/>
      </c>
      <c r="R90" s="50"/>
      <c r="S90" s="71"/>
      <c r="T90" s="72"/>
      <c r="U90" s="511" t="str">
        <f t="shared" si="8"/>
        <v/>
      </c>
      <c r="V90" s="511" t="str">
        <f t="shared" si="9"/>
        <v/>
      </c>
      <c r="W90" s="511"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5"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8" t="str">
        <f>IF(G91="","",VLOOKUP(G91,'G-1 All Habitats'!$B$2:$M$129,10,FALSE))</f>
        <v/>
      </c>
      <c r="J91" s="499" t="str">
        <f>IFERROR(VLOOKUP(I91,'G-1 All Habitats'!$V$3:$W$7,2,FALSE),"")</f>
        <v/>
      </c>
      <c r="K91" s="71"/>
      <c r="L91" s="499" t="str">
        <f>IFERROR(INDEX('G-8 Condition Look up'!$A$3:$H$130,MATCH(G91,'G-8 Condition Look up'!$A$3:$A$130,0),MATCH(K91,'G-8 Condition Look up'!$A$3:$H$3,0)),"")</f>
        <v/>
      </c>
      <c r="M91" s="71"/>
      <c r="N91" s="520" t="str">
        <f>IF(M91="","",IF(VLOOKUP(M91,'G-3 Multipliers'!$L$3:$N$6,2,FALSE)=0,"Spatial Data Missing",VLOOKUP(M91,'G-3 Multipliers'!$L$3:$N$6,2,FALSE)))</f>
        <v/>
      </c>
      <c r="O91" s="505"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 ▲",IF(AND(P91='G-1 All Habitats'!$X$3,W91&gt;0),"Any Loss Unacceptable ▲",H91*J91*L91*O91))))),"Check Data ▲")</f>
        <v/>
      </c>
      <c r="R91" s="50"/>
      <c r="S91" s="71"/>
      <c r="T91" s="72"/>
      <c r="U91" s="511" t="str">
        <f t="shared" si="8"/>
        <v/>
      </c>
      <c r="V91" s="511" t="str">
        <f t="shared" si="9"/>
        <v/>
      </c>
      <c r="W91" s="511"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5"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8" t="str">
        <f>IF(G92="","",VLOOKUP(G92,'G-1 All Habitats'!$B$2:$M$129,10,FALSE))</f>
        <v/>
      </c>
      <c r="J92" s="499" t="str">
        <f>IFERROR(VLOOKUP(I92,'G-1 All Habitats'!$V$3:$W$7,2,FALSE),"")</f>
        <v/>
      </c>
      <c r="K92" s="71"/>
      <c r="L92" s="499" t="str">
        <f>IFERROR(INDEX('G-8 Condition Look up'!$A$3:$H$130,MATCH(G92,'G-8 Condition Look up'!$A$3:$A$130,0),MATCH(K92,'G-8 Condition Look up'!$A$3:$H$3,0)),"")</f>
        <v/>
      </c>
      <c r="M92" s="71"/>
      <c r="N92" s="520" t="str">
        <f>IF(M92="","",IF(VLOOKUP(M92,'G-3 Multipliers'!$L$3:$N$6,2,FALSE)=0,"Spatial Data Missing",VLOOKUP(M92,'G-3 Multipliers'!$L$3:$N$6,2,FALSE)))</f>
        <v/>
      </c>
      <c r="O92" s="505"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 ▲",IF(AND(P92='G-1 All Habitats'!$X$3,W92&gt;0),"Any Loss Unacceptable ▲",H92*J92*L92*O92))))),"Check Data ▲")</f>
        <v/>
      </c>
      <c r="R92" s="50"/>
      <c r="S92" s="71"/>
      <c r="T92" s="72"/>
      <c r="U92" s="511" t="str">
        <f t="shared" si="8"/>
        <v/>
      </c>
      <c r="V92" s="511" t="str">
        <f t="shared" si="9"/>
        <v/>
      </c>
      <c r="W92" s="511"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5"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8" t="str">
        <f>IF(G93="","",VLOOKUP(G93,'G-1 All Habitats'!$B$2:$M$129,10,FALSE))</f>
        <v/>
      </c>
      <c r="J93" s="499" t="str">
        <f>IFERROR(VLOOKUP(I93,'G-1 All Habitats'!$V$3:$W$7,2,FALSE),"")</f>
        <v/>
      </c>
      <c r="K93" s="71"/>
      <c r="L93" s="499" t="str">
        <f>IFERROR(INDEX('G-8 Condition Look up'!$A$3:$H$130,MATCH(G93,'G-8 Condition Look up'!$A$3:$A$130,0),MATCH(K93,'G-8 Condition Look up'!$A$3:$H$3,0)),"")</f>
        <v/>
      </c>
      <c r="M93" s="71"/>
      <c r="N93" s="520" t="str">
        <f>IF(M93="","",IF(VLOOKUP(M93,'G-3 Multipliers'!$L$3:$N$6,2,FALSE)=0,"Spatial Data Missing",VLOOKUP(M93,'G-3 Multipliers'!$L$3:$N$6,2,FALSE)))</f>
        <v/>
      </c>
      <c r="O93" s="505"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 ▲",IF(AND(P93='G-1 All Habitats'!$X$3,W93&gt;0),"Any Loss Unacceptable ▲",H93*J93*L93*O93))))),"Check Data ▲")</f>
        <v/>
      </c>
      <c r="R93" s="50"/>
      <c r="S93" s="71"/>
      <c r="T93" s="72"/>
      <c r="U93" s="511" t="str">
        <f t="shared" si="8"/>
        <v/>
      </c>
      <c r="V93" s="511" t="str">
        <f t="shared" si="9"/>
        <v/>
      </c>
      <c r="W93" s="511"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5"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8" t="str">
        <f>IF(G94="","",VLOOKUP(G94,'G-1 All Habitats'!$B$2:$M$129,10,FALSE))</f>
        <v/>
      </c>
      <c r="J94" s="499" t="str">
        <f>IFERROR(VLOOKUP(I94,'G-1 All Habitats'!$V$3:$W$7,2,FALSE),"")</f>
        <v/>
      </c>
      <c r="K94" s="71"/>
      <c r="L94" s="499" t="str">
        <f>IFERROR(INDEX('G-8 Condition Look up'!$A$3:$H$130,MATCH(G94,'G-8 Condition Look up'!$A$3:$A$130,0),MATCH(K94,'G-8 Condition Look up'!$A$3:$H$3,0)),"")</f>
        <v/>
      </c>
      <c r="M94" s="71"/>
      <c r="N94" s="520" t="str">
        <f>IF(M94="","",IF(VLOOKUP(M94,'G-3 Multipliers'!$L$3:$N$6,2,FALSE)=0,"Spatial Data Missing",VLOOKUP(M94,'G-3 Multipliers'!$L$3:$N$6,2,FALSE)))</f>
        <v/>
      </c>
      <c r="O94" s="505"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 ▲",IF(AND(P94='G-1 All Habitats'!$X$3,W94&gt;0),"Any Loss Unacceptable ▲",H94*J94*L94*O94))))),"Check Data ▲")</f>
        <v/>
      </c>
      <c r="R94" s="50"/>
      <c r="S94" s="71"/>
      <c r="T94" s="72"/>
      <c r="U94" s="511" t="str">
        <f t="shared" si="8"/>
        <v/>
      </c>
      <c r="V94" s="511" t="str">
        <f t="shared" si="9"/>
        <v/>
      </c>
      <c r="W94" s="511"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5"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8" t="str">
        <f>IF(G95="","",VLOOKUP(G95,'G-1 All Habitats'!$B$2:$M$129,10,FALSE))</f>
        <v/>
      </c>
      <c r="J95" s="499" t="str">
        <f>IFERROR(VLOOKUP(I95,'G-1 All Habitats'!$V$3:$W$7,2,FALSE),"")</f>
        <v/>
      </c>
      <c r="K95" s="71"/>
      <c r="L95" s="499" t="str">
        <f>IFERROR(INDEX('G-8 Condition Look up'!$A$3:$H$130,MATCH(G95,'G-8 Condition Look up'!$A$3:$A$130,0),MATCH(K95,'G-8 Condition Look up'!$A$3:$H$3,0)),"")</f>
        <v/>
      </c>
      <c r="M95" s="71"/>
      <c r="N95" s="520" t="str">
        <f>IF(M95="","",IF(VLOOKUP(M95,'G-3 Multipliers'!$L$3:$N$6,2,FALSE)=0,"Spatial Data Missing",VLOOKUP(M95,'G-3 Multipliers'!$L$3:$N$6,2,FALSE)))</f>
        <v/>
      </c>
      <c r="O95" s="505"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 ▲",IF(AND(P95='G-1 All Habitats'!$X$3,W95&gt;0),"Any Loss Unacceptable ▲",H95*J95*L95*O95))))),"Check Data ▲")</f>
        <v/>
      </c>
      <c r="R95" s="50"/>
      <c r="S95" s="71"/>
      <c r="T95" s="72"/>
      <c r="U95" s="511" t="str">
        <f t="shared" si="8"/>
        <v/>
      </c>
      <c r="V95" s="511" t="str">
        <f t="shared" si="9"/>
        <v/>
      </c>
      <c r="W95" s="511"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5"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8" t="str">
        <f>IF(G96="","",VLOOKUP(G96,'G-1 All Habitats'!$B$2:$M$129,10,FALSE))</f>
        <v/>
      </c>
      <c r="J96" s="499" t="str">
        <f>IFERROR(VLOOKUP(I96,'G-1 All Habitats'!$V$3:$W$7,2,FALSE),"")</f>
        <v/>
      </c>
      <c r="K96" s="71"/>
      <c r="L96" s="499" t="str">
        <f>IFERROR(INDEX('G-8 Condition Look up'!$A$3:$H$130,MATCH(G96,'G-8 Condition Look up'!$A$3:$A$130,0),MATCH(K96,'G-8 Condition Look up'!$A$3:$H$3,0)),"")</f>
        <v/>
      </c>
      <c r="M96" s="71"/>
      <c r="N96" s="520" t="str">
        <f>IF(M96="","",IF(VLOOKUP(M96,'G-3 Multipliers'!$L$3:$N$6,2,FALSE)=0,"Spatial Data Missing",VLOOKUP(M96,'G-3 Multipliers'!$L$3:$N$6,2,FALSE)))</f>
        <v/>
      </c>
      <c r="O96" s="505"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 ▲",IF(AND(P96='G-1 All Habitats'!$X$3,W96&gt;0),"Any Loss Unacceptable ▲",H96*J96*L96*O96))))),"Check Data ▲")</f>
        <v/>
      </c>
      <c r="R96" s="50"/>
      <c r="S96" s="71"/>
      <c r="T96" s="72"/>
      <c r="U96" s="511" t="str">
        <f t="shared" si="8"/>
        <v/>
      </c>
      <c r="V96" s="511" t="str">
        <f t="shared" si="9"/>
        <v/>
      </c>
      <c r="W96" s="511"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5"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8" t="str">
        <f>IF(G97="","",VLOOKUP(G97,'G-1 All Habitats'!$B$2:$M$129,10,FALSE))</f>
        <v/>
      </c>
      <c r="J97" s="499" t="str">
        <f>IFERROR(VLOOKUP(I97,'G-1 All Habitats'!$V$3:$W$7,2,FALSE),"")</f>
        <v/>
      </c>
      <c r="K97" s="71"/>
      <c r="L97" s="499" t="str">
        <f>IFERROR(INDEX('G-8 Condition Look up'!$A$3:$H$130,MATCH(G97,'G-8 Condition Look up'!$A$3:$A$130,0),MATCH(K97,'G-8 Condition Look up'!$A$3:$H$3,0)),"")</f>
        <v/>
      </c>
      <c r="M97" s="71"/>
      <c r="N97" s="520" t="str">
        <f>IF(M97="","",IF(VLOOKUP(M97,'G-3 Multipliers'!$L$3:$N$6,2,FALSE)=0,"Spatial Data Missing",VLOOKUP(M97,'G-3 Multipliers'!$L$3:$N$6,2,FALSE)))</f>
        <v/>
      </c>
      <c r="O97" s="505"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 ▲",IF(AND(P97='G-1 All Habitats'!$X$3,W97&gt;0),"Any Loss Unacceptable ▲",H97*J97*L97*O97))))),"Check Data ▲")</f>
        <v/>
      </c>
      <c r="R97" s="50"/>
      <c r="S97" s="71"/>
      <c r="T97" s="72"/>
      <c r="U97" s="511" t="str">
        <f t="shared" si="8"/>
        <v/>
      </c>
      <c r="V97" s="511" t="str">
        <f t="shared" si="9"/>
        <v/>
      </c>
      <c r="W97" s="511"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5"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8" t="str">
        <f>IF(G98="","",VLOOKUP(G98,'G-1 All Habitats'!$B$2:$M$129,10,FALSE))</f>
        <v/>
      </c>
      <c r="J98" s="499" t="str">
        <f>IFERROR(VLOOKUP(I98,'G-1 All Habitats'!$V$3:$W$7,2,FALSE),"")</f>
        <v/>
      </c>
      <c r="K98" s="71"/>
      <c r="L98" s="499" t="str">
        <f>IFERROR(INDEX('G-8 Condition Look up'!$A$3:$H$130,MATCH(G98,'G-8 Condition Look up'!$A$3:$A$130,0),MATCH(K98,'G-8 Condition Look up'!$A$3:$H$3,0)),"")</f>
        <v/>
      </c>
      <c r="M98" s="71"/>
      <c r="N98" s="520" t="str">
        <f>IF(M98="","",IF(VLOOKUP(M98,'G-3 Multipliers'!$L$3:$N$6,2,FALSE)=0,"Spatial Data Missing",VLOOKUP(M98,'G-3 Multipliers'!$L$3:$N$6,2,FALSE)))</f>
        <v/>
      </c>
      <c r="O98" s="505"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 ▲",IF(AND(P98='G-1 All Habitats'!$X$3,W98&gt;0),"Any Loss Unacceptable ▲",H98*J98*L98*O98))))),"Check Data ▲")</f>
        <v/>
      </c>
      <c r="R98" s="50"/>
      <c r="S98" s="71"/>
      <c r="T98" s="72"/>
      <c r="U98" s="511" t="str">
        <f t="shared" si="8"/>
        <v/>
      </c>
      <c r="V98" s="511" t="str">
        <f t="shared" si="9"/>
        <v/>
      </c>
      <c r="W98" s="511"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5"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8" t="str">
        <f>IF(G99="","",VLOOKUP(G99,'G-1 All Habitats'!$B$2:$M$129,10,FALSE))</f>
        <v/>
      </c>
      <c r="J99" s="499" t="str">
        <f>IFERROR(VLOOKUP(I99,'G-1 All Habitats'!$V$3:$W$7,2,FALSE),"")</f>
        <v/>
      </c>
      <c r="K99" s="71"/>
      <c r="L99" s="499" t="str">
        <f>IFERROR(INDEX('G-8 Condition Look up'!$A$3:$H$130,MATCH(G99,'G-8 Condition Look up'!$A$3:$A$130,0),MATCH(K99,'G-8 Condition Look up'!$A$3:$H$3,0)),"")</f>
        <v/>
      </c>
      <c r="M99" s="71"/>
      <c r="N99" s="520" t="str">
        <f>IF(M99="","",IF(VLOOKUP(M99,'G-3 Multipliers'!$L$3:$N$6,2,FALSE)=0,"Spatial Data Missing",VLOOKUP(M99,'G-3 Multipliers'!$L$3:$N$6,2,FALSE)))</f>
        <v/>
      </c>
      <c r="O99" s="505"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 ▲",IF(AND(P99='G-1 All Habitats'!$X$3,W99&gt;0),"Any Loss Unacceptable ▲",H99*J99*L99*O99))))),"Check Data ▲")</f>
        <v/>
      </c>
      <c r="R99" s="50"/>
      <c r="S99" s="71"/>
      <c r="T99" s="72"/>
      <c r="U99" s="511" t="str">
        <f t="shared" si="8"/>
        <v/>
      </c>
      <c r="V99" s="511" t="str">
        <f t="shared" si="9"/>
        <v/>
      </c>
      <c r="W99" s="511"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5"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8" t="str">
        <f>IF(G100="","",VLOOKUP(G100,'G-1 All Habitats'!$B$2:$M$129,10,FALSE))</f>
        <v/>
      </c>
      <c r="J100" s="499" t="str">
        <f>IFERROR(VLOOKUP(I100,'G-1 All Habitats'!$V$3:$W$7,2,FALSE),"")</f>
        <v/>
      </c>
      <c r="K100" s="71"/>
      <c r="L100" s="499" t="str">
        <f>IFERROR(INDEX('G-8 Condition Look up'!$A$3:$H$130,MATCH(G100,'G-8 Condition Look up'!$A$3:$A$130,0),MATCH(K100,'G-8 Condition Look up'!$A$3:$H$3,0)),"")</f>
        <v/>
      </c>
      <c r="M100" s="71"/>
      <c r="N100" s="520" t="str">
        <f>IF(M100="","",IF(VLOOKUP(M100,'G-3 Multipliers'!$L$3:$N$6,2,FALSE)=0,"Spatial Data Missing",VLOOKUP(M100,'G-3 Multipliers'!$L$3:$N$6,2,FALSE)))</f>
        <v/>
      </c>
      <c r="O100" s="505"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5"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8" t="str">
        <f>IF(G101="","",VLOOKUP(G101,'G-1 All Habitats'!$B$2:$M$129,10,FALSE))</f>
        <v/>
      </c>
      <c r="J101" s="499" t="str">
        <f>IFERROR(VLOOKUP(I101,'G-1 All Habitats'!$V$3:$W$7,2,FALSE),"")</f>
        <v/>
      </c>
      <c r="K101" s="71"/>
      <c r="L101" s="499" t="str">
        <f>IFERROR(INDEX('G-8 Condition Look up'!$A$3:$H$130,MATCH(G101,'G-8 Condition Look up'!$A$3:$A$130,0),MATCH(K101,'G-8 Condition Look up'!$A$3:$H$3,0)),"")</f>
        <v/>
      </c>
      <c r="M101" s="71"/>
      <c r="N101" s="520" t="str">
        <f>IF(M101="","",IF(VLOOKUP(M101,'G-3 Multipliers'!$L$3:$N$6,2,FALSE)=0,"Spatial Data Missing",VLOOKUP(M101,'G-3 Multipliers'!$L$3:$N$6,2,FALSE)))</f>
        <v/>
      </c>
      <c r="O101" s="505" t="str">
        <f>IF(M101="","",IF(VLOOKUP(M101,'G-3 Multipliers'!$L$3:$N$6,3,FALSE)=0,"Spatial Data Missing",VLOOKUP(M101,'G-3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5"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8" t="str">
        <f>IF(G102="","",VLOOKUP(G102,'G-1 All Habitats'!$B$2:$M$129,10,FALSE))</f>
        <v/>
      </c>
      <c r="J102" s="499" t="str">
        <f>IFERROR(VLOOKUP(I102,'G-1 All Habitats'!$V$3:$W$7,2,FALSE),"")</f>
        <v/>
      </c>
      <c r="K102" s="71"/>
      <c r="L102" s="499" t="str">
        <f>IFERROR(INDEX('G-8 Condition Look up'!$A$3:$H$130,MATCH(G102,'G-8 Condition Look up'!$A$3:$A$130,0),MATCH(K102,'G-8 Condition Look up'!$A$3:$H$3,0)),"")</f>
        <v/>
      </c>
      <c r="M102" s="71"/>
      <c r="N102" s="520" t="str">
        <f>IF(M102="","",IF(VLOOKUP(M102,'G-3 Multipliers'!$L$3:$N$6,2,FALSE)=0,"Spatial Data Missing",VLOOKUP(M102,'G-3 Multipliers'!$L$3:$N$6,2,FALSE)))</f>
        <v/>
      </c>
      <c r="O102" s="505" t="str">
        <f>IF(M102="","",IF(VLOOKUP(M102,'G-3 Multipliers'!$L$3:$N$6,3,FALSE)=0,"Spatial Data Missing",VLOOKUP(M102,'G-3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5"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8" t="str">
        <f>IF(G103="","",VLOOKUP(G103,'G-1 All Habitats'!$B$2:$M$129,10,FALSE))</f>
        <v/>
      </c>
      <c r="J103" s="499" t="str">
        <f>IFERROR(VLOOKUP(I103,'G-1 All Habitats'!$V$3:$W$7,2,FALSE),"")</f>
        <v/>
      </c>
      <c r="K103" s="71"/>
      <c r="L103" s="499" t="str">
        <f>IFERROR(INDEX('G-8 Condition Look up'!$A$3:$H$130,MATCH(G103,'G-8 Condition Look up'!$A$3:$A$130,0),MATCH(K103,'G-8 Condition Look up'!$A$3:$H$3,0)),"")</f>
        <v/>
      </c>
      <c r="M103" s="71"/>
      <c r="N103" s="520" t="str">
        <f>IF(M103="","",IF(VLOOKUP(M103,'G-3 Multipliers'!$L$3:$N$6,2,FALSE)=0,"Spatial Data Missing",VLOOKUP(M103,'G-3 Multipliers'!$L$3:$N$6,2,FALSE)))</f>
        <v/>
      </c>
      <c r="O103" s="505" t="str">
        <f>IF(M103="","",IF(VLOOKUP(M103,'G-3 Multipliers'!$L$3:$N$6,3,FALSE)=0,"Spatial Data Missing",VLOOKUP(M103,'G-3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5"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8" t="str">
        <f>IF(G104="","",VLOOKUP(G104,'G-1 All Habitats'!$B$2:$M$129,10,FALSE))</f>
        <v/>
      </c>
      <c r="J104" s="499" t="str">
        <f>IFERROR(VLOOKUP(I104,'G-1 All Habitats'!$V$3:$W$7,2,FALSE),"")</f>
        <v/>
      </c>
      <c r="K104" s="71"/>
      <c r="L104" s="499" t="str">
        <f>IFERROR(INDEX('G-8 Condition Look up'!$A$3:$H$130,MATCH(G104,'G-8 Condition Look up'!$A$3:$A$130,0),MATCH(K104,'G-8 Condition Look up'!$A$3:$H$3,0)),"")</f>
        <v/>
      </c>
      <c r="M104" s="71"/>
      <c r="N104" s="520" t="str">
        <f>IF(M104="","",IF(VLOOKUP(M104,'G-3 Multipliers'!$L$3:$N$6,2,FALSE)=0,"Spatial Data Missing",VLOOKUP(M104,'G-3 Multipliers'!$L$3:$N$6,2,FALSE)))</f>
        <v/>
      </c>
      <c r="O104" s="505" t="str">
        <f>IF(M104="","",IF(VLOOKUP(M104,'G-3 Multipliers'!$L$3:$N$6,3,FALSE)=0,"Spatial Data Missing",VLOOKUP(M104,'G-3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5"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8" t="str">
        <f>IF(G105="","",VLOOKUP(G105,'G-1 All Habitats'!$B$2:$M$129,10,FALSE))</f>
        <v/>
      </c>
      <c r="J105" s="499" t="str">
        <f>IFERROR(VLOOKUP(I105,'G-1 All Habitats'!$V$3:$W$7,2,FALSE),"")</f>
        <v/>
      </c>
      <c r="K105" s="71"/>
      <c r="L105" s="499" t="str">
        <f>IFERROR(INDEX('G-8 Condition Look up'!$A$3:$H$130,MATCH(G105,'G-8 Condition Look up'!$A$3:$A$130,0),MATCH(K105,'G-8 Condition Look up'!$A$3:$H$3,0)),"")</f>
        <v/>
      </c>
      <c r="M105" s="71"/>
      <c r="N105" s="520" t="str">
        <f>IF(M105="","",IF(VLOOKUP(M105,'G-3 Multipliers'!$L$3:$N$6,2,FALSE)=0,"Spatial Data Missing",VLOOKUP(M105,'G-3 Multipliers'!$L$3:$N$6,2,FALSE)))</f>
        <v/>
      </c>
      <c r="O105" s="505" t="str">
        <f>IF(M105="","",IF(VLOOKUP(M105,'G-3 Multipliers'!$L$3:$N$6,3,FALSE)=0,"Spatial Data Missing",VLOOKUP(M105,'G-3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5"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8" t="str">
        <f>IF(G106="","",VLOOKUP(G106,'G-1 All Habitats'!$B$2:$M$129,10,FALSE))</f>
        <v/>
      </c>
      <c r="J106" s="499" t="str">
        <f>IFERROR(VLOOKUP(I106,'G-1 All Habitats'!$V$3:$W$7,2,FALSE),"")</f>
        <v/>
      </c>
      <c r="K106" s="71"/>
      <c r="L106" s="499" t="str">
        <f>IFERROR(INDEX('G-8 Condition Look up'!$A$3:$H$130,MATCH(G106,'G-8 Condition Look up'!$A$3:$A$130,0),MATCH(K106,'G-8 Condition Look up'!$A$3:$H$3,0)),"")</f>
        <v/>
      </c>
      <c r="M106" s="71"/>
      <c r="N106" s="520" t="str">
        <f>IF(M106="","",IF(VLOOKUP(M106,'G-3 Multipliers'!$L$3:$N$6,2,FALSE)=0,"Spatial Data Missing",VLOOKUP(M106,'G-3 Multipliers'!$L$3:$N$6,2,FALSE)))</f>
        <v/>
      </c>
      <c r="O106" s="505" t="str">
        <f>IF(M106="","",IF(VLOOKUP(M106,'G-3 Multipliers'!$L$3:$N$6,3,FALSE)=0,"Spatial Data Missing",VLOOKUP(M106,'G-3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5"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8" t="str">
        <f>IF(G107="","",VLOOKUP(G107,'G-1 All Habitats'!$B$2:$M$129,10,FALSE))</f>
        <v/>
      </c>
      <c r="J107" s="499" t="str">
        <f>IFERROR(VLOOKUP(I107,'G-1 All Habitats'!$V$3:$W$7,2,FALSE),"")</f>
        <v/>
      </c>
      <c r="K107" s="71"/>
      <c r="L107" s="499" t="str">
        <f>IFERROR(INDEX('G-8 Condition Look up'!$A$3:$H$130,MATCH(G107,'G-8 Condition Look up'!$A$3:$A$130,0),MATCH(K107,'G-8 Condition Look up'!$A$3:$H$3,0)),"")</f>
        <v/>
      </c>
      <c r="M107" s="71"/>
      <c r="N107" s="520" t="str">
        <f>IF(M107="","",IF(VLOOKUP(M107,'G-3 Multipliers'!$L$3:$N$6,2,FALSE)=0,"Spatial Data Missing",VLOOKUP(M107,'G-3 Multipliers'!$L$3:$N$6,2,FALSE)))</f>
        <v/>
      </c>
      <c r="O107" s="505" t="str">
        <f>IF(M107="","",IF(VLOOKUP(M107,'G-3 Multipliers'!$L$3:$N$6,3,FALSE)=0,"Spatial Data Missing",VLOOKUP(M107,'G-3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5"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8" t="str">
        <f>IF(G108="","",VLOOKUP(G108,'G-1 All Habitats'!$B$2:$M$129,10,FALSE))</f>
        <v/>
      </c>
      <c r="J108" s="499" t="str">
        <f>IFERROR(VLOOKUP(I108,'G-1 All Habitats'!$V$3:$W$7,2,FALSE),"")</f>
        <v/>
      </c>
      <c r="K108" s="71"/>
      <c r="L108" s="499" t="str">
        <f>IFERROR(INDEX('G-8 Condition Look up'!$A$3:$H$130,MATCH(G108,'G-8 Condition Look up'!$A$3:$A$130,0),MATCH(K108,'G-8 Condition Look up'!$A$3:$H$3,0)),"")</f>
        <v/>
      </c>
      <c r="M108" s="71"/>
      <c r="N108" s="520" t="str">
        <f>IF(M108="","",IF(VLOOKUP(M108,'G-3 Multipliers'!$L$3:$N$6,2,FALSE)=0,"Spatial Data Missing",VLOOKUP(M108,'G-3 Multipliers'!$L$3:$N$6,2,FALSE)))</f>
        <v/>
      </c>
      <c r="O108" s="505" t="str">
        <f>IF(M108="","",IF(VLOOKUP(M108,'G-3 Multipliers'!$L$3:$N$6,3,FALSE)=0,"Spatial Data Missing",VLOOKUP(M108,'G-3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5"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8" t="str">
        <f>IF(G109="","",VLOOKUP(G109,'G-1 All Habitats'!$B$2:$M$129,10,FALSE))</f>
        <v/>
      </c>
      <c r="J109" s="499" t="str">
        <f>IFERROR(VLOOKUP(I109,'G-1 All Habitats'!$V$3:$W$7,2,FALSE),"")</f>
        <v/>
      </c>
      <c r="K109" s="71"/>
      <c r="L109" s="499" t="str">
        <f>IFERROR(INDEX('G-8 Condition Look up'!$A$3:$H$130,MATCH(G109,'G-8 Condition Look up'!$A$3:$A$130,0),MATCH(K109,'G-8 Condition Look up'!$A$3:$H$3,0)),"")</f>
        <v/>
      </c>
      <c r="M109" s="71"/>
      <c r="N109" s="520" t="str">
        <f>IF(M109="","",IF(VLOOKUP(M109,'G-3 Multipliers'!$L$3:$N$6,2,FALSE)=0,"Spatial Data Missing",VLOOKUP(M109,'G-3 Multipliers'!$L$3:$N$6,2,FALSE)))</f>
        <v/>
      </c>
      <c r="O109" s="505" t="str">
        <f>IF(M109="","",IF(VLOOKUP(M109,'G-3 Multipliers'!$L$3:$N$6,3,FALSE)=0,"Spatial Data Missing",VLOOKUP(M109,'G-3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5"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8" t="str">
        <f>IF(G110="","",VLOOKUP(G110,'G-1 All Habitats'!$B$2:$M$129,10,FALSE))</f>
        <v/>
      </c>
      <c r="J110" s="499" t="str">
        <f>IFERROR(VLOOKUP(I110,'G-1 All Habitats'!$V$3:$W$7,2,FALSE),"")</f>
        <v/>
      </c>
      <c r="K110" s="71"/>
      <c r="L110" s="499" t="str">
        <f>IFERROR(INDEX('G-8 Condition Look up'!$A$3:$H$130,MATCH(G110,'G-8 Condition Look up'!$A$3:$A$130,0),MATCH(K110,'G-8 Condition Look up'!$A$3:$H$3,0)),"")</f>
        <v/>
      </c>
      <c r="M110" s="71"/>
      <c r="N110" s="520" t="str">
        <f>IF(M110="","",IF(VLOOKUP(M110,'G-3 Multipliers'!$L$3:$N$6,2,FALSE)=0,"Spatial Data Missing",VLOOKUP(M110,'G-3 Multipliers'!$L$3:$N$6,2,FALSE)))</f>
        <v/>
      </c>
      <c r="O110" s="505" t="str">
        <f>IF(M110="","",IF(VLOOKUP(M110,'G-3 Multipliers'!$L$3:$N$6,3,FALSE)=0,"Spatial Data Missing",VLOOKUP(M110,'G-3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5"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8" t="str">
        <f>IF(G111="","",VLOOKUP(G111,'G-1 All Habitats'!$B$2:$M$129,10,FALSE))</f>
        <v/>
      </c>
      <c r="J111" s="499" t="str">
        <f>IFERROR(VLOOKUP(I111,'G-1 All Habitats'!$V$3:$W$7,2,FALSE),"")</f>
        <v/>
      </c>
      <c r="K111" s="71"/>
      <c r="L111" s="499" t="str">
        <f>IFERROR(INDEX('G-8 Condition Look up'!$A$3:$H$130,MATCH(G111,'G-8 Condition Look up'!$A$3:$A$130,0),MATCH(K111,'G-8 Condition Look up'!$A$3:$H$3,0)),"")</f>
        <v/>
      </c>
      <c r="M111" s="71"/>
      <c r="N111" s="520" t="str">
        <f>IF(M111="","",IF(VLOOKUP(M111,'G-3 Multipliers'!$L$3:$N$6,2,FALSE)=0,"Spatial Data Missing",VLOOKUP(M111,'G-3 Multipliers'!$L$3:$N$6,2,FALSE)))</f>
        <v/>
      </c>
      <c r="O111" s="505" t="str">
        <f>IF(M111="","",IF(VLOOKUP(M111,'G-3 Multipliers'!$L$3:$N$6,3,FALSE)=0,"Spatial Data Missing",VLOOKUP(M111,'G-3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5"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8" t="str">
        <f>IF(G112="","",VLOOKUP(G112,'G-1 All Habitats'!$B$2:$M$129,10,FALSE))</f>
        <v/>
      </c>
      <c r="J112" s="499" t="str">
        <f>IFERROR(VLOOKUP(I112,'G-1 All Habitats'!$V$3:$W$7,2,FALSE),"")</f>
        <v/>
      </c>
      <c r="K112" s="71"/>
      <c r="L112" s="499" t="str">
        <f>IFERROR(INDEX('G-8 Condition Look up'!$A$3:$H$130,MATCH(G112,'G-8 Condition Look up'!$A$3:$A$130,0),MATCH(K112,'G-8 Condition Look up'!$A$3:$H$3,0)),"")</f>
        <v/>
      </c>
      <c r="M112" s="71"/>
      <c r="N112" s="520" t="str">
        <f>IF(M112="","",IF(VLOOKUP(M112,'G-3 Multipliers'!$L$3:$N$6,2,FALSE)=0,"Spatial Data Missing",VLOOKUP(M112,'G-3 Multipliers'!$L$3:$N$6,2,FALSE)))</f>
        <v/>
      </c>
      <c r="O112" s="505" t="str">
        <f>IF(M112="","",IF(VLOOKUP(M112,'G-3 Multipliers'!$L$3:$N$6,3,FALSE)=0,"Spatial Data Missing",VLOOKUP(M112,'G-3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5"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8" t="str">
        <f>IF(G113="","",VLOOKUP(G113,'G-1 All Habitats'!$B$2:$M$129,10,FALSE))</f>
        <v/>
      </c>
      <c r="J113" s="499" t="str">
        <f>IFERROR(VLOOKUP(I113,'G-1 All Habitats'!$V$3:$W$7,2,FALSE),"")</f>
        <v/>
      </c>
      <c r="K113" s="71"/>
      <c r="L113" s="499" t="str">
        <f>IFERROR(INDEX('G-8 Condition Look up'!$A$3:$H$130,MATCH(G113,'G-8 Condition Look up'!$A$3:$A$130,0),MATCH(K113,'G-8 Condition Look up'!$A$3:$H$3,0)),"")</f>
        <v/>
      </c>
      <c r="M113" s="71"/>
      <c r="N113" s="520" t="str">
        <f>IF(M113="","",IF(VLOOKUP(M113,'G-3 Multipliers'!$L$3:$N$6,2,FALSE)=0,"Spatial Data Missing",VLOOKUP(M113,'G-3 Multipliers'!$L$3:$N$6,2,FALSE)))</f>
        <v/>
      </c>
      <c r="O113" s="505" t="str">
        <f>IF(M113="","",IF(VLOOKUP(M113,'G-3 Multipliers'!$L$3:$N$6,3,FALSE)=0,"Spatial Data Missing",VLOOKUP(M113,'G-3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5"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8" t="str">
        <f>IF(G114="","",VLOOKUP(G114,'G-1 All Habitats'!$B$2:$M$129,10,FALSE))</f>
        <v/>
      </c>
      <c r="J114" s="499" t="str">
        <f>IFERROR(VLOOKUP(I114,'G-1 All Habitats'!$V$3:$W$7,2,FALSE),"")</f>
        <v/>
      </c>
      <c r="K114" s="71"/>
      <c r="L114" s="499" t="str">
        <f>IFERROR(INDEX('G-8 Condition Look up'!$A$3:$H$130,MATCH(G114,'G-8 Condition Look up'!$A$3:$A$130,0),MATCH(K114,'G-8 Condition Look up'!$A$3:$H$3,0)),"")</f>
        <v/>
      </c>
      <c r="M114" s="71"/>
      <c r="N114" s="520" t="str">
        <f>IF(M114="","",IF(VLOOKUP(M114,'G-3 Multipliers'!$L$3:$N$6,2,FALSE)=0,"Spatial Data Missing",VLOOKUP(M114,'G-3 Multipliers'!$L$3:$N$6,2,FALSE)))</f>
        <v/>
      </c>
      <c r="O114" s="505" t="str">
        <f>IF(M114="","",IF(VLOOKUP(M114,'G-3 Multipliers'!$L$3:$N$6,3,FALSE)=0,"Spatial Data Missing",VLOOKUP(M114,'G-3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5"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8" t="str">
        <f>IF(G115="","",VLOOKUP(G115,'G-1 All Habitats'!$B$2:$M$129,10,FALSE))</f>
        <v/>
      </c>
      <c r="J115" s="499" t="str">
        <f>IFERROR(VLOOKUP(I115,'G-1 All Habitats'!$V$3:$W$7,2,FALSE),"")</f>
        <v/>
      </c>
      <c r="K115" s="71"/>
      <c r="L115" s="499" t="str">
        <f>IFERROR(INDEX('G-8 Condition Look up'!$A$3:$H$130,MATCH(G115,'G-8 Condition Look up'!$A$3:$A$130,0),MATCH(K115,'G-8 Condition Look up'!$A$3:$H$3,0)),"")</f>
        <v/>
      </c>
      <c r="M115" s="71"/>
      <c r="N115" s="520" t="str">
        <f>IF(M115="","",IF(VLOOKUP(M115,'G-3 Multipliers'!$L$3:$N$6,2,FALSE)=0,"Spatial Data Missing",VLOOKUP(M115,'G-3 Multipliers'!$L$3:$N$6,2,FALSE)))</f>
        <v/>
      </c>
      <c r="O115" s="505" t="str">
        <f>IF(M115="","",IF(VLOOKUP(M115,'G-3 Multipliers'!$L$3:$N$6,3,FALSE)=0,"Spatial Data Missing",VLOOKUP(M115,'G-3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5"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8" t="str">
        <f>IF(G116="","",VLOOKUP(G116,'G-1 All Habitats'!$B$2:$M$129,10,FALSE))</f>
        <v/>
      </c>
      <c r="J116" s="499" t="str">
        <f>IFERROR(VLOOKUP(I116,'G-1 All Habitats'!$V$3:$W$7,2,FALSE),"")</f>
        <v/>
      </c>
      <c r="K116" s="71"/>
      <c r="L116" s="499" t="str">
        <f>IFERROR(INDEX('G-8 Condition Look up'!$A$3:$H$130,MATCH(G116,'G-8 Condition Look up'!$A$3:$A$130,0),MATCH(K116,'G-8 Condition Look up'!$A$3:$H$3,0)),"")</f>
        <v/>
      </c>
      <c r="M116" s="71"/>
      <c r="N116" s="520" t="str">
        <f>IF(M116="","",IF(VLOOKUP(M116,'G-3 Multipliers'!$L$3:$N$6,2,FALSE)=0,"Spatial Data Missing",VLOOKUP(M116,'G-3 Multipliers'!$L$3:$N$6,2,FALSE)))</f>
        <v/>
      </c>
      <c r="O116" s="505" t="str">
        <f>IF(M116="","",IF(VLOOKUP(M116,'G-3 Multipliers'!$L$3:$N$6,3,FALSE)=0,"Spatial Data Missing",VLOOKUP(M116,'G-3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5"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8" t="str">
        <f>IF(G117="","",VLOOKUP(G117,'G-1 All Habitats'!$B$2:$M$129,10,FALSE))</f>
        <v/>
      </c>
      <c r="J117" s="499" t="str">
        <f>IFERROR(VLOOKUP(I117,'G-1 All Habitats'!$V$3:$W$7,2,FALSE),"")</f>
        <v/>
      </c>
      <c r="K117" s="71"/>
      <c r="L117" s="499" t="str">
        <f>IFERROR(INDEX('G-8 Condition Look up'!$A$3:$H$130,MATCH(G117,'G-8 Condition Look up'!$A$3:$A$130,0),MATCH(K117,'G-8 Condition Look up'!$A$3:$H$3,0)),"")</f>
        <v/>
      </c>
      <c r="M117" s="71"/>
      <c r="N117" s="520" t="str">
        <f>IF(M117="","",IF(VLOOKUP(M117,'G-3 Multipliers'!$L$3:$N$6,2,FALSE)=0,"Spatial Data Missing",VLOOKUP(M117,'G-3 Multipliers'!$L$3:$N$6,2,FALSE)))</f>
        <v/>
      </c>
      <c r="O117" s="505" t="str">
        <f>IF(M117="","",IF(VLOOKUP(M117,'G-3 Multipliers'!$L$3:$N$6,3,FALSE)=0,"Spatial Data Missing",VLOOKUP(M117,'G-3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5"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8" t="str">
        <f>IF(G118="","",VLOOKUP(G118,'G-1 All Habitats'!$B$2:$M$129,10,FALSE))</f>
        <v/>
      </c>
      <c r="J118" s="499" t="str">
        <f>IFERROR(VLOOKUP(I118,'G-1 All Habitats'!$V$3:$W$7,2,FALSE),"")</f>
        <v/>
      </c>
      <c r="K118" s="71"/>
      <c r="L118" s="499" t="str">
        <f>IFERROR(INDEX('G-8 Condition Look up'!$A$3:$H$130,MATCH(G118,'G-8 Condition Look up'!$A$3:$A$130,0),MATCH(K118,'G-8 Condition Look up'!$A$3:$H$3,0)),"")</f>
        <v/>
      </c>
      <c r="M118" s="71"/>
      <c r="N118" s="520" t="str">
        <f>IF(M118="","",IF(VLOOKUP(M118,'G-3 Multipliers'!$L$3:$N$6,2,FALSE)=0,"Spatial Data Missing",VLOOKUP(M118,'G-3 Multipliers'!$L$3:$N$6,2,FALSE)))</f>
        <v/>
      </c>
      <c r="O118" s="505" t="str">
        <f>IF(M118="","",IF(VLOOKUP(M118,'G-3 Multipliers'!$L$3:$N$6,3,FALSE)=0,"Spatial Data Missing",VLOOKUP(M118,'G-3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5"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8" t="str">
        <f>IF(G119="","",VLOOKUP(G119,'G-1 All Habitats'!$B$2:$M$129,10,FALSE))</f>
        <v/>
      </c>
      <c r="J119" s="499" t="str">
        <f>IFERROR(VLOOKUP(I119,'G-1 All Habitats'!$V$3:$W$7,2,FALSE),"")</f>
        <v/>
      </c>
      <c r="K119" s="71"/>
      <c r="L119" s="499" t="str">
        <f>IFERROR(INDEX('G-8 Condition Look up'!$A$3:$H$130,MATCH(G119,'G-8 Condition Look up'!$A$3:$A$130,0),MATCH(K119,'G-8 Condition Look up'!$A$3:$H$3,0)),"")</f>
        <v/>
      </c>
      <c r="M119" s="71"/>
      <c r="N119" s="520" t="str">
        <f>IF(M119="","",IF(VLOOKUP(M119,'G-3 Multipliers'!$L$3:$N$6,2,FALSE)=0,"Spatial Data Missing",VLOOKUP(M119,'G-3 Multipliers'!$L$3:$N$6,2,FALSE)))</f>
        <v/>
      </c>
      <c r="O119" s="505" t="str">
        <f>IF(M119="","",IF(VLOOKUP(M119,'G-3 Multipliers'!$L$3:$N$6,3,FALSE)=0,"Spatial Data Missing",VLOOKUP(M119,'G-3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5"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8" t="str">
        <f>IF(G120="","",VLOOKUP(G120,'G-1 All Habitats'!$B$2:$M$129,10,FALSE))</f>
        <v/>
      </c>
      <c r="J120" s="499" t="str">
        <f>IFERROR(VLOOKUP(I120,'G-1 All Habitats'!$V$3:$W$7,2,FALSE),"")</f>
        <v/>
      </c>
      <c r="K120" s="71"/>
      <c r="L120" s="499" t="str">
        <f>IFERROR(INDEX('G-8 Condition Look up'!$A$3:$H$130,MATCH(G120,'G-8 Condition Look up'!$A$3:$A$130,0),MATCH(K120,'G-8 Condition Look up'!$A$3:$H$3,0)),"")</f>
        <v/>
      </c>
      <c r="M120" s="71"/>
      <c r="N120" s="520" t="str">
        <f>IF(M120="","",IF(VLOOKUP(M120,'G-3 Multipliers'!$L$3:$N$6,2,FALSE)=0,"Spatial Data Missing",VLOOKUP(M120,'G-3 Multipliers'!$L$3:$N$6,2,FALSE)))</f>
        <v/>
      </c>
      <c r="O120" s="505" t="str">
        <f>IF(M120="","",IF(VLOOKUP(M120,'G-3 Multipliers'!$L$3:$N$6,3,FALSE)=0,"Spatial Data Missing",VLOOKUP(M120,'G-3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5"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8" t="str">
        <f>IF(G121="","",VLOOKUP(G121,'G-1 All Habitats'!$B$2:$M$129,10,FALSE))</f>
        <v/>
      </c>
      <c r="J121" s="499" t="str">
        <f>IFERROR(VLOOKUP(I121,'G-1 All Habitats'!$V$3:$W$7,2,FALSE),"")</f>
        <v/>
      </c>
      <c r="K121" s="71"/>
      <c r="L121" s="499" t="str">
        <f>IFERROR(INDEX('G-8 Condition Look up'!$A$3:$H$130,MATCH(G121,'G-8 Condition Look up'!$A$3:$A$130,0),MATCH(K121,'G-8 Condition Look up'!$A$3:$H$3,0)),"")</f>
        <v/>
      </c>
      <c r="M121" s="71"/>
      <c r="N121" s="520" t="str">
        <f>IF(M121="","",IF(VLOOKUP(M121,'G-3 Multipliers'!$L$3:$N$6,2,FALSE)=0,"Spatial Data Missing",VLOOKUP(M121,'G-3 Multipliers'!$L$3:$N$6,2,FALSE)))</f>
        <v/>
      </c>
      <c r="O121" s="505" t="str">
        <f>IF(M121="","",IF(VLOOKUP(M121,'G-3 Multipliers'!$L$3:$N$6,3,FALSE)=0,"Spatial Data Missing",VLOOKUP(M121,'G-3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5"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8" t="str">
        <f>IF(G122="","",VLOOKUP(G122,'G-1 All Habitats'!$B$2:$M$129,10,FALSE))</f>
        <v/>
      </c>
      <c r="J122" s="499" t="str">
        <f>IFERROR(VLOOKUP(I122,'G-1 All Habitats'!$V$3:$W$7,2,FALSE),"")</f>
        <v/>
      </c>
      <c r="K122" s="71"/>
      <c r="L122" s="499" t="str">
        <f>IFERROR(INDEX('G-8 Condition Look up'!$A$3:$H$130,MATCH(G122,'G-8 Condition Look up'!$A$3:$A$130,0),MATCH(K122,'G-8 Condition Look up'!$A$3:$H$3,0)),"")</f>
        <v/>
      </c>
      <c r="M122" s="71"/>
      <c r="N122" s="520" t="str">
        <f>IF(M122="","",IF(VLOOKUP(M122,'G-3 Multipliers'!$L$3:$N$6,2,FALSE)=0,"Spatial Data Missing",VLOOKUP(M122,'G-3 Multipliers'!$L$3:$N$6,2,FALSE)))</f>
        <v/>
      </c>
      <c r="O122" s="505" t="str">
        <f>IF(M122="","",IF(VLOOKUP(M122,'G-3 Multipliers'!$L$3:$N$6,3,FALSE)=0,"Spatial Data Missing",VLOOKUP(M122,'G-3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5"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8" t="str">
        <f>IF(G123="","",VLOOKUP(G123,'G-1 All Habitats'!$B$2:$M$129,10,FALSE))</f>
        <v/>
      </c>
      <c r="J123" s="499" t="str">
        <f>IFERROR(VLOOKUP(I123,'G-1 All Habitats'!$V$3:$W$7,2,FALSE),"")</f>
        <v/>
      </c>
      <c r="K123" s="71"/>
      <c r="L123" s="499" t="str">
        <f>IFERROR(INDEX('G-8 Condition Look up'!$A$3:$H$130,MATCH(G123,'G-8 Condition Look up'!$A$3:$A$130,0),MATCH(K123,'G-8 Condition Look up'!$A$3:$H$3,0)),"")</f>
        <v/>
      </c>
      <c r="M123" s="71"/>
      <c r="N123" s="520" t="str">
        <f>IF(M123="","",IF(VLOOKUP(M123,'G-3 Multipliers'!$L$3:$N$6,2,FALSE)=0,"Spatial Data Missing",VLOOKUP(M123,'G-3 Multipliers'!$L$3:$N$6,2,FALSE)))</f>
        <v/>
      </c>
      <c r="O123" s="505" t="str">
        <f>IF(M123="","",IF(VLOOKUP(M123,'G-3 Multipliers'!$L$3:$N$6,3,FALSE)=0,"Spatial Data Missing",VLOOKUP(M123,'G-3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5"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8" t="str">
        <f>IF(G124="","",VLOOKUP(G124,'G-1 All Habitats'!$B$2:$M$129,10,FALSE))</f>
        <v/>
      </c>
      <c r="J124" s="499" t="str">
        <f>IFERROR(VLOOKUP(I124,'G-1 All Habitats'!$V$3:$W$7,2,FALSE),"")</f>
        <v/>
      </c>
      <c r="K124" s="71"/>
      <c r="L124" s="499" t="str">
        <f>IFERROR(INDEX('G-8 Condition Look up'!$A$3:$H$130,MATCH(G124,'G-8 Condition Look up'!$A$3:$A$130,0),MATCH(K124,'G-8 Condition Look up'!$A$3:$H$3,0)),"")</f>
        <v/>
      </c>
      <c r="M124" s="71"/>
      <c r="N124" s="520" t="str">
        <f>IF(M124="","",IF(VLOOKUP(M124,'G-3 Multipliers'!$L$3:$N$6,2,FALSE)=0,"Spatial Data Missing",VLOOKUP(M124,'G-3 Multipliers'!$L$3:$N$6,2,FALSE)))</f>
        <v/>
      </c>
      <c r="O124" s="505" t="str">
        <f>IF(M124="","",IF(VLOOKUP(M124,'G-3 Multipliers'!$L$3:$N$6,3,FALSE)=0,"Spatial Data Missing",VLOOKUP(M124,'G-3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5"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8" t="str">
        <f>IF(G125="","",VLOOKUP(G125,'G-1 All Habitats'!$B$2:$M$129,10,FALSE))</f>
        <v/>
      </c>
      <c r="J125" s="499" t="str">
        <f>IFERROR(VLOOKUP(I125,'G-1 All Habitats'!$V$3:$W$7,2,FALSE),"")</f>
        <v/>
      </c>
      <c r="K125" s="71"/>
      <c r="L125" s="499" t="str">
        <f>IFERROR(INDEX('G-8 Condition Look up'!$A$3:$H$130,MATCH(G125,'G-8 Condition Look up'!$A$3:$A$130,0),MATCH(K125,'G-8 Condition Look up'!$A$3:$H$3,0)),"")</f>
        <v/>
      </c>
      <c r="M125" s="71"/>
      <c r="N125" s="520" t="str">
        <f>IF(M125="","",IF(VLOOKUP(M125,'G-3 Multipliers'!$L$3:$N$6,2,FALSE)=0,"Spatial Data Missing",VLOOKUP(M125,'G-3 Multipliers'!$L$3:$N$6,2,FALSE)))</f>
        <v/>
      </c>
      <c r="O125" s="505" t="str">
        <f>IF(M125="","",IF(VLOOKUP(M125,'G-3 Multipliers'!$L$3:$N$6,3,FALSE)=0,"Spatial Data Missing",VLOOKUP(M125,'G-3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5"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8" t="str">
        <f>IF(G126="","",VLOOKUP(G126,'G-1 All Habitats'!$B$2:$M$129,10,FALSE))</f>
        <v/>
      </c>
      <c r="J126" s="499" t="str">
        <f>IFERROR(VLOOKUP(I126,'G-1 All Habitats'!$V$3:$W$7,2,FALSE),"")</f>
        <v/>
      </c>
      <c r="K126" s="71"/>
      <c r="L126" s="499" t="str">
        <f>IFERROR(INDEX('G-8 Condition Look up'!$A$3:$H$130,MATCH(G126,'G-8 Condition Look up'!$A$3:$A$130,0),MATCH(K126,'G-8 Condition Look up'!$A$3:$H$3,0)),"")</f>
        <v/>
      </c>
      <c r="M126" s="71"/>
      <c r="N126" s="520" t="str">
        <f>IF(M126="","",IF(VLOOKUP(M126,'G-3 Multipliers'!$L$3:$N$6,2,FALSE)=0,"Spatial Data Missing",VLOOKUP(M126,'G-3 Multipliers'!$L$3:$N$6,2,FALSE)))</f>
        <v/>
      </c>
      <c r="O126" s="505" t="str">
        <f>IF(M126="","",IF(VLOOKUP(M126,'G-3 Multipliers'!$L$3:$N$6,3,FALSE)=0,"Spatial Data Missing",VLOOKUP(M126,'G-3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5"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8" t="str">
        <f>IF(G127="","",VLOOKUP(G127,'G-1 All Habitats'!$B$2:$M$129,10,FALSE))</f>
        <v/>
      </c>
      <c r="J127" s="499" t="str">
        <f>IFERROR(VLOOKUP(I127,'G-1 All Habitats'!$V$3:$W$7,2,FALSE),"")</f>
        <v/>
      </c>
      <c r="K127" s="71"/>
      <c r="L127" s="499" t="str">
        <f>IFERROR(INDEX('G-8 Condition Look up'!$A$3:$H$130,MATCH(G127,'G-8 Condition Look up'!$A$3:$A$130,0),MATCH(K127,'G-8 Condition Look up'!$A$3:$H$3,0)),"")</f>
        <v/>
      </c>
      <c r="M127" s="71"/>
      <c r="N127" s="520" t="str">
        <f>IF(M127="","",IF(VLOOKUP(M127,'G-3 Multipliers'!$L$3:$N$6,2,FALSE)=0,"Spatial Data Missing",VLOOKUP(M127,'G-3 Multipliers'!$L$3:$N$6,2,FALSE)))</f>
        <v/>
      </c>
      <c r="O127" s="505" t="str">
        <f>IF(M127="","",IF(VLOOKUP(M127,'G-3 Multipliers'!$L$3:$N$6,3,FALSE)=0,"Spatial Data Missing",VLOOKUP(M127,'G-3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5"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8" t="str">
        <f>IF(G128="","",VLOOKUP(G128,'G-1 All Habitats'!$B$2:$M$129,10,FALSE))</f>
        <v/>
      </c>
      <c r="J128" s="499" t="str">
        <f>IFERROR(VLOOKUP(I128,'G-1 All Habitats'!$V$3:$W$7,2,FALSE),"")</f>
        <v/>
      </c>
      <c r="K128" s="71"/>
      <c r="L128" s="499" t="str">
        <f>IFERROR(INDEX('G-8 Condition Look up'!$A$3:$H$130,MATCH(G128,'G-8 Condition Look up'!$A$3:$A$130,0),MATCH(K128,'G-8 Condition Look up'!$A$3:$H$3,0)),"")</f>
        <v/>
      </c>
      <c r="M128" s="71"/>
      <c r="N128" s="520" t="str">
        <f>IF(M128="","",IF(VLOOKUP(M128,'G-3 Multipliers'!$L$3:$N$6,2,FALSE)=0,"Spatial Data Missing",VLOOKUP(M128,'G-3 Multipliers'!$L$3:$N$6,2,FALSE)))</f>
        <v/>
      </c>
      <c r="O128" s="505" t="str">
        <f>IF(M128="","",IF(VLOOKUP(M128,'G-3 Multipliers'!$L$3:$N$6,3,FALSE)=0,"Spatial Data Missing",VLOOKUP(M128,'G-3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5"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8" t="str">
        <f>IF(G129="","",VLOOKUP(G129,'G-1 All Habitats'!$B$2:$M$129,10,FALSE))</f>
        <v/>
      </c>
      <c r="J129" s="499" t="str">
        <f>IFERROR(VLOOKUP(I129,'G-1 All Habitats'!$V$3:$W$7,2,FALSE),"")</f>
        <v/>
      </c>
      <c r="K129" s="71"/>
      <c r="L129" s="499" t="str">
        <f>IFERROR(INDEX('G-8 Condition Look up'!$A$3:$H$130,MATCH(G129,'G-8 Condition Look up'!$A$3:$A$130,0),MATCH(K129,'G-8 Condition Look up'!$A$3:$H$3,0)),"")</f>
        <v/>
      </c>
      <c r="M129" s="71"/>
      <c r="N129" s="520" t="str">
        <f>IF(M129="","",IF(VLOOKUP(M129,'G-3 Multipliers'!$L$3:$N$6,2,FALSE)=0,"Spatial Data Missing",VLOOKUP(M129,'G-3 Multipliers'!$L$3:$N$6,2,FALSE)))</f>
        <v/>
      </c>
      <c r="O129" s="505" t="str">
        <f>IF(M129="","",IF(VLOOKUP(M129,'G-3 Multipliers'!$L$3:$N$6,3,FALSE)=0,"Spatial Data Missing",VLOOKUP(M129,'G-3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5"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8" t="str">
        <f>IF(G130="","",VLOOKUP(G130,'G-1 All Habitats'!$B$2:$M$129,10,FALSE))</f>
        <v/>
      </c>
      <c r="J130" s="499" t="str">
        <f>IFERROR(VLOOKUP(I130,'G-1 All Habitats'!$V$3:$W$7,2,FALSE),"")</f>
        <v/>
      </c>
      <c r="K130" s="71"/>
      <c r="L130" s="499" t="str">
        <f>IFERROR(INDEX('G-8 Condition Look up'!$A$3:$H$130,MATCH(G130,'G-8 Condition Look up'!$A$3:$A$130,0),MATCH(K130,'G-8 Condition Look up'!$A$3:$H$3,0)),"")</f>
        <v/>
      </c>
      <c r="M130" s="71"/>
      <c r="N130" s="520" t="str">
        <f>IF(M130="","",IF(VLOOKUP(M130,'G-3 Multipliers'!$L$3:$N$6,2,FALSE)=0,"Spatial Data Missing",VLOOKUP(M130,'G-3 Multipliers'!$L$3:$N$6,2,FALSE)))</f>
        <v/>
      </c>
      <c r="O130" s="505" t="str">
        <f>IF(M130="","",IF(VLOOKUP(M130,'G-3 Multipliers'!$L$3:$N$6,3,FALSE)=0,"Spatial Data Missing",VLOOKUP(M130,'G-3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5"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8" t="str">
        <f>IF(G131="","",VLOOKUP(G131,'G-1 All Habitats'!$B$2:$M$129,10,FALSE))</f>
        <v/>
      </c>
      <c r="J131" s="499" t="str">
        <f>IFERROR(VLOOKUP(I131,'G-1 All Habitats'!$V$3:$W$7,2,FALSE),"")</f>
        <v/>
      </c>
      <c r="K131" s="71"/>
      <c r="L131" s="499" t="str">
        <f>IFERROR(INDEX('G-8 Condition Look up'!$A$3:$H$130,MATCH(G131,'G-8 Condition Look up'!$A$3:$A$130,0),MATCH(K131,'G-8 Condition Look up'!$A$3:$H$3,0)),"")</f>
        <v/>
      </c>
      <c r="M131" s="71"/>
      <c r="N131" s="520" t="str">
        <f>IF(M131="","",IF(VLOOKUP(M131,'G-3 Multipliers'!$L$3:$N$6,2,FALSE)=0,"Spatial Data Missing",VLOOKUP(M131,'G-3 Multipliers'!$L$3:$N$6,2,FALSE)))</f>
        <v/>
      </c>
      <c r="O131" s="505" t="str">
        <f>IF(M131="","",IF(VLOOKUP(M131,'G-3 Multipliers'!$L$3:$N$6,3,FALSE)=0,"Spatial Data Missing",VLOOKUP(M131,'G-3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5"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8" t="str">
        <f>IF(G132="","",VLOOKUP(G132,'G-1 All Habitats'!$B$2:$M$129,10,FALSE))</f>
        <v/>
      </c>
      <c r="J132" s="499" t="str">
        <f>IFERROR(VLOOKUP(I132,'G-1 All Habitats'!$V$3:$W$7,2,FALSE),"")</f>
        <v/>
      </c>
      <c r="K132" s="71"/>
      <c r="L132" s="499" t="str">
        <f>IFERROR(INDEX('G-8 Condition Look up'!$A$3:$H$130,MATCH(G132,'G-8 Condition Look up'!$A$3:$A$130,0),MATCH(K132,'G-8 Condition Look up'!$A$3:$H$3,0)),"")</f>
        <v/>
      </c>
      <c r="M132" s="71"/>
      <c r="N132" s="520" t="str">
        <f>IF(M132="","",IF(VLOOKUP(M132,'G-3 Multipliers'!$L$3:$N$6,2,FALSE)=0,"Spatial Data Missing",VLOOKUP(M132,'G-3 Multipliers'!$L$3:$N$6,2,FALSE)))</f>
        <v/>
      </c>
      <c r="O132" s="505" t="str">
        <f>IF(M132="","",IF(VLOOKUP(M132,'G-3 Multipliers'!$L$3:$N$6,3,FALSE)=0,"Spatial Data Missing",VLOOKUP(M132,'G-3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5"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8" t="str">
        <f>IF(G133="","",VLOOKUP(G133,'G-1 All Habitats'!$B$2:$M$129,10,FALSE))</f>
        <v/>
      </c>
      <c r="J133" s="499" t="str">
        <f>IFERROR(VLOOKUP(I133,'G-1 All Habitats'!$V$3:$W$7,2,FALSE),"")</f>
        <v/>
      </c>
      <c r="K133" s="71"/>
      <c r="L133" s="499" t="str">
        <f>IFERROR(INDEX('G-8 Condition Look up'!$A$3:$H$130,MATCH(G133,'G-8 Condition Look up'!$A$3:$A$130,0),MATCH(K133,'G-8 Condition Look up'!$A$3:$H$3,0)),"")</f>
        <v/>
      </c>
      <c r="M133" s="71"/>
      <c r="N133" s="520" t="str">
        <f>IF(M133="","",IF(VLOOKUP(M133,'G-3 Multipliers'!$L$3:$N$6,2,FALSE)=0,"Spatial Data Missing",VLOOKUP(M133,'G-3 Multipliers'!$L$3:$N$6,2,FALSE)))</f>
        <v/>
      </c>
      <c r="O133" s="505" t="str">
        <f>IF(M133="","",IF(VLOOKUP(M133,'G-3 Multipliers'!$L$3:$N$6,3,FALSE)=0,"Spatial Data Missing",VLOOKUP(M133,'G-3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5"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8" t="str">
        <f>IF(G134="","",VLOOKUP(G134,'G-1 All Habitats'!$B$2:$M$129,10,FALSE))</f>
        <v/>
      </c>
      <c r="J134" s="499" t="str">
        <f>IFERROR(VLOOKUP(I134,'G-1 All Habitats'!$V$3:$W$7,2,FALSE),"")</f>
        <v/>
      </c>
      <c r="K134" s="71"/>
      <c r="L134" s="499" t="str">
        <f>IFERROR(INDEX('G-8 Condition Look up'!$A$3:$H$130,MATCH(G134,'G-8 Condition Look up'!$A$3:$A$130,0),MATCH(K134,'G-8 Condition Look up'!$A$3:$H$3,0)),"")</f>
        <v/>
      </c>
      <c r="M134" s="71"/>
      <c r="N134" s="520" t="str">
        <f>IF(M134="","",IF(VLOOKUP(M134,'G-3 Multipliers'!$L$3:$N$6,2,FALSE)=0,"Spatial Data Missing",VLOOKUP(M134,'G-3 Multipliers'!$L$3:$N$6,2,FALSE)))</f>
        <v/>
      </c>
      <c r="O134" s="505" t="str">
        <f>IF(M134="","",IF(VLOOKUP(M134,'G-3 Multipliers'!$L$3:$N$6,3,FALSE)=0,"Spatial Data Missing",VLOOKUP(M134,'G-3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5"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8" t="str">
        <f>IF(G135="","",VLOOKUP(G135,'G-1 All Habitats'!$B$2:$M$129,10,FALSE))</f>
        <v/>
      </c>
      <c r="J135" s="499" t="str">
        <f>IFERROR(VLOOKUP(I135,'G-1 All Habitats'!$V$3:$W$7,2,FALSE),"")</f>
        <v/>
      </c>
      <c r="K135" s="71"/>
      <c r="L135" s="499" t="str">
        <f>IFERROR(INDEX('G-8 Condition Look up'!$A$3:$H$130,MATCH(G135,'G-8 Condition Look up'!$A$3:$A$130,0),MATCH(K135,'G-8 Condition Look up'!$A$3:$H$3,0)),"")</f>
        <v/>
      </c>
      <c r="M135" s="71"/>
      <c r="N135" s="520" t="str">
        <f>IF(M135="","",IF(VLOOKUP(M135,'G-3 Multipliers'!$L$3:$N$6,2,FALSE)=0,"Spatial Data Missing",VLOOKUP(M135,'G-3 Multipliers'!$L$3:$N$6,2,FALSE)))</f>
        <v/>
      </c>
      <c r="O135" s="505" t="str">
        <f>IF(M135="","",IF(VLOOKUP(M135,'G-3 Multipliers'!$L$3:$N$6,3,FALSE)=0,"Spatial Data Missing",VLOOKUP(M135,'G-3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5"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8" t="str">
        <f>IF(G136="","",VLOOKUP(G136,'G-1 All Habitats'!$B$2:$M$129,10,FALSE))</f>
        <v/>
      </c>
      <c r="J136" s="499" t="str">
        <f>IFERROR(VLOOKUP(I136,'G-1 All Habitats'!$V$3:$W$7,2,FALSE),"")</f>
        <v/>
      </c>
      <c r="K136" s="71"/>
      <c r="L136" s="499" t="str">
        <f>IFERROR(INDEX('G-8 Condition Look up'!$A$3:$H$130,MATCH(G136,'G-8 Condition Look up'!$A$3:$A$130,0),MATCH(K136,'G-8 Condition Look up'!$A$3:$H$3,0)),"")</f>
        <v/>
      </c>
      <c r="M136" s="71"/>
      <c r="N136" s="520" t="str">
        <f>IF(M136="","",IF(VLOOKUP(M136,'G-3 Multipliers'!$L$3:$N$6,2,FALSE)=0,"Spatial Data Missing",VLOOKUP(M136,'G-3 Multipliers'!$L$3:$N$6,2,FALSE)))</f>
        <v/>
      </c>
      <c r="O136" s="505" t="str">
        <f>IF(M136="","",IF(VLOOKUP(M136,'G-3 Multipliers'!$L$3:$N$6,3,FALSE)=0,"Spatial Data Missing",VLOOKUP(M136,'G-3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5"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8" t="str">
        <f>IF(G137="","",VLOOKUP(G137,'G-1 All Habitats'!$B$2:$M$129,10,FALSE))</f>
        <v/>
      </c>
      <c r="J137" s="499" t="str">
        <f>IFERROR(VLOOKUP(I137,'G-1 All Habitats'!$V$3:$W$7,2,FALSE),"")</f>
        <v/>
      </c>
      <c r="K137" s="71"/>
      <c r="L137" s="499" t="str">
        <f>IFERROR(INDEX('G-8 Condition Look up'!$A$3:$H$130,MATCH(G137,'G-8 Condition Look up'!$A$3:$A$130,0),MATCH(K137,'G-8 Condition Look up'!$A$3:$H$3,0)),"")</f>
        <v/>
      </c>
      <c r="M137" s="71"/>
      <c r="N137" s="520" t="str">
        <f>IF(M137="","",IF(VLOOKUP(M137,'G-3 Multipliers'!$L$3:$N$6,2,FALSE)=0,"Spatial Data Missing",VLOOKUP(M137,'G-3 Multipliers'!$L$3:$N$6,2,FALSE)))</f>
        <v/>
      </c>
      <c r="O137" s="505" t="str">
        <f>IF(M137="","",IF(VLOOKUP(M137,'G-3 Multipliers'!$L$3:$N$6,3,FALSE)=0,"Spatial Data Missing",VLOOKUP(M137,'G-3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5"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8" t="str">
        <f>IF(G138="","",VLOOKUP(G138,'G-1 All Habitats'!$B$2:$M$129,10,FALSE))</f>
        <v/>
      </c>
      <c r="J138" s="499" t="str">
        <f>IFERROR(VLOOKUP(I138,'G-1 All Habitats'!$V$3:$W$7,2,FALSE),"")</f>
        <v/>
      </c>
      <c r="K138" s="71"/>
      <c r="L138" s="499" t="str">
        <f>IFERROR(INDEX('G-8 Condition Look up'!$A$3:$H$130,MATCH(G138,'G-8 Condition Look up'!$A$3:$A$130,0),MATCH(K138,'G-8 Condition Look up'!$A$3:$H$3,0)),"")</f>
        <v/>
      </c>
      <c r="M138" s="71"/>
      <c r="N138" s="520" t="str">
        <f>IF(M138="","",IF(VLOOKUP(M138,'G-3 Multipliers'!$L$3:$N$6,2,FALSE)=0,"Spatial Data Missing",VLOOKUP(M138,'G-3 Multipliers'!$L$3:$N$6,2,FALSE)))</f>
        <v/>
      </c>
      <c r="O138" s="505" t="str">
        <f>IF(M138="","",IF(VLOOKUP(M138,'G-3 Multipliers'!$L$3:$N$6,3,FALSE)=0,"Spatial Data Missing",VLOOKUP(M138,'G-3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5"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8" t="str">
        <f>IF(G139="","",VLOOKUP(G139,'G-1 All Habitats'!$B$2:$M$129,10,FALSE))</f>
        <v/>
      </c>
      <c r="J139" s="499" t="str">
        <f>IFERROR(VLOOKUP(I139,'G-1 All Habitats'!$V$3:$W$7,2,FALSE),"")</f>
        <v/>
      </c>
      <c r="K139" s="71"/>
      <c r="L139" s="499" t="str">
        <f>IFERROR(INDEX('G-8 Condition Look up'!$A$3:$H$130,MATCH(G139,'G-8 Condition Look up'!$A$3:$A$130,0),MATCH(K139,'G-8 Condition Look up'!$A$3:$H$3,0)),"")</f>
        <v/>
      </c>
      <c r="M139" s="71"/>
      <c r="N139" s="520" t="str">
        <f>IF(M139="","",IF(VLOOKUP(M139,'G-3 Multipliers'!$L$3:$N$6,2,FALSE)=0,"Spatial Data Missing",VLOOKUP(M139,'G-3 Multipliers'!$L$3:$N$6,2,FALSE)))</f>
        <v/>
      </c>
      <c r="O139" s="505" t="str">
        <f>IF(M139="","",IF(VLOOKUP(M139,'G-3 Multipliers'!$L$3:$N$6,3,FALSE)=0,"Spatial Data Missing",VLOOKUP(M139,'G-3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5"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8" t="str">
        <f>IF(G140="","",VLOOKUP(G140,'G-1 All Habitats'!$B$2:$M$129,10,FALSE))</f>
        <v/>
      </c>
      <c r="J140" s="499" t="str">
        <f>IFERROR(VLOOKUP(I140,'G-1 All Habitats'!$V$3:$W$7,2,FALSE),"")</f>
        <v/>
      </c>
      <c r="K140" s="71"/>
      <c r="L140" s="499" t="str">
        <f>IFERROR(INDEX('G-8 Condition Look up'!$A$3:$H$130,MATCH(G140,'G-8 Condition Look up'!$A$3:$A$130,0),MATCH(K140,'G-8 Condition Look up'!$A$3:$H$3,0)),"")</f>
        <v/>
      </c>
      <c r="M140" s="71"/>
      <c r="N140" s="520" t="str">
        <f>IF(M140="","",IF(VLOOKUP(M140,'G-3 Multipliers'!$L$3:$N$6,2,FALSE)=0,"Spatial Data Missing",VLOOKUP(M140,'G-3 Multipliers'!$L$3:$N$6,2,FALSE)))</f>
        <v/>
      </c>
      <c r="O140" s="505" t="str">
        <f>IF(M140="","",IF(VLOOKUP(M140,'G-3 Multipliers'!$L$3:$N$6,3,FALSE)=0,"Spatial Data Missing",VLOOKUP(M140,'G-3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1" t="str">
        <f t="shared" si="8"/>
        <v/>
      </c>
      <c r="V140" s="511" t="str">
        <f t="shared" si="9"/>
        <v/>
      </c>
      <c r="W140" s="511"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5"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8" t="str">
        <f>IF(G141="","",VLOOKUP(G141,'G-1 All Habitats'!$B$2:$M$129,10,FALSE))</f>
        <v/>
      </c>
      <c r="J141" s="499" t="str">
        <f>IFERROR(VLOOKUP(I141,'G-1 All Habitats'!$V$3:$W$7,2,FALSE),"")</f>
        <v/>
      </c>
      <c r="K141" s="71"/>
      <c r="L141" s="499" t="str">
        <f>IFERROR(INDEX('G-8 Condition Look up'!$A$3:$H$130,MATCH(G141,'G-8 Condition Look up'!$A$3:$A$130,0),MATCH(K141,'G-8 Condition Look up'!$A$3:$H$3,0)),"")</f>
        <v/>
      </c>
      <c r="M141" s="71"/>
      <c r="N141" s="520" t="str">
        <f>IF(M141="","",IF(VLOOKUP(M141,'G-3 Multipliers'!$L$3:$N$6,2,FALSE)=0,"Spatial Data Missing",VLOOKUP(M141,'G-3 Multipliers'!$L$3:$N$6,2,FALSE)))</f>
        <v/>
      </c>
      <c r="O141" s="505" t="str">
        <f>IF(M141="","",IF(VLOOKUP(M141,'G-3 Multipliers'!$L$3:$N$6,3,FALSE)=0,"Spatial Data Missing",VLOOKUP(M141,'G-3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1" t="str">
        <f t="shared" ref="U141:U204" si="13">IFERROR(S141*J141*L141*O141,"")</f>
        <v/>
      </c>
      <c r="V141" s="511" t="str">
        <f t="shared" ref="V141:V204" si="14">IFERROR(T141*J141*L141*O141,"")</f>
        <v/>
      </c>
      <c r="W141" s="511"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5"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8" t="str">
        <f>IF(G142="","",VLOOKUP(G142,'G-1 All Habitats'!$B$2:$M$129,10,FALSE))</f>
        <v/>
      </c>
      <c r="J142" s="499" t="str">
        <f>IFERROR(VLOOKUP(I142,'G-1 All Habitats'!$V$3:$W$7,2,FALSE),"")</f>
        <v/>
      </c>
      <c r="K142" s="71"/>
      <c r="L142" s="499" t="str">
        <f>IFERROR(INDEX('G-8 Condition Look up'!$A$3:$H$130,MATCH(G142,'G-8 Condition Look up'!$A$3:$A$130,0),MATCH(K142,'G-8 Condition Look up'!$A$3:$H$3,0)),"")</f>
        <v/>
      </c>
      <c r="M142" s="71"/>
      <c r="N142" s="520" t="str">
        <f>IF(M142="","",IF(VLOOKUP(M142,'G-3 Multipliers'!$L$3:$N$6,2,FALSE)=0,"Spatial Data Missing",VLOOKUP(M142,'G-3 Multipliers'!$L$3:$N$6,2,FALSE)))</f>
        <v/>
      </c>
      <c r="O142" s="505" t="str">
        <f>IF(M142="","",IF(VLOOKUP(M142,'G-3 Multipliers'!$L$3:$N$6,3,FALSE)=0,"Spatial Data Missing",VLOOKUP(M142,'G-3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1" t="str">
        <f t="shared" si="13"/>
        <v/>
      </c>
      <c r="V142" s="511" t="str">
        <f t="shared" si="14"/>
        <v/>
      </c>
      <c r="W142" s="511"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5"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8" t="str">
        <f>IF(G143="","",VLOOKUP(G143,'G-1 All Habitats'!$B$2:$M$129,10,FALSE))</f>
        <v/>
      </c>
      <c r="J143" s="499" t="str">
        <f>IFERROR(VLOOKUP(I143,'G-1 All Habitats'!$V$3:$W$7,2,FALSE),"")</f>
        <v/>
      </c>
      <c r="K143" s="71"/>
      <c r="L143" s="499" t="str">
        <f>IFERROR(INDEX('G-8 Condition Look up'!$A$3:$H$130,MATCH(G143,'G-8 Condition Look up'!$A$3:$A$130,0),MATCH(K143,'G-8 Condition Look up'!$A$3:$H$3,0)),"")</f>
        <v/>
      </c>
      <c r="M143" s="71"/>
      <c r="N143" s="520" t="str">
        <f>IF(M143="","",IF(VLOOKUP(M143,'G-3 Multipliers'!$L$3:$N$6,2,FALSE)=0,"Spatial Data Missing",VLOOKUP(M143,'G-3 Multipliers'!$L$3:$N$6,2,FALSE)))</f>
        <v/>
      </c>
      <c r="O143" s="505" t="str">
        <f>IF(M143="","",IF(VLOOKUP(M143,'G-3 Multipliers'!$L$3:$N$6,3,FALSE)=0,"Spatial Data Missing",VLOOKUP(M143,'G-3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1" t="str">
        <f t="shared" si="13"/>
        <v/>
      </c>
      <c r="V143" s="511" t="str">
        <f t="shared" si="14"/>
        <v/>
      </c>
      <c r="W143" s="511"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5"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8" t="str">
        <f>IF(G144="","",VLOOKUP(G144,'G-1 All Habitats'!$B$2:$M$129,10,FALSE))</f>
        <v/>
      </c>
      <c r="J144" s="499" t="str">
        <f>IFERROR(VLOOKUP(I144,'G-1 All Habitats'!$V$3:$W$7,2,FALSE),"")</f>
        <v/>
      </c>
      <c r="K144" s="71"/>
      <c r="L144" s="499" t="str">
        <f>IFERROR(INDEX('G-8 Condition Look up'!$A$3:$H$130,MATCH(G144,'G-8 Condition Look up'!$A$3:$A$130,0),MATCH(K144,'G-8 Condition Look up'!$A$3:$H$3,0)),"")</f>
        <v/>
      </c>
      <c r="M144" s="71"/>
      <c r="N144" s="520" t="str">
        <f>IF(M144="","",IF(VLOOKUP(M144,'G-3 Multipliers'!$L$3:$N$6,2,FALSE)=0,"Spatial Data Missing",VLOOKUP(M144,'G-3 Multipliers'!$L$3:$N$6,2,FALSE)))</f>
        <v/>
      </c>
      <c r="O144" s="505" t="str">
        <f>IF(M144="","",IF(VLOOKUP(M144,'G-3 Multipliers'!$L$3:$N$6,3,FALSE)=0,"Spatial Data Missing",VLOOKUP(M144,'G-3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1" t="str">
        <f t="shared" si="13"/>
        <v/>
      </c>
      <c r="V144" s="511" t="str">
        <f t="shared" si="14"/>
        <v/>
      </c>
      <c r="W144" s="511"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5"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8" t="str">
        <f>IF(G145="","",VLOOKUP(G145,'G-1 All Habitats'!$B$2:$M$129,10,FALSE))</f>
        <v/>
      </c>
      <c r="J145" s="499" t="str">
        <f>IFERROR(VLOOKUP(I145,'G-1 All Habitats'!$V$3:$W$7,2,FALSE),"")</f>
        <v/>
      </c>
      <c r="K145" s="71"/>
      <c r="L145" s="499" t="str">
        <f>IFERROR(INDEX('G-8 Condition Look up'!$A$3:$H$130,MATCH(G145,'G-8 Condition Look up'!$A$3:$A$130,0),MATCH(K145,'G-8 Condition Look up'!$A$3:$H$3,0)),"")</f>
        <v/>
      </c>
      <c r="M145" s="71"/>
      <c r="N145" s="520" t="str">
        <f>IF(M145="","",IF(VLOOKUP(M145,'G-3 Multipliers'!$L$3:$N$6,2,FALSE)=0,"Spatial Data Missing",VLOOKUP(M145,'G-3 Multipliers'!$L$3:$N$6,2,FALSE)))</f>
        <v/>
      </c>
      <c r="O145" s="505" t="str">
        <f>IF(M145="","",IF(VLOOKUP(M145,'G-3 Multipliers'!$L$3:$N$6,3,FALSE)=0,"Spatial Data Missing",VLOOKUP(M145,'G-3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1" t="str">
        <f t="shared" si="13"/>
        <v/>
      </c>
      <c r="V145" s="511" t="str">
        <f t="shared" si="14"/>
        <v/>
      </c>
      <c r="W145" s="511"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5"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8" t="str">
        <f>IF(G146="","",VLOOKUP(G146,'G-1 All Habitats'!$B$2:$M$129,10,FALSE))</f>
        <v/>
      </c>
      <c r="J146" s="499" t="str">
        <f>IFERROR(VLOOKUP(I146,'G-1 All Habitats'!$V$3:$W$7,2,FALSE),"")</f>
        <v/>
      </c>
      <c r="K146" s="71"/>
      <c r="L146" s="499" t="str">
        <f>IFERROR(INDEX('G-8 Condition Look up'!$A$3:$H$130,MATCH(G146,'G-8 Condition Look up'!$A$3:$A$130,0),MATCH(K146,'G-8 Condition Look up'!$A$3:$H$3,0)),"")</f>
        <v/>
      </c>
      <c r="M146" s="71"/>
      <c r="N146" s="520" t="str">
        <f>IF(M146="","",IF(VLOOKUP(M146,'G-3 Multipliers'!$L$3:$N$6,2,FALSE)=0,"Spatial Data Missing",VLOOKUP(M146,'G-3 Multipliers'!$L$3:$N$6,2,FALSE)))</f>
        <v/>
      </c>
      <c r="O146" s="505" t="str">
        <f>IF(M146="","",IF(VLOOKUP(M146,'G-3 Multipliers'!$L$3:$N$6,3,FALSE)=0,"Spatial Data Missing",VLOOKUP(M146,'G-3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1" t="str">
        <f t="shared" si="13"/>
        <v/>
      </c>
      <c r="V146" s="511" t="str">
        <f t="shared" si="14"/>
        <v/>
      </c>
      <c r="W146" s="511"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5"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8" t="str">
        <f>IF(G147="","",VLOOKUP(G147,'G-1 All Habitats'!$B$2:$M$129,10,FALSE))</f>
        <v/>
      </c>
      <c r="J147" s="499" t="str">
        <f>IFERROR(VLOOKUP(I147,'G-1 All Habitats'!$V$3:$W$7,2,FALSE),"")</f>
        <v/>
      </c>
      <c r="K147" s="71"/>
      <c r="L147" s="499" t="str">
        <f>IFERROR(INDEX('G-8 Condition Look up'!$A$3:$H$130,MATCH(G147,'G-8 Condition Look up'!$A$3:$A$130,0),MATCH(K147,'G-8 Condition Look up'!$A$3:$H$3,0)),"")</f>
        <v/>
      </c>
      <c r="M147" s="71"/>
      <c r="N147" s="520" t="str">
        <f>IF(M147="","",IF(VLOOKUP(M147,'G-3 Multipliers'!$L$3:$N$6,2,FALSE)=0,"Spatial Data Missing",VLOOKUP(M147,'G-3 Multipliers'!$L$3:$N$6,2,FALSE)))</f>
        <v/>
      </c>
      <c r="O147" s="505" t="str">
        <f>IF(M147="","",IF(VLOOKUP(M147,'G-3 Multipliers'!$L$3:$N$6,3,FALSE)=0,"Spatial Data Missing",VLOOKUP(M147,'G-3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1" t="str">
        <f t="shared" si="13"/>
        <v/>
      </c>
      <c r="V147" s="511" t="str">
        <f t="shared" si="14"/>
        <v/>
      </c>
      <c r="W147" s="511"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5"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8" t="str">
        <f>IF(G148="","",VLOOKUP(G148,'G-1 All Habitats'!$B$2:$M$129,10,FALSE))</f>
        <v/>
      </c>
      <c r="J148" s="499" t="str">
        <f>IFERROR(VLOOKUP(I148,'G-1 All Habitats'!$V$3:$W$7,2,FALSE),"")</f>
        <v/>
      </c>
      <c r="K148" s="71"/>
      <c r="L148" s="499" t="str">
        <f>IFERROR(INDEX('G-8 Condition Look up'!$A$3:$H$130,MATCH(G148,'G-8 Condition Look up'!$A$3:$A$130,0),MATCH(K148,'G-8 Condition Look up'!$A$3:$H$3,0)),"")</f>
        <v/>
      </c>
      <c r="M148" s="71"/>
      <c r="N148" s="520" t="str">
        <f>IF(M148="","",IF(VLOOKUP(M148,'G-3 Multipliers'!$L$3:$N$6,2,FALSE)=0,"Spatial Data Missing",VLOOKUP(M148,'G-3 Multipliers'!$L$3:$N$6,2,FALSE)))</f>
        <v/>
      </c>
      <c r="O148" s="505" t="str">
        <f>IF(M148="","",IF(VLOOKUP(M148,'G-3 Multipliers'!$L$3:$N$6,3,FALSE)=0,"Spatial Data Missing",VLOOKUP(M148,'G-3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1" t="str">
        <f t="shared" si="13"/>
        <v/>
      </c>
      <c r="V148" s="511" t="str">
        <f t="shared" si="14"/>
        <v/>
      </c>
      <c r="W148" s="511"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5"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8" t="str">
        <f>IF(G149="","",VLOOKUP(G149,'G-1 All Habitats'!$B$2:$M$129,10,FALSE))</f>
        <v/>
      </c>
      <c r="J149" s="499" t="str">
        <f>IFERROR(VLOOKUP(I149,'G-1 All Habitats'!$V$3:$W$7,2,FALSE),"")</f>
        <v/>
      </c>
      <c r="K149" s="71"/>
      <c r="L149" s="499" t="str">
        <f>IFERROR(INDEX('G-8 Condition Look up'!$A$3:$H$130,MATCH(G149,'G-8 Condition Look up'!$A$3:$A$130,0),MATCH(K149,'G-8 Condition Look up'!$A$3:$H$3,0)),"")</f>
        <v/>
      </c>
      <c r="M149" s="71"/>
      <c r="N149" s="520" t="str">
        <f>IF(M149="","",IF(VLOOKUP(M149,'G-3 Multipliers'!$L$3:$N$6,2,FALSE)=0,"Spatial Data Missing",VLOOKUP(M149,'G-3 Multipliers'!$L$3:$N$6,2,FALSE)))</f>
        <v/>
      </c>
      <c r="O149" s="505" t="str">
        <f>IF(M149="","",IF(VLOOKUP(M149,'G-3 Multipliers'!$L$3:$N$6,3,FALSE)=0,"Spatial Data Missing",VLOOKUP(M149,'G-3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1" t="str">
        <f t="shared" si="13"/>
        <v/>
      </c>
      <c r="V149" s="511" t="str">
        <f t="shared" si="14"/>
        <v/>
      </c>
      <c r="W149" s="511"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5"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8" t="str">
        <f>IF(G150="","",VLOOKUP(G150,'G-1 All Habitats'!$B$2:$M$129,10,FALSE))</f>
        <v/>
      </c>
      <c r="J150" s="499" t="str">
        <f>IFERROR(VLOOKUP(I150,'G-1 All Habitats'!$V$3:$W$7,2,FALSE),"")</f>
        <v/>
      </c>
      <c r="K150" s="71"/>
      <c r="L150" s="499" t="str">
        <f>IFERROR(INDEX('G-8 Condition Look up'!$A$3:$H$130,MATCH(G150,'G-8 Condition Look up'!$A$3:$A$130,0),MATCH(K150,'G-8 Condition Look up'!$A$3:$H$3,0)),"")</f>
        <v/>
      </c>
      <c r="M150" s="71"/>
      <c r="N150" s="520" t="str">
        <f>IF(M150="","",IF(VLOOKUP(M150,'G-3 Multipliers'!$L$3:$N$6,2,FALSE)=0,"Spatial Data Missing",VLOOKUP(M150,'G-3 Multipliers'!$L$3:$N$6,2,FALSE)))</f>
        <v/>
      </c>
      <c r="O150" s="505" t="str">
        <f>IF(M150="","",IF(VLOOKUP(M150,'G-3 Multipliers'!$L$3:$N$6,3,FALSE)=0,"Spatial Data Missing",VLOOKUP(M150,'G-3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1" t="str">
        <f t="shared" si="13"/>
        <v/>
      </c>
      <c r="V150" s="511" t="str">
        <f t="shared" si="14"/>
        <v/>
      </c>
      <c r="W150" s="511"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5"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8" t="str">
        <f>IF(G151="","",VLOOKUP(G151,'G-1 All Habitats'!$B$2:$M$129,10,FALSE))</f>
        <v/>
      </c>
      <c r="J151" s="499" t="str">
        <f>IFERROR(VLOOKUP(I151,'G-1 All Habitats'!$V$3:$W$7,2,FALSE),"")</f>
        <v/>
      </c>
      <c r="K151" s="71"/>
      <c r="L151" s="499" t="str">
        <f>IFERROR(INDEX('G-8 Condition Look up'!$A$3:$H$130,MATCH(G151,'G-8 Condition Look up'!$A$3:$A$130,0),MATCH(K151,'G-8 Condition Look up'!$A$3:$H$3,0)),"")</f>
        <v/>
      </c>
      <c r="M151" s="71"/>
      <c r="N151" s="520" t="str">
        <f>IF(M151="","",IF(VLOOKUP(M151,'G-3 Multipliers'!$L$3:$N$6,2,FALSE)=0,"Spatial Data Missing",VLOOKUP(M151,'G-3 Multipliers'!$L$3:$N$6,2,FALSE)))</f>
        <v/>
      </c>
      <c r="O151" s="505" t="str">
        <f>IF(M151="","",IF(VLOOKUP(M151,'G-3 Multipliers'!$L$3:$N$6,3,FALSE)=0,"Spatial Data Missing",VLOOKUP(M151,'G-3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1" t="str">
        <f t="shared" si="13"/>
        <v/>
      </c>
      <c r="V151" s="511" t="str">
        <f t="shared" si="14"/>
        <v/>
      </c>
      <c r="W151" s="511"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5"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8" t="str">
        <f>IF(G152="","",VLOOKUP(G152,'G-1 All Habitats'!$B$2:$M$129,10,FALSE))</f>
        <v/>
      </c>
      <c r="J152" s="499" t="str">
        <f>IFERROR(VLOOKUP(I152,'G-1 All Habitats'!$V$3:$W$7,2,FALSE),"")</f>
        <v/>
      </c>
      <c r="K152" s="71"/>
      <c r="L152" s="499" t="str">
        <f>IFERROR(INDEX('G-8 Condition Look up'!$A$3:$H$130,MATCH(G152,'G-8 Condition Look up'!$A$3:$A$130,0),MATCH(K152,'G-8 Condition Look up'!$A$3:$H$3,0)),"")</f>
        <v/>
      </c>
      <c r="M152" s="71"/>
      <c r="N152" s="520" t="str">
        <f>IF(M152="","",IF(VLOOKUP(M152,'G-3 Multipliers'!$L$3:$N$6,2,FALSE)=0,"Spatial Data Missing",VLOOKUP(M152,'G-3 Multipliers'!$L$3:$N$6,2,FALSE)))</f>
        <v/>
      </c>
      <c r="O152" s="505" t="str">
        <f>IF(M152="","",IF(VLOOKUP(M152,'G-3 Multipliers'!$L$3:$N$6,3,FALSE)=0,"Spatial Data Missing",VLOOKUP(M152,'G-3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1" t="str">
        <f t="shared" si="13"/>
        <v/>
      </c>
      <c r="V152" s="511" t="str">
        <f t="shared" si="14"/>
        <v/>
      </c>
      <c r="W152" s="511"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5"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8" t="str">
        <f>IF(G153="","",VLOOKUP(G153,'G-1 All Habitats'!$B$2:$M$129,10,FALSE))</f>
        <v/>
      </c>
      <c r="J153" s="499" t="str">
        <f>IFERROR(VLOOKUP(I153,'G-1 All Habitats'!$V$3:$W$7,2,FALSE),"")</f>
        <v/>
      </c>
      <c r="K153" s="71"/>
      <c r="L153" s="499" t="str">
        <f>IFERROR(INDEX('G-8 Condition Look up'!$A$3:$H$130,MATCH(G153,'G-8 Condition Look up'!$A$3:$A$130,0),MATCH(K153,'G-8 Condition Look up'!$A$3:$H$3,0)),"")</f>
        <v/>
      </c>
      <c r="M153" s="71"/>
      <c r="N153" s="520" t="str">
        <f>IF(M153="","",IF(VLOOKUP(M153,'G-3 Multipliers'!$L$3:$N$6,2,FALSE)=0,"Spatial Data Missing",VLOOKUP(M153,'G-3 Multipliers'!$L$3:$N$6,2,FALSE)))</f>
        <v/>
      </c>
      <c r="O153" s="505" t="str">
        <f>IF(M153="","",IF(VLOOKUP(M153,'G-3 Multipliers'!$L$3:$N$6,3,FALSE)=0,"Spatial Data Missing",VLOOKUP(M153,'G-3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1" t="str">
        <f t="shared" si="13"/>
        <v/>
      </c>
      <c r="V153" s="511" t="str">
        <f t="shared" si="14"/>
        <v/>
      </c>
      <c r="W153" s="511"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5"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8" t="str">
        <f>IF(G154="","",VLOOKUP(G154,'G-1 All Habitats'!$B$2:$M$129,10,FALSE))</f>
        <v/>
      </c>
      <c r="J154" s="499" t="str">
        <f>IFERROR(VLOOKUP(I154,'G-1 All Habitats'!$V$3:$W$7,2,FALSE),"")</f>
        <v/>
      </c>
      <c r="K154" s="71"/>
      <c r="L154" s="499" t="str">
        <f>IFERROR(INDEX('G-8 Condition Look up'!$A$3:$H$130,MATCH(G154,'G-8 Condition Look up'!$A$3:$A$130,0),MATCH(K154,'G-8 Condition Look up'!$A$3:$H$3,0)),"")</f>
        <v/>
      </c>
      <c r="M154" s="71"/>
      <c r="N154" s="520" t="str">
        <f>IF(M154="","",IF(VLOOKUP(M154,'G-3 Multipliers'!$L$3:$N$6,2,FALSE)=0,"Spatial Data Missing",VLOOKUP(M154,'G-3 Multipliers'!$L$3:$N$6,2,FALSE)))</f>
        <v/>
      </c>
      <c r="O154" s="505" t="str">
        <f>IF(M154="","",IF(VLOOKUP(M154,'G-3 Multipliers'!$L$3:$N$6,3,FALSE)=0,"Spatial Data Missing",VLOOKUP(M154,'G-3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1" t="str">
        <f t="shared" si="13"/>
        <v/>
      </c>
      <c r="V154" s="511" t="str">
        <f t="shared" si="14"/>
        <v/>
      </c>
      <c r="W154" s="511"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5"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8" t="str">
        <f>IF(G155="","",VLOOKUP(G155,'G-1 All Habitats'!$B$2:$M$129,10,FALSE))</f>
        <v/>
      </c>
      <c r="J155" s="499" t="str">
        <f>IFERROR(VLOOKUP(I155,'G-1 All Habitats'!$V$3:$W$7,2,FALSE),"")</f>
        <v/>
      </c>
      <c r="K155" s="71"/>
      <c r="L155" s="499" t="str">
        <f>IFERROR(INDEX('G-8 Condition Look up'!$A$3:$H$130,MATCH(G155,'G-8 Condition Look up'!$A$3:$A$130,0),MATCH(K155,'G-8 Condition Look up'!$A$3:$H$3,0)),"")</f>
        <v/>
      </c>
      <c r="M155" s="71"/>
      <c r="N155" s="520" t="str">
        <f>IF(M155="","",IF(VLOOKUP(M155,'G-3 Multipliers'!$L$3:$N$6,2,FALSE)=0,"Spatial Data Missing",VLOOKUP(M155,'G-3 Multipliers'!$L$3:$N$6,2,FALSE)))</f>
        <v/>
      </c>
      <c r="O155" s="505" t="str">
        <f>IF(M155="","",IF(VLOOKUP(M155,'G-3 Multipliers'!$L$3:$N$6,3,FALSE)=0,"Spatial Data Missing",VLOOKUP(M155,'G-3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1" t="str">
        <f t="shared" si="13"/>
        <v/>
      </c>
      <c r="V155" s="511" t="str">
        <f t="shared" si="14"/>
        <v/>
      </c>
      <c r="W155" s="511"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5"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8" t="str">
        <f>IF(G156="","",VLOOKUP(G156,'G-1 All Habitats'!$B$2:$M$129,10,FALSE))</f>
        <v/>
      </c>
      <c r="J156" s="499" t="str">
        <f>IFERROR(VLOOKUP(I156,'G-1 All Habitats'!$V$3:$W$7,2,FALSE),"")</f>
        <v/>
      </c>
      <c r="K156" s="71"/>
      <c r="L156" s="499" t="str">
        <f>IFERROR(INDEX('G-8 Condition Look up'!$A$3:$H$130,MATCH(G156,'G-8 Condition Look up'!$A$3:$A$130,0),MATCH(K156,'G-8 Condition Look up'!$A$3:$H$3,0)),"")</f>
        <v/>
      </c>
      <c r="M156" s="71"/>
      <c r="N156" s="520" t="str">
        <f>IF(M156="","",IF(VLOOKUP(M156,'G-3 Multipliers'!$L$3:$N$6,2,FALSE)=0,"Spatial Data Missing",VLOOKUP(M156,'G-3 Multipliers'!$L$3:$N$6,2,FALSE)))</f>
        <v/>
      </c>
      <c r="O156" s="505" t="str">
        <f>IF(M156="","",IF(VLOOKUP(M156,'G-3 Multipliers'!$L$3:$N$6,3,FALSE)=0,"Spatial Data Missing",VLOOKUP(M156,'G-3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1" t="str">
        <f t="shared" si="13"/>
        <v/>
      </c>
      <c r="V156" s="511" t="str">
        <f t="shared" si="14"/>
        <v/>
      </c>
      <c r="W156" s="511"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5"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8" t="str">
        <f>IF(G157="","",VLOOKUP(G157,'G-1 All Habitats'!$B$2:$M$129,10,FALSE))</f>
        <v/>
      </c>
      <c r="J157" s="499" t="str">
        <f>IFERROR(VLOOKUP(I157,'G-1 All Habitats'!$V$3:$W$7,2,FALSE),"")</f>
        <v/>
      </c>
      <c r="K157" s="71"/>
      <c r="L157" s="499" t="str">
        <f>IFERROR(INDEX('G-8 Condition Look up'!$A$3:$H$130,MATCH(G157,'G-8 Condition Look up'!$A$3:$A$130,0),MATCH(K157,'G-8 Condition Look up'!$A$3:$H$3,0)),"")</f>
        <v/>
      </c>
      <c r="M157" s="71"/>
      <c r="N157" s="520" t="str">
        <f>IF(M157="","",IF(VLOOKUP(M157,'G-3 Multipliers'!$L$3:$N$6,2,FALSE)=0,"Spatial Data Missing",VLOOKUP(M157,'G-3 Multipliers'!$L$3:$N$6,2,FALSE)))</f>
        <v/>
      </c>
      <c r="O157" s="505" t="str">
        <f>IF(M157="","",IF(VLOOKUP(M157,'G-3 Multipliers'!$L$3:$N$6,3,FALSE)=0,"Spatial Data Missing",VLOOKUP(M157,'G-3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1" t="str">
        <f t="shared" si="13"/>
        <v/>
      </c>
      <c r="V157" s="511" t="str">
        <f t="shared" si="14"/>
        <v/>
      </c>
      <c r="W157" s="511"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5"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8" t="str">
        <f>IF(G158="","",VLOOKUP(G158,'G-1 All Habitats'!$B$2:$M$129,10,FALSE))</f>
        <v/>
      </c>
      <c r="J158" s="499" t="str">
        <f>IFERROR(VLOOKUP(I158,'G-1 All Habitats'!$V$3:$W$7,2,FALSE),"")</f>
        <v/>
      </c>
      <c r="K158" s="71"/>
      <c r="L158" s="499" t="str">
        <f>IFERROR(INDEX('G-8 Condition Look up'!$A$3:$H$130,MATCH(G158,'G-8 Condition Look up'!$A$3:$A$130,0),MATCH(K158,'G-8 Condition Look up'!$A$3:$H$3,0)),"")</f>
        <v/>
      </c>
      <c r="M158" s="71"/>
      <c r="N158" s="520" t="str">
        <f>IF(M158="","",IF(VLOOKUP(M158,'G-3 Multipliers'!$L$3:$N$6,2,FALSE)=0,"Spatial Data Missing",VLOOKUP(M158,'G-3 Multipliers'!$L$3:$N$6,2,FALSE)))</f>
        <v/>
      </c>
      <c r="O158" s="505" t="str">
        <f>IF(M158="","",IF(VLOOKUP(M158,'G-3 Multipliers'!$L$3:$N$6,3,FALSE)=0,"Spatial Data Missing",VLOOKUP(M158,'G-3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1" t="str">
        <f t="shared" si="13"/>
        <v/>
      </c>
      <c r="V158" s="511" t="str">
        <f t="shared" si="14"/>
        <v/>
      </c>
      <c r="W158" s="511"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5"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8" t="str">
        <f>IF(G159="","",VLOOKUP(G159,'G-1 All Habitats'!$B$2:$M$129,10,FALSE))</f>
        <v/>
      </c>
      <c r="J159" s="499" t="str">
        <f>IFERROR(VLOOKUP(I159,'G-1 All Habitats'!$V$3:$W$7,2,FALSE),"")</f>
        <v/>
      </c>
      <c r="K159" s="71"/>
      <c r="L159" s="499" t="str">
        <f>IFERROR(INDEX('G-8 Condition Look up'!$A$3:$H$130,MATCH(G159,'G-8 Condition Look up'!$A$3:$A$130,0),MATCH(K159,'G-8 Condition Look up'!$A$3:$H$3,0)),"")</f>
        <v/>
      </c>
      <c r="M159" s="71"/>
      <c r="N159" s="520" t="str">
        <f>IF(M159="","",IF(VLOOKUP(M159,'G-3 Multipliers'!$L$3:$N$6,2,FALSE)=0,"Spatial Data Missing",VLOOKUP(M159,'G-3 Multipliers'!$L$3:$N$6,2,FALSE)))</f>
        <v/>
      </c>
      <c r="O159" s="505" t="str">
        <f>IF(M159="","",IF(VLOOKUP(M159,'G-3 Multipliers'!$L$3:$N$6,3,FALSE)=0,"Spatial Data Missing",VLOOKUP(M159,'G-3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1" t="str">
        <f t="shared" si="13"/>
        <v/>
      </c>
      <c r="V159" s="511" t="str">
        <f t="shared" si="14"/>
        <v/>
      </c>
      <c r="W159" s="511"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5"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8" t="str">
        <f>IF(G160="","",VLOOKUP(G160,'G-1 All Habitats'!$B$2:$M$129,10,FALSE))</f>
        <v/>
      </c>
      <c r="J160" s="499" t="str">
        <f>IFERROR(VLOOKUP(I160,'G-1 All Habitats'!$V$3:$W$7,2,FALSE),"")</f>
        <v/>
      </c>
      <c r="K160" s="71"/>
      <c r="L160" s="499" t="str">
        <f>IFERROR(INDEX('G-8 Condition Look up'!$A$3:$H$130,MATCH(G160,'G-8 Condition Look up'!$A$3:$A$130,0),MATCH(K160,'G-8 Condition Look up'!$A$3:$H$3,0)),"")</f>
        <v/>
      </c>
      <c r="M160" s="71"/>
      <c r="N160" s="520" t="str">
        <f>IF(M160="","",IF(VLOOKUP(M160,'G-3 Multipliers'!$L$3:$N$6,2,FALSE)=0,"Spatial Data Missing",VLOOKUP(M160,'G-3 Multipliers'!$L$3:$N$6,2,FALSE)))</f>
        <v/>
      </c>
      <c r="O160" s="505" t="str">
        <f>IF(M160="","",IF(VLOOKUP(M160,'G-3 Multipliers'!$L$3:$N$6,3,FALSE)=0,"Spatial Data Missing",VLOOKUP(M160,'G-3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1" t="str">
        <f t="shared" si="13"/>
        <v/>
      </c>
      <c r="V160" s="511" t="str">
        <f t="shared" si="14"/>
        <v/>
      </c>
      <c r="W160" s="511"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5"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8" t="str">
        <f>IF(G161="","",VLOOKUP(G161,'G-1 All Habitats'!$B$2:$M$129,10,FALSE))</f>
        <v/>
      </c>
      <c r="J161" s="499" t="str">
        <f>IFERROR(VLOOKUP(I161,'G-1 All Habitats'!$V$3:$W$7,2,FALSE),"")</f>
        <v/>
      </c>
      <c r="K161" s="71"/>
      <c r="L161" s="499" t="str">
        <f>IFERROR(INDEX('G-8 Condition Look up'!$A$3:$H$130,MATCH(G161,'G-8 Condition Look up'!$A$3:$A$130,0),MATCH(K161,'G-8 Condition Look up'!$A$3:$H$3,0)),"")</f>
        <v/>
      </c>
      <c r="M161" s="71"/>
      <c r="N161" s="520" t="str">
        <f>IF(M161="","",IF(VLOOKUP(M161,'G-3 Multipliers'!$L$3:$N$6,2,FALSE)=0,"Spatial Data Missing",VLOOKUP(M161,'G-3 Multipliers'!$L$3:$N$6,2,FALSE)))</f>
        <v/>
      </c>
      <c r="O161" s="505" t="str">
        <f>IF(M161="","",IF(VLOOKUP(M161,'G-3 Multipliers'!$L$3:$N$6,3,FALSE)=0,"Spatial Data Missing",VLOOKUP(M161,'G-3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1" t="str">
        <f t="shared" si="13"/>
        <v/>
      </c>
      <c r="V161" s="511" t="str">
        <f t="shared" si="14"/>
        <v/>
      </c>
      <c r="W161" s="511"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5"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8" t="str">
        <f>IF(G162="","",VLOOKUP(G162,'G-1 All Habitats'!$B$2:$M$129,10,FALSE))</f>
        <v/>
      </c>
      <c r="J162" s="499" t="str">
        <f>IFERROR(VLOOKUP(I162,'G-1 All Habitats'!$V$3:$W$7,2,FALSE),"")</f>
        <v/>
      </c>
      <c r="K162" s="71"/>
      <c r="L162" s="499" t="str">
        <f>IFERROR(INDEX('G-8 Condition Look up'!$A$3:$H$130,MATCH(G162,'G-8 Condition Look up'!$A$3:$A$130,0),MATCH(K162,'G-8 Condition Look up'!$A$3:$H$3,0)),"")</f>
        <v/>
      </c>
      <c r="M162" s="71"/>
      <c r="N162" s="520" t="str">
        <f>IF(M162="","",IF(VLOOKUP(M162,'G-3 Multipliers'!$L$3:$N$6,2,FALSE)=0,"Spatial Data Missing",VLOOKUP(M162,'G-3 Multipliers'!$L$3:$N$6,2,FALSE)))</f>
        <v/>
      </c>
      <c r="O162" s="505" t="str">
        <f>IF(M162="","",IF(VLOOKUP(M162,'G-3 Multipliers'!$L$3:$N$6,3,FALSE)=0,"Spatial Data Missing",VLOOKUP(M162,'G-3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1" t="str">
        <f t="shared" si="13"/>
        <v/>
      </c>
      <c r="V162" s="511" t="str">
        <f t="shared" si="14"/>
        <v/>
      </c>
      <c r="W162" s="511"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5"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8" t="str">
        <f>IF(G163="","",VLOOKUP(G163,'G-1 All Habitats'!$B$2:$M$129,10,FALSE))</f>
        <v/>
      </c>
      <c r="J163" s="499" t="str">
        <f>IFERROR(VLOOKUP(I163,'G-1 All Habitats'!$V$3:$W$7,2,FALSE),"")</f>
        <v/>
      </c>
      <c r="K163" s="71"/>
      <c r="L163" s="499" t="str">
        <f>IFERROR(INDEX('G-8 Condition Look up'!$A$3:$H$130,MATCH(G163,'G-8 Condition Look up'!$A$3:$A$130,0),MATCH(K163,'G-8 Condition Look up'!$A$3:$H$3,0)),"")</f>
        <v/>
      </c>
      <c r="M163" s="71"/>
      <c r="N163" s="520" t="str">
        <f>IF(M163="","",IF(VLOOKUP(M163,'G-3 Multipliers'!$L$3:$N$6,2,FALSE)=0,"Spatial Data Missing",VLOOKUP(M163,'G-3 Multipliers'!$L$3:$N$6,2,FALSE)))</f>
        <v/>
      </c>
      <c r="O163" s="505" t="str">
        <f>IF(M163="","",IF(VLOOKUP(M163,'G-3 Multipliers'!$L$3:$N$6,3,FALSE)=0,"Spatial Data Missing",VLOOKUP(M163,'G-3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1" t="str">
        <f t="shared" si="13"/>
        <v/>
      </c>
      <c r="V163" s="511" t="str">
        <f t="shared" si="14"/>
        <v/>
      </c>
      <c r="W163" s="511"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5"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8" t="str">
        <f>IF(G164="","",VLOOKUP(G164,'G-1 All Habitats'!$B$2:$M$129,10,FALSE))</f>
        <v/>
      </c>
      <c r="J164" s="499" t="str">
        <f>IFERROR(VLOOKUP(I164,'G-1 All Habitats'!$V$3:$W$7,2,FALSE),"")</f>
        <v/>
      </c>
      <c r="K164" s="71"/>
      <c r="L164" s="499" t="str">
        <f>IFERROR(INDEX('G-8 Condition Look up'!$A$3:$H$130,MATCH(G164,'G-8 Condition Look up'!$A$3:$A$130,0),MATCH(K164,'G-8 Condition Look up'!$A$3:$H$3,0)),"")</f>
        <v/>
      </c>
      <c r="M164" s="71"/>
      <c r="N164" s="520" t="str">
        <f>IF(M164="","",IF(VLOOKUP(M164,'G-3 Multipliers'!$L$3:$N$6,2,FALSE)=0,"Spatial Data Missing",VLOOKUP(M164,'G-3 Multipliers'!$L$3:$N$6,2,FALSE)))</f>
        <v/>
      </c>
      <c r="O164" s="505" t="str">
        <f>IF(M164="","",IF(VLOOKUP(M164,'G-3 Multipliers'!$L$3:$N$6,3,FALSE)=0,"Spatial Data Missing",VLOOKUP(M164,'G-3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1" t="str">
        <f t="shared" si="13"/>
        <v/>
      </c>
      <c r="V164" s="511" t="str">
        <f t="shared" si="14"/>
        <v/>
      </c>
      <c r="W164" s="511"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5"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8" t="str">
        <f>IF(G165="","",VLOOKUP(G165,'G-1 All Habitats'!$B$2:$M$129,10,FALSE))</f>
        <v/>
      </c>
      <c r="J165" s="499" t="str">
        <f>IFERROR(VLOOKUP(I165,'G-1 All Habitats'!$V$3:$W$7,2,FALSE),"")</f>
        <v/>
      </c>
      <c r="K165" s="71"/>
      <c r="L165" s="499" t="str">
        <f>IFERROR(INDEX('G-8 Condition Look up'!$A$3:$H$130,MATCH(G165,'G-8 Condition Look up'!$A$3:$A$130,0),MATCH(K165,'G-8 Condition Look up'!$A$3:$H$3,0)),"")</f>
        <v/>
      </c>
      <c r="M165" s="71"/>
      <c r="N165" s="520" t="str">
        <f>IF(M165="","",IF(VLOOKUP(M165,'G-3 Multipliers'!$L$3:$N$6,2,FALSE)=0,"Spatial Data Missing",VLOOKUP(M165,'G-3 Multipliers'!$L$3:$N$6,2,FALSE)))</f>
        <v/>
      </c>
      <c r="O165" s="505" t="str">
        <f>IF(M165="","",IF(VLOOKUP(M165,'G-3 Multipliers'!$L$3:$N$6,3,FALSE)=0,"Spatial Data Missing",VLOOKUP(M165,'G-3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1" t="str">
        <f t="shared" si="13"/>
        <v/>
      </c>
      <c r="V165" s="511" t="str">
        <f t="shared" si="14"/>
        <v/>
      </c>
      <c r="W165" s="511"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5"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8" t="str">
        <f>IF(G166="","",VLOOKUP(G166,'G-1 All Habitats'!$B$2:$M$129,10,FALSE))</f>
        <v/>
      </c>
      <c r="J166" s="499" t="str">
        <f>IFERROR(VLOOKUP(I166,'G-1 All Habitats'!$V$3:$W$7,2,FALSE),"")</f>
        <v/>
      </c>
      <c r="K166" s="71"/>
      <c r="L166" s="499" t="str">
        <f>IFERROR(INDEX('G-8 Condition Look up'!$A$3:$H$130,MATCH(G166,'G-8 Condition Look up'!$A$3:$A$130,0),MATCH(K166,'G-8 Condition Look up'!$A$3:$H$3,0)),"")</f>
        <v/>
      </c>
      <c r="M166" s="71"/>
      <c r="N166" s="520" t="str">
        <f>IF(M166="","",IF(VLOOKUP(M166,'G-3 Multipliers'!$L$3:$N$6,2,FALSE)=0,"Spatial Data Missing",VLOOKUP(M166,'G-3 Multipliers'!$L$3:$N$6,2,FALSE)))</f>
        <v/>
      </c>
      <c r="O166" s="505" t="str">
        <f>IF(M166="","",IF(VLOOKUP(M166,'G-3 Multipliers'!$L$3:$N$6,3,FALSE)=0,"Spatial Data Missing",VLOOKUP(M166,'G-3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1" t="str">
        <f t="shared" si="13"/>
        <v/>
      </c>
      <c r="V166" s="511" t="str">
        <f t="shared" si="14"/>
        <v/>
      </c>
      <c r="W166" s="511"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5"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8" t="str">
        <f>IF(G167="","",VLOOKUP(G167,'G-1 All Habitats'!$B$2:$M$129,10,FALSE))</f>
        <v/>
      </c>
      <c r="J167" s="499" t="str">
        <f>IFERROR(VLOOKUP(I167,'G-1 All Habitats'!$V$3:$W$7,2,FALSE),"")</f>
        <v/>
      </c>
      <c r="K167" s="71"/>
      <c r="L167" s="499" t="str">
        <f>IFERROR(INDEX('G-8 Condition Look up'!$A$3:$H$130,MATCH(G167,'G-8 Condition Look up'!$A$3:$A$130,0),MATCH(K167,'G-8 Condition Look up'!$A$3:$H$3,0)),"")</f>
        <v/>
      </c>
      <c r="M167" s="71"/>
      <c r="N167" s="520" t="str">
        <f>IF(M167="","",IF(VLOOKUP(M167,'G-3 Multipliers'!$L$3:$N$6,2,FALSE)=0,"Spatial Data Missing",VLOOKUP(M167,'G-3 Multipliers'!$L$3:$N$6,2,FALSE)))</f>
        <v/>
      </c>
      <c r="O167" s="505" t="str">
        <f>IF(M167="","",IF(VLOOKUP(M167,'G-3 Multipliers'!$L$3:$N$6,3,FALSE)=0,"Spatial Data Missing",VLOOKUP(M167,'G-3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1" t="str">
        <f t="shared" si="13"/>
        <v/>
      </c>
      <c r="V167" s="511" t="str">
        <f t="shared" si="14"/>
        <v/>
      </c>
      <c r="W167" s="511"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5"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8" t="str">
        <f>IF(G168="","",VLOOKUP(G168,'G-1 All Habitats'!$B$2:$M$129,10,FALSE))</f>
        <v/>
      </c>
      <c r="J168" s="499" t="str">
        <f>IFERROR(VLOOKUP(I168,'G-1 All Habitats'!$V$3:$W$7,2,FALSE),"")</f>
        <v/>
      </c>
      <c r="K168" s="71"/>
      <c r="L168" s="499" t="str">
        <f>IFERROR(INDEX('G-8 Condition Look up'!$A$3:$H$130,MATCH(G168,'G-8 Condition Look up'!$A$3:$A$130,0),MATCH(K168,'G-8 Condition Look up'!$A$3:$H$3,0)),"")</f>
        <v/>
      </c>
      <c r="M168" s="71"/>
      <c r="N168" s="520" t="str">
        <f>IF(M168="","",IF(VLOOKUP(M168,'G-3 Multipliers'!$L$3:$N$6,2,FALSE)=0,"Spatial Data Missing",VLOOKUP(M168,'G-3 Multipliers'!$L$3:$N$6,2,FALSE)))</f>
        <v/>
      </c>
      <c r="O168" s="505" t="str">
        <f>IF(M168="","",IF(VLOOKUP(M168,'G-3 Multipliers'!$L$3:$N$6,3,FALSE)=0,"Spatial Data Missing",VLOOKUP(M168,'G-3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1" t="str">
        <f t="shared" si="13"/>
        <v/>
      </c>
      <c r="V168" s="511" t="str">
        <f t="shared" si="14"/>
        <v/>
      </c>
      <c r="W168" s="511"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5"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8" t="str">
        <f>IF(G169="","",VLOOKUP(G169,'G-1 All Habitats'!$B$2:$M$129,10,FALSE))</f>
        <v/>
      </c>
      <c r="J169" s="499" t="str">
        <f>IFERROR(VLOOKUP(I169,'G-1 All Habitats'!$V$3:$W$7,2,FALSE),"")</f>
        <v/>
      </c>
      <c r="K169" s="71"/>
      <c r="L169" s="499" t="str">
        <f>IFERROR(INDEX('G-8 Condition Look up'!$A$3:$H$130,MATCH(G169,'G-8 Condition Look up'!$A$3:$A$130,0),MATCH(K169,'G-8 Condition Look up'!$A$3:$H$3,0)),"")</f>
        <v/>
      </c>
      <c r="M169" s="71"/>
      <c r="N169" s="520" t="str">
        <f>IF(M169="","",IF(VLOOKUP(M169,'G-3 Multipliers'!$L$3:$N$6,2,FALSE)=0,"Spatial Data Missing",VLOOKUP(M169,'G-3 Multipliers'!$L$3:$N$6,2,FALSE)))</f>
        <v/>
      </c>
      <c r="O169" s="505" t="str">
        <f>IF(M169="","",IF(VLOOKUP(M169,'G-3 Multipliers'!$L$3:$N$6,3,FALSE)=0,"Spatial Data Missing",VLOOKUP(M169,'G-3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1" t="str">
        <f t="shared" si="13"/>
        <v/>
      </c>
      <c r="V169" s="511" t="str">
        <f t="shared" si="14"/>
        <v/>
      </c>
      <c r="W169" s="511"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5"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8" t="str">
        <f>IF(G170="","",VLOOKUP(G170,'G-1 All Habitats'!$B$2:$M$129,10,FALSE))</f>
        <v/>
      </c>
      <c r="J170" s="499" t="str">
        <f>IFERROR(VLOOKUP(I170,'G-1 All Habitats'!$V$3:$W$7,2,FALSE),"")</f>
        <v/>
      </c>
      <c r="K170" s="71"/>
      <c r="L170" s="499" t="str">
        <f>IFERROR(INDEX('G-8 Condition Look up'!$A$3:$H$130,MATCH(G170,'G-8 Condition Look up'!$A$3:$A$130,0),MATCH(K170,'G-8 Condition Look up'!$A$3:$H$3,0)),"")</f>
        <v/>
      </c>
      <c r="M170" s="71"/>
      <c r="N170" s="520" t="str">
        <f>IF(M170="","",IF(VLOOKUP(M170,'G-3 Multipliers'!$L$3:$N$6,2,FALSE)=0,"Spatial Data Missing",VLOOKUP(M170,'G-3 Multipliers'!$L$3:$N$6,2,FALSE)))</f>
        <v/>
      </c>
      <c r="O170" s="505" t="str">
        <f>IF(M170="","",IF(VLOOKUP(M170,'G-3 Multipliers'!$L$3:$N$6,3,FALSE)=0,"Spatial Data Missing",VLOOKUP(M170,'G-3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1" t="str">
        <f t="shared" si="13"/>
        <v/>
      </c>
      <c r="V170" s="511" t="str">
        <f t="shared" si="14"/>
        <v/>
      </c>
      <c r="W170" s="511"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5"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8" t="str">
        <f>IF(G171="","",VLOOKUP(G171,'G-1 All Habitats'!$B$2:$M$129,10,FALSE))</f>
        <v/>
      </c>
      <c r="J171" s="499" t="str">
        <f>IFERROR(VLOOKUP(I171,'G-1 All Habitats'!$V$3:$W$7,2,FALSE),"")</f>
        <v/>
      </c>
      <c r="K171" s="71"/>
      <c r="L171" s="499" t="str">
        <f>IFERROR(INDEX('G-8 Condition Look up'!$A$3:$H$130,MATCH(G171,'G-8 Condition Look up'!$A$3:$A$130,0),MATCH(K171,'G-8 Condition Look up'!$A$3:$H$3,0)),"")</f>
        <v/>
      </c>
      <c r="M171" s="71"/>
      <c r="N171" s="520" t="str">
        <f>IF(M171="","",IF(VLOOKUP(M171,'G-3 Multipliers'!$L$3:$N$6,2,FALSE)=0,"Spatial Data Missing",VLOOKUP(M171,'G-3 Multipliers'!$L$3:$N$6,2,FALSE)))</f>
        <v/>
      </c>
      <c r="O171" s="505" t="str">
        <f>IF(M171="","",IF(VLOOKUP(M171,'G-3 Multipliers'!$L$3:$N$6,3,FALSE)=0,"Spatial Data Missing",VLOOKUP(M171,'G-3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1" t="str">
        <f t="shared" si="13"/>
        <v/>
      </c>
      <c r="V171" s="511" t="str">
        <f t="shared" si="14"/>
        <v/>
      </c>
      <c r="W171" s="511"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5"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8" t="str">
        <f>IF(G172="","",VLOOKUP(G172,'G-1 All Habitats'!$B$2:$M$129,10,FALSE))</f>
        <v/>
      </c>
      <c r="J172" s="499" t="str">
        <f>IFERROR(VLOOKUP(I172,'G-1 All Habitats'!$V$3:$W$7,2,FALSE),"")</f>
        <v/>
      </c>
      <c r="K172" s="71"/>
      <c r="L172" s="499" t="str">
        <f>IFERROR(INDEX('G-8 Condition Look up'!$A$3:$H$130,MATCH(G172,'G-8 Condition Look up'!$A$3:$A$130,0),MATCH(K172,'G-8 Condition Look up'!$A$3:$H$3,0)),"")</f>
        <v/>
      </c>
      <c r="M172" s="71"/>
      <c r="N172" s="520" t="str">
        <f>IF(M172="","",IF(VLOOKUP(M172,'G-3 Multipliers'!$L$3:$N$6,2,FALSE)=0,"Spatial Data Missing",VLOOKUP(M172,'G-3 Multipliers'!$L$3:$N$6,2,FALSE)))</f>
        <v/>
      </c>
      <c r="O172" s="505" t="str">
        <f>IF(M172="","",IF(VLOOKUP(M172,'G-3 Multipliers'!$L$3:$N$6,3,FALSE)=0,"Spatial Data Missing",VLOOKUP(M172,'G-3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1" t="str">
        <f t="shared" si="13"/>
        <v/>
      </c>
      <c r="V172" s="511" t="str">
        <f t="shared" si="14"/>
        <v/>
      </c>
      <c r="W172" s="511"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5"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8" t="str">
        <f>IF(G173="","",VLOOKUP(G173,'G-1 All Habitats'!$B$2:$M$129,10,FALSE))</f>
        <v/>
      </c>
      <c r="J173" s="499" t="str">
        <f>IFERROR(VLOOKUP(I173,'G-1 All Habitats'!$V$3:$W$7,2,FALSE),"")</f>
        <v/>
      </c>
      <c r="K173" s="71"/>
      <c r="L173" s="499" t="str">
        <f>IFERROR(INDEX('G-8 Condition Look up'!$A$3:$H$130,MATCH(G173,'G-8 Condition Look up'!$A$3:$A$130,0),MATCH(K173,'G-8 Condition Look up'!$A$3:$H$3,0)),"")</f>
        <v/>
      </c>
      <c r="M173" s="71"/>
      <c r="N173" s="520" t="str">
        <f>IF(M173="","",IF(VLOOKUP(M173,'G-3 Multipliers'!$L$3:$N$6,2,FALSE)=0,"Spatial Data Missing",VLOOKUP(M173,'G-3 Multipliers'!$L$3:$N$6,2,FALSE)))</f>
        <v/>
      </c>
      <c r="O173" s="505" t="str">
        <f>IF(M173="","",IF(VLOOKUP(M173,'G-3 Multipliers'!$L$3:$N$6,3,FALSE)=0,"Spatial Data Missing",VLOOKUP(M173,'G-3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1" t="str">
        <f t="shared" si="13"/>
        <v/>
      </c>
      <c r="V173" s="511" t="str">
        <f t="shared" si="14"/>
        <v/>
      </c>
      <c r="W173" s="511"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5"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8" t="str">
        <f>IF(G174="","",VLOOKUP(G174,'G-1 All Habitats'!$B$2:$M$129,10,FALSE))</f>
        <v/>
      </c>
      <c r="J174" s="499" t="str">
        <f>IFERROR(VLOOKUP(I174,'G-1 All Habitats'!$V$3:$W$7,2,FALSE),"")</f>
        <v/>
      </c>
      <c r="K174" s="71"/>
      <c r="L174" s="499" t="str">
        <f>IFERROR(INDEX('G-8 Condition Look up'!$A$3:$H$130,MATCH(G174,'G-8 Condition Look up'!$A$3:$A$130,0),MATCH(K174,'G-8 Condition Look up'!$A$3:$H$3,0)),"")</f>
        <v/>
      </c>
      <c r="M174" s="71"/>
      <c r="N174" s="520" t="str">
        <f>IF(M174="","",IF(VLOOKUP(M174,'G-3 Multipliers'!$L$3:$N$6,2,FALSE)=0,"Spatial Data Missing",VLOOKUP(M174,'G-3 Multipliers'!$L$3:$N$6,2,FALSE)))</f>
        <v/>
      </c>
      <c r="O174" s="505" t="str">
        <f>IF(M174="","",IF(VLOOKUP(M174,'G-3 Multipliers'!$L$3:$N$6,3,FALSE)=0,"Spatial Data Missing",VLOOKUP(M174,'G-3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1" t="str">
        <f t="shared" si="13"/>
        <v/>
      </c>
      <c r="V174" s="511" t="str">
        <f t="shared" si="14"/>
        <v/>
      </c>
      <c r="W174" s="511"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5"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8" t="str">
        <f>IF(G175="","",VLOOKUP(G175,'G-1 All Habitats'!$B$2:$M$129,10,FALSE))</f>
        <v/>
      </c>
      <c r="J175" s="499" t="str">
        <f>IFERROR(VLOOKUP(I175,'G-1 All Habitats'!$V$3:$W$7,2,FALSE),"")</f>
        <v/>
      </c>
      <c r="K175" s="71"/>
      <c r="L175" s="499" t="str">
        <f>IFERROR(INDEX('G-8 Condition Look up'!$A$3:$H$130,MATCH(G175,'G-8 Condition Look up'!$A$3:$A$130,0),MATCH(K175,'G-8 Condition Look up'!$A$3:$H$3,0)),"")</f>
        <v/>
      </c>
      <c r="M175" s="71"/>
      <c r="N175" s="520" t="str">
        <f>IF(M175="","",IF(VLOOKUP(M175,'G-3 Multipliers'!$L$3:$N$6,2,FALSE)=0,"Spatial Data Missing",VLOOKUP(M175,'G-3 Multipliers'!$L$3:$N$6,2,FALSE)))</f>
        <v/>
      </c>
      <c r="O175" s="505" t="str">
        <f>IF(M175="","",IF(VLOOKUP(M175,'G-3 Multipliers'!$L$3:$N$6,3,FALSE)=0,"Spatial Data Missing",VLOOKUP(M175,'G-3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1" t="str">
        <f t="shared" si="13"/>
        <v/>
      </c>
      <c r="V175" s="511" t="str">
        <f t="shared" si="14"/>
        <v/>
      </c>
      <c r="W175" s="511"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5"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8" t="str">
        <f>IF(G176="","",VLOOKUP(G176,'G-1 All Habitats'!$B$2:$M$129,10,FALSE))</f>
        <v/>
      </c>
      <c r="J176" s="499" t="str">
        <f>IFERROR(VLOOKUP(I176,'G-1 All Habitats'!$V$3:$W$7,2,FALSE),"")</f>
        <v/>
      </c>
      <c r="K176" s="71"/>
      <c r="L176" s="499" t="str">
        <f>IFERROR(INDEX('G-8 Condition Look up'!$A$3:$H$130,MATCH(G176,'G-8 Condition Look up'!$A$3:$A$130,0),MATCH(K176,'G-8 Condition Look up'!$A$3:$H$3,0)),"")</f>
        <v/>
      </c>
      <c r="M176" s="71"/>
      <c r="N176" s="520" t="str">
        <f>IF(M176="","",IF(VLOOKUP(M176,'G-3 Multipliers'!$L$3:$N$6,2,FALSE)=0,"Spatial Data Missing",VLOOKUP(M176,'G-3 Multipliers'!$L$3:$N$6,2,FALSE)))</f>
        <v/>
      </c>
      <c r="O176" s="505" t="str">
        <f>IF(M176="","",IF(VLOOKUP(M176,'G-3 Multipliers'!$L$3:$N$6,3,FALSE)=0,"Spatial Data Missing",VLOOKUP(M176,'G-3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1" t="str">
        <f t="shared" si="13"/>
        <v/>
      </c>
      <c r="V176" s="511" t="str">
        <f t="shared" si="14"/>
        <v/>
      </c>
      <c r="W176" s="511"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5"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8" t="str">
        <f>IF(G177="","",VLOOKUP(G177,'G-1 All Habitats'!$B$2:$M$129,10,FALSE))</f>
        <v/>
      </c>
      <c r="J177" s="499" t="str">
        <f>IFERROR(VLOOKUP(I177,'G-1 All Habitats'!$V$3:$W$7,2,FALSE),"")</f>
        <v/>
      </c>
      <c r="K177" s="71"/>
      <c r="L177" s="499" t="str">
        <f>IFERROR(INDEX('G-8 Condition Look up'!$A$3:$H$130,MATCH(G177,'G-8 Condition Look up'!$A$3:$A$130,0),MATCH(K177,'G-8 Condition Look up'!$A$3:$H$3,0)),"")</f>
        <v/>
      </c>
      <c r="M177" s="71"/>
      <c r="N177" s="520" t="str">
        <f>IF(M177="","",IF(VLOOKUP(M177,'G-3 Multipliers'!$L$3:$N$6,2,FALSE)=0,"Spatial Data Missing",VLOOKUP(M177,'G-3 Multipliers'!$L$3:$N$6,2,FALSE)))</f>
        <v/>
      </c>
      <c r="O177" s="505" t="str">
        <f>IF(M177="","",IF(VLOOKUP(M177,'G-3 Multipliers'!$L$3:$N$6,3,FALSE)=0,"Spatial Data Missing",VLOOKUP(M177,'G-3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1" t="str">
        <f t="shared" si="13"/>
        <v/>
      </c>
      <c r="V177" s="511" t="str">
        <f t="shared" si="14"/>
        <v/>
      </c>
      <c r="W177" s="511"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5"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8" t="str">
        <f>IF(G178="","",VLOOKUP(G178,'G-1 All Habitats'!$B$2:$M$129,10,FALSE))</f>
        <v/>
      </c>
      <c r="J178" s="499" t="str">
        <f>IFERROR(VLOOKUP(I178,'G-1 All Habitats'!$V$3:$W$7,2,FALSE),"")</f>
        <v/>
      </c>
      <c r="K178" s="71"/>
      <c r="L178" s="499" t="str">
        <f>IFERROR(INDEX('G-8 Condition Look up'!$A$3:$H$130,MATCH(G178,'G-8 Condition Look up'!$A$3:$A$130,0),MATCH(K178,'G-8 Condition Look up'!$A$3:$H$3,0)),"")</f>
        <v/>
      </c>
      <c r="M178" s="71"/>
      <c r="N178" s="520" t="str">
        <f>IF(M178="","",IF(VLOOKUP(M178,'G-3 Multipliers'!$L$3:$N$6,2,FALSE)=0,"Spatial Data Missing",VLOOKUP(M178,'G-3 Multipliers'!$L$3:$N$6,2,FALSE)))</f>
        <v/>
      </c>
      <c r="O178" s="505" t="str">
        <f>IF(M178="","",IF(VLOOKUP(M178,'G-3 Multipliers'!$L$3:$N$6,3,FALSE)=0,"Spatial Data Missing",VLOOKUP(M178,'G-3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1" t="str">
        <f t="shared" si="13"/>
        <v/>
      </c>
      <c r="V178" s="511" t="str">
        <f t="shared" si="14"/>
        <v/>
      </c>
      <c r="W178" s="511"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5"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8" t="str">
        <f>IF(G179="","",VLOOKUP(G179,'G-1 All Habitats'!$B$2:$M$129,10,FALSE))</f>
        <v/>
      </c>
      <c r="J179" s="499" t="str">
        <f>IFERROR(VLOOKUP(I179,'G-1 All Habitats'!$V$3:$W$7,2,FALSE),"")</f>
        <v/>
      </c>
      <c r="K179" s="71"/>
      <c r="L179" s="499" t="str">
        <f>IFERROR(INDEX('G-8 Condition Look up'!$A$3:$H$130,MATCH(G179,'G-8 Condition Look up'!$A$3:$A$130,0),MATCH(K179,'G-8 Condition Look up'!$A$3:$H$3,0)),"")</f>
        <v/>
      </c>
      <c r="M179" s="71"/>
      <c r="N179" s="520" t="str">
        <f>IF(M179="","",IF(VLOOKUP(M179,'G-3 Multipliers'!$L$3:$N$6,2,FALSE)=0,"Spatial Data Missing",VLOOKUP(M179,'G-3 Multipliers'!$L$3:$N$6,2,FALSE)))</f>
        <v/>
      </c>
      <c r="O179" s="505" t="str">
        <f>IF(M179="","",IF(VLOOKUP(M179,'G-3 Multipliers'!$L$3:$N$6,3,FALSE)=0,"Spatial Data Missing",VLOOKUP(M179,'G-3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1" t="str">
        <f t="shared" si="13"/>
        <v/>
      </c>
      <c r="V179" s="511" t="str">
        <f t="shared" si="14"/>
        <v/>
      </c>
      <c r="W179" s="511"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5"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8" t="str">
        <f>IF(G180="","",VLOOKUP(G180,'G-1 All Habitats'!$B$2:$M$129,10,FALSE))</f>
        <v/>
      </c>
      <c r="J180" s="499" t="str">
        <f>IFERROR(VLOOKUP(I180,'G-1 All Habitats'!$V$3:$W$7,2,FALSE),"")</f>
        <v/>
      </c>
      <c r="K180" s="71"/>
      <c r="L180" s="499" t="str">
        <f>IFERROR(INDEX('G-8 Condition Look up'!$A$3:$H$130,MATCH(G180,'G-8 Condition Look up'!$A$3:$A$130,0),MATCH(K180,'G-8 Condition Look up'!$A$3:$H$3,0)),"")</f>
        <v/>
      </c>
      <c r="M180" s="71"/>
      <c r="N180" s="520" t="str">
        <f>IF(M180="","",IF(VLOOKUP(M180,'G-3 Multipliers'!$L$3:$N$6,2,FALSE)=0,"Spatial Data Missing",VLOOKUP(M180,'G-3 Multipliers'!$L$3:$N$6,2,FALSE)))</f>
        <v/>
      </c>
      <c r="O180" s="505" t="str">
        <f>IF(M180="","",IF(VLOOKUP(M180,'G-3 Multipliers'!$L$3:$N$6,3,FALSE)=0,"Spatial Data Missing",VLOOKUP(M180,'G-3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1" t="str">
        <f t="shared" si="13"/>
        <v/>
      </c>
      <c r="V180" s="511" t="str">
        <f t="shared" si="14"/>
        <v/>
      </c>
      <c r="W180" s="511"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5"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8" t="str">
        <f>IF(G181="","",VLOOKUP(G181,'G-1 All Habitats'!$B$2:$M$129,10,FALSE))</f>
        <v/>
      </c>
      <c r="J181" s="499" t="str">
        <f>IFERROR(VLOOKUP(I181,'G-1 All Habitats'!$V$3:$W$7,2,FALSE),"")</f>
        <v/>
      </c>
      <c r="K181" s="71"/>
      <c r="L181" s="499" t="str">
        <f>IFERROR(INDEX('G-8 Condition Look up'!$A$3:$H$130,MATCH(G181,'G-8 Condition Look up'!$A$3:$A$130,0),MATCH(K181,'G-8 Condition Look up'!$A$3:$H$3,0)),"")</f>
        <v/>
      </c>
      <c r="M181" s="71"/>
      <c r="N181" s="520" t="str">
        <f>IF(M181="","",IF(VLOOKUP(M181,'G-3 Multipliers'!$L$3:$N$6,2,FALSE)=0,"Spatial Data Missing",VLOOKUP(M181,'G-3 Multipliers'!$L$3:$N$6,2,FALSE)))</f>
        <v/>
      </c>
      <c r="O181" s="505" t="str">
        <f>IF(M181="","",IF(VLOOKUP(M181,'G-3 Multipliers'!$L$3:$N$6,3,FALSE)=0,"Spatial Data Missing",VLOOKUP(M181,'G-3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1" t="str">
        <f t="shared" si="13"/>
        <v/>
      </c>
      <c r="V181" s="511" t="str">
        <f t="shared" si="14"/>
        <v/>
      </c>
      <c r="W181" s="511"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5"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8" t="str">
        <f>IF(G182="","",VLOOKUP(G182,'G-1 All Habitats'!$B$2:$M$129,10,FALSE))</f>
        <v/>
      </c>
      <c r="J182" s="499" t="str">
        <f>IFERROR(VLOOKUP(I182,'G-1 All Habitats'!$V$3:$W$7,2,FALSE),"")</f>
        <v/>
      </c>
      <c r="K182" s="71"/>
      <c r="L182" s="499" t="str">
        <f>IFERROR(INDEX('G-8 Condition Look up'!$A$3:$H$130,MATCH(G182,'G-8 Condition Look up'!$A$3:$A$130,0),MATCH(K182,'G-8 Condition Look up'!$A$3:$H$3,0)),"")</f>
        <v/>
      </c>
      <c r="M182" s="71"/>
      <c r="N182" s="520" t="str">
        <f>IF(M182="","",IF(VLOOKUP(M182,'G-3 Multipliers'!$L$3:$N$6,2,FALSE)=0,"Spatial Data Missing",VLOOKUP(M182,'G-3 Multipliers'!$L$3:$N$6,2,FALSE)))</f>
        <v/>
      </c>
      <c r="O182" s="505" t="str">
        <f>IF(M182="","",IF(VLOOKUP(M182,'G-3 Multipliers'!$L$3:$N$6,3,FALSE)=0,"Spatial Data Missing",VLOOKUP(M182,'G-3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1" t="str">
        <f t="shared" si="13"/>
        <v/>
      </c>
      <c r="V182" s="511" t="str">
        <f t="shared" si="14"/>
        <v/>
      </c>
      <c r="W182" s="511"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5"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8" t="str">
        <f>IF(G183="","",VLOOKUP(G183,'G-1 All Habitats'!$B$2:$M$129,10,FALSE))</f>
        <v/>
      </c>
      <c r="J183" s="499" t="str">
        <f>IFERROR(VLOOKUP(I183,'G-1 All Habitats'!$V$3:$W$7,2,FALSE),"")</f>
        <v/>
      </c>
      <c r="K183" s="71"/>
      <c r="L183" s="499" t="str">
        <f>IFERROR(INDEX('G-8 Condition Look up'!$A$3:$H$130,MATCH(G183,'G-8 Condition Look up'!$A$3:$A$130,0),MATCH(K183,'G-8 Condition Look up'!$A$3:$H$3,0)),"")</f>
        <v/>
      </c>
      <c r="M183" s="71"/>
      <c r="N183" s="520" t="str">
        <f>IF(M183="","",IF(VLOOKUP(M183,'G-3 Multipliers'!$L$3:$N$6,2,FALSE)=0,"Spatial Data Missing",VLOOKUP(M183,'G-3 Multipliers'!$L$3:$N$6,2,FALSE)))</f>
        <v/>
      </c>
      <c r="O183" s="505" t="str">
        <f>IF(M183="","",IF(VLOOKUP(M183,'G-3 Multipliers'!$L$3:$N$6,3,FALSE)=0,"Spatial Data Missing",VLOOKUP(M183,'G-3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1" t="str">
        <f t="shared" si="13"/>
        <v/>
      </c>
      <c r="V183" s="511" t="str">
        <f t="shared" si="14"/>
        <v/>
      </c>
      <c r="W183" s="511"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5"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8" t="str">
        <f>IF(G184="","",VLOOKUP(G184,'G-1 All Habitats'!$B$2:$M$129,10,FALSE))</f>
        <v/>
      </c>
      <c r="J184" s="499" t="str">
        <f>IFERROR(VLOOKUP(I184,'G-1 All Habitats'!$V$3:$W$7,2,FALSE),"")</f>
        <v/>
      </c>
      <c r="K184" s="71"/>
      <c r="L184" s="499" t="str">
        <f>IFERROR(INDEX('G-8 Condition Look up'!$A$3:$H$130,MATCH(G184,'G-8 Condition Look up'!$A$3:$A$130,0),MATCH(K184,'G-8 Condition Look up'!$A$3:$H$3,0)),"")</f>
        <v/>
      </c>
      <c r="M184" s="71"/>
      <c r="N184" s="520" t="str">
        <f>IF(M184="","",IF(VLOOKUP(M184,'G-3 Multipliers'!$L$3:$N$6,2,FALSE)=0,"Spatial Data Missing",VLOOKUP(M184,'G-3 Multipliers'!$L$3:$N$6,2,FALSE)))</f>
        <v/>
      </c>
      <c r="O184" s="505" t="str">
        <f>IF(M184="","",IF(VLOOKUP(M184,'G-3 Multipliers'!$L$3:$N$6,3,FALSE)=0,"Spatial Data Missing",VLOOKUP(M184,'G-3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1" t="str">
        <f t="shared" si="13"/>
        <v/>
      </c>
      <c r="V184" s="511" t="str">
        <f t="shared" si="14"/>
        <v/>
      </c>
      <c r="W184" s="511"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5"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8" t="str">
        <f>IF(G185="","",VLOOKUP(G185,'G-1 All Habitats'!$B$2:$M$129,10,FALSE))</f>
        <v/>
      </c>
      <c r="J185" s="499" t="str">
        <f>IFERROR(VLOOKUP(I185,'G-1 All Habitats'!$V$3:$W$7,2,FALSE),"")</f>
        <v/>
      </c>
      <c r="K185" s="71"/>
      <c r="L185" s="499" t="str">
        <f>IFERROR(INDEX('G-8 Condition Look up'!$A$3:$H$130,MATCH(G185,'G-8 Condition Look up'!$A$3:$A$130,0),MATCH(K185,'G-8 Condition Look up'!$A$3:$H$3,0)),"")</f>
        <v/>
      </c>
      <c r="M185" s="71"/>
      <c r="N185" s="520" t="str">
        <f>IF(M185="","",IF(VLOOKUP(M185,'G-3 Multipliers'!$L$3:$N$6,2,FALSE)=0,"Spatial Data Missing",VLOOKUP(M185,'G-3 Multipliers'!$L$3:$N$6,2,FALSE)))</f>
        <v/>
      </c>
      <c r="O185" s="505" t="str">
        <f>IF(M185="","",IF(VLOOKUP(M185,'G-3 Multipliers'!$L$3:$N$6,3,FALSE)=0,"Spatial Data Missing",VLOOKUP(M185,'G-3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1" t="str">
        <f t="shared" si="13"/>
        <v/>
      </c>
      <c r="V185" s="511" t="str">
        <f t="shared" si="14"/>
        <v/>
      </c>
      <c r="W185" s="511"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5"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8" t="str">
        <f>IF(G186="","",VLOOKUP(G186,'G-1 All Habitats'!$B$2:$M$129,10,FALSE))</f>
        <v/>
      </c>
      <c r="J186" s="499" t="str">
        <f>IFERROR(VLOOKUP(I186,'G-1 All Habitats'!$V$3:$W$7,2,FALSE),"")</f>
        <v/>
      </c>
      <c r="K186" s="71"/>
      <c r="L186" s="499" t="str">
        <f>IFERROR(INDEX('G-8 Condition Look up'!$A$3:$H$130,MATCH(G186,'G-8 Condition Look up'!$A$3:$A$130,0),MATCH(K186,'G-8 Condition Look up'!$A$3:$H$3,0)),"")</f>
        <v/>
      </c>
      <c r="M186" s="71"/>
      <c r="N186" s="520" t="str">
        <f>IF(M186="","",IF(VLOOKUP(M186,'G-3 Multipliers'!$L$3:$N$6,2,FALSE)=0,"Spatial Data Missing",VLOOKUP(M186,'G-3 Multipliers'!$L$3:$N$6,2,FALSE)))</f>
        <v/>
      </c>
      <c r="O186" s="505" t="str">
        <f>IF(M186="","",IF(VLOOKUP(M186,'G-3 Multipliers'!$L$3:$N$6,3,FALSE)=0,"Spatial Data Missing",VLOOKUP(M186,'G-3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1" t="str">
        <f t="shared" si="13"/>
        <v/>
      </c>
      <c r="V186" s="511" t="str">
        <f t="shared" si="14"/>
        <v/>
      </c>
      <c r="W186" s="511"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5"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8" t="str">
        <f>IF(G187="","",VLOOKUP(G187,'G-1 All Habitats'!$B$2:$M$129,10,FALSE))</f>
        <v/>
      </c>
      <c r="J187" s="499" t="str">
        <f>IFERROR(VLOOKUP(I187,'G-1 All Habitats'!$V$3:$W$7,2,FALSE),"")</f>
        <v/>
      </c>
      <c r="K187" s="71"/>
      <c r="L187" s="499" t="str">
        <f>IFERROR(INDEX('G-8 Condition Look up'!$A$3:$H$130,MATCH(G187,'G-8 Condition Look up'!$A$3:$A$130,0),MATCH(K187,'G-8 Condition Look up'!$A$3:$H$3,0)),"")</f>
        <v/>
      </c>
      <c r="M187" s="71"/>
      <c r="N187" s="520" t="str">
        <f>IF(M187="","",IF(VLOOKUP(M187,'G-3 Multipliers'!$L$3:$N$6,2,FALSE)=0,"Spatial Data Missing",VLOOKUP(M187,'G-3 Multipliers'!$L$3:$N$6,2,FALSE)))</f>
        <v/>
      </c>
      <c r="O187" s="505" t="str">
        <f>IF(M187="","",IF(VLOOKUP(M187,'G-3 Multipliers'!$L$3:$N$6,3,FALSE)=0,"Spatial Data Missing",VLOOKUP(M187,'G-3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1" t="str">
        <f t="shared" si="13"/>
        <v/>
      </c>
      <c r="V187" s="511" t="str">
        <f t="shared" si="14"/>
        <v/>
      </c>
      <c r="W187" s="511"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5"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8" t="str">
        <f>IF(G188="","",VLOOKUP(G188,'G-1 All Habitats'!$B$2:$M$129,10,FALSE))</f>
        <v/>
      </c>
      <c r="J188" s="499" t="str">
        <f>IFERROR(VLOOKUP(I188,'G-1 All Habitats'!$V$3:$W$7,2,FALSE),"")</f>
        <v/>
      </c>
      <c r="K188" s="71"/>
      <c r="L188" s="499" t="str">
        <f>IFERROR(INDEX('G-8 Condition Look up'!$A$3:$H$130,MATCH(G188,'G-8 Condition Look up'!$A$3:$A$130,0),MATCH(K188,'G-8 Condition Look up'!$A$3:$H$3,0)),"")</f>
        <v/>
      </c>
      <c r="M188" s="71"/>
      <c r="N188" s="520" t="str">
        <f>IF(M188="","",IF(VLOOKUP(M188,'G-3 Multipliers'!$L$3:$N$6,2,FALSE)=0,"Spatial Data Missing",VLOOKUP(M188,'G-3 Multipliers'!$L$3:$N$6,2,FALSE)))</f>
        <v/>
      </c>
      <c r="O188" s="505" t="str">
        <f>IF(M188="","",IF(VLOOKUP(M188,'G-3 Multipliers'!$L$3:$N$6,3,FALSE)=0,"Spatial Data Missing",VLOOKUP(M188,'G-3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1" t="str">
        <f t="shared" si="13"/>
        <v/>
      </c>
      <c r="V188" s="511" t="str">
        <f t="shared" si="14"/>
        <v/>
      </c>
      <c r="W188" s="511"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5"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8" t="str">
        <f>IF(G189="","",VLOOKUP(G189,'G-1 All Habitats'!$B$2:$M$129,10,FALSE))</f>
        <v/>
      </c>
      <c r="J189" s="499" t="str">
        <f>IFERROR(VLOOKUP(I189,'G-1 All Habitats'!$V$3:$W$7,2,FALSE),"")</f>
        <v/>
      </c>
      <c r="K189" s="71"/>
      <c r="L189" s="499" t="str">
        <f>IFERROR(INDEX('G-8 Condition Look up'!$A$3:$H$130,MATCH(G189,'G-8 Condition Look up'!$A$3:$A$130,0),MATCH(K189,'G-8 Condition Look up'!$A$3:$H$3,0)),"")</f>
        <v/>
      </c>
      <c r="M189" s="71"/>
      <c r="N189" s="520" t="str">
        <f>IF(M189="","",IF(VLOOKUP(M189,'G-3 Multipliers'!$L$3:$N$6,2,FALSE)=0,"Spatial Data Missing",VLOOKUP(M189,'G-3 Multipliers'!$L$3:$N$6,2,FALSE)))</f>
        <v/>
      </c>
      <c r="O189" s="505" t="str">
        <f>IF(M189="","",IF(VLOOKUP(M189,'G-3 Multipliers'!$L$3:$N$6,3,FALSE)=0,"Spatial Data Missing",VLOOKUP(M189,'G-3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1" t="str">
        <f t="shared" si="13"/>
        <v/>
      </c>
      <c r="V189" s="511" t="str">
        <f t="shared" si="14"/>
        <v/>
      </c>
      <c r="W189" s="511"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5"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8" t="str">
        <f>IF(G190="","",VLOOKUP(G190,'G-1 All Habitats'!$B$2:$M$129,10,FALSE))</f>
        <v/>
      </c>
      <c r="J190" s="499" t="str">
        <f>IFERROR(VLOOKUP(I190,'G-1 All Habitats'!$V$3:$W$7,2,FALSE),"")</f>
        <v/>
      </c>
      <c r="K190" s="71"/>
      <c r="L190" s="499" t="str">
        <f>IFERROR(INDEX('G-8 Condition Look up'!$A$3:$H$130,MATCH(G190,'G-8 Condition Look up'!$A$3:$A$130,0),MATCH(K190,'G-8 Condition Look up'!$A$3:$H$3,0)),"")</f>
        <v/>
      </c>
      <c r="M190" s="71"/>
      <c r="N190" s="520" t="str">
        <f>IF(M190="","",IF(VLOOKUP(M190,'G-3 Multipliers'!$L$3:$N$6,2,FALSE)=0,"Spatial Data Missing",VLOOKUP(M190,'G-3 Multipliers'!$L$3:$N$6,2,FALSE)))</f>
        <v/>
      </c>
      <c r="O190" s="505" t="str">
        <f>IF(M190="","",IF(VLOOKUP(M190,'G-3 Multipliers'!$L$3:$N$6,3,FALSE)=0,"Spatial Data Missing",VLOOKUP(M190,'G-3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1" t="str">
        <f t="shared" si="13"/>
        <v/>
      </c>
      <c r="V190" s="511" t="str">
        <f t="shared" si="14"/>
        <v/>
      </c>
      <c r="W190" s="511"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5"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8" t="str">
        <f>IF(G191="","",VLOOKUP(G191,'G-1 All Habitats'!$B$2:$M$129,10,FALSE))</f>
        <v/>
      </c>
      <c r="J191" s="499" t="str">
        <f>IFERROR(VLOOKUP(I191,'G-1 All Habitats'!$V$3:$W$7,2,FALSE),"")</f>
        <v/>
      </c>
      <c r="K191" s="71"/>
      <c r="L191" s="499" t="str">
        <f>IFERROR(INDEX('G-8 Condition Look up'!$A$3:$H$130,MATCH(G191,'G-8 Condition Look up'!$A$3:$A$130,0),MATCH(K191,'G-8 Condition Look up'!$A$3:$H$3,0)),"")</f>
        <v/>
      </c>
      <c r="M191" s="71"/>
      <c r="N191" s="520" t="str">
        <f>IF(M191="","",IF(VLOOKUP(M191,'G-3 Multipliers'!$L$3:$N$6,2,FALSE)=0,"Spatial Data Missing",VLOOKUP(M191,'G-3 Multipliers'!$L$3:$N$6,2,FALSE)))</f>
        <v/>
      </c>
      <c r="O191" s="505" t="str">
        <f>IF(M191="","",IF(VLOOKUP(M191,'G-3 Multipliers'!$L$3:$N$6,3,FALSE)=0,"Spatial Data Missing",VLOOKUP(M191,'G-3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1" t="str">
        <f t="shared" si="13"/>
        <v/>
      </c>
      <c r="V191" s="511" t="str">
        <f t="shared" si="14"/>
        <v/>
      </c>
      <c r="W191" s="511"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5"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8" t="str">
        <f>IF(G192="","",VLOOKUP(G192,'G-1 All Habitats'!$B$2:$M$129,10,FALSE))</f>
        <v/>
      </c>
      <c r="J192" s="499" t="str">
        <f>IFERROR(VLOOKUP(I192,'G-1 All Habitats'!$V$3:$W$7,2,FALSE),"")</f>
        <v/>
      </c>
      <c r="K192" s="71"/>
      <c r="L192" s="499" t="str">
        <f>IFERROR(INDEX('G-8 Condition Look up'!$A$3:$H$130,MATCH(G192,'G-8 Condition Look up'!$A$3:$A$130,0),MATCH(K192,'G-8 Condition Look up'!$A$3:$H$3,0)),"")</f>
        <v/>
      </c>
      <c r="M192" s="71"/>
      <c r="N192" s="520" t="str">
        <f>IF(M192="","",IF(VLOOKUP(M192,'G-3 Multipliers'!$L$3:$N$6,2,FALSE)=0,"Spatial Data Missing",VLOOKUP(M192,'G-3 Multipliers'!$L$3:$N$6,2,FALSE)))</f>
        <v/>
      </c>
      <c r="O192" s="505" t="str">
        <f>IF(M192="","",IF(VLOOKUP(M192,'G-3 Multipliers'!$L$3:$N$6,3,FALSE)=0,"Spatial Data Missing",VLOOKUP(M192,'G-3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1" t="str">
        <f t="shared" si="13"/>
        <v/>
      </c>
      <c r="V192" s="511" t="str">
        <f t="shared" si="14"/>
        <v/>
      </c>
      <c r="W192" s="511"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5"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8" t="str">
        <f>IF(G193="","",VLOOKUP(G193,'G-1 All Habitats'!$B$2:$M$129,10,FALSE))</f>
        <v/>
      </c>
      <c r="J193" s="499" t="str">
        <f>IFERROR(VLOOKUP(I193,'G-1 All Habitats'!$V$3:$W$7,2,FALSE),"")</f>
        <v/>
      </c>
      <c r="K193" s="71"/>
      <c r="L193" s="499" t="str">
        <f>IFERROR(INDEX('G-8 Condition Look up'!$A$3:$H$130,MATCH(G193,'G-8 Condition Look up'!$A$3:$A$130,0),MATCH(K193,'G-8 Condition Look up'!$A$3:$H$3,0)),"")</f>
        <v/>
      </c>
      <c r="M193" s="71"/>
      <c r="N193" s="520" t="str">
        <f>IF(M193="","",IF(VLOOKUP(M193,'G-3 Multipliers'!$L$3:$N$6,2,FALSE)=0,"Spatial Data Missing",VLOOKUP(M193,'G-3 Multipliers'!$L$3:$N$6,2,FALSE)))</f>
        <v/>
      </c>
      <c r="O193" s="505" t="str">
        <f>IF(M193="","",IF(VLOOKUP(M193,'G-3 Multipliers'!$L$3:$N$6,3,FALSE)=0,"Spatial Data Missing",VLOOKUP(M193,'G-3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1" t="str">
        <f t="shared" si="13"/>
        <v/>
      </c>
      <c r="V193" s="511" t="str">
        <f t="shared" si="14"/>
        <v/>
      </c>
      <c r="W193" s="511"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5"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8" t="str">
        <f>IF(G194="","",VLOOKUP(G194,'G-1 All Habitats'!$B$2:$M$129,10,FALSE))</f>
        <v/>
      </c>
      <c r="J194" s="499" t="str">
        <f>IFERROR(VLOOKUP(I194,'G-1 All Habitats'!$V$3:$W$7,2,FALSE),"")</f>
        <v/>
      </c>
      <c r="K194" s="71"/>
      <c r="L194" s="499" t="str">
        <f>IFERROR(INDEX('G-8 Condition Look up'!$A$3:$H$130,MATCH(G194,'G-8 Condition Look up'!$A$3:$A$130,0),MATCH(K194,'G-8 Condition Look up'!$A$3:$H$3,0)),"")</f>
        <v/>
      </c>
      <c r="M194" s="71"/>
      <c r="N194" s="520" t="str">
        <f>IF(M194="","",IF(VLOOKUP(M194,'G-3 Multipliers'!$L$3:$N$6,2,FALSE)=0,"Spatial Data Missing",VLOOKUP(M194,'G-3 Multipliers'!$L$3:$N$6,2,FALSE)))</f>
        <v/>
      </c>
      <c r="O194" s="505" t="str">
        <f>IF(M194="","",IF(VLOOKUP(M194,'G-3 Multipliers'!$L$3:$N$6,3,FALSE)=0,"Spatial Data Missing",VLOOKUP(M194,'G-3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1" t="str">
        <f t="shared" si="13"/>
        <v/>
      </c>
      <c r="V194" s="511" t="str">
        <f t="shared" si="14"/>
        <v/>
      </c>
      <c r="W194" s="511"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5"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8" t="str">
        <f>IF(G195="","",VLOOKUP(G195,'G-1 All Habitats'!$B$2:$M$129,10,FALSE))</f>
        <v/>
      </c>
      <c r="J195" s="499" t="str">
        <f>IFERROR(VLOOKUP(I195,'G-1 All Habitats'!$V$3:$W$7,2,FALSE),"")</f>
        <v/>
      </c>
      <c r="K195" s="71"/>
      <c r="L195" s="499" t="str">
        <f>IFERROR(INDEX('G-8 Condition Look up'!$A$3:$H$130,MATCH(G195,'G-8 Condition Look up'!$A$3:$A$130,0),MATCH(K195,'G-8 Condition Look up'!$A$3:$H$3,0)),"")</f>
        <v/>
      </c>
      <c r="M195" s="71"/>
      <c r="N195" s="520" t="str">
        <f>IF(M195="","",IF(VLOOKUP(M195,'G-3 Multipliers'!$L$3:$N$6,2,FALSE)=0,"Spatial Data Missing",VLOOKUP(M195,'G-3 Multipliers'!$L$3:$N$6,2,FALSE)))</f>
        <v/>
      </c>
      <c r="O195" s="505" t="str">
        <f>IF(M195="","",IF(VLOOKUP(M195,'G-3 Multipliers'!$L$3:$N$6,3,FALSE)=0,"Spatial Data Missing",VLOOKUP(M195,'G-3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1" t="str">
        <f t="shared" si="13"/>
        <v/>
      </c>
      <c r="V195" s="511" t="str">
        <f t="shared" si="14"/>
        <v/>
      </c>
      <c r="W195" s="511"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5"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8" t="str">
        <f>IF(G196="","",VLOOKUP(G196,'G-1 All Habitats'!$B$2:$M$129,10,FALSE))</f>
        <v/>
      </c>
      <c r="J196" s="499" t="str">
        <f>IFERROR(VLOOKUP(I196,'G-1 All Habitats'!$V$3:$W$7,2,FALSE),"")</f>
        <v/>
      </c>
      <c r="K196" s="71"/>
      <c r="L196" s="499" t="str">
        <f>IFERROR(INDEX('G-8 Condition Look up'!$A$3:$H$130,MATCH(G196,'G-8 Condition Look up'!$A$3:$A$130,0),MATCH(K196,'G-8 Condition Look up'!$A$3:$H$3,0)),"")</f>
        <v/>
      </c>
      <c r="M196" s="71"/>
      <c r="N196" s="520" t="str">
        <f>IF(M196="","",IF(VLOOKUP(M196,'G-3 Multipliers'!$L$3:$N$6,2,FALSE)=0,"Spatial Data Missing",VLOOKUP(M196,'G-3 Multipliers'!$L$3:$N$6,2,FALSE)))</f>
        <v/>
      </c>
      <c r="O196" s="505" t="str">
        <f>IF(M196="","",IF(VLOOKUP(M196,'G-3 Multipliers'!$L$3:$N$6,3,FALSE)=0,"Spatial Data Missing",VLOOKUP(M196,'G-3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1" t="str">
        <f t="shared" si="13"/>
        <v/>
      </c>
      <c r="V196" s="511" t="str">
        <f t="shared" si="14"/>
        <v/>
      </c>
      <c r="W196" s="511"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5"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8" t="str">
        <f>IF(G197="","",VLOOKUP(G197,'G-1 All Habitats'!$B$2:$M$129,10,FALSE))</f>
        <v/>
      </c>
      <c r="J197" s="499" t="str">
        <f>IFERROR(VLOOKUP(I197,'G-1 All Habitats'!$V$3:$W$7,2,FALSE),"")</f>
        <v/>
      </c>
      <c r="K197" s="71"/>
      <c r="L197" s="499" t="str">
        <f>IFERROR(INDEX('G-8 Condition Look up'!$A$3:$H$130,MATCH(G197,'G-8 Condition Look up'!$A$3:$A$130,0),MATCH(K197,'G-8 Condition Look up'!$A$3:$H$3,0)),"")</f>
        <v/>
      </c>
      <c r="M197" s="71"/>
      <c r="N197" s="520" t="str">
        <f>IF(M197="","",IF(VLOOKUP(M197,'G-3 Multipliers'!$L$3:$N$6,2,FALSE)=0,"Spatial Data Missing",VLOOKUP(M197,'G-3 Multipliers'!$L$3:$N$6,2,FALSE)))</f>
        <v/>
      </c>
      <c r="O197" s="505" t="str">
        <f>IF(M197="","",IF(VLOOKUP(M197,'G-3 Multipliers'!$L$3:$N$6,3,FALSE)=0,"Spatial Data Missing",VLOOKUP(M197,'G-3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1" t="str">
        <f t="shared" si="13"/>
        <v/>
      </c>
      <c r="V197" s="511" t="str">
        <f t="shared" si="14"/>
        <v/>
      </c>
      <c r="W197" s="511"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5"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8" t="str">
        <f>IF(G198="","",VLOOKUP(G198,'G-1 All Habitats'!$B$2:$M$129,10,FALSE))</f>
        <v/>
      </c>
      <c r="J198" s="499" t="str">
        <f>IFERROR(VLOOKUP(I198,'G-1 All Habitats'!$V$3:$W$7,2,FALSE),"")</f>
        <v/>
      </c>
      <c r="K198" s="71"/>
      <c r="L198" s="499" t="str">
        <f>IFERROR(INDEX('G-8 Condition Look up'!$A$3:$H$130,MATCH(G198,'G-8 Condition Look up'!$A$3:$A$130,0),MATCH(K198,'G-8 Condition Look up'!$A$3:$H$3,0)),"")</f>
        <v/>
      </c>
      <c r="M198" s="71"/>
      <c r="N198" s="520" t="str">
        <f>IF(M198="","",IF(VLOOKUP(M198,'G-3 Multipliers'!$L$3:$N$6,2,FALSE)=0,"Spatial Data Missing",VLOOKUP(M198,'G-3 Multipliers'!$L$3:$N$6,2,FALSE)))</f>
        <v/>
      </c>
      <c r="O198" s="505" t="str">
        <f>IF(M198="","",IF(VLOOKUP(M198,'G-3 Multipliers'!$L$3:$N$6,3,FALSE)=0,"Spatial Data Missing",VLOOKUP(M198,'G-3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1" t="str">
        <f t="shared" si="13"/>
        <v/>
      </c>
      <c r="V198" s="511" t="str">
        <f t="shared" si="14"/>
        <v/>
      </c>
      <c r="W198" s="511"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5"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8" t="str">
        <f>IF(G199="","",VLOOKUP(G199,'G-1 All Habitats'!$B$2:$M$129,10,FALSE))</f>
        <v/>
      </c>
      <c r="J199" s="499" t="str">
        <f>IFERROR(VLOOKUP(I199,'G-1 All Habitats'!$V$3:$W$7,2,FALSE),"")</f>
        <v/>
      </c>
      <c r="K199" s="71"/>
      <c r="L199" s="499" t="str">
        <f>IFERROR(INDEX('G-8 Condition Look up'!$A$3:$H$130,MATCH(G199,'G-8 Condition Look up'!$A$3:$A$130,0),MATCH(K199,'G-8 Condition Look up'!$A$3:$H$3,0)),"")</f>
        <v/>
      </c>
      <c r="M199" s="71"/>
      <c r="N199" s="520" t="str">
        <f>IF(M199="","",IF(VLOOKUP(M199,'G-3 Multipliers'!$L$3:$N$6,2,FALSE)=0,"Spatial Data Missing",VLOOKUP(M199,'G-3 Multipliers'!$L$3:$N$6,2,FALSE)))</f>
        <v/>
      </c>
      <c r="O199" s="505" t="str">
        <f>IF(M199="","",IF(VLOOKUP(M199,'G-3 Multipliers'!$L$3:$N$6,3,FALSE)=0,"Spatial Data Missing",VLOOKUP(M199,'G-3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1" t="str">
        <f t="shared" si="13"/>
        <v/>
      </c>
      <c r="V199" s="511" t="str">
        <f t="shared" si="14"/>
        <v/>
      </c>
      <c r="W199" s="511"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5"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8" t="str">
        <f>IF(G200="","",VLOOKUP(G200,'G-1 All Habitats'!$B$2:$M$129,10,FALSE))</f>
        <v/>
      </c>
      <c r="J200" s="499" t="str">
        <f>IFERROR(VLOOKUP(I200,'G-1 All Habitats'!$V$3:$W$7,2,FALSE),"")</f>
        <v/>
      </c>
      <c r="K200" s="71"/>
      <c r="L200" s="499" t="str">
        <f>IFERROR(INDEX('G-8 Condition Look up'!$A$3:$H$130,MATCH(G200,'G-8 Condition Look up'!$A$3:$A$130,0),MATCH(K200,'G-8 Condition Look up'!$A$3:$H$3,0)),"")</f>
        <v/>
      </c>
      <c r="M200" s="71"/>
      <c r="N200" s="520" t="str">
        <f>IF(M200="","",IF(VLOOKUP(M200,'G-3 Multipliers'!$L$3:$N$6,2,FALSE)=0,"Spatial Data Missing",VLOOKUP(M200,'G-3 Multipliers'!$L$3:$N$6,2,FALSE)))</f>
        <v/>
      </c>
      <c r="O200" s="505" t="str">
        <f>IF(M200="","",IF(VLOOKUP(M200,'G-3 Multipliers'!$L$3:$N$6,3,FALSE)=0,"Spatial Data Missing",VLOOKUP(M200,'G-3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1" t="str">
        <f t="shared" si="13"/>
        <v/>
      </c>
      <c r="V200" s="511" t="str">
        <f t="shared" si="14"/>
        <v/>
      </c>
      <c r="W200" s="511"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5"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8" t="str">
        <f>IF(G201="","",VLOOKUP(G201,'G-1 All Habitats'!$B$2:$M$129,10,FALSE))</f>
        <v/>
      </c>
      <c r="J201" s="499" t="str">
        <f>IFERROR(VLOOKUP(I201,'G-1 All Habitats'!$V$3:$W$7,2,FALSE),"")</f>
        <v/>
      </c>
      <c r="K201" s="71"/>
      <c r="L201" s="499" t="str">
        <f>IFERROR(INDEX('G-8 Condition Look up'!$A$3:$H$130,MATCH(G201,'G-8 Condition Look up'!$A$3:$A$130,0),MATCH(K201,'G-8 Condition Look up'!$A$3:$H$3,0)),"")</f>
        <v/>
      </c>
      <c r="M201" s="71"/>
      <c r="N201" s="520" t="str">
        <f>IF(M201="","",IF(VLOOKUP(M201,'G-3 Multipliers'!$L$3:$N$6,2,FALSE)=0,"Spatial Data Missing",VLOOKUP(M201,'G-3 Multipliers'!$L$3:$N$6,2,FALSE)))</f>
        <v/>
      </c>
      <c r="O201" s="505" t="str">
        <f>IF(M201="","",IF(VLOOKUP(M201,'G-3 Multipliers'!$L$3:$N$6,3,FALSE)=0,"Spatial Data Missing",VLOOKUP(M201,'G-3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1" t="str">
        <f t="shared" si="13"/>
        <v/>
      </c>
      <c r="V201" s="511" t="str">
        <f t="shared" si="14"/>
        <v/>
      </c>
      <c r="W201" s="511"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5"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8" t="str">
        <f>IF(G202="","",VLOOKUP(G202,'G-1 All Habitats'!$B$2:$M$129,10,FALSE))</f>
        <v/>
      </c>
      <c r="J202" s="499" t="str">
        <f>IFERROR(VLOOKUP(I202,'G-1 All Habitats'!$V$3:$W$7,2,FALSE),"")</f>
        <v/>
      </c>
      <c r="K202" s="71"/>
      <c r="L202" s="499" t="str">
        <f>IFERROR(INDEX('G-8 Condition Look up'!$A$3:$H$130,MATCH(G202,'G-8 Condition Look up'!$A$3:$A$130,0),MATCH(K202,'G-8 Condition Look up'!$A$3:$H$3,0)),"")</f>
        <v/>
      </c>
      <c r="M202" s="71"/>
      <c r="N202" s="520" t="str">
        <f>IF(M202="","",IF(VLOOKUP(M202,'G-3 Multipliers'!$L$3:$N$6,2,FALSE)=0,"Spatial Data Missing",VLOOKUP(M202,'G-3 Multipliers'!$L$3:$N$6,2,FALSE)))</f>
        <v/>
      </c>
      <c r="O202" s="505" t="str">
        <f>IF(M202="","",IF(VLOOKUP(M202,'G-3 Multipliers'!$L$3:$N$6,3,FALSE)=0,"Spatial Data Missing",VLOOKUP(M202,'G-3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1" t="str">
        <f t="shared" si="13"/>
        <v/>
      </c>
      <c r="V202" s="511" t="str">
        <f t="shared" si="14"/>
        <v/>
      </c>
      <c r="W202" s="511"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5"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8" t="str">
        <f>IF(G203="","",VLOOKUP(G203,'G-1 All Habitats'!$B$2:$M$129,10,FALSE))</f>
        <v/>
      </c>
      <c r="J203" s="499" t="str">
        <f>IFERROR(VLOOKUP(I203,'G-1 All Habitats'!$V$3:$W$7,2,FALSE),"")</f>
        <v/>
      </c>
      <c r="K203" s="71"/>
      <c r="L203" s="499" t="str">
        <f>IFERROR(INDEX('G-8 Condition Look up'!$A$3:$H$130,MATCH(G203,'G-8 Condition Look up'!$A$3:$A$130,0),MATCH(K203,'G-8 Condition Look up'!$A$3:$H$3,0)),"")</f>
        <v/>
      </c>
      <c r="M203" s="71"/>
      <c r="N203" s="520" t="str">
        <f>IF(M203="","",IF(VLOOKUP(M203,'G-3 Multipliers'!$L$3:$N$6,2,FALSE)=0,"Spatial Data Missing",VLOOKUP(M203,'G-3 Multipliers'!$L$3:$N$6,2,FALSE)))</f>
        <v/>
      </c>
      <c r="O203" s="505" t="str">
        <f>IF(M203="","",IF(VLOOKUP(M203,'G-3 Multipliers'!$L$3:$N$6,3,FALSE)=0,"Spatial Data Missing",VLOOKUP(M203,'G-3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1" t="str">
        <f t="shared" si="13"/>
        <v/>
      </c>
      <c r="V203" s="511" t="str">
        <f t="shared" si="14"/>
        <v/>
      </c>
      <c r="W203" s="511"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5"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8" t="str">
        <f>IF(G204="","",VLOOKUP(G204,'G-1 All Habitats'!$B$2:$M$129,10,FALSE))</f>
        <v/>
      </c>
      <c r="J204" s="499" t="str">
        <f>IFERROR(VLOOKUP(I204,'G-1 All Habitats'!$V$3:$W$7,2,FALSE),"")</f>
        <v/>
      </c>
      <c r="K204" s="71"/>
      <c r="L204" s="499" t="str">
        <f>IFERROR(INDEX('G-8 Condition Look up'!$A$3:$H$130,MATCH(G204,'G-8 Condition Look up'!$A$3:$A$130,0),MATCH(K204,'G-8 Condition Look up'!$A$3:$H$3,0)),"")</f>
        <v/>
      </c>
      <c r="M204" s="71"/>
      <c r="N204" s="520" t="str">
        <f>IF(M204="","",IF(VLOOKUP(M204,'G-3 Multipliers'!$L$3:$N$6,2,FALSE)=0,"Spatial Data Missing",VLOOKUP(M204,'G-3 Multipliers'!$L$3:$N$6,2,FALSE)))</f>
        <v/>
      </c>
      <c r="O204" s="505" t="str">
        <f>IF(M204="","",IF(VLOOKUP(M204,'G-3 Multipliers'!$L$3:$N$6,3,FALSE)=0,"Spatial Data Missing",VLOOKUP(M204,'G-3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1" t="str">
        <f t="shared" si="13"/>
        <v/>
      </c>
      <c r="V204" s="511" t="str">
        <f t="shared" si="14"/>
        <v/>
      </c>
      <c r="W204" s="511"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5"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8" t="str">
        <f>IF(G205="","",VLOOKUP(G205,'G-1 All Habitats'!$B$2:$M$129,10,FALSE))</f>
        <v/>
      </c>
      <c r="J205" s="499" t="str">
        <f>IFERROR(VLOOKUP(I205,'G-1 All Habitats'!$V$3:$W$7,2,FALSE),"")</f>
        <v/>
      </c>
      <c r="K205" s="71"/>
      <c r="L205" s="499" t="str">
        <f>IFERROR(INDEX('G-8 Condition Look up'!$A$3:$H$130,MATCH(G205,'G-8 Condition Look up'!$A$3:$A$130,0),MATCH(K205,'G-8 Condition Look up'!$A$3:$H$3,0)),"")</f>
        <v/>
      </c>
      <c r="M205" s="71"/>
      <c r="N205" s="520" t="str">
        <f>IF(M205="","",IF(VLOOKUP(M205,'G-3 Multipliers'!$L$3:$N$6,2,FALSE)=0,"Spatial Data Missing",VLOOKUP(M205,'G-3 Multipliers'!$L$3:$N$6,2,FALSE)))</f>
        <v/>
      </c>
      <c r="O205" s="505" t="str">
        <f>IF(M205="","",IF(VLOOKUP(M205,'G-3 Multipliers'!$L$3:$N$6,3,FALSE)=0,"Spatial Data Missing",VLOOKUP(M205,'G-3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1" t="str">
        <f t="shared" ref="U205:U258" si="18">IFERROR(S205*J205*L205*O205,"")</f>
        <v/>
      </c>
      <c r="V205" s="511" t="str">
        <f t="shared" ref="V205:V258" si="19">IFERROR(T205*J205*L205*O205,"")</f>
        <v/>
      </c>
      <c r="W205" s="511"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5"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8" t="str">
        <f>IF(G206="","",VLOOKUP(G206,'G-1 All Habitats'!$B$2:$M$129,10,FALSE))</f>
        <v/>
      </c>
      <c r="J206" s="499" t="str">
        <f>IFERROR(VLOOKUP(I206,'G-1 All Habitats'!$V$3:$W$7,2,FALSE),"")</f>
        <v/>
      </c>
      <c r="K206" s="71"/>
      <c r="L206" s="499" t="str">
        <f>IFERROR(INDEX('G-8 Condition Look up'!$A$3:$H$130,MATCH(G206,'G-8 Condition Look up'!$A$3:$A$130,0),MATCH(K206,'G-8 Condition Look up'!$A$3:$H$3,0)),"")</f>
        <v/>
      </c>
      <c r="M206" s="71"/>
      <c r="N206" s="520" t="str">
        <f>IF(M206="","",IF(VLOOKUP(M206,'G-3 Multipliers'!$L$3:$N$6,2,FALSE)=0,"Spatial Data Missing",VLOOKUP(M206,'G-3 Multipliers'!$L$3:$N$6,2,FALSE)))</f>
        <v/>
      </c>
      <c r="O206" s="505" t="str">
        <f>IF(M206="","",IF(VLOOKUP(M206,'G-3 Multipliers'!$L$3:$N$6,3,FALSE)=0,"Spatial Data Missing",VLOOKUP(M206,'G-3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1" t="str">
        <f t="shared" si="18"/>
        <v/>
      </c>
      <c r="V206" s="511" t="str">
        <f t="shared" si="19"/>
        <v/>
      </c>
      <c r="W206" s="511"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5"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8" t="str">
        <f>IF(G207="","",VLOOKUP(G207,'G-1 All Habitats'!$B$2:$M$129,10,FALSE))</f>
        <v/>
      </c>
      <c r="J207" s="499" t="str">
        <f>IFERROR(VLOOKUP(I207,'G-1 All Habitats'!$V$3:$W$7,2,FALSE),"")</f>
        <v/>
      </c>
      <c r="K207" s="71"/>
      <c r="L207" s="499" t="str">
        <f>IFERROR(INDEX('G-8 Condition Look up'!$A$3:$H$130,MATCH(G207,'G-8 Condition Look up'!$A$3:$A$130,0),MATCH(K207,'G-8 Condition Look up'!$A$3:$H$3,0)),"")</f>
        <v/>
      </c>
      <c r="M207" s="71"/>
      <c r="N207" s="520" t="str">
        <f>IF(M207="","",IF(VLOOKUP(M207,'G-3 Multipliers'!$L$3:$N$6,2,FALSE)=0,"Spatial Data Missing",VLOOKUP(M207,'G-3 Multipliers'!$L$3:$N$6,2,FALSE)))</f>
        <v/>
      </c>
      <c r="O207" s="505" t="str">
        <f>IF(M207="","",IF(VLOOKUP(M207,'G-3 Multipliers'!$L$3:$N$6,3,FALSE)=0,"Spatial Data Missing",VLOOKUP(M207,'G-3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1" t="str">
        <f t="shared" si="18"/>
        <v/>
      </c>
      <c r="V207" s="511" t="str">
        <f t="shared" si="19"/>
        <v/>
      </c>
      <c r="W207" s="511"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5"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8" t="str">
        <f>IF(G208="","",VLOOKUP(G208,'G-1 All Habitats'!$B$2:$M$129,10,FALSE))</f>
        <v/>
      </c>
      <c r="J208" s="499" t="str">
        <f>IFERROR(VLOOKUP(I208,'G-1 All Habitats'!$V$3:$W$7,2,FALSE),"")</f>
        <v/>
      </c>
      <c r="K208" s="71"/>
      <c r="L208" s="499" t="str">
        <f>IFERROR(INDEX('G-8 Condition Look up'!$A$3:$H$130,MATCH(G208,'G-8 Condition Look up'!$A$3:$A$130,0),MATCH(K208,'G-8 Condition Look up'!$A$3:$H$3,0)),"")</f>
        <v/>
      </c>
      <c r="M208" s="71"/>
      <c r="N208" s="520" t="str">
        <f>IF(M208="","",IF(VLOOKUP(M208,'G-3 Multipliers'!$L$3:$N$6,2,FALSE)=0,"Spatial Data Missing",VLOOKUP(M208,'G-3 Multipliers'!$L$3:$N$6,2,FALSE)))</f>
        <v/>
      </c>
      <c r="O208" s="505" t="str">
        <f>IF(M208="","",IF(VLOOKUP(M208,'G-3 Multipliers'!$L$3:$N$6,3,FALSE)=0,"Spatial Data Missing",VLOOKUP(M208,'G-3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1" t="str">
        <f t="shared" si="18"/>
        <v/>
      </c>
      <c r="V208" s="511" t="str">
        <f t="shared" si="19"/>
        <v/>
      </c>
      <c r="W208" s="511"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5"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8" t="str">
        <f>IF(G209="","",VLOOKUP(G209,'G-1 All Habitats'!$B$2:$M$129,10,FALSE))</f>
        <v/>
      </c>
      <c r="J209" s="499" t="str">
        <f>IFERROR(VLOOKUP(I209,'G-1 All Habitats'!$V$3:$W$7,2,FALSE),"")</f>
        <v/>
      </c>
      <c r="K209" s="71"/>
      <c r="L209" s="499" t="str">
        <f>IFERROR(INDEX('G-8 Condition Look up'!$A$3:$H$130,MATCH(G209,'G-8 Condition Look up'!$A$3:$A$130,0),MATCH(K209,'G-8 Condition Look up'!$A$3:$H$3,0)),"")</f>
        <v/>
      </c>
      <c r="M209" s="71"/>
      <c r="N209" s="520" t="str">
        <f>IF(M209="","",IF(VLOOKUP(M209,'G-3 Multipliers'!$L$3:$N$6,2,FALSE)=0,"Spatial Data Missing",VLOOKUP(M209,'G-3 Multipliers'!$L$3:$N$6,2,FALSE)))</f>
        <v/>
      </c>
      <c r="O209" s="505" t="str">
        <f>IF(M209="","",IF(VLOOKUP(M209,'G-3 Multipliers'!$L$3:$N$6,3,FALSE)=0,"Spatial Data Missing",VLOOKUP(M209,'G-3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1" t="str">
        <f t="shared" si="18"/>
        <v/>
      </c>
      <c r="V209" s="511" t="str">
        <f t="shared" si="19"/>
        <v/>
      </c>
      <c r="W209" s="511"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5"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8" t="str">
        <f>IF(G210="","",VLOOKUP(G210,'G-1 All Habitats'!$B$2:$M$129,10,FALSE))</f>
        <v/>
      </c>
      <c r="J210" s="499" t="str">
        <f>IFERROR(VLOOKUP(I210,'G-1 All Habitats'!$V$3:$W$7,2,FALSE),"")</f>
        <v/>
      </c>
      <c r="K210" s="71"/>
      <c r="L210" s="499" t="str">
        <f>IFERROR(INDEX('G-8 Condition Look up'!$A$3:$H$130,MATCH(G210,'G-8 Condition Look up'!$A$3:$A$130,0),MATCH(K210,'G-8 Condition Look up'!$A$3:$H$3,0)),"")</f>
        <v/>
      </c>
      <c r="M210" s="71"/>
      <c r="N210" s="520" t="str">
        <f>IF(M210="","",IF(VLOOKUP(M210,'G-3 Multipliers'!$L$3:$N$6,2,FALSE)=0,"Spatial Data Missing",VLOOKUP(M210,'G-3 Multipliers'!$L$3:$N$6,2,FALSE)))</f>
        <v/>
      </c>
      <c r="O210" s="505" t="str">
        <f>IF(M210="","",IF(VLOOKUP(M210,'G-3 Multipliers'!$L$3:$N$6,3,FALSE)=0,"Spatial Data Missing",VLOOKUP(M210,'G-3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1" t="str">
        <f t="shared" si="18"/>
        <v/>
      </c>
      <c r="V210" s="511" t="str">
        <f t="shared" si="19"/>
        <v/>
      </c>
      <c r="W210" s="511"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5"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8" t="str">
        <f>IF(G211="","",VLOOKUP(G211,'G-1 All Habitats'!$B$2:$M$129,10,FALSE))</f>
        <v/>
      </c>
      <c r="J211" s="499" t="str">
        <f>IFERROR(VLOOKUP(I211,'G-1 All Habitats'!$V$3:$W$7,2,FALSE),"")</f>
        <v/>
      </c>
      <c r="K211" s="71"/>
      <c r="L211" s="499" t="str">
        <f>IFERROR(INDEX('G-8 Condition Look up'!$A$3:$H$130,MATCH(G211,'G-8 Condition Look up'!$A$3:$A$130,0),MATCH(K211,'G-8 Condition Look up'!$A$3:$H$3,0)),"")</f>
        <v/>
      </c>
      <c r="M211" s="71"/>
      <c r="N211" s="520" t="str">
        <f>IF(M211="","",IF(VLOOKUP(M211,'G-3 Multipliers'!$L$3:$N$6,2,FALSE)=0,"Spatial Data Missing",VLOOKUP(M211,'G-3 Multipliers'!$L$3:$N$6,2,FALSE)))</f>
        <v/>
      </c>
      <c r="O211" s="505" t="str">
        <f>IF(M211="","",IF(VLOOKUP(M211,'G-3 Multipliers'!$L$3:$N$6,3,FALSE)=0,"Spatial Data Missing",VLOOKUP(M211,'G-3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1" t="str">
        <f t="shared" si="18"/>
        <v/>
      </c>
      <c r="V211" s="511" t="str">
        <f t="shared" si="19"/>
        <v/>
      </c>
      <c r="W211" s="511"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5"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8" t="str">
        <f>IF(G212="","",VLOOKUP(G212,'G-1 All Habitats'!$B$2:$M$129,10,FALSE))</f>
        <v/>
      </c>
      <c r="J212" s="499" t="str">
        <f>IFERROR(VLOOKUP(I212,'G-1 All Habitats'!$V$3:$W$7,2,FALSE),"")</f>
        <v/>
      </c>
      <c r="K212" s="71"/>
      <c r="L212" s="499" t="str">
        <f>IFERROR(INDEX('G-8 Condition Look up'!$A$3:$H$130,MATCH(G212,'G-8 Condition Look up'!$A$3:$A$130,0),MATCH(K212,'G-8 Condition Look up'!$A$3:$H$3,0)),"")</f>
        <v/>
      </c>
      <c r="M212" s="71"/>
      <c r="N212" s="520" t="str">
        <f>IF(M212="","",IF(VLOOKUP(M212,'G-3 Multipliers'!$L$3:$N$6,2,FALSE)=0,"Spatial Data Missing",VLOOKUP(M212,'G-3 Multipliers'!$L$3:$N$6,2,FALSE)))</f>
        <v/>
      </c>
      <c r="O212" s="505" t="str">
        <f>IF(M212="","",IF(VLOOKUP(M212,'G-3 Multipliers'!$L$3:$N$6,3,FALSE)=0,"Spatial Data Missing",VLOOKUP(M212,'G-3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1" t="str">
        <f t="shared" si="18"/>
        <v/>
      </c>
      <c r="V212" s="511" t="str">
        <f t="shared" si="19"/>
        <v/>
      </c>
      <c r="W212" s="511"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5"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8" t="str">
        <f>IF(G213="","",VLOOKUP(G213,'G-1 All Habitats'!$B$2:$M$129,10,FALSE))</f>
        <v/>
      </c>
      <c r="J213" s="499" t="str">
        <f>IFERROR(VLOOKUP(I213,'G-1 All Habitats'!$V$3:$W$7,2,FALSE),"")</f>
        <v/>
      </c>
      <c r="K213" s="71"/>
      <c r="L213" s="499" t="str">
        <f>IFERROR(INDEX('G-8 Condition Look up'!$A$3:$H$130,MATCH(G213,'G-8 Condition Look up'!$A$3:$A$130,0),MATCH(K213,'G-8 Condition Look up'!$A$3:$H$3,0)),"")</f>
        <v/>
      </c>
      <c r="M213" s="71"/>
      <c r="N213" s="520" t="str">
        <f>IF(M213="","",IF(VLOOKUP(M213,'G-3 Multipliers'!$L$3:$N$6,2,FALSE)=0,"Spatial Data Missing",VLOOKUP(M213,'G-3 Multipliers'!$L$3:$N$6,2,FALSE)))</f>
        <v/>
      </c>
      <c r="O213" s="505" t="str">
        <f>IF(M213="","",IF(VLOOKUP(M213,'G-3 Multipliers'!$L$3:$N$6,3,FALSE)=0,"Spatial Data Missing",VLOOKUP(M213,'G-3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1" t="str">
        <f t="shared" si="18"/>
        <v/>
      </c>
      <c r="V213" s="511" t="str">
        <f t="shared" si="19"/>
        <v/>
      </c>
      <c r="W213" s="511"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5"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8" t="str">
        <f>IF(G214="","",VLOOKUP(G214,'G-1 All Habitats'!$B$2:$M$129,10,FALSE))</f>
        <v/>
      </c>
      <c r="J214" s="499" t="str">
        <f>IFERROR(VLOOKUP(I214,'G-1 All Habitats'!$V$3:$W$7,2,FALSE),"")</f>
        <v/>
      </c>
      <c r="K214" s="71"/>
      <c r="L214" s="499" t="str">
        <f>IFERROR(INDEX('G-8 Condition Look up'!$A$3:$H$130,MATCH(G214,'G-8 Condition Look up'!$A$3:$A$130,0),MATCH(K214,'G-8 Condition Look up'!$A$3:$H$3,0)),"")</f>
        <v/>
      </c>
      <c r="M214" s="71"/>
      <c r="N214" s="520" t="str">
        <f>IF(M214="","",IF(VLOOKUP(M214,'G-3 Multipliers'!$L$3:$N$6,2,FALSE)=0,"Spatial Data Missing",VLOOKUP(M214,'G-3 Multipliers'!$L$3:$N$6,2,FALSE)))</f>
        <v/>
      </c>
      <c r="O214" s="505" t="str">
        <f>IF(M214="","",IF(VLOOKUP(M214,'G-3 Multipliers'!$L$3:$N$6,3,FALSE)=0,"Spatial Data Missing",VLOOKUP(M214,'G-3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1" t="str">
        <f t="shared" si="18"/>
        <v/>
      </c>
      <c r="V214" s="511" t="str">
        <f t="shared" si="19"/>
        <v/>
      </c>
      <c r="W214" s="511"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5"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8" t="str">
        <f>IF(G215="","",VLOOKUP(G215,'G-1 All Habitats'!$B$2:$M$129,10,FALSE))</f>
        <v/>
      </c>
      <c r="J215" s="499" t="str">
        <f>IFERROR(VLOOKUP(I215,'G-1 All Habitats'!$V$3:$W$7,2,FALSE),"")</f>
        <v/>
      </c>
      <c r="K215" s="71"/>
      <c r="L215" s="499" t="str">
        <f>IFERROR(INDEX('G-8 Condition Look up'!$A$3:$H$130,MATCH(G215,'G-8 Condition Look up'!$A$3:$A$130,0),MATCH(K215,'G-8 Condition Look up'!$A$3:$H$3,0)),"")</f>
        <v/>
      </c>
      <c r="M215" s="71"/>
      <c r="N215" s="520" t="str">
        <f>IF(M215="","",IF(VLOOKUP(M215,'G-3 Multipliers'!$L$3:$N$6,2,FALSE)=0,"Spatial Data Missing",VLOOKUP(M215,'G-3 Multipliers'!$L$3:$N$6,2,FALSE)))</f>
        <v/>
      </c>
      <c r="O215" s="505" t="str">
        <f>IF(M215="","",IF(VLOOKUP(M215,'G-3 Multipliers'!$L$3:$N$6,3,FALSE)=0,"Spatial Data Missing",VLOOKUP(M215,'G-3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1" t="str">
        <f t="shared" si="18"/>
        <v/>
      </c>
      <c r="V215" s="511" t="str">
        <f t="shared" si="19"/>
        <v/>
      </c>
      <c r="W215" s="511"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5"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8" t="str">
        <f>IF(G216="","",VLOOKUP(G216,'G-1 All Habitats'!$B$2:$M$129,10,FALSE))</f>
        <v/>
      </c>
      <c r="J216" s="499" t="str">
        <f>IFERROR(VLOOKUP(I216,'G-1 All Habitats'!$V$3:$W$7,2,FALSE),"")</f>
        <v/>
      </c>
      <c r="K216" s="71"/>
      <c r="L216" s="499" t="str">
        <f>IFERROR(INDEX('G-8 Condition Look up'!$A$3:$H$130,MATCH(G216,'G-8 Condition Look up'!$A$3:$A$130,0),MATCH(K216,'G-8 Condition Look up'!$A$3:$H$3,0)),"")</f>
        <v/>
      </c>
      <c r="M216" s="71"/>
      <c r="N216" s="520" t="str">
        <f>IF(M216="","",IF(VLOOKUP(M216,'G-3 Multipliers'!$L$3:$N$6,2,FALSE)=0,"Spatial Data Missing",VLOOKUP(M216,'G-3 Multipliers'!$L$3:$N$6,2,FALSE)))</f>
        <v/>
      </c>
      <c r="O216" s="505" t="str">
        <f>IF(M216="","",IF(VLOOKUP(M216,'G-3 Multipliers'!$L$3:$N$6,3,FALSE)=0,"Spatial Data Missing",VLOOKUP(M216,'G-3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1" t="str">
        <f t="shared" si="18"/>
        <v/>
      </c>
      <c r="V216" s="511" t="str">
        <f t="shared" si="19"/>
        <v/>
      </c>
      <c r="W216" s="511"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5"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8" t="str">
        <f>IF(G217="","",VLOOKUP(G217,'G-1 All Habitats'!$B$2:$M$129,10,FALSE))</f>
        <v/>
      </c>
      <c r="J217" s="499" t="str">
        <f>IFERROR(VLOOKUP(I217,'G-1 All Habitats'!$V$3:$W$7,2,FALSE),"")</f>
        <v/>
      </c>
      <c r="K217" s="71"/>
      <c r="L217" s="499" t="str">
        <f>IFERROR(INDEX('G-8 Condition Look up'!$A$3:$H$130,MATCH(G217,'G-8 Condition Look up'!$A$3:$A$130,0),MATCH(K217,'G-8 Condition Look up'!$A$3:$H$3,0)),"")</f>
        <v/>
      </c>
      <c r="M217" s="71"/>
      <c r="N217" s="520" t="str">
        <f>IF(M217="","",IF(VLOOKUP(M217,'G-3 Multipliers'!$L$3:$N$6,2,FALSE)=0,"Spatial Data Missing",VLOOKUP(M217,'G-3 Multipliers'!$L$3:$N$6,2,FALSE)))</f>
        <v/>
      </c>
      <c r="O217" s="505" t="str">
        <f>IF(M217="","",IF(VLOOKUP(M217,'G-3 Multipliers'!$L$3:$N$6,3,FALSE)=0,"Spatial Data Missing",VLOOKUP(M217,'G-3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1" t="str">
        <f t="shared" si="18"/>
        <v/>
      </c>
      <c r="V217" s="511" t="str">
        <f t="shared" si="19"/>
        <v/>
      </c>
      <c r="W217" s="511"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5"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8" t="str">
        <f>IF(G218="","",VLOOKUP(G218,'G-1 All Habitats'!$B$2:$M$129,10,FALSE))</f>
        <v/>
      </c>
      <c r="J218" s="499" t="str">
        <f>IFERROR(VLOOKUP(I218,'G-1 All Habitats'!$V$3:$W$7,2,FALSE),"")</f>
        <v/>
      </c>
      <c r="K218" s="71"/>
      <c r="L218" s="499" t="str">
        <f>IFERROR(INDEX('G-8 Condition Look up'!$A$3:$H$130,MATCH(G218,'G-8 Condition Look up'!$A$3:$A$130,0),MATCH(K218,'G-8 Condition Look up'!$A$3:$H$3,0)),"")</f>
        <v/>
      </c>
      <c r="M218" s="71"/>
      <c r="N218" s="520" t="str">
        <f>IF(M218="","",IF(VLOOKUP(M218,'G-3 Multipliers'!$L$3:$N$6,2,FALSE)=0,"Spatial Data Missing",VLOOKUP(M218,'G-3 Multipliers'!$L$3:$N$6,2,FALSE)))</f>
        <v/>
      </c>
      <c r="O218" s="505" t="str">
        <f>IF(M218="","",IF(VLOOKUP(M218,'G-3 Multipliers'!$L$3:$N$6,3,FALSE)=0,"Spatial Data Missing",VLOOKUP(M218,'G-3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1" t="str">
        <f t="shared" si="18"/>
        <v/>
      </c>
      <c r="V218" s="511" t="str">
        <f t="shared" si="19"/>
        <v/>
      </c>
      <c r="W218" s="511"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5"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8" t="str">
        <f>IF(G219="","",VLOOKUP(G219,'G-1 All Habitats'!$B$2:$M$129,10,FALSE))</f>
        <v/>
      </c>
      <c r="J219" s="499" t="str">
        <f>IFERROR(VLOOKUP(I219,'G-1 All Habitats'!$V$3:$W$7,2,FALSE),"")</f>
        <v/>
      </c>
      <c r="K219" s="71"/>
      <c r="L219" s="499" t="str">
        <f>IFERROR(INDEX('G-8 Condition Look up'!$A$3:$H$130,MATCH(G219,'G-8 Condition Look up'!$A$3:$A$130,0),MATCH(K219,'G-8 Condition Look up'!$A$3:$H$3,0)),"")</f>
        <v/>
      </c>
      <c r="M219" s="71"/>
      <c r="N219" s="520" t="str">
        <f>IF(M219="","",IF(VLOOKUP(M219,'G-3 Multipliers'!$L$3:$N$6,2,FALSE)=0,"Spatial Data Missing",VLOOKUP(M219,'G-3 Multipliers'!$L$3:$N$6,2,FALSE)))</f>
        <v/>
      </c>
      <c r="O219" s="505" t="str">
        <f>IF(M219="","",IF(VLOOKUP(M219,'G-3 Multipliers'!$L$3:$N$6,3,FALSE)=0,"Spatial Data Missing",VLOOKUP(M219,'G-3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1" t="str">
        <f t="shared" si="18"/>
        <v/>
      </c>
      <c r="V219" s="511" t="str">
        <f t="shared" si="19"/>
        <v/>
      </c>
      <c r="W219" s="511"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5"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8" t="str">
        <f>IF(G220="","",VLOOKUP(G220,'G-1 All Habitats'!$B$2:$M$129,10,FALSE))</f>
        <v/>
      </c>
      <c r="J220" s="499" t="str">
        <f>IFERROR(VLOOKUP(I220,'G-1 All Habitats'!$V$3:$W$7,2,FALSE),"")</f>
        <v/>
      </c>
      <c r="K220" s="71"/>
      <c r="L220" s="499" t="str">
        <f>IFERROR(INDEX('G-8 Condition Look up'!$A$3:$H$130,MATCH(G220,'G-8 Condition Look up'!$A$3:$A$130,0),MATCH(K220,'G-8 Condition Look up'!$A$3:$H$3,0)),"")</f>
        <v/>
      </c>
      <c r="M220" s="71"/>
      <c r="N220" s="520" t="str">
        <f>IF(M220="","",IF(VLOOKUP(M220,'G-3 Multipliers'!$L$3:$N$6,2,FALSE)=0,"Spatial Data Missing",VLOOKUP(M220,'G-3 Multipliers'!$L$3:$N$6,2,FALSE)))</f>
        <v/>
      </c>
      <c r="O220" s="505" t="str">
        <f>IF(M220="","",IF(VLOOKUP(M220,'G-3 Multipliers'!$L$3:$N$6,3,FALSE)=0,"Spatial Data Missing",VLOOKUP(M220,'G-3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1" t="str">
        <f t="shared" si="18"/>
        <v/>
      </c>
      <c r="V220" s="511" t="str">
        <f t="shared" si="19"/>
        <v/>
      </c>
      <c r="W220" s="511"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5"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8" t="str">
        <f>IF(G221="","",VLOOKUP(G221,'G-1 All Habitats'!$B$2:$M$129,10,FALSE))</f>
        <v/>
      </c>
      <c r="J221" s="499" t="str">
        <f>IFERROR(VLOOKUP(I221,'G-1 All Habitats'!$V$3:$W$7,2,FALSE),"")</f>
        <v/>
      </c>
      <c r="K221" s="71"/>
      <c r="L221" s="499" t="str">
        <f>IFERROR(INDEX('G-8 Condition Look up'!$A$3:$H$130,MATCH(G221,'G-8 Condition Look up'!$A$3:$A$130,0),MATCH(K221,'G-8 Condition Look up'!$A$3:$H$3,0)),"")</f>
        <v/>
      </c>
      <c r="M221" s="71"/>
      <c r="N221" s="520" t="str">
        <f>IF(M221="","",IF(VLOOKUP(M221,'G-3 Multipliers'!$L$3:$N$6,2,FALSE)=0,"Spatial Data Missing",VLOOKUP(M221,'G-3 Multipliers'!$L$3:$N$6,2,FALSE)))</f>
        <v/>
      </c>
      <c r="O221" s="505" t="str">
        <f>IF(M221="","",IF(VLOOKUP(M221,'G-3 Multipliers'!$L$3:$N$6,3,FALSE)=0,"Spatial Data Missing",VLOOKUP(M221,'G-3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1" t="str">
        <f t="shared" si="18"/>
        <v/>
      </c>
      <c r="V221" s="511" t="str">
        <f t="shared" si="19"/>
        <v/>
      </c>
      <c r="W221" s="511"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5"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8" t="str">
        <f>IF(G222="","",VLOOKUP(G222,'G-1 All Habitats'!$B$2:$M$129,10,FALSE))</f>
        <v/>
      </c>
      <c r="J222" s="499" t="str">
        <f>IFERROR(VLOOKUP(I222,'G-1 All Habitats'!$V$3:$W$7,2,FALSE),"")</f>
        <v/>
      </c>
      <c r="K222" s="71"/>
      <c r="L222" s="499" t="str">
        <f>IFERROR(INDEX('G-8 Condition Look up'!$A$3:$H$130,MATCH(G222,'G-8 Condition Look up'!$A$3:$A$130,0),MATCH(K222,'G-8 Condition Look up'!$A$3:$H$3,0)),"")</f>
        <v/>
      </c>
      <c r="M222" s="71"/>
      <c r="N222" s="520" t="str">
        <f>IF(M222="","",IF(VLOOKUP(M222,'G-3 Multipliers'!$L$3:$N$6,2,FALSE)=0,"Spatial Data Missing",VLOOKUP(M222,'G-3 Multipliers'!$L$3:$N$6,2,FALSE)))</f>
        <v/>
      </c>
      <c r="O222" s="505" t="str">
        <f>IF(M222="","",IF(VLOOKUP(M222,'G-3 Multipliers'!$L$3:$N$6,3,FALSE)=0,"Spatial Data Missing",VLOOKUP(M222,'G-3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1" t="str">
        <f t="shared" si="18"/>
        <v/>
      </c>
      <c r="V222" s="511" t="str">
        <f t="shared" si="19"/>
        <v/>
      </c>
      <c r="W222" s="511"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5"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8" t="str">
        <f>IF(G223="","",VLOOKUP(G223,'G-1 All Habitats'!$B$2:$M$129,10,FALSE))</f>
        <v/>
      </c>
      <c r="J223" s="499" t="str">
        <f>IFERROR(VLOOKUP(I223,'G-1 All Habitats'!$V$3:$W$7,2,FALSE),"")</f>
        <v/>
      </c>
      <c r="K223" s="71"/>
      <c r="L223" s="499" t="str">
        <f>IFERROR(INDEX('G-8 Condition Look up'!$A$3:$H$130,MATCH(G223,'G-8 Condition Look up'!$A$3:$A$130,0),MATCH(K223,'G-8 Condition Look up'!$A$3:$H$3,0)),"")</f>
        <v/>
      </c>
      <c r="M223" s="71"/>
      <c r="N223" s="520" t="str">
        <f>IF(M223="","",IF(VLOOKUP(M223,'G-3 Multipliers'!$L$3:$N$6,2,FALSE)=0,"Spatial Data Missing",VLOOKUP(M223,'G-3 Multipliers'!$L$3:$N$6,2,FALSE)))</f>
        <v/>
      </c>
      <c r="O223" s="505" t="str">
        <f>IF(M223="","",IF(VLOOKUP(M223,'G-3 Multipliers'!$L$3:$N$6,3,FALSE)=0,"Spatial Data Missing",VLOOKUP(M223,'G-3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1" t="str">
        <f t="shared" si="18"/>
        <v/>
      </c>
      <c r="V223" s="511" t="str">
        <f t="shared" si="19"/>
        <v/>
      </c>
      <c r="W223" s="511"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5"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8" t="str">
        <f>IF(G224="","",VLOOKUP(G224,'G-1 All Habitats'!$B$2:$M$129,10,FALSE))</f>
        <v/>
      </c>
      <c r="J224" s="499" t="str">
        <f>IFERROR(VLOOKUP(I224,'G-1 All Habitats'!$V$3:$W$7,2,FALSE),"")</f>
        <v/>
      </c>
      <c r="K224" s="71"/>
      <c r="L224" s="499" t="str">
        <f>IFERROR(INDEX('G-8 Condition Look up'!$A$3:$H$130,MATCH(G224,'G-8 Condition Look up'!$A$3:$A$130,0),MATCH(K224,'G-8 Condition Look up'!$A$3:$H$3,0)),"")</f>
        <v/>
      </c>
      <c r="M224" s="71"/>
      <c r="N224" s="520" t="str">
        <f>IF(M224="","",IF(VLOOKUP(M224,'G-3 Multipliers'!$L$3:$N$6,2,FALSE)=0,"Spatial Data Missing",VLOOKUP(M224,'G-3 Multipliers'!$L$3:$N$6,2,FALSE)))</f>
        <v/>
      </c>
      <c r="O224" s="505" t="str">
        <f>IF(M224="","",IF(VLOOKUP(M224,'G-3 Multipliers'!$L$3:$N$6,3,FALSE)=0,"Spatial Data Missing",VLOOKUP(M224,'G-3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1" t="str">
        <f t="shared" si="18"/>
        <v/>
      </c>
      <c r="V224" s="511" t="str">
        <f t="shared" si="19"/>
        <v/>
      </c>
      <c r="W224" s="511"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5"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8" t="str">
        <f>IF(G225="","",VLOOKUP(G225,'G-1 All Habitats'!$B$2:$M$129,10,FALSE))</f>
        <v/>
      </c>
      <c r="J225" s="499" t="str">
        <f>IFERROR(VLOOKUP(I225,'G-1 All Habitats'!$V$3:$W$7,2,FALSE),"")</f>
        <v/>
      </c>
      <c r="K225" s="71"/>
      <c r="L225" s="499" t="str">
        <f>IFERROR(INDEX('G-8 Condition Look up'!$A$3:$H$130,MATCH(G225,'G-8 Condition Look up'!$A$3:$A$130,0),MATCH(K225,'G-8 Condition Look up'!$A$3:$H$3,0)),"")</f>
        <v/>
      </c>
      <c r="M225" s="71"/>
      <c r="N225" s="520" t="str">
        <f>IF(M225="","",IF(VLOOKUP(M225,'G-3 Multipliers'!$L$3:$N$6,2,FALSE)=0,"Spatial Data Missing",VLOOKUP(M225,'G-3 Multipliers'!$L$3:$N$6,2,FALSE)))</f>
        <v/>
      </c>
      <c r="O225" s="505" t="str">
        <f>IF(M225="","",IF(VLOOKUP(M225,'G-3 Multipliers'!$L$3:$N$6,3,FALSE)=0,"Spatial Data Missing",VLOOKUP(M225,'G-3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1" t="str">
        <f t="shared" si="18"/>
        <v/>
      </c>
      <c r="V225" s="511" t="str">
        <f t="shared" si="19"/>
        <v/>
      </c>
      <c r="W225" s="511"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5"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8" t="str">
        <f>IF(G226="","",VLOOKUP(G226,'G-1 All Habitats'!$B$2:$M$129,10,FALSE))</f>
        <v/>
      </c>
      <c r="J226" s="499" t="str">
        <f>IFERROR(VLOOKUP(I226,'G-1 All Habitats'!$V$3:$W$7,2,FALSE),"")</f>
        <v/>
      </c>
      <c r="K226" s="71"/>
      <c r="L226" s="499" t="str">
        <f>IFERROR(INDEX('G-8 Condition Look up'!$A$3:$H$130,MATCH(G226,'G-8 Condition Look up'!$A$3:$A$130,0),MATCH(K226,'G-8 Condition Look up'!$A$3:$H$3,0)),"")</f>
        <v/>
      </c>
      <c r="M226" s="71"/>
      <c r="N226" s="520" t="str">
        <f>IF(M226="","",IF(VLOOKUP(M226,'G-3 Multipliers'!$L$3:$N$6,2,FALSE)=0,"Spatial Data Missing",VLOOKUP(M226,'G-3 Multipliers'!$L$3:$N$6,2,FALSE)))</f>
        <v/>
      </c>
      <c r="O226" s="505" t="str">
        <f>IF(M226="","",IF(VLOOKUP(M226,'G-3 Multipliers'!$L$3:$N$6,3,FALSE)=0,"Spatial Data Missing",VLOOKUP(M226,'G-3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1" t="str">
        <f t="shared" si="18"/>
        <v/>
      </c>
      <c r="V226" s="511" t="str">
        <f t="shared" si="19"/>
        <v/>
      </c>
      <c r="W226" s="511"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5"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8" t="str">
        <f>IF(G227="","",VLOOKUP(G227,'G-1 All Habitats'!$B$2:$M$129,10,FALSE))</f>
        <v/>
      </c>
      <c r="J227" s="499" t="str">
        <f>IFERROR(VLOOKUP(I227,'G-1 All Habitats'!$V$3:$W$7,2,FALSE),"")</f>
        <v/>
      </c>
      <c r="K227" s="71"/>
      <c r="L227" s="499" t="str">
        <f>IFERROR(INDEX('G-8 Condition Look up'!$A$3:$H$130,MATCH(G227,'G-8 Condition Look up'!$A$3:$A$130,0),MATCH(K227,'G-8 Condition Look up'!$A$3:$H$3,0)),"")</f>
        <v/>
      </c>
      <c r="M227" s="71"/>
      <c r="N227" s="520" t="str">
        <f>IF(M227="","",IF(VLOOKUP(M227,'G-3 Multipliers'!$L$3:$N$6,2,FALSE)=0,"Spatial Data Missing",VLOOKUP(M227,'G-3 Multipliers'!$L$3:$N$6,2,FALSE)))</f>
        <v/>
      </c>
      <c r="O227" s="505" t="str">
        <f>IF(M227="","",IF(VLOOKUP(M227,'G-3 Multipliers'!$L$3:$N$6,3,FALSE)=0,"Spatial Data Missing",VLOOKUP(M227,'G-3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1" t="str">
        <f t="shared" si="18"/>
        <v/>
      </c>
      <c r="V227" s="511" t="str">
        <f t="shared" si="19"/>
        <v/>
      </c>
      <c r="W227" s="511"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5"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8" t="str">
        <f>IF(G228="","",VLOOKUP(G228,'G-1 All Habitats'!$B$2:$M$129,10,FALSE))</f>
        <v/>
      </c>
      <c r="J228" s="499" t="str">
        <f>IFERROR(VLOOKUP(I228,'G-1 All Habitats'!$V$3:$W$7,2,FALSE),"")</f>
        <v/>
      </c>
      <c r="K228" s="71"/>
      <c r="L228" s="499" t="str">
        <f>IFERROR(INDEX('G-8 Condition Look up'!$A$3:$H$130,MATCH(G228,'G-8 Condition Look up'!$A$3:$A$130,0),MATCH(K228,'G-8 Condition Look up'!$A$3:$H$3,0)),"")</f>
        <v/>
      </c>
      <c r="M228" s="71"/>
      <c r="N228" s="520" t="str">
        <f>IF(M228="","",IF(VLOOKUP(M228,'G-3 Multipliers'!$L$3:$N$6,2,FALSE)=0,"Spatial Data Missing",VLOOKUP(M228,'G-3 Multipliers'!$L$3:$N$6,2,FALSE)))</f>
        <v/>
      </c>
      <c r="O228" s="505" t="str">
        <f>IF(M228="","",IF(VLOOKUP(M228,'G-3 Multipliers'!$L$3:$N$6,3,FALSE)=0,"Spatial Data Missing",VLOOKUP(M228,'G-3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1" t="str">
        <f t="shared" si="18"/>
        <v/>
      </c>
      <c r="V228" s="511" t="str">
        <f t="shared" si="19"/>
        <v/>
      </c>
      <c r="W228" s="511"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5"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8" t="str">
        <f>IF(G229="","",VLOOKUP(G229,'G-1 All Habitats'!$B$2:$M$129,10,FALSE))</f>
        <v/>
      </c>
      <c r="J229" s="499" t="str">
        <f>IFERROR(VLOOKUP(I229,'G-1 All Habitats'!$V$3:$W$7,2,FALSE),"")</f>
        <v/>
      </c>
      <c r="K229" s="71"/>
      <c r="L229" s="499" t="str">
        <f>IFERROR(INDEX('G-8 Condition Look up'!$A$3:$H$130,MATCH(G229,'G-8 Condition Look up'!$A$3:$A$130,0),MATCH(K229,'G-8 Condition Look up'!$A$3:$H$3,0)),"")</f>
        <v/>
      </c>
      <c r="M229" s="71"/>
      <c r="N229" s="520" t="str">
        <f>IF(M229="","",IF(VLOOKUP(M229,'G-3 Multipliers'!$L$3:$N$6,2,FALSE)=0,"Spatial Data Missing",VLOOKUP(M229,'G-3 Multipliers'!$L$3:$N$6,2,FALSE)))</f>
        <v/>
      </c>
      <c r="O229" s="505" t="str">
        <f>IF(M229="","",IF(VLOOKUP(M229,'G-3 Multipliers'!$L$3:$N$6,3,FALSE)=0,"Spatial Data Missing",VLOOKUP(M229,'G-3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1" t="str">
        <f t="shared" si="18"/>
        <v/>
      </c>
      <c r="V229" s="511" t="str">
        <f t="shared" si="19"/>
        <v/>
      </c>
      <c r="W229" s="511"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5"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8" t="str">
        <f>IF(G230="","",VLOOKUP(G230,'G-1 All Habitats'!$B$2:$M$129,10,FALSE))</f>
        <v/>
      </c>
      <c r="J230" s="499" t="str">
        <f>IFERROR(VLOOKUP(I230,'G-1 All Habitats'!$V$3:$W$7,2,FALSE),"")</f>
        <v/>
      </c>
      <c r="K230" s="71"/>
      <c r="L230" s="499" t="str">
        <f>IFERROR(INDEX('G-8 Condition Look up'!$A$3:$H$130,MATCH(G230,'G-8 Condition Look up'!$A$3:$A$130,0),MATCH(K230,'G-8 Condition Look up'!$A$3:$H$3,0)),"")</f>
        <v/>
      </c>
      <c r="M230" s="71"/>
      <c r="N230" s="520" t="str">
        <f>IF(M230="","",IF(VLOOKUP(M230,'G-3 Multipliers'!$L$3:$N$6,2,FALSE)=0,"Spatial Data Missing",VLOOKUP(M230,'G-3 Multipliers'!$L$3:$N$6,2,FALSE)))</f>
        <v/>
      </c>
      <c r="O230" s="505" t="str">
        <f>IF(M230="","",IF(VLOOKUP(M230,'G-3 Multipliers'!$L$3:$N$6,3,FALSE)=0,"Spatial Data Missing",VLOOKUP(M230,'G-3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1" t="str">
        <f t="shared" si="18"/>
        <v/>
      </c>
      <c r="V230" s="511" t="str">
        <f t="shared" si="19"/>
        <v/>
      </c>
      <c r="W230" s="511"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5"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8" t="str">
        <f>IF(G231="","",VLOOKUP(G231,'G-1 All Habitats'!$B$2:$M$129,10,FALSE))</f>
        <v/>
      </c>
      <c r="J231" s="499" t="str">
        <f>IFERROR(VLOOKUP(I231,'G-1 All Habitats'!$V$3:$W$7,2,FALSE),"")</f>
        <v/>
      </c>
      <c r="K231" s="71"/>
      <c r="L231" s="499" t="str">
        <f>IFERROR(INDEX('G-8 Condition Look up'!$A$3:$H$130,MATCH(G231,'G-8 Condition Look up'!$A$3:$A$130,0),MATCH(K231,'G-8 Condition Look up'!$A$3:$H$3,0)),"")</f>
        <v/>
      </c>
      <c r="M231" s="71"/>
      <c r="N231" s="520" t="str">
        <f>IF(M231="","",IF(VLOOKUP(M231,'G-3 Multipliers'!$L$3:$N$6,2,FALSE)=0,"Spatial Data Missing",VLOOKUP(M231,'G-3 Multipliers'!$L$3:$N$6,2,FALSE)))</f>
        <v/>
      </c>
      <c r="O231" s="505" t="str">
        <f>IF(M231="","",IF(VLOOKUP(M231,'G-3 Multipliers'!$L$3:$N$6,3,FALSE)=0,"Spatial Data Missing",VLOOKUP(M231,'G-3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1" t="str">
        <f t="shared" si="18"/>
        <v/>
      </c>
      <c r="V231" s="511" t="str">
        <f t="shared" si="19"/>
        <v/>
      </c>
      <c r="W231" s="511"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5"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8" t="str">
        <f>IF(G232="","",VLOOKUP(G232,'G-1 All Habitats'!$B$2:$M$129,10,FALSE))</f>
        <v/>
      </c>
      <c r="J232" s="499" t="str">
        <f>IFERROR(VLOOKUP(I232,'G-1 All Habitats'!$V$3:$W$7,2,FALSE),"")</f>
        <v/>
      </c>
      <c r="K232" s="71"/>
      <c r="L232" s="499" t="str">
        <f>IFERROR(INDEX('G-8 Condition Look up'!$A$3:$H$130,MATCH(G232,'G-8 Condition Look up'!$A$3:$A$130,0),MATCH(K232,'G-8 Condition Look up'!$A$3:$H$3,0)),"")</f>
        <v/>
      </c>
      <c r="M232" s="71"/>
      <c r="N232" s="520" t="str">
        <f>IF(M232="","",IF(VLOOKUP(M232,'G-3 Multipliers'!$L$3:$N$6,2,FALSE)=0,"Spatial Data Missing",VLOOKUP(M232,'G-3 Multipliers'!$L$3:$N$6,2,FALSE)))</f>
        <v/>
      </c>
      <c r="O232" s="505" t="str">
        <f>IF(M232="","",IF(VLOOKUP(M232,'G-3 Multipliers'!$L$3:$N$6,3,FALSE)=0,"Spatial Data Missing",VLOOKUP(M232,'G-3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1" t="str">
        <f t="shared" si="18"/>
        <v/>
      </c>
      <c r="V232" s="511" t="str">
        <f t="shared" si="19"/>
        <v/>
      </c>
      <c r="W232" s="511"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5"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8" t="str">
        <f>IF(G233="","",VLOOKUP(G233,'G-1 All Habitats'!$B$2:$M$129,10,FALSE))</f>
        <v/>
      </c>
      <c r="J233" s="499" t="str">
        <f>IFERROR(VLOOKUP(I233,'G-1 All Habitats'!$V$3:$W$7,2,FALSE),"")</f>
        <v/>
      </c>
      <c r="K233" s="71"/>
      <c r="L233" s="499" t="str">
        <f>IFERROR(INDEX('G-8 Condition Look up'!$A$3:$H$130,MATCH(G233,'G-8 Condition Look up'!$A$3:$A$130,0),MATCH(K233,'G-8 Condition Look up'!$A$3:$H$3,0)),"")</f>
        <v/>
      </c>
      <c r="M233" s="71"/>
      <c r="N233" s="520" t="str">
        <f>IF(M233="","",IF(VLOOKUP(M233,'G-3 Multipliers'!$L$3:$N$6,2,FALSE)=0,"Spatial Data Missing",VLOOKUP(M233,'G-3 Multipliers'!$L$3:$N$6,2,FALSE)))</f>
        <v/>
      </c>
      <c r="O233" s="505" t="str">
        <f>IF(M233="","",IF(VLOOKUP(M233,'G-3 Multipliers'!$L$3:$N$6,3,FALSE)=0,"Spatial Data Missing",VLOOKUP(M233,'G-3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1" t="str">
        <f t="shared" si="18"/>
        <v/>
      </c>
      <c r="V233" s="511" t="str">
        <f t="shared" si="19"/>
        <v/>
      </c>
      <c r="W233" s="511"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5"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8" t="str">
        <f>IF(G234="","",VLOOKUP(G234,'G-1 All Habitats'!$B$2:$M$129,10,FALSE))</f>
        <v/>
      </c>
      <c r="J234" s="499" t="str">
        <f>IFERROR(VLOOKUP(I234,'G-1 All Habitats'!$V$3:$W$7,2,FALSE),"")</f>
        <v/>
      </c>
      <c r="K234" s="71"/>
      <c r="L234" s="499" t="str">
        <f>IFERROR(INDEX('G-8 Condition Look up'!$A$3:$H$130,MATCH(G234,'G-8 Condition Look up'!$A$3:$A$130,0),MATCH(K234,'G-8 Condition Look up'!$A$3:$H$3,0)),"")</f>
        <v/>
      </c>
      <c r="M234" s="71"/>
      <c r="N234" s="520" t="str">
        <f>IF(M234="","",IF(VLOOKUP(M234,'G-3 Multipliers'!$L$3:$N$6,2,FALSE)=0,"Spatial Data Missing",VLOOKUP(M234,'G-3 Multipliers'!$L$3:$N$6,2,FALSE)))</f>
        <v/>
      </c>
      <c r="O234" s="505" t="str">
        <f>IF(M234="","",IF(VLOOKUP(M234,'G-3 Multipliers'!$L$3:$N$6,3,FALSE)=0,"Spatial Data Missing",VLOOKUP(M234,'G-3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1" t="str">
        <f t="shared" si="18"/>
        <v/>
      </c>
      <c r="V234" s="511" t="str">
        <f t="shared" si="19"/>
        <v/>
      </c>
      <c r="W234" s="511"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5"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8" t="str">
        <f>IF(G235="","",VLOOKUP(G235,'G-1 All Habitats'!$B$2:$M$129,10,FALSE))</f>
        <v/>
      </c>
      <c r="J235" s="499" t="str">
        <f>IFERROR(VLOOKUP(I235,'G-1 All Habitats'!$V$3:$W$7,2,FALSE),"")</f>
        <v/>
      </c>
      <c r="K235" s="71"/>
      <c r="L235" s="499" t="str">
        <f>IFERROR(INDEX('G-8 Condition Look up'!$A$3:$H$130,MATCH(G235,'G-8 Condition Look up'!$A$3:$A$130,0),MATCH(K235,'G-8 Condition Look up'!$A$3:$H$3,0)),"")</f>
        <v/>
      </c>
      <c r="M235" s="71"/>
      <c r="N235" s="520" t="str">
        <f>IF(M235="","",IF(VLOOKUP(M235,'G-3 Multipliers'!$L$3:$N$6,2,FALSE)=0,"Spatial Data Missing",VLOOKUP(M235,'G-3 Multipliers'!$L$3:$N$6,2,FALSE)))</f>
        <v/>
      </c>
      <c r="O235" s="505" t="str">
        <f>IF(M235="","",IF(VLOOKUP(M235,'G-3 Multipliers'!$L$3:$N$6,3,FALSE)=0,"Spatial Data Missing",VLOOKUP(M235,'G-3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1" t="str">
        <f t="shared" si="18"/>
        <v/>
      </c>
      <c r="V235" s="511" t="str">
        <f t="shared" si="19"/>
        <v/>
      </c>
      <c r="W235" s="511"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5"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8" t="str">
        <f>IF(G236="","",VLOOKUP(G236,'G-1 All Habitats'!$B$2:$M$129,10,FALSE))</f>
        <v/>
      </c>
      <c r="J236" s="499" t="str">
        <f>IFERROR(VLOOKUP(I236,'G-1 All Habitats'!$V$3:$W$7,2,FALSE),"")</f>
        <v/>
      </c>
      <c r="K236" s="71"/>
      <c r="L236" s="499" t="str">
        <f>IFERROR(INDEX('G-8 Condition Look up'!$A$3:$H$130,MATCH(G236,'G-8 Condition Look up'!$A$3:$A$130,0),MATCH(K236,'G-8 Condition Look up'!$A$3:$H$3,0)),"")</f>
        <v/>
      </c>
      <c r="M236" s="71"/>
      <c r="N236" s="520" t="str">
        <f>IF(M236="","",IF(VLOOKUP(M236,'G-3 Multipliers'!$L$3:$N$6,2,FALSE)=0,"Spatial Data Missing",VLOOKUP(M236,'G-3 Multipliers'!$L$3:$N$6,2,FALSE)))</f>
        <v/>
      </c>
      <c r="O236" s="505" t="str">
        <f>IF(M236="","",IF(VLOOKUP(M236,'G-3 Multipliers'!$L$3:$N$6,3,FALSE)=0,"Spatial Data Missing",VLOOKUP(M236,'G-3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1" t="str">
        <f t="shared" si="18"/>
        <v/>
      </c>
      <c r="V236" s="511" t="str">
        <f t="shared" si="19"/>
        <v/>
      </c>
      <c r="W236" s="511"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5"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8" t="str">
        <f>IF(G237="","",VLOOKUP(G237,'G-1 All Habitats'!$B$2:$M$129,10,FALSE))</f>
        <v/>
      </c>
      <c r="J237" s="499" t="str">
        <f>IFERROR(VLOOKUP(I237,'G-1 All Habitats'!$V$3:$W$7,2,FALSE),"")</f>
        <v/>
      </c>
      <c r="K237" s="71"/>
      <c r="L237" s="499" t="str">
        <f>IFERROR(INDEX('G-8 Condition Look up'!$A$3:$H$130,MATCH(G237,'G-8 Condition Look up'!$A$3:$A$130,0),MATCH(K237,'G-8 Condition Look up'!$A$3:$H$3,0)),"")</f>
        <v/>
      </c>
      <c r="M237" s="71"/>
      <c r="N237" s="520" t="str">
        <f>IF(M237="","",IF(VLOOKUP(M237,'G-3 Multipliers'!$L$3:$N$6,2,FALSE)=0,"Spatial Data Missing",VLOOKUP(M237,'G-3 Multipliers'!$L$3:$N$6,2,FALSE)))</f>
        <v/>
      </c>
      <c r="O237" s="505" t="str">
        <f>IF(M237="","",IF(VLOOKUP(M237,'G-3 Multipliers'!$L$3:$N$6,3,FALSE)=0,"Spatial Data Missing",VLOOKUP(M237,'G-3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1" t="str">
        <f t="shared" si="18"/>
        <v/>
      </c>
      <c r="V237" s="511" t="str">
        <f t="shared" si="19"/>
        <v/>
      </c>
      <c r="W237" s="511"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5"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8" t="str">
        <f>IF(G238="","",VLOOKUP(G238,'G-1 All Habitats'!$B$2:$M$129,10,FALSE))</f>
        <v/>
      </c>
      <c r="J238" s="499" t="str">
        <f>IFERROR(VLOOKUP(I238,'G-1 All Habitats'!$V$3:$W$7,2,FALSE),"")</f>
        <v/>
      </c>
      <c r="K238" s="71"/>
      <c r="L238" s="499" t="str">
        <f>IFERROR(INDEX('G-8 Condition Look up'!$A$3:$H$130,MATCH(G238,'G-8 Condition Look up'!$A$3:$A$130,0),MATCH(K238,'G-8 Condition Look up'!$A$3:$H$3,0)),"")</f>
        <v/>
      </c>
      <c r="M238" s="71"/>
      <c r="N238" s="520" t="str">
        <f>IF(M238="","",IF(VLOOKUP(M238,'G-3 Multipliers'!$L$3:$N$6,2,FALSE)=0,"Spatial Data Missing",VLOOKUP(M238,'G-3 Multipliers'!$L$3:$N$6,2,FALSE)))</f>
        <v/>
      </c>
      <c r="O238" s="505" t="str">
        <f>IF(M238="","",IF(VLOOKUP(M238,'G-3 Multipliers'!$L$3:$N$6,3,FALSE)=0,"Spatial Data Missing",VLOOKUP(M238,'G-3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1" t="str">
        <f t="shared" si="18"/>
        <v/>
      </c>
      <c r="V238" s="511" t="str">
        <f t="shared" si="19"/>
        <v/>
      </c>
      <c r="W238" s="511"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5"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8" t="str">
        <f>IF(G239="","",VLOOKUP(G239,'G-1 All Habitats'!$B$2:$M$129,10,FALSE))</f>
        <v/>
      </c>
      <c r="J239" s="499" t="str">
        <f>IFERROR(VLOOKUP(I239,'G-1 All Habitats'!$V$3:$W$7,2,FALSE),"")</f>
        <v/>
      </c>
      <c r="K239" s="71"/>
      <c r="L239" s="499" t="str">
        <f>IFERROR(INDEX('G-8 Condition Look up'!$A$3:$H$130,MATCH(G239,'G-8 Condition Look up'!$A$3:$A$130,0),MATCH(K239,'G-8 Condition Look up'!$A$3:$H$3,0)),"")</f>
        <v/>
      </c>
      <c r="M239" s="71"/>
      <c r="N239" s="520" t="str">
        <f>IF(M239="","",IF(VLOOKUP(M239,'G-3 Multipliers'!$L$3:$N$6,2,FALSE)=0,"Spatial Data Missing",VLOOKUP(M239,'G-3 Multipliers'!$L$3:$N$6,2,FALSE)))</f>
        <v/>
      </c>
      <c r="O239" s="505" t="str">
        <f>IF(M239="","",IF(VLOOKUP(M239,'G-3 Multipliers'!$L$3:$N$6,3,FALSE)=0,"Spatial Data Missing",VLOOKUP(M239,'G-3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1" t="str">
        <f t="shared" si="18"/>
        <v/>
      </c>
      <c r="V239" s="511" t="str">
        <f t="shared" si="19"/>
        <v/>
      </c>
      <c r="W239" s="511"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5"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8" t="str">
        <f>IF(G240="","",VLOOKUP(G240,'G-1 All Habitats'!$B$2:$M$129,10,FALSE))</f>
        <v/>
      </c>
      <c r="J240" s="499" t="str">
        <f>IFERROR(VLOOKUP(I240,'G-1 All Habitats'!$V$3:$W$7,2,FALSE),"")</f>
        <v/>
      </c>
      <c r="K240" s="71"/>
      <c r="L240" s="499" t="str">
        <f>IFERROR(INDEX('G-8 Condition Look up'!$A$3:$H$130,MATCH(G240,'G-8 Condition Look up'!$A$3:$A$130,0),MATCH(K240,'G-8 Condition Look up'!$A$3:$H$3,0)),"")</f>
        <v/>
      </c>
      <c r="M240" s="71"/>
      <c r="N240" s="520" t="str">
        <f>IF(M240="","",IF(VLOOKUP(M240,'G-3 Multipliers'!$L$3:$N$6,2,FALSE)=0,"Spatial Data Missing",VLOOKUP(M240,'G-3 Multipliers'!$L$3:$N$6,2,FALSE)))</f>
        <v/>
      </c>
      <c r="O240" s="505" t="str">
        <f>IF(M240="","",IF(VLOOKUP(M240,'G-3 Multipliers'!$L$3:$N$6,3,FALSE)=0,"Spatial Data Missing",VLOOKUP(M240,'G-3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1" t="str">
        <f t="shared" si="18"/>
        <v/>
      </c>
      <c r="V240" s="511" t="str">
        <f t="shared" si="19"/>
        <v/>
      </c>
      <c r="W240" s="511"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5"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8" t="str">
        <f>IF(G241="","",VLOOKUP(G241,'G-1 All Habitats'!$B$2:$M$129,10,FALSE))</f>
        <v/>
      </c>
      <c r="J241" s="499" t="str">
        <f>IFERROR(VLOOKUP(I241,'G-1 All Habitats'!$V$3:$W$7,2,FALSE),"")</f>
        <v/>
      </c>
      <c r="K241" s="71"/>
      <c r="L241" s="499" t="str">
        <f>IFERROR(INDEX('G-8 Condition Look up'!$A$3:$H$130,MATCH(G241,'G-8 Condition Look up'!$A$3:$A$130,0),MATCH(K241,'G-8 Condition Look up'!$A$3:$H$3,0)),"")</f>
        <v/>
      </c>
      <c r="M241" s="71"/>
      <c r="N241" s="520" t="str">
        <f>IF(M241="","",IF(VLOOKUP(M241,'G-3 Multipliers'!$L$3:$N$6,2,FALSE)=0,"Spatial Data Missing",VLOOKUP(M241,'G-3 Multipliers'!$L$3:$N$6,2,FALSE)))</f>
        <v/>
      </c>
      <c r="O241" s="505" t="str">
        <f>IF(M241="","",IF(VLOOKUP(M241,'G-3 Multipliers'!$L$3:$N$6,3,FALSE)=0,"Spatial Data Missing",VLOOKUP(M241,'G-3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1" t="str">
        <f t="shared" si="18"/>
        <v/>
      </c>
      <c r="V241" s="511" t="str">
        <f t="shared" si="19"/>
        <v/>
      </c>
      <c r="W241" s="511"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5"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8" t="str">
        <f>IF(G242="","",VLOOKUP(G242,'G-1 All Habitats'!$B$2:$M$129,10,FALSE))</f>
        <v/>
      </c>
      <c r="J242" s="499" t="str">
        <f>IFERROR(VLOOKUP(I242,'G-1 All Habitats'!$V$3:$W$7,2,FALSE),"")</f>
        <v/>
      </c>
      <c r="K242" s="71"/>
      <c r="L242" s="499" t="str">
        <f>IFERROR(INDEX('G-8 Condition Look up'!$A$3:$H$130,MATCH(G242,'G-8 Condition Look up'!$A$3:$A$130,0),MATCH(K242,'G-8 Condition Look up'!$A$3:$H$3,0)),"")</f>
        <v/>
      </c>
      <c r="M242" s="71"/>
      <c r="N242" s="520" t="str">
        <f>IF(M242="","",IF(VLOOKUP(M242,'G-3 Multipliers'!$L$3:$N$6,2,FALSE)=0,"Spatial Data Missing",VLOOKUP(M242,'G-3 Multipliers'!$L$3:$N$6,2,FALSE)))</f>
        <v/>
      </c>
      <c r="O242" s="505" t="str">
        <f>IF(M242="","",IF(VLOOKUP(M242,'G-3 Multipliers'!$L$3:$N$6,3,FALSE)=0,"Spatial Data Missing",VLOOKUP(M242,'G-3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1" t="str">
        <f t="shared" si="18"/>
        <v/>
      </c>
      <c r="V242" s="511" t="str">
        <f t="shared" si="19"/>
        <v/>
      </c>
      <c r="W242" s="511"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5"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8" t="str">
        <f>IF(G243="","",VLOOKUP(G243,'G-1 All Habitats'!$B$2:$M$129,10,FALSE))</f>
        <v/>
      </c>
      <c r="J243" s="499" t="str">
        <f>IFERROR(VLOOKUP(I243,'G-1 All Habitats'!$V$3:$W$7,2,FALSE),"")</f>
        <v/>
      </c>
      <c r="K243" s="71"/>
      <c r="L243" s="499" t="str">
        <f>IFERROR(INDEX('G-8 Condition Look up'!$A$3:$H$130,MATCH(G243,'G-8 Condition Look up'!$A$3:$A$130,0),MATCH(K243,'G-8 Condition Look up'!$A$3:$H$3,0)),"")</f>
        <v/>
      </c>
      <c r="M243" s="71"/>
      <c r="N243" s="520" t="str">
        <f>IF(M243="","",IF(VLOOKUP(M243,'G-3 Multipliers'!$L$3:$N$6,2,FALSE)=0,"Spatial Data Missing",VLOOKUP(M243,'G-3 Multipliers'!$L$3:$N$6,2,FALSE)))</f>
        <v/>
      </c>
      <c r="O243" s="505" t="str">
        <f>IF(M243="","",IF(VLOOKUP(M243,'G-3 Multipliers'!$L$3:$N$6,3,FALSE)=0,"Spatial Data Missing",VLOOKUP(M243,'G-3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1" t="str">
        <f t="shared" si="18"/>
        <v/>
      </c>
      <c r="V243" s="511" t="str">
        <f t="shared" si="19"/>
        <v/>
      </c>
      <c r="W243" s="511"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5"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8" t="str">
        <f>IF(G244="","",VLOOKUP(G244,'G-1 All Habitats'!$B$2:$M$129,10,FALSE))</f>
        <v/>
      </c>
      <c r="J244" s="499" t="str">
        <f>IFERROR(VLOOKUP(I244,'G-1 All Habitats'!$V$3:$W$7,2,FALSE),"")</f>
        <v/>
      </c>
      <c r="K244" s="71"/>
      <c r="L244" s="499" t="str">
        <f>IFERROR(INDEX('G-8 Condition Look up'!$A$3:$H$130,MATCH(G244,'G-8 Condition Look up'!$A$3:$A$130,0),MATCH(K244,'G-8 Condition Look up'!$A$3:$H$3,0)),"")</f>
        <v/>
      </c>
      <c r="M244" s="71"/>
      <c r="N244" s="520" t="str">
        <f>IF(M244="","",IF(VLOOKUP(M244,'G-3 Multipliers'!$L$3:$N$6,2,FALSE)=0,"Spatial Data Missing",VLOOKUP(M244,'G-3 Multipliers'!$L$3:$N$6,2,FALSE)))</f>
        <v/>
      </c>
      <c r="O244" s="505" t="str">
        <f>IF(M244="","",IF(VLOOKUP(M244,'G-3 Multipliers'!$L$3:$N$6,3,FALSE)=0,"Spatial Data Missing",VLOOKUP(M244,'G-3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1" t="str">
        <f t="shared" si="18"/>
        <v/>
      </c>
      <c r="V244" s="511" t="str">
        <f t="shared" si="19"/>
        <v/>
      </c>
      <c r="W244" s="511"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5"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8" t="str">
        <f>IF(G245="","",VLOOKUP(G245,'G-1 All Habitats'!$B$2:$M$129,10,FALSE))</f>
        <v/>
      </c>
      <c r="J245" s="499" t="str">
        <f>IFERROR(VLOOKUP(I245,'G-1 All Habitats'!$V$3:$W$7,2,FALSE),"")</f>
        <v/>
      </c>
      <c r="K245" s="71"/>
      <c r="L245" s="499" t="str">
        <f>IFERROR(INDEX('G-8 Condition Look up'!$A$3:$H$130,MATCH(G245,'G-8 Condition Look up'!$A$3:$A$130,0),MATCH(K245,'G-8 Condition Look up'!$A$3:$H$3,0)),"")</f>
        <v/>
      </c>
      <c r="M245" s="71"/>
      <c r="N245" s="520" t="str">
        <f>IF(M245="","",IF(VLOOKUP(M245,'G-3 Multipliers'!$L$3:$N$6,2,FALSE)=0,"Spatial Data Missing",VLOOKUP(M245,'G-3 Multipliers'!$L$3:$N$6,2,FALSE)))</f>
        <v/>
      </c>
      <c r="O245" s="505" t="str">
        <f>IF(M245="","",IF(VLOOKUP(M245,'G-3 Multipliers'!$L$3:$N$6,3,FALSE)=0,"Spatial Data Missing",VLOOKUP(M245,'G-3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1" t="str">
        <f t="shared" si="18"/>
        <v/>
      </c>
      <c r="V245" s="511" t="str">
        <f t="shared" si="19"/>
        <v/>
      </c>
      <c r="W245" s="511"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5"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8" t="str">
        <f>IF(G246="","",VLOOKUP(G246,'G-1 All Habitats'!$B$2:$M$129,10,FALSE))</f>
        <v/>
      </c>
      <c r="J246" s="499" t="str">
        <f>IFERROR(VLOOKUP(I246,'G-1 All Habitats'!$V$3:$W$7,2,FALSE),"")</f>
        <v/>
      </c>
      <c r="K246" s="71"/>
      <c r="L246" s="499" t="str">
        <f>IFERROR(INDEX('G-8 Condition Look up'!$A$3:$H$130,MATCH(G246,'G-8 Condition Look up'!$A$3:$A$130,0),MATCH(K246,'G-8 Condition Look up'!$A$3:$H$3,0)),"")</f>
        <v/>
      </c>
      <c r="M246" s="71"/>
      <c r="N246" s="520" t="str">
        <f>IF(M246="","",IF(VLOOKUP(M246,'G-3 Multipliers'!$L$3:$N$6,2,FALSE)=0,"Spatial Data Missing",VLOOKUP(M246,'G-3 Multipliers'!$L$3:$N$6,2,FALSE)))</f>
        <v/>
      </c>
      <c r="O246" s="505" t="str">
        <f>IF(M246="","",IF(VLOOKUP(M246,'G-3 Multipliers'!$L$3:$N$6,3,FALSE)=0,"Spatial Data Missing",VLOOKUP(M246,'G-3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1" t="str">
        <f t="shared" si="18"/>
        <v/>
      </c>
      <c r="V246" s="511" t="str">
        <f t="shared" si="19"/>
        <v/>
      </c>
      <c r="W246" s="511"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5"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8" t="str">
        <f>IF(G247="","",VLOOKUP(G247,'G-1 All Habitats'!$B$2:$M$129,10,FALSE))</f>
        <v/>
      </c>
      <c r="J247" s="499" t="str">
        <f>IFERROR(VLOOKUP(I247,'G-1 All Habitats'!$V$3:$W$7,2,FALSE),"")</f>
        <v/>
      </c>
      <c r="K247" s="71"/>
      <c r="L247" s="499" t="str">
        <f>IFERROR(INDEX('G-8 Condition Look up'!$A$3:$H$130,MATCH(G247,'G-8 Condition Look up'!$A$3:$A$130,0),MATCH(K247,'G-8 Condition Look up'!$A$3:$H$3,0)),"")</f>
        <v/>
      </c>
      <c r="M247" s="71"/>
      <c r="N247" s="520" t="str">
        <f>IF(M247="","",IF(VLOOKUP(M247,'G-3 Multipliers'!$L$3:$N$6,2,FALSE)=0,"Spatial Data Missing",VLOOKUP(M247,'G-3 Multipliers'!$L$3:$N$6,2,FALSE)))</f>
        <v/>
      </c>
      <c r="O247" s="505" t="str">
        <f>IF(M247="","",IF(VLOOKUP(M247,'G-3 Multipliers'!$L$3:$N$6,3,FALSE)=0,"Spatial Data Missing",VLOOKUP(M247,'G-3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1" t="str">
        <f t="shared" si="18"/>
        <v/>
      </c>
      <c r="V247" s="511" t="str">
        <f t="shared" si="19"/>
        <v/>
      </c>
      <c r="W247" s="511"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5"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8" t="str">
        <f>IF(G248="","",VLOOKUP(G248,'G-1 All Habitats'!$B$2:$M$129,10,FALSE))</f>
        <v/>
      </c>
      <c r="J248" s="499" t="str">
        <f>IFERROR(VLOOKUP(I248,'G-1 All Habitats'!$V$3:$W$7,2,FALSE),"")</f>
        <v/>
      </c>
      <c r="K248" s="71"/>
      <c r="L248" s="499" t="str">
        <f>IFERROR(INDEX('G-8 Condition Look up'!$A$3:$H$130,MATCH(G248,'G-8 Condition Look up'!$A$3:$A$130,0),MATCH(K248,'G-8 Condition Look up'!$A$3:$H$3,0)),"")</f>
        <v/>
      </c>
      <c r="M248" s="71"/>
      <c r="N248" s="520" t="str">
        <f>IF(M248="","",IF(VLOOKUP(M248,'G-3 Multipliers'!$L$3:$N$6,2,FALSE)=0,"Spatial Data Missing",VLOOKUP(M248,'G-3 Multipliers'!$L$3:$N$6,2,FALSE)))</f>
        <v/>
      </c>
      <c r="O248" s="505" t="str">
        <f>IF(M248="","",IF(VLOOKUP(M248,'G-3 Multipliers'!$L$3:$N$6,3,FALSE)=0,"Spatial Data Missing",VLOOKUP(M248,'G-3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1" t="str">
        <f t="shared" si="18"/>
        <v/>
      </c>
      <c r="V248" s="511" t="str">
        <f t="shared" si="19"/>
        <v/>
      </c>
      <c r="W248" s="511"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5"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8" t="str">
        <f>IF(G249="","",VLOOKUP(G249,'G-1 All Habitats'!$B$2:$M$129,10,FALSE))</f>
        <v/>
      </c>
      <c r="J249" s="499" t="str">
        <f>IFERROR(VLOOKUP(I249,'G-1 All Habitats'!$V$3:$W$7,2,FALSE),"")</f>
        <v/>
      </c>
      <c r="K249" s="71"/>
      <c r="L249" s="499" t="str">
        <f>IFERROR(INDEX('G-8 Condition Look up'!$A$3:$H$130,MATCH(G249,'G-8 Condition Look up'!$A$3:$A$130,0),MATCH(K249,'G-8 Condition Look up'!$A$3:$H$3,0)),"")</f>
        <v/>
      </c>
      <c r="M249" s="71"/>
      <c r="N249" s="520" t="str">
        <f>IF(M249="","",IF(VLOOKUP(M249,'G-3 Multipliers'!$L$3:$N$6,2,FALSE)=0,"Spatial Data Missing",VLOOKUP(M249,'G-3 Multipliers'!$L$3:$N$6,2,FALSE)))</f>
        <v/>
      </c>
      <c r="O249" s="505" t="str">
        <f>IF(M249="","",IF(VLOOKUP(M249,'G-3 Multipliers'!$L$3:$N$6,3,FALSE)=0,"Spatial Data Missing",VLOOKUP(M249,'G-3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1" t="str">
        <f t="shared" si="18"/>
        <v/>
      </c>
      <c r="V249" s="511" t="str">
        <f t="shared" si="19"/>
        <v/>
      </c>
      <c r="W249" s="511"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5"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8" t="str">
        <f>IF(G250="","",VLOOKUP(G250,'G-1 All Habitats'!$B$2:$M$129,10,FALSE))</f>
        <v/>
      </c>
      <c r="J250" s="499" t="str">
        <f>IFERROR(VLOOKUP(I250,'G-1 All Habitats'!$V$3:$W$7,2,FALSE),"")</f>
        <v/>
      </c>
      <c r="K250" s="71"/>
      <c r="L250" s="499" t="str">
        <f>IFERROR(INDEX('G-8 Condition Look up'!$A$3:$H$130,MATCH(G250,'G-8 Condition Look up'!$A$3:$A$130,0),MATCH(K250,'G-8 Condition Look up'!$A$3:$H$3,0)),"")</f>
        <v/>
      </c>
      <c r="M250" s="71"/>
      <c r="N250" s="520" t="str">
        <f>IF(M250="","",IF(VLOOKUP(M250,'G-3 Multipliers'!$L$3:$N$6,2,FALSE)=0,"Spatial Data Missing",VLOOKUP(M250,'G-3 Multipliers'!$L$3:$N$6,2,FALSE)))</f>
        <v/>
      </c>
      <c r="O250" s="505" t="str">
        <f>IF(M250="","",IF(VLOOKUP(M250,'G-3 Multipliers'!$L$3:$N$6,3,FALSE)=0,"Spatial Data Missing",VLOOKUP(M250,'G-3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1" t="str">
        <f t="shared" si="18"/>
        <v/>
      </c>
      <c r="V250" s="511" t="str">
        <f t="shared" si="19"/>
        <v/>
      </c>
      <c r="W250" s="511"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5"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8" t="str">
        <f>IF(G251="","",VLOOKUP(G251,'G-1 All Habitats'!$B$2:$M$129,10,FALSE))</f>
        <v/>
      </c>
      <c r="J251" s="499" t="str">
        <f>IFERROR(VLOOKUP(I251,'G-1 All Habitats'!$V$3:$W$7,2,FALSE),"")</f>
        <v/>
      </c>
      <c r="K251" s="71"/>
      <c r="L251" s="499" t="str">
        <f>IFERROR(INDEX('G-8 Condition Look up'!$A$3:$H$130,MATCH(G251,'G-8 Condition Look up'!$A$3:$A$130,0),MATCH(K251,'G-8 Condition Look up'!$A$3:$H$3,0)),"")</f>
        <v/>
      </c>
      <c r="M251" s="71"/>
      <c r="N251" s="520" t="str">
        <f>IF(M251="","",IF(VLOOKUP(M251,'G-3 Multipliers'!$L$3:$N$6,2,FALSE)=0,"Spatial Data Missing",VLOOKUP(M251,'G-3 Multipliers'!$L$3:$N$6,2,FALSE)))</f>
        <v/>
      </c>
      <c r="O251" s="505" t="str">
        <f>IF(M251="","",IF(VLOOKUP(M251,'G-3 Multipliers'!$L$3:$N$6,3,FALSE)=0,"Spatial Data Missing",VLOOKUP(M251,'G-3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1" t="str">
        <f t="shared" si="18"/>
        <v/>
      </c>
      <c r="V251" s="511" t="str">
        <f t="shared" si="19"/>
        <v/>
      </c>
      <c r="W251" s="511"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5"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8" t="str">
        <f>IF(G252="","",VLOOKUP(G252,'G-1 All Habitats'!$B$2:$M$129,10,FALSE))</f>
        <v/>
      </c>
      <c r="J252" s="499" t="str">
        <f>IFERROR(VLOOKUP(I252,'G-1 All Habitats'!$V$3:$W$7,2,FALSE),"")</f>
        <v/>
      </c>
      <c r="K252" s="71"/>
      <c r="L252" s="499" t="str">
        <f>IFERROR(INDEX('G-8 Condition Look up'!$A$3:$H$130,MATCH(G252,'G-8 Condition Look up'!$A$3:$A$130,0),MATCH(K252,'G-8 Condition Look up'!$A$3:$H$3,0)),"")</f>
        <v/>
      </c>
      <c r="M252" s="71"/>
      <c r="N252" s="520" t="str">
        <f>IF(M252="","",IF(VLOOKUP(M252,'G-3 Multipliers'!$L$3:$N$6,2,FALSE)=0,"Spatial Data Missing",VLOOKUP(M252,'G-3 Multipliers'!$L$3:$N$6,2,FALSE)))</f>
        <v/>
      </c>
      <c r="O252" s="505" t="str">
        <f>IF(M252="","",IF(VLOOKUP(M252,'G-3 Multipliers'!$L$3:$N$6,3,FALSE)=0,"Spatial Data Missing",VLOOKUP(M252,'G-3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1" t="str">
        <f t="shared" si="18"/>
        <v/>
      </c>
      <c r="V252" s="511" t="str">
        <f t="shared" si="19"/>
        <v/>
      </c>
      <c r="W252" s="511"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5"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8" t="str">
        <f>IF(G253="","",VLOOKUP(G253,'G-1 All Habitats'!$B$2:$M$129,10,FALSE))</f>
        <v/>
      </c>
      <c r="J253" s="499" t="str">
        <f>IFERROR(VLOOKUP(I253,'G-1 All Habitats'!$V$3:$W$7,2,FALSE),"")</f>
        <v/>
      </c>
      <c r="K253" s="71"/>
      <c r="L253" s="499" t="str">
        <f>IFERROR(INDEX('G-8 Condition Look up'!$A$3:$H$130,MATCH(G253,'G-8 Condition Look up'!$A$3:$A$130,0),MATCH(K253,'G-8 Condition Look up'!$A$3:$H$3,0)),"")</f>
        <v/>
      </c>
      <c r="M253" s="71"/>
      <c r="N253" s="520" t="str">
        <f>IF(M253="","",IF(VLOOKUP(M253,'G-3 Multipliers'!$L$3:$N$6,2,FALSE)=0,"Spatial Data Missing",VLOOKUP(M253,'G-3 Multipliers'!$L$3:$N$6,2,FALSE)))</f>
        <v/>
      </c>
      <c r="O253" s="505" t="str">
        <f>IF(M253="","",IF(VLOOKUP(M253,'G-3 Multipliers'!$L$3:$N$6,3,FALSE)=0,"Spatial Data Missing",VLOOKUP(M253,'G-3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1" t="str">
        <f t="shared" si="18"/>
        <v/>
      </c>
      <c r="V253" s="511" t="str">
        <f t="shared" si="19"/>
        <v/>
      </c>
      <c r="W253" s="511"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5"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8" t="str">
        <f>IF(G254="","",VLOOKUP(G254,'G-1 All Habitats'!$B$2:$M$129,10,FALSE))</f>
        <v/>
      </c>
      <c r="J254" s="499" t="str">
        <f>IFERROR(VLOOKUP(I254,'G-1 All Habitats'!$V$3:$W$7,2,FALSE),"")</f>
        <v/>
      </c>
      <c r="K254" s="71"/>
      <c r="L254" s="499" t="str">
        <f>IFERROR(INDEX('G-8 Condition Look up'!$A$3:$H$130,MATCH(G254,'G-8 Condition Look up'!$A$3:$A$130,0),MATCH(K254,'G-8 Condition Look up'!$A$3:$H$3,0)),"")</f>
        <v/>
      </c>
      <c r="M254" s="71"/>
      <c r="N254" s="520" t="str">
        <f>IF(M254="","",IF(VLOOKUP(M254,'G-3 Multipliers'!$L$3:$N$6,2,FALSE)=0,"Spatial Data Missing",VLOOKUP(M254,'G-3 Multipliers'!$L$3:$N$6,2,FALSE)))</f>
        <v/>
      </c>
      <c r="O254" s="505" t="str">
        <f>IF(M254="","",IF(VLOOKUP(M254,'G-3 Multipliers'!$L$3:$N$6,3,FALSE)=0,"Spatial Data Missing",VLOOKUP(M254,'G-3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1" t="str">
        <f t="shared" si="18"/>
        <v/>
      </c>
      <c r="V254" s="511" t="str">
        <f t="shared" si="19"/>
        <v/>
      </c>
      <c r="W254" s="511"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5"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8" t="str">
        <f>IF(G255="","",VLOOKUP(G255,'G-1 All Habitats'!$B$2:$M$129,10,FALSE))</f>
        <v/>
      </c>
      <c r="J255" s="499" t="str">
        <f>IFERROR(VLOOKUP(I255,'G-1 All Habitats'!$V$3:$W$7,2,FALSE),"")</f>
        <v/>
      </c>
      <c r="K255" s="71"/>
      <c r="L255" s="499" t="str">
        <f>IFERROR(INDEX('G-8 Condition Look up'!$A$3:$H$130,MATCH(G255,'G-8 Condition Look up'!$A$3:$A$130,0),MATCH(K255,'G-8 Condition Look up'!$A$3:$H$3,0)),"")</f>
        <v/>
      </c>
      <c r="M255" s="71"/>
      <c r="N255" s="520" t="str">
        <f>IF(M255="","",IF(VLOOKUP(M255,'G-3 Multipliers'!$L$3:$N$6,2,FALSE)=0,"Spatial Data Missing",VLOOKUP(M255,'G-3 Multipliers'!$L$3:$N$6,2,FALSE)))</f>
        <v/>
      </c>
      <c r="O255" s="505" t="str">
        <f>IF(M255="","",IF(VLOOKUP(M255,'G-3 Multipliers'!$L$3:$N$6,3,FALSE)=0,"Spatial Data Missing",VLOOKUP(M255,'G-3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1" t="str">
        <f t="shared" si="18"/>
        <v/>
      </c>
      <c r="V255" s="511" t="str">
        <f t="shared" si="19"/>
        <v/>
      </c>
      <c r="W255" s="511"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5"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8" t="str">
        <f>IF(G256="","",VLOOKUP(G256,'G-1 All Habitats'!$B$2:$M$129,10,FALSE))</f>
        <v/>
      </c>
      <c r="J256" s="499" t="str">
        <f>IFERROR(VLOOKUP(I256,'G-1 All Habitats'!$V$3:$W$7,2,FALSE),"")</f>
        <v/>
      </c>
      <c r="K256" s="71"/>
      <c r="L256" s="499" t="str">
        <f>IFERROR(INDEX('G-8 Condition Look up'!$A$3:$H$130,MATCH(G256,'G-8 Condition Look up'!$A$3:$A$130,0),MATCH(K256,'G-8 Condition Look up'!$A$3:$H$3,0)),"")</f>
        <v/>
      </c>
      <c r="M256" s="71"/>
      <c r="N256" s="520" t="str">
        <f>IF(M256="","",IF(VLOOKUP(M256,'G-3 Multipliers'!$L$3:$N$6,2,FALSE)=0,"Spatial Data Missing",VLOOKUP(M256,'G-3 Multipliers'!$L$3:$N$6,2,FALSE)))</f>
        <v/>
      </c>
      <c r="O256" s="505" t="str">
        <f>IF(M256="","",IF(VLOOKUP(M256,'G-3 Multipliers'!$L$3:$N$6,3,FALSE)=0,"Spatial Data Missing",VLOOKUP(M256,'G-3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1" t="str">
        <f t="shared" si="18"/>
        <v/>
      </c>
      <c r="V256" s="511" t="str">
        <f t="shared" si="19"/>
        <v/>
      </c>
      <c r="W256" s="511"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5"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8" t="str">
        <f>IF(G257="","",VLOOKUP(G257,'G-1 All Habitats'!$B$2:$M$129,10,FALSE))</f>
        <v/>
      </c>
      <c r="J257" s="499" t="str">
        <f>IFERROR(VLOOKUP(I257,'G-1 All Habitats'!$V$3:$W$7,2,FALSE),"")</f>
        <v/>
      </c>
      <c r="K257" s="71"/>
      <c r="L257" s="499" t="str">
        <f>IFERROR(INDEX('G-8 Condition Look up'!$A$3:$H$130,MATCH(G257,'G-8 Condition Look up'!$A$3:$A$130,0),MATCH(K257,'G-8 Condition Look up'!$A$3:$H$3,0)),"")</f>
        <v/>
      </c>
      <c r="M257" s="71"/>
      <c r="N257" s="520" t="str">
        <f>IF(M257="","",IF(VLOOKUP(M257,'G-3 Multipliers'!$L$3:$N$6,2,FALSE)=0,"Spatial Data Missing",VLOOKUP(M257,'G-3 Multipliers'!$L$3:$N$6,2,FALSE)))</f>
        <v/>
      </c>
      <c r="O257" s="505" t="str">
        <f>IF(M257="","",IF(VLOOKUP(M257,'G-3 Multipliers'!$L$3:$N$6,3,FALSE)=0,"Spatial Data Missing",VLOOKUP(M257,'G-3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1" t="str">
        <f t="shared" si="18"/>
        <v/>
      </c>
      <c r="V257" s="511" t="str">
        <f t="shared" si="19"/>
        <v/>
      </c>
      <c r="W257" s="511"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5"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 thickBot="1" x14ac:dyDescent="0.3">
      <c r="A258" s="47" t="str">
        <f>IFERROR(INDEX('G-1 All Habitats'!$AG$3:$AG$15,MATCH(E258,'G-1 All Habitats'!$AF$3:$AF$15,0)),"")</f>
        <v/>
      </c>
      <c r="B258" s="47" t="str">
        <f>IFERROR(INDEX('G-8 Condition Look up'!$I$4:$I$130,MATCH(G258,'G-8 Condition Look up'!$A$4:$A$130,0)),"")</f>
        <v/>
      </c>
      <c r="D258" s="62">
        <v>248</v>
      </c>
      <c r="E258" s="316"/>
      <c r="F258" s="241"/>
      <c r="G258" s="317" t="str">
        <f>IFERROR(INDEX('G-1 All Habitats'!$B$3:$B$129,MATCH(F258,'G-1 All Habitats'!$A$3:$A$129,0)),"")</f>
        <v/>
      </c>
      <c r="H258" s="318"/>
      <c r="I258" s="500" t="str">
        <f>IF(G258="","",VLOOKUP(G258,'G-1 All Habitats'!$B$2:$M$129,10,FALSE))</f>
        <v/>
      </c>
      <c r="J258" s="501" t="str">
        <f>IFERROR(VLOOKUP(I258,'G-1 All Habitats'!$V$3:$W$7,2,FALSE),"")</f>
        <v/>
      </c>
      <c r="K258" s="314"/>
      <c r="L258" s="501" t="str">
        <f>IFERROR(INDEX('G-8 Condition Look up'!$A$3:$H$130,MATCH(G258,'G-8 Condition Look up'!$A$3:$A$130,0),MATCH(K258,'G-8 Condition Look up'!$A$3:$H$3,0)),"")</f>
        <v/>
      </c>
      <c r="M258" s="314"/>
      <c r="N258" s="507" t="str">
        <f>IF(M258="","",IF(VLOOKUP(M258,'G-3 Multipliers'!$L$3:$N$6,2,FALSE)=0,"Spatial Data Missing",VLOOKUP(M258,'G-3 Multipliers'!$L$3:$N$6,2,FALSE)))</f>
        <v/>
      </c>
      <c r="O258" s="509" t="str">
        <f>IF(M258="","",IF(VLOOKUP(M258,'G-3 Multipliers'!$L$3:$N$6,3,FALSE)=0,"Spatial Data Missing",VLOOKUP(M258,'G-3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 ▲",IF(AND(P258='G-1 All Habitats'!$X$3,W258&gt;0),"Any Loss Unacceptable ▲",H258*J258*L258*O258))))),"Check Data ▲")</f>
        <v/>
      </c>
      <c r="R258" s="50"/>
      <c r="S258" s="314"/>
      <c r="T258" s="315"/>
      <c r="U258" s="512" t="str">
        <f t="shared" si="18"/>
        <v/>
      </c>
      <c r="V258" s="512" t="str">
        <f t="shared" si="19"/>
        <v/>
      </c>
      <c r="W258" s="511"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6" t="str">
        <f>IFERROR(IF(H258="","",IF(H258-S258-T258=0&lt;0,"Error in Areas ▲",IF(S258+T258&gt;H258,"Error in Areas ▲",IF(AND(P258='G-1 All Habitats'!$X$3,Y258="Yes"),"Alternative Compensation ✓",IF(W258=0,0,IF(P258='G-1 All Habitats'!$X$3,"Unacceptable Loss ▲",Q258-U258-V258)))))),"Check Data ▲")</f>
        <v/>
      </c>
      <c r="Y258" s="318"/>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 thickBot="1" x14ac:dyDescent="0.3">
      <c r="F259" s="502" t="s">
        <v>223</v>
      </c>
      <c r="H259" s="503">
        <f>SUM(H9:H256)</f>
        <v>1.0905</v>
      </c>
      <c r="N259" s="50"/>
      <c r="P259" s="445"/>
      <c r="Q259" s="514">
        <f>IF('Detailed Results'!$K$40&gt;0,"Error",SUM(Q11:Q258))</f>
        <v>2.9612499999999997</v>
      </c>
      <c r="R259" s="85"/>
      <c r="S259" s="517">
        <f>IF('Detailed Results'!$K$40&gt;0,"Error",SUM(S11:S258))</f>
        <v>5.7599999999999998E-2</v>
      </c>
      <c r="T259" s="518">
        <f>IF('Detailed Results'!$K$40&gt;0,"Error",SUM(T11:T258))</f>
        <v>0</v>
      </c>
      <c r="U259" s="518">
        <f>IF('Detailed Results'!$K$40&gt;0,"Error",SUM(U11:U258))</f>
        <v>0.57177999999999995</v>
      </c>
      <c r="V259" s="518">
        <f>IF('Detailed Results'!$K$40&gt;0,"Error",SUM(V11:V258))</f>
        <v>0</v>
      </c>
      <c r="W259" s="518">
        <f>IF('Detailed Results'!$K$40&gt;0,"Error",SUM(W11:W258))</f>
        <v>1.0329000000000002</v>
      </c>
      <c r="X259" s="514">
        <f>IF('Detailed Results'!$K$40&gt;0,"Error",SUM(X11:X258))</f>
        <v>2.3894699999999998</v>
      </c>
      <c r="AQ259" s="55">
        <f>SUM(AQ11:AQ258)</f>
        <v>0</v>
      </c>
    </row>
    <row r="260" spans="1:43" ht="28.5" customHeight="1" thickBot="1" x14ac:dyDescent="0.3">
      <c r="F260" s="458"/>
      <c r="P260" s="48"/>
      <c r="Y260" s="86"/>
    </row>
    <row r="261" spans="1:43" ht="38.25" customHeight="1" thickBot="1" x14ac:dyDescent="0.3">
      <c r="D261" s="48"/>
      <c r="E261" s="48"/>
      <c r="F261" s="48"/>
      <c r="G261" s="48"/>
      <c r="H261" s="48"/>
      <c r="S261" s="888" t="s">
        <v>224</v>
      </c>
      <c r="T261" s="889"/>
      <c r="U261" s="889"/>
      <c r="V261" s="890"/>
      <c r="W261" s="503">
        <f>IF('Detailed Results'!$K$40&gt;0,"Error",SUMIFS($W$11:$W$258,$G$11:$G$258,"&lt;&gt;"&amp;'G-1 All Habitats'!B65,$G$11:$G$258,"&lt;&gt;"&amp;'G-1 All Habitats'!B66,$G$11:$G$258,"&lt;&gt;"&amp;'G-1 All Habitats'!B73))</f>
        <v>0.98310000000000008</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J1HR/iPbhja6S90cHLAaiiWny17iVfjKLDKuCUExTYmDp+iACze+Ojk+fw4O/4EOu4+bZqCu3nPIqcGn7hqW/g==" saltValue="ovnD5/1rKrFP8IPRpgy6D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316" priority="158" operator="equal">
      <formula>""</formula>
    </cfRule>
    <cfRule type="cellIs" dxfId="315" priority="159" operator="equal">
      <formula>"None"</formula>
    </cfRule>
    <cfRule type="cellIs" dxfId="314" priority="163" operator="greaterThan">
      <formula>0</formula>
    </cfRule>
  </conditionalFormatting>
  <conditionalFormatting sqref="AD12">
    <cfRule type="cellIs" dxfId="313" priority="154" operator="equal">
      <formula>"None"</formula>
    </cfRule>
    <cfRule type="cellIs" dxfId="312" priority="157" operator="equal">
      <formula>""</formula>
    </cfRule>
    <cfRule type="cellIs" dxfId="311" priority="160" operator="greaterThan">
      <formula>0</formula>
    </cfRule>
  </conditionalFormatting>
  <conditionalFormatting sqref="AC11">
    <cfRule type="cellIs" dxfId="310" priority="143" operator="equal">
      <formula>""</formula>
    </cfRule>
    <cfRule type="cellIs" dxfId="309" priority="144" operator="equal">
      <formula>"None"</formula>
    </cfRule>
    <cfRule type="cellIs" dxfId="308" priority="147" operator="greaterThan">
      <formula>0</formula>
    </cfRule>
  </conditionalFormatting>
  <conditionalFormatting sqref="AD11:AD258">
    <cfRule type="cellIs" dxfId="307" priority="139" operator="equal">
      <formula>"None"</formula>
    </cfRule>
    <cfRule type="cellIs" dxfId="306" priority="142" operator="equal">
      <formula>""</formula>
    </cfRule>
    <cfRule type="cellIs" dxfId="305" priority="145" operator="greaterThan">
      <formula>0</formula>
    </cfRule>
  </conditionalFormatting>
  <conditionalFormatting sqref="AC11:AC258">
    <cfRule type="cellIs" dxfId="304" priority="128" operator="equal">
      <formula>""</formula>
    </cfRule>
    <cfRule type="cellIs" dxfId="303" priority="129" operator="equal">
      <formula>"None"</formula>
    </cfRule>
    <cfRule type="cellIs" dxfId="302" priority="132" operator="greaterThan">
      <formula>0</formula>
    </cfRule>
  </conditionalFormatting>
  <conditionalFormatting sqref="AD13:AD258">
    <cfRule type="cellIs" dxfId="301" priority="124" operator="equal">
      <formula>"None"</formula>
    </cfRule>
    <cfRule type="cellIs" dxfId="300" priority="127" operator="equal">
      <formula>""</formula>
    </cfRule>
    <cfRule type="cellIs" dxfId="299" priority="130" operator="greaterThan">
      <formula>0</formula>
    </cfRule>
  </conditionalFormatting>
  <conditionalFormatting sqref="AC11:AC258">
    <cfRule type="cellIs" dxfId="298" priority="121" operator="equal">
      <formula>0</formula>
    </cfRule>
  </conditionalFormatting>
  <conditionalFormatting sqref="L11">
    <cfRule type="cellIs" dxfId="297" priority="113" operator="equal">
      <formula>"Not Possible"</formula>
    </cfRule>
  </conditionalFormatting>
  <conditionalFormatting sqref="L12:L258">
    <cfRule type="cellIs" dxfId="296" priority="99" operator="equal">
      <formula>"Not Possible"</formula>
    </cfRule>
  </conditionalFormatting>
  <conditionalFormatting sqref="W11:W258">
    <cfRule type="cellIs" dxfId="295" priority="41" operator="equal">
      <formula>"Error in Areas"</formula>
    </cfRule>
    <cfRule type="cellIs" dxfId="294" priority="71" operator="equal">
      <formula>"Unacceptable Loss"</formula>
    </cfRule>
  </conditionalFormatting>
  <conditionalFormatting sqref="Q11:Q258">
    <cfRule type="cellIs" dxfId="293" priority="49" operator="equal">
      <formula>"Any loss Unacceptable ▲"</formula>
    </cfRule>
  </conditionalFormatting>
  <conditionalFormatting sqref="Q11:Q258">
    <cfRule type="expression" dxfId="292" priority="51">
      <formula>"p18=""Avoid"""</formula>
    </cfRule>
  </conditionalFormatting>
  <conditionalFormatting sqref="Q11:Q258">
    <cfRule type="cellIs" dxfId="291" priority="50" operator="equal">
      <formula>"Any loss Unacceptable ▲"</formula>
    </cfRule>
  </conditionalFormatting>
  <conditionalFormatting sqref="Q11:Q258">
    <cfRule type="cellIs" dxfId="290" priority="46" operator="equal">
      <formula>"Any loss Unacceptable ▲"</formula>
    </cfRule>
  </conditionalFormatting>
  <conditionalFormatting sqref="Q11:Q258">
    <cfRule type="expression" dxfId="289" priority="48">
      <formula>"p18=""Avoid"""</formula>
    </cfRule>
  </conditionalFormatting>
  <conditionalFormatting sqref="Q11:Q258">
    <cfRule type="cellIs" dxfId="288" priority="47" operator="equal">
      <formula>"Any loss Unacceptable ▲"</formula>
    </cfRule>
  </conditionalFormatting>
  <conditionalFormatting sqref="Q12:Q258">
    <cfRule type="cellIs" dxfId="287" priority="43" operator="equal">
      <formula>"Any loss Unacceptable ▲"</formula>
    </cfRule>
  </conditionalFormatting>
  <conditionalFormatting sqref="Q12:Q258">
    <cfRule type="expression" dxfId="286" priority="45">
      <formula>"p18=""Avoid"""</formula>
    </cfRule>
  </conditionalFormatting>
  <conditionalFormatting sqref="Q12:Q258">
    <cfRule type="cellIs" dxfId="285" priority="44" operator="equal">
      <formula>"Any loss Unacceptable ▲"</formula>
    </cfRule>
  </conditionalFormatting>
  <conditionalFormatting sqref="Q11:Q258">
    <cfRule type="cellIs" dxfId="284" priority="42" operator="equal">
      <formula>"Check Data ▲"</formula>
    </cfRule>
  </conditionalFormatting>
  <conditionalFormatting sqref="Y11">
    <cfRule type="cellIs" dxfId="283" priority="109" operator="equal">
      <formula>"No"</formula>
    </cfRule>
    <cfRule type="cellIs" dxfId="282" priority="110" operator="equal">
      <formula>"Yes"</formula>
    </cfRule>
  </conditionalFormatting>
  <conditionalFormatting sqref="X11">
    <cfRule type="cellIs" dxfId="281" priority="15" operator="equal">
      <formula>"Alternative Compensation ✓"</formula>
    </cfRule>
    <cfRule type="cellIs" dxfId="280" priority="26" operator="equal">
      <formula>"Error in Areas ▲"</formula>
    </cfRule>
  </conditionalFormatting>
  <conditionalFormatting sqref="X11">
    <cfRule type="cellIs" dxfId="279"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278" priority="11" operator="equal">
      <formula>"Error in Areas"</formula>
    </cfRule>
    <cfRule type="cellIs" dxfId="277" priority="12" operator="equal">
      <formula>"Unacceptable Loss"</formula>
    </cfRule>
  </conditionalFormatting>
  <conditionalFormatting sqref="Y12">
    <cfRule type="cellIs" dxfId="276" priority="13" operator="equal">
      <formula>"No"</formula>
    </cfRule>
    <cfRule type="cellIs" dxfId="275" priority="14" operator="equal">
      <formula>"Yes"</formula>
    </cfRule>
  </conditionalFormatting>
  <conditionalFormatting sqref="X12:X257">
    <cfRule type="cellIs" dxfId="274" priority="8" operator="equal">
      <formula>"Alternative Compensation ✓"</formula>
    </cfRule>
    <cfRule type="cellIs" dxfId="273" priority="9" operator="equal">
      <formula>"Error in Areas ▲"</formula>
    </cfRule>
  </conditionalFormatting>
  <conditionalFormatting sqref="X12:X257">
    <cfRule type="cellIs" dxfId="272" priority="10" operator="equal">
      <formula>"Unacceptable Loss ▲"</formula>
    </cfRule>
  </conditionalFormatting>
  <conditionalFormatting sqref="W11:W258">
    <cfRule type="cellIs" dxfId="271" priority="4" operator="equal">
      <formula>"Error in Areas ▲"</formula>
    </cfRule>
    <cfRule type="cellIs" dxfId="270" priority="5" operator="equal">
      <formula>"Unacceptable Loss"</formula>
    </cfRule>
  </conditionalFormatting>
  <conditionalFormatting sqref="Y13:Y258">
    <cfRule type="cellIs" dxfId="269" priority="6" operator="equal">
      <formula>"No"</formula>
    </cfRule>
    <cfRule type="cellIs" dxfId="268" priority="7" operator="equal">
      <formula>"Yes"</formula>
    </cfRule>
  </conditionalFormatting>
  <conditionalFormatting sqref="X258">
    <cfRule type="cellIs" dxfId="267" priority="1" operator="equal">
      <formula>"Alternative Compensation ✓"</formula>
    </cfRule>
    <cfRule type="cellIs" dxfId="266" priority="2" operator="equal">
      <formula>"Error in Areas ▲"</formula>
    </cfRule>
  </conditionalFormatting>
  <conditionalFormatting sqref="X258">
    <cfRule type="cellIs" dxfId="265"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70" zoomScaleNormal="70" workbookViewId="0">
      <pane ySplit="10" topLeftCell="A11" activePane="bottomLeft" state="frozen"/>
      <selection activeCell="S28" sqref="S28"/>
      <selection pane="bottomLeft" activeCell="M21" sqref="M21"/>
    </sheetView>
  </sheetViews>
  <sheetFormatPr defaultColWidth="0" defaultRowHeight="13.8" zeroHeight="1" x14ac:dyDescent="0.25"/>
  <cols>
    <col min="1" max="1" width="7.44140625" style="47" hidden="1" customWidth="1"/>
    <col min="2" max="2" width="9.5546875" style="47" hidden="1" customWidth="1"/>
    <col min="3" max="3" width="24.33203125" style="47" hidden="1" customWidth="1"/>
    <col min="4" max="4" width="27.109375" style="47" customWidth="1"/>
    <col min="5" max="5" width="75" style="49" customWidth="1"/>
    <col min="6" max="6" width="15.88671875" style="47" hidden="1" customWidth="1"/>
    <col min="7" max="7" width="12.6640625" style="47" customWidth="1"/>
    <col min="8" max="8" width="18" style="47" customWidth="1"/>
    <col min="9" max="9" width="14.109375" style="47" customWidth="1"/>
    <col min="10" max="11" width="12.5546875" style="47" customWidth="1"/>
    <col min="12" max="12" width="42.33203125" style="47" customWidth="1"/>
    <col min="13" max="13" width="19.5546875" style="47" customWidth="1"/>
    <col min="14" max="14" width="13.109375" style="47" customWidth="1"/>
    <col min="15" max="15" width="18" style="47" customWidth="1"/>
    <col min="16" max="16" width="17.88671875" style="47" customWidth="1"/>
    <col min="17" max="17" width="17.6640625" style="47" customWidth="1"/>
    <col min="18" max="18" width="49.5546875" style="47" customWidth="1"/>
    <col min="19" max="19" width="18.33203125" style="47" customWidth="1"/>
    <col min="20" max="20" width="15.33203125" style="47" customWidth="1"/>
    <col min="21" max="21" width="13.6640625" style="47" customWidth="1"/>
    <col min="22" max="22" width="36.5546875" style="47" customWidth="1"/>
    <col min="23" max="23" width="15.109375" style="47" customWidth="1"/>
    <col min="24" max="24" width="14.33203125" style="47" customWidth="1"/>
    <col min="25" max="25" width="12.6640625" style="47" customWidth="1"/>
    <col min="26" max="26" width="39.6640625" style="47" customWidth="1"/>
    <col min="27" max="27" width="43.109375" style="47" customWidth="1"/>
    <col min="28" max="28" width="8.44140625" style="47" customWidth="1"/>
    <col min="29" max="29" width="12" style="47" hidden="1" customWidth="1"/>
    <col min="30" max="30" width="8.88671875" style="47" hidden="1" customWidth="1"/>
    <col min="31" max="31" width="10.88671875" style="47" hidden="1" customWidth="1"/>
    <col min="32" max="32" width="11.88671875" style="47" hidden="1" customWidth="1"/>
    <col min="33" max="16384" width="8.88671875" style="47" hidden="1"/>
  </cols>
  <sheetData>
    <row r="1" spans="1:34" ht="14.4" thickBot="1" x14ac:dyDescent="0.3"/>
    <row r="2" spans="1:34" ht="18.75" customHeight="1" thickBot="1" x14ac:dyDescent="0.3">
      <c r="D2" s="897" t="str">
        <f>IF(Start!$F$12="","",Start!$F$12)</f>
        <v>Land at Doncaster Road, Goldthorpe, Rotherham</v>
      </c>
      <c r="E2" s="899"/>
      <c r="P2" s="909" t="str">
        <f>IF(OR(COUNTIF($O$11:O256,"*30+*")&gt;0,COUNTIF($S$11:S256,"*30+*")&gt;0),"Note; Habitat selected has a time to target condition greater than 30 years. Non standard agreement may be required.","")</f>
        <v/>
      </c>
      <c r="Q2" s="909"/>
      <c r="R2" s="909"/>
      <c r="S2" s="909"/>
    </row>
    <row r="3" spans="1:34" ht="24" customHeight="1" thickBot="1" x14ac:dyDescent="0.3">
      <c r="D3" s="894" t="str">
        <f ca="1">MID(CELL("filename",D1),FIND("]",CELL("filename",D1))+1,256)</f>
        <v>A-2 Site Habitat Creation</v>
      </c>
      <c r="E3" s="896"/>
      <c r="O3" s="401"/>
      <c r="P3" s="909"/>
      <c r="Q3" s="909"/>
      <c r="R3" s="909"/>
      <c r="S3" s="909"/>
      <c r="W3" s="908"/>
      <c r="X3" s="908"/>
      <c r="Y3" s="908"/>
      <c r="Z3" s="908"/>
    </row>
    <row r="4" spans="1:34" ht="12.6" customHeight="1" x14ac:dyDescent="0.25">
      <c r="O4" s="401"/>
      <c r="P4" s="401"/>
      <c r="Q4" s="401"/>
      <c r="R4" s="401"/>
      <c r="W4" s="908"/>
      <c r="X4" s="908"/>
      <c r="Y4" s="908"/>
      <c r="Z4" s="908"/>
    </row>
    <row r="5" spans="1:34" ht="15.6" customHeight="1" x14ac:dyDescent="0.3">
      <c r="M5" s="245"/>
      <c r="N5" s="235"/>
      <c r="O5" s="401"/>
      <c r="P5" s="910" t="str">
        <f>IFERROR(IF(OR((G259-'A-1 Site Habitat Baseline'!W261)&gt;0.01,(G259-'A-1 Site Habitat Baseline'!W261)&lt;-0.01),"Check Areas - Area cross check failed (Baseline habitat lost does not match development footprint plus area of new habitat creation)",""),"")</f>
        <v/>
      </c>
      <c r="Q5" s="910"/>
      <c r="R5" s="910"/>
      <c r="S5" s="910"/>
      <c r="W5" s="908"/>
      <c r="X5" s="908"/>
      <c r="Y5" s="908"/>
      <c r="Z5" s="908"/>
    </row>
    <row r="6" spans="1:34" ht="19.2" customHeight="1" x14ac:dyDescent="0.25">
      <c r="O6" s="401"/>
      <c r="P6" s="910"/>
      <c r="Q6" s="910"/>
      <c r="R6" s="910"/>
      <c r="S6" s="910"/>
      <c r="W6" s="908"/>
      <c r="X6" s="908"/>
      <c r="Y6" s="908"/>
      <c r="Z6" s="908"/>
    </row>
    <row r="7" spans="1:34" ht="39" customHeight="1" thickBot="1" x14ac:dyDescent="0.35">
      <c r="E7" s="50"/>
      <c r="P7" s="402"/>
      <c r="Q7" s="402"/>
      <c r="R7" s="402"/>
      <c r="S7" s="398"/>
      <c r="T7" s="398"/>
      <c r="U7" s="398"/>
      <c r="V7" s="398"/>
      <c r="W7" s="398"/>
    </row>
    <row r="8" spans="1:34" ht="14.4" thickBot="1" x14ac:dyDescent="0.3">
      <c r="D8" s="918" t="s">
        <v>225</v>
      </c>
      <c r="E8" s="919"/>
      <c r="F8" s="919"/>
      <c r="G8" s="919"/>
      <c r="H8" s="919"/>
      <c r="I8" s="919"/>
      <c r="J8" s="919"/>
      <c r="K8" s="919"/>
      <c r="L8" s="919"/>
      <c r="M8" s="919"/>
      <c r="N8" s="919"/>
      <c r="O8" s="919"/>
      <c r="P8" s="919"/>
      <c r="Q8" s="919"/>
      <c r="R8" s="919"/>
      <c r="S8" s="919"/>
      <c r="T8" s="919"/>
      <c r="U8" s="919"/>
      <c r="V8" s="919"/>
      <c r="W8" s="919"/>
      <c r="X8" s="919"/>
      <c r="Y8" s="919"/>
      <c r="Z8" s="919"/>
      <c r="AA8" s="920"/>
      <c r="AE8" s="911" t="s">
        <v>226</v>
      </c>
    </row>
    <row r="9" spans="1:34" s="49" customFormat="1" ht="15" customHeight="1" thickBot="1" x14ac:dyDescent="0.3">
      <c r="B9" s="47"/>
      <c r="D9" s="916" t="s">
        <v>202</v>
      </c>
      <c r="E9" s="912" t="s">
        <v>227</v>
      </c>
      <c r="F9" s="912" t="s">
        <v>227</v>
      </c>
      <c r="G9" s="914" t="s">
        <v>205</v>
      </c>
      <c r="H9" s="903" t="s">
        <v>189</v>
      </c>
      <c r="I9" s="904"/>
      <c r="J9" s="903" t="s">
        <v>190</v>
      </c>
      <c r="K9" s="904"/>
      <c r="L9" s="903" t="s">
        <v>191</v>
      </c>
      <c r="M9" s="905"/>
      <c r="N9" s="904"/>
      <c r="O9" s="903" t="s">
        <v>228</v>
      </c>
      <c r="P9" s="905"/>
      <c r="Q9" s="905"/>
      <c r="R9" s="905"/>
      <c r="S9" s="905"/>
      <c r="T9" s="904"/>
      <c r="U9" s="900" t="s">
        <v>229</v>
      </c>
      <c r="V9" s="901"/>
      <c r="W9" s="901"/>
      <c r="X9" s="902"/>
      <c r="Y9" s="906" t="s">
        <v>230</v>
      </c>
      <c r="Z9" s="903" t="s">
        <v>196</v>
      </c>
      <c r="AA9" s="904"/>
      <c r="AB9" s="47"/>
      <c r="AC9" s="47"/>
      <c r="AD9" s="47"/>
      <c r="AE9" s="911"/>
      <c r="AF9" s="47"/>
      <c r="AG9" s="47"/>
      <c r="AH9" s="47"/>
    </row>
    <row r="10" spans="1:34" ht="41.4" x14ac:dyDescent="0.25">
      <c r="A10" s="55" t="s">
        <v>200</v>
      </c>
      <c r="D10" s="917"/>
      <c r="E10" s="913"/>
      <c r="F10" s="913"/>
      <c r="G10" s="915"/>
      <c r="H10" s="380" t="s">
        <v>189</v>
      </c>
      <c r="I10" s="381" t="s">
        <v>206</v>
      </c>
      <c r="J10" s="633" t="s">
        <v>190</v>
      </c>
      <c r="K10" s="382" t="s">
        <v>206</v>
      </c>
      <c r="L10" s="364" t="s">
        <v>191</v>
      </c>
      <c r="M10" s="77" t="s">
        <v>191</v>
      </c>
      <c r="N10" s="366" t="s">
        <v>231</v>
      </c>
      <c r="O10" s="364" t="s">
        <v>232</v>
      </c>
      <c r="P10" s="77" t="s">
        <v>233</v>
      </c>
      <c r="Q10" s="77" t="s">
        <v>234</v>
      </c>
      <c r="R10" s="77" t="s">
        <v>235</v>
      </c>
      <c r="S10" s="77" t="s">
        <v>236</v>
      </c>
      <c r="T10" s="366" t="s">
        <v>237</v>
      </c>
      <c r="U10" s="363" t="s">
        <v>238</v>
      </c>
      <c r="V10" s="367" t="s">
        <v>239</v>
      </c>
      <c r="W10" s="367" t="s">
        <v>240</v>
      </c>
      <c r="X10" s="365" t="s">
        <v>241</v>
      </c>
      <c r="Y10" s="921"/>
      <c r="Z10" s="364" t="s">
        <v>215</v>
      </c>
      <c r="AA10" s="366" t="s">
        <v>216</v>
      </c>
      <c r="AE10" s="47" t="s">
        <v>242</v>
      </c>
    </row>
    <row r="11" spans="1:34" ht="41.4" x14ac:dyDescent="0.25">
      <c r="A11" s="47" t="str">
        <f>IFERROR(INDEX('G-8 Condition Look up'!$I$4:$I$130,MATCH(F11,'G-8 Condition Look up'!$A$4:$A$130,0)),"")</f>
        <v>Cond1</v>
      </c>
      <c r="C11" s="383" t="str">
        <f>IFERROR(INDEX('G-1 All Habitats'!$AG$3:$AG$15,MATCH(D11,'G-1 All Habitats'!$AF$3:$AF$15,0)),"")</f>
        <v>Urban</v>
      </c>
      <c r="D11" s="71" t="s">
        <v>74</v>
      </c>
      <c r="E11" s="82" t="s">
        <v>615</v>
      </c>
      <c r="F11" s="379" t="str">
        <f>IFERROR(INDEX('G-1 All Habitats'!$B$3:$B$129,MATCH(E11,'G-1 All Habitats'!$A$3:$A$129,0)),"")</f>
        <v>Urban - Introduced shrub</v>
      </c>
      <c r="G11" s="70">
        <v>3.0099999999999998E-2</v>
      </c>
      <c r="H11" s="498" t="str">
        <f>IF(F11="","",VLOOKUP(F11,'G-1 All Habitats'!$B$2:$M$129,10,FALSE))</f>
        <v>Low</v>
      </c>
      <c r="I11" s="499">
        <f>IFERROR(VLOOKUP(H11,'G-1 All Habitats'!$V$3:$W$7,2,FALSE),"")</f>
        <v>2</v>
      </c>
      <c r="J11" s="71" t="s">
        <v>403</v>
      </c>
      <c r="K11" s="499">
        <f>IFERROR(INDEX('G-8 Condition Look up'!$A$3:$H$130,MATCH(F11,'G-8 Condition Look up'!$A$3:$A$130,0),MATCH(J11,'G-8 Condition Look up'!$A$3:$H$3,0)),"")</f>
        <v>1</v>
      </c>
      <c r="L11" s="71" t="s">
        <v>913</v>
      </c>
      <c r="M11" s="520" t="str">
        <f>IF(L11="","",IF(VLOOKUP(L11,'G-3 Multipliers'!$L$3:$N$6,2,FALSE)=0,"Spatial Data Missing",VLOOKUP(L11,'G-3 Multipliers'!$L$3:$N$6,2,FALSE)))</f>
        <v xml:space="preserve">High strategic significance </v>
      </c>
      <c r="N11" s="505">
        <f>IF(L11="","",IF(VLOOKUP(L11,'G-3 Multipliers'!$L$3:$N$6,3,FALSE)=0,"Spatial Data Missing",VLOOKUP(L11,'G-3 Multipliers'!$L$3:$N$6,3,FALSE)))</f>
        <v>1.1499999999999999</v>
      </c>
      <c r="O11" s="498">
        <f t="shared" ref="O11:O74" si="0">IFERROR(INDEX(TemporalData,MATCH(F11,TemporalHabitats,0),MATCH(J11,TemporalConditions,0)),"")</f>
        <v>1</v>
      </c>
      <c r="P11" s="82">
        <v>0</v>
      </c>
      <c r="Q11" s="82">
        <v>0</v>
      </c>
      <c r="R11" s="50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1">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522">
        <f>IFERROR(IF(S11="Check Data ⚠","Check Data ⚠",VLOOKUP(S11,'G-4 Temporal multipliers'!$A$4:$C$37,3,FALSE)),"")</f>
        <v>0.96499999999999997</v>
      </c>
      <c r="U11" s="523" t="str">
        <f>IF(F11="","",VLOOKUP(F11,'G-3 Multipliers'!$A$2:$E$129,2,FALSE))</f>
        <v>Low</v>
      </c>
      <c r="V11" s="520"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20" t="str">
        <f>IF(E11="","",IF(AND(V11="Standard difficulty applied",O11&gt;P11),U11,IF(AND(V11="Low Difficulty - only applicable if all habitat created before losses",P11&gt;=O11),"Low",VLOOKUP(F11,'G-3 Multipliers'!$A$2:$E$129,4,FALSE))))</f>
        <v>Low</v>
      </c>
      <c r="X11" s="524">
        <f>IFERROR(IF(E11="","",VLOOKUP(W11, 'G-3 Multipliers'!$P$2:$Q$6,2,FALSE)),"")</f>
        <v>1</v>
      </c>
      <c r="Y11" s="529">
        <f>IFERROR(G11*I11*K11*N11*T11*X11,"")</f>
        <v>6.680694999999999E-2</v>
      </c>
      <c r="Z11" s="239" t="s">
        <v>1567</v>
      </c>
      <c r="AA11" s="240"/>
      <c r="AE11" s="54" t="str">
        <f t="shared" ref="AE11:AE74" si="1">IFERROR(INDEX(TemporalData,MATCH(F11,TemporalHabitats,0),MATCH($AE$10,TemporalConditions,0)),"")</f>
        <v>Not Possible</v>
      </c>
    </row>
    <row r="12" spans="1:34" ht="124.2" x14ac:dyDescent="0.25">
      <c r="A12" s="47" t="str">
        <f>IFERROR(INDEX('G-8 Condition Look up'!$I$4:$I$130,MATCH(F12,'G-8 Condition Look up'!$A$4:$A$130,0)),"")</f>
        <v>Cond4</v>
      </c>
      <c r="C12" s="384" t="str">
        <f>IFERROR(INDEX('G-1 All Habitats'!$AG$3:$AG$15,MATCH(D12,'G-1 All Habitats'!$AF$3:$AF$15,0)),"")</f>
        <v>Heathland_and_shrub</v>
      </c>
      <c r="D12" s="146" t="s">
        <v>71</v>
      </c>
      <c r="E12" s="79" t="s">
        <v>495</v>
      </c>
      <c r="F12" s="246" t="str">
        <f>IFERROR(INDEX('G-1 All Habitats'!$B$3:$B$129,MATCH(E12,'G-1 All Habitats'!$A$3:$A$129,0)),"")</f>
        <v>Heathland and shrub - Mixed scrub</v>
      </c>
      <c r="G12" s="70">
        <v>9.4899999999999998E-2</v>
      </c>
      <c r="H12" s="498" t="str">
        <f>IF(F12="","",VLOOKUP(F12,'G-1 All Habitats'!$B$2:$M$129,10,FALSE))</f>
        <v>Medium</v>
      </c>
      <c r="I12" s="499">
        <f>IFERROR(VLOOKUP(H12,'G-1 All Habitats'!$V$3:$W$7,2,FALSE),"")</f>
        <v>4</v>
      </c>
      <c r="J12" s="71" t="s">
        <v>20</v>
      </c>
      <c r="K12" s="499">
        <f>IFERROR(INDEX('G-8 Condition Look up'!$A$3:$H$130,MATCH(F12,'G-8 Condition Look up'!$A$3:$A$130,0),MATCH(J12,'G-8 Condition Look up'!$A$3:$H$3,0)),"")</f>
        <v>2</v>
      </c>
      <c r="L12" s="71" t="s">
        <v>913</v>
      </c>
      <c r="M12" s="507" t="str">
        <f>IF(L12="","",IF(VLOOKUP(L12,'G-3 Multipliers'!$L$3:$N$6,2,FALSE)=0,"Spatial Data Missing",VLOOKUP(L12,'G-3 Multipliers'!$L$3:$N$6,2,FALSE)))</f>
        <v xml:space="preserve">High strategic significance </v>
      </c>
      <c r="N12" s="505">
        <f>IF(L12="","",IF(VLOOKUP(L12,'G-3 Multipliers'!$L$3:$N$6,3,FALSE)=0,"Spatial Data Missing",VLOOKUP(L12,'G-3 Multipliers'!$L$3:$N$6,3,FALSE)))</f>
        <v>1.1499999999999999</v>
      </c>
      <c r="O12" s="498">
        <f t="shared" si="0"/>
        <v>5</v>
      </c>
      <c r="P12" s="82">
        <v>0</v>
      </c>
      <c r="Q12" s="82">
        <v>0</v>
      </c>
      <c r="R12" s="507"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1">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5</v>
      </c>
      <c r="T12" s="522">
        <f>IFERROR(IF(S12="Check Data ⚠","Check Data ⚠",VLOOKUP(S12,'G-4 Temporal multipliers'!$A$4:$C$37,3,FALSE)),"")</f>
        <v>0.83682870060000003</v>
      </c>
      <c r="U12" s="523" t="str">
        <f>IF(F12="","",VLOOKUP(F12,'G-3 Multipliers'!$A$2:$E$129,2,FALSE))</f>
        <v>Low</v>
      </c>
      <c r="V12" s="520"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20" t="str">
        <f>IF(E12="","",IF(AND(V12="Standard difficulty applied",O12&gt;P12),U12,IF(AND(V12="Low Difficulty - only applicable if all habitat created before losses",P12&gt;=O12),"Low",VLOOKUP(F12,'G-3 Multipliers'!$A$2:$E$129,4,FALSE))))</f>
        <v>Low</v>
      </c>
      <c r="X12" s="524">
        <f>IFERROR(IF(E12="","",VLOOKUP(W12, 'G-3 Multipliers'!$P$2:$Q$6,2,FALSE)),"")</f>
        <v>1</v>
      </c>
      <c r="Y12" s="529">
        <f t="shared" ref="Y12:Y75" si="5">IFERROR(G12*I12*K12*N12*T12*X12,"")</f>
        <v>0.73061840191984795</v>
      </c>
      <c r="Z12" s="239" t="s">
        <v>1570</v>
      </c>
      <c r="AA12" s="240"/>
      <c r="AE12" s="54">
        <f t="shared" si="1"/>
        <v>1</v>
      </c>
    </row>
    <row r="13" spans="1:34" ht="151.80000000000001" x14ac:dyDescent="0.25">
      <c r="A13" s="47" t="str">
        <f>IFERROR(INDEX('G-8 Condition Look up'!$I$4:$I$130,MATCH(F13,'G-8 Condition Look up'!$A$4:$A$130,0)),"")</f>
        <v>Cond4</v>
      </c>
      <c r="C13" s="384" t="str">
        <f>IFERROR(INDEX('G-1 All Habitats'!$AG$3:$AG$15,MATCH(D13,'G-1 All Habitats'!$AF$3:$AF$15,0)),"")</f>
        <v>Grassland</v>
      </c>
      <c r="D13" s="146" t="s">
        <v>70</v>
      </c>
      <c r="E13" s="79" t="s">
        <v>455</v>
      </c>
      <c r="F13" s="246" t="str">
        <f>IFERROR(INDEX('G-1 All Habitats'!$B$3:$B$129,MATCH(E13,'G-1 All Habitats'!$A$3:$A$129,0)),"")</f>
        <v>Grassland - Other neutral grassland</v>
      </c>
      <c r="G13" s="70">
        <v>9.7100000000000006E-2</v>
      </c>
      <c r="H13" s="498" t="str">
        <f>IF(F13="","",VLOOKUP(F13,'G-1 All Habitats'!$B$2:$M$129,10,FALSE))</f>
        <v>Medium</v>
      </c>
      <c r="I13" s="499">
        <f>IFERROR(VLOOKUP(H13,'G-1 All Habitats'!$V$3:$W$7,2,FALSE),"")</f>
        <v>4</v>
      </c>
      <c r="J13" s="71" t="s">
        <v>20</v>
      </c>
      <c r="K13" s="499">
        <f>IFERROR(INDEX('G-8 Condition Look up'!$A$3:$H$130,MATCH(F13,'G-8 Condition Look up'!$A$3:$A$130,0),MATCH(J13,'G-8 Condition Look up'!$A$3:$H$3,0)),"")</f>
        <v>2</v>
      </c>
      <c r="L13" s="71" t="s">
        <v>913</v>
      </c>
      <c r="M13" s="507" t="str">
        <f>IF(L13="","",IF(VLOOKUP(L13,'G-3 Multipliers'!$L$3:$N$6,2,FALSE)=0,"Spatial Data Missing",VLOOKUP(L13,'G-3 Multipliers'!$L$3:$N$6,2,FALSE)))</f>
        <v xml:space="preserve">High strategic significance </v>
      </c>
      <c r="N13" s="505">
        <f>IF(L13="","",IF(VLOOKUP(L13,'G-3 Multipliers'!$L$3:$N$6,3,FALSE)=0,"Spatial Data Missing",VLOOKUP(L13,'G-3 Multipliers'!$L$3:$N$6,3,FALSE)))</f>
        <v>1.1499999999999999</v>
      </c>
      <c r="O13" s="498">
        <f t="shared" si="0"/>
        <v>5</v>
      </c>
      <c r="P13" s="82">
        <v>0</v>
      </c>
      <c r="Q13" s="82">
        <v>0</v>
      </c>
      <c r="R13" s="507" t="str">
        <f t="shared" si="2"/>
        <v>Standard time to target condition applied</v>
      </c>
      <c r="S13" s="521">
        <f t="shared" si="3"/>
        <v>5</v>
      </c>
      <c r="T13" s="522">
        <f>IFERROR(IF(S13="Check Data ⚠","Check Data ⚠",VLOOKUP(S13,'G-4 Temporal multipliers'!$A$4:$C$37,3,FALSE)),"")</f>
        <v>0.83682870060000003</v>
      </c>
      <c r="U13" s="523" t="str">
        <f>IF(F13="","",VLOOKUP(F13,'G-3 Multipliers'!$A$2:$E$129,2,FALSE))</f>
        <v>Low</v>
      </c>
      <c r="V13" s="520" t="str">
        <f t="shared" si="4"/>
        <v>Standard difficulty applied</v>
      </c>
      <c r="W13" s="520" t="str">
        <f>IF(E13="","",IF(AND(V13="Standard difficulty applied",O13&gt;P13),U13,IF(AND(V13="Low Difficulty - only applicable if all habitat created before losses",P13&gt;=O13),"Low",VLOOKUP(F13,'G-3 Multipliers'!$A$2:$E$129,4,FALSE))))</f>
        <v>Low</v>
      </c>
      <c r="X13" s="524">
        <f>IFERROR(IF(E13="","",VLOOKUP(W13, 'G-3 Multipliers'!$P$2:$Q$6,2,FALSE)),"")</f>
        <v>1</v>
      </c>
      <c r="Y13" s="529">
        <f t="shared" si="5"/>
        <v>0.747555814819992</v>
      </c>
      <c r="Z13" s="239" t="s">
        <v>1574</v>
      </c>
      <c r="AA13" s="240"/>
      <c r="AE13" s="54">
        <f t="shared" si="1"/>
        <v>2</v>
      </c>
    </row>
    <row r="14" spans="1:34" ht="41.4" x14ac:dyDescent="0.25">
      <c r="A14" s="47" t="str">
        <f>IFERROR(INDEX('G-8 Condition Look up'!$I$4:$I$130,MATCH(F14,'G-8 Condition Look up'!$A$4:$A$130,0)),"")</f>
        <v>Cond2</v>
      </c>
      <c r="C14" s="384" t="str">
        <f>IFERROR(INDEX('G-1 All Habitats'!$AG$3:$AG$15,MATCH(D14,'G-1 All Habitats'!$AF$3:$AF$15,0)),"")</f>
        <v>Urban</v>
      </c>
      <c r="D14" s="146" t="s">
        <v>74</v>
      </c>
      <c r="E14" s="79" t="s">
        <v>599</v>
      </c>
      <c r="F14" s="246" t="str">
        <f>IFERROR(INDEX('G-1 All Habitats'!$B$3:$B$129,MATCH(E14,'G-1 All Habitats'!$A$3:$A$129,0)),"")</f>
        <v>Urban - Developed land; sealed surface</v>
      </c>
      <c r="G14" s="70">
        <v>0.76100000000000001</v>
      </c>
      <c r="H14" s="498" t="str">
        <f>IF(F14="","",VLOOKUP(F14,'G-1 All Habitats'!$B$2:$M$129,10,FALSE))</f>
        <v>V.Low</v>
      </c>
      <c r="I14" s="499">
        <f>IFERROR(VLOOKUP(H14,'G-1 All Habitats'!$V$3:$W$7,2,FALSE),"")</f>
        <v>0</v>
      </c>
      <c r="J14" s="71" t="s">
        <v>407</v>
      </c>
      <c r="K14" s="499">
        <f>IFERROR(INDEX('G-8 Condition Look up'!$A$3:$H$130,MATCH(F14,'G-8 Condition Look up'!$A$3:$A$130,0),MATCH(J14,'G-8 Condition Look up'!$A$3:$H$3,0)),"")</f>
        <v>0</v>
      </c>
      <c r="L14" s="71" t="s">
        <v>921</v>
      </c>
      <c r="M14" s="507" t="str">
        <f>IF(L14="","",IF(VLOOKUP(L14,'G-3 Multipliers'!$L$3:$N$6,2,FALSE)=0,"Spatial Data Missing",VLOOKUP(L14,'G-3 Multipliers'!$L$3:$N$6,2,FALSE)))</f>
        <v>Low Strategic Significance</v>
      </c>
      <c r="N14" s="505">
        <f>IF(L14="","",IF(VLOOKUP(L14,'G-3 Multipliers'!$L$3:$N$6,3,FALSE)=0,"Spatial Data Missing",VLOOKUP(L14,'G-3 Multipliers'!$L$3:$N$6,3,FALSE)))</f>
        <v>1</v>
      </c>
      <c r="O14" s="498">
        <f t="shared" si="0"/>
        <v>0</v>
      </c>
      <c r="P14" s="82">
        <v>0</v>
      </c>
      <c r="Q14" s="82">
        <v>0</v>
      </c>
      <c r="R14" s="507" t="str">
        <f t="shared" si="2"/>
        <v>Standard time to target condition applied</v>
      </c>
      <c r="S14" s="521">
        <f t="shared" si="3"/>
        <v>0</v>
      </c>
      <c r="T14" s="522">
        <f>IFERROR(IF(S14="Check Data ⚠","Check Data ⚠",VLOOKUP(S14,'G-4 Temporal multipliers'!$A$4:$C$37,3,FALSE)),"")</f>
        <v>1</v>
      </c>
      <c r="U14" s="523" t="str">
        <f>IF(F14="","",VLOOKUP(F14,'G-3 Multipliers'!$A$2:$E$129,2,FALSE))</f>
        <v>Low</v>
      </c>
      <c r="V14" s="520" t="str">
        <f t="shared" si="4"/>
        <v>Standard difficulty applied</v>
      </c>
      <c r="W14" s="520" t="str">
        <f>IF(E14="","",IF(AND(V14="Standard difficulty applied",O14&gt;P14),U14,IF(AND(V14="Low Difficulty - only applicable if all habitat created before losses",P14&gt;=O14),"Low",VLOOKUP(F14,'G-3 Multipliers'!$A$2:$E$129,4,FALSE))))</f>
        <v>Medium</v>
      </c>
      <c r="X14" s="524">
        <f>IFERROR(IF(E14="","",VLOOKUP(W14, 'G-3 Multipliers'!$P$2:$Q$6,2,FALSE)),"")</f>
        <v>0.67</v>
      </c>
      <c r="Y14" s="529">
        <f t="shared" si="5"/>
        <v>0</v>
      </c>
      <c r="Z14" s="239" t="s">
        <v>1568</v>
      </c>
      <c r="AA14" s="240"/>
      <c r="AE14" s="54" t="str">
        <f t="shared" si="1"/>
        <v>Not Possible</v>
      </c>
    </row>
    <row r="15" spans="1:34" ht="27.6" x14ac:dyDescent="0.25">
      <c r="A15" s="47" t="str">
        <f>IFERROR(INDEX('G-8 Condition Look up'!$I$4:$I$130,MATCH(F15,'G-8 Condition Look up'!$A$4:$A$130,0)),"")</f>
        <v>Cond4</v>
      </c>
      <c r="C15" s="384" t="str">
        <f>IFERROR(INDEX('G-1 All Habitats'!$AG$3:$AG$15,MATCH(D15,'G-1 All Habitats'!$AF$3:$AF$15,0)),"")</f>
        <v>Urban</v>
      </c>
      <c r="D15" s="146" t="s">
        <v>74</v>
      </c>
      <c r="E15" s="79" t="s">
        <v>627</v>
      </c>
      <c r="F15" s="246" t="str">
        <f>IFERROR(INDEX('G-1 All Habitats'!$B$3:$B$129,MATCH(E15,'G-1 All Habitats'!$A$3:$A$129,0)),"")</f>
        <v>Urban - Urban Tree</v>
      </c>
      <c r="G15" s="70">
        <v>0.17</v>
      </c>
      <c r="H15" s="498" t="str">
        <f>IF(F15="","",VLOOKUP(F15,'G-1 All Habitats'!$B$2:$M$129,10,FALSE))</f>
        <v>Medium</v>
      </c>
      <c r="I15" s="499">
        <f>IFERROR(VLOOKUP(H15,'G-1 All Habitats'!$V$3:$W$7,2,FALSE),"")</f>
        <v>4</v>
      </c>
      <c r="J15" s="71" t="s">
        <v>20</v>
      </c>
      <c r="K15" s="499">
        <f>IFERROR(INDEX('G-8 Condition Look up'!$A$3:$H$130,MATCH(F15,'G-8 Condition Look up'!$A$3:$A$130,0),MATCH(J15,'G-8 Condition Look up'!$A$3:$H$3,0)),"")</f>
        <v>2</v>
      </c>
      <c r="L15" s="71" t="s">
        <v>913</v>
      </c>
      <c r="M15" s="507" t="str">
        <f>IF(L15="","",IF(VLOOKUP(L15,'G-3 Multipliers'!$L$3:$N$6,2,FALSE)=0,"Spatial Data Missing",VLOOKUP(L15,'G-3 Multipliers'!$L$3:$N$6,2,FALSE)))</f>
        <v xml:space="preserve">High strategic significance </v>
      </c>
      <c r="N15" s="505">
        <f>IF(L15="","",IF(VLOOKUP(L15,'G-3 Multipliers'!$L$3:$N$6,3,FALSE)=0,"Spatial Data Missing",VLOOKUP(L15,'G-3 Multipliers'!$L$3:$N$6,3,FALSE)))</f>
        <v>1.1499999999999999</v>
      </c>
      <c r="O15" s="498">
        <f t="shared" si="0"/>
        <v>27</v>
      </c>
      <c r="P15" s="82">
        <v>0</v>
      </c>
      <c r="Q15" s="82">
        <v>0</v>
      </c>
      <c r="R15" s="507" t="str">
        <f t="shared" si="2"/>
        <v>Standard time to target condition applied</v>
      </c>
      <c r="S15" s="521">
        <f t="shared" si="3"/>
        <v>27</v>
      </c>
      <c r="T15" s="522">
        <f>IFERROR(IF(S15="Check Data ⚠","Check Data ⚠",VLOOKUP(S15,'G-4 Temporal multipliers'!$A$4:$C$37,3,FALSE)),"")</f>
        <v>0.38215316459999998</v>
      </c>
      <c r="U15" s="523" t="str">
        <f>IF(F15="","",VLOOKUP(F15,'G-3 Multipliers'!$A$2:$E$129,2,FALSE))</f>
        <v>Low</v>
      </c>
      <c r="V15" s="520" t="str">
        <f t="shared" si="4"/>
        <v>Standard difficulty applied</v>
      </c>
      <c r="W15" s="520" t="str">
        <f>IF(E15="","",IF(AND(V15="Standard difficulty applied",O15&gt;P15),U15,IF(AND(V15="Low Difficulty - only applicable if all habitat created before losses",P15&gt;=O15),"Low",VLOOKUP(F15,'G-3 Multipliers'!$A$2:$E$129,4,FALSE))))</f>
        <v>Low</v>
      </c>
      <c r="X15" s="524">
        <f>IFERROR(IF(E15="","",VLOOKUP(W15, 'G-3 Multipliers'!$P$2:$Q$6,2,FALSE)),"")</f>
        <v>1</v>
      </c>
      <c r="Y15" s="529">
        <f t="shared" si="5"/>
        <v>0.59768754943439995</v>
      </c>
      <c r="Z15" s="239" t="s">
        <v>1571</v>
      </c>
      <c r="AA15" s="240"/>
      <c r="AE15" s="54">
        <f t="shared" si="1"/>
        <v>10</v>
      </c>
    </row>
    <row r="16" spans="1:34" x14ac:dyDescent="0.25">
      <c r="A16" s="47" t="str">
        <f>IFERROR(INDEX('G-8 Condition Look up'!$I$4:$I$130,MATCH(F16,'G-8 Condition Look up'!$A$4:$A$130,0)),"")</f>
        <v/>
      </c>
      <c r="C16" s="384" t="str">
        <f>IFERROR(INDEX('G-1 All Habitats'!$AG$3:$AG$15,MATCH(D16,'G-1 All Habitats'!$AF$3:$AF$15,0)),"")</f>
        <v/>
      </c>
      <c r="D16" s="146"/>
      <c r="E16" s="79"/>
      <c r="F16" s="246" t="str">
        <f>IFERROR(INDEX('G-1 All Habitats'!$B$3:$B$129,MATCH(E16,'G-1 All Habitats'!$A$3:$A$129,0)),"")</f>
        <v/>
      </c>
      <c r="G16" s="70"/>
      <c r="H16" s="498" t="str">
        <f>IF(F16="","",VLOOKUP(F16,'G-1 All Habitats'!$B$2:$M$129,10,FALSE))</f>
        <v/>
      </c>
      <c r="I16" s="499" t="str">
        <f>IFERROR(VLOOKUP(H16,'G-1 All Habitats'!$V$3:$W$7,2,FALSE),"")</f>
        <v/>
      </c>
      <c r="J16" s="71"/>
      <c r="K16" s="499" t="str">
        <f>IFERROR(INDEX('G-8 Condition Look up'!$A$3:$H$130,MATCH(F16,'G-8 Condition Look up'!$A$3:$A$130,0),MATCH(J16,'G-8 Condition Look up'!$A$3:$H$3,0)),"")</f>
        <v/>
      </c>
      <c r="L16" s="71"/>
      <c r="M16" s="507" t="str">
        <f>IF(L16="","",IF(VLOOKUP(L16,'G-3 Multipliers'!$L$3:$N$6,2,FALSE)=0,"Spatial Data Missing",VLOOKUP(L16,'G-3 Multipliers'!$L$3:$N$6,2,FALSE)))</f>
        <v/>
      </c>
      <c r="N16" s="505" t="str">
        <f>IF(L16="","",IF(VLOOKUP(L16,'G-3 Multipliers'!$L$3:$N$6,3,FALSE)=0,"Spatial Data Missing",VLOOKUP(L16,'G-3 Multipliers'!$L$3:$N$6,3,FALSE)))</f>
        <v/>
      </c>
      <c r="O16" s="498" t="str">
        <f t="shared" si="0"/>
        <v/>
      </c>
      <c r="P16" s="82"/>
      <c r="Q16" s="82"/>
      <c r="R16" s="507" t="str">
        <f t="shared" si="2"/>
        <v/>
      </c>
      <c r="S16" s="521" t="str">
        <f t="shared" si="3"/>
        <v/>
      </c>
      <c r="T16" s="522"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losses",P16&gt;=O16),"Low",VLOOKUP(F16,'G-3 Multipliers'!$A$2:$E$129,4,FALSE))))</f>
        <v/>
      </c>
      <c r="X16" s="524" t="str">
        <f>IFERROR(IF(E16="","",VLOOKUP(W16, 'G-3 Multipliers'!$P$2:$Q$6,2,FALSE)),"")</f>
        <v/>
      </c>
      <c r="Y16" s="529" t="str">
        <f t="shared" si="5"/>
        <v/>
      </c>
      <c r="Z16" s="239"/>
      <c r="AA16" s="240"/>
      <c r="AE16" s="54" t="str">
        <f t="shared" si="1"/>
        <v/>
      </c>
    </row>
    <row r="17" spans="1:31" x14ac:dyDescent="0.25">
      <c r="A17" s="47" t="str">
        <f>IFERROR(INDEX('G-8 Condition Look up'!$I$4:$I$130,MATCH(F17,'G-8 Condition Look up'!$A$4:$A$130,0)),"")</f>
        <v/>
      </c>
      <c r="C17" s="384" t="str">
        <f>IFERROR(INDEX('G-1 All Habitats'!$AG$3:$AG$15,MATCH(D17,'G-1 All Habitats'!$AF$3:$AF$15,0)),"")</f>
        <v/>
      </c>
      <c r="D17" s="146"/>
      <c r="E17" s="79"/>
      <c r="F17" s="246" t="str">
        <f>IFERROR(INDEX('G-1 All Habitats'!$B$3:$B$129,MATCH(E17,'G-1 All Habitats'!$A$3:$A$129,0)),"")</f>
        <v/>
      </c>
      <c r="G17" s="70"/>
      <c r="H17" s="498" t="str">
        <f>IF(F17="","",VLOOKUP(F17,'G-1 All Habitats'!$B$2:$M$129,10,FALSE))</f>
        <v/>
      </c>
      <c r="I17" s="499" t="str">
        <f>IFERROR(VLOOKUP(H17,'G-1 All Habitats'!$V$3:$W$7,2,FALSE),"")</f>
        <v/>
      </c>
      <c r="J17" s="71"/>
      <c r="K17" s="499" t="str">
        <f>IFERROR(INDEX('G-8 Condition Look up'!$A$3:$H$130,MATCH(F17,'G-8 Condition Look up'!$A$3:$A$130,0),MATCH(J17,'G-8 Condition Look up'!$A$3:$H$3,0)),"")</f>
        <v/>
      </c>
      <c r="L17" s="71"/>
      <c r="M17" s="507" t="str">
        <f>IF(L17="","",IF(VLOOKUP(L17,'G-3 Multipliers'!$L$3:$N$6,2,FALSE)=0,"Spatial Data Missing",VLOOKUP(L17,'G-3 Multipliers'!$L$3:$N$6,2,FALSE)))</f>
        <v/>
      </c>
      <c r="N17" s="505" t="str">
        <f>IF(L17="","",IF(VLOOKUP(L17,'G-3 Multipliers'!$L$3:$N$6,3,FALSE)=0,"Spatial Data Missing",VLOOKUP(L17,'G-3 Multipliers'!$L$3:$N$6,3,FALSE)))</f>
        <v/>
      </c>
      <c r="O17" s="498" t="str">
        <f t="shared" si="0"/>
        <v/>
      </c>
      <c r="P17" s="82"/>
      <c r="Q17" s="82"/>
      <c r="R17" s="507" t="str">
        <f t="shared" si="2"/>
        <v/>
      </c>
      <c r="S17" s="521" t="str">
        <f t="shared" si="3"/>
        <v/>
      </c>
      <c r="T17" s="522"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losses",P17&gt;=O17),"Low",VLOOKUP(F17,'G-3 Multipliers'!$A$2:$E$129,4,FALSE))))</f>
        <v/>
      </c>
      <c r="X17" s="524" t="str">
        <f>IFERROR(IF(E17="","",VLOOKUP(W17, 'G-3 Multipliers'!$P$2:$Q$6,2,FALSE)),"")</f>
        <v/>
      </c>
      <c r="Y17" s="529" t="str">
        <f t="shared" si="5"/>
        <v/>
      </c>
      <c r="Z17" s="239"/>
      <c r="AA17" s="240"/>
      <c r="AE17" s="54" t="str">
        <f t="shared" si="1"/>
        <v/>
      </c>
    </row>
    <row r="18" spans="1:31" x14ac:dyDescent="0.25">
      <c r="A18" s="47" t="str">
        <f>IFERROR(INDEX('G-8 Condition Look up'!$I$4:$I$130,MATCH(F18,'G-8 Condition Look up'!$A$4:$A$130,0)),"")</f>
        <v/>
      </c>
      <c r="C18" s="384" t="str">
        <f>IFERROR(INDEX('G-1 All Habitats'!$AG$3:$AG$15,MATCH(D18,'G-1 All Habitats'!$AF$3:$AF$15,0)),"")</f>
        <v/>
      </c>
      <c r="D18" s="146"/>
      <c r="E18" s="79"/>
      <c r="F18" s="246" t="str">
        <f>IFERROR(INDEX('G-1 All Habitats'!$B$3:$B$129,MATCH(E18,'G-1 All Habitats'!$A$3:$A$129,0)),"")</f>
        <v/>
      </c>
      <c r="G18" s="70"/>
      <c r="H18" s="498" t="str">
        <f>IF(F18="","",VLOOKUP(F18,'G-1 All Habitats'!$B$2:$M$129,10,FALSE))</f>
        <v/>
      </c>
      <c r="I18" s="499" t="str">
        <f>IFERROR(VLOOKUP(H18,'G-1 All Habitats'!$V$3:$W$7,2,FALSE),"")</f>
        <v/>
      </c>
      <c r="J18" s="71"/>
      <c r="K18" s="499" t="str">
        <f>IFERROR(INDEX('G-8 Condition Look up'!$A$3:$H$130,MATCH(F18,'G-8 Condition Look up'!$A$3:$A$130,0),MATCH(J18,'G-8 Condition Look up'!$A$3:$H$3,0)),"")</f>
        <v/>
      </c>
      <c r="L18" s="71"/>
      <c r="M18" s="507" t="str">
        <f>IF(L18="","",IF(VLOOKUP(L18,'G-3 Multipliers'!$L$3:$N$6,2,FALSE)=0,"Spatial Data Missing",VLOOKUP(L18,'G-3 Multipliers'!$L$3:$N$6,2,FALSE)))</f>
        <v/>
      </c>
      <c r="N18" s="505" t="str">
        <f>IF(L18="","",IF(VLOOKUP(L18,'G-3 Multipliers'!$L$3:$N$6,3,FALSE)=0,"Spatial Data Missing",VLOOKUP(L18,'G-3 Multipliers'!$L$3:$N$6,3,FALSE)))</f>
        <v/>
      </c>
      <c r="O18" s="498" t="str">
        <f t="shared" si="0"/>
        <v/>
      </c>
      <c r="P18" s="82"/>
      <c r="Q18" s="82"/>
      <c r="R18" s="507" t="str">
        <f t="shared" si="2"/>
        <v/>
      </c>
      <c r="S18" s="521" t="str">
        <f t="shared" si="3"/>
        <v/>
      </c>
      <c r="T18" s="522"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losses",P18&gt;=O18),"Low",VLOOKUP(F18,'G-3 Multipliers'!$A$2:$E$129,4,FALSE))))</f>
        <v/>
      </c>
      <c r="X18" s="524" t="str">
        <f>IFERROR(IF(E18="","",VLOOKUP(W18, 'G-3 Multipliers'!$P$2:$Q$6,2,FALSE)),"")</f>
        <v/>
      </c>
      <c r="Y18" s="529" t="str">
        <f t="shared" si="5"/>
        <v/>
      </c>
      <c r="Z18" s="239"/>
      <c r="AA18" s="240"/>
      <c r="AE18" s="54" t="str">
        <f t="shared" si="1"/>
        <v/>
      </c>
    </row>
    <row r="19" spans="1:31" x14ac:dyDescent="0.25">
      <c r="A19" s="47" t="str">
        <f>IFERROR(INDEX('G-8 Condition Look up'!$I$4:$I$130,MATCH(F19,'G-8 Condition Look up'!$A$4:$A$130,0)),"")</f>
        <v/>
      </c>
      <c r="C19" s="384" t="str">
        <f>IFERROR(INDEX('G-1 All Habitats'!$AG$3:$AG$15,MATCH(D19,'G-1 All Habitats'!$AF$3:$AF$15,0)),"")</f>
        <v/>
      </c>
      <c r="D19" s="146"/>
      <c r="E19" s="79"/>
      <c r="F19" s="246" t="str">
        <f>IFERROR(INDEX('G-1 All Habitats'!$B$3:$B$129,MATCH(E19,'G-1 All Habitats'!$A$3:$A$129,0)),"")</f>
        <v/>
      </c>
      <c r="G19" s="70"/>
      <c r="H19" s="498" t="str">
        <f>IF(F19="","",VLOOKUP(F19,'G-1 All Habitats'!$B$2:$M$129,10,FALSE))</f>
        <v/>
      </c>
      <c r="I19" s="499" t="str">
        <f>IFERROR(VLOOKUP(H19,'G-1 All Habitats'!$V$3:$W$7,2,FALSE),"")</f>
        <v/>
      </c>
      <c r="J19" s="71"/>
      <c r="K19" s="499" t="str">
        <f>IFERROR(INDEX('G-8 Condition Look up'!$A$3:$H$130,MATCH(F19,'G-8 Condition Look up'!$A$3:$A$130,0),MATCH(J19,'G-8 Condition Look up'!$A$3:$H$3,0)),"")</f>
        <v/>
      </c>
      <c r="L19" s="71"/>
      <c r="M19" s="507" t="str">
        <f>IF(L19="","",IF(VLOOKUP(L19,'G-3 Multipliers'!$L$3:$N$6,2,FALSE)=0,"Spatial Data Missing",VLOOKUP(L19,'G-3 Multipliers'!$L$3:$N$6,2,FALSE)))</f>
        <v/>
      </c>
      <c r="N19" s="505" t="str">
        <f>IF(L19="","",IF(VLOOKUP(L19,'G-3 Multipliers'!$L$3:$N$6,3,FALSE)=0,"Spatial Data Missing",VLOOKUP(L19,'G-3 Multipliers'!$L$3:$N$6,3,FALSE)))</f>
        <v/>
      </c>
      <c r="O19" s="498" t="str">
        <f t="shared" si="0"/>
        <v/>
      </c>
      <c r="P19" s="82"/>
      <c r="Q19" s="82"/>
      <c r="R19" s="507" t="str">
        <f t="shared" si="2"/>
        <v/>
      </c>
      <c r="S19" s="521" t="str">
        <f t="shared" si="3"/>
        <v/>
      </c>
      <c r="T19" s="522"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losses",P19&gt;=O19),"Low",VLOOKUP(F19,'G-3 Multipliers'!$A$2:$E$129,4,FALSE))))</f>
        <v/>
      </c>
      <c r="X19" s="524" t="str">
        <f>IFERROR(IF(E19="","",VLOOKUP(W19, 'G-3 Multipliers'!$P$2:$Q$6,2,FALSE)),"")</f>
        <v/>
      </c>
      <c r="Y19" s="529" t="str">
        <f t="shared" si="5"/>
        <v/>
      </c>
      <c r="Z19" s="239"/>
      <c r="AA19" s="240"/>
      <c r="AE19" s="54" t="str">
        <f t="shared" si="1"/>
        <v/>
      </c>
    </row>
    <row r="20" spans="1:31" x14ac:dyDescent="0.25">
      <c r="A20" s="47" t="str">
        <f>IFERROR(INDEX('G-8 Condition Look up'!$I$4:$I$130,MATCH(F20,'G-8 Condition Look up'!$A$4:$A$130,0)),"")</f>
        <v/>
      </c>
      <c r="C20" s="384" t="str">
        <f>IFERROR(INDEX('G-1 All Habitats'!$AG$3:$AG$15,MATCH(D20,'G-1 All Habitats'!$AF$3:$AF$15,0)),"")</f>
        <v/>
      </c>
      <c r="D20" s="146"/>
      <c r="E20" s="79"/>
      <c r="F20" s="246" t="str">
        <f>IFERROR(INDEX('G-1 All Habitats'!$B$3:$B$129,MATCH(E20,'G-1 All Habitats'!$A$3:$A$129,0)),"")</f>
        <v/>
      </c>
      <c r="G20" s="70"/>
      <c r="H20" s="498" t="str">
        <f>IF(F20="","",VLOOKUP(F20,'G-1 All Habitats'!$B$2:$M$129,10,FALSE))</f>
        <v/>
      </c>
      <c r="I20" s="499" t="str">
        <f>IFERROR(VLOOKUP(H20,'G-1 All Habitats'!$V$3:$W$7,2,FALSE),"")</f>
        <v/>
      </c>
      <c r="J20" s="71"/>
      <c r="K20" s="499" t="str">
        <f>IFERROR(INDEX('G-8 Condition Look up'!$A$3:$H$130,MATCH(F20,'G-8 Condition Look up'!$A$3:$A$130,0),MATCH(J20,'G-8 Condition Look up'!$A$3:$H$3,0)),"")</f>
        <v/>
      </c>
      <c r="L20" s="71"/>
      <c r="M20" s="507" t="str">
        <f>IF(L20="","",IF(VLOOKUP(L20,'G-3 Multipliers'!$L$3:$N$6,2,FALSE)=0,"Spatial Data Missing",VLOOKUP(L20,'G-3 Multipliers'!$L$3:$N$6,2,FALSE)))</f>
        <v/>
      </c>
      <c r="N20" s="505" t="str">
        <f>IF(L20="","",IF(VLOOKUP(L20,'G-3 Multipliers'!$L$3:$N$6,3,FALSE)=0,"Spatial Data Missing",VLOOKUP(L20,'G-3 Multipliers'!$L$3:$N$6,3,FALSE)))</f>
        <v/>
      </c>
      <c r="O20" s="498" t="str">
        <f t="shared" si="0"/>
        <v/>
      </c>
      <c r="P20" s="82"/>
      <c r="Q20" s="82"/>
      <c r="R20" s="507" t="str">
        <f t="shared" si="2"/>
        <v/>
      </c>
      <c r="S20" s="521" t="str">
        <f t="shared" si="3"/>
        <v/>
      </c>
      <c r="T20" s="522"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losses",P20&gt;=O20),"Low",VLOOKUP(F20,'G-3 Multipliers'!$A$2:$E$129,4,FALSE))))</f>
        <v/>
      </c>
      <c r="X20" s="524" t="str">
        <f>IFERROR(IF(E20="","",VLOOKUP(W20, 'G-3 Multipliers'!$P$2:$Q$6,2,FALSE)),"")</f>
        <v/>
      </c>
      <c r="Y20" s="529" t="str">
        <f t="shared" si="5"/>
        <v/>
      </c>
      <c r="Z20" s="239"/>
      <c r="AA20" s="240"/>
      <c r="AE20" s="54" t="str">
        <f t="shared" si="1"/>
        <v/>
      </c>
    </row>
    <row r="21" spans="1:31" x14ac:dyDescent="0.25">
      <c r="A21" s="47" t="str">
        <f>IFERROR(INDEX('G-8 Condition Look up'!$I$4:$I$130,MATCH(F21,'G-8 Condition Look up'!$A$4:$A$130,0)),"")</f>
        <v/>
      </c>
      <c r="C21" s="384" t="str">
        <f>IFERROR(INDEX('G-1 All Habitats'!$AG$3:$AG$15,MATCH(D21,'G-1 All Habitats'!$AF$3:$AF$15,0)),"")</f>
        <v/>
      </c>
      <c r="D21" s="146"/>
      <c r="E21" s="79"/>
      <c r="F21" s="246" t="str">
        <f>IFERROR(INDEX('G-1 All Habitats'!$B$3:$B$129,MATCH(E21,'G-1 All Habitats'!$A$3:$A$129,0)),"")</f>
        <v/>
      </c>
      <c r="G21" s="70"/>
      <c r="H21" s="498" t="str">
        <f>IF(F21="","",VLOOKUP(F21,'G-1 All Habitats'!$B$2:$M$129,10,FALSE))</f>
        <v/>
      </c>
      <c r="I21" s="499" t="str">
        <f>IFERROR(VLOOKUP(H21,'G-1 All Habitats'!$V$3:$W$7,2,FALSE),"")</f>
        <v/>
      </c>
      <c r="J21" s="71"/>
      <c r="K21" s="499" t="str">
        <f>IFERROR(INDEX('G-8 Condition Look up'!$A$3:$H$130,MATCH(F21,'G-8 Condition Look up'!$A$3:$A$130,0),MATCH(J21,'G-8 Condition Look up'!$A$3:$H$3,0)),"")</f>
        <v/>
      </c>
      <c r="L21" s="71"/>
      <c r="M21" s="507" t="str">
        <f>IF(L21="","",IF(VLOOKUP(L21,'G-3 Multipliers'!$L$3:$N$6,2,FALSE)=0,"Spatial Data Missing",VLOOKUP(L21,'G-3 Multipliers'!$L$3:$N$6,2,FALSE)))</f>
        <v/>
      </c>
      <c r="N21" s="505" t="str">
        <f>IF(L21="","",IF(VLOOKUP(L21,'G-3 Multipliers'!$L$3:$N$6,3,FALSE)=0,"Spatial Data Missing",VLOOKUP(L21,'G-3 Multipliers'!$L$3:$N$6,3,FALSE)))</f>
        <v/>
      </c>
      <c r="O21" s="498" t="str">
        <f t="shared" si="0"/>
        <v/>
      </c>
      <c r="P21" s="82"/>
      <c r="Q21" s="82"/>
      <c r="R21" s="507" t="str">
        <f t="shared" si="2"/>
        <v/>
      </c>
      <c r="S21" s="521" t="str">
        <f t="shared" si="3"/>
        <v/>
      </c>
      <c r="T21" s="522"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losses",P21&gt;=O21),"Low",VLOOKUP(F21,'G-3 Multipliers'!$A$2:$E$129,4,FALSE))))</f>
        <v/>
      </c>
      <c r="X21" s="524" t="str">
        <f>IFERROR(IF(E21="","",VLOOKUP(W21, 'G-3 Multipliers'!$P$2:$Q$6,2,FALSE)),"")</f>
        <v/>
      </c>
      <c r="Y21" s="529" t="str">
        <f t="shared" si="5"/>
        <v/>
      </c>
      <c r="Z21" s="239"/>
      <c r="AA21" s="240"/>
      <c r="AE21" s="54" t="str">
        <f t="shared" si="1"/>
        <v/>
      </c>
    </row>
    <row r="22" spans="1:31" x14ac:dyDescent="0.25">
      <c r="A22" s="47" t="str">
        <f>IFERROR(INDEX('G-8 Condition Look up'!$I$4:$I$130,MATCH(F22,'G-8 Condition Look up'!$A$4:$A$130,0)),"")</f>
        <v/>
      </c>
      <c r="C22" s="384" t="str">
        <f>IFERROR(INDEX('G-1 All Habitats'!$AG$3:$AG$15,MATCH(D22,'G-1 All Habitats'!$AF$3:$AF$15,0)),"")</f>
        <v/>
      </c>
      <c r="D22" s="146"/>
      <c r="E22" s="79"/>
      <c r="F22" s="246" t="str">
        <f>IFERROR(INDEX('G-1 All Habitats'!$B$3:$B$129,MATCH(E22,'G-1 All Habitats'!$A$3:$A$129,0)),"")</f>
        <v/>
      </c>
      <c r="G22" s="70"/>
      <c r="H22" s="498" t="str">
        <f>IF(F22="","",VLOOKUP(F22,'G-1 All Habitats'!$B$2:$M$129,10,FALSE))</f>
        <v/>
      </c>
      <c r="I22" s="499" t="str">
        <f>IFERROR(VLOOKUP(H22,'G-1 All Habitats'!$V$3:$W$7,2,FALSE),"")</f>
        <v/>
      </c>
      <c r="J22" s="71"/>
      <c r="K22" s="499" t="str">
        <f>IFERROR(INDEX('G-8 Condition Look up'!$A$3:$H$130,MATCH(F22,'G-8 Condition Look up'!$A$3:$A$130,0),MATCH(J22,'G-8 Condition Look up'!$A$3:$H$3,0)),"")</f>
        <v/>
      </c>
      <c r="L22" s="71"/>
      <c r="M22" s="507" t="str">
        <f>IF(L22="","",IF(VLOOKUP(L22,'G-3 Multipliers'!$L$3:$N$6,2,FALSE)=0,"Spatial Data Missing",VLOOKUP(L22,'G-3 Multipliers'!$L$3:$N$6,2,FALSE)))</f>
        <v/>
      </c>
      <c r="N22" s="505" t="str">
        <f>IF(L22="","",IF(VLOOKUP(L22,'G-3 Multipliers'!$L$3:$N$6,3,FALSE)=0,"Spatial Data Missing",VLOOKUP(L22,'G-3 Multipliers'!$L$3:$N$6,3,FALSE)))</f>
        <v/>
      </c>
      <c r="O22" s="498" t="str">
        <f t="shared" si="0"/>
        <v/>
      </c>
      <c r="P22" s="82"/>
      <c r="Q22" s="82"/>
      <c r="R22" s="507" t="str">
        <f t="shared" si="2"/>
        <v/>
      </c>
      <c r="S22" s="521" t="str">
        <f t="shared" si="3"/>
        <v/>
      </c>
      <c r="T22" s="522"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losses",P22&gt;=O22),"Low",VLOOKUP(F22,'G-3 Multipliers'!$A$2:$E$129,4,FALSE))))</f>
        <v/>
      </c>
      <c r="X22" s="524" t="str">
        <f>IFERROR(IF(E22="","",VLOOKUP(W22, 'G-3 Multipliers'!$P$2:$Q$6,2,FALSE)),"")</f>
        <v/>
      </c>
      <c r="Y22" s="529" t="str">
        <f t="shared" si="5"/>
        <v/>
      </c>
      <c r="Z22" s="239"/>
      <c r="AA22" s="240"/>
      <c r="AE22" s="54" t="str">
        <f t="shared" si="1"/>
        <v/>
      </c>
    </row>
    <row r="23" spans="1:31" x14ac:dyDescent="0.25">
      <c r="A23" s="47" t="str">
        <f>IFERROR(INDEX('G-8 Condition Look up'!$I$4:$I$130,MATCH(F23,'G-8 Condition Look up'!$A$4:$A$130,0)),"")</f>
        <v/>
      </c>
      <c r="C23" s="384" t="str">
        <f>IFERROR(INDEX('G-1 All Habitats'!$AG$3:$AG$15,MATCH(D23,'G-1 All Habitats'!$AF$3:$AF$15,0)),"")</f>
        <v/>
      </c>
      <c r="D23" s="146"/>
      <c r="E23" s="79"/>
      <c r="F23" s="246" t="str">
        <f>IFERROR(INDEX('G-1 All Habitats'!$B$3:$B$129,MATCH(E23,'G-1 All Habitats'!$A$3:$A$129,0)),"")</f>
        <v/>
      </c>
      <c r="G23" s="70"/>
      <c r="H23" s="498" t="str">
        <f>IF(F23="","",VLOOKUP(F23,'G-1 All Habitats'!$B$2:$M$129,10,FALSE))</f>
        <v/>
      </c>
      <c r="I23" s="499" t="str">
        <f>IFERROR(VLOOKUP(H23,'G-1 All Habitats'!$V$3:$W$7,2,FALSE),"")</f>
        <v/>
      </c>
      <c r="J23" s="71"/>
      <c r="K23" s="499" t="str">
        <f>IFERROR(INDEX('G-8 Condition Look up'!$A$3:$H$130,MATCH(F23,'G-8 Condition Look up'!$A$3:$A$130,0),MATCH(J23,'G-8 Condition Look up'!$A$3:$H$3,0)),"")</f>
        <v/>
      </c>
      <c r="L23" s="71"/>
      <c r="M23" s="507" t="str">
        <f>IF(L23="","",IF(VLOOKUP(L23,'G-3 Multipliers'!$L$3:$N$6,2,FALSE)=0,"Spatial Data Missing",VLOOKUP(L23,'G-3 Multipliers'!$L$3:$N$6,2,FALSE)))</f>
        <v/>
      </c>
      <c r="N23" s="505" t="str">
        <f>IF(L23="","",IF(VLOOKUP(L23,'G-3 Multipliers'!$L$3:$N$6,3,FALSE)=0,"Spatial Data Missing",VLOOKUP(L23,'G-3 Multipliers'!$L$3:$N$6,3,FALSE)))</f>
        <v/>
      </c>
      <c r="O23" s="498" t="str">
        <f t="shared" si="0"/>
        <v/>
      </c>
      <c r="P23" s="82"/>
      <c r="Q23" s="82"/>
      <c r="R23" s="507" t="str">
        <f t="shared" si="2"/>
        <v/>
      </c>
      <c r="S23" s="521" t="str">
        <f t="shared" si="3"/>
        <v/>
      </c>
      <c r="T23" s="522"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losses",P23&gt;=O23),"Low",VLOOKUP(F23,'G-3 Multipliers'!$A$2:$E$129,4,FALSE))))</f>
        <v/>
      </c>
      <c r="X23" s="524" t="str">
        <f>IFERROR(IF(E23="","",VLOOKUP(W23, 'G-3 Multipliers'!$P$2:$Q$6,2,FALSE)),"")</f>
        <v/>
      </c>
      <c r="Y23" s="529" t="str">
        <f t="shared" si="5"/>
        <v/>
      </c>
      <c r="Z23" s="239"/>
      <c r="AA23" s="240"/>
      <c r="AE23" s="54" t="str">
        <f t="shared" si="1"/>
        <v/>
      </c>
    </row>
    <row r="24" spans="1:31" x14ac:dyDescent="0.25">
      <c r="A24" s="47" t="str">
        <f>IFERROR(INDEX('G-8 Condition Look up'!$I$4:$I$130,MATCH(F24,'G-8 Condition Look up'!$A$4:$A$130,0)),"")</f>
        <v/>
      </c>
      <c r="C24" s="384" t="str">
        <f>IFERROR(INDEX('G-1 All Habitats'!$AG$3:$AG$15,MATCH(D24,'G-1 All Habitats'!$AF$3:$AF$15,0)),"")</f>
        <v/>
      </c>
      <c r="D24" s="146"/>
      <c r="E24" s="79"/>
      <c r="F24" s="246" t="str">
        <f>IFERROR(INDEX('G-1 All Habitats'!$B$3:$B$129,MATCH(E24,'G-1 All Habitats'!$A$3:$A$129,0)),"")</f>
        <v/>
      </c>
      <c r="G24" s="70"/>
      <c r="H24" s="498" t="str">
        <f>IF(F24="","",VLOOKUP(F24,'G-1 All Habitats'!$B$2:$M$129,10,FALSE))</f>
        <v/>
      </c>
      <c r="I24" s="499" t="str">
        <f>IFERROR(VLOOKUP(H24,'G-1 All Habitats'!$V$3:$W$7,2,FALSE),"")</f>
        <v/>
      </c>
      <c r="J24" s="71"/>
      <c r="K24" s="499" t="str">
        <f>IFERROR(INDEX('G-8 Condition Look up'!$A$3:$H$130,MATCH(F24,'G-8 Condition Look up'!$A$3:$A$130,0),MATCH(J24,'G-8 Condition Look up'!$A$3:$H$3,0)),"")</f>
        <v/>
      </c>
      <c r="L24" s="71"/>
      <c r="M24" s="507" t="str">
        <f>IF(L24="","",IF(VLOOKUP(L24,'G-3 Multipliers'!$L$3:$N$6,2,FALSE)=0,"Spatial Data Missing",VLOOKUP(L24,'G-3 Multipliers'!$L$3:$N$6,2,FALSE)))</f>
        <v/>
      </c>
      <c r="N24" s="505" t="str">
        <f>IF(L24="","",IF(VLOOKUP(L24,'G-3 Multipliers'!$L$3:$N$6,3,FALSE)=0,"Spatial Data Missing",VLOOKUP(L24,'G-3 Multipliers'!$L$3:$N$6,3,FALSE)))</f>
        <v/>
      </c>
      <c r="O24" s="498" t="str">
        <f t="shared" si="0"/>
        <v/>
      </c>
      <c r="P24" s="82"/>
      <c r="Q24" s="82"/>
      <c r="R24" s="507" t="str">
        <f t="shared" si="2"/>
        <v/>
      </c>
      <c r="S24" s="521" t="str">
        <f t="shared" si="3"/>
        <v/>
      </c>
      <c r="T24" s="522"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losses",P24&gt;=O24),"Low",VLOOKUP(F24,'G-3 Multipliers'!$A$2:$E$129,4,FALSE))))</f>
        <v/>
      </c>
      <c r="X24" s="524" t="str">
        <f>IFERROR(IF(E24="","",VLOOKUP(W24, 'G-3 Multipliers'!$P$2:$Q$6,2,FALSE)),"")</f>
        <v/>
      </c>
      <c r="Y24" s="529" t="str">
        <f t="shared" si="5"/>
        <v/>
      </c>
      <c r="Z24" s="239"/>
      <c r="AA24" s="240"/>
      <c r="AE24" s="54" t="str">
        <f t="shared" si="1"/>
        <v/>
      </c>
    </row>
    <row r="25" spans="1:31" x14ac:dyDescent="0.25">
      <c r="A25" s="47" t="str">
        <f>IFERROR(INDEX('G-8 Condition Look up'!$I$4:$I$130,MATCH(F25,'G-8 Condition Look up'!$A$4:$A$130,0)),"")</f>
        <v/>
      </c>
      <c r="C25" s="384" t="str">
        <f>IFERROR(INDEX('G-1 All Habitats'!$AG$3:$AG$15,MATCH(D25,'G-1 All Habitats'!$AF$3:$AF$15,0)),"")</f>
        <v/>
      </c>
      <c r="D25" s="146"/>
      <c r="E25" s="79"/>
      <c r="F25" s="246" t="str">
        <f>IFERROR(INDEX('G-1 All Habitats'!$B$3:$B$129,MATCH(E25,'G-1 All Habitats'!$A$3:$A$129,0)),"")</f>
        <v/>
      </c>
      <c r="G25" s="70"/>
      <c r="H25" s="498" t="str">
        <f>IF(F25="","",VLOOKUP(F25,'G-1 All Habitats'!$B$2:$M$129,10,FALSE))</f>
        <v/>
      </c>
      <c r="I25" s="499" t="str">
        <f>IFERROR(VLOOKUP(H25,'G-1 All Habitats'!$V$3:$W$7,2,FALSE),"")</f>
        <v/>
      </c>
      <c r="J25" s="71"/>
      <c r="K25" s="499" t="str">
        <f>IFERROR(INDEX('G-8 Condition Look up'!$A$3:$H$130,MATCH(F25,'G-8 Condition Look up'!$A$3:$A$130,0),MATCH(J25,'G-8 Condition Look up'!$A$3:$H$3,0)),"")</f>
        <v/>
      </c>
      <c r="L25" s="71"/>
      <c r="M25" s="507" t="str">
        <f>IF(L25="","",IF(VLOOKUP(L25,'G-3 Multipliers'!$L$3:$N$6,2,FALSE)=0,"Spatial Data Missing",VLOOKUP(L25,'G-3 Multipliers'!$L$3:$N$6,2,FALSE)))</f>
        <v/>
      </c>
      <c r="N25" s="505" t="str">
        <f>IF(L25="","",IF(VLOOKUP(L25,'G-3 Multipliers'!$L$3:$N$6,3,FALSE)=0,"Spatial Data Missing",VLOOKUP(L25,'G-3 Multipliers'!$L$3:$N$6,3,FALSE)))</f>
        <v/>
      </c>
      <c r="O25" s="498" t="str">
        <f t="shared" si="0"/>
        <v/>
      </c>
      <c r="P25" s="82"/>
      <c r="Q25" s="82"/>
      <c r="R25" s="507" t="str">
        <f t="shared" si="2"/>
        <v/>
      </c>
      <c r="S25" s="521" t="str">
        <f t="shared" si="3"/>
        <v/>
      </c>
      <c r="T25" s="522"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losses",P25&gt;=O25),"Low",VLOOKUP(F25,'G-3 Multipliers'!$A$2:$E$129,4,FALSE))))</f>
        <v/>
      </c>
      <c r="X25" s="524" t="str">
        <f>IFERROR(IF(E25="","",VLOOKUP(W25, 'G-3 Multipliers'!$P$2:$Q$6,2,FALSE)),"")</f>
        <v/>
      </c>
      <c r="Y25" s="529" t="str">
        <f t="shared" si="5"/>
        <v/>
      </c>
      <c r="Z25" s="239"/>
      <c r="AA25" s="240"/>
      <c r="AE25" s="54" t="str">
        <f t="shared" si="1"/>
        <v/>
      </c>
    </row>
    <row r="26" spans="1:31" x14ac:dyDescent="0.25">
      <c r="A26" s="47" t="str">
        <f>IFERROR(INDEX('G-8 Condition Look up'!$I$4:$I$130,MATCH(F26,'G-8 Condition Look up'!$A$4:$A$130,0)),"")</f>
        <v/>
      </c>
      <c r="C26" s="384" t="str">
        <f>IFERROR(INDEX('G-1 All Habitats'!$AG$3:$AG$15,MATCH(D26,'G-1 All Habitats'!$AF$3:$AF$15,0)),"")</f>
        <v/>
      </c>
      <c r="D26" s="146"/>
      <c r="E26" s="79"/>
      <c r="F26" s="246" t="str">
        <f>IFERROR(INDEX('G-1 All Habitats'!$B$3:$B$129,MATCH(E26,'G-1 All Habitats'!$A$3:$A$129,0)),"")</f>
        <v/>
      </c>
      <c r="G26" s="70"/>
      <c r="H26" s="498" t="str">
        <f>IF(F26="","",VLOOKUP(F26,'G-1 All Habitats'!$B$2:$M$129,10,FALSE))</f>
        <v/>
      </c>
      <c r="I26" s="499" t="str">
        <f>IFERROR(VLOOKUP(H26,'G-1 All Habitats'!$V$3:$W$7,2,FALSE),"")</f>
        <v/>
      </c>
      <c r="J26" s="71"/>
      <c r="K26" s="499" t="str">
        <f>IFERROR(INDEX('G-8 Condition Look up'!$A$3:$H$130,MATCH(F26,'G-8 Condition Look up'!$A$3:$A$130,0),MATCH(J26,'G-8 Condition Look up'!$A$3:$H$3,0)),"")</f>
        <v/>
      </c>
      <c r="L26" s="71"/>
      <c r="M26" s="507" t="str">
        <f>IF(L26="","",IF(VLOOKUP(L26,'G-3 Multipliers'!$L$3:$N$6,2,FALSE)=0,"Spatial Data Missing",VLOOKUP(L26,'G-3 Multipliers'!$L$3:$N$6,2,FALSE)))</f>
        <v/>
      </c>
      <c r="N26" s="505" t="str">
        <f>IF(L26="","",IF(VLOOKUP(L26,'G-3 Multipliers'!$L$3:$N$6,3,FALSE)=0,"Spatial Data Missing",VLOOKUP(L26,'G-3 Multipliers'!$L$3:$N$6,3,FALSE)))</f>
        <v/>
      </c>
      <c r="O26" s="498" t="str">
        <f t="shared" si="0"/>
        <v/>
      </c>
      <c r="P26" s="82"/>
      <c r="Q26" s="82"/>
      <c r="R26" s="507" t="str">
        <f t="shared" si="2"/>
        <v/>
      </c>
      <c r="S26" s="521" t="str">
        <f t="shared" si="3"/>
        <v/>
      </c>
      <c r="T26" s="522"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losses",P26&gt;=O26),"Low",VLOOKUP(F26,'G-3 Multipliers'!$A$2:$E$129,4,FALSE))))</f>
        <v/>
      </c>
      <c r="X26" s="524" t="str">
        <f>IFERROR(IF(E26="","",VLOOKUP(W26, 'G-3 Multipliers'!$P$2:$Q$6,2,FALSE)),"")</f>
        <v/>
      </c>
      <c r="Y26" s="529" t="str">
        <f t="shared" si="5"/>
        <v/>
      </c>
      <c r="Z26" s="239"/>
      <c r="AA26" s="240"/>
      <c r="AE26" s="54" t="str">
        <f t="shared" si="1"/>
        <v/>
      </c>
    </row>
    <row r="27" spans="1:31" x14ac:dyDescent="0.25">
      <c r="A27" s="47" t="str">
        <f>IFERROR(INDEX('G-8 Condition Look up'!$I$4:$I$130,MATCH(F27,'G-8 Condition Look up'!$A$4:$A$130,0)),"")</f>
        <v/>
      </c>
      <c r="C27" s="384" t="str">
        <f>IFERROR(INDEX('G-1 All Habitats'!$AG$3:$AG$15,MATCH(D27,'G-1 All Habitats'!$AF$3:$AF$15,0)),"")</f>
        <v/>
      </c>
      <c r="D27" s="146"/>
      <c r="E27" s="79"/>
      <c r="F27" s="246" t="str">
        <f>IFERROR(INDEX('G-1 All Habitats'!$B$3:$B$129,MATCH(E27,'G-1 All Habitats'!$A$3:$A$129,0)),"")</f>
        <v/>
      </c>
      <c r="G27" s="70"/>
      <c r="H27" s="498" t="str">
        <f>IF(F27="","",VLOOKUP(F27,'G-1 All Habitats'!$B$2:$M$129,10,FALSE))</f>
        <v/>
      </c>
      <c r="I27" s="499" t="str">
        <f>IFERROR(VLOOKUP(H27,'G-1 All Habitats'!$V$3:$W$7,2,FALSE),"")</f>
        <v/>
      </c>
      <c r="J27" s="71"/>
      <c r="K27" s="499" t="str">
        <f>IFERROR(INDEX('G-8 Condition Look up'!$A$3:$H$130,MATCH(F27,'G-8 Condition Look up'!$A$3:$A$130,0),MATCH(J27,'G-8 Condition Look up'!$A$3:$H$3,0)),"")</f>
        <v/>
      </c>
      <c r="L27" s="71"/>
      <c r="M27" s="507" t="str">
        <f>IF(L27="","",IF(VLOOKUP(L27,'G-3 Multipliers'!$L$3:$N$6,2,FALSE)=0,"Spatial Data Missing",VLOOKUP(L27,'G-3 Multipliers'!$L$3:$N$6,2,FALSE)))</f>
        <v/>
      </c>
      <c r="N27" s="505" t="str">
        <f>IF(L27="","",IF(VLOOKUP(L27,'G-3 Multipliers'!$L$3:$N$6,3,FALSE)=0,"Spatial Data Missing",VLOOKUP(L27,'G-3 Multipliers'!$L$3:$N$6,3,FALSE)))</f>
        <v/>
      </c>
      <c r="O27" s="498" t="str">
        <f t="shared" si="0"/>
        <v/>
      </c>
      <c r="P27" s="82"/>
      <c r="Q27" s="82"/>
      <c r="R27" s="507" t="str">
        <f t="shared" si="2"/>
        <v/>
      </c>
      <c r="S27" s="521" t="str">
        <f t="shared" si="3"/>
        <v/>
      </c>
      <c r="T27" s="522"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losses",P27&gt;=O27),"Low",VLOOKUP(F27,'G-3 Multipliers'!$A$2:$E$129,4,FALSE))))</f>
        <v/>
      </c>
      <c r="X27" s="524" t="str">
        <f>IFERROR(IF(E27="","",VLOOKUP(W27, 'G-3 Multipliers'!$P$2:$Q$6,2,FALSE)),"")</f>
        <v/>
      </c>
      <c r="Y27" s="529" t="str">
        <f t="shared" si="5"/>
        <v/>
      </c>
      <c r="Z27" s="239"/>
      <c r="AA27" s="240"/>
      <c r="AE27" s="54" t="str">
        <f t="shared" si="1"/>
        <v/>
      </c>
    </row>
    <row r="28" spans="1:31" x14ac:dyDescent="0.25">
      <c r="A28" s="47" t="str">
        <f>IFERROR(INDEX('G-8 Condition Look up'!$I$4:$I$130,MATCH(F28,'G-8 Condition Look up'!$A$4:$A$130,0)),"")</f>
        <v/>
      </c>
      <c r="C28" s="384" t="str">
        <f>IFERROR(INDEX('G-1 All Habitats'!$AG$3:$AG$15,MATCH(D28,'G-1 All Habitats'!$AF$3:$AF$15,0)),"")</f>
        <v/>
      </c>
      <c r="D28" s="146"/>
      <c r="E28" s="79"/>
      <c r="F28" s="246" t="str">
        <f>IFERROR(INDEX('G-1 All Habitats'!$B$3:$B$129,MATCH(E28,'G-1 All Habitats'!$A$3:$A$129,0)),"")</f>
        <v/>
      </c>
      <c r="G28" s="70"/>
      <c r="H28" s="498" t="str">
        <f>IF(F28="","",VLOOKUP(F28,'G-1 All Habitats'!$B$2:$M$129,10,FALSE))</f>
        <v/>
      </c>
      <c r="I28" s="499" t="str">
        <f>IFERROR(VLOOKUP(H28,'G-1 All Habitats'!$V$3:$W$7,2,FALSE),"")</f>
        <v/>
      </c>
      <c r="J28" s="71"/>
      <c r="K28" s="499" t="str">
        <f>IFERROR(INDEX('G-8 Condition Look up'!$A$3:$H$130,MATCH(F28,'G-8 Condition Look up'!$A$3:$A$130,0),MATCH(J28,'G-8 Condition Look up'!$A$3:$H$3,0)),"")</f>
        <v/>
      </c>
      <c r="L28" s="71"/>
      <c r="M28" s="507" t="str">
        <f>IF(L28="","",IF(VLOOKUP(L28,'G-3 Multipliers'!$L$3:$N$6,2,FALSE)=0,"Spatial Data Missing",VLOOKUP(L28,'G-3 Multipliers'!$L$3:$N$6,2,FALSE)))</f>
        <v/>
      </c>
      <c r="N28" s="505" t="str">
        <f>IF(L28="","",IF(VLOOKUP(L28,'G-3 Multipliers'!$L$3:$N$6,3,FALSE)=0,"Spatial Data Missing",VLOOKUP(L28,'G-3 Multipliers'!$L$3:$N$6,3,FALSE)))</f>
        <v/>
      </c>
      <c r="O28" s="498" t="str">
        <f t="shared" si="0"/>
        <v/>
      </c>
      <c r="P28" s="82"/>
      <c r="Q28" s="82"/>
      <c r="R28" s="507" t="str">
        <f t="shared" si="2"/>
        <v/>
      </c>
      <c r="S28" s="521" t="str">
        <f t="shared" si="3"/>
        <v/>
      </c>
      <c r="T28" s="522"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losses",P28&gt;=O28),"Low",VLOOKUP(F28,'G-3 Multipliers'!$A$2:$E$129,4,FALSE))))</f>
        <v/>
      </c>
      <c r="X28" s="524" t="str">
        <f>IFERROR(IF(E28="","",VLOOKUP(W28, 'G-3 Multipliers'!$P$2:$Q$6,2,FALSE)),"")</f>
        <v/>
      </c>
      <c r="Y28" s="529" t="str">
        <f t="shared" si="5"/>
        <v/>
      </c>
      <c r="Z28" s="239"/>
      <c r="AA28" s="240"/>
      <c r="AE28" s="54" t="str">
        <f t="shared" si="1"/>
        <v/>
      </c>
    </row>
    <row r="29" spans="1:31" x14ac:dyDescent="0.25">
      <c r="A29" s="47" t="str">
        <f>IFERROR(INDEX('G-8 Condition Look up'!$I$4:$I$130,MATCH(F29,'G-8 Condition Look up'!$A$4:$A$130,0)),"")</f>
        <v/>
      </c>
      <c r="C29" s="384" t="str">
        <f>IFERROR(INDEX('G-1 All Habitats'!$AG$3:$AG$15,MATCH(D29,'G-1 All Habitats'!$AF$3:$AF$15,0)),"")</f>
        <v/>
      </c>
      <c r="D29" s="146"/>
      <c r="E29" s="79"/>
      <c r="F29" s="246" t="str">
        <f>IFERROR(INDEX('G-1 All Habitats'!$B$3:$B$129,MATCH(E29,'G-1 All Habitats'!$A$3:$A$129,0)),"")</f>
        <v/>
      </c>
      <c r="G29" s="70"/>
      <c r="H29" s="498" t="str">
        <f>IF(F29="","",VLOOKUP(F29,'G-1 All Habitats'!$B$2:$M$129,10,FALSE))</f>
        <v/>
      </c>
      <c r="I29" s="499" t="str">
        <f>IFERROR(VLOOKUP(H29,'G-1 All Habitats'!$V$3:$W$7,2,FALSE),"")</f>
        <v/>
      </c>
      <c r="J29" s="71"/>
      <c r="K29" s="499" t="str">
        <f>IFERROR(INDEX('G-8 Condition Look up'!$A$3:$H$130,MATCH(F29,'G-8 Condition Look up'!$A$3:$A$130,0),MATCH(J29,'G-8 Condition Look up'!$A$3:$H$3,0)),"")</f>
        <v/>
      </c>
      <c r="L29" s="71"/>
      <c r="M29" s="507" t="str">
        <f>IF(L29="","",IF(VLOOKUP(L29,'G-3 Multipliers'!$L$3:$N$6,2,FALSE)=0,"Spatial Data Missing",VLOOKUP(L29,'G-3 Multipliers'!$L$3:$N$6,2,FALSE)))</f>
        <v/>
      </c>
      <c r="N29" s="505" t="str">
        <f>IF(L29="","",IF(VLOOKUP(L29,'G-3 Multipliers'!$L$3:$N$6,3,FALSE)=0,"Spatial Data Missing",VLOOKUP(L29,'G-3 Multipliers'!$L$3:$N$6,3,FALSE)))</f>
        <v/>
      </c>
      <c r="O29" s="498" t="str">
        <f t="shared" si="0"/>
        <v/>
      </c>
      <c r="P29" s="82"/>
      <c r="Q29" s="82"/>
      <c r="R29" s="507" t="str">
        <f t="shared" si="2"/>
        <v/>
      </c>
      <c r="S29" s="521" t="str">
        <f t="shared" si="3"/>
        <v/>
      </c>
      <c r="T29" s="522"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losses",P29&gt;=O29),"Low",VLOOKUP(F29,'G-3 Multipliers'!$A$2:$E$129,4,FALSE))))</f>
        <v/>
      </c>
      <c r="X29" s="524" t="str">
        <f>IFERROR(IF(E29="","",VLOOKUP(W29, 'G-3 Multipliers'!$P$2:$Q$6,2,FALSE)),"")</f>
        <v/>
      </c>
      <c r="Y29" s="529" t="str">
        <f t="shared" si="5"/>
        <v/>
      </c>
      <c r="Z29" s="239"/>
      <c r="AA29" s="240"/>
      <c r="AE29" s="54" t="str">
        <f t="shared" si="1"/>
        <v/>
      </c>
    </row>
    <row r="30" spans="1:31" x14ac:dyDescent="0.25">
      <c r="A30" s="47" t="str">
        <f>IFERROR(INDEX('G-8 Condition Look up'!$I$4:$I$130,MATCH(F30,'G-8 Condition Look up'!$A$4:$A$130,0)),"")</f>
        <v/>
      </c>
      <c r="C30" s="384" t="str">
        <f>IFERROR(INDEX('G-1 All Habitats'!$AG$3:$AG$15,MATCH(D30,'G-1 All Habitats'!$AF$3:$AF$15,0)),"")</f>
        <v/>
      </c>
      <c r="D30" s="146"/>
      <c r="E30" s="79"/>
      <c r="F30" s="246" t="str">
        <f>IFERROR(INDEX('G-1 All Habitats'!$B$3:$B$129,MATCH(E30,'G-1 All Habitats'!$A$3:$A$129,0)),"")</f>
        <v/>
      </c>
      <c r="G30" s="70"/>
      <c r="H30" s="498" t="str">
        <f>IF(F30="","",VLOOKUP(F30,'G-1 All Habitats'!$B$2:$M$129,10,FALSE))</f>
        <v/>
      </c>
      <c r="I30" s="499" t="str">
        <f>IFERROR(VLOOKUP(H30,'G-1 All Habitats'!$V$3:$W$7,2,FALSE),"")</f>
        <v/>
      </c>
      <c r="J30" s="71"/>
      <c r="K30" s="499" t="str">
        <f>IFERROR(INDEX('G-8 Condition Look up'!$A$3:$H$130,MATCH(F30,'G-8 Condition Look up'!$A$3:$A$130,0),MATCH(J30,'G-8 Condition Look up'!$A$3:$H$3,0)),"")</f>
        <v/>
      </c>
      <c r="L30" s="71"/>
      <c r="M30" s="507" t="str">
        <f>IF(L30="","",IF(VLOOKUP(L30,'G-3 Multipliers'!$L$3:$N$6,2,FALSE)=0,"Spatial Data Missing",VLOOKUP(L30,'G-3 Multipliers'!$L$3:$N$6,2,FALSE)))</f>
        <v/>
      </c>
      <c r="N30" s="505" t="str">
        <f>IF(L30="","",IF(VLOOKUP(L30,'G-3 Multipliers'!$L$3:$N$6,3,FALSE)=0,"Spatial Data Missing",VLOOKUP(L30,'G-3 Multipliers'!$L$3:$N$6,3,FALSE)))</f>
        <v/>
      </c>
      <c r="O30" s="498" t="str">
        <f t="shared" si="0"/>
        <v/>
      </c>
      <c r="P30" s="82"/>
      <c r="Q30" s="82"/>
      <c r="R30" s="507" t="str">
        <f t="shared" si="2"/>
        <v/>
      </c>
      <c r="S30" s="521" t="str">
        <f t="shared" si="3"/>
        <v/>
      </c>
      <c r="T30" s="522"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losses",P30&gt;=O30),"Low",VLOOKUP(F30,'G-3 Multipliers'!$A$2:$E$129,4,FALSE))))</f>
        <v/>
      </c>
      <c r="X30" s="524" t="str">
        <f>IFERROR(IF(E30="","",VLOOKUP(W30, 'G-3 Multipliers'!$P$2:$Q$6,2,FALSE)),"")</f>
        <v/>
      </c>
      <c r="Y30" s="529" t="str">
        <f t="shared" si="5"/>
        <v/>
      </c>
      <c r="Z30" s="239"/>
      <c r="AA30" s="240"/>
      <c r="AE30" s="54" t="str">
        <f t="shared" si="1"/>
        <v/>
      </c>
    </row>
    <row r="31" spans="1:31" x14ac:dyDescent="0.25">
      <c r="A31" s="47" t="str">
        <f>IFERROR(INDEX('G-8 Condition Look up'!$I$4:$I$130,MATCH(F31,'G-8 Condition Look up'!$A$4:$A$130,0)),"")</f>
        <v/>
      </c>
      <c r="C31" s="384" t="str">
        <f>IFERROR(INDEX('G-1 All Habitats'!$AG$3:$AG$15,MATCH(D31,'G-1 All Habitats'!$AF$3:$AF$15,0)),"")</f>
        <v/>
      </c>
      <c r="D31" s="146"/>
      <c r="E31" s="79"/>
      <c r="F31" s="246" t="str">
        <f>IFERROR(INDEX('G-1 All Habitats'!$B$3:$B$129,MATCH(E31,'G-1 All Habitats'!$A$3:$A$129,0)),"")</f>
        <v/>
      </c>
      <c r="G31" s="70"/>
      <c r="H31" s="498" t="str">
        <f>IF(F31="","",VLOOKUP(F31,'G-1 All Habitats'!$B$2:$M$129,10,FALSE))</f>
        <v/>
      </c>
      <c r="I31" s="499" t="str">
        <f>IFERROR(VLOOKUP(H31,'G-1 All Habitats'!$V$3:$W$7,2,FALSE),"")</f>
        <v/>
      </c>
      <c r="J31" s="71"/>
      <c r="K31" s="499" t="str">
        <f>IFERROR(INDEX('G-8 Condition Look up'!$A$3:$H$130,MATCH(F31,'G-8 Condition Look up'!$A$3:$A$130,0),MATCH(J31,'G-8 Condition Look up'!$A$3:$H$3,0)),"")</f>
        <v/>
      </c>
      <c r="L31" s="71"/>
      <c r="M31" s="507" t="str">
        <f>IF(L31="","",IF(VLOOKUP(L31,'G-3 Multipliers'!$L$3:$N$6,2,FALSE)=0,"Spatial Data Missing",VLOOKUP(L31,'G-3 Multipliers'!$L$3:$N$6,2,FALSE)))</f>
        <v/>
      </c>
      <c r="N31" s="505" t="str">
        <f>IF(L31="","",IF(VLOOKUP(L31,'G-3 Multipliers'!$L$3:$N$6,3,FALSE)=0,"Spatial Data Missing",VLOOKUP(L31,'G-3 Multipliers'!$L$3:$N$6,3,FALSE)))</f>
        <v/>
      </c>
      <c r="O31" s="498" t="str">
        <f t="shared" si="0"/>
        <v/>
      </c>
      <c r="P31" s="82"/>
      <c r="Q31" s="82"/>
      <c r="R31" s="507" t="str">
        <f t="shared" si="2"/>
        <v/>
      </c>
      <c r="S31" s="521" t="str">
        <f t="shared" si="3"/>
        <v/>
      </c>
      <c r="T31" s="522"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losses",P31&gt;=O31),"Low",VLOOKUP(F31,'G-3 Multipliers'!$A$2:$E$129,4,FALSE))))</f>
        <v/>
      </c>
      <c r="X31" s="524" t="str">
        <f>IFERROR(IF(E31="","",VLOOKUP(W31, 'G-3 Multipliers'!$P$2:$Q$6,2,FALSE)),"")</f>
        <v/>
      </c>
      <c r="Y31" s="529" t="str">
        <f t="shared" si="5"/>
        <v/>
      </c>
      <c r="Z31" s="239"/>
      <c r="AA31" s="240"/>
      <c r="AE31" s="54" t="str">
        <f t="shared" si="1"/>
        <v/>
      </c>
    </row>
    <row r="32" spans="1:31" x14ac:dyDescent="0.25">
      <c r="A32" s="47" t="str">
        <f>IFERROR(INDEX('G-8 Condition Look up'!$I$4:$I$130,MATCH(F32,'G-8 Condition Look up'!$A$4:$A$130,0)),"")</f>
        <v/>
      </c>
      <c r="C32" s="384" t="str">
        <f>IFERROR(INDEX('G-1 All Habitats'!$AG$3:$AG$15,MATCH(D32,'G-1 All Habitats'!$AF$3:$AF$15,0)),"")</f>
        <v/>
      </c>
      <c r="D32" s="146"/>
      <c r="E32" s="79"/>
      <c r="F32" s="246" t="str">
        <f>IFERROR(INDEX('G-1 All Habitats'!$B$3:$B$129,MATCH(E32,'G-1 All Habitats'!$A$3:$A$129,0)),"")</f>
        <v/>
      </c>
      <c r="G32" s="70"/>
      <c r="H32" s="498" t="str">
        <f>IF(F32="","",VLOOKUP(F32,'G-1 All Habitats'!$B$2:$M$129,10,FALSE))</f>
        <v/>
      </c>
      <c r="I32" s="499" t="str">
        <f>IFERROR(VLOOKUP(H32,'G-1 All Habitats'!$V$3:$W$7,2,FALSE),"")</f>
        <v/>
      </c>
      <c r="J32" s="71"/>
      <c r="K32" s="499" t="str">
        <f>IFERROR(INDEX('G-8 Condition Look up'!$A$3:$H$130,MATCH(F32,'G-8 Condition Look up'!$A$3:$A$130,0),MATCH(J32,'G-8 Condition Look up'!$A$3:$H$3,0)),"")</f>
        <v/>
      </c>
      <c r="L32" s="71"/>
      <c r="M32" s="507" t="str">
        <f>IF(L32="","",IF(VLOOKUP(L32,'G-3 Multipliers'!$L$3:$N$6,2,FALSE)=0,"Spatial Data Missing",VLOOKUP(L32,'G-3 Multipliers'!$L$3:$N$6,2,FALSE)))</f>
        <v/>
      </c>
      <c r="N32" s="505" t="str">
        <f>IF(L32="","",IF(VLOOKUP(L32,'G-3 Multipliers'!$L$3:$N$6,3,FALSE)=0,"Spatial Data Missing",VLOOKUP(L32,'G-3 Multipliers'!$L$3:$N$6,3,FALSE)))</f>
        <v/>
      </c>
      <c r="O32" s="498" t="str">
        <f t="shared" si="0"/>
        <v/>
      </c>
      <c r="P32" s="82"/>
      <c r="Q32" s="82"/>
      <c r="R32" s="507" t="str">
        <f t="shared" si="2"/>
        <v/>
      </c>
      <c r="S32" s="521" t="str">
        <f t="shared" si="3"/>
        <v/>
      </c>
      <c r="T32" s="522"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losses",P32&gt;=O32),"Low",VLOOKUP(F32,'G-3 Multipliers'!$A$2:$E$129,4,FALSE))))</f>
        <v/>
      </c>
      <c r="X32" s="524" t="str">
        <f>IFERROR(IF(E32="","",VLOOKUP(W32, 'G-3 Multipliers'!$P$2:$Q$6,2,FALSE)),"")</f>
        <v/>
      </c>
      <c r="Y32" s="529" t="str">
        <f t="shared" si="5"/>
        <v/>
      </c>
      <c r="Z32" s="239"/>
      <c r="AA32" s="240"/>
      <c r="AE32" s="54" t="str">
        <f t="shared" si="1"/>
        <v/>
      </c>
    </row>
    <row r="33" spans="1:31" x14ac:dyDescent="0.25">
      <c r="A33" s="47" t="str">
        <f>IFERROR(INDEX('G-8 Condition Look up'!$I$4:$I$130,MATCH(F33,'G-8 Condition Look up'!$A$4:$A$130,0)),"")</f>
        <v/>
      </c>
      <c r="C33" s="384" t="str">
        <f>IFERROR(INDEX('G-1 All Habitats'!$AG$3:$AG$15,MATCH(D33,'G-1 All Habitats'!$AF$3:$AF$15,0)),"")</f>
        <v/>
      </c>
      <c r="D33" s="146"/>
      <c r="E33" s="79"/>
      <c r="F33" s="246" t="str">
        <f>IFERROR(INDEX('G-1 All Habitats'!$B$3:$B$129,MATCH(E33,'G-1 All Habitats'!$A$3:$A$129,0)),"")</f>
        <v/>
      </c>
      <c r="G33" s="70"/>
      <c r="H33" s="498" t="str">
        <f>IF(F33="","",VLOOKUP(F33,'G-1 All Habitats'!$B$2:$M$129,10,FALSE))</f>
        <v/>
      </c>
      <c r="I33" s="499" t="str">
        <f>IFERROR(VLOOKUP(H33,'G-1 All Habitats'!$V$3:$W$7,2,FALSE),"")</f>
        <v/>
      </c>
      <c r="J33" s="71"/>
      <c r="K33" s="499" t="str">
        <f>IFERROR(INDEX('G-8 Condition Look up'!$A$3:$H$130,MATCH(F33,'G-8 Condition Look up'!$A$3:$A$130,0),MATCH(J33,'G-8 Condition Look up'!$A$3:$H$3,0)),"")</f>
        <v/>
      </c>
      <c r="L33" s="71"/>
      <c r="M33" s="507" t="str">
        <f>IF(L33="","",IF(VLOOKUP(L33,'G-3 Multipliers'!$L$3:$N$6,2,FALSE)=0,"Spatial Data Missing",VLOOKUP(L33,'G-3 Multipliers'!$L$3:$N$6,2,FALSE)))</f>
        <v/>
      </c>
      <c r="N33" s="505" t="str">
        <f>IF(L33="","",IF(VLOOKUP(L33,'G-3 Multipliers'!$L$3:$N$6,3,FALSE)=0,"Spatial Data Missing",VLOOKUP(L33,'G-3 Multipliers'!$L$3:$N$6,3,FALSE)))</f>
        <v/>
      </c>
      <c r="O33" s="498" t="str">
        <f t="shared" si="0"/>
        <v/>
      </c>
      <c r="P33" s="82"/>
      <c r="Q33" s="82"/>
      <c r="R33" s="507" t="str">
        <f t="shared" si="2"/>
        <v/>
      </c>
      <c r="S33" s="521" t="str">
        <f t="shared" si="3"/>
        <v/>
      </c>
      <c r="T33" s="522"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losses",P33&gt;=O33),"Low",VLOOKUP(F33,'G-3 Multipliers'!$A$2:$E$129,4,FALSE))))</f>
        <v/>
      </c>
      <c r="X33" s="524" t="str">
        <f>IFERROR(IF(E33="","",VLOOKUP(W33, 'G-3 Multipliers'!$P$2:$Q$6,2,FALSE)),"")</f>
        <v/>
      </c>
      <c r="Y33" s="529" t="str">
        <f t="shared" si="5"/>
        <v/>
      </c>
      <c r="Z33" s="239"/>
      <c r="AA33" s="240"/>
      <c r="AE33" s="54" t="str">
        <f t="shared" si="1"/>
        <v/>
      </c>
    </row>
    <row r="34" spans="1:31" x14ac:dyDescent="0.25">
      <c r="A34" s="47" t="str">
        <f>IFERROR(INDEX('G-8 Condition Look up'!$I$4:$I$130,MATCH(F34,'G-8 Condition Look up'!$A$4:$A$130,0)),"")</f>
        <v/>
      </c>
      <c r="C34" s="384" t="str">
        <f>IFERROR(INDEX('G-1 All Habitats'!$AG$3:$AG$15,MATCH(D34,'G-1 All Habitats'!$AF$3:$AF$15,0)),"")</f>
        <v/>
      </c>
      <c r="D34" s="146"/>
      <c r="E34" s="79"/>
      <c r="F34" s="246" t="str">
        <f>IFERROR(INDEX('G-1 All Habitats'!$B$3:$B$129,MATCH(E34,'G-1 All Habitats'!$A$3:$A$129,0)),"")</f>
        <v/>
      </c>
      <c r="G34" s="70"/>
      <c r="H34" s="498" t="str">
        <f>IF(F34="","",VLOOKUP(F34,'G-1 All Habitats'!$B$2:$M$129,10,FALSE))</f>
        <v/>
      </c>
      <c r="I34" s="499" t="str">
        <f>IFERROR(VLOOKUP(H34,'G-1 All Habitats'!$V$3:$W$7,2,FALSE),"")</f>
        <v/>
      </c>
      <c r="J34" s="71"/>
      <c r="K34" s="499" t="str">
        <f>IFERROR(INDEX('G-8 Condition Look up'!$A$3:$H$130,MATCH(F34,'G-8 Condition Look up'!$A$3:$A$130,0),MATCH(J34,'G-8 Condition Look up'!$A$3:$H$3,0)),"")</f>
        <v/>
      </c>
      <c r="L34" s="71"/>
      <c r="M34" s="507" t="str">
        <f>IF(L34="","",IF(VLOOKUP(L34,'G-3 Multipliers'!$L$3:$N$6,2,FALSE)=0,"Spatial Data Missing",VLOOKUP(L34,'G-3 Multipliers'!$L$3:$N$6,2,FALSE)))</f>
        <v/>
      </c>
      <c r="N34" s="505" t="str">
        <f>IF(L34="","",IF(VLOOKUP(L34,'G-3 Multipliers'!$L$3:$N$6,3,FALSE)=0,"Spatial Data Missing",VLOOKUP(L34,'G-3 Multipliers'!$L$3:$N$6,3,FALSE)))</f>
        <v/>
      </c>
      <c r="O34" s="498" t="str">
        <f t="shared" si="0"/>
        <v/>
      </c>
      <c r="P34" s="82"/>
      <c r="Q34" s="82"/>
      <c r="R34" s="507" t="str">
        <f t="shared" si="2"/>
        <v/>
      </c>
      <c r="S34" s="521" t="str">
        <f t="shared" si="3"/>
        <v/>
      </c>
      <c r="T34" s="522"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losses",P34&gt;=O34),"Low",VLOOKUP(F34,'G-3 Multipliers'!$A$2:$E$129,4,FALSE))))</f>
        <v/>
      </c>
      <c r="X34" s="524" t="str">
        <f>IFERROR(IF(E34="","",VLOOKUP(W34, 'G-3 Multipliers'!$P$2:$Q$6,2,FALSE)),"")</f>
        <v/>
      </c>
      <c r="Y34" s="529" t="str">
        <f t="shared" si="5"/>
        <v/>
      </c>
      <c r="Z34" s="239"/>
      <c r="AA34" s="240"/>
      <c r="AE34" s="54" t="str">
        <f t="shared" si="1"/>
        <v/>
      </c>
    </row>
    <row r="35" spans="1:31" x14ac:dyDescent="0.25">
      <c r="A35" s="47" t="str">
        <f>IFERROR(INDEX('G-8 Condition Look up'!$I$4:$I$130,MATCH(F35,'G-8 Condition Look up'!$A$4:$A$130,0)),"")</f>
        <v/>
      </c>
      <c r="C35" s="384" t="str">
        <f>IFERROR(INDEX('G-1 All Habitats'!$AG$3:$AG$15,MATCH(D35,'G-1 All Habitats'!$AF$3:$AF$15,0)),"")</f>
        <v/>
      </c>
      <c r="D35" s="146"/>
      <c r="E35" s="79"/>
      <c r="F35" s="246" t="str">
        <f>IFERROR(INDEX('G-1 All Habitats'!$B$3:$B$129,MATCH(E35,'G-1 All Habitats'!$A$3:$A$129,0)),"")</f>
        <v/>
      </c>
      <c r="G35" s="70"/>
      <c r="H35" s="498" t="str">
        <f>IF(F35="","",VLOOKUP(F35,'G-1 All Habitats'!$B$2:$M$129,10,FALSE))</f>
        <v/>
      </c>
      <c r="I35" s="499" t="str">
        <f>IFERROR(VLOOKUP(H35,'G-1 All Habitats'!$V$3:$W$7,2,FALSE),"")</f>
        <v/>
      </c>
      <c r="J35" s="71"/>
      <c r="K35" s="499" t="str">
        <f>IFERROR(INDEX('G-8 Condition Look up'!$A$3:$H$130,MATCH(F35,'G-8 Condition Look up'!$A$3:$A$130,0),MATCH(J35,'G-8 Condition Look up'!$A$3:$H$3,0)),"")</f>
        <v/>
      </c>
      <c r="L35" s="71"/>
      <c r="M35" s="507" t="str">
        <f>IF(L35="","",IF(VLOOKUP(L35,'G-3 Multipliers'!$L$3:$N$6,2,FALSE)=0,"Spatial Data Missing",VLOOKUP(L35,'G-3 Multipliers'!$L$3:$N$6,2,FALSE)))</f>
        <v/>
      </c>
      <c r="N35" s="505" t="str">
        <f>IF(L35="","",IF(VLOOKUP(L35,'G-3 Multipliers'!$L$3:$N$6,3,FALSE)=0,"Spatial Data Missing",VLOOKUP(L35,'G-3 Multipliers'!$L$3:$N$6,3,FALSE)))</f>
        <v/>
      </c>
      <c r="O35" s="498" t="str">
        <f t="shared" si="0"/>
        <v/>
      </c>
      <c r="P35" s="82"/>
      <c r="Q35" s="82"/>
      <c r="R35" s="507" t="str">
        <f t="shared" si="2"/>
        <v/>
      </c>
      <c r="S35" s="521" t="str">
        <f t="shared" si="3"/>
        <v/>
      </c>
      <c r="T35" s="522"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losses",P35&gt;=O35),"Low",VLOOKUP(F35,'G-3 Multipliers'!$A$2:$E$129,4,FALSE))))</f>
        <v/>
      </c>
      <c r="X35" s="524" t="str">
        <f>IFERROR(IF(E35="","",VLOOKUP(W35, 'G-3 Multipliers'!$P$2:$Q$6,2,FALSE)),"")</f>
        <v/>
      </c>
      <c r="Y35" s="529" t="str">
        <f t="shared" si="5"/>
        <v/>
      </c>
      <c r="Z35" s="239"/>
      <c r="AA35" s="240"/>
      <c r="AE35" s="54" t="str">
        <f t="shared" si="1"/>
        <v/>
      </c>
    </row>
    <row r="36" spans="1:31" x14ac:dyDescent="0.25">
      <c r="A36" s="47" t="str">
        <f>IFERROR(INDEX('G-8 Condition Look up'!$I$4:$I$130,MATCH(F36,'G-8 Condition Look up'!$A$4:$A$130,0)),"")</f>
        <v/>
      </c>
      <c r="C36" s="384" t="str">
        <f>IFERROR(INDEX('G-1 All Habitats'!$AG$3:$AG$15,MATCH(D36,'G-1 All Habitats'!$AF$3:$AF$15,0)),"")</f>
        <v/>
      </c>
      <c r="D36" s="146"/>
      <c r="E36" s="79"/>
      <c r="F36" s="246" t="str">
        <f>IFERROR(INDEX('G-1 All Habitats'!$B$3:$B$129,MATCH(E36,'G-1 All Habitats'!$A$3:$A$129,0)),"")</f>
        <v/>
      </c>
      <c r="G36" s="70"/>
      <c r="H36" s="498" t="str">
        <f>IF(F36="","",VLOOKUP(F36,'G-1 All Habitats'!$B$2:$M$129,10,FALSE))</f>
        <v/>
      </c>
      <c r="I36" s="499" t="str">
        <f>IFERROR(VLOOKUP(H36,'G-1 All Habitats'!$V$3:$W$7,2,FALSE),"")</f>
        <v/>
      </c>
      <c r="J36" s="71"/>
      <c r="K36" s="499" t="str">
        <f>IFERROR(INDEX('G-8 Condition Look up'!$A$3:$H$130,MATCH(F36,'G-8 Condition Look up'!$A$3:$A$130,0),MATCH(J36,'G-8 Condition Look up'!$A$3:$H$3,0)),"")</f>
        <v/>
      </c>
      <c r="L36" s="71"/>
      <c r="M36" s="507" t="str">
        <f>IF(L36="","",IF(VLOOKUP(L36,'G-3 Multipliers'!$L$3:$N$6,2,FALSE)=0,"Spatial Data Missing",VLOOKUP(L36,'G-3 Multipliers'!$L$3:$N$6,2,FALSE)))</f>
        <v/>
      </c>
      <c r="N36" s="505" t="str">
        <f>IF(L36="","",IF(VLOOKUP(L36,'G-3 Multipliers'!$L$3:$N$6,3,FALSE)=0,"Spatial Data Missing",VLOOKUP(L36,'G-3 Multipliers'!$L$3:$N$6,3,FALSE)))</f>
        <v/>
      </c>
      <c r="O36" s="498" t="str">
        <f t="shared" si="0"/>
        <v/>
      </c>
      <c r="P36" s="82"/>
      <c r="Q36" s="82"/>
      <c r="R36" s="507" t="str">
        <f t="shared" si="2"/>
        <v/>
      </c>
      <c r="S36" s="521" t="str">
        <f t="shared" si="3"/>
        <v/>
      </c>
      <c r="T36" s="522"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losses",P36&gt;=O36),"Low",VLOOKUP(F36,'G-3 Multipliers'!$A$2:$E$129,4,FALSE))))</f>
        <v/>
      </c>
      <c r="X36" s="524" t="str">
        <f>IFERROR(IF(E36="","",VLOOKUP(W36, 'G-3 Multipliers'!$P$2:$Q$6,2,FALSE)),"")</f>
        <v/>
      </c>
      <c r="Y36" s="529" t="str">
        <f t="shared" si="5"/>
        <v/>
      </c>
      <c r="Z36" s="239"/>
      <c r="AA36" s="240"/>
      <c r="AE36" s="54" t="str">
        <f t="shared" si="1"/>
        <v/>
      </c>
    </row>
    <row r="37" spans="1:31" x14ac:dyDescent="0.25">
      <c r="A37" s="47" t="str">
        <f>IFERROR(INDEX('G-8 Condition Look up'!$I$4:$I$130,MATCH(F37,'G-8 Condition Look up'!$A$4:$A$130,0)),"")</f>
        <v/>
      </c>
      <c r="C37" s="384" t="str">
        <f>IFERROR(INDEX('G-1 All Habitats'!$AG$3:$AG$15,MATCH(D37,'G-1 All Habitats'!$AF$3:$AF$15,0)),"")</f>
        <v/>
      </c>
      <c r="D37" s="146"/>
      <c r="E37" s="79"/>
      <c r="F37" s="246" t="str">
        <f>IFERROR(INDEX('G-1 All Habitats'!$B$3:$B$129,MATCH(E37,'G-1 All Habitats'!$A$3:$A$129,0)),"")</f>
        <v/>
      </c>
      <c r="G37" s="70"/>
      <c r="H37" s="498" t="str">
        <f>IF(F37="","",VLOOKUP(F37,'G-1 All Habitats'!$B$2:$M$129,10,FALSE))</f>
        <v/>
      </c>
      <c r="I37" s="499" t="str">
        <f>IFERROR(VLOOKUP(H37,'G-1 All Habitats'!$V$3:$W$7,2,FALSE),"")</f>
        <v/>
      </c>
      <c r="J37" s="71"/>
      <c r="K37" s="499" t="str">
        <f>IFERROR(INDEX('G-8 Condition Look up'!$A$3:$H$130,MATCH(F37,'G-8 Condition Look up'!$A$3:$A$130,0),MATCH(J37,'G-8 Condition Look up'!$A$3:$H$3,0)),"")</f>
        <v/>
      </c>
      <c r="L37" s="71"/>
      <c r="M37" s="507" t="str">
        <f>IF(L37="","",IF(VLOOKUP(L37,'G-3 Multipliers'!$L$3:$N$6,2,FALSE)=0,"Spatial Data Missing",VLOOKUP(L37,'G-3 Multipliers'!$L$3:$N$6,2,FALSE)))</f>
        <v/>
      </c>
      <c r="N37" s="505" t="str">
        <f>IF(L37="","",IF(VLOOKUP(L37,'G-3 Multipliers'!$L$3:$N$6,3,FALSE)=0,"Spatial Data Missing",VLOOKUP(L37,'G-3 Multipliers'!$L$3:$N$6,3,FALSE)))</f>
        <v/>
      </c>
      <c r="O37" s="498" t="str">
        <f t="shared" si="0"/>
        <v/>
      </c>
      <c r="P37" s="82"/>
      <c r="Q37" s="82"/>
      <c r="R37" s="507" t="str">
        <f t="shared" si="2"/>
        <v/>
      </c>
      <c r="S37" s="521" t="str">
        <f t="shared" si="3"/>
        <v/>
      </c>
      <c r="T37" s="522"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losses",P37&gt;=O37),"Low",VLOOKUP(F37,'G-3 Multipliers'!$A$2:$E$129,4,FALSE))))</f>
        <v/>
      </c>
      <c r="X37" s="524" t="str">
        <f>IFERROR(IF(E37="","",VLOOKUP(W37, 'G-3 Multipliers'!$P$2:$Q$6,2,FALSE)),"")</f>
        <v/>
      </c>
      <c r="Y37" s="529" t="str">
        <f t="shared" si="5"/>
        <v/>
      </c>
      <c r="Z37" s="239"/>
      <c r="AA37" s="240"/>
      <c r="AE37" s="54" t="str">
        <f t="shared" si="1"/>
        <v/>
      </c>
    </row>
    <row r="38" spans="1:31" x14ac:dyDescent="0.25">
      <c r="A38" s="47" t="str">
        <f>IFERROR(INDEX('G-8 Condition Look up'!$I$4:$I$130,MATCH(F38,'G-8 Condition Look up'!$A$4:$A$130,0)),"")</f>
        <v/>
      </c>
      <c r="C38" s="384" t="str">
        <f>IFERROR(INDEX('G-1 All Habitats'!$AG$3:$AG$15,MATCH(D38,'G-1 All Habitats'!$AF$3:$AF$15,0)),"")</f>
        <v/>
      </c>
      <c r="D38" s="146"/>
      <c r="E38" s="79"/>
      <c r="F38" s="246" t="str">
        <f>IFERROR(INDEX('G-1 All Habitats'!$B$3:$B$129,MATCH(E38,'G-1 All Habitats'!$A$3:$A$129,0)),"")</f>
        <v/>
      </c>
      <c r="G38" s="70"/>
      <c r="H38" s="498" t="str">
        <f>IF(F38="","",VLOOKUP(F38,'G-1 All Habitats'!$B$2:$M$129,10,FALSE))</f>
        <v/>
      </c>
      <c r="I38" s="499" t="str">
        <f>IFERROR(VLOOKUP(H38,'G-1 All Habitats'!$V$3:$W$7,2,FALSE),"")</f>
        <v/>
      </c>
      <c r="J38" s="71"/>
      <c r="K38" s="499" t="str">
        <f>IFERROR(INDEX('G-8 Condition Look up'!$A$3:$H$130,MATCH(F38,'G-8 Condition Look up'!$A$3:$A$130,0),MATCH(J38,'G-8 Condition Look up'!$A$3:$H$3,0)),"")</f>
        <v/>
      </c>
      <c r="L38" s="71"/>
      <c r="M38" s="507" t="str">
        <f>IF(L38="","",IF(VLOOKUP(L38,'G-3 Multipliers'!$L$3:$N$6,2,FALSE)=0,"Spatial Data Missing",VLOOKUP(L38,'G-3 Multipliers'!$L$3:$N$6,2,FALSE)))</f>
        <v/>
      </c>
      <c r="N38" s="505" t="str">
        <f>IF(L38="","",IF(VLOOKUP(L38,'G-3 Multipliers'!$L$3:$N$6,3,FALSE)=0,"Spatial Data Missing",VLOOKUP(L38,'G-3 Multipliers'!$L$3:$N$6,3,FALSE)))</f>
        <v/>
      </c>
      <c r="O38" s="498" t="str">
        <f t="shared" si="0"/>
        <v/>
      </c>
      <c r="P38" s="82"/>
      <c r="Q38" s="82"/>
      <c r="R38" s="507" t="str">
        <f t="shared" si="2"/>
        <v/>
      </c>
      <c r="S38" s="521" t="str">
        <f t="shared" si="3"/>
        <v/>
      </c>
      <c r="T38" s="522"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losses",P38&gt;=O38),"Low",VLOOKUP(F38,'G-3 Multipliers'!$A$2:$E$129,4,FALSE))))</f>
        <v/>
      </c>
      <c r="X38" s="524" t="str">
        <f>IFERROR(IF(E38="","",VLOOKUP(W38, 'G-3 Multipliers'!$P$2:$Q$6,2,FALSE)),"")</f>
        <v/>
      </c>
      <c r="Y38" s="529" t="str">
        <f t="shared" si="5"/>
        <v/>
      </c>
      <c r="Z38" s="239"/>
      <c r="AA38" s="240"/>
      <c r="AE38" s="54" t="str">
        <f t="shared" si="1"/>
        <v/>
      </c>
    </row>
    <row r="39" spans="1:31" x14ac:dyDescent="0.25">
      <c r="A39" s="47" t="str">
        <f>IFERROR(INDEX('G-8 Condition Look up'!$I$4:$I$130,MATCH(F39,'G-8 Condition Look up'!$A$4:$A$130,0)),"")</f>
        <v/>
      </c>
      <c r="C39" s="384" t="str">
        <f>IFERROR(INDEX('G-1 All Habitats'!$AG$3:$AG$15,MATCH(D39,'G-1 All Habitats'!$AF$3:$AF$15,0)),"")</f>
        <v/>
      </c>
      <c r="D39" s="146"/>
      <c r="E39" s="79"/>
      <c r="F39" s="246" t="str">
        <f>IFERROR(INDEX('G-1 All Habitats'!$B$3:$B$129,MATCH(E39,'G-1 All Habitats'!$A$3:$A$129,0)),"")</f>
        <v/>
      </c>
      <c r="G39" s="70"/>
      <c r="H39" s="498" t="str">
        <f>IF(F39="","",VLOOKUP(F39,'G-1 All Habitats'!$B$2:$M$129,10,FALSE))</f>
        <v/>
      </c>
      <c r="I39" s="499" t="str">
        <f>IFERROR(VLOOKUP(H39,'G-1 All Habitats'!$V$3:$W$7,2,FALSE),"")</f>
        <v/>
      </c>
      <c r="J39" s="71"/>
      <c r="K39" s="499" t="str">
        <f>IFERROR(INDEX('G-8 Condition Look up'!$A$3:$H$130,MATCH(F39,'G-8 Condition Look up'!$A$3:$A$130,0),MATCH(J39,'G-8 Condition Look up'!$A$3:$H$3,0)),"")</f>
        <v/>
      </c>
      <c r="L39" s="71"/>
      <c r="M39" s="507" t="str">
        <f>IF(L39="","",IF(VLOOKUP(L39,'G-3 Multipliers'!$L$3:$N$6,2,FALSE)=0,"Spatial Data Missing",VLOOKUP(L39,'G-3 Multipliers'!$L$3:$N$6,2,FALSE)))</f>
        <v/>
      </c>
      <c r="N39" s="505" t="str">
        <f>IF(L39="","",IF(VLOOKUP(L39,'G-3 Multipliers'!$L$3:$N$6,3,FALSE)=0,"Spatial Data Missing",VLOOKUP(L39,'G-3 Multipliers'!$L$3:$N$6,3,FALSE)))</f>
        <v/>
      </c>
      <c r="O39" s="498" t="str">
        <f t="shared" si="0"/>
        <v/>
      </c>
      <c r="P39" s="82"/>
      <c r="Q39" s="82"/>
      <c r="R39" s="507" t="str">
        <f t="shared" si="2"/>
        <v/>
      </c>
      <c r="S39" s="521" t="str">
        <f t="shared" si="3"/>
        <v/>
      </c>
      <c r="T39" s="522"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losses",P39&gt;=O39),"Low",VLOOKUP(F39,'G-3 Multipliers'!$A$2:$E$129,4,FALSE))))</f>
        <v/>
      </c>
      <c r="X39" s="524" t="str">
        <f>IFERROR(IF(E39="","",VLOOKUP(W39, 'G-3 Multipliers'!$P$2:$Q$6,2,FALSE)),"")</f>
        <v/>
      </c>
      <c r="Y39" s="529" t="str">
        <f t="shared" si="5"/>
        <v/>
      </c>
      <c r="Z39" s="239"/>
      <c r="AA39" s="240"/>
      <c r="AE39" s="54" t="str">
        <f t="shared" si="1"/>
        <v/>
      </c>
    </row>
    <row r="40" spans="1:31" x14ac:dyDescent="0.25">
      <c r="A40" s="47" t="str">
        <f>IFERROR(INDEX('G-8 Condition Look up'!$I$4:$I$130,MATCH(F40,'G-8 Condition Look up'!$A$4:$A$130,0)),"")</f>
        <v/>
      </c>
      <c r="C40" s="384" t="str">
        <f>IFERROR(INDEX('G-1 All Habitats'!$AG$3:$AG$15,MATCH(D40,'G-1 All Habitats'!$AF$3:$AF$15,0)),"")</f>
        <v/>
      </c>
      <c r="D40" s="146"/>
      <c r="E40" s="79"/>
      <c r="F40" s="246" t="str">
        <f>IFERROR(INDEX('G-1 All Habitats'!$B$3:$B$129,MATCH(E40,'G-1 All Habitats'!$A$3:$A$129,0)),"")</f>
        <v/>
      </c>
      <c r="G40" s="70"/>
      <c r="H40" s="498" t="str">
        <f>IF(F40="","",VLOOKUP(F40,'G-1 All Habitats'!$B$2:$M$129,10,FALSE))</f>
        <v/>
      </c>
      <c r="I40" s="499" t="str">
        <f>IFERROR(VLOOKUP(H40,'G-1 All Habitats'!$V$3:$W$7,2,FALSE),"")</f>
        <v/>
      </c>
      <c r="J40" s="71"/>
      <c r="K40" s="499" t="str">
        <f>IFERROR(INDEX('G-8 Condition Look up'!$A$3:$H$130,MATCH(F40,'G-8 Condition Look up'!$A$3:$A$130,0),MATCH(J40,'G-8 Condition Look up'!$A$3:$H$3,0)),"")</f>
        <v/>
      </c>
      <c r="L40" s="71"/>
      <c r="M40" s="507" t="str">
        <f>IF(L40="","",IF(VLOOKUP(L40,'G-3 Multipliers'!$L$3:$N$6,2,FALSE)=0,"Spatial Data Missing",VLOOKUP(L40,'G-3 Multipliers'!$L$3:$N$6,2,FALSE)))</f>
        <v/>
      </c>
      <c r="N40" s="505" t="str">
        <f>IF(L40="","",IF(VLOOKUP(L40,'G-3 Multipliers'!$L$3:$N$6,3,FALSE)=0,"Spatial Data Missing",VLOOKUP(L40,'G-3 Multipliers'!$L$3:$N$6,3,FALSE)))</f>
        <v/>
      </c>
      <c r="O40" s="498" t="str">
        <f t="shared" si="0"/>
        <v/>
      </c>
      <c r="P40" s="82"/>
      <c r="Q40" s="82"/>
      <c r="R40" s="507" t="str">
        <f t="shared" si="2"/>
        <v/>
      </c>
      <c r="S40" s="521" t="str">
        <f t="shared" si="3"/>
        <v/>
      </c>
      <c r="T40" s="522"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losses",P40&gt;=O40),"Low",VLOOKUP(F40,'G-3 Multipliers'!$A$2:$E$129,4,FALSE))))</f>
        <v/>
      </c>
      <c r="X40" s="524" t="str">
        <f>IFERROR(IF(E40="","",VLOOKUP(W40, 'G-3 Multipliers'!$P$2:$Q$6,2,FALSE)),"")</f>
        <v/>
      </c>
      <c r="Y40" s="529" t="str">
        <f t="shared" si="5"/>
        <v/>
      </c>
      <c r="Z40" s="239"/>
      <c r="AA40" s="240"/>
      <c r="AE40" s="54" t="str">
        <f t="shared" si="1"/>
        <v/>
      </c>
    </row>
    <row r="41" spans="1:31" x14ac:dyDescent="0.25">
      <c r="A41" s="47" t="str">
        <f>IFERROR(INDEX('G-8 Condition Look up'!$I$4:$I$130,MATCH(F41,'G-8 Condition Look up'!$A$4:$A$130,0)),"")</f>
        <v/>
      </c>
      <c r="C41" s="384" t="str">
        <f>IFERROR(INDEX('G-1 All Habitats'!$AG$3:$AG$15,MATCH(D41,'G-1 All Habitats'!$AF$3:$AF$15,0)),"")</f>
        <v/>
      </c>
      <c r="D41" s="146"/>
      <c r="E41" s="79"/>
      <c r="F41" s="246" t="str">
        <f>IFERROR(INDEX('G-1 All Habitats'!$B$3:$B$129,MATCH(E41,'G-1 All Habitats'!$A$3:$A$129,0)),"")</f>
        <v/>
      </c>
      <c r="G41" s="70"/>
      <c r="H41" s="498" t="str">
        <f>IF(F41="","",VLOOKUP(F41,'G-1 All Habitats'!$B$2:$M$129,10,FALSE))</f>
        <v/>
      </c>
      <c r="I41" s="499" t="str">
        <f>IFERROR(VLOOKUP(H41,'G-1 All Habitats'!$V$3:$W$7,2,FALSE),"")</f>
        <v/>
      </c>
      <c r="J41" s="71"/>
      <c r="K41" s="499" t="str">
        <f>IFERROR(INDEX('G-8 Condition Look up'!$A$3:$H$130,MATCH(F41,'G-8 Condition Look up'!$A$3:$A$130,0),MATCH(J41,'G-8 Condition Look up'!$A$3:$H$3,0)),"")</f>
        <v/>
      </c>
      <c r="L41" s="71"/>
      <c r="M41" s="507" t="str">
        <f>IF(L41="","",IF(VLOOKUP(L41,'G-3 Multipliers'!$L$3:$N$6,2,FALSE)=0,"Spatial Data Missing",VLOOKUP(L41,'G-3 Multipliers'!$L$3:$N$6,2,FALSE)))</f>
        <v/>
      </c>
      <c r="N41" s="505" t="str">
        <f>IF(L41="","",IF(VLOOKUP(L41,'G-3 Multipliers'!$L$3:$N$6,3,FALSE)=0,"Spatial Data Missing",VLOOKUP(L41,'G-3 Multipliers'!$L$3:$N$6,3,FALSE)))</f>
        <v/>
      </c>
      <c r="O41" s="498" t="str">
        <f t="shared" si="0"/>
        <v/>
      </c>
      <c r="P41" s="82"/>
      <c r="Q41" s="82"/>
      <c r="R41" s="507" t="str">
        <f t="shared" si="2"/>
        <v/>
      </c>
      <c r="S41" s="521" t="str">
        <f t="shared" si="3"/>
        <v/>
      </c>
      <c r="T41" s="522"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losses",P41&gt;=O41),"Low",VLOOKUP(F41,'G-3 Multipliers'!$A$2:$E$129,4,FALSE))))</f>
        <v/>
      </c>
      <c r="X41" s="524" t="str">
        <f>IFERROR(IF(E41="","",VLOOKUP(W41, 'G-3 Multipliers'!$P$2:$Q$6,2,FALSE)),"")</f>
        <v/>
      </c>
      <c r="Y41" s="529" t="str">
        <f t="shared" si="5"/>
        <v/>
      </c>
      <c r="Z41" s="239"/>
      <c r="AA41" s="240"/>
      <c r="AE41" s="54" t="str">
        <f t="shared" si="1"/>
        <v/>
      </c>
    </row>
    <row r="42" spans="1:31" x14ac:dyDescent="0.25">
      <c r="A42" s="47" t="str">
        <f>IFERROR(INDEX('G-8 Condition Look up'!$I$4:$I$130,MATCH(F42,'G-8 Condition Look up'!$A$4:$A$130,0)),"")</f>
        <v/>
      </c>
      <c r="C42" s="384" t="str">
        <f>IFERROR(INDEX('G-1 All Habitats'!$AG$3:$AG$15,MATCH(D42,'G-1 All Habitats'!$AF$3:$AF$15,0)),"")</f>
        <v/>
      </c>
      <c r="D42" s="146"/>
      <c r="E42" s="79"/>
      <c r="F42" s="246" t="str">
        <f>IFERROR(INDEX('G-1 All Habitats'!$B$3:$B$129,MATCH(E42,'G-1 All Habitats'!$A$3:$A$129,0)),"")</f>
        <v/>
      </c>
      <c r="G42" s="70"/>
      <c r="H42" s="498" t="str">
        <f>IF(F42="","",VLOOKUP(F42,'G-1 All Habitats'!$B$2:$M$129,10,FALSE))</f>
        <v/>
      </c>
      <c r="I42" s="499" t="str">
        <f>IFERROR(VLOOKUP(H42,'G-1 All Habitats'!$V$3:$W$7,2,FALSE),"")</f>
        <v/>
      </c>
      <c r="J42" s="71"/>
      <c r="K42" s="499" t="str">
        <f>IFERROR(INDEX('G-8 Condition Look up'!$A$3:$H$130,MATCH(F42,'G-8 Condition Look up'!$A$3:$A$130,0),MATCH(J42,'G-8 Condition Look up'!$A$3:$H$3,0)),"")</f>
        <v/>
      </c>
      <c r="L42" s="71"/>
      <c r="M42" s="507" t="str">
        <f>IF(L42="","",IF(VLOOKUP(L42,'G-3 Multipliers'!$L$3:$N$6,2,FALSE)=0,"Spatial Data Missing",VLOOKUP(L42,'G-3 Multipliers'!$L$3:$N$6,2,FALSE)))</f>
        <v/>
      </c>
      <c r="N42" s="505" t="str">
        <f>IF(L42="","",IF(VLOOKUP(L42,'G-3 Multipliers'!$L$3:$N$6,3,FALSE)=0,"Spatial Data Missing",VLOOKUP(L42,'G-3 Multipliers'!$L$3:$N$6,3,FALSE)))</f>
        <v/>
      </c>
      <c r="O42" s="498" t="str">
        <f t="shared" si="0"/>
        <v/>
      </c>
      <c r="P42" s="82"/>
      <c r="Q42" s="82"/>
      <c r="R42" s="507" t="str">
        <f t="shared" si="2"/>
        <v/>
      </c>
      <c r="S42" s="521" t="str">
        <f t="shared" si="3"/>
        <v/>
      </c>
      <c r="T42" s="522"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losses",P42&gt;=O42),"Low",VLOOKUP(F42,'G-3 Multipliers'!$A$2:$E$129,4,FALSE))))</f>
        <v/>
      </c>
      <c r="X42" s="524" t="str">
        <f>IFERROR(IF(E42="","",VLOOKUP(W42, 'G-3 Multipliers'!$P$2:$Q$6,2,FALSE)),"")</f>
        <v/>
      </c>
      <c r="Y42" s="529" t="str">
        <f t="shared" si="5"/>
        <v/>
      </c>
      <c r="Z42" s="239"/>
      <c r="AA42" s="240"/>
      <c r="AE42" s="54" t="str">
        <f t="shared" si="1"/>
        <v/>
      </c>
    </row>
    <row r="43" spans="1:31" x14ac:dyDescent="0.25">
      <c r="A43" s="47" t="str">
        <f>IFERROR(INDEX('G-8 Condition Look up'!$I$4:$I$130,MATCH(F43,'G-8 Condition Look up'!$A$4:$A$130,0)),"")</f>
        <v/>
      </c>
      <c r="C43" s="384" t="str">
        <f>IFERROR(INDEX('G-1 All Habitats'!$AG$3:$AG$15,MATCH(D43,'G-1 All Habitats'!$AF$3:$AF$15,0)),"")</f>
        <v/>
      </c>
      <c r="D43" s="146"/>
      <c r="E43" s="79"/>
      <c r="F43" s="246" t="str">
        <f>IFERROR(INDEX('G-1 All Habitats'!$B$3:$B$129,MATCH(E43,'G-1 All Habitats'!$A$3:$A$129,0)),"")</f>
        <v/>
      </c>
      <c r="G43" s="70"/>
      <c r="H43" s="498" t="str">
        <f>IF(F43="","",VLOOKUP(F43,'G-1 All Habitats'!$B$2:$M$129,10,FALSE))</f>
        <v/>
      </c>
      <c r="I43" s="499" t="str">
        <f>IFERROR(VLOOKUP(H43,'G-1 All Habitats'!$V$3:$W$7,2,FALSE),"")</f>
        <v/>
      </c>
      <c r="J43" s="71"/>
      <c r="K43" s="499" t="str">
        <f>IFERROR(INDEX('G-8 Condition Look up'!$A$3:$H$130,MATCH(F43,'G-8 Condition Look up'!$A$3:$A$130,0),MATCH(J43,'G-8 Condition Look up'!$A$3:$H$3,0)),"")</f>
        <v/>
      </c>
      <c r="L43" s="71"/>
      <c r="M43" s="507" t="str">
        <f>IF(L43="","",IF(VLOOKUP(L43,'G-3 Multipliers'!$L$3:$N$6,2,FALSE)=0,"Spatial Data Missing",VLOOKUP(L43,'G-3 Multipliers'!$L$3:$N$6,2,FALSE)))</f>
        <v/>
      </c>
      <c r="N43" s="505" t="str">
        <f>IF(L43="","",IF(VLOOKUP(L43,'G-3 Multipliers'!$L$3:$N$6,3,FALSE)=0,"Spatial Data Missing",VLOOKUP(L43,'G-3 Multipliers'!$L$3:$N$6,3,FALSE)))</f>
        <v/>
      </c>
      <c r="O43" s="498" t="str">
        <f t="shared" si="0"/>
        <v/>
      </c>
      <c r="P43" s="82"/>
      <c r="Q43" s="82"/>
      <c r="R43" s="507" t="str">
        <f t="shared" si="2"/>
        <v/>
      </c>
      <c r="S43" s="521" t="str">
        <f t="shared" si="3"/>
        <v/>
      </c>
      <c r="T43" s="522"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losses",P43&gt;=O43),"Low",VLOOKUP(F43,'G-3 Multipliers'!$A$2:$E$129,4,FALSE))))</f>
        <v/>
      </c>
      <c r="X43" s="524" t="str">
        <f>IFERROR(IF(E43="","",VLOOKUP(W43, 'G-3 Multipliers'!$P$2:$Q$6,2,FALSE)),"")</f>
        <v/>
      </c>
      <c r="Y43" s="529" t="str">
        <f t="shared" si="5"/>
        <v/>
      </c>
      <c r="Z43" s="239"/>
      <c r="AA43" s="240"/>
      <c r="AE43" s="54" t="str">
        <f t="shared" si="1"/>
        <v/>
      </c>
    </row>
    <row r="44" spans="1:31" x14ac:dyDescent="0.25">
      <c r="A44" s="47" t="str">
        <f>IFERROR(INDEX('G-8 Condition Look up'!$I$4:$I$130,MATCH(F44,'G-8 Condition Look up'!$A$4:$A$130,0)),"")</f>
        <v/>
      </c>
      <c r="C44" s="384" t="str">
        <f>IFERROR(INDEX('G-1 All Habitats'!$AG$3:$AG$15,MATCH(D44,'G-1 All Habitats'!$AF$3:$AF$15,0)),"")</f>
        <v/>
      </c>
      <c r="D44" s="146"/>
      <c r="E44" s="79"/>
      <c r="F44" s="246" t="str">
        <f>IFERROR(INDEX('G-1 All Habitats'!$B$3:$B$129,MATCH(E44,'G-1 All Habitats'!$A$3:$A$129,0)),"")</f>
        <v/>
      </c>
      <c r="G44" s="70"/>
      <c r="H44" s="498" t="str">
        <f>IF(F44="","",VLOOKUP(F44,'G-1 All Habitats'!$B$2:$M$129,10,FALSE))</f>
        <v/>
      </c>
      <c r="I44" s="499" t="str">
        <f>IFERROR(VLOOKUP(H44,'G-1 All Habitats'!$V$3:$W$7,2,FALSE),"")</f>
        <v/>
      </c>
      <c r="J44" s="71"/>
      <c r="K44" s="499" t="str">
        <f>IFERROR(INDEX('G-8 Condition Look up'!$A$3:$H$130,MATCH(F44,'G-8 Condition Look up'!$A$3:$A$130,0),MATCH(J44,'G-8 Condition Look up'!$A$3:$H$3,0)),"")</f>
        <v/>
      </c>
      <c r="L44" s="71"/>
      <c r="M44" s="507" t="str">
        <f>IF(L44="","",IF(VLOOKUP(L44,'G-3 Multipliers'!$L$3:$N$6,2,FALSE)=0,"Spatial Data Missing",VLOOKUP(L44,'G-3 Multipliers'!$L$3:$N$6,2,FALSE)))</f>
        <v/>
      </c>
      <c r="N44" s="505" t="str">
        <f>IF(L44="","",IF(VLOOKUP(L44,'G-3 Multipliers'!$L$3:$N$6,3,FALSE)=0,"Spatial Data Missing",VLOOKUP(L44,'G-3 Multipliers'!$L$3:$N$6,3,FALSE)))</f>
        <v/>
      </c>
      <c r="O44" s="498" t="str">
        <f t="shared" si="0"/>
        <v/>
      </c>
      <c r="P44" s="82"/>
      <c r="Q44" s="82"/>
      <c r="R44" s="507" t="str">
        <f t="shared" si="2"/>
        <v/>
      </c>
      <c r="S44" s="521" t="str">
        <f t="shared" si="3"/>
        <v/>
      </c>
      <c r="T44" s="522"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losses",P44&gt;=O44),"Low",VLOOKUP(F44,'G-3 Multipliers'!$A$2:$E$129,4,FALSE))))</f>
        <v/>
      </c>
      <c r="X44" s="524" t="str">
        <f>IFERROR(IF(E44="","",VLOOKUP(W44, 'G-3 Multipliers'!$P$2:$Q$6,2,FALSE)),"")</f>
        <v/>
      </c>
      <c r="Y44" s="529" t="str">
        <f t="shared" si="5"/>
        <v/>
      </c>
      <c r="Z44" s="239"/>
      <c r="AA44" s="240"/>
      <c r="AE44" s="54" t="str">
        <f t="shared" si="1"/>
        <v/>
      </c>
    </row>
    <row r="45" spans="1:31" x14ac:dyDescent="0.25">
      <c r="A45" s="47" t="str">
        <f>IFERROR(INDEX('G-8 Condition Look up'!$I$4:$I$130,MATCH(F45,'G-8 Condition Look up'!$A$4:$A$130,0)),"")</f>
        <v/>
      </c>
      <c r="C45" s="384" t="str">
        <f>IFERROR(INDEX('G-1 All Habitats'!$AG$3:$AG$15,MATCH(D45,'G-1 All Habitats'!$AF$3:$AF$15,0)),"")</f>
        <v/>
      </c>
      <c r="D45" s="146"/>
      <c r="E45" s="79"/>
      <c r="F45" s="246" t="str">
        <f>IFERROR(INDEX('G-1 All Habitats'!$B$3:$B$129,MATCH(E45,'G-1 All Habitats'!$A$3:$A$129,0)),"")</f>
        <v/>
      </c>
      <c r="G45" s="70"/>
      <c r="H45" s="498" t="str">
        <f>IF(F45="","",VLOOKUP(F45,'G-1 All Habitats'!$B$2:$M$129,10,FALSE))</f>
        <v/>
      </c>
      <c r="I45" s="499" t="str">
        <f>IFERROR(VLOOKUP(H45,'G-1 All Habitats'!$V$3:$W$7,2,FALSE),"")</f>
        <v/>
      </c>
      <c r="J45" s="71"/>
      <c r="K45" s="499" t="str">
        <f>IFERROR(INDEX('G-8 Condition Look up'!$A$3:$H$130,MATCH(F45,'G-8 Condition Look up'!$A$3:$A$130,0),MATCH(J45,'G-8 Condition Look up'!$A$3:$H$3,0)),"")</f>
        <v/>
      </c>
      <c r="L45" s="71"/>
      <c r="M45" s="507" t="str">
        <f>IF(L45="","",IF(VLOOKUP(L45,'G-3 Multipliers'!$L$3:$N$6,2,FALSE)=0,"Spatial Data Missing",VLOOKUP(L45,'G-3 Multipliers'!$L$3:$N$6,2,FALSE)))</f>
        <v/>
      </c>
      <c r="N45" s="505" t="str">
        <f>IF(L45="","",IF(VLOOKUP(L45,'G-3 Multipliers'!$L$3:$N$6,3,FALSE)=0,"Spatial Data Missing",VLOOKUP(L45,'G-3 Multipliers'!$L$3:$N$6,3,FALSE)))</f>
        <v/>
      </c>
      <c r="O45" s="498" t="str">
        <f t="shared" si="0"/>
        <v/>
      </c>
      <c r="P45" s="82"/>
      <c r="Q45" s="82"/>
      <c r="R45" s="507" t="str">
        <f t="shared" si="2"/>
        <v/>
      </c>
      <c r="S45" s="521" t="str">
        <f t="shared" si="3"/>
        <v/>
      </c>
      <c r="T45" s="522"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losses",P45&gt;=O45),"Low",VLOOKUP(F45,'G-3 Multipliers'!$A$2:$E$129,4,FALSE))))</f>
        <v/>
      </c>
      <c r="X45" s="524" t="str">
        <f>IFERROR(IF(E45="","",VLOOKUP(W45, 'G-3 Multipliers'!$P$2:$Q$6,2,FALSE)),"")</f>
        <v/>
      </c>
      <c r="Y45" s="529" t="str">
        <f t="shared" si="5"/>
        <v/>
      </c>
      <c r="Z45" s="239"/>
      <c r="AA45" s="240"/>
      <c r="AE45" s="54" t="str">
        <f t="shared" si="1"/>
        <v/>
      </c>
    </row>
    <row r="46" spans="1:31" x14ac:dyDescent="0.25">
      <c r="A46" s="47" t="str">
        <f>IFERROR(INDEX('G-8 Condition Look up'!$I$4:$I$130,MATCH(F46,'G-8 Condition Look up'!$A$4:$A$130,0)),"")</f>
        <v/>
      </c>
      <c r="C46" s="384" t="str">
        <f>IFERROR(INDEX('G-1 All Habitats'!$AG$3:$AG$15,MATCH(D46,'G-1 All Habitats'!$AF$3:$AF$15,0)),"")</f>
        <v/>
      </c>
      <c r="D46" s="146"/>
      <c r="E46" s="79"/>
      <c r="F46" s="246" t="str">
        <f>IFERROR(INDEX('G-1 All Habitats'!$B$3:$B$129,MATCH(E46,'G-1 All Habitats'!$A$3:$A$129,0)),"")</f>
        <v/>
      </c>
      <c r="G46" s="70"/>
      <c r="H46" s="498" t="str">
        <f>IF(F46="","",VLOOKUP(F46,'G-1 All Habitats'!$B$2:$M$129,10,FALSE))</f>
        <v/>
      </c>
      <c r="I46" s="499" t="str">
        <f>IFERROR(VLOOKUP(H46,'G-1 All Habitats'!$V$3:$W$7,2,FALSE),"")</f>
        <v/>
      </c>
      <c r="J46" s="71"/>
      <c r="K46" s="499" t="str">
        <f>IFERROR(INDEX('G-8 Condition Look up'!$A$3:$H$130,MATCH(F46,'G-8 Condition Look up'!$A$3:$A$130,0),MATCH(J46,'G-8 Condition Look up'!$A$3:$H$3,0)),"")</f>
        <v/>
      </c>
      <c r="L46" s="71"/>
      <c r="M46" s="507" t="str">
        <f>IF(L46="","",IF(VLOOKUP(L46,'G-3 Multipliers'!$L$3:$N$6,2,FALSE)=0,"Spatial Data Missing",VLOOKUP(L46,'G-3 Multipliers'!$L$3:$N$6,2,FALSE)))</f>
        <v/>
      </c>
      <c r="N46" s="505" t="str">
        <f>IF(L46="","",IF(VLOOKUP(L46,'G-3 Multipliers'!$L$3:$N$6,3,FALSE)=0,"Spatial Data Missing",VLOOKUP(L46,'G-3 Multipliers'!$L$3:$N$6,3,FALSE)))</f>
        <v/>
      </c>
      <c r="O46" s="498" t="str">
        <f t="shared" si="0"/>
        <v/>
      </c>
      <c r="P46" s="82"/>
      <c r="Q46" s="82"/>
      <c r="R46" s="507" t="str">
        <f t="shared" si="2"/>
        <v/>
      </c>
      <c r="S46" s="521" t="str">
        <f t="shared" si="3"/>
        <v/>
      </c>
      <c r="T46" s="522"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losses",P46&gt;=O46),"Low",VLOOKUP(F46,'G-3 Multipliers'!$A$2:$E$129,4,FALSE))))</f>
        <v/>
      </c>
      <c r="X46" s="524" t="str">
        <f>IFERROR(IF(E46="","",VLOOKUP(W46, 'G-3 Multipliers'!$P$2:$Q$6,2,FALSE)),"")</f>
        <v/>
      </c>
      <c r="Y46" s="529" t="str">
        <f t="shared" si="5"/>
        <v/>
      </c>
      <c r="Z46" s="239"/>
      <c r="AA46" s="240"/>
      <c r="AE46" s="54" t="str">
        <f t="shared" si="1"/>
        <v/>
      </c>
    </row>
    <row r="47" spans="1:31" x14ac:dyDescent="0.25">
      <c r="A47" s="47" t="str">
        <f>IFERROR(INDEX('G-8 Condition Look up'!$I$4:$I$130,MATCH(F47,'G-8 Condition Look up'!$A$4:$A$130,0)),"")</f>
        <v/>
      </c>
      <c r="C47" s="384" t="str">
        <f>IFERROR(INDEX('G-1 All Habitats'!$AG$3:$AG$15,MATCH(D47,'G-1 All Habitats'!$AF$3:$AF$15,0)),"")</f>
        <v/>
      </c>
      <c r="D47" s="146"/>
      <c r="E47" s="79"/>
      <c r="F47" s="246" t="str">
        <f>IFERROR(INDEX('G-1 All Habitats'!$B$3:$B$129,MATCH(E47,'G-1 All Habitats'!$A$3:$A$129,0)),"")</f>
        <v/>
      </c>
      <c r="G47" s="70"/>
      <c r="H47" s="498" t="str">
        <f>IF(F47="","",VLOOKUP(F47,'G-1 All Habitats'!$B$2:$M$129,10,FALSE))</f>
        <v/>
      </c>
      <c r="I47" s="499" t="str">
        <f>IFERROR(VLOOKUP(H47,'G-1 All Habitats'!$V$3:$W$7,2,FALSE),"")</f>
        <v/>
      </c>
      <c r="J47" s="71"/>
      <c r="K47" s="499" t="str">
        <f>IFERROR(INDEX('G-8 Condition Look up'!$A$3:$H$130,MATCH(F47,'G-8 Condition Look up'!$A$3:$A$130,0),MATCH(J47,'G-8 Condition Look up'!$A$3:$H$3,0)),"")</f>
        <v/>
      </c>
      <c r="L47" s="71"/>
      <c r="M47" s="507" t="str">
        <f>IF(L47="","",IF(VLOOKUP(L47,'G-3 Multipliers'!$L$3:$N$6,2,FALSE)=0,"Spatial Data Missing",VLOOKUP(L47,'G-3 Multipliers'!$L$3:$N$6,2,FALSE)))</f>
        <v/>
      </c>
      <c r="N47" s="505" t="str">
        <f>IF(L47="","",IF(VLOOKUP(L47,'G-3 Multipliers'!$L$3:$N$6,3,FALSE)=0,"Spatial Data Missing",VLOOKUP(L47,'G-3 Multipliers'!$L$3:$N$6,3,FALSE)))</f>
        <v/>
      </c>
      <c r="O47" s="498" t="str">
        <f t="shared" si="0"/>
        <v/>
      </c>
      <c r="P47" s="82"/>
      <c r="Q47" s="82"/>
      <c r="R47" s="507" t="str">
        <f t="shared" si="2"/>
        <v/>
      </c>
      <c r="S47" s="521" t="str">
        <f t="shared" si="3"/>
        <v/>
      </c>
      <c r="T47" s="522"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losses",P47&gt;=O47),"Low",VLOOKUP(F47,'G-3 Multipliers'!$A$2:$E$129,4,FALSE))))</f>
        <v/>
      </c>
      <c r="X47" s="524" t="str">
        <f>IFERROR(IF(E47="","",VLOOKUP(W47, 'G-3 Multipliers'!$P$2:$Q$6,2,FALSE)),"")</f>
        <v/>
      </c>
      <c r="Y47" s="529" t="str">
        <f t="shared" si="5"/>
        <v/>
      </c>
      <c r="Z47" s="239"/>
      <c r="AA47" s="240"/>
      <c r="AE47" s="54" t="str">
        <f t="shared" si="1"/>
        <v/>
      </c>
    </row>
    <row r="48" spans="1:31" x14ac:dyDescent="0.25">
      <c r="A48" s="47" t="str">
        <f>IFERROR(INDEX('G-8 Condition Look up'!$I$4:$I$130,MATCH(F48,'G-8 Condition Look up'!$A$4:$A$130,0)),"")</f>
        <v/>
      </c>
      <c r="C48" s="384" t="str">
        <f>IFERROR(INDEX('G-1 All Habitats'!$AG$3:$AG$15,MATCH(D48,'G-1 All Habitats'!$AF$3:$AF$15,0)),"")</f>
        <v/>
      </c>
      <c r="D48" s="146"/>
      <c r="E48" s="79"/>
      <c r="F48" s="246" t="str">
        <f>IFERROR(INDEX('G-1 All Habitats'!$B$3:$B$129,MATCH(E48,'G-1 All Habitats'!$A$3:$A$129,0)),"")</f>
        <v/>
      </c>
      <c r="G48" s="70"/>
      <c r="H48" s="498" t="str">
        <f>IF(F48="","",VLOOKUP(F48,'G-1 All Habitats'!$B$2:$M$129,10,FALSE))</f>
        <v/>
      </c>
      <c r="I48" s="499" t="str">
        <f>IFERROR(VLOOKUP(H48,'G-1 All Habitats'!$V$3:$W$7,2,FALSE),"")</f>
        <v/>
      </c>
      <c r="J48" s="71"/>
      <c r="K48" s="499" t="str">
        <f>IFERROR(INDEX('G-8 Condition Look up'!$A$3:$H$130,MATCH(F48,'G-8 Condition Look up'!$A$3:$A$130,0),MATCH(J48,'G-8 Condition Look up'!$A$3:$H$3,0)),"")</f>
        <v/>
      </c>
      <c r="L48" s="71"/>
      <c r="M48" s="507" t="str">
        <f>IF(L48="","",IF(VLOOKUP(L48,'G-3 Multipliers'!$L$3:$N$6,2,FALSE)=0,"Spatial Data Missing",VLOOKUP(L48,'G-3 Multipliers'!$L$3:$N$6,2,FALSE)))</f>
        <v/>
      </c>
      <c r="N48" s="505" t="str">
        <f>IF(L48="","",IF(VLOOKUP(L48,'G-3 Multipliers'!$L$3:$N$6,3,FALSE)=0,"Spatial Data Missing",VLOOKUP(L48,'G-3 Multipliers'!$L$3:$N$6,3,FALSE)))</f>
        <v/>
      </c>
      <c r="O48" s="498" t="str">
        <f t="shared" si="0"/>
        <v/>
      </c>
      <c r="P48" s="82"/>
      <c r="Q48" s="82"/>
      <c r="R48" s="507" t="str">
        <f t="shared" si="2"/>
        <v/>
      </c>
      <c r="S48" s="521" t="str">
        <f t="shared" si="3"/>
        <v/>
      </c>
      <c r="T48" s="522"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losses",P48&gt;=O48),"Low",VLOOKUP(F48,'G-3 Multipliers'!$A$2:$E$129,4,FALSE))))</f>
        <v/>
      </c>
      <c r="X48" s="524" t="str">
        <f>IFERROR(IF(E48="","",VLOOKUP(W48, 'G-3 Multipliers'!$P$2:$Q$6,2,FALSE)),"")</f>
        <v/>
      </c>
      <c r="Y48" s="529" t="str">
        <f t="shared" si="5"/>
        <v/>
      </c>
      <c r="Z48" s="239"/>
      <c r="AA48" s="240"/>
      <c r="AE48" s="54" t="str">
        <f t="shared" si="1"/>
        <v/>
      </c>
    </row>
    <row r="49" spans="1:31" x14ac:dyDescent="0.25">
      <c r="A49" s="47" t="str">
        <f>IFERROR(INDEX('G-8 Condition Look up'!$I$4:$I$130,MATCH(F49,'G-8 Condition Look up'!$A$4:$A$130,0)),"")</f>
        <v/>
      </c>
      <c r="C49" s="384" t="str">
        <f>IFERROR(INDEX('G-1 All Habitats'!$AG$3:$AG$15,MATCH(D49,'G-1 All Habitats'!$AF$3:$AF$15,0)),"")</f>
        <v/>
      </c>
      <c r="D49" s="146"/>
      <c r="E49" s="79"/>
      <c r="F49" s="246" t="str">
        <f>IFERROR(INDEX('G-1 All Habitats'!$B$3:$B$129,MATCH(E49,'G-1 All Habitats'!$A$3:$A$129,0)),"")</f>
        <v/>
      </c>
      <c r="G49" s="70"/>
      <c r="H49" s="498" t="str">
        <f>IF(F49="","",VLOOKUP(F49,'G-1 All Habitats'!$B$2:$M$129,10,FALSE))</f>
        <v/>
      </c>
      <c r="I49" s="499" t="str">
        <f>IFERROR(VLOOKUP(H49,'G-1 All Habitats'!$V$3:$W$7,2,FALSE),"")</f>
        <v/>
      </c>
      <c r="J49" s="71"/>
      <c r="K49" s="499" t="str">
        <f>IFERROR(INDEX('G-8 Condition Look up'!$A$3:$H$130,MATCH(F49,'G-8 Condition Look up'!$A$3:$A$130,0),MATCH(J49,'G-8 Condition Look up'!$A$3:$H$3,0)),"")</f>
        <v/>
      </c>
      <c r="L49" s="71"/>
      <c r="M49" s="507" t="str">
        <f>IF(L49="","",IF(VLOOKUP(L49,'G-3 Multipliers'!$L$3:$N$6,2,FALSE)=0,"Spatial Data Missing",VLOOKUP(L49,'G-3 Multipliers'!$L$3:$N$6,2,FALSE)))</f>
        <v/>
      </c>
      <c r="N49" s="505" t="str">
        <f>IF(L49="","",IF(VLOOKUP(L49,'G-3 Multipliers'!$L$3:$N$6,3,FALSE)=0,"Spatial Data Missing",VLOOKUP(L49,'G-3 Multipliers'!$L$3:$N$6,3,FALSE)))</f>
        <v/>
      </c>
      <c r="O49" s="498" t="str">
        <f t="shared" si="0"/>
        <v/>
      </c>
      <c r="P49" s="82"/>
      <c r="Q49" s="82"/>
      <c r="R49" s="507" t="str">
        <f t="shared" si="2"/>
        <v/>
      </c>
      <c r="S49" s="521" t="str">
        <f t="shared" si="3"/>
        <v/>
      </c>
      <c r="T49" s="522"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losses",P49&gt;=O49),"Low",VLOOKUP(F49,'G-3 Multipliers'!$A$2:$E$129,4,FALSE))))</f>
        <v/>
      </c>
      <c r="X49" s="524" t="str">
        <f>IFERROR(IF(E49="","",VLOOKUP(W49, 'G-3 Multipliers'!$P$2:$Q$6,2,FALSE)),"")</f>
        <v/>
      </c>
      <c r="Y49" s="529" t="str">
        <f t="shared" si="5"/>
        <v/>
      </c>
      <c r="Z49" s="239"/>
      <c r="AA49" s="240"/>
      <c r="AE49" s="54" t="str">
        <f t="shared" si="1"/>
        <v/>
      </c>
    </row>
    <row r="50" spans="1:31" x14ac:dyDescent="0.25">
      <c r="A50" s="47" t="str">
        <f>IFERROR(INDEX('G-8 Condition Look up'!$I$4:$I$130,MATCH(F50,'G-8 Condition Look up'!$A$4:$A$130,0)),"")</f>
        <v/>
      </c>
      <c r="C50" s="384" t="str">
        <f>IFERROR(INDEX('G-1 All Habitats'!$AG$3:$AG$15,MATCH(D50,'G-1 All Habitats'!$AF$3:$AF$15,0)),"")</f>
        <v/>
      </c>
      <c r="D50" s="146"/>
      <c r="E50" s="79"/>
      <c r="F50" s="246" t="str">
        <f>IFERROR(INDEX('G-1 All Habitats'!$B$3:$B$129,MATCH(E50,'G-1 All Habitats'!$A$3:$A$129,0)),"")</f>
        <v/>
      </c>
      <c r="G50" s="70"/>
      <c r="H50" s="498" t="str">
        <f>IF(F50="","",VLOOKUP(F50,'G-1 All Habitats'!$B$2:$M$129,10,FALSE))</f>
        <v/>
      </c>
      <c r="I50" s="499" t="str">
        <f>IFERROR(VLOOKUP(H50,'G-1 All Habitats'!$V$3:$W$7,2,FALSE),"")</f>
        <v/>
      </c>
      <c r="J50" s="71"/>
      <c r="K50" s="499" t="str">
        <f>IFERROR(INDEX('G-8 Condition Look up'!$A$3:$H$130,MATCH(F50,'G-8 Condition Look up'!$A$3:$A$130,0),MATCH(J50,'G-8 Condition Look up'!$A$3:$H$3,0)),"")</f>
        <v/>
      </c>
      <c r="L50" s="71"/>
      <c r="M50" s="507" t="str">
        <f>IF(L50="","",IF(VLOOKUP(L50,'G-3 Multipliers'!$L$3:$N$6,2,FALSE)=0,"Spatial Data Missing",VLOOKUP(L50,'G-3 Multipliers'!$L$3:$N$6,2,FALSE)))</f>
        <v/>
      </c>
      <c r="N50" s="505" t="str">
        <f>IF(L50="","",IF(VLOOKUP(L50,'G-3 Multipliers'!$L$3:$N$6,3,FALSE)=0,"Spatial Data Missing",VLOOKUP(L50,'G-3 Multipliers'!$L$3:$N$6,3,FALSE)))</f>
        <v/>
      </c>
      <c r="O50" s="498" t="str">
        <f t="shared" si="0"/>
        <v/>
      </c>
      <c r="P50" s="82"/>
      <c r="Q50" s="82"/>
      <c r="R50" s="507" t="str">
        <f t="shared" si="2"/>
        <v/>
      </c>
      <c r="S50" s="521" t="str">
        <f t="shared" si="3"/>
        <v/>
      </c>
      <c r="T50" s="522"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losses",P50&gt;=O50),"Low",VLOOKUP(F50,'G-3 Multipliers'!$A$2:$E$129,4,FALSE))))</f>
        <v/>
      </c>
      <c r="X50" s="524" t="str">
        <f>IFERROR(IF(E50="","",VLOOKUP(W50, 'G-3 Multipliers'!$P$2:$Q$6,2,FALSE)),"")</f>
        <v/>
      </c>
      <c r="Y50" s="529" t="str">
        <f t="shared" si="5"/>
        <v/>
      </c>
      <c r="Z50" s="239"/>
      <c r="AA50" s="240"/>
      <c r="AE50" s="54" t="str">
        <f t="shared" si="1"/>
        <v/>
      </c>
    </row>
    <row r="51" spans="1:31" x14ac:dyDescent="0.25">
      <c r="A51" s="47" t="str">
        <f>IFERROR(INDEX('G-8 Condition Look up'!$I$4:$I$130,MATCH(F51,'G-8 Condition Look up'!$A$4:$A$130,0)),"")</f>
        <v/>
      </c>
      <c r="C51" s="384" t="str">
        <f>IFERROR(INDEX('G-1 All Habitats'!$AG$3:$AG$15,MATCH(D51,'G-1 All Habitats'!$AF$3:$AF$15,0)),"")</f>
        <v/>
      </c>
      <c r="D51" s="146"/>
      <c r="E51" s="79"/>
      <c r="F51" s="246" t="str">
        <f>IFERROR(INDEX('G-1 All Habitats'!$B$3:$B$129,MATCH(E51,'G-1 All Habitats'!$A$3:$A$129,0)),"")</f>
        <v/>
      </c>
      <c r="G51" s="70"/>
      <c r="H51" s="498" t="str">
        <f>IF(F51="","",VLOOKUP(F51,'G-1 All Habitats'!$B$2:$M$129,10,FALSE))</f>
        <v/>
      </c>
      <c r="I51" s="499" t="str">
        <f>IFERROR(VLOOKUP(H51,'G-1 All Habitats'!$V$3:$W$7,2,FALSE),"")</f>
        <v/>
      </c>
      <c r="J51" s="71"/>
      <c r="K51" s="499" t="str">
        <f>IFERROR(INDEX('G-8 Condition Look up'!$A$3:$H$130,MATCH(F51,'G-8 Condition Look up'!$A$3:$A$130,0),MATCH(J51,'G-8 Condition Look up'!$A$3:$H$3,0)),"")</f>
        <v/>
      </c>
      <c r="L51" s="71"/>
      <c r="M51" s="507" t="str">
        <f>IF(L51="","",IF(VLOOKUP(L51,'G-3 Multipliers'!$L$3:$N$6,2,FALSE)=0,"Spatial Data Missing",VLOOKUP(L51,'G-3 Multipliers'!$L$3:$N$6,2,FALSE)))</f>
        <v/>
      </c>
      <c r="N51" s="505" t="str">
        <f>IF(L51="","",IF(VLOOKUP(L51,'G-3 Multipliers'!$L$3:$N$6,3,FALSE)=0,"Spatial Data Missing",VLOOKUP(L51,'G-3 Multipliers'!$L$3:$N$6,3,FALSE)))</f>
        <v/>
      </c>
      <c r="O51" s="498" t="str">
        <f t="shared" si="0"/>
        <v/>
      </c>
      <c r="P51" s="82"/>
      <c r="Q51" s="82"/>
      <c r="R51" s="507" t="str">
        <f t="shared" si="2"/>
        <v/>
      </c>
      <c r="S51" s="521" t="str">
        <f t="shared" si="3"/>
        <v/>
      </c>
      <c r="T51" s="522"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losses",P51&gt;=O51),"Low",VLOOKUP(F51,'G-3 Multipliers'!$A$2:$E$129,4,FALSE))))</f>
        <v/>
      </c>
      <c r="X51" s="524" t="str">
        <f>IFERROR(IF(E51="","",VLOOKUP(W51, 'G-3 Multipliers'!$P$2:$Q$6,2,FALSE)),"")</f>
        <v/>
      </c>
      <c r="Y51" s="529" t="str">
        <f t="shared" si="5"/>
        <v/>
      </c>
      <c r="Z51" s="239"/>
      <c r="AA51" s="240"/>
      <c r="AE51" s="54" t="str">
        <f t="shared" si="1"/>
        <v/>
      </c>
    </row>
    <row r="52" spans="1:31" x14ac:dyDescent="0.25">
      <c r="A52" s="47" t="str">
        <f>IFERROR(INDEX('G-8 Condition Look up'!$I$4:$I$130,MATCH(F52,'G-8 Condition Look up'!$A$4:$A$130,0)),"")</f>
        <v/>
      </c>
      <c r="C52" s="384" t="str">
        <f>IFERROR(INDEX('G-1 All Habitats'!$AG$3:$AG$15,MATCH(D52,'G-1 All Habitats'!$AF$3:$AF$15,0)),"")</f>
        <v/>
      </c>
      <c r="D52" s="146"/>
      <c r="E52" s="79"/>
      <c r="F52" s="246" t="str">
        <f>IFERROR(INDEX('G-1 All Habitats'!$B$3:$B$129,MATCH(E52,'G-1 All Habitats'!$A$3:$A$129,0)),"")</f>
        <v/>
      </c>
      <c r="G52" s="70"/>
      <c r="H52" s="498" t="str">
        <f>IF(F52="","",VLOOKUP(F52,'G-1 All Habitats'!$B$2:$M$129,10,FALSE))</f>
        <v/>
      </c>
      <c r="I52" s="499" t="str">
        <f>IFERROR(VLOOKUP(H52,'G-1 All Habitats'!$V$3:$W$7,2,FALSE),"")</f>
        <v/>
      </c>
      <c r="J52" s="71"/>
      <c r="K52" s="499" t="str">
        <f>IFERROR(INDEX('G-8 Condition Look up'!$A$3:$H$130,MATCH(F52,'G-8 Condition Look up'!$A$3:$A$130,0),MATCH(J52,'G-8 Condition Look up'!$A$3:$H$3,0)),"")</f>
        <v/>
      </c>
      <c r="L52" s="71"/>
      <c r="M52" s="507" t="str">
        <f>IF(L52="","",IF(VLOOKUP(L52,'G-3 Multipliers'!$L$3:$N$6,2,FALSE)=0,"Spatial Data Missing",VLOOKUP(L52,'G-3 Multipliers'!$L$3:$N$6,2,FALSE)))</f>
        <v/>
      </c>
      <c r="N52" s="505" t="str">
        <f>IF(L52="","",IF(VLOOKUP(L52,'G-3 Multipliers'!$L$3:$N$6,3,FALSE)=0,"Spatial Data Missing",VLOOKUP(L52,'G-3 Multipliers'!$L$3:$N$6,3,FALSE)))</f>
        <v/>
      </c>
      <c r="O52" s="498" t="str">
        <f t="shared" si="0"/>
        <v/>
      </c>
      <c r="P52" s="82"/>
      <c r="Q52" s="82"/>
      <c r="R52" s="507" t="str">
        <f t="shared" si="2"/>
        <v/>
      </c>
      <c r="S52" s="521" t="str">
        <f t="shared" si="3"/>
        <v/>
      </c>
      <c r="T52" s="522"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losses",P52&gt;=O52),"Low",VLOOKUP(F52,'G-3 Multipliers'!$A$2:$E$129,4,FALSE))))</f>
        <v/>
      </c>
      <c r="X52" s="524" t="str">
        <f>IFERROR(IF(E52="","",VLOOKUP(W52, 'G-3 Multipliers'!$P$2:$Q$6,2,FALSE)),"")</f>
        <v/>
      </c>
      <c r="Y52" s="529" t="str">
        <f t="shared" si="5"/>
        <v/>
      </c>
      <c r="Z52" s="239"/>
      <c r="AA52" s="240"/>
      <c r="AE52" s="54" t="str">
        <f t="shared" si="1"/>
        <v/>
      </c>
    </row>
    <row r="53" spans="1:31" x14ac:dyDescent="0.25">
      <c r="A53" s="47" t="str">
        <f>IFERROR(INDEX('G-8 Condition Look up'!$I$4:$I$130,MATCH(F53,'G-8 Condition Look up'!$A$4:$A$130,0)),"")</f>
        <v/>
      </c>
      <c r="C53" s="384" t="str">
        <f>IFERROR(INDEX('G-1 All Habitats'!$AG$3:$AG$15,MATCH(D53,'G-1 All Habitats'!$AF$3:$AF$15,0)),"")</f>
        <v/>
      </c>
      <c r="D53" s="146"/>
      <c r="E53" s="79"/>
      <c r="F53" s="246" t="str">
        <f>IFERROR(INDEX('G-1 All Habitats'!$B$3:$B$129,MATCH(E53,'G-1 All Habitats'!$A$3:$A$129,0)),"")</f>
        <v/>
      </c>
      <c r="G53" s="70"/>
      <c r="H53" s="498" t="str">
        <f>IF(F53="","",VLOOKUP(F53,'G-1 All Habitats'!$B$2:$M$129,10,FALSE))</f>
        <v/>
      </c>
      <c r="I53" s="499" t="str">
        <f>IFERROR(VLOOKUP(H53,'G-1 All Habitats'!$V$3:$W$7,2,FALSE),"")</f>
        <v/>
      </c>
      <c r="J53" s="71"/>
      <c r="K53" s="499" t="str">
        <f>IFERROR(INDEX('G-8 Condition Look up'!$A$3:$H$130,MATCH(F53,'G-8 Condition Look up'!$A$3:$A$130,0),MATCH(J53,'G-8 Condition Look up'!$A$3:$H$3,0)),"")</f>
        <v/>
      </c>
      <c r="L53" s="71"/>
      <c r="M53" s="507" t="str">
        <f>IF(L53="","",IF(VLOOKUP(L53,'G-3 Multipliers'!$L$3:$N$6,2,FALSE)=0,"Spatial Data Missing",VLOOKUP(L53,'G-3 Multipliers'!$L$3:$N$6,2,FALSE)))</f>
        <v/>
      </c>
      <c r="N53" s="505" t="str">
        <f>IF(L53="","",IF(VLOOKUP(L53,'G-3 Multipliers'!$L$3:$N$6,3,FALSE)=0,"Spatial Data Missing",VLOOKUP(L53,'G-3 Multipliers'!$L$3:$N$6,3,FALSE)))</f>
        <v/>
      </c>
      <c r="O53" s="498" t="str">
        <f t="shared" si="0"/>
        <v/>
      </c>
      <c r="P53" s="82"/>
      <c r="Q53" s="82"/>
      <c r="R53" s="507" t="str">
        <f t="shared" si="2"/>
        <v/>
      </c>
      <c r="S53" s="521" t="str">
        <f t="shared" si="3"/>
        <v/>
      </c>
      <c r="T53" s="522"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losses",P53&gt;=O53),"Low",VLOOKUP(F53,'G-3 Multipliers'!$A$2:$E$129,4,FALSE))))</f>
        <v/>
      </c>
      <c r="X53" s="524" t="str">
        <f>IFERROR(IF(E53="","",VLOOKUP(W53, 'G-3 Multipliers'!$P$2:$Q$6,2,FALSE)),"")</f>
        <v/>
      </c>
      <c r="Y53" s="529" t="str">
        <f t="shared" si="5"/>
        <v/>
      </c>
      <c r="Z53" s="239"/>
      <c r="AA53" s="240"/>
      <c r="AE53" s="54" t="str">
        <f t="shared" si="1"/>
        <v/>
      </c>
    </row>
    <row r="54" spans="1:31" x14ac:dyDescent="0.25">
      <c r="A54" s="47" t="str">
        <f>IFERROR(INDEX('G-8 Condition Look up'!$I$4:$I$130,MATCH(F54,'G-8 Condition Look up'!$A$4:$A$130,0)),"")</f>
        <v/>
      </c>
      <c r="C54" s="384" t="str">
        <f>IFERROR(INDEX('G-1 All Habitats'!$AG$3:$AG$15,MATCH(D54,'G-1 All Habitats'!$AF$3:$AF$15,0)),"")</f>
        <v/>
      </c>
      <c r="D54" s="146"/>
      <c r="E54" s="79"/>
      <c r="F54" s="246" t="str">
        <f>IFERROR(INDEX('G-1 All Habitats'!$B$3:$B$129,MATCH(E54,'G-1 All Habitats'!$A$3:$A$129,0)),"")</f>
        <v/>
      </c>
      <c r="G54" s="70"/>
      <c r="H54" s="498" t="str">
        <f>IF(F54="","",VLOOKUP(F54,'G-1 All Habitats'!$B$2:$M$129,10,FALSE))</f>
        <v/>
      </c>
      <c r="I54" s="499" t="str">
        <f>IFERROR(VLOOKUP(H54,'G-1 All Habitats'!$V$3:$W$7,2,FALSE),"")</f>
        <v/>
      </c>
      <c r="J54" s="71"/>
      <c r="K54" s="499" t="str">
        <f>IFERROR(INDEX('G-8 Condition Look up'!$A$3:$H$130,MATCH(F54,'G-8 Condition Look up'!$A$3:$A$130,0),MATCH(J54,'G-8 Condition Look up'!$A$3:$H$3,0)),"")</f>
        <v/>
      </c>
      <c r="L54" s="71"/>
      <c r="M54" s="507" t="str">
        <f>IF(L54="","",IF(VLOOKUP(L54,'G-3 Multipliers'!$L$3:$N$6,2,FALSE)=0,"Spatial Data Missing",VLOOKUP(L54,'G-3 Multipliers'!$L$3:$N$6,2,FALSE)))</f>
        <v/>
      </c>
      <c r="N54" s="505" t="str">
        <f>IF(L54="","",IF(VLOOKUP(L54,'G-3 Multipliers'!$L$3:$N$6,3,FALSE)=0,"Spatial Data Missing",VLOOKUP(L54,'G-3 Multipliers'!$L$3:$N$6,3,FALSE)))</f>
        <v/>
      </c>
      <c r="O54" s="498" t="str">
        <f t="shared" si="0"/>
        <v/>
      </c>
      <c r="P54" s="82"/>
      <c r="Q54" s="82"/>
      <c r="R54" s="507" t="str">
        <f t="shared" si="2"/>
        <v/>
      </c>
      <c r="S54" s="521" t="str">
        <f t="shared" si="3"/>
        <v/>
      </c>
      <c r="T54" s="522"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losses",P54&gt;=O54),"Low",VLOOKUP(F54,'G-3 Multipliers'!$A$2:$E$129,4,FALSE))))</f>
        <v/>
      </c>
      <c r="X54" s="524" t="str">
        <f>IFERROR(IF(E54="","",VLOOKUP(W54, 'G-3 Multipliers'!$P$2:$Q$6,2,FALSE)),"")</f>
        <v/>
      </c>
      <c r="Y54" s="529" t="str">
        <f t="shared" si="5"/>
        <v/>
      </c>
      <c r="Z54" s="239"/>
      <c r="AA54" s="240"/>
      <c r="AE54" s="54" t="str">
        <f t="shared" si="1"/>
        <v/>
      </c>
    </row>
    <row r="55" spans="1:31" x14ac:dyDescent="0.25">
      <c r="A55" s="47" t="str">
        <f>IFERROR(INDEX('G-8 Condition Look up'!$I$4:$I$130,MATCH(F55,'G-8 Condition Look up'!$A$4:$A$130,0)),"")</f>
        <v/>
      </c>
      <c r="C55" s="384" t="str">
        <f>IFERROR(INDEX('G-1 All Habitats'!$AG$3:$AG$15,MATCH(D55,'G-1 All Habitats'!$AF$3:$AF$15,0)),"")</f>
        <v/>
      </c>
      <c r="D55" s="146"/>
      <c r="E55" s="79"/>
      <c r="F55" s="246" t="str">
        <f>IFERROR(INDEX('G-1 All Habitats'!$B$3:$B$129,MATCH(E55,'G-1 All Habitats'!$A$3:$A$129,0)),"")</f>
        <v/>
      </c>
      <c r="G55" s="70"/>
      <c r="H55" s="498" t="str">
        <f>IF(F55="","",VLOOKUP(F55,'G-1 All Habitats'!$B$2:$M$129,10,FALSE))</f>
        <v/>
      </c>
      <c r="I55" s="499" t="str">
        <f>IFERROR(VLOOKUP(H55,'G-1 All Habitats'!$V$3:$W$7,2,FALSE),"")</f>
        <v/>
      </c>
      <c r="J55" s="71"/>
      <c r="K55" s="499" t="str">
        <f>IFERROR(INDEX('G-8 Condition Look up'!$A$3:$H$130,MATCH(F55,'G-8 Condition Look up'!$A$3:$A$130,0),MATCH(J55,'G-8 Condition Look up'!$A$3:$H$3,0)),"")</f>
        <v/>
      </c>
      <c r="L55" s="71"/>
      <c r="M55" s="507" t="str">
        <f>IF(L55="","",IF(VLOOKUP(L55,'G-3 Multipliers'!$L$3:$N$6,2,FALSE)=0,"Spatial Data Missing",VLOOKUP(L55,'G-3 Multipliers'!$L$3:$N$6,2,FALSE)))</f>
        <v/>
      </c>
      <c r="N55" s="505" t="str">
        <f>IF(L55="","",IF(VLOOKUP(L55,'G-3 Multipliers'!$L$3:$N$6,3,FALSE)=0,"Spatial Data Missing",VLOOKUP(L55,'G-3 Multipliers'!$L$3:$N$6,3,FALSE)))</f>
        <v/>
      </c>
      <c r="O55" s="498" t="str">
        <f t="shared" si="0"/>
        <v/>
      </c>
      <c r="P55" s="82"/>
      <c r="Q55" s="82"/>
      <c r="R55" s="507" t="str">
        <f t="shared" si="2"/>
        <v/>
      </c>
      <c r="S55" s="521" t="str">
        <f t="shared" si="3"/>
        <v/>
      </c>
      <c r="T55" s="522"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losses",P55&gt;=O55),"Low",VLOOKUP(F55,'G-3 Multipliers'!$A$2:$E$129,4,FALSE))))</f>
        <v/>
      </c>
      <c r="X55" s="524" t="str">
        <f>IFERROR(IF(E55="","",VLOOKUP(W55, 'G-3 Multipliers'!$P$2:$Q$6,2,FALSE)),"")</f>
        <v/>
      </c>
      <c r="Y55" s="529" t="str">
        <f t="shared" si="5"/>
        <v/>
      </c>
      <c r="Z55" s="239"/>
      <c r="AA55" s="240"/>
      <c r="AE55" s="54" t="str">
        <f t="shared" si="1"/>
        <v/>
      </c>
    </row>
    <row r="56" spans="1:31" x14ac:dyDescent="0.25">
      <c r="A56" s="47" t="str">
        <f>IFERROR(INDEX('G-8 Condition Look up'!$I$4:$I$130,MATCH(F56,'G-8 Condition Look up'!$A$4:$A$130,0)),"")</f>
        <v/>
      </c>
      <c r="C56" s="384" t="str">
        <f>IFERROR(INDEX('G-1 All Habitats'!$AG$3:$AG$15,MATCH(D56,'G-1 All Habitats'!$AF$3:$AF$15,0)),"")</f>
        <v/>
      </c>
      <c r="D56" s="146"/>
      <c r="E56" s="79"/>
      <c r="F56" s="246" t="str">
        <f>IFERROR(INDEX('G-1 All Habitats'!$B$3:$B$129,MATCH(E56,'G-1 All Habitats'!$A$3:$A$129,0)),"")</f>
        <v/>
      </c>
      <c r="G56" s="70"/>
      <c r="H56" s="498" t="str">
        <f>IF(F56="","",VLOOKUP(F56,'G-1 All Habitats'!$B$2:$M$129,10,FALSE))</f>
        <v/>
      </c>
      <c r="I56" s="499" t="str">
        <f>IFERROR(VLOOKUP(H56,'G-1 All Habitats'!$V$3:$W$7,2,FALSE),"")</f>
        <v/>
      </c>
      <c r="J56" s="71"/>
      <c r="K56" s="499" t="str">
        <f>IFERROR(INDEX('G-8 Condition Look up'!$A$3:$H$130,MATCH(F56,'G-8 Condition Look up'!$A$3:$A$130,0),MATCH(J56,'G-8 Condition Look up'!$A$3:$H$3,0)),"")</f>
        <v/>
      </c>
      <c r="L56" s="71"/>
      <c r="M56" s="507" t="str">
        <f>IF(L56="","",IF(VLOOKUP(L56,'G-3 Multipliers'!$L$3:$N$6,2,FALSE)=0,"Spatial Data Missing",VLOOKUP(L56,'G-3 Multipliers'!$L$3:$N$6,2,FALSE)))</f>
        <v/>
      </c>
      <c r="N56" s="505" t="str">
        <f>IF(L56="","",IF(VLOOKUP(L56,'G-3 Multipliers'!$L$3:$N$6,3,FALSE)=0,"Spatial Data Missing",VLOOKUP(L56,'G-3 Multipliers'!$L$3:$N$6,3,FALSE)))</f>
        <v/>
      </c>
      <c r="O56" s="498" t="str">
        <f t="shared" si="0"/>
        <v/>
      </c>
      <c r="P56" s="82"/>
      <c r="Q56" s="82"/>
      <c r="R56" s="507" t="str">
        <f t="shared" si="2"/>
        <v/>
      </c>
      <c r="S56" s="521" t="str">
        <f t="shared" si="3"/>
        <v/>
      </c>
      <c r="T56" s="522"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losses",P56&gt;=O56),"Low",VLOOKUP(F56,'G-3 Multipliers'!$A$2:$E$129,4,FALSE))))</f>
        <v/>
      </c>
      <c r="X56" s="524" t="str">
        <f>IFERROR(IF(E56="","",VLOOKUP(W56, 'G-3 Multipliers'!$P$2:$Q$6,2,FALSE)),"")</f>
        <v/>
      </c>
      <c r="Y56" s="529" t="str">
        <f t="shared" si="5"/>
        <v/>
      </c>
      <c r="Z56" s="239"/>
      <c r="AA56" s="240"/>
      <c r="AE56" s="54" t="str">
        <f t="shared" si="1"/>
        <v/>
      </c>
    </row>
    <row r="57" spans="1:31" x14ac:dyDescent="0.25">
      <c r="A57" s="47" t="str">
        <f>IFERROR(INDEX('G-8 Condition Look up'!$I$4:$I$130,MATCH(F57,'G-8 Condition Look up'!$A$4:$A$130,0)),"")</f>
        <v/>
      </c>
      <c r="C57" s="384" t="str">
        <f>IFERROR(INDEX('G-1 All Habitats'!$AG$3:$AG$15,MATCH(D57,'G-1 All Habitats'!$AF$3:$AF$15,0)),"")</f>
        <v/>
      </c>
      <c r="D57" s="146"/>
      <c r="E57" s="79"/>
      <c r="F57" s="246" t="str">
        <f>IFERROR(INDEX('G-1 All Habitats'!$B$3:$B$129,MATCH(E57,'G-1 All Habitats'!$A$3:$A$129,0)),"")</f>
        <v/>
      </c>
      <c r="G57" s="70"/>
      <c r="H57" s="498" t="str">
        <f>IF(F57="","",VLOOKUP(F57,'G-1 All Habitats'!$B$2:$M$129,10,FALSE))</f>
        <v/>
      </c>
      <c r="I57" s="499" t="str">
        <f>IFERROR(VLOOKUP(H57,'G-1 All Habitats'!$V$3:$W$7,2,FALSE),"")</f>
        <v/>
      </c>
      <c r="J57" s="71"/>
      <c r="K57" s="499" t="str">
        <f>IFERROR(INDEX('G-8 Condition Look up'!$A$3:$H$130,MATCH(F57,'G-8 Condition Look up'!$A$3:$A$130,0),MATCH(J57,'G-8 Condition Look up'!$A$3:$H$3,0)),"")</f>
        <v/>
      </c>
      <c r="L57" s="71"/>
      <c r="M57" s="507" t="str">
        <f>IF(L57="","",IF(VLOOKUP(L57,'G-3 Multipliers'!$L$3:$N$6,2,FALSE)=0,"Spatial Data Missing",VLOOKUP(L57,'G-3 Multipliers'!$L$3:$N$6,2,FALSE)))</f>
        <v/>
      </c>
      <c r="N57" s="505" t="str">
        <f>IF(L57="","",IF(VLOOKUP(L57,'G-3 Multipliers'!$L$3:$N$6,3,FALSE)=0,"Spatial Data Missing",VLOOKUP(L57,'G-3 Multipliers'!$L$3:$N$6,3,FALSE)))</f>
        <v/>
      </c>
      <c r="O57" s="498" t="str">
        <f t="shared" si="0"/>
        <v/>
      </c>
      <c r="P57" s="82"/>
      <c r="Q57" s="82"/>
      <c r="R57" s="507" t="str">
        <f t="shared" si="2"/>
        <v/>
      </c>
      <c r="S57" s="521" t="str">
        <f t="shared" si="3"/>
        <v/>
      </c>
      <c r="T57" s="522"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losses",P57&gt;=O57),"Low",VLOOKUP(F57,'G-3 Multipliers'!$A$2:$E$129,4,FALSE))))</f>
        <v/>
      </c>
      <c r="X57" s="524" t="str">
        <f>IFERROR(IF(E57="","",VLOOKUP(W57, 'G-3 Multipliers'!$P$2:$Q$6,2,FALSE)),"")</f>
        <v/>
      </c>
      <c r="Y57" s="529" t="str">
        <f t="shared" si="5"/>
        <v/>
      </c>
      <c r="Z57" s="239"/>
      <c r="AA57" s="240"/>
      <c r="AE57" s="54" t="str">
        <f t="shared" si="1"/>
        <v/>
      </c>
    </row>
    <row r="58" spans="1:31" x14ac:dyDescent="0.25">
      <c r="A58" s="47" t="str">
        <f>IFERROR(INDEX('G-8 Condition Look up'!$I$4:$I$130,MATCH(F58,'G-8 Condition Look up'!$A$4:$A$130,0)),"")</f>
        <v/>
      </c>
      <c r="C58" s="384" t="str">
        <f>IFERROR(INDEX('G-1 All Habitats'!$AG$3:$AG$15,MATCH(D58,'G-1 All Habitats'!$AF$3:$AF$15,0)),"")</f>
        <v/>
      </c>
      <c r="D58" s="146"/>
      <c r="E58" s="79"/>
      <c r="F58" s="246" t="str">
        <f>IFERROR(INDEX('G-1 All Habitats'!$B$3:$B$129,MATCH(E58,'G-1 All Habitats'!$A$3:$A$129,0)),"")</f>
        <v/>
      </c>
      <c r="G58" s="70"/>
      <c r="H58" s="498" t="str">
        <f>IF(F58="","",VLOOKUP(F58,'G-1 All Habitats'!$B$2:$M$129,10,FALSE))</f>
        <v/>
      </c>
      <c r="I58" s="499" t="str">
        <f>IFERROR(VLOOKUP(H58,'G-1 All Habitats'!$V$3:$W$7,2,FALSE),"")</f>
        <v/>
      </c>
      <c r="J58" s="71"/>
      <c r="K58" s="499" t="str">
        <f>IFERROR(INDEX('G-8 Condition Look up'!$A$3:$H$130,MATCH(F58,'G-8 Condition Look up'!$A$3:$A$130,0),MATCH(J58,'G-8 Condition Look up'!$A$3:$H$3,0)),"")</f>
        <v/>
      </c>
      <c r="L58" s="71"/>
      <c r="M58" s="507" t="str">
        <f>IF(L58="","",IF(VLOOKUP(L58,'G-3 Multipliers'!$L$3:$N$6,2,FALSE)=0,"Spatial Data Missing",VLOOKUP(L58,'G-3 Multipliers'!$L$3:$N$6,2,FALSE)))</f>
        <v/>
      </c>
      <c r="N58" s="505" t="str">
        <f>IF(L58="","",IF(VLOOKUP(L58,'G-3 Multipliers'!$L$3:$N$6,3,FALSE)=0,"Spatial Data Missing",VLOOKUP(L58,'G-3 Multipliers'!$L$3:$N$6,3,FALSE)))</f>
        <v/>
      </c>
      <c r="O58" s="498" t="str">
        <f t="shared" si="0"/>
        <v/>
      </c>
      <c r="P58" s="82"/>
      <c r="Q58" s="82"/>
      <c r="R58" s="507" t="str">
        <f t="shared" si="2"/>
        <v/>
      </c>
      <c r="S58" s="521" t="str">
        <f t="shared" si="3"/>
        <v/>
      </c>
      <c r="T58" s="522"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losses",P58&gt;=O58),"Low",VLOOKUP(F58,'G-3 Multipliers'!$A$2:$E$129,4,FALSE))))</f>
        <v/>
      </c>
      <c r="X58" s="524" t="str">
        <f>IFERROR(IF(E58="","",VLOOKUP(W58, 'G-3 Multipliers'!$P$2:$Q$6,2,FALSE)),"")</f>
        <v/>
      </c>
      <c r="Y58" s="529" t="str">
        <f t="shared" si="5"/>
        <v/>
      </c>
      <c r="Z58" s="239"/>
      <c r="AA58" s="240"/>
      <c r="AE58" s="54" t="str">
        <f t="shared" si="1"/>
        <v/>
      </c>
    </row>
    <row r="59" spans="1:31" x14ac:dyDescent="0.25">
      <c r="A59" s="47" t="str">
        <f>IFERROR(INDEX('G-8 Condition Look up'!$I$4:$I$130,MATCH(F59,'G-8 Condition Look up'!$A$4:$A$130,0)),"")</f>
        <v/>
      </c>
      <c r="C59" s="384" t="str">
        <f>IFERROR(INDEX('G-1 All Habitats'!$AG$3:$AG$15,MATCH(D59,'G-1 All Habitats'!$AF$3:$AF$15,0)),"")</f>
        <v/>
      </c>
      <c r="D59" s="146"/>
      <c r="E59" s="79"/>
      <c r="F59" s="246" t="str">
        <f>IFERROR(INDEX('G-1 All Habitats'!$B$3:$B$129,MATCH(E59,'G-1 All Habitats'!$A$3:$A$129,0)),"")</f>
        <v/>
      </c>
      <c r="G59" s="70"/>
      <c r="H59" s="498" t="str">
        <f>IF(F59="","",VLOOKUP(F59,'G-1 All Habitats'!$B$2:$M$129,10,FALSE))</f>
        <v/>
      </c>
      <c r="I59" s="499" t="str">
        <f>IFERROR(VLOOKUP(H59,'G-1 All Habitats'!$V$3:$W$7,2,FALSE),"")</f>
        <v/>
      </c>
      <c r="J59" s="71"/>
      <c r="K59" s="499" t="str">
        <f>IFERROR(INDEX('G-8 Condition Look up'!$A$3:$H$130,MATCH(F59,'G-8 Condition Look up'!$A$3:$A$130,0),MATCH(J59,'G-8 Condition Look up'!$A$3:$H$3,0)),"")</f>
        <v/>
      </c>
      <c r="L59" s="71"/>
      <c r="M59" s="507" t="str">
        <f>IF(L59="","",IF(VLOOKUP(L59,'G-3 Multipliers'!$L$3:$N$6,2,FALSE)=0,"Spatial Data Missing",VLOOKUP(L59,'G-3 Multipliers'!$L$3:$N$6,2,FALSE)))</f>
        <v/>
      </c>
      <c r="N59" s="505" t="str">
        <f>IF(L59="","",IF(VLOOKUP(L59,'G-3 Multipliers'!$L$3:$N$6,3,FALSE)=0,"Spatial Data Missing",VLOOKUP(L59,'G-3 Multipliers'!$L$3:$N$6,3,FALSE)))</f>
        <v/>
      </c>
      <c r="O59" s="498" t="str">
        <f t="shared" si="0"/>
        <v/>
      </c>
      <c r="P59" s="82"/>
      <c r="Q59" s="82"/>
      <c r="R59" s="507" t="str">
        <f t="shared" si="2"/>
        <v/>
      </c>
      <c r="S59" s="521" t="str">
        <f t="shared" si="3"/>
        <v/>
      </c>
      <c r="T59" s="522"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losses",P59&gt;=O59),"Low",VLOOKUP(F59,'G-3 Multipliers'!$A$2:$E$129,4,FALSE))))</f>
        <v/>
      </c>
      <c r="X59" s="524" t="str">
        <f>IFERROR(IF(E59="","",VLOOKUP(W59, 'G-3 Multipliers'!$P$2:$Q$6,2,FALSE)),"")</f>
        <v/>
      </c>
      <c r="Y59" s="529" t="str">
        <f t="shared" si="5"/>
        <v/>
      </c>
      <c r="Z59" s="239"/>
      <c r="AA59" s="240"/>
      <c r="AE59" s="54" t="str">
        <f t="shared" si="1"/>
        <v/>
      </c>
    </row>
    <row r="60" spans="1:31" x14ac:dyDescent="0.25">
      <c r="A60" s="47" t="str">
        <f>IFERROR(INDEX('G-8 Condition Look up'!$I$4:$I$130,MATCH(F60,'G-8 Condition Look up'!$A$4:$A$130,0)),"")</f>
        <v/>
      </c>
      <c r="C60" s="384" t="str">
        <f>IFERROR(INDEX('G-1 All Habitats'!$AG$3:$AG$15,MATCH(D60,'G-1 All Habitats'!$AF$3:$AF$15,0)),"")</f>
        <v/>
      </c>
      <c r="D60" s="146"/>
      <c r="E60" s="79"/>
      <c r="F60" s="246" t="str">
        <f>IFERROR(INDEX('G-1 All Habitats'!$B$3:$B$129,MATCH(E60,'G-1 All Habitats'!$A$3:$A$129,0)),"")</f>
        <v/>
      </c>
      <c r="G60" s="70"/>
      <c r="H60" s="498" t="str">
        <f>IF(F60="","",VLOOKUP(F60,'G-1 All Habitats'!$B$2:$M$129,10,FALSE))</f>
        <v/>
      </c>
      <c r="I60" s="499" t="str">
        <f>IFERROR(VLOOKUP(H60,'G-1 All Habitats'!$V$3:$W$7,2,FALSE),"")</f>
        <v/>
      </c>
      <c r="J60" s="71"/>
      <c r="K60" s="499" t="str">
        <f>IFERROR(INDEX('G-8 Condition Look up'!$A$3:$H$130,MATCH(F60,'G-8 Condition Look up'!$A$3:$A$130,0),MATCH(J60,'G-8 Condition Look up'!$A$3:$H$3,0)),"")</f>
        <v/>
      </c>
      <c r="L60" s="71"/>
      <c r="M60" s="507" t="str">
        <f>IF(L60="","",IF(VLOOKUP(L60,'G-3 Multipliers'!$L$3:$N$6,2,FALSE)=0,"Spatial Data Missing",VLOOKUP(L60,'G-3 Multipliers'!$L$3:$N$6,2,FALSE)))</f>
        <v/>
      </c>
      <c r="N60" s="505" t="str">
        <f>IF(L60="","",IF(VLOOKUP(L60,'G-3 Multipliers'!$L$3:$N$6,3,FALSE)=0,"Spatial Data Missing",VLOOKUP(L60,'G-3 Multipliers'!$L$3:$N$6,3,FALSE)))</f>
        <v/>
      </c>
      <c r="O60" s="498" t="str">
        <f t="shared" si="0"/>
        <v/>
      </c>
      <c r="P60" s="82"/>
      <c r="Q60" s="82"/>
      <c r="R60" s="507" t="str">
        <f t="shared" si="2"/>
        <v/>
      </c>
      <c r="S60" s="521" t="str">
        <f t="shared" si="3"/>
        <v/>
      </c>
      <c r="T60" s="522"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losses",P60&gt;=O60),"Low",VLOOKUP(F60,'G-3 Multipliers'!$A$2:$E$129,4,FALSE))))</f>
        <v/>
      </c>
      <c r="X60" s="524" t="str">
        <f>IFERROR(IF(E60="","",VLOOKUP(W60, 'G-3 Multipliers'!$P$2:$Q$6,2,FALSE)),"")</f>
        <v/>
      </c>
      <c r="Y60" s="529" t="str">
        <f t="shared" si="5"/>
        <v/>
      </c>
      <c r="Z60" s="239"/>
      <c r="AA60" s="240"/>
      <c r="AE60" s="54" t="str">
        <f t="shared" si="1"/>
        <v/>
      </c>
    </row>
    <row r="61" spans="1:31" x14ac:dyDescent="0.25">
      <c r="A61" s="47" t="str">
        <f>IFERROR(INDEX('G-8 Condition Look up'!$I$4:$I$130,MATCH(F61,'G-8 Condition Look up'!$A$4:$A$130,0)),"")</f>
        <v/>
      </c>
      <c r="C61" s="384" t="str">
        <f>IFERROR(INDEX('G-1 All Habitats'!$AG$3:$AG$15,MATCH(D61,'G-1 All Habitats'!$AF$3:$AF$15,0)),"")</f>
        <v/>
      </c>
      <c r="D61" s="146"/>
      <c r="E61" s="79"/>
      <c r="F61" s="246" t="str">
        <f>IFERROR(INDEX('G-1 All Habitats'!$B$3:$B$129,MATCH(E61,'G-1 All Habitats'!$A$3:$A$129,0)),"")</f>
        <v/>
      </c>
      <c r="G61" s="70"/>
      <c r="H61" s="498" t="str">
        <f>IF(F61="","",VLOOKUP(F61,'G-1 All Habitats'!$B$2:$M$129,10,FALSE))</f>
        <v/>
      </c>
      <c r="I61" s="499" t="str">
        <f>IFERROR(VLOOKUP(H61,'G-1 All Habitats'!$V$3:$W$7,2,FALSE),"")</f>
        <v/>
      </c>
      <c r="J61" s="71"/>
      <c r="K61" s="499" t="str">
        <f>IFERROR(INDEX('G-8 Condition Look up'!$A$3:$H$130,MATCH(F61,'G-8 Condition Look up'!$A$3:$A$130,0),MATCH(J61,'G-8 Condition Look up'!$A$3:$H$3,0)),"")</f>
        <v/>
      </c>
      <c r="L61" s="71"/>
      <c r="M61" s="507" t="str">
        <f>IF(L61="","",IF(VLOOKUP(L61,'G-3 Multipliers'!$L$3:$N$6,2,FALSE)=0,"Spatial Data Missing",VLOOKUP(L61,'G-3 Multipliers'!$L$3:$N$6,2,FALSE)))</f>
        <v/>
      </c>
      <c r="N61" s="505" t="str">
        <f>IF(L61="","",IF(VLOOKUP(L61,'G-3 Multipliers'!$L$3:$N$6,3,FALSE)=0,"Spatial Data Missing",VLOOKUP(L61,'G-3 Multipliers'!$L$3:$N$6,3,FALSE)))</f>
        <v/>
      </c>
      <c r="O61" s="498" t="str">
        <f t="shared" si="0"/>
        <v/>
      </c>
      <c r="P61" s="82"/>
      <c r="Q61" s="82"/>
      <c r="R61" s="507" t="str">
        <f t="shared" si="2"/>
        <v/>
      </c>
      <c r="S61" s="521" t="str">
        <f t="shared" si="3"/>
        <v/>
      </c>
      <c r="T61" s="522"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losses",P61&gt;=O61),"Low",VLOOKUP(F61,'G-3 Multipliers'!$A$2:$E$129,4,FALSE))))</f>
        <v/>
      </c>
      <c r="X61" s="524" t="str">
        <f>IFERROR(IF(E61="","",VLOOKUP(W61, 'G-3 Multipliers'!$P$2:$Q$6,2,FALSE)),"")</f>
        <v/>
      </c>
      <c r="Y61" s="529" t="str">
        <f t="shared" si="5"/>
        <v/>
      </c>
      <c r="Z61" s="239"/>
      <c r="AA61" s="240"/>
      <c r="AE61" s="54" t="str">
        <f t="shared" si="1"/>
        <v/>
      </c>
    </row>
    <row r="62" spans="1:31" x14ac:dyDescent="0.25">
      <c r="A62" s="47" t="str">
        <f>IFERROR(INDEX('G-8 Condition Look up'!$I$4:$I$130,MATCH(F62,'G-8 Condition Look up'!$A$4:$A$130,0)),"")</f>
        <v/>
      </c>
      <c r="C62" s="384" t="str">
        <f>IFERROR(INDEX('G-1 All Habitats'!$AG$3:$AG$15,MATCH(D62,'G-1 All Habitats'!$AF$3:$AF$15,0)),"")</f>
        <v/>
      </c>
      <c r="D62" s="146"/>
      <c r="E62" s="79"/>
      <c r="F62" s="246" t="str">
        <f>IFERROR(INDEX('G-1 All Habitats'!$B$3:$B$129,MATCH(E62,'G-1 All Habitats'!$A$3:$A$129,0)),"")</f>
        <v/>
      </c>
      <c r="G62" s="70"/>
      <c r="H62" s="498" t="str">
        <f>IF(F62="","",VLOOKUP(F62,'G-1 All Habitats'!$B$2:$M$129,10,FALSE))</f>
        <v/>
      </c>
      <c r="I62" s="499" t="str">
        <f>IFERROR(VLOOKUP(H62,'G-1 All Habitats'!$V$3:$W$7,2,FALSE),"")</f>
        <v/>
      </c>
      <c r="J62" s="71"/>
      <c r="K62" s="499" t="str">
        <f>IFERROR(INDEX('G-8 Condition Look up'!$A$3:$H$130,MATCH(F62,'G-8 Condition Look up'!$A$3:$A$130,0),MATCH(J62,'G-8 Condition Look up'!$A$3:$H$3,0)),"")</f>
        <v/>
      </c>
      <c r="L62" s="71"/>
      <c r="M62" s="507" t="str">
        <f>IF(L62="","",IF(VLOOKUP(L62,'G-3 Multipliers'!$L$3:$N$6,2,FALSE)=0,"Spatial Data Missing",VLOOKUP(L62,'G-3 Multipliers'!$L$3:$N$6,2,FALSE)))</f>
        <v/>
      </c>
      <c r="N62" s="505" t="str">
        <f>IF(L62="","",IF(VLOOKUP(L62,'G-3 Multipliers'!$L$3:$N$6,3,FALSE)=0,"Spatial Data Missing",VLOOKUP(L62,'G-3 Multipliers'!$L$3:$N$6,3,FALSE)))</f>
        <v/>
      </c>
      <c r="O62" s="498" t="str">
        <f t="shared" si="0"/>
        <v/>
      </c>
      <c r="P62" s="82"/>
      <c r="Q62" s="82"/>
      <c r="R62" s="507" t="str">
        <f t="shared" si="2"/>
        <v/>
      </c>
      <c r="S62" s="521" t="str">
        <f t="shared" si="3"/>
        <v/>
      </c>
      <c r="T62" s="522"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losses",P62&gt;=O62),"Low",VLOOKUP(F62,'G-3 Multipliers'!$A$2:$E$129,4,FALSE))))</f>
        <v/>
      </c>
      <c r="X62" s="524" t="str">
        <f>IFERROR(IF(E62="","",VLOOKUP(W62, 'G-3 Multipliers'!$P$2:$Q$6,2,FALSE)),"")</f>
        <v/>
      </c>
      <c r="Y62" s="529" t="str">
        <f t="shared" si="5"/>
        <v/>
      </c>
      <c r="Z62" s="239"/>
      <c r="AA62" s="240"/>
      <c r="AE62" s="54" t="str">
        <f t="shared" si="1"/>
        <v/>
      </c>
    </row>
    <row r="63" spans="1:31" x14ac:dyDescent="0.25">
      <c r="A63" s="47" t="str">
        <f>IFERROR(INDEX('G-8 Condition Look up'!$I$4:$I$130,MATCH(F63,'G-8 Condition Look up'!$A$4:$A$130,0)),"")</f>
        <v/>
      </c>
      <c r="C63" s="384" t="str">
        <f>IFERROR(INDEX('G-1 All Habitats'!$AG$3:$AG$15,MATCH(D63,'G-1 All Habitats'!$AF$3:$AF$15,0)),"")</f>
        <v/>
      </c>
      <c r="D63" s="146"/>
      <c r="E63" s="79"/>
      <c r="F63" s="246" t="str">
        <f>IFERROR(INDEX('G-1 All Habitats'!$B$3:$B$129,MATCH(E63,'G-1 All Habitats'!$A$3:$A$129,0)),"")</f>
        <v/>
      </c>
      <c r="G63" s="70"/>
      <c r="H63" s="498" t="str">
        <f>IF(F63="","",VLOOKUP(F63,'G-1 All Habitats'!$B$2:$M$129,10,FALSE))</f>
        <v/>
      </c>
      <c r="I63" s="499" t="str">
        <f>IFERROR(VLOOKUP(H63,'G-1 All Habitats'!$V$3:$W$7,2,FALSE),"")</f>
        <v/>
      </c>
      <c r="J63" s="71"/>
      <c r="K63" s="499" t="str">
        <f>IFERROR(INDEX('G-8 Condition Look up'!$A$3:$H$130,MATCH(F63,'G-8 Condition Look up'!$A$3:$A$130,0),MATCH(J63,'G-8 Condition Look up'!$A$3:$H$3,0)),"")</f>
        <v/>
      </c>
      <c r="L63" s="71"/>
      <c r="M63" s="507" t="str">
        <f>IF(L63="","",IF(VLOOKUP(L63,'G-3 Multipliers'!$L$3:$N$6,2,FALSE)=0,"Spatial Data Missing",VLOOKUP(L63,'G-3 Multipliers'!$L$3:$N$6,2,FALSE)))</f>
        <v/>
      </c>
      <c r="N63" s="505" t="str">
        <f>IF(L63="","",IF(VLOOKUP(L63,'G-3 Multipliers'!$L$3:$N$6,3,FALSE)=0,"Spatial Data Missing",VLOOKUP(L63,'G-3 Multipliers'!$L$3:$N$6,3,FALSE)))</f>
        <v/>
      </c>
      <c r="O63" s="498" t="str">
        <f t="shared" si="0"/>
        <v/>
      </c>
      <c r="P63" s="82"/>
      <c r="Q63" s="82"/>
      <c r="R63" s="507" t="str">
        <f t="shared" si="2"/>
        <v/>
      </c>
      <c r="S63" s="521" t="str">
        <f t="shared" si="3"/>
        <v/>
      </c>
      <c r="T63" s="522"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losses",P63&gt;=O63),"Low",VLOOKUP(F63,'G-3 Multipliers'!$A$2:$E$129,4,FALSE))))</f>
        <v/>
      </c>
      <c r="X63" s="524" t="str">
        <f>IFERROR(IF(E63="","",VLOOKUP(W63, 'G-3 Multipliers'!$P$2:$Q$6,2,FALSE)),"")</f>
        <v/>
      </c>
      <c r="Y63" s="529" t="str">
        <f t="shared" si="5"/>
        <v/>
      </c>
      <c r="Z63" s="239"/>
      <c r="AA63" s="240"/>
      <c r="AE63" s="54" t="str">
        <f t="shared" si="1"/>
        <v/>
      </c>
    </row>
    <row r="64" spans="1:31" x14ac:dyDescent="0.25">
      <c r="A64" s="47" t="str">
        <f>IFERROR(INDEX('G-8 Condition Look up'!$I$4:$I$130,MATCH(F64,'G-8 Condition Look up'!$A$4:$A$130,0)),"")</f>
        <v/>
      </c>
      <c r="C64" s="384" t="str">
        <f>IFERROR(INDEX('G-1 All Habitats'!$AG$3:$AG$15,MATCH(D64,'G-1 All Habitats'!$AF$3:$AF$15,0)),"")</f>
        <v/>
      </c>
      <c r="D64" s="146"/>
      <c r="E64" s="79"/>
      <c r="F64" s="246" t="str">
        <f>IFERROR(INDEX('G-1 All Habitats'!$B$3:$B$129,MATCH(E64,'G-1 All Habitats'!$A$3:$A$129,0)),"")</f>
        <v/>
      </c>
      <c r="G64" s="70"/>
      <c r="H64" s="498" t="str">
        <f>IF(F64="","",VLOOKUP(F64,'G-1 All Habitats'!$B$2:$M$129,10,FALSE))</f>
        <v/>
      </c>
      <c r="I64" s="499" t="str">
        <f>IFERROR(VLOOKUP(H64,'G-1 All Habitats'!$V$3:$W$7,2,FALSE),"")</f>
        <v/>
      </c>
      <c r="J64" s="71"/>
      <c r="K64" s="499" t="str">
        <f>IFERROR(INDEX('G-8 Condition Look up'!$A$3:$H$130,MATCH(F64,'G-8 Condition Look up'!$A$3:$A$130,0),MATCH(J64,'G-8 Condition Look up'!$A$3:$H$3,0)),"")</f>
        <v/>
      </c>
      <c r="L64" s="71"/>
      <c r="M64" s="507" t="str">
        <f>IF(L64="","",IF(VLOOKUP(L64,'G-3 Multipliers'!$L$3:$N$6,2,FALSE)=0,"Spatial Data Missing",VLOOKUP(L64,'G-3 Multipliers'!$L$3:$N$6,2,FALSE)))</f>
        <v/>
      </c>
      <c r="N64" s="505" t="str">
        <f>IF(L64="","",IF(VLOOKUP(L64,'G-3 Multipliers'!$L$3:$N$6,3,FALSE)=0,"Spatial Data Missing",VLOOKUP(L64,'G-3 Multipliers'!$L$3:$N$6,3,FALSE)))</f>
        <v/>
      </c>
      <c r="O64" s="498" t="str">
        <f t="shared" si="0"/>
        <v/>
      </c>
      <c r="P64" s="82"/>
      <c r="Q64" s="82"/>
      <c r="R64" s="507" t="str">
        <f t="shared" si="2"/>
        <v/>
      </c>
      <c r="S64" s="521" t="str">
        <f t="shared" si="3"/>
        <v/>
      </c>
      <c r="T64" s="522"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losses",P64&gt;=O64),"Low",VLOOKUP(F64,'G-3 Multipliers'!$A$2:$E$129,4,FALSE))))</f>
        <v/>
      </c>
      <c r="X64" s="524" t="str">
        <f>IFERROR(IF(E64="","",VLOOKUP(W64, 'G-3 Multipliers'!$P$2:$Q$6,2,FALSE)),"")</f>
        <v/>
      </c>
      <c r="Y64" s="529" t="str">
        <f t="shared" si="5"/>
        <v/>
      </c>
      <c r="Z64" s="239"/>
      <c r="AA64" s="240"/>
      <c r="AE64" s="54" t="str">
        <f t="shared" si="1"/>
        <v/>
      </c>
    </row>
    <row r="65" spans="1:31" x14ac:dyDescent="0.25">
      <c r="A65" s="47" t="str">
        <f>IFERROR(INDEX('G-8 Condition Look up'!$I$4:$I$130,MATCH(F65,'G-8 Condition Look up'!$A$4:$A$130,0)),"")</f>
        <v/>
      </c>
      <c r="C65" s="384" t="str">
        <f>IFERROR(INDEX('G-1 All Habitats'!$AG$3:$AG$15,MATCH(D65,'G-1 All Habitats'!$AF$3:$AF$15,0)),"")</f>
        <v/>
      </c>
      <c r="D65" s="146"/>
      <c r="E65" s="79"/>
      <c r="F65" s="246" t="str">
        <f>IFERROR(INDEX('G-1 All Habitats'!$B$3:$B$129,MATCH(E65,'G-1 All Habitats'!$A$3:$A$129,0)),"")</f>
        <v/>
      </c>
      <c r="G65" s="70"/>
      <c r="H65" s="498" t="str">
        <f>IF(F65="","",VLOOKUP(F65,'G-1 All Habitats'!$B$2:$M$129,10,FALSE))</f>
        <v/>
      </c>
      <c r="I65" s="499" t="str">
        <f>IFERROR(VLOOKUP(H65,'G-1 All Habitats'!$V$3:$W$7,2,FALSE),"")</f>
        <v/>
      </c>
      <c r="J65" s="71"/>
      <c r="K65" s="499" t="str">
        <f>IFERROR(INDEX('G-8 Condition Look up'!$A$3:$H$130,MATCH(F65,'G-8 Condition Look up'!$A$3:$A$130,0),MATCH(J65,'G-8 Condition Look up'!$A$3:$H$3,0)),"")</f>
        <v/>
      </c>
      <c r="L65" s="71"/>
      <c r="M65" s="507" t="str">
        <f>IF(L65="","",IF(VLOOKUP(L65,'G-3 Multipliers'!$L$3:$N$6,2,FALSE)=0,"Spatial Data Missing",VLOOKUP(L65,'G-3 Multipliers'!$L$3:$N$6,2,FALSE)))</f>
        <v/>
      </c>
      <c r="N65" s="505" t="str">
        <f>IF(L65="","",IF(VLOOKUP(L65,'G-3 Multipliers'!$L$3:$N$6,3,FALSE)=0,"Spatial Data Missing",VLOOKUP(L65,'G-3 Multipliers'!$L$3:$N$6,3,FALSE)))</f>
        <v/>
      </c>
      <c r="O65" s="498" t="str">
        <f t="shared" si="0"/>
        <v/>
      </c>
      <c r="P65" s="82"/>
      <c r="Q65" s="82"/>
      <c r="R65" s="507" t="str">
        <f t="shared" si="2"/>
        <v/>
      </c>
      <c r="S65" s="521" t="str">
        <f t="shared" si="3"/>
        <v/>
      </c>
      <c r="T65" s="522"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losses",P65&gt;=O65),"Low",VLOOKUP(F65,'G-3 Multipliers'!$A$2:$E$129,4,FALSE))))</f>
        <v/>
      </c>
      <c r="X65" s="524" t="str">
        <f>IFERROR(IF(E65="","",VLOOKUP(W65, 'G-3 Multipliers'!$P$2:$Q$6,2,FALSE)),"")</f>
        <v/>
      </c>
      <c r="Y65" s="529" t="str">
        <f t="shared" si="5"/>
        <v/>
      </c>
      <c r="Z65" s="239"/>
      <c r="AA65" s="240"/>
      <c r="AE65" s="54" t="str">
        <f t="shared" si="1"/>
        <v/>
      </c>
    </row>
    <row r="66" spans="1:31" x14ac:dyDescent="0.25">
      <c r="A66" s="47" t="str">
        <f>IFERROR(INDEX('G-8 Condition Look up'!$I$4:$I$130,MATCH(F66,'G-8 Condition Look up'!$A$4:$A$130,0)),"")</f>
        <v/>
      </c>
      <c r="C66" s="384" t="str">
        <f>IFERROR(INDEX('G-1 All Habitats'!$AG$3:$AG$15,MATCH(D66,'G-1 All Habitats'!$AF$3:$AF$15,0)),"")</f>
        <v/>
      </c>
      <c r="D66" s="146"/>
      <c r="E66" s="79"/>
      <c r="F66" s="246" t="str">
        <f>IFERROR(INDEX('G-1 All Habitats'!$B$3:$B$129,MATCH(E66,'G-1 All Habitats'!$A$3:$A$129,0)),"")</f>
        <v/>
      </c>
      <c r="G66" s="70"/>
      <c r="H66" s="498" t="str">
        <f>IF(F66="","",VLOOKUP(F66,'G-1 All Habitats'!$B$2:$M$129,10,FALSE))</f>
        <v/>
      </c>
      <c r="I66" s="499" t="str">
        <f>IFERROR(VLOOKUP(H66,'G-1 All Habitats'!$V$3:$W$7,2,FALSE),"")</f>
        <v/>
      </c>
      <c r="J66" s="71"/>
      <c r="K66" s="499" t="str">
        <f>IFERROR(INDEX('G-8 Condition Look up'!$A$3:$H$130,MATCH(F66,'G-8 Condition Look up'!$A$3:$A$130,0),MATCH(J66,'G-8 Condition Look up'!$A$3:$H$3,0)),"")</f>
        <v/>
      </c>
      <c r="L66" s="71"/>
      <c r="M66" s="507" t="str">
        <f>IF(L66="","",IF(VLOOKUP(L66,'G-3 Multipliers'!$L$3:$N$6,2,FALSE)=0,"Spatial Data Missing",VLOOKUP(L66,'G-3 Multipliers'!$L$3:$N$6,2,FALSE)))</f>
        <v/>
      </c>
      <c r="N66" s="505" t="str">
        <f>IF(L66="","",IF(VLOOKUP(L66,'G-3 Multipliers'!$L$3:$N$6,3,FALSE)=0,"Spatial Data Missing",VLOOKUP(L66,'G-3 Multipliers'!$L$3:$N$6,3,FALSE)))</f>
        <v/>
      </c>
      <c r="O66" s="498" t="str">
        <f t="shared" si="0"/>
        <v/>
      </c>
      <c r="P66" s="82"/>
      <c r="Q66" s="82"/>
      <c r="R66" s="507" t="str">
        <f t="shared" si="2"/>
        <v/>
      </c>
      <c r="S66" s="521" t="str">
        <f t="shared" si="3"/>
        <v/>
      </c>
      <c r="T66" s="522"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losses",P66&gt;=O66),"Low",VLOOKUP(F66,'G-3 Multipliers'!$A$2:$E$129,4,FALSE))))</f>
        <v/>
      </c>
      <c r="X66" s="524" t="str">
        <f>IFERROR(IF(E66="","",VLOOKUP(W66, 'G-3 Multipliers'!$P$2:$Q$6,2,FALSE)),"")</f>
        <v/>
      </c>
      <c r="Y66" s="529" t="str">
        <f t="shared" si="5"/>
        <v/>
      </c>
      <c r="Z66" s="239"/>
      <c r="AA66" s="240"/>
      <c r="AE66" s="54" t="str">
        <f t="shared" si="1"/>
        <v/>
      </c>
    </row>
    <row r="67" spans="1:31" x14ac:dyDescent="0.25">
      <c r="A67" s="47" t="str">
        <f>IFERROR(INDEX('G-8 Condition Look up'!$I$4:$I$130,MATCH(F67,'G-8 Condition Look up'!$A$4:$A$130,0)),"")</f>
        <v/>
      </c>
      <c r="C67" s="384" t="str">
        <f>IFERROR(INDEX('G-1 All Habitats'!$AG$3:$AG$15,MATCH(D67,'G-1 All Habitats'!$AF$3:$AF$15,0)),"")</f>
        <v/>
      </c>
      <c r="D67" s="146"/>
      <c r="E67" s="79"/>
      <c r="F67" s="246" t="str">
        <f>IFERROR(INDEX('G-1 All Habitats'!$B$3:$B$129,MATCH(E67,'G-1 All Habitats'!$A$3:$A$129,0)),"")</f>
        <v/>
      </c>
      <c r="G67" s="70"/>
      <c r="H67" s="498" t="str">
        <f>IF(F67="","",VLOOKUP(F67,'G-1 All Habitats'!$B$2:$M$129,10,FALSE))</f>
        <v/>
      </c>
      <c r="I67" s="499" t="str">
        <f>IFERROR(VLOOKUP(H67,'G-1 All Habitats'!$V$3:$W$7,2,FALSE),"")</f>
        <v/>
      </c>
      <c r="J67" s="71"/>
      <c r="K67" s="499" t="str">
        <f>IFERROR(INDEX('G-8 Condition Look up'!$A$3:$H$130,MATCH(F67,'G-8 Condition Look up'!$A$3:$A$130,0),MATCH(J67,'G-8 Condition Look up'!$A$3:$H$3,0)),"")</f>
        <v/>
      </c>
      <c r="L67" s="71"/>
      <c r="M67" s="507" t="str">
        <f>IF(L67="","",IF(VLOOKUP(L67,'G-3 Multipliers'!$L$3:$N$6,2,FALSE)=0,"Spatial Data Missing",VLOOKUP(L67,'G-3 Multipliers'!$L$3:$N$6,2,FALSE)))</f>
        <v/>
      </c>
      <c r="N67" s="505" t="str">
        <f>IF(L67="","",IF(VLOOKUP(L67,'G-3 Multipliers'!$L$3:$N$6,3,FALSE)=0,"Spatial Data Missing",VLOOKUP(L67,'G-3 Multipliers'!$L$3:$N$6,3,FALSE)))</f>
        <v/>
      </c>
      <c r="O67" s="498" t="str">
        <f t="shared" si="0"/>
        <v/>
      </c>
      <c r="P67" s="82"/>
      <c r="Q67" s="82"/>
      <c r="R67" s="507" t="str">
        <f t="shared" si="2"/>
        <v/>
      </c>
      <c r="S67" s="521" t="str">
        <f t="shared" si="3"/>
        <v/>
      </c>
      <c r="T67" s="522"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losses",P67&gt;=O67),"Low",VLOOKUP(F67,'G-3 Multipliers'!$A$2:$E$129,4,FALSE))))</f>
        <v/>
      </c>
      <c r="X67" s="524" t="str">
        <f>IFERROR(IF(E67="","",VLOOKUP(W67, 'G-3 Multipliers'!$P$2:$Q$6,2,FALSE)),"")</f>
        <v/>
      </c>
      <c r="Y67" s="529" t="str">
        <f t="shared" si="5"/>
        <v/>
      </c>
      <c r="Z67" s="239"/>
      <c r="AA67" s="240"/>
      <c r="AE67" s="54" t="str">
        <f t="shared" si="1"/>
        <v/>
      </c>
    </row>
    <row r="68" spans="1:31" x14ac:dyDescent="0.25">
      <c r="A68" s="47" t="str">
        <f>IFERROR(INDEX('G-8 Condition Look up'!$I$4:$I$130,MATCH(F68,'G-8 Condition Look up'!$A$4:$A$130,0)),"")</f>
        <v/>
      </c>
      <c r="C68" s="384" t="str">
        <f>IFERROR(INDEX('G-1 All Habitats'!$AG$3:$AG$15,MATCH(D68,'G-1 All Habitats'!$AF$3:$AF$15,0)),"")</f>
        <v/>
      </c>
      <c r="D68" s="146"/>
      <c r="E68" s="79"/>
      <c r="F68" s="246" t="str">
        <f>IFERROR(INDEX('G-1 All Habitats'!$B$3:$B$129,MATCH(E68,'G-1 All Habitats'!$A$3:$A$129,0)),"")</f>
        <v/>
      </c>
      <c r="G68" s="70"/>
      <c r="H68" s="498" t="str">
        <f>IF(F68="","",VLOOKUP(F68,'G-1 All Habitats'!$B$2:$M$129,10,FALSE))</f>
        <v/>
      </c>
      <c r="I68" s="499" t="str">
        <f>IFERROR(VLOOKUP(H68,'G-1 All Habitats'!$V$3:$W$7,2,FALSE),"")</f>
        <v/>
      </c>
      <c r="J68" s="71"/>
      <c r="K68" s="499" t="str">
        <f>IFERROR(INDEX('G-8 Condition Look up'!$A$3:$H$130,MATCH(F68,'G-8 Condition Look up'!$A$3:$A$130,0),MATCH(J68,'G-8 Condition Look up'!$A$3:$H$3,0)),"")</f>
        <v/>
      </c>
      <c r="L68" s="71"/>
      <c r="M68" s="507" t="str">
        <f>IF(L68="","",IF(VLOOKUP(L68,'G-3 Multipliers'!$L$3:$N$6,2,FALSE)=0,"Spatial Data Missing",VLOOKUP(L68,'G-3 Multipliers'!$L$3:$N$6,2,FALSE)))</f>
        <v/>
      </c>
      <c r="N68" s="505" t="str">
        <f>IF(L68="","",IF(VLOOKUP(L68,'G-3 Multipliers'!$L$3:$N$6,3,FALSE)=0,"Spatial Data Missing",VLOOKUP(L68,'G-3 Multipliers'!$L$3:$N$6,3,FALSE)))</f>
        <v/>
      </c>
      <c r="O68" s="498" t="str">
        <f t="shared" si="0"/>
        <v/>
      </c>
      <c r="P68" s="82"/>
      <c r="Q68" s="82"/>
      <c r="R68" s="507" t="str">
        <f t="shared" si="2"/>
        <v/>
      </c>
      <c r="S68" s="521" t="str">
        <f t="shared" si="3"/>
        <v/>
      </c>
      <c r="T68" s="522"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losses",P68&gt;=O68),"Low",VLOOKUP(F68,'G-3 Multipliers'!$A$2:$E$129,4,FALSE))))</f>
        <v/>
      </c>
      <c r="X68" s="524" t="str">
        <f>IFERROR(IF(E68="","",VLOOKUP(W68, 'G-3 Multipliers'!$P$2:$Q$6,2,FALSE)),"")</f>
        <v/>
      </c>
      <c r="Y68" s="529" t="str">
        <f t="shared" si="5"/>
        <v/>
      </c>
      <c r="Z68" s="239"/>
      <c r="AA68" s="240"/>
      <c r="AE68" s="54" t="str">
        <f t="shared" si="1"/>
        <v/>
      </c>
    </row>
    <row r="69" spans="1:31" x14ac:dyDescent="0.25">
      <c r="A69" s="47" t="str">
        <f>IFERROR(INDEX('G-8 Condition Look up'!$I$4:$I$130,MATCH(F69,'G-8 Condition Look up'!$A$4:$A$130,0)),"")</f>
        <v/>
      </c>
      <c r="C69" s="384" t="str">
        <f>IFERROR(INDEX('G-1 All Habitats'!$AG$3:$AG$15,MATCH(D69,'G-1 All Habitats'!$AF$3:$AF$15,0)),"")</f>
        <v/>
      </c>
      <c r="D69" s="146"/>
      <c r="E69" s="79"/>
      <c r="F69" s="246" t="str">
        <f>IFERROR(INDEX('G-1 All Habitats'!$B$3:$B$129,MATCH(E69,'G-1 All Habitats'!$A$3:$A$129,0)),"")</f>
        <v/>
      </c>
      <c r="G69" s="70"/>
      <c r="H69" s="498" t="str">
        <f>IF(F69="","",VLOOKUP(F69,'G-1 All Habitats'!$B$2:$M$129,10,FALSE))</f>
        <v/>
      </c>
      <c r="I69" s="499" t="str">
        <f>IFERROR(VLOOKUP(H69,'G-1 All Habitats'!$V$3:$W$7,2,FALSE),"")</f>
        <v/>
      </c>
      <c r="J69" s="71"/>
      <c r="K69" s="499" t="str">
        <f>IFERROR(INDEX('G-8 Condition Look up'!$A$3:$H$130,MATCH(F69,'G-8 Condition Look up'!$A$3:$A$130,0),MATCH(J69,'G-8 Condition Look up'!$A$3:$H$3,0)),"")</f>
        <v/>
      </c>
      <c r="L69" s="71"/>
      <c r="M69" s="507" t="str">
        <f>IF(L69="","",IF(VLOOKUP(L69,'G-3 Multipliers'!$L$3:$N$6,2,FALSE)=0,"Spatial Data Missing",VLOOKUP(L69,'G-3 Multipliers'!$L$3:$N$6,2,FALSE)))</f>
        <v/>
      </c>
      <c r="N69" s="505" t="str">
        <f>IF(L69="","",IF(VLOOKUP(L69,'G-3 Multipliers'!$L$3:$N$6,3,FALSE)=0,"Spatial Data Missing",VLOOKUP(L69,'G-3 Multipliers'!$L$3:$N$6,3,FALSE)))</f>
        <v/>
      </c>
      <c r="O69" s="498" t="str">
        <f t="shared" si="0"/>
        <v/>
      </c>
      <c r="P69" s="82"/>
      <c r="Q69" s="82"/>
      <c r="R69" s="507" t="str">
        <f t="shared" si="2"/>
        <v/>
      </c>
      <c r="S69" s="521" t="str">
        <f t="shared" si="3"/>
        <v/>
      </c>
      <c r="T69" s="522"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losses",P69&gt;=O69),"Low",VLOOKUP(F69,'G-3 Multipliers'!$A$2:$E$129,4,FALSE))))</f>
        <v/>
      </c>
      <c r="X69" s="524" t="str">
        <f>IFERROR(IF(E69="","",VLOOKUP(W69, 'G-3 Multipliers'!$P$2:$Q$6,2,FALSE)),"")</f>
        <v/>
      </c>
      <c r="Y69" s="529" t="str">
        <f t="shared" si="5"/>
        <v/>
      </c>
      <c r="Z69" s="239"/>
      <c r="AA69" s="240"/>
      <c r="AE69" s="54" t="str">
        <f t="shared" si="1"/>
        <v/>
      </c>
    </row>
    <row r="70" spans="1:31" x14ac:dyDescent="0.25">
      <c r="A70" s="47" t="str">
        <f>IFERROR(INDEX('G-8 Condition Look up'!$I$4:$I$130,MATCH(F70,'G-8 Condition Look up'!$A$4:$A$130,0)),"")</f>
        <v/>
      </c>
      <c r="C70" s="384" t="str">
        <f>IFERROR(INDEX('G-1 All Habitats'!$AG$3:$AG$15,MATCH(D70,'G-1 All Habitats'!$AF$3:$AF$15,0)),"")</f>
        <v/>
      </c>
      <c r="D70" s="146"/>
      <c r="E70" s="79"/>
      <c r="F70" s="246" t="str">
        <f>IFERROR(INDEX('G-1 All Habitats'!$B$3:$B$129,MATCH(E70,'G-1 All Habitats'!$A$3:$A$129,0)),"")</f>
        <v/>
      </c>
      <c r="G70" s="70"/>
      <c r="H70" s="498" t="str">
        <f>IF(F70="","",VLOOKUP(F70,'G-1 All Habitats'!$B$2:$M$129,10,FALSE))</f>
        <v/>
      </c>
      <c r="I70" s="499" t="str">
        <f>IFERROR(VLOOKUP(H70,'G-1 All Habitats'!$V$3:$W$7,2,FALSE),"")</f>
        <v/>
      </c>
      <c r="J70" s="71"/>
      <c r="K70" s="499" t="str">
        <f>IFERROR(INDEX('G-8 Condition Look up'!$A$3:$H$130,MATCH(F70,'G-8 Condition Look up'!$A$3:$A$130,0),MATCH(J70,'G-8 Condition Look up'!$A$3:$H$3,0)),"")</f>
        <v/>
      </c>
      <c r="L70" s="71"/>
      <c r="M70" s="507" t="str">
        <f>IF(L70="","",IF(VLOOKUP(L70,'G-3 Multipliers'!$L$3:$N$6,2,FALSE)=0,"Spatial Data Missing",VLOOKUP(L70,'G-3 Multipliers'!$L$3:$N$6,2,FALSE)))</f>
        <v/>
      </c>
      <c r="N70" s="505" t="str">
        <f>IF(L70="","",IF(VLOOKUP(L70,'G-3 Multipliers'!$L$3:$N$6,3,FALSE)=0,"Spatial Data Missing",VLOOKUP(L70,'G-3 Multipliers'!$L$3:$N$6,3,FALSE)))</f>
        <v/>
      </c>
      <c r="O70" s="498" t="str">
        <f t="shared" si="0"/>
        <v/>
      </c>
      <c r="P70" s="82"/>
      <c r="Q70" s="82"/>
      <c r="R70" s="507" t="str">
        <f t="shared" si="2"/>
        <v/>
      </c>
      <c r="S70" s="521" t="str">
        <f t="shared" si="3"/>
        <v/>
      </c>
      <c r="T70" s="522"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losses",P70&gt;=O70),"Low",VLOOKUP(F70,'G-3 Multipliers'!$A$2:$E$129,4,FALSE))))</f>
        <v/>
      </c>
      <c r="X70" s="524" t="str">
        <f>IFERROR(IF(E70="","",VLOOKUP(W70, 'G-3 Multipliers'!$P$2:$Q$6,2,FALSE)),"")</f>
        <v/>
      </c>
      <c r="Y70" s="529" t="str">
        <f t="shared" si="5"/>
        <v/>
      </c>
      <c r="Z70" s="239"/>
      <c r="AA70" s="240"/>
      <c r="AE70" s="54" t="str">
        <f t="shared" si="1"/>
        <v/>
      </c>
    </row>
    <row r="71" spans="1:31" x14ac:dyDescent="0.25">
      <c r="A71" s="47" t="str">
        <f>IFERROR(INDEX('G-8 Condition Look up'!$I$4:$I$130,MATCH(F71,'G-8 Condition Look up'!$A$4:$A$130,0)),"")</f>
        <v/>
      </c>
      <c r="C71" s="384" t="str">
        <f>IFERROR(INDEX('G-1 All Habitats'!$AG$3:$AG$15,MATCH(D71,'G-1 All Habitats'!$AF$3:$AF$15,0)),"")</f>
        <v/>
      </c>
      <c r="D71" s="146"/>
      <c r="E71" s="79"/>
      <c r="F71" s="246" t="str">
        <f>IFERROR(INDEX('G-1 All Habitats'!$B$3:$B$129,MATCH(E71,'G-1 All Habitats'!$A$3:$A$129,0)),"")</f>
        <v/>
      </c>
      <c r="G71" s="70"/>
      <c r="H71" s="498" t="str">
        <f>IF(F71="","",VLOOKUP(F71,'G-1 All Habitats'!$B$2:$M$129,10,FALSE))</f>
        <v/>
      </c>
      <c r="I71" s="499" t="str">
        <f>IFERROR(VLOOKUP(H71,'G-1 All Habitats'!$V$3:$W$7,2,FALSE),"")</f>
        <v/>
      </c>
      <c r="J71" s="71"/>
      <c r="K71" s="499" t="str">
        <f>IFERROR(INDEX('G-8 Condition Look up'!$A$3:$H$130,MATCH(F71,'G-8 Condition Look up'!$A$3:$A$130,0),MATCH(J71,'G-8 Condition Look up'!$A$3:$H$3,0)),"")</f>
        <v/>
      </c>
      <c r="L71" s="71"/>
      <c r="M71" s="507" t="str">
        <f>IF(L71="","",IF(VLOOKUP(L71,'G-3 Multipliers'!$L$3:$N$6,2,FALSE)=0,"Spatial Data Missing",VLOOKUP(L71,'G-3 Multipliers'!$L$3:$N$6,2,FALSE)))</f>
        <v/>
      </c>
      <c r="N71" s="505" t="str">
        <f>IF(L71="","",IF(VLOOKUP(L71,'G-3 Multipliers'!$L$3:$N$6,3,FALSE)=0,"Spatial Data Missing",VLOOKUP(L71,'G-3 Multipliers'!$L$3:$N$6,3,FALSE)))</f>
        <v/>
      </c>
      <c r="O71" s="498" t="str">
        <f t="shared" si="0"/>
        <v/>
      </c>
      <c r="P71" s="82"/>
      <c r="Q71" s="82"/>
      <c r="R71" s="507" t="str">
        <f t="shared" si="2"/>
        <v/>
      </c>
      <c r="S71" s="521" t="str">
        <f t="shared" si="3"/>
        <v/>
      </c>
      <c r="T71" s="522"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losses",P71&gt;=O71),"Low",VLOOKUP(F71,'G-3 Multipliers'!$A$2:$E$129,4,FALSE))))</f>
        <v/>
      </c>
      <c r="X71" s="524" t="str">
        <f>IFERROR(IF(E71="","",VLOOKUP(W71, 'G-3 Multipliers'!$P$2:$Q$6,2,FALSE)),"")</f>
        <v/>
      </c>
      <c r="Y71" s="529" t="str">
        <f t="shared" si="5"/>
        <v/>
      </c>
      <c r="Z71" s="239"/>
      <c r="AA71" s="240"/>
      <c r="AE71" s="54" t="str">
        <f t="shared" si="1"/>
        <v/>
      </c>
    </row>
    <row r="72" spans="1:31" x14ac:dyDescent="0.25">
      <c r="A72" s="47" t="str">
        <f>IFERROR(INDEX('G-8 Condition Look up'!$I$4:$I$130,MATCH(F72,'G-8 Condition Look up'!$A$4:$A$130,0)),"")</f>
        <v/>
      </c>
      <c r="C72" s="384" t="str">
        <f>IFERROR(INDEX('G-1 All Habitats'!$AG$3:$AG$15,MATCH(D72,'G-1 All Habitats'!$AF$3:$AF$15,0)),"")</f>
        <v/>
      </c>
      <c r="D72" s="146"/>
      <c r="E72" s="79"/>
      <c r="F72" s="246" t="str">
        <f>IFERROR(INDEX('G-1 All Habitats'!$B$3:$B$129,MATCH(E72,'G-1 All Habitats'!$A$3:$A$129,0)),"")</f>
        <v/>
      </c>
      <c r="G72" s="70"/>
      <c r="H72" s="498" t="str">
        <f>IF(F72="","",VLOOKUP(F72,'G-1 All Habitats'!$B$2:$M$129,10,FALSE))</f>
        <v/>
      </c>
      <c r="I72" s="499" t="str">
        <f>IFERROR(VLOOKUP(H72,'G-1 All Habitats'!$V$3:$W$7,2,FALSE),"")</f>
        <v/>
      </c>
      <c r="J72" s="71"/>
      <c r="K72" s="499" t="str">
        <f>IFERROR(INDEX('G-8 Condition Look up'!$A$3:$H$130,MATCH(F72,'G-8 Condition Look up'!$A$3:$A$130,0),MATCH(J72,'G-8 Condition Look up'!$A$3:$H$3,0)),"")</f>
        <v/>
      </c>
      <c r="L72" s="71"/>
      <c r="M72" s="507" t="str">
        <f>IF(L72="","",IF(VLOOKUP(L72,'G-3 Multipliers'!$L$3:$N$6,2,FALSE)=0,"Spatial Data Missing",VLOOKUP(L72,'G-3 Multipliers'!$L$3:$N$6,2,FALSE)))</f>
        <v/>
      </c>
      <c r="N72" s="505" t="str">
        <f>IF(L72="","",IF(VLOOKUP(L72,'G-3 Multipliers'!$L$3:$N$6,3,FALSE)=0,"Spatial Data Missing",VLOOKUP(L72,'G-3 Multipliers'!$L$3:$N$6,3,FALSE)))</f>
        <v/>
      </c>
      <c r="O72" s="498" t="str">
        <f t="shared" si="0"/>
        <v/>
      </c>
      <c r="P72" s="82"/>
      <c r="Q72" s="82"/>
      <c r="R72" s="507" t="str">
        <f t="shared" si="2"/>
        <v/>
      </c>
      <c r="S72" s="521" t="str">
        <f t="shared" si="3"/>
        <v/>
      </c>
      <c r="T72" s="522"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losses",P72&gt;=O72),"Low",VLOOKUP(F72,'G-3 Multipliers'!$A$2:$E$129,4,FALSE))))</f>
        <v/>
      </c>
      <c r="X72" s="524" t="str">
        <f>IFERROR(IF(E72="","",VLOOKUP(W72, 'G-3 Multipliers'!$P$2:$Q$6,2,FALSE)),"")</f>
        <v/>
      </c>
      <c r="Y72" s="529" t="str">
        <f t="shared" si="5"/>
        <v/>
      </c>
      <c r="Z72" s="239"/>
      <c r="AA72" s="240"/>
      <c r="AE72" s="54" t="str">
        <f t="shared" si="1"/>
        <v/>
      </c>
    </row>
    <row r="73" spans="1:31" x14ac:dyDescent="0.25">
      <c r="A73" s="47" t="str">
        <f>IFERROR(INDEX('G-8 Condition Look up'!$I$4:$I$130,MATCH(F73,'G-8 Condition Look up'!$A$4:$A$130,0)),"")</f>
        <v/>
      </c>
      <c r="C73" s="384" t="str">
        <f>IFERROR(INDEX('G-1 All Habitats'!$AG$3:$AG$15,MATCH(D73,'G-1 All Habitats'!$AF$3:$AF$15,0)),"")</f>
        <v/>
      </c>
      <c r="D73" s="146"/>
      <c r="E73" s="79"/>
      <c r="F73" s="246" t="str">
        <f>IFERROR(INDEX('G-1 All Habitats'!$B$3:$B$129,MATCH(E73,'G-1 All Habitats'!$A$3:$A$129,0)),"")</f>
        <v/>
      </c>
      <c r="G73" s="70"/>
      <c r="H73" s="498" t="str">
        <f>IF(F73="","",VLOOKUP(F73,'G-1 All Habitats'!$B$2:$M$129,10,FALSE))</f>
        <v/>
      </c>
      <c r="I73" s="499" t="str">
        <f>IFERROR(VLOOKUP(H73,'G-1 All Habitats'!$V$3:$W$7,2,FALSE),"")</f>
        <v/>
      </c>
      <c r="J73" s="71"/>
      <c r="K73" s="499" t="str">
        <f>IFERROR(INDEX('G-8 Condition Look up'!$A$3:$H$130,MATCH(F73,'G-8 Condition Look up'!$A$3:$A$130,0),MATCH(J73,'G-8 Condition Look up'!$A$3:$H$3,0)),"")</f>
        <v/>
      </c>
      <c r="L73" s="71"/>
      <c r="M73" s="507" t="str">
        <f>IF(L73="","",IF(VLOOKUP(L73,'G-3 Multipliers'!$L$3:$N$6,2,FALSE)=0,"Spatial Data Missing",VLOOKUP(L73,'G-3 Multipliers'!$L$3:$N$6,2,FALSE)))</f>
        <v/>
      </c>
      <c r="N73" s="505" t="str">
        <f>IF(L73="","",IF(VLOOKUP(L73,'G-3 Multipliers'!$L$3:$N$6,3,FALSE)=0,"Spatial Data Missing",VLOOKUP(L73,'G-3 Multipliers'!$L$3:$N$6,3,FALSE)))</f>
        <v/>
      </c>
      <c r="O73" s="498" t="str">
        <f t="shared" si="0"/>
        <v/>
      </c>
      <c r="P73" s="82"/>
      <c r="Q73" s="82"/>
      <c r="R73" s="507" t="str">
        <f t="shared" si="2"/>
        <v/>
      </c>
      <c r="S73" s="521" t="str">
        <f t="shared" si="3"/>
        <v/>
      </c>
      <c r="T73" s="522"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losses",P73&gt;=O73),"Low",VLOOKUP(F73,'G-3 Multipliers'!$A$2:$E$129,4,FALSE))))</f>
        <v/>
      </c>
      <c r="X73" s="524" t="str">
        <f>IFERROR(IF(E73="","",VLOOKUP(W73, 'G-3 Multipliers'!$P$2:$Q$6,2,FALSE)),"")</f>
        <v/>
      </c>
      <c r="Y73" s="529" t="str">
        <f t="shared" si="5"/>
        <v/>
      </c>
      <c r="Z73" s="239"/>
      <c r="AA73" s="240"/>
      <c r="AE73" s="54" t="str">
        <f t="shared" si="1"/>
        <v/>
      </c>
    </row>
    <row r="74" spans="1:31" x14ac:dyDescent="0.25">
      <c r="A74" s="47" t="str">
        <f>IFERROR(INDEX('G-8 Condition Look up'!$I$4:$I$130,MATCH(F74,'G-8 Condition Look up'!$A$4:$A$130,0)),"")</f>
        <v/>
      </c>
      <c r="C74" s="384" t="str">
        <f>IFERROR(INDEX('G-1 All Habitats'!$AG$3:$AG$15,MATCH(D74,'G-1 All Habitats'!$AF$3:$AF$15,0)),"")</f>
        <v/>
      </c>
      <c r="D74" s="146"/>
      <c r="E74" s="79"/>
      <c r="F74" s="246" t="str">
        <f>IFERROR(INDEX('G-1 All Habitats'!$B$3:$B$129,MATCH(E74,'G-1 All Habitats'!$A$3:$A$129,0)),"")</f>
        <v/>
      </c>
      <c r="G74" s="70"/>
      <c r="H74" s="498" t="str">
        <f>IF(F74="","",VLOOKUP(F74,'G-1 All Habitats'!$B$2:$M$129,10,FALSE))</f>
        <v/>
      </c>
      <c r="I74" s="499" t="str">
        <f>IFERROR(VLOOKUP(H74,'G-1 All Habitats'!$V$3:$W$7,2,FALSE),"")</f>
        <v/>
      </c>
      <c r="J74" s="71"/>
      <c r="K74" s="499" t="str">
        <f>IFERROR(INDEX('G-8 Condition Look up'!$A$3:$H$130,MATCH(F74,'G-8 Condition Look up'!$A$3:$A$130,0),MATCH(J74,'G-8 Condition Look up'!$A$3:$H$3,0)),"")</f>
        <v/>
      </c>
      <c r="L74" s="71"/>
      <c r="M74" s="507" t="str">
        <f>IF(L74="","",IF(VLOOKUP(L74,'G-3 Multipliers'!$L$3:$N$6,2,FALSE)=0,"Spatial Data Missing",VLOOKUP(L74,'G-3 Multipliers'!$L$3:$N$6,2,FALSE)))</f>
        <v/>
      </c>
      <c r="N74" s="505" t="str">
        <f>IF(L74="","",IF(VLOOKUP(L74,'G-3 Multipliers'!$L$3:$N$6,3,FALSE)=0,"Spatial Data Missing",VLOOKUP(L74,'G-3 Multipliers'!$L$3:$N$6,3,FALSE)))</f>
        <v/>
      </c>
      <c r="O74" s="498" t="str">
        <f t="shared" si="0"/>
        <v/>
      </c>
      <c r="P74" s="82"/>
      <c r="Q74" s="82"/>
      <c r="R74" s="507" t="str">
        <f t="shared" si="2"/>
        <v/>
      </c>
      <c r="S74" s="521" t="str">
        <f t="shared" si="3"/>
        <v/>
      </c>
      <c r="T74" s="522"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losses",P74&gt;=O74),"Low",VLOOKUP(F74,'G-3 Multipliers'!$A$2:$E$129,4,FALSE))))</f>
        <v/>
      </c>
      <c r="X74" s="524" t="str">
        <f>IFERROR(IF(E74="","",VLOOKUP(W74, 'G-3 Multipliers'!$P$2:$Q$6,2,FALSE)),"")</f>
        <v/>
      </c>
      <c r="Y74" s="529" t="str">
        <f t="shared" si="5"/>
        <v/>
      </c>
      <c r="Z74" s="239"/>
      <c r="AA74" s="240"/>
      <c r="AE74" s="54" t="str">
        <f t="shared" si="1"/>
        <v/>
      </c>
    </row>
    <row r="75" spans="1:31" x14ac:dyDescent="0.25">
      <c r="A75" s="47" t="str">
        <f>IFERROR(INDEX('G-8 Condition Look up'!$I$4:$I$130,MATCH(F75,'G-8 Condition Look up'!$A$4:$A$130,0)),"")</f>
        <v/>
      </c>
      <c r="C75" s="384" t="str">
        <f>IFERROR(INDEX('G-1 All Habitats'!$AG$3:$AG$15,MATCH(D75,'G-1 All Habitats'!$AF$3:$AF$15,0)),"")</f>
        <v/>
      </c>
      <c r="D75" s="146"/>
      <c r="E75" s="79"/>
      <c r="F75" s="246" t="str">
        <f>IFERROR(INDEX('G-1 All Habitats'!$B$3:$B$129,MATCH(E75,'G-1 All Habitats'!$A$3:$A$129,0)),"")</f>
        <v/>
      </c>
      <c r="G75" s="70"/>
      <c r="H75" s="498" t="str">
        <f>IF(F75="","",VLOOKUP(F75,'G-1 All Habitats'!$B$2:$M$129,10,FALSE))</f>
        <v/>
      </c>
      <c r="I75" s="499" t="str">
        <f>IFERROR(VLOOKUP(H75,'G-1 All Habitats'!$V$3:$W$7,2,FALSE),"")</f>
        <v/>
      </c>
      <c r="J75" s="71"/>
      <c r="K75" s="499" t="str">
        <f>IFERROR(INDEX('G-8 Condition Look up'!$A$3:$H$130,MATCH(F75,'G-8 Condition Look up'!$A$3:$A$130,0),MATCH(J75,'G-8 Condition Look up'!$A$3:$H$3,0)),"")</f>
        <v/>
      </c>
      <c r="L75" s="71"/>
      <c r="M75" s="507" t="str">
        <f>IF(L75="","",IF(VLOOKUP(L75,'G-3 Multipliers'!$L$3:$N$6,2,FALSE)=0,"Spatial Data Missing",VLOOKUP(L75,'G-3 Multipliers'!$L$3:$N$6,2,FALSE)))</f>
        <v/>
      </c>
      <c r="N75" s="505" t="str">
        <f>IF(L75="","",IF(VLOOKUP(L75,'G-3 Multipliers'!$L$3:$N$6,3,FALSE)=0,"Spatial Data Missing",VLOOKUP(L75,'G-3 Multipliers'!$L$3:$N$6,3,FALSE)))</f>
        <v/>
      </c>
      <c r="O75" s="498" t="str">
        <f t="shared" ref="O75:O138" si="6">IFERROR(INDEX(TemporalData,MATCH(F75,TemporalHabitats,0),MATCH(J75,TemporalConditions,0)),"")</f>
        <v/>
      </c>
      <c r="P75" s="82"/>
      <c r="Q75" s="82"/>
      <c r="R75" s="507" t="str">
        <f t="shared" si="2"/>
        <v/>
      </c>
      <c r="S75" s="521" t="str">
        <f t="shared" si="3"/>
        <v/>
      </c>
      <c r="T75" s="522"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losses",P75&gt;=O75),"Low",VLOOKUP(F75,'G-3 Multipliers'!$A$2:$E$129,4,FALSE))))</f>
        <v/>
      </c>
      <c r="X75" s="524" t="str">
        <f>IFERROR(IF(E75="","",VLOOKUP(W75, 'G-3 Multipliers'!$P$2:$Q$6,2,FALSE)),"")</f>
        <v/>
      </c>
      <c r="Y75" s="529" t="str">
        <f t="shared" si="5"/>
        <v/>
      </c>
      <c r="Z75" s="239"/>
      <c r="AA75" s="240"/>
      <c r="AE75" s="54" t="str">
        <f t="shared" ref="AE75:AE138" si="7">IFERROR(INDEX(TemporalData,MATCH(F75,TemporalHabitats,0),MATCH($AE$10,TemporalConditions,0)),"")</f>
        <v/>
      </c>
    </row>
    <row r="76" spans="1:31" x14ac:dyDescent="0.25">
      <c r="A76" s="47" t="str">
        <f>IFERROR(INDEX('G-8 Condition Look up'!$I$4:$I$130,MATCH(F76,'G-8 Condition Look up'!$A$4:$A$130,0)),"")</f>
        <v/>
      </c>
      <c r="C76" s="384" t="str">
        <f>IFERROR(INDEX('G-1 All Habitats'!$AG$3:$AG$15,MATCH(D76,'G-1 All Habitats'!$AF$3:$AF$15,0)),"")</f>
        <v/>
      </c>
      <c r="D76" s="146"/>
      <c r="E76" s="79"/>
      <c r="F76" s="246" t="str">
        <f>IFERROR(INDEX('G-1 All Habitats'!$B$3:$B$129,MATCH(E76,'G-1 All Habitats'!$A$3:$A$129,0)),"")</f>
        <v/>
      </c>
      <c r="G76" s="70"/>
      <c r="H76" s="498" t="str">
        <f>IF(F76="","",VLOOKUP(F76,'G-1 All Habitats'!$B$2:$M$129,10,FALSE))</f>
        <v/>
      </c>
      <c r="I76" s="499" t="str">
        <f>IFERROR(VLOOKUP(H76,'G-1 All Habitats'!$V$3:$W$7,2,FALSE),"")</f>
        <v/>
      </c>
      <c r="J76" s="71"/>
      <c r="K76" s="499" t="str">
        <f>IFERROR(INDEX('G-8 Condition Look up'!$A$3:$H$130,MATCH(F76,'G-8 Condition Look up'!$A$3:$A$130,0),MATCH(J76,'G-8 Condition Look up'!$A$3:$H$3,0)),"")</f>
        <v/>
      </c>
      <c r="L76" s="71"/>
      <c r="M76" s="507" t="str">
        <f>IF(L76="","",IF(VLOOKUP(L76,'G-3 Multipliers'!$L$3:$N$6,2,FALSE)=0,"Spatial Data Missing",VLOOKUP(L76,'G-3 Multipliers'!$L$3:$N$6,2,FALSE)))</f>
        <v/>
      </c>
      <c r="N76" s="505" t="str">
        <f>IF(L76="","",IF(VLOOKUP(L76,'G-3 Multipliers'!$L$3:$N$6,3,FALSE)=0,"Spatial Data Missing",VLOOKUP(L76,'G-3 Multipliers'!$L$3:$N$6,3,FALSE)))</f>
        <v/>
      </c>
      <c r="O76" s="498" t="str">
        <f t="shared" si="6"/>
        <v/>
      </c>
      <c r="P76" s="82"/>
      <c r="Q76" s="82"/>
      <c r="R76" s="507"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1"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2" t="str">
        <f>IFERROR(IF(S76="Check Data ⚠","Check Data ⚠",VLOOKUP(S76,'G-4 Temporal multipliers'!$A$4:$C$37,3,FALSE)),"")</f>
        <v/>
      </c>
      <c r="U76" s="523" t="str">
        <f>IF(F76="","",VLOOKUP(F76,'G-3 Multipliers'!$A$2:$E$129,2,FALSE))</f>
        <v/>
      </c>
      <c r="V76" s="520"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20" t="str">
        <f>IF(E76="","",IF(AND(V76="Standard difficulty applied",O76&gt;P76),U76,IF(AND(V76="Low Difficulty - only applicable if all habitat created before losses",P76&gt;=O76),"Low",VLOOKUP(F76,'G-3 Multipliers'!$A$2:$E$129,4,FALSE))))</f>
        <v/>
      </c>
      <c r="X76" s="524" t="str">
        <f>IFERROR(IF(E76="","",VLOOKUP(W76, 'G-3 Multipliers'!$P$2:$Q$6,2,FALSE)),"")</f>
        <v/>
      </c>
      <c r="Y76" s="529" t="str">
        <f t="shared" ref="Y76:Y139" si="11">IFERROR(G76*I76*K76*N76*T76*X76,"")</f>
        <v/>
      </c>
      <c r="Z76" s="239"/>
      <c r="AA76" s="240"/>
      <c r="AE76" s="54" t="str">
        <f t="shared" si="7"/>
        <v/>
      </c>
    </row>
    <row r="77" spans="1:31" x14ac:dyDescent="0.25">
      <c r="A77" s="47" t="str">
        <f>IFERROR(INDEX('G-8 Condition Look up'!$I$4:$I$130,MATCH(F77,'G-8 Condition Look up'!$A$4:$A$130,0)),"")</f>
        <v/>
      </c>
      <c r="C77" s="384" t="str">
        <f>IFERROR(INDEX('G-1 All Habitats'!$AG$3:$AG$15,MATCH(D77,'G-1 All Habitats'!$AF$3:$AF$15,0)),"")</f>
        <v/>
      </c>
      <c r="D77" s="146"/>
      <c r="E77" s="79"/>
      <c r="F77" s="246" t="str">
        <f>IFERROR(INDEX('G-1 All Habitats'!$B$3:$B$129,MATCH(E77,'G-1 All Habitats'!$A$3:$A$129,0)),"")</f>
        <v/>
      </c>
      <c r="G77" s="70"/>
      <c r="H77" s="498" t="str">
        <f>IF(F77="","",VLOOKUP(F77,'G-1 All Habitats'!$B$2:$M$129,10,FALSE))</f>
        <v/>
      </c>
      <c r="I77" s="499" t="str">
        <f>IFERROR(VLOOKUP(H77,'G-1 All Habitats'!$V$3:$W$7,2,FALSE),"")</f>
        <v/>
      </c>
      <c r="J77" s="71"/>
      <c r="K77" s="499" t="str">
        <f>IFERROR(INDEX('G-8 Condition Look up'!$A$3:$H$130,MATCH(F77,'G-8 Condition Look up'!$A$3:$A$130,0),MATCH(J77,'G-8 Condition Look up'!$A$3:$H$3,0)),"")</f>
        <v/>
      </c>
      <c r="L77" s="71"/>
      <c r="M77" s="507" t="str">
        <f>IF(L77="","",IF(VLOOKUP(L77,'G-3 Multipliers'!$L$3:$N$6,2,FALSE)=0,"Spatial Data Missing",VLOOKUP(L77,'G-3 Multipliers'!$L$3:$N$6,2,FALSE)))</f>
        <v/>
      </c>
      <c r="N77" s="505" t="str">
        <f>IF(L77="","",IF(VLOOKUP(L77,'G-3 Multipliers'!$L$3:$N$6,3,FALSE)=0,"Spatial Data Missing",VLOOKUP(L77,'G-3 Multipliers'!$L$3:$N$6,3,FALSE)))</f>
        <v/>
      </c>
      <c r="O77" s="498" t="str">
        <f t="shared" si="6"/>
        <v/>
      </c>
      <c r="P77" s="82"/>
      <c r="Q77" s="82"/>
      <c r="R77" s="507" t="str">
        <f t="shared" si="8"/>
        <v/>
      </c>
      <c r="S77" s="521" t="str">
        <f t="shared" si="9"/>
        <v/>
      </c>
      <c r="T77" s="522" t="str">
        <f>IFERROR(IF(S77="Check Data ⚠","Check Data ⚠",VLOOKUP(S77,'G-4 Temporal multipliers'!$A$4:$C$37,3,FALSE)),"")</f>
        <v/>
      </c>
      <c r="U77" s="523" t="str">
        <f>IF(F77="","",VLOOKUP(F77,'G-3 Multipliers'!$A$2:$E$129,2,FALSE))</f>
        <v/>
      </c>
      <c r="V77" s="520" t="str">
        <f t="shared" si="10"/>
        <v/>
      </c>
      <c r="W77" s="520" t="str">
        <f>IF(E77="","",IF(AND(V77="Standard difficulty applied",O77&gt;P77),U77,IF(AND(V77="Low Difficulty - only applicable if all habitat created before losses",P77&gt;=O77),"Low",VLOOKUP(F77,'G-3 Multipliers'!$A$2:$E$129,4,FALSE))))</f>
        <v/>
      </c>
      <c r="X77" s="524" t="str">
        <f>IFERROR(IF(E77="","",VLOOKUP(W77, 'G-3 Multipliers'!$P$2:$Q$6,2,FALSE)),"")</f>
        <v/>
      </c>
      <c r="Y77" s="529" t="str">
        <f t="shared" si="11"/>
        <v/>
      </c>
      <c r="Z77" s="239"/>
      <c r="AA77" s="240"/>
      <c r="AE77" s="54" t="str">
        <f t="shared" si="7"/>
        <v/>
      </c>
    </row>
    <row r="78" spans="1:31" x14ac:dyDescent="0.25">
      <c r="A78" s="47" t="str">
        <f>IFERROR(INDEX('G-8 Condition Look up'!$I$4:$I$130,MATCH(F78,'G-8 Condition Look up'!$A$4:$A$130,0)),"")</f>
        <v/>
      </c>
      <c r="C78" s="384" t="str">
        <f>IFERROR(INDEX('G-1 All Habitats'!$AG$3:$AG$15,MATCH(D78,'G-1 All Habitats'!$AF$3:$AF$15,0)),"")</f>
        <v/>
      </c>
      <c r="D78" s="146"/>
      <c r="E78" s="79"/>
      <c r="F78" s="246" t="str">
        <f>IFERROR(INDEX('G-1 All Habitats'!$B$3:$B$129,MATCH(E78,'G-1 All Habitats'!$A$3:$A$129,0)),"")</f>
        <v/>
      </c>
      <c r="G78" s="70"/>
      <c r="H78" s="498" t="str">
        <f>IF(F78="","",VLOOKUP(F78,'G-1 All Habitats'!$B$2:$M$129,10,FALSE))</f>
        <v/>
      </c>
      <c r="I78" s="499" t="str">
        <f>IFERROR(VLOOKUP(H78,'G-1 All Habitats'!$V$3:$W$7,2,FALSE),"")</f>
        <v/>
      </c>
      <c r="J78" s="71"/>
      <c r="K78" s="499" t="str">
        <f>IFERROR(INDEX('G-8 Condition Look up'!$A$3:$H$130,MATCH(F78,'G-8 Condition Look up'!$A$3:$A$130,0),MATCH(J78,'G-8 Condition Look up'!$A$3:$H$3,0)),"")</f>
        <v/>
      </c>
      <c r="L78" s="71"/>
      <c r="M78" s="507" t="str">
        <f>IF(L78="","",IF(VLOOKUP(L78,'G-3 Multipliers'!$L$3:$N$6,2,FALSE)=0,"Spatial Data Missing",VLOOKUP(L78,'G-3 Multipliers'!$L$3:$N$6,2,FALSE)))</f>
        <v/>
      </c>
      <c r="N78" s="505" t="str">
        <f>IF(L78="","",IF(VLOOKUP(L78,'G-3 Multipliers'!$L$3:$N$6,3,FALSE)=0,"Spatial Data Missing",VLOOKUP(L78,'G-3 Multipliers'!$L$3:$N$6,3,FALSE)))</f>
        <v/>
      </c>
      <c r="O78" s="498" t="str">
        <f t="shared" si="6"/>
        <v/>
      </c>
      <c r="P78" s="82"/>
      <c r="Q78" s="82"/>
      <c r="R78" s="507" t="str">
        <f t="shared" si="8"/>
        <v/>
      </c>
      <c r="S78" s="521" t="str">
        <f t="shared" si="9"/>
        <v/>
      </c>
      <c r="T78" s="522" t="str">
        <f>IFERROR(IF(S78="Check Data ⚠","Check Data ⚠",VLOOKUP(S78,'G-4 Temporal multipliers'!$A$4:$C$37,3,FALSE)),"")</f>
        <v/>
      </c>
      <c r="U78" s="523" t="str">
        <f>IF(F78="","",VLOOKUP(F78,'G-3 Multipliers'!$A$2:$E$129,2,FALSE))</f>
        <v/>
      </c>
      <c r="V78" s="520" t="str">
        <f t="shared" si="10"/>
        <v/>
      </c>
      <c r="W78" s="520" t="str">
        <f>IF(E78="","",IF(AND(V78="Standard difficulty applied",O78&gt;P78),U78,IF(AND(V78="Low Difficulty - only applicable if all habitat created before losses",P78&gt;=O78),"Low",VLOOKUP(F78,'G-3 Multipliers'!$A$2:$E$129,4,FALSE))))</f>
        <v/>
      </c>
      <c r="X78" s="524" t="str">
        <f>IFERROR(IF(E78="","",VLOOKUP(W78, 'G-3 Multipliers'!$P$2:$Q$6,2,FALSE)),"")</f>
        <v/>
      </c>
      <c r="Y78" s="529" t="str">
        <f t="shared" si="11"/>
        <v/>
      </c>
      <c r="Z78" s="239"/>
      <c r="AA78" s="240"/>
      <c r="AE78" s="54" t="str">
        <f t="shared" si="7"/>
        <v/>
      </c>
    </row>
    <row r="79" spans="1:31" x14ac:dyDescent="0.25">
      <c r="A79" s="47" t="str">
        <f>IFERROR(INDEX('G-8 Condition Look up'!$I$4:$I$130,MATCH(F79,'G-8 Condition Look up'!$A$4:$A$130,0)),"")</f>
        <v/>
      </c>
      <c r="C79" s="384" t="str">
        <f>IFERROR(INDEX('G-1 All Habitats'!$AG$3:$AG$15,MATCH(D79,'G-1 All Habitats'!$AF$3:$AF$15,0)),"")</f>
        <v/>
      </c>
      <c r="D79" s="146"/>
      <c r="E79" s="79"/>
      <c r="F79" s="246" t="str">
        <f>IFERROR(INDEX('G-1 All Habitats'!$B$3:$B$129,MATCH(E79,'G-1 All Habitats'!$A$3:$A$129,0)),"")</f>
        <v/>
      </c>
      <c r="G79" s="70"/>
      <c r="H79" s="498" t="str">
        <f>IF(F79="","",VLOOKUP(F79,'G-1 All Habitats'!$B$2:$M$129,10,FALSE))</f>
        <v/>
      </c>
      <c r="I79" s="499" t="str">
        <f>IFERROR(VLOOKUP(H79,'G-1 All Habitats'!$V$3:$W$7,2,FALSE),"")</f>
        <v/>
      </c>
      <c r="J79" s="71"/>
      <c r="K79" s="499" t="str">
        <f>IFERROR(INDEX('G-8 Condition Look up'!$A$3:$H$130,MATCH(F79,'G-8 Condition Look up'!$A$3:$A$130,0),MATCH(J79,'G-8 Condition Look up'!$A$3:$H$3,0)),"")</f>
        <v/>
      </c>
      <c r="L79" s="71"/>
      <c r="M79" s="507" t="str">
        <f>IF(L79="","",IF(VLOOKUP(L79,'G-3 Multipliers'!$L$3:$N$6,2,FALSE)=0,"Spatial Data Missing",VLOOKUP(L79,'G-3 Multipliers'!$L$3:$N$6,2,FALSE)))</f>
        <v/>
      </c>
      <c r="N79" s="505" t="str">
        <f>IF(L79="","",IF(VLOOKUP(L79,'G-3 Multipliers'!$L$3:$N$6,3,FALSE)=0,"Spatial Data Missing",VLOOKUP(L79,'G-3 Multipliers'!$L$3:$N$6,3,FALSE)))</f>
        <v/>
      </c>
      <c r="O79" s="498" t="str">
        <f t="shared" si="6"/>
        <v/>
      </c>
      <c r="P79" s="82"/>
      <c r="Q79" s="82"/>
      <c r="R79" s="507" t="str">
        <f t="shared" si="8"/>
        <v/>
      </c>
      <c r="S79" s="521" t="str">
        <f t="shared" si="9"/>
        <v/>
      </c>
      <c r="T79" s="522" t="str">
        <f>IFERROR(IF(S79="Check Data ⚠","Check Data ⚠",VLOOKUP(S79,'G-4 Temporal multipliers'!$A$4:$C$37,3,FALSE)),"")</f>
        <v/>
      </c>
      <c r="U79" s="523" t="str">
        <f>IF(F79="","",VLOOKUP(F79,'G-3 Multipliers'!$A$2:$E$129,2,FALSE))</f>
        <v/>
      </c>
      <c r="V79" s="520" t="str">
        <f t="shared" si="10"/>
        <v/>
      </c>
      <c r="W79" s="520" t="str">
        <f>IF(E79="","",IF(AND(V79="Standard difficulty applied",O79&gt;P79),U79,IF(AND(V79="Low Difficulty - only applicable if all habitat created before losses",P79&gt;=O79),"Low",VLOOKUP(F79,'G-3 Multipliers'!$A$2:$E$129,4,FALSE))))</f>
        <v/>
      </c>
      <c r="X79" s="524" t="str">
        <f>IFERROR(IF(E79="","",VLOOKUP(W79, 'G-3 Multipliers'!$P$2:$Q$6,2,FALSE)),"")</f>
        <v/>
      </c>
      <c r="Y79" s="529" t="str">
        <f t="shared" si="11"/>
        <v/>
      </c>
      <c r="Z79" s="239"/>
      <c r="AA79" s="240"/>
      <c r="AE79" s="54" t="str">
        <f t="shared" si="7"/>
        <v/>
      </c>
    </row>
    <row r="80" spans="1:31" x14ac:dyDescent="0.25">
      <c r="A80" s="47" t="str">
        <f>IFERROR(INDEX('G-8 Condition Look up'!$I$4:$I$130,MATCH(F80,'G-8 Condition Look up'!$A$4:$A$130,0)),"")</f>
        <v/>
      </c>
      <c r="C80" s="384" t="str">
        <f>IFERROR(INDEX('G-1 All Habitats'!$AG$3:$AG$15,MATCH(D80,'G-1 All Habitats'!$AF$3:$AF$15,0)),"")</f>
        <v/>
      </c>
      <c r="D80" s="146"/>
      <c r="E80" s="79"/>
      <c r="F80" s="246" t="str">
        <f>IFERROR(INDEX('G-1 All Habitats'!$B$3:$B$129,MATCH(E80,'G-1 All Habitats'!$A$3:$A$129,0)),"")</f>
        <v/>
      </c>
      <c r="G80" s="70"/>
      <c r="H80" s="498" t="str">
        <f>IF(F80="","",VLOOKUP(F80,'G-1 All Habitats'!$B$2:$M$129,10,FALSE))</f>
        <v/>
      </c>
      <c r="I80" s="499" t="str">
        <f>IFERROR(VLOOKUP(H80,'G-1 All Habitats'!$V$3:$W$7,2,FALSE),"")</f>
        <v/>
      </c>
      <c r="J80" s="71"/>
      <c r="K80" s="499" t="str">
        <f>IFERROR(INDEX('G-8 Condition Look up'!$A$3:$H$130,MATCH(F80,'G-8 Condition Look up'!$A$3:$A$130,0),MATCH(J80,'G-8 Condition Look up'!$A$3:$H$3,0)),"")</f>
        <v/>
      </c>
      <c r="L80" s="71"/>
      <c r="M80" s="507" t="str">
        <f>IF(L80="","",IF(VLOOKUP(L80,'G-3 Multipliers'!$L$3:$N$6,2,FALSE)=0,"Spatial Data Missing",VLOOKUP(L80,'G-3 Multipliers'!$L$3:$N$6,2,FALSE)))</f>
        <v/>
      </c>
      <c r="N80" s="505" t="str">
        <f>IF(L80="","",IF(VLOOKUP(L80,'G-3 Multipliers'!$L$3:$N$6,3,FALSE)=0,"Spatial Data Missing",VLOOKUP(L80,'G-3 Multipliers'!$L$3:$N$6,3,FALSE)))</f>
        <v/>
      </c>
      <c r="O80" s="498" t="str">
        <f t="shared" si="6"/>
        <v/>
      </c>
      <c r="P80" s="82"/>
      <c r="Q80" s="82"/>
      <c r="R80" s="507" t="str">
        <f t="shared" si="8"/>
        <v/>
      </c>
      <c r="S80" s="521" t="str">
        <f t="shared" si="9"/>
        <v/>
      </c>
      <c r="T80" s="522" t="str">
        <f>IFERROR(IF(S80="Check Data ⚠","Check Data ⚠",VLOOKUP(S80,'G-4 Temporal multipliers'!$A$4:$C$37,3,FALSE)),"")</f>
        <v/>
      </c>
      <c r="U80" s="523" t="str">
        <f>IF(F80="","",VLOOKUP(F80,'G-3 Multipliers'!$A$2:$E$129,2,FALSE))</f>
        <v/>
      </c>
      <c r="V80" s="520" t="str">
        <f t="shared" si="10"/>
        <v/>
      </c>
      <c r="W80" s="520" t="str">
        <f>IF(E80="","",IF(AND(V80="Standard difficulty applied",O80&gt;P80),U80,IF(AND(V80="Low Difficulty - only applicable if all habitat created before losses",P80&gt;=O80),"Low",VLOOKUP(F80,'G-3 Multipliers'!$A$2:$E$129,4,FALSE))))</f>
        <v/>
      </c>
      <c r="X80" s="524" t="str">
        <f>IFERROR(IF(E80="","",VLOOKUP(W80, 'G-3 Multipliers'!$P$2:$Q$6,2,FALSE)),"")</f>
        <v/>
      </c>
      <c r="Y80" s="529" t="str">
        <f t="shared" si="11"/>
        <v/>
      </c>
      <c r="Z80" s="239"/>
      <c r="AA80" s="240"/>
      <c r="AE80" s="54" t="str">
        <f t="shared" si="7"/>
        <v/>
      </c>
    </row>
    <row r="81" spans="1:31" x14ac:dyDescent="0.25">
      <c r="A81" s="47" t="str">
        <f>IFERROR(INDEX('G-8 Condition Look up'!$I$4:$I$130,MATCH(F81,'G-8 Condition Look up'!$A$4:$A$130,0)),"")</f>
        <v/>
      </c>
      <c r="C81" s="384" t="str">
        <f>IFERROR(INDEX('G-1 All Habitats'!$AG$3:$AG$15,MATCH(D81,'G-1 All Habitats'!$AF$3:$AF$15,0)),"")</f>
        <v/>
      </c>
      <c r="D81" s="146"/>
      <c r="E81" s="79"/>
      <c r="F81" s="246" t="str">
        <f>IFERROR(INDEX('G-1 All Habitats'!$B$3:$B$129,MATCH(E81,'G-1 All Habitats'!$A$3:$A$129,0)),"")</f>
        <v/>
      </c>
      <c r="G81" s="70"/>
      <c r="H81" s="498" t="str">
        <f>IF(F81="","",VLOOKUP(F81,'G-1 All Habitats'!$B$2:$M$129,10,FALSE))</f>
        <v/>
      </c>
      <c r="I81" s="499" t="str">
        <f>IFERROR(VLOOKUP(H81,'G-1 All Habitats'!$V$3:$W$7,2,FALSE),"")</f>
        <v/>
      </c>
      <c r="J81" s="71"/>
      <c r="K81" s="499" t="str">
        <f>IFERROR(INDEX('G-8 Condition Look up'!$A$3:$H$130,MATCH(F81,'G-8 Condition Look up'!$A$3:$A$130,0),MATCH(J81,'G-8 Condition Look up'!$A$3:$H$3,0)),"")</f>
        <v/>
      </c>
      <c r="L81" s="71"/>
      <c r="M81" s="507" t="str">
        <f>IF(L81="","",IF(VLOOKUP(L81,'G-3 Multipliers'!$L$3:$N$6,2,FALSE)=0,"Spatial Data Missing",VLOOKUP(L81,'G-3 Multipliers'!$L$3:$N$6,2,FALSE)))</f>
        <v/>
      </c>
      <c r="N81" s="505" t="str">
        <f>IF(L81="","",IF(VLOOKUP(L81,'G-3 Multipliers'!$L$3:$N$6,3,FALSE)=0,"Spatial Data Missing",VLOOKUP(L81,'G-3 Multipliers'!$L$3:$N$6,3,FALSE)))</f>
        <v/>
      </c>
      <c r="O81" s="498" t="str">
        <f t="shared" si="6"/>
        <v/>
      </c>
      <c r="P81" s="82"/>
      <c r="Q81" s="82"/>
      <c r="R81" s="507" t="str">
        <f t="shared" si="8"/>
        <v/>
      </c>
      <c r="S81" s="521" t="str">
        <f t="shared" si="9"/>
        <v/>
      </c>
      <c r="T81" s="522" t="str">
        <f>IFERROR(IF(S81="Check Data ⚠","Check Data ⚠",VLOOKUP(S81,'G-4 Temporal multipliers'!$A$4:$C$37,3,FALSE)),"")</f>
        <v/>
      </c>
      <c r="U81" s="523" t="str">
        <f>IF(F81="","",VLOOKUP(F81,'G-3 Multipliers'!$A$2:$E$129,2,FALSE))</f>
        <v/>
      </c>
      <c r="V81" s="520" t="str">
        <f t="shared" si="10"/>
        <v/>
      </c>
      <c r="W81" s="520" t="str">
        <f>IF(E81="","",IF(AND(V81="Standard difficulty applied",O81&gt;P81),U81,IF(AND(V81="Low Difficulty - only applicable if all habitat created before losses",P81&gt;=O81),"Low",VLOOKUP(F81,'G-3 Multipliers'!$A$2:$E$129,4,FALSE))))</f>
        <v/>
      </c>
      <c r="X81" s="524" t="str">
        <f>IFERROR(IF(E81="","",VLOOKUP(W81, 'G-3 Multipliers'!$P$2:$Q$6,2,FALSE)),"")</f>
        <v/>
      </c>
      <c r="Y81" s="529" t="str">
        <f t="shared" si="11"/>
        <v/>
      </c>
      <c r="Z81" s="239"/>
      <c r="AA81" s="240"/>
      <c r="AE81" s="54" t="str">
        <f t="shared" si="7"/>
        <v/>
      </c>
    </row>
    <row r="82" spans="1:31" x14ac:dyDescent="0.25">
      <c r="A82" s="47" t="str">
        <f>IFERROR(INDEX('G-8 Condition Look up'!$I$4:$I$130,MATCH(F82,'G-8 Condition Look up'!$A$4:$A$130,0)),"")</f>
        <v/>
      </c>
      <c r="C82" s="384" t="str">
        <f>IFERROR(INDEX('G-1 All Habitats'!$AG$3:$AG$15,MATCH(D82,'G-1 All Habitats'!$AF$3:$AF$15,0)),"")</f>
        <v/>
      </c>
      <c r="D82" s="146"/>
      <c r="E82" s="79"/>
      <c r="F82" s="246" t="str">
        <f>IFERROR(INDEX('G-1 All Habitats'!$B$3:$B$129,MATCH(E82,'G-1 All Habitats'!$A$3:$A$129,0)),"")</f>
        <v/>
      </c>
      <c r="G82" s="70"/>
      <c r="H82" s="498" t="str">
        <f>IF(F82="","",VLOOKUP(F82,'G-1 All Habitats'!$B$2:$M$129,10,FALSE))</f>
        <v/>
      </c>
      <c r="I82" s="499" t="str">
        <f>IFERROR(VLOOKUP(H82,'G-1 All Habitats'!$V$3:$W$7,2,FALSE),"")</f>
        <v/>
      </c>
      <c r="J82" s="71"/>
      <c r="K82" s="499" t="str">
        <f>IFERROR(INDEX('G-8 Condition Look up'!$A$3:$H$130,MATCH(F82,'G-8 Condition Look up'!$A$3:$A$130,0),MATCH(J82,'G-8 Condition Look up'!$A$3:$H$3,0)),"")</f>
        <v/>
      </c>
      <c r="L82" s="71"/>
      <c r="M82" s="507" t="str">
        <f>IF(L82="","",IF(VLOOKUP(L82,'G-3 Multipliers'!$L$3:$N$6,2,FALSE)=0,"Spatial Data Missing",VLOOKUP(L82,'G-3 Multipliers'!$L$3:$N$6,2,FALSE)))</f>
        <v/>
      </c>
      <c r="N82" s="505" t="str">
        <f>IF(L82="","",IF(VLOOKUP(L82,'G-3 Multipliers'!$L$3:$N$6,3,FALSE)=0,"Spatial Data Missing",VLOOKUP(L82,'G-3 Multipliers'!$L$3:$N$6,3,FALSE)))</f>
        <v/>
      </c>
      <c r="O82" s="498" t="str">
        <f t="shared" si="6"/>
        <v/>
      </c>
      <c r="P82" s="82"/>
      <c r="Q82" s="82"/>
      <c r="R82" s="507" t="str">
        <f t="shared" si="8"/>
        <v/>
      </c>
      <c r="S82" s="521" t="str">
        <f t="shared" si="9"/>
        <v/>
      </c>
      <c r="T82" s="522" t="str">
        <f>IFERROR(IF(S82="Check Data ⚠","Check Data ⚠",VLOOKUP(S82,'G-4 Temporal multipliers'!$A$4:$C$37,3,FALSE)),"")</f>
        <v/>
      </c>
      <c r="U82" s="523" t="str">
        <f>IF(F82="","",VLOOKUP(F82,'G-3 Multipliers'!$A$2:$E$129,2,FALSE))</f>
        <v/>
      </c>
      <c r="V82" s="520" t="str">
        <f t="shared" si="10"/>
        <v/>
      </c>
      <c r="W82" s="520" t="str">
        <f>IF(E82="","",IF(AND(V82="Standard difficulty applied",O82&gt;P82),U82,IF(AND(V82="Low Difficulty - only applicable if all habitat created before losses",P82&gt;=O82),"Low",VLOOKUP(F82,'G-3 Multipliers'!$A$2:$E$129,4,FALSE))))</f>
        <v/>
      </c>
      <c r="X82" s="524" t="str">
        <f>IFERROR(IF(E82="","",VLOOKUP(W82, 'G-3 Multipliers'!$P$2:$Q$6,2,FALSE)),"")</f>
        <v/>
      </c>
      <c r="Y82" s="529" t="str">
        <f t="shared" si="11"/>
        <v/>
      </c>
      <c r="Z82" s="239"/>
      <c r="AA82" s="240"/>
      <c r="AE82" s="54" t="str">
        <f t="shared" si="7"/>
        <v/>
      </c>
    </row>
    <row r="83" spans="1:31" x14ac:dyDescent="0.25">
      <c r="A83" s="47" t="str">
        <f>IFERROR(INDEX('G-8 Condition Look up'!$I$4:$I$130,MATCH(F83,'G-8 Condition Look up'!$A$4:$A$130,0)),"")</f>
        <v/>
      </c>
      <c r="C83" s="384" t="str">
        <f>IFERROR(INDEX('G-1 All Habitats'!$AG$3:$AG$15,MATCH(D83,'G-1 All Habitats'!$AF$3:$AF$15,0)),"")</f>
        <v/>
      </c>
      <c r="D83" s="146"/>
      <c r="E83" s="79"/>
      <c r="F83" s="246" t="str">
        <f>IFERROR(INDEX('G-1 All Habitats'!$B$3:$B$129,MATCH(E83,'G-1 All Habitats'!$A$3:$A$129,0)),"")</f>
        <v/>
      </c>
      <c r="G83" s="70"/>
      <c r="H83" s="498" t="str">
        <f>IF(F83="","",VLOOKUP(F83,'G-1 All Habitats'!$B$2:$M$129,10,FALSE))</f>
        <v/>
      </c>
      <c r="I83" s="499" t="str">
        <f>IFERROR(VLOOKUP(H83,'G-1 All Habitats'!$V$3:$W$7,2,FALSE),"")</f>
        <v/>
      </c>
      <c r="J83" s="71"/>
      <c r="K83" s="499" t="str">
        <f>IFERROR(INDEX('G-8 Condition Look up'!$A$3:$H$130,MATCH(F83,'G-8 Condition Look up'!$A$3:$A$130,0),MATCH(J83,'G-8 Condition Look up'!$A$3:$H$3,0)),"")</f>
        <v/>
      </c>
      <c r="L83" s="71"/>
      <c r="M83" s="507" t="str">
        <f>IF(L83="","",IF(VLOOKUP(L83,'G-3 Multipliers'!$L$3:$N$6,2,FALSE)=0,"Spatial Data Missing",VLOOKUP(L83,'G-3 Multipliers'!$L$3:$N$6,2,FALSE)))</f>
        <v/>
      </c>
      <c r="N83" s="505" t="str">
        <f>IF(L83="","",IF(VLOOKUP(L83,'G-3 Multipliers'!$L$3:$N$6,3,FALSE)=0,"Spatial Data Missing",VLOOKUP(L83,'G-3 Multipliers'!$L$3:$N$6,3,FALSE)))</f>
        <v/>
      </c>
      <c r="O83" s="498" t="str">
        <f t="shared" si="6"/>
        <v/>
      </c>
      <c r="P83" s="82"/>
      <c r="Q83" s="82"/>
      <c r="R83" s="507" t="str">
        <f t="shared" si="8"/>
        <v/>
      </c>
      <c r="S83" s="521" t="str">
        <f t="shared" si="9"/>
        <v/>
      </c>
      <c r="T83" s="522" t="str">
        <f>IFERROR(IF(S83="Check Data ⚠","Check Data ⚠",VLOOKUP(S83,'G-4 Temporal multipliers'!$A$4:$C$37,3,FALSE)),"")</f>
        <v/>
      </c>
      <c r="U83" s="523" t="str">
        <f>IF(F83="","",VLOOKUP(F83,'G-3 Multipliers'!$A$2:$E$129,2,FALSE))</f>
        <v/>
      </c>
      <c r="V83" s="520" t="str">
        <f t="shared" si="10"/>
        <v/>
      </c>
      <c r="W83" s="520" t="str">
        <f>IF(E83="","",IF(AND(V83="Standard difficulty applied",O83&gt;P83),U83,IF(AND(V83="Low Difficulty - only applicable if all habitat created before losses",P83&gt;=O83),"Low",VLOOKUP(F83,'G-3 Multipliers'!$A$2:$E$129,4,FALSE))))</f>
        <v/>
      </c>
      <c r="X83" s="524" t="str">
        <f>IFERROR(IF(E83="","",VLOOKUP(W83, 'G-3 Multipliers'!$P$2:$Q$6,2,FALSE)),"")</f>
        <v/>
      </c>
      <c r="Y83" s="529" t="str">
        <f t="shared" si="11"/>
        <v/>
      </c>
      <c r="Z83" s="239"/>
      <c r="AA83" s="240"/>
      <c r="AE83" s="54" t="str">
        <f t="shared" si="7"/>
        <v/>
      </c>
    </row>
    <row r="84" spans="1:31" x14ac:dyDescent="0.25">
      <c r="A84" s="47" t="str">
        <f>IFERROR(INDEX('G-8 Condition Look up'!$I$4:$I$130,MATCH(F84,'G-8 Condition Look up'!$A$4:$A$130,0)),"")</f>
        <v/>
      </c>
      <c r="C84" s="384" t="str">
        <f>IFERROR(INDEX('G-1 All Habitats'!$AG$3:$AG$15,MATCH(D84,'G-1 All Habitats'!$AF$3:$AF$15,0)),"")</f>
        <v/>
      </c>
      <c r="D84" s="146"/>
      <c r="E84" s="79"/>
      <c r="F84" s="246" t="str">
        <f>IFERROR(INDEX('G-1 All Habitats'!$B$3:$B$129,MATCH(E84,'G-1 All Habitats'!$A$3:$A$129,0)),"")</f>
        <v/>
      </c>
      <c r="G84" s="70"/>
      <c r="H84" s="498" t="str">
        <f>IF(F84="","",VLOOKUP(F84,'G-1 All Habitats'!$B$2:$M$129,10,FALSE))</f>
        <v/>
      </c>
      <c r="I84" s="499" t="str">
        <f>IFERROR(VLOOKUP(H84,'G-1 All Habitats'!$V$3:$W$7,2,FALSE),"")</f>
        <v/>
      </c>
      <c r="J84" s="71"/>
      <c r="K84" s="499" t="str">
        <f>IFERROR(INDEX('G-8 Condition Look up'!$A$3:$H$130,MATCH(F84,'G-8 Condition Look up'!$A$3:$A$130,0),MATCH(J84,'G-8 Condition Look up'!$A$3:$H$3,0)),"")</f>
        <v/>
      </c>
      <c r="L84" s="71"/>
      <c r="M84" s="507" t="str">
        <f>IF(L84="","",IF(VLOOKUP(L84,'G-3 Multipliers'!$L$3:$N$6,2,FALSE)=0,"Spatial Data Missing",VLOOKUP(L84,'G-3 Multipliers'!$L$3:$N$6,2,FALSE)))</f>
        <v/>
      </c>
      <c r="N84" s="505" t="str">
        <f>IF(L84="","",IF(VLOOKUP(L84,'G-3 Multipliers'!$L$3:$N$6,3,FALSE)=0,"Spatial Data Missing",VLOOKUP(L84,'G-3 Multipliers'!$L$3:$N$6,3,FALSE)))</f>
        <v/>
      </c>
      <c r="O84" s="498" t="str">
        <f t="shared" si="6"/>
        <v/>
      </c>
      <c r="P84" s="82"/>
      <c r="Q84" s="82"/>
      <c r="R84" s="507" t="str">
        <f t="shared" si="8"/>
        <v/>
      </c>
      <c r="S84" s="521" t="str">
        <f t="shared" si="9"/>
        <v/>
      </c>
      <c r="T84" s="522" t="str">
        <f>IFERROR(IF(S84="Check Data ⚠","Check Data ⚠",VLOOKUP(S84,'G-4 Temporal multipliers'!$A$4:$C$37,3,FALSE)),"")</f>
        <v/>
      </c>
      <c r="U84" s="523" t="str">
        <f>IF(F84="","",VLOOKUP(F84,'G-3 Multipliers'!$A$2:$E$129,2,FALSE))</f>
        <v/>
      </c>
      <c r="V84" s="520" t="str">
        <f t="shared" si="10"/>
        <v/>
      </c>
      <c r="W84" s="520" t="str">
        <f>IF(E84="","",IF(AND(V84="Standard difficulty applied",O84&gt;P84),U84,IF(AND(V84="Low Difficulty - only applicable if all habitat created before losses",P84&gt;=O84),"Low",VLOOKUP(F84,'G-3 Multipliers'!$A$2:$E$129,4,FALSE))))</f>
        <v/>
      </c>
      <c r="X84" s="524" t="str">
        <f>IFERROR(IF(E84="","",VLOOKUP(W84, 'G-3 Multipliers'!$P$2:$Q$6,2,FALSE)),"")</f>
        <v/>
      </c>
      <c r="Y84" s="529" t="str">
        <f t="shared" si="11"/>
        <v/>
      </c>
      <c r="Z84" s="239"/>
      <c r="AA84" s="240"/>
      <c r="AE84" s="54" t="str">
        <f t="shared" si="7"/>
        <v/>
      </c>
    </row>
    <row r="85" spans="1:31" x14ac:dyDescent="0.25">
      <c r="A85" s="47" t="str">
        <f>IFERROR(INDEX('G-8 Condition Look up'!$I$4:$I$130,MATCH(F85,'G-8 Condition Look up'!$A$4:$A$130,0)),"")</f>
        <v/>
      </c>
      <c r="C85" s="384" t="str">
        <f>IFERROR(INDEX('G-1 All Habitats'!$AG$3:$AG$15,MATCH(D85,'G-1 All Habitats'!$AF$3:$AF$15,0)),"")</f>
        <v/>
      </c>
      <c r="D85" s="146"/>
      <c r="E85" s="79"/>
      <c r="F85" s="246" t="str">
        <f>IFERROR(INDEX('G-1 All Habitats'!$B$3:$B$129,MATCH(E85,'G-1 All Habitats'!$A$3:$A$129,0)),"")</f>
        <v/>
      </c>
      <c r="G85" s="70"/>
      <c r="H85" s="498" t="str">
        <f>IF(F85="","",VLOOKUP(F85,'G-1 All Habitats'!$B$2:$M$129,10,FALSE))</f>
        <v/>
      </c>
      <c r="I85" s="499" t="str">
        <f>IFERROR(VLOOKUP(H85,'G-1 All Habitats'!$V$3:$W$7,2,FALSE),"")</f>
        <v/>
      </c>
      <c r="J85" s="71"/>
      <c r="K85" s="499" t="str">
        <f>IFERROR(INDEX('G-8 Condition Look up'!$A$3:$H$130,MATCH(F85,'G-8 Condition Look up'!$A$3:$A$130,0),MATCH(J85,'G-8 Condition Look up'!$A$3:$H$3,0)),"")</f>
        <v/>
      </c>
      <c r="L85" s="71"/>
      <c r="M85" s="507" t="str">
        <f>IF(L85="","",IF(VLOOKUP(L85,'G-3 Multipliers'!$L$3:$N$6,2,FALSE)=0,"Spatial Data Missing",VLOOKUP(L85,'G-3 Multipliers'!$L$3:$N$6,2,FALSE)))</f>
        <v/>
      </c>
      <c r="N85" s="505" t="str">
        <f>IF(L85="","",IF(VLOOKUP(L85,'G-3 Multipliers'!$L$3:$N$6,3,FALSE)=0,"Spatial Data Missing",VLOOKUP(L85,'G-3 Multipliers'!$L$3:$N$6,3,FALSE)))</f>
        <v/>
      </c>
      <c r="O85" s="498" t="str">
        <f t="shared" si="6"/>
        <v/>
      </c>
      <c r="P85" s="82"/>
      <c r="Q85" s="82"/>
      <c r="R85" s="507" t="str">
        <f t="shared" si="8"/>
        <v/>
      </c>
      <c r="S85" s="521" t="str">
        <f t="shared" si="9"/>
        <v/>
      </c>
      <c r="T85" s="522" t="str">
        <f>IFERROR(IF(S85="Check Data ⚠","Check Data ⚠",VLOOKUP(S85,'G-4 Temporal multipliers'!$A$4:$C$37,3,FALSE)),"")</f>
        <v/>
      </c>
      <c r="U85" s="523" t="str">
        <f>IF(F85="","",VLOOKUP(F85,'G-3 Multipliers'!$A$2:$E$129,2,FALSE))</f>
        <v/>
      </c>
      <c r="V85" s="520" t="str">
        <f t="shared" si="10"/>
        <v/>
      </c>
      <c r="W85" s="520" t="str">
        <f>IF(E85="","",IF(AND(V85="Standard difficulty applied",O85&gt;P85),U85,IF(AND(V85="Low Difficulty - only applicable if all habitat created before losses",P85&gt;=O85),"Low",VLOOKUP(F85,'G-3 Multipliers'!$A$2:$E$129,4,FALSE))))</f>
        <v/>
      </c>
      <c r="X85" s="524" t="str">
        <f>IFERROR(IF(E85="","",VLOOKUP(W85, 'G-3 Multipliers'!$P$2:$Q$6,2,FALSE)),"")</f>
        <v/>
      </c>
      <c r="Y85" s="529" t="str">
        <f t="shared" si="11"/>
        <v/>
      </c>
      <c r="Z85" s="239"/>
      <c r="AA85" s="240"/>
      <c r="AE85" s="54" t="str">
        <f t="shared" si="7"/>
        <v/>
      </c>
    </row>
    <row r="86" spans="1:31" x14ac:dyDescent="0.25">
      <c r="A86" s="47" t="str">
        <f>IFERROR(INDEX('G-8 Condition Look up'!$I$4:$I$130,MATCH(F86,'G-8 Condition Look up'!$A$4:$A$130,0)),"")</f>
        <v/>
      </c>
      <c r="C86" s="384" t="str">
        <f>IFERROR(INDEX('G-1 All Habitats'!$AG$3:$AG$15,MATCH(D86,'G-1 All Habitats'!$AF$3:$AF$15,0)),"")</f>
        <v/>
      </c>
      <c r="D86" s="146"/>
      <c r="E86" s="79"/>
      <c r="F86" s="246" t="str">
        <f>IFERROR(INDEX('G-1 All Habitats'!$B$3:$B$129,MATCH(E86,'G-1 All Habitats'!$A$3:$A$129,0)),"")</f>
        <v/>
      </c>
      <c r="G86" s="70"/>
      <c r="H86" s="498" t="str">
        <f>IF(F86="","",VLOOKUP(F86,'G-1 All Habitats'!$B$2:$M$129,10,FALSE))</f>
        <v/>
      </c>
      <c r="I86" s="499" t="str">
        <f>IFERROR(VLOOKUP(H86,'G-1 All Habitats'!$V$3:$W$7,2,FALSE),"")</f>
        <v/>
      </c>
      <c r="J86" s="71"/>
      <c r="K86" s="499" t="str">
        <f>IFERROR(INDEX('G-8 Condition Look up'!$A$3:$H$130,MATCH(F86,'G-8 Condition Look up'!$A$3:$A$130,0),MATCH(J86,'G-8 Condition Look up'!$A$3:$H$3,0)),"")</f>
        <v/>
      </c>
      <c r="L86" s="71"/>
      <c r="M86" s="507" t="str">
        <f>IF(L86="","",IF(VLOOKUP(L86,'G-3 Multipliers'!$L$3:$N$6,2,FALSE)=0,"Spatial Data Missing",VLOOKUP(L86,'G-3 Multipliers'!$L$3:$N$6,2,FALSE)))</f>
        <v/>
      </c>
      <c r="N86" s="505" t="str">
        <f>IF(L86="","",IF(VLOOKUP(L86,'G-3 Multipliers'!$L$3:$N$6,3,FALSE)=0,"Spatial Data Missing",VLOOKUP(L86,'G-3 Multipliers'!$L$3:$N$6,3,FALSE)))</f>
        <v/>
      </c>
      <c r="O86" s="498" t="str">
        <f t="shared" si="6"/>
        <v/>
      </c>
      <c r="P86" s="82"/>
      <c r="Q86" s="82"/>
      <c r="R86" s="507" t="str">
        <f t="shared" si="8"/>
        <v/>
      </c>
      <c r="S86" s="521" t="str">
        <f t="shared" si="9"/>
        <v/>
      </c>
      <c r="T86" s="522" t="str">
        <f>IFERROR(IF(S86="Check Data ⚠","Check Data ⚠",VLOOKUP(S86,'G-4 Temporal multipliers'!$A$4:$C$37,3,FALSE)),"")</f>
        <v/>
      </c>
      <c r="U86" s="523" t="str">
        <f>IF(F86="","",VLOOKUP(F86,'G-3 Multipliers'!$A$2:$E$129,2,FALSE))</f>
        <v/>
      </c>
      <c r="V86" s="520" t="str">
        <f t="shared" si="10"/>
        <v/>
      </c>
      <c r="W86" s="520" t="str">
        <f>IF(E86="","",IF(AND(V86="Standard difficulty applied",O86&gt;P86),U86,IF(AND(V86="Low Difficulty - only applicable if all habitat created before losses",P86&gt;=O86),"Low",VLOOKUP(F86,'G-3 Multipliers'!$A$2:$E$129,4,FALSE))))</f>
        <v/>
      </c>
      <c r="X86" s="524" t="str">
        <f>IFERROR(IF(E86="","",VLOOKUP(W86, 'G-3 Multipliers'!$P$2:$Q$6,2,FALSE)),"")</f>
        <v/>
      </c>
      <c r="Y86" s="529" t="str">
        <f t="shared" si="11"/>
        <v/>
      </c>
      <c r="Z86" s="239"/>
      <c r="AA86" s="240"/>
      <c r="AE86" s="54" t="str">
        <f t="shared" si="7"/>
        <v/>
      </c>
    </row>
    <row r="87" spans="1:31" x14ac:dyDescent="0.25">
      <c r="A87" s="47" t="str">
        <f>IFERROR(INDEX('G-8 Condition Look up'!$I$4:$I$130,MATCH(F87,'G-8 Condition Look up'!$A$4:$A$130,0)),"")</f>
        <v/>
      </c>
      <c r="C87" s="384" t="str">
        <f>IFERROR(INDEX('G-1 All Habitats'!$AG$3:$AG$15,MATCH(D87,'G-1 All Habitats'!$AF$3:$AF$15,0)),"")</f>
        <v/>
      </c>
      <c r="D87" s="146"/>
      <c r="E87" s="79"/>
      <c r="F87" s="246" t="str">
        <f>IFERROR(INDEX('G-1 All Habitats'!$B$3:$B$129,MATCH(E87,'G-1 All Habitats'!$A$3:$A$129,0)),"")</f>
        <v/>
      </c>
      <c r="G87" s="70"/>
      <c r="H87" s="498" t="str">
        <f>IF(F87="","",VLOOKUP(F87,'G-1 All Habitats'!$B$2:$M$129,10,FALSE))</f>
        <v/>
      </c>
      <c r="I87" s="499" t="str">
        <f>IFERROR(VLOOKUP(H87,'G-1 All Habitats'!$V$3:$W$7,2,FALSE),"")</f>
        <v/>
      </c>
      <c r="J87" s="71"/>
      <c r="K87" s="499" t="str">
        <f>IFERROR(INDEX('G-8 Condition Look up'!$A$3:$H$130,MATCH(F87,'G-8 Condition Look up'!$A$3:$A$130,0),MATCH(J87,'G-8 Condition Look up'!$A$3:$H$3,0)),"")</f>
        <v/>
      </c>
      <c r="L87" s="71"/>
      <c r="M87" s="507" t="str">
        <f>IF(L87="","",IF(VLOOKUP(L87,'G-3 Multipliers'!$L$3:$N$6,2,FALSE)=0,"Spatial Data Missing",VLOOKUP(L87,'G-3 Multipliers'!$L$3:$N$6,2,FALSE)))</f>
        <v/>
      </c>
      <c r="N87" s="505" t="str">
        <f>IF(L87="","",IF(VLOOKUP(L87,'G-3 Multipliers'!$L$3:$N$6,3,FALSE)=0,"Spatial Data Missing",VLOOKUP(L87,'G-3 Multipliers'!$L$3:$N$6,3,FALSE)))</f>
        <v/>
      </c>
      <c r="O87" s="498" t="str">
        <f t="shared" si="6"/>
        <v/>
      </c>
      <c r="P87" s="82"/>
      <c r="Q87" s="82"/>
      <c r="R87" s="507" t="str">
        <f t="shared" si="8"/>
        <v/>
      </c>
      <c r="S87" s="521" t="str">
        <f t="shared" si="9"/>
        <v/>
      </c>
      <c r="T87" s="522" t="str">
        <f>IFERROR(IF(S87="Check Data ⚠","Check Data ⚠",VLOOKUP(S87,'G-4 Temporal multipliers'!$A$4:$C$37,3,FALSE)),"")</f>
        <v/>
      </c>
      <c r="U87" s="523" t="str">
        <f>IF(F87="","",VLOOKUP(F87,'G-3 Multipliers'!$A$2:$E$129,2,FALSE))</f>
        <v/>
      </c>
      <c r="V87" s="520" t="str">
        <f t="shared" si="10"/>
        <v/>
      </c>
      <c r="W87" s="520" t="str">
        <f>IF(E87="","",IF(AND(V87="Standard difficulty applied",O87&gt;P87),U87,IF(AND(V87="Low Difficulty - only applicable if all habitat created before losses",P87&gt;=O87),"Low",VLOOKUP(F87,'G-3 Multipliers'!$A$2:$E$129,4,FALSE))))</f>
        <v/>
      </c>
      <c r="X87" s="524" t="str">
        <f>IFERROR(IF(E87="","",VLOOKUP(W87, 'G-3 Multipliers'!$P$2:$Q$6,2,FALSE)),"")</f>
        <v/>
      </c>
      <c r="Y87" s="529" t="str">
        <f t="shared" si="11"/>
        <v/>
      </c>
      <c r="Z87" s="239"/>
      <c r="AA87" s="240"/>
      <c r="AE87" s="54" t="str">
        <f t="shared" si="7"/>
        <v/>
      </c>
    </row>
    <row r="88" spans="1:31" x14ac:dyDescent="0.25">
      <c r="A88" s="47" t="str">
        <f>IFERROR(INDEX('G-8 Condition Look up'!$I$4:$I$130,MATCH(F88,'G-8 Condition Look up'!$A$4:$A$130,0)),"")</f>
        <v/>
      </c>
      <c r="C88" s="384" t="str">
        <f>IFERROR(INDEX('G-1 All Habitats'!$AG$3:$AG$15,MATCH(D88,'G-1 All Habitats'!$AF$3:$AF$15,0)),"")</f>
        <v/>
      </c>
      <c r="D88" s="146"/>
      <c r="E88" s="79"/>
      <c r="F88" s="246" t="str">
        <f>IFERROR(INDEX('G-1 All Habitats'!$B$3:$B$129,MATCH(E88,'G-1 All Habitats'!$A$3:$A$129,0)),"")</f>
        <v/>
      </c>
      <c r="G88" s="70"/>
      <c r="H88" s="498" t="str">
        <f>IF(F88="","",VLOOKUP(F88,'G-1 All Habitats'!$B$2:$M$129,10,FALSE))</f>
        <v/>
      </c>
      <c r="I88" s="499" t="str">
        <f>IFERROR(VLOOKUP(H88,'G-1 All Habitats'!$V$3:$W$7,2,FALSE),"")</f>
        <v/>
      </c>
      <c r="J88" s="71"/>
      <c r="K88" s="499" t="str">
        <f>IFERROR(INDEX('G-8 Condition Look up'!$A$3:$H$130,MATCH(F88,'G-8 Condition Look up'!$A$3:$A$130,0),MATCH(J88,'G-8 Condition Look up'!$A$3:$H$3,0)),"")</f>
        <v/>
      </c>
      <c r="L88" s="71"/>
      <c r="M88" s="507" t="str">
        <f>IF(L88="","",IF(VLOOKUP(L88,'G-3 Multipliers'!$L$3:$N$6,2,FALSE)=0,"Spatial Data Missing",VLOOKUP(L88,'G-3 Multipliers'!$L$3:$N$6,2,FALSE)))</f>
        <v/>
      </c>
      <c r="N88" s="505" t="str">
        <f>IF(L88="","",IF(VLOOKUP(L88,'G-3 Multipliers'!$L$3:$N$6,3,FALSE)=0,"Spatial Data Missing",VLOOKUP(L88,'G-3 Multipliers'!$L$3:$N$6,3,FALSE)))</f>
        <v/>
      </c>
      <c r="O88" s="498" t="str">
        <f t="shared" si="6"/>
        <v/>
      </c>
      <c r="P88" s="82"/>
      <c r="Q88" s="82"/>
      <c r="R88" s="507" t="str">
        <f t="shared" si="8"/>
        <v/>
      </c>
      <c r="S88" s="521" t="str">
        <f t="shared" si="9"/>
        <v/>
      </c>
      <c r="T88" s="522" t="str">
        <f>IFERROR(IF(S88="Check Data ⚠","Check Data ⚠",VLOOKUP(S88,'G-4 Temporal multipliers'!$A$4:$C$37,3,FALSE)),"")</f>
        <v/>
      </c>
      <c r="U88" s="523" t="str">
        <f>IF(F88="","",VLOOKUP(F88,'G-3 Multipliers'!$A$2:$E$129,2,FALSE))</f>
        <v/>
      </c>
      <c r="V88" s="520" t="str">
        <f t="shared" si="10"/>
        <v/>
      </c>
      <c r="W88" s="520" t="str">
        <f>IF(E88="","",IF(AND(V88="Standard difficulty applied",O88&gt;P88),U88,IF(AND(V88="Low Difficulty - only applicable if all habitat created before losses",P88&gt;=O88),"Low",VLOOKUP(F88,'G-3 Multipliers'!$A$2:$E$129,4,FALSE))))</f>
        <v/>
      </c>
      <c r="X88" s="524" t="str">
        <f>IFERROR(IF(E88="","",VLOOKUP(W88, 'G-3 Multipliers'!$P$2:$Q$6,2,FALSE)),"")</f>
        <v/>
      </c>
      <c r="Y88" s="529" t="str">
        <f t="shared" si="11"/>
        <v/>
      </c>
      <c r="Z88" s="239"/>
      <c r="AA88" s="240"/>
      <c r="AE88" s="54" t="str">
        <f t="shared" si="7"/>
        <v/>
      </c>
    </row>
    <row r="89" spans="1:31" x14ac:dyDescent="0.25">
      <c r="A89" s="47" t="str">
        <f>IFERROR(INDEX('G-8 Condition Look up'!$I$4:$I$130,MATCH(F89,'G-8 Condition Look up'!$A$4:$A$130,0)),"")</f>
        <v/>
      </c>
      <c r="C89" s="384" t="str">
        <f>IFERROR(INDEX('G-1 All Habitats'!$AG$3:$AG$15,MATCH(D89,'G-1 All Habitats'!$AF$3:$AF$15,0)),"")</f>
        <v/>
      </c>
      <c r="D89" s="146"/>
      <c r="E89" s="79"/>
      <c r="F89" s="246" t="str">
        <f>IFERROR(INDEX('G-1 All Habitats'!$B$3:$B$129,MATCH(E89,'G-1 All Habitats'!$A$3:$A$129,0)),"")</f>
        <v/>
      </c>
      <c r="G89" s="70"/>
      <c r="H89" s="498" t="str">
        <f>IF(F89="","",VLOOKUP(F89,'G-1 All Habitats'!$B$2:$M$129,10,FALSE))</f>
        <v/>
      </c>
      <c r="I89" s="499" t="str">
        <f>IFERROR(VLOOKUP(H89,'G-1 All Habitats'!$V$3:$W$7,2,FALSE),"")</f>
        <v/>
      </c>
      <c r="J89" s="71"/>
      <c r="K89" s="499" t="str">
        <f>IFERROR(INDEX('G-8 Condition Look up'!$A$3:$H$130,MATCH(F89,'G-8 Condition Look up'!$A$3:$A$130,0),MATCH(J89,'G-8 Condition Look up'!$A$3:$H$3,0)),"")</f>
        <v/>
      </c>
      <c r="L89" s="71"/>
      <c r="M89" s="507" t="str">
        <f>IF(L89="","",IF(VLOOKUP(L89,'G-3 Multipliers'!$L$3:$N$6,2,FALSE)=0,"Spatial Data Missing",VLOOKUP(L89,'G-3 Multipliers'!$L$3:$N$6,2,FALSE)))</f>
        <v/>
      </c>
      <c r="N89" s="505" t="str">
        <f>IF(L89="","",IF(VLOOKUP(L89,'G-3 Multipliers'!$L$3:$N$6,3,FALSE)=0,"Spatial Data Missing",VLOOKUP(L89,'G-3 Multipliers'!$L$3:$N$6,3,FALSE)))</f>
        <v/>
      </c>
      <c r="O89" s="498" t="str">
        <f t="shared" si="6"/>
        <v/>
      </c>
      <c r="P89" s="82"/>
      <c r="Q89" s="82"/>
      <c r="R89" s="507" t="str">
        <f t="shared" si="8"/>
        <v/>
      </c>
      <c r="S89" s="521" t="str">
        <f t="shared" si="9"/>
        <v/>
      </c>
      <c r="T89" s="522" t="str">
        <f>IFERROR(IF(S89="Check Data ⚠","Check Data ⚠",VLOOKUP(S89,'G-4 Temporal multipliers'!$A$4:$C$37,3,FALSE)),"")</f>
        <v/>
      </c>
      <c r="U89" s="523" t="str">
        <f>IF(F89="","",VLOOKUP(F89,'G-3 Multipliers'!$A$2:$E$129,2,FALSE))</f>
        <v/>
      </c>
      <c r="V89" s="520" t="str">
        <f t="shared" si="10"/>
        <v/>
      </c>
      <c r="W89" s="520" t="str">
        <f>IF(E89="","",IF(AND(V89="Standard difficulty applied",O89&gt;P89),U89,IF(AND(V89="Low Difficulty - only applicable if all habitat created before losses",P89&gt;=O89),"Low",VLOOKUP(F89,'G-3 Multipliers'!$A$2:$E$129,4,FALSE))))</f>
        <v/>
      </c>
      <c r="X89" s="524" t="str">
        <f>IFERROR(IF(E89="","",VLOOKUP(W89, 'G-3 Multipliers'!$P$2:$Q$6,2,FALSE)),"")</f>
        <v/>
      </c>
      <c r="Y89" s="529" t="str">
        <f t="shared" si="11"/>
        <v/>
      </c>
      <c r="Z89" s="239"/>
      <c r="AA89" s="240"/>
      <c r="AE89" s="54" t="str">
        <f t="shared" si="7"/>
        <v/>
      </c>
    </row>
    <row r="90" spans="1:31" x14ac:dyDescent="0.25">
      <c r="A90" s="47" t="str">
        <f>IFERROR(INDEX('G-8 Condition Look up'!$I$4:$I$130,MATCH(F90,'G-8 Condition Look up'!$A$4:$A$130,0)),"")</f>
        <v/>
      </c>
      <c r="C90" s="384" t="str">
        <f>IFERROR(INDEX('G-1 All Habitats'!$AG$3:$AG$15,MATCH(D90,'G-1 All Habitats'!$AF$3:$AF$15,0)),"")</f>
        <v/>
      </c>
      <c r="D90" s="146"/>
      <c r="E90" s="79"/>
      <c r="F90" s="246" t="str">
        <f>IFERROR(INDEX('G-1 All Habitats'!$B$3:$B$129,MATCH(E90,'G-1 All Habitats'!$A$3:$A$129,0)),"")</f>
        <v/>
      </c>
      <c r="G90" s="70"/>
      <c r="H90" s="498" t="str">
        <f>IF(F90="","",VLOOKUP(F90,'G-1 All Habitats'!$B$2:$M$129,10,FALSE))</f>
        <v/>
      </c>
      <c r="I90" s="499" t="str">
        <f>IFERROR(VLOOKUP(H90,'G-1 All Habitats'!$V$3:$W$7,2,FALSE),"")</f>
        <v/>
      </c>
      <c r="J90" s="71"/>
      <c r="K90" s="499" t="str">
        <f>IFERROR(INDEX('G-8 Condition Look up'!$A$3:$H$130,MATCH(F90,'G-8 Condition Look up'!$A$3:$A$130,0),MATCH(J90,'G-8 Condition Look up'!$A$3:$H$3,0)),"")</f>
        <v/>
      </c>
      <c r="L90" s="71"/>
      <c r="M90" s="507" t="str">
        <f>IF(L90="","",IF(VLOOKUP(L90,'G-3 Multipliers'!$L$3:$N$6,2,FALSE)=0,"Spatial Data Missing",VLOOKUP(L90,'G-3 Multipliers'!$L$3:$N$6,2,FALSE)))</f>
        <v/>
      </c>
      <c r="N90" s="505" t="str">
        <f>IF(L90="","",IF(VLOOKUP(L90,'G-3 Multipliers'!$L$3:$N$6,3,FALSE)=0,"Spatial Data Missing",VLOOKUP(L90,'G-3 Multipliers'!$L$3:$N$6,3,FALSE)))</f>
        <v/>
      </c>
      <c r="O90" s="498" t="str">
        <f t="shared" si="6"/>
        <v/>
      </c>
      <c r="P90" s="82"/>
      <c r="Q90" s="82"/>
      <c r="R90" s="507" t="str">
        <f t="shared" si="8"/>
        <v/>
      </c>
      <c r="S90" s="521" t="str">
        <f t="shared" si="9"/>
        <v/>
      </c>
      <c r="T90" s="522" t="str">
        <f>IFERROR(IF(S90="Check Data ⚠","Check Data ⚠",VLOOKUP(S90,'G-4 Temporal multipliers'!$A$4:$C$37,3,FALSE)),"")</f>
        <v/>
      </c>
      <c r="U90" s="523" t="str">
        <f>IF(F90="","",VLOOKUP(F90,'G-3 Multipliers'!$A$2:$E$129,2,FALSE))</f>
        <v/>
      </c>
      <c r="V90" s="520" t="str">
        <f t="shared" si="10"/>
        <v/>
      </c>
      <c r="W90" s="520" t="str">
        <f>IF(E90="","",IF(AND(V90="Standard difficulty applied",O90&gt;P90),U90,IF(AND(V90="Low Difficulty - only applicable if all habitat created before losses",P90&gt;=O90),"Low",VLOOKUP(F90,'G-3 Multipliers'!$A$2:$E$129,4,FALSE))))</f>
        <v/>
      </c>
      <c r="X90" s="524" t="str">
        <f>IFERROR(IF(E90="","",VLOOKUP(W90, 'G-3 Multipliers'!$P$2:$Q$6,2,FALSE)),"")</f>
        <v/>
      </c>
      <c r="Y90" s="529" t="str">
        <f t="shared" si="11"/>
        <v/>
      </c>
      <c r="Z90" s="239"/>
      <c r="AA90" s="240"/>
      <c r="AE90" s="54" t="str">
        <f t="shared" si="7"/>
        <v/>
      </c>
    </row>
    <row r="91" spans="1:31" x14ac:dyDescent="0.25">
      <c r="A91" s="47" t="str">
        <f>IFERROR(INDEX('G-8 Condition Look up'!$I$4:$I$130,MATCH(F91,'G-8 Condition Look up'!$A$4:$A$130,0)),"")</f>
        <v/>
      </c>
      <c r="C91" s="384" t="str">
        <f>IFERROR(INDEX('G-1 All Habitats'!$AG$3:$AG$15,MATCH(D91,'G-1 All Habitats'!$AF$3:$AF$15,0)),"")</f>
        <v/>
      </c>
      <c r="D91" s="146"/>
      <c r="E91" s="79"/>
      <c r="F91" s="246" t="str">
        <f>IFERROR(INDEX('G-1 All Habitats'!$B$3:$B$129,MATCH(E91,'G-1 All Habitats'!$A$3:$A$129,0)),"")</f>
        <v/>
      </c>
      <c r="G91" s="70"/>
      <c r="H91" s="498" t="str">
        <f>IF(F91="","",VLOOKUP(F91,'G-1 All Habitats'!$B$2:$M$129,10,FALSE))</f>
        <v/>
      </c>
      <c r="I91" s="499" t="str">
        <f>IFERROR(VLOOKUP(H91,'G-1 All Habitats'!$V$3:$W$7,2,FALSE),"")</f>
        <v/>
      </c>
      <c r="J91" s="71"/>
      <c r="K91" s="499" t="str">
        <f>IFERROR(INDEX('G-8 Condition Look up'!$A$3:$H$130,MATCH(F91,'G-8 Condition Look up'!$A$3:$A$130,0),MATCH(J91,'G-8 Condition Look up'!$A$3:$H$3,0)),"")</f>
        <v/>
      </c>
      <c r="L91" s="71"/>
      <c r="M91" s="507" t="str">
        <f>IF(L91="","",IF(VLOOKUP(L91,'G-3 Multipliers'!$L$3:$N$6,2,FALSE)=0,"Spatial Data Missing",VLOOKUP(L91,'G-3 Multipliers'!$L$3:$N$6,2,FALSE)))</f>
        <v/>
      </c>
      <c r="N91" s="505" t="str">
        <f>IF(L91="","",IF(VLOOKUP(L91,'G-3 Multipliers'!$L$3:$N$6,3,FALSE)=0,"Spatial Data Missing",VLOOKUP(L91,'G-3 Multipliers'!$L$3:$N$6,3,FALSE)))</f>
        <v/>
      </c>
      <c r="O91" s="498" t="str">
        <f t="shared" si="6"/>
        <v/>
      </c>
      <c r="P91" s="82"/>
      <c r="Q91" s="82"/>
      <c r="R91" s="507" t="str">
        <f t="shared" si="8"/>
        <v/>
      </c>
      <c r="S91" s="521" t="str">
        <f t="shared" si="9"/>
        <v/>
      </c>
      <c r="T91" s="522" t="str">
        <f>IFERROR(IF(S91="Check Data ⚠","Check Data ⚠",VLOOKUP(S91,'G-4 Temporal multipliers'!$A$4:$C$37,3,FALSE)),"")</f>
        <v/>
      </c>
      <c r="U91" s="523" t="str">
        <f>IF(F91="","",VLOOKUP(F91,'G-3 Multipliers'!$A$2:$E$129,2,FALSE))</f>
        <v/>
      </c>
      <c r="V91" s="520" t="str">
        <f t="shared" si="10"/>
        <v/>
      </c>
      <c r="W91" s="520" t="str">
        <f>IF(E91="","",IF(AND(V91="Standard difficulty applied",O91&gt;P91),U91,IF(AND(V91="Low Difficulty - only applicable if all habitat created before losses",P91&gt;=O91),"Low",VLOOKUP(F91,'G-3 Multipliers'!$A$2:$E$129,4,FALSE))))</f>
        <v/>
      </c>
      <c r="X91" s="524" t="str">
        <f>IFERROR(IF(E91="","",VLOOKUP(W91, 'G-3 Multipliers'!$P$2:$Q$6,2,FALSE)),"")</f>
        <v/>
      </c>
      <c r="Y91" s="529" t="str">
        <f t="shared" si="11"/>
        <v/>
      </c>
      <c r="Z91" s="239"/>
      <c r="AA91" s="240"/>
      <c r="AE91" s="54" t="str">
        <f t="shared" si="7"/>
        <v/>
      </c>
    </row>
    <row r="92" spans="1:31" x14ac:dyDescent="0.25">
      <c r="A92" s="47" t="str">
        <f>IFERROR(INDEX('G-8 Condition Look up'!$I$4:$I$130,MATCH(F92,'G-8 Condition Look up'!$A$4:$A$130,0)),"")</f>
        <v/>
      </c>
      <c r="C92" s="384" t="str">
        <f>IFERROR(INDEX('G-1 All Habitats'!$AG$3:$AG$15,MATCH(D92,'G-1 All Habitats'!$AF$3:$AF$15,0)),"")</f>
        <v/>
      </c>
      <c r="D92" s="146"/>
      <c r="E92" s="79"/>
      <c r="F92" s="246" t="str">
        <f>IFERROR(INDEX('G-1 All Habitats'!$B$3:$B$129,MATCH(E92,'G-1 All Habitats'!$A$3:$A$129,0)),"")</f>
        <v/>
      </c>
      <c r="G92" s="70"/>
      <c r="H92" s="498" t="str">
        <f>IF(F92="","",VLOOKUP(F92,'G-1 All Habitats'!$B$2:$M$129,10,FALSE))</f>
        <v/>
      </c>
      <c r="I92" s="499" t="str">
        <f>IFERROR(VLOOKUP(H92,'G-1 All Habitats'!$V$3:$W$7,2,FALSE),"")</f>
        <v/>
      </c>
      <c r="J92" s="71"/>
      <c r="K92" s="499" t="str">
        <f>IFERROR(INDEX('G-8 Condition Look up'!$A$3:$H$130,MATCH(F92,'G-8 Condition Look up'!$A$3:$A$130,0),MATCH(J92,'G-8 Condition Look up'!$A$3:$H$3,0)),"")</f>
        <v/>
      </c>
      <c r="L92" s="71"/>
      <c r="M92" s="507" t="str">
        <f>IF(L92="","",IF(VLOOKUP(L92,'G-3 Multipliers'!$L$3:$N$6,2,FALSE)=0,"Spatial Data Missing",VLOOKUP(L92,'G-3 Multipliers'!$L$3:$N$6,2,FALSE)))</f>
        <v/>
      </c>
      <c r="N92" s="505" t="str">
        <f>IF(L92="","",IF(VLOOKUP(L92,'G-3 Multipliers'!$L$3:$N$6,3,FALSE)=0,"Spatial Data Missing",VLOOKUP(L92,'G-3 Multipliers'!$L$3:$N$6,3,FALSE)))</f>
        <v/>
      </c>
      <c r="O92" s="498" t="str">
        <f t="shared" si="6"/>
        <v/>
      </c>
      <c r="P92" s="82"/>
      <c r="Q92" s="82"/>
      <c r="R92" s="507" t="str">
        <f t="shared" si="8"/>
        <v/>
      </c>
      <c r="S92" s="521" t="str">
        <f t="shared" si="9"/>
        <v/>
      </c>
      <c r="T92" s="522" t="str">
        <f>IFERROR(IF(S92="Check Data ⚠","Check Data ⚠",VLOOKUP(S92,'G-4 Temporal multipliers'!$A$4:$C$37,3,FALSE)),"")</f>
        <v/>
      </c>
      <c r="U92" s="523" t="str">
        <f>IF(F92="","",VLOOKUP(F92,'G-3 Multipliers'!$A$2:$E$129,2,FALSE))</f>
        <v/>
      </c>
      <c r="V92" s="520" t="str">
        <f t="shared" si="10"/>
        <v/>
      </c>
      <c r="W92" s="520" t="str">
        <f>IF(E92="","",IF(AND(V92="Standard difficulty applied",O92&gt;P92),U92,IF(AND(V92="Low Difficulty - only applicable if all habitat created before losses",P92&gt;=O92),"Low",VLOOKUP(F92,'G-3 Multipliers'!$A$2:$E$129,4,FALSE))))</f>
        <v/>
      </c>
      <c r="X92" s="524" t="str">
        <f>IFERROR(IF(E92="","",VLOOKUP(W92, 'G-3 Multipliers'!$P$2:$Q$6,2,FALSE)),"")</f>
        <v/>
      </c>
      <c r="Y92" s="529" t="str">
        <f t="shared" si="11"/>
        <v/>
      </c>
      <c r="Z92" s="239"/>
      <c r="AA92" s="240"/>
      <c r="AE92" s="54" t="str">
        <f t="shared" si="7"/>
        <v/>
      </c>
    </row>
    <row r="93" spans="1:31" x14ac:dyDescent="0.25">
      <c r="A93" s="47" t="str">
        <f>IFERROR(INDEX('G-8 Condition Look up'!$I$4:$I$130,MATCH(F93,'G-8 Condition Look up'!$A$4:$A$130,0)),"")</f>
        <v/>
      </c>
      <c r="C93" s="384" t="str">
        <f>IFERROR(INDEX('G-1 All Habitats'!$AG$3:$AG$15,MATCH(D93,'G-1 All Habitats'!$AF$3:$AF$15,0)),"")</f>
        <v/>
      </c>
      <c r="D93" s="146"/>
      <c r="E93" s="79"/>
      <c r="F93" s="246" t="str">
        <f>IFERROR(INDEX('G-1 All Habitats'!$B$3:$B$129,MATCH(E93,'G-1 All Habitats'!$A$3:$A$129,0)),"")</f>
        <v/>
      </c>
      <c r="G93" s="70"/>
      <c r="H93" s="498" t="str">
        <f>IF(F93="","",VLOOKUP(F93,'G-1 All Habitats'!$B$2:$M$129,10,FALSE))</f>
        <v/>
      </c>
      <c r="I93" s="499" t="str">
        <f>IFERROR(VLOOKUP(H93,'G-1 All Habitats'!$V$3:$W$7,2,FALSE),"")</f>
        <v/>
      </c>
      <c r="J93" s="71"/>
      <c r="K93" s="499" t="str">
        <f>IFERROR(INDEX('G-8 Condition Look up'!$A$3:$H$130,MATCH(F93,'G-8 Condition Look up'!$A$3:$A$130,0),MATCH(J93,'G-8 Condition Look up'!$A$3:$H$3,0)),"")</f>
        <v/>
      </c>
      <c r="L93" s="71"/>
      <c r="M93" s="507" t="str">
        <f>IF(L93="","",IF(VLOOKUP(L93,'G-3 Multipliers'!$L$3:$N$6,2,FALSE)=0,"Spatial Data Missing",VLOOKUP(L93,'G-3 Multipliers'!$L$3:$N$6,2,FALSE)))</f>
        <v/>
      </c>
      <c r="N93" s="505" t="str">
        <f>IF(L93="","",IF(VLOOKUP(L93,'G-3 Multipliers'!$L$3:$N$6,3,FALSE)=0,"Spatial Data Missing",VLOOKUP(L93,'G-3 Multipliers'!$L$3:$N$6,3,FALSE)))</f>
        <v/>
      </c>
      <c r="O93" s="498" t="str">
        <f t="shared" si="6"/>
        <v/>
      </c>
      <c r="P93" s="82"/>
      <c r="Q93" s="82"/>
      <c r="R93" s="507" t="str">
        <f t="shared" si="8"/>
        <v/>
      </c>
      <c r="S93" s="521" t="str">
        <f t="shared" si="9"/>
        <v/>
      </c>
      <c r="T93" s="522" t="str">
        <f>IFERROR(IF(S93="Check Data ⚠","Check Data ⚠",VLOOKUP(S93,'G-4 Temporal multipliers'!$A$4:$C$37,3,FALSE)),"")</f>
        <v/>
      </c>
      <c r="U93" s="523" t="str">
        <f>IF(F93="","",VLOOKUP(F93,'G-3 Multipliers'!$A$2:$E$129,2,FALSE))</f>
        <v/>
      </c>
      <c r="V93" s="520" t="str">
        <f t="shared" si="10"/>
        <v/>
      </c>
      <c r="W93" s="520" t="str">
        <f>IF(E93="","",IF(AND(V93="Standard difficulty applied",O93&gt;P93),U93,IF(AND(V93="Low Difficulty - only applicable if all habitat created before losses",P93&gt;=O93),"Low",VLOOKUP(F93,'G-3 Multipliers'!$A$2:$E$129,4,FALSE))))</f>
        <v/>
      </c>
      <c r="X93" s="524" t="str">
        <f>IFERROR(IF(E93="","",VLOOKUP(W93, 'G-3 Multipliers'!$P$2:$Q$6,2,FALSE)),"")</f>
        <v/>
      </c>
      <c r="Y93" s="529" t="str">
        <f t="shared" si="11"/>
        <v/>
      </c>
      <c r="Z93" s="239"/>
      <c r="AA93" s="240"/>
      <c r="AE93" s="54" t="str">
        <f t="shared" si="7"/>
        <v/>
      </c>
    </row>
    <row r="94" spans="1:31" x14ac:dyDescent="0.25">
      <c r="A94" s="47" t="str">
        <f>IFERROR(INDEX('G-8 Condition Look up'!$I$4:$I$130,MATCH(F94,'G-8 Condition Look up'!$A$4:$A$130,0)),"")</f>
        <v/>
      </c>
      <c r="C94" s="384" t="str">
        <f>IFERROR(INDEX('G-1 All Habitats'!$AG$3:$AG$15,MATCH(D94,'G-1 All Habitats'!$AF$3:$AF$15,0)),"")</f>
        <v/>
      </c>
      <c r="D94" s="146"/>
      <c r="E94" s="79"/>
      <c r="F94" s="246" t="str">
        <f>IFERROR(INDEX('G-1 All Habitats'!$B$3:$B$129,MATCH(E94,'G-1 All Habitats'!$A$3:$A$129,0)),"")</f>
        <v/>
      </c>
      <c r="G94" s="70"/>
      <c r="H94" s="498" t="str">
        <f>IF(F94="","",VLOOKUP(F94,'G-1 All Habitats'!$B$2:$M$129,10,FALSE))</f>
        <v/>
      </c>
      <c r="I94" s="499" t="str">
        <f>IFERROR(VLOOKUP(H94,'G-1 All Habitats'!$V$3:$W$7,2,FALSE),"")</f>
        <v/>
      </c>
      <c r="J94" s="71"/>
      <c r="K94" s="499" t="str">
        <f>IFERROR(INDEX('G-8 Condition Look up'!$A$3:$H$130,MATCH(F94,'G-8 Condition Look up'!$A$3:$A$130,0),MATCH(J94,'G-8 Condition Look up'!$A$3:$H$3,0)),"")</f>
        <v/>
      </c>
      <c r="L94" s="71"/>
      <c r="M94" s="507" t="str">
        <f>IF(L94="","",IF(VLOOKUP(L94,'G-3 Multipliers'!$L$3:$N$6,2,FALSE)=0,"Spatial Data Missing",VLOOKUP(L94,'G-3 Multipliers'!$L$3:$N$6,2,FALSE)))</f>
        <v/>
      </c>
      <c r="N94" s="505" t="str">
        <f>IF(L94="","",IF(VLOOKUP(L94,'G-3 Multipliers'!$L$3:$N$6,3,FALSE)=0,"Spatial Data Missing",VLOOKUP(L94,'G-3 Multipliers'!$L$3:$N$6,3,FALSE)))</f>
        <v/>
      </c>
      <c r="O94" s="498" t="str">
        <f t="shared" si="6"/>
        <v/>
      </c>
      <c r="P94" s="82"/>
      <c r="Q94" s="82"/>
      <c r="R94" s="507" t="str">
        <f t="shared" si="8"/>
        <v/>
      </c>
      <c r="S94" s="521" t="str">
        <f t="shared" si="9"/>
        <v/>
      </c>
      <c r="T94" s="522" t="str">
        <f>IFERROR(IF(S94="Check Data ⚠","Check Data ⚠",VLOOKUP(S94,'G-4 Temporal multipliers'!$A$4:$C$37,3,FALSE)),"")</f>
        <v/>
      </c>
      <c r="U94" s="523" t="str">
        <f>IF(F94="","",VLOOKUP(F94,'G-3 Multipliers'!$A$2:$E$129,2,FALSE))</f>
        <v/>
      </c>
      <c r="V94" s="520" t="str">
        <f t="shared" si="10"/>
        <v/>
      </c>
      <c r="W94" s="520" t="str">
        <f>IF(E94="","",IF(AND(V94="Standard difficulty applied",O94&gt;P94),U94,IF(AND(V94="Low Difficulty - only applicable if all habitat created before losses",P94&gt;=O94),"Low",VLOOKUP(F94,'G-3 Multipliers'!$A$2:$E$129,4,FALSE))))</f>
        <v/>
      </c>
      <c r="X94" s="524" t="str">
        <f>IFERROR(IF(E94="","",VLOOKUP(W94, 'G-3 Multipliers'!$P$2:$Q$6,2,FALSE)),"")</f>
        <v/>
      </c>
      <c r="Y94" s="529" t="str">
        <f t="shared" si="11"/>
        <v/>
      </c>
      <c r="Z94" s="239"/>
      <c r="AA94" s="240"/>
      <c r="AE94" s="54" t="str">
        <f t="shared" si="7"/>
        <v/>
      </c>
    </row>
    <row r="95" spans="1:31" x14ac:dyDescent="0.25">
      <c r="A95" s="47" t="str">
        <f>IFERROR(INDEX('G-8 Condition Look up'!$I$4:$I$130,MATCH(F95,'G-8 Condition Look up'!$A$4:$A$130,0)),"")</f>
        <v/>
      </c>
      <c r="C95" s="384" t="str">
        <f>IFERROR(INDEX('G-1 All Habitats'!$AG$3:$AG$15,MATCH(D95,'G-1 All Habitats'!$AF$3:$AF$15,0)),"")</f>
        <v/>
      </c>
      <c r="D95" s="146"/>
      <c r="E95" s="79"/>
      <c r="F95" s="246" t="str">
        <f>IFERROR(INDEX('G-1 All Habitats'!$B$3:$B$129,MATCH(E95,'G-1 All Habitats'!$A$3:$A$129,0)),"")</f>
        <v/>
      </c>
      <c r="G95" s="70"/>
      <c r="H95" s="498" t="str">
        <f>IF(F95="","",VLOOKUP(F95,'G-1 All Habitats'!$B$2:$M$129,10,FALSE))</f>
        <v/>
      </c>
      <c r="I95" s="499" t="str">
        <f>IFERROR(VLOOKUP(H95,'G-1 All Habitats'!$V$3:$W$7,2,FALSE),"")</f>
        <v/>
      </c>
      <c r="J95" s="71"/>
      <c r="K95" s="499" t="str">
        <f>IFERROR(INDEX('G-8 Condition Look up'!$A$3:$H$130,MATCH(F95,'G-8 Condition Look up'!$A$3:$A$130,0),MATCH(J95,'G-8 Condition Look up'!$A$3:$H$3,0)),"")</f>
        <v/>
      </c>
      <c r="L95" s="71"/>
      <c r="M95" s="507" t="str">
        <f>IF(L95="","",IF(VLOOKUP(L95,'G-3 Multipliers'!$L$3:$N$6,2,FALSE)=0,"Spatial Data Missing",VLOOKUP(L95,'G-3 Multipliers'!$L$3:$N$6,2,FALSE)))</f>
        <v/>
      </c>
      <c r="N95" s="505" t="str">
        <f>IF(L95="","",IF(VLOOKUP(L95,'G-3 Multipliers'!$L$3:$N$6,3,FALSE)=0,"Spatial Data Missing",VLOOKUP(L95,'G-3 Multipliers'!$L$3:$N$6,3,FALSE)))</f>
        <v/>
      </c>
      <c r="O95" s="498" t="str">
        <f t="shared" si="6"/>
        <v/>
      </c>
      <c r="P95" s="82"/>
      <c r="Q95" s="82"/>
      <c r="R95" s="507" t="str">
        <f t="shared" si="8"/>
        <v/>
      </c>
      <c r="S95" s="521" t="str">
        <f t="shared" si="9"/>
        <v/>
      </c>
      <c r="T95" s="522" t="str">
        <f>IFERROR(IF(S95="Check Data ⚠","Check Data ⚠",VLOOKUP(S95,'G-4 Temporal multipliers'!$A$4:$C$37,3,FALSE)),"")</f>
        <v/>
      </c>
      <c r="U95" s="523" t="str">
        <f>IF(F95="","",VLOOKUP(F95,'G-3 Multipliers'!$A$2:$E$129,2,FALSE))</f>
        <v/>
      </c>
      <c r="V95" s="520" t="str">
        <f t="shared" si="10"/>
        <v/>
      </c>
      <c r="W95" s="520" t="str">
        <f>IF(E95="","",IF(AND(V95="Standard difficulty applied",O95&gt;P95),U95,IF(AND(V95="Low Difficulty - only applicable if all habitat created before losses",P95&gt;=O95),"Low",VLOOKUP(F95,'G-3 Multipliers'!$A$2:$E$129,4,FALSE))))</f>
        <v/>
      </c>
      <c r="X95" s="524" t="str">
        <f>IFERROR(IF(E95="","",VLOOKUP(W95, 'G-3 Multipliers'!$P$2:$Q$6,2,FALSE)),"")</f>
        <v/>
      </c>
      <c r="Y95" s="529" t="str">
        <f t="shared" si="11"/>
        <v/>
      </c>
      <c r="Z95" s="239"/>
      <c r="AA95" s="240"/>
      <c r="AE95" s="54" t="str">
        <f t="shared" si="7"/>
        <v/>
      </c>
    </row>
    <row r="96" spans="1:31" x14ac:dyDescent="0.25">
      <c r="A96" s="47" t="str">
        <f>IFERROR(INDEX('G-8 Condition Look up'!$I$4:$I$130,MATCH(F96,'G-8 Condition Look up'!$A$4:$A$130,0)),"")</f>
        <v/>
      </c>
      <c r="C96" s="384" t="str">
        <f>IFERROR(INDEX('G-1 All Habitats'!$AG$3:$AG$15,MATCH(D96,'G-1 All Habitats'!$AF$3:$AF$15,0)),"")</f>
        <v/>
      </c>
      <c r="D96" s="146"/>
      <c r="E96" s="79"/>
      <c r="F96" s="246" t="str">
        <f>IFERROR(INDEX('G-1 All Habitats'!$B$3:$B$129,MATCH(E96,'G-1 All Habitats'!$A$3:$A$129,0)),"")</f>
        <v/>
      </c>
      <c r="G96" s="70"/>
      <c r="H96" s="498" t="str">
        <f>IF(F96="","",VLOOKUP(F96,'G-1 All Habitats'!$B$2:$M$129,10,FALSE))</f>
        <v/>
      </c>
      <c r="I96" s="499" t="str">
        <f>IFERROR(VLOOKUP(H96,'G-1 All Habitats'!$V$3:$W$7,2,FALSE),"")</f>
        <v/>
      </c>
      <c r="J96" s="71"/>
      <c r="K96" s="499" t="str">
        <f>IFERROR(INDEX('G-8 Condition Look up'!$A$3:$H$130,MATCH(F96,'G-8 Condition Look up'!$A$3:$A$130,0),MATCH(J96,'G-8 Condition Look up'!$A$3:$H$3,0)),"")</f>
        <v/>
      </c>
      <c r="L96" s="71"/>
      <c r="M96" s="507" t="str">
        <f>IF(L96="","",IF(VLOOKUP(L96,'G-3 Multipliers'!$L$3:$N$6,2,FALSE)=0,"Spatial Data Missing",VLOOKUP(L96,'G-3 Multipliers'!$L$3:$N$6,2,FALSE)))</f>
        <v/>
      </c>
      <c r="N96" s="505" t="str">
        <f>IF(L96="","",IF(VLOOKUP(L96,'G-3 Multipliers'!$L$3:$N$6,3,FALSE)=0,"Spatial Data Missing",VLOOKUP(L96,'G-3 Multipliers'!$L$3:$N$6,3,FALSE)))</f>
        <v/>
      </c>
      <c r="O96" s="498" t="str">
        <f t="shared" si="6"/>
        <v/>
      </c>
      <c r="P96" s="82"/>
      <c r="Q96" s="82"/>
      <c r="R96" s="507" t="str">
        <f t="shared" si="8"/>
        <v/>
      </c>
      <c r="S96" s="521" t="str">
        <f t="shared" si="9"/>
        <v/>
      </c>
      <c r="T96" s="522" t="str">
        <f>IFERROR(IF(S96="Check Data ⚠","Check Data ⚠",VLOOKUP(S96,'G-4 Temporal multipliers'!$A$4:$C$37,3,FALSE)),"")</f>
        <v/>
      </c>
      <c r="U96" s="523" t="str">
        <f>IF(F96="","",VLOOKUP(F96,'G-3 Multipliers'!$A$2:$E$129,2,FALSE))</f>
        <v/>
      </c>
      <c r="V96" s="520" t="str">
        <f t="shared" si="10"/>
        <v/>
      </c>
      <c r="W96" s="520" t="str">
        <f>IF(E96="","",IF(AND(V96="Standard difficulty applied",O96&gt;P96),U96,IF(AND(V96="Low Difficulty - only applicable if all habitat created before losses",P96&gt;=O96),"Low",VLOOKUP(F96,'G-3 Multipliers'!$A$2:$E$129,4,FALSE))))</f>
        <v/>
      </c>
      <c r="X96" s="524" t="str">
        <f>IFERROR(IF(E96="","",VLOOKUP(W96, 'G-3 Multipliers'!$P$2:$Q$6,2,FALSE)),"")</f>
        <v/>
      </c>
      <c r="Y96" s="529" t="str">
        <f t="shared" si="11"/>
        <v/>
      </c>
      <c r="Z96" s="239"/>
      <c r="AA96" s="240"/>
      <c r="AE96" s="54" t="str">
        <f t="shared" si="7"/>
        <v/>
      </c>
    </row>
    <row r="97" spans="1:31" x14ac:dyDescent="0.25">
      <c r="A97" s="47" t="str">
        <f>IFERROR(INDEX('G-8 Condition Look up'!$I$4:$I$130,MATCH(F97,'G-8 Condition Look up'!$A$4:$A$130,0)),"")</f>
        <v/>
      </c>
      <c r="C97" s="384" t="str">
        <f>IFERROR(INDEX('G-1 All Habitats'!$AG$3:$AG$15,MATCH(D97,'G-1 All Habitats'!$AF$3:$AF$15,0)),"")</f>
        <v/>
      </c>
      <c r="D97" s="146"/>
      <c r="E97" s="79"/>
      <c r="F97" s="246" t="str">
        <f>IFERROR(INDEX('G-1 All Habitats'!$B$3:$B$129,MATCH(E97,'G-1 All Habitats'!$A$3:$A$129,0)),"")</f>
        <v/>
      </c>
      <c r="G97" s="70"/>
      <c r="H97" s="498" t="str">
        <f>IF(F97="","",VLOOKUP(F97,'G-1 All Habitats'!$B$2:$M$129,10,FALSE))</f>
        <v/>
      </c>
      <c r="I97" s="499" t="str">
        <f>IFERROR(VLOOKUP(H97,'G-1 All Habitats'!$V$3:$W$7,2,FALSE),"")</f>
        <v/>
      </c>
      <c r="J97" s="71"/>
      <c r="K97" s="499" t="str">
        <f>IFERROR(INDEX('G-8 Condition Look up'!$A$3:$H$130,MATCH(F97,'G-8 Condition Look up'!$A$3:$A$130,0),MATCH(J97,'G-8 Condition Look up'!$A$3:$H$3,0)),"")</f>
        <v/>
      </c>
      <c r="L97" s="71"/>
      <c r="M97" s="507" t="str">
        <f>IF(L97="","",IF(VLOOKUP(L97,'G-3 Multipliers'!$L$3:$N$6,2,FALSE)=0,"Spatial Data Missing",VLOOKUP(L97,'G-3 Multipliers'!$L$3:$N$6,2,FALSE)))</f>
        <v/>
      </c>
      <c r="N97" s="505" t="str">
        <f>IF(L97="","",IF(VLOOKUP(L97,'G-3 Multipliers'!$L$3:$N$6,3,FALSE)=0,"Spatial Data Missing",VLOOKUP(L97,'G-3 Multipliers'!$L$3:$N$6,3,FALSE)))</f>
        <v/>
      </c>
      <c r="O97" s="498" t="str">
        <f t="shared" si="6"/>
        <v/>
      </c>
      <c r="P97" s="82"/>
      <c r="Q97" s="82"/>
      <c r="R97" s="507" t="str">
        <f t="shared" si="8"/>
        <v/>
      </c>
      <c r="S97" s="521" t="str">
        <f t="shared" si="9"/>
        <v/>
      </c>
      <c r="T97" s="522" t="str">
        <f>IFERROR(IF(S97="Check Data ⚠","Check Data ⚠",VLOOKUP(S97,'G-4 Temporal multipliers'!$A$4:$C$37,3,FALSE)),"")</f>
        <v/>
      </c>
      <c r="U97" s="523" t="str">
        <f>IF(F97="","",VLOOKUP(F97,'G-3 Multipliers'!$A$2:$E$129,2,FALSE))</f>
        <v/>
      </c>
      <c r="V97" s="520" t="str">
        <f t="shared" si="10"/>
        <v/>
      </c>
      <c r="W97" s="520" t="str">
        <f>IF(E97="","",IF(AND(V97="Standard difficulty applied",O97&gt;P97),U97,IF(AND(V97="Low Difficulty - only applicable if all habitat created before losses",P97&gt;=O97),"Low",VLOOKUP(F97,'G-3 Multipliers'!$A$2:$E$129,4,FALSE))))</f>
        <v/>
      </c>
      <c r="X97" s="524" t="str">
        <f>IFERROR(IF(E97="","",VLOOKUP(W97, 'G-3 Multipliers'!$P$2:$Q$6,2,FALSE)),"")</f>
        <v/>
      </c>
      <c r="Y97" s="529" t="str">
        <f t="shared" si="11"/>
        <v/>
      </c>
      <c r="Z97" s="239"/>
      <c r="AA97" s="240"/>
      <c r="AE97" s="54" t="str">
        <f t="shared" si="7"/>
        <v/>
      </c>
    </row>
    <row r="98" spans="1:31" x14ac:dyDescent="0.25">
      <c r="A98" s="47" t="str">
        <f>IFERROR(INDEX('G-8 Condition Look up'!$I$4:$I$130,MATCH(F98,'G-8 Condition Look up'!$A$4:$A$130,0)),"")</f>
        <v/>
      </c>
      <c r="C98" s="384" t="str">
        <f>IFERROR(INDEX('G-1 All Habitats'!$AG$3:$AG$15,MATCH(D98,'G-1 All Habitats'!$AF$3:$AF$15,0)),"")</f>
        <v/>
      </c>
      <c r="D98" s="146"/>
      <c r="E98" s="79"/>
      <c r="F98" s="246" t="str">
        <f>IFERROR(INDEX('G-1 All Habitats'!$B$3:$B$129,MATCH(E98,'G-1 All Habitats'!$A$3:$A$129,0)),"")</f>
        <v/>
      </c>
      <c r="G98" s="70"/>
      <c r="H98" s="498" t="str">
        <f>IF(F98="","",VLOOKUP(F98,'G-1 All Habitats'!$B$2:$M$129,10,FALSE))</f>
        <v/>
      </c>
      <c r="I98" s="499" t="str">
        <f>IFERROR(VLOOKUP(H98,'G-1 All Habitats'!$V$3:$W$7,2,FALSE),"")</f>
        <v/>
      </c>
      <c r="J98" s="71"/>
      <c r="K98" s="499" t="str">
        <f>IFERROR(INDEX('G-8 Condition Look up'!$A$3:$H$130,MATCH(F98,'G-8 Condition Look up'!$A$3:$A$130,0),MATCH(J98,'G-8 Condition Look up'!$A$3:$H$3,0)),"")</f>
        <v/>
      </c>
      <c r="L98" s="71"/>
      <c r="M98" s="507" t="str">
        <f>IF(L98="","",IF(VLOOKUP(L98,'G-3 Multipliers'!$L$3:$N$6,2,FALSE)=0,"Spatial Data Missing",VLOOKUP(L98,'G-3 Multipliers'!$L$3:$N$6,2,FALSE)))</f>
        <v/>
      </c>
      <c r="N98" s="505" t="str">
        <f>IF(L98="","",IF(VLOOKUP(L98,'G-3 Multipliers'!$L$3:$N$6,3,FALSE)=0,"Spatial Data Missing",VLOOKUP(L98,'G-3 Multipliers'!$L$3:$N$6,3,FALSE)))</f>
        <v/>
      </c>
      <c r="O98" s="498" t="str">
        <f t="shared" si="6"/>
        <v/>
      </c>
      <c r="P98" s="82"/>
      <c r="Q98" s="82"/>
      <c r="R98" s="507" t="str">
        <f t="shared" si="8"/>
        <v/>
      </c>
      <c r="S98" s="521" t="str">
        <f t="shared" si="9"/>
        <v/>
      </c>
      <c r="T98" s="522" t="str">
        <f>IFERROR(IF(S98="Check Data ⚠","Check Data ⚠",VLOOKUP(S98,'G-4 Temporal multipliers'!$A$4:$C$37,3,FALSE)),"")</f>
        <v/>
      </c>
      <c r="U98" s="523" t="str">
        <f>IF(F98="","",VLOOKUP(F98,'G-3 Multipliers'!$A$2:$E$129,2,FALSE))</f>
        <v/>
      </c>
      <c r="V98" s="520" t="str">
        <f t="shared" si="10"/>
        <v/>
      </c>
      <c r="W98" s="520" t="str">
        <f>IF(E98="","",IF(AND(V98="Standard difficulty applied",O98&gt;P98),U98,IF(AND(V98="Low Difficulty - only applicable if all habitat created before losses",P98&gt;=O98),"Low",VLOOKUP(F98,'G-3 Multipliers'!$A$2:$E$129,4,FALSE))))</f>
        <v/>
      </c>
      <c r="X98" s="524" t="str">
        <f>IFERROR(IF(E98="","",VLOOKUP(W98, 'G-3 Multipliers'!$P$2:$Q$6,2,FALSE)),"")</f>
        <v/>
      </c>
      <c r="Y98" s="529" t="str">
        <f t="shared" si="11"/>
        <v/>
      </c>
      <c r="Z98" s="239"/>
      <c r="AA98" s="240"/>
      <c r="AE98" s="54" t="str">
        <f t="shared" si="7"/>
        <v/>
      </c>
    </row>
    <row r="99" spans="1:31" x14ac:dyDescent="0.25">
      <c r="A99" s="47" t="str">
        <f>IFERROR(INDEX('G-8 Condition Look up'!$I$4:$I$130,MATCH(F99,'G-8 Condition Look up'!$A$4:$A$130,0)),"")</f>
        <v/>
      </c>
      <c r="C99" s="384" t="str">
        <f>IFERROR(INDEX('G-1 All Habitats'!$AG$3:$AG$15,MATCH(D99,'G-1 All Habitats'!$AF$3:$AF$15,0)),"")</f>
        <v/>
      </c>
      <c r="D99" s="146"/>
      <c r="E99" s="79"/>
      <c r="F99" s="246" t="str">
        <f>IFERROR(INDEX('G-1 All Habitats'!$B$3:$B$129,MATCH(E99,'G-1 All Habitats'!$A$3:$A$129,0)),"")</f>
        <v/>
      </c>
      <c r="G99" s="70"/>
      <c r="H99" s="498" t="str">
        <f>IF(F99="","",VLOOKUP(F99,'G-1 All Habitats'!$B$2:$M$129,10,FALSE))</f>
        <v/>
      </c>
      <c r="I99" s="499" t="str">
        <f>IFERROR(VLOOKUP(H99,'G-1 All Habitats'!$V$3:$W$7,2,FALSE),"")</f>
        <v/>
      </c>
      <c r="J99" s="71"/>
      <c r="K99" s="499" t="str">
        <f>IFERROR(INDEX('G-8 Condition Look up'!$A$3:$H$130,MATCH(F99,'G-8 Condition Look up'!$A$3:$A$130,0),MATCH(J99,'G-8 Condition Look up'!$A$3:$H$3,0)),"")</f>
        <v/>
      </c>
      <c r="L99" s="71"/>
      <c r="M99" s="507" t="str">
        <f>IF(L99="","",IF(VLOOKUP(L99,'G-3 Multipliers'!$L$3:$N$6,2,FALSE)=0,"Spatial Data Missing",VLOOKUP(L99,'G-3 Multipliers'!$L$3:$N$6,2,FALSE)))</f>
        <v/>
      </c>
      <c r="N99" s="505" t="str">
        <f>IF(L99="","",IF(VLOOKUP(L99,'G-3 Multipliers'!$L$3:$N$6,3,FALSE)=0,"Spatial Data Missing",VLOOKUP(L99,'G-3 Multipliers'!$L$3:$N$6,3,FALSE)))</f>
        <v/>
      </c>
      <c r="O99" s="498" t="str">
        <f t="shared" si="6"/>
        <v/>
      </c>
      <c r="P99" s="82"/>
      <c r="Q99" s="82"/>
      <c r="R99" s="507" t="str">
        <f t="shared" si="8"/>
        <v/>
      </c>
      <c r="S99" s="521" t="str">
        <f t="shared" si="9"/>
        <v/>
      </c>
      <c r="T99" s="522" t="str">
        <f>IFERROR(IF(S99="Check Data ⚠","Check Data ⚠",VLOOKUP(S99,'G-4 Temporal multipliers'!$A$4:$C$37,3,FALSE)),"")</f>
        <v/>
      </c>
      <c r="U99" s="523" t="str">
        <f>IF(F99="","",VLOOKUP(F99,'G-3 Multipliers'!$A$2:$E$129,2,FALSE))</f>
        <v/>
      </c>
      <c r="V99" s="520" t="str">
        <f t="shared" si="10"/>
        <v/>
      </c>
      <c r="W99" s="520" t="str">
        <f>IF(E99="","",IF(AND(V99="Standard difficulty applied",O99&gt;P99),U99,IF(AND(V99="Low Difficulty - only applicable if all habitat created before losses",P99&gt;=O99),"Low",VLOOKUP(F99,'G-3 Multipliers'!$A$2:$E$129,4,FALSE))))</f>
        <v/>
      </c>
      <c r="X99" s="524" t="str">
        <f>IFERROR(IF(E99="","",VLOOKUP(W99, 'G-3 Multipliers'!$P$2:$Q$6,2,FALSE)),"")</f>
        <v/>
      </c>
      <c r="Y99" s="529" t="str">
        <f t="shared" si="11"/>
        <v/>
      </c>
      <c r="Z99" s="239"/>
      <c r="AA99" s="240"/>
      <c r="AE99" s="54" t="str">
        <f t="shared" si="7"/>
        <v/>
      </c>
    </row>
    <row r="100" spans="1:31" x14ac:dyDescent="0.25">
      <c r="A100" s="47" t="str">
        <f>IFERROR(INDEX('G-8 Condition Look up'!$I$4:$I$130,MATCH(F100,'G-8 Condition Look up'!$A$4:$A$130,0)),"")</f>
        <v/>
      </c>
      <c r="C100" s="384" t="str">
        <f>IFERROR(INDEX('G-1 All Habitats'!$AG$3:$AG$15,MATCH(D100,'G-1 All Habitats'!$AF$3:$AF$15,0)),"")</f>
        <v/>
      </c>
      <c r="D100" s="146"/>
      <c r="E100" s="79"/>
      <c r="F100" s="246" t="str">
        <f>IFERROR(INDEX('G-1 All Habitats'!$B$3:$B$129,MATCH(E100,'G-1 All Habitats'!$A$3:$A$129,0)),"")</f>
        <v/>
      </c>
      <c r="G100" s="70"/>
      <c r="H100" s="498" t="str">
        <f>IF(F100="","",VLOOKUP(F100,'G-1 All Habitats'!$B$2:$M$129,10,FALSE))</f>
        <v/>
      </c>
      <c r="I100" s="499" t="str">
        <f>IFERROR(VLOOKUP(H100,'G-1 All Habitats'!$V$3:$W$7,2,FALSE),"")</f>
        <v/>
      </c>
      <c r="J100" s="71"/>
      <c r="K100" s="499" t="str">
        <f>IFERROR(INDEX('G-8 Condition Look up'!$A$3:$H$130,MATCH(F100,'G-8 Condition Look up'!$A$3:$A$130,0),MATCH(J100,'G-8 Condition Look up'!$A$3:$H$3,0)),"")</f>
        <v/>
      </c>
      <c r="L100" s="71"/>
      <c r="M100" s="507" t="str">
        <f>IF(L100="","",IF(VLOOKUP(L100,'G-3 Multipliers'!$L$3:$N$6,2,FALSE)=0,"Spatial Data Missing",VLOOKUP(L100,'G-3 Multipliers'!$L$3:$N$6,2,FALSE)))</f>
        <v/>
      </c>
      <c r="N100" s="505" t="str">
        <f>IF(L100="","",IF(VLOOKUP(L100,'G-3 Multipliers'!$L$3:$N$6,3,FALSE)=0,"Spatial Data Missing",VLOOKUP(L100,'G-3 Multipliers'!$L$3:$N$6,3,FALSE)))</f>
        <v/>
      </c>
      <c r="O100" s="498" t="str">
        <f t="shared" si="6"/>
        <v/>
      </c>
      <c r="P100" s="82"/>
      <c r="Q100" s="82"/>
      <c r="R100" s="507" t="str">
        <f t="shared" si="8"/>
        <v/>
      </c>
      <c r="S100" s="521" t="str">
        <f t="shared" si="9"/>
        <v/>
      </c>
      <c r="T100" s="522" t="str">
        <f>IFERROR(IF(S100="Check Data ⚠","Check Data ⚠",VLOOKUP(S100,'G-4 Temporal multipliers'!$A$4:$C$37,3,FALSE)),"")</f>
        <v/>
      </c>
      <c r="U100" s="523" t="str">
        <f>IF(F100="","",VLOOKUP(F100,'G-3 Multipliers'!$A$2:$E$129,2,FALSE))</f>
        <v/>
      </c>
      <c r="V100" s="520" t="str">
        <f t="shared" si="10"/>
        <v/>
      </c>
      <c r="W100" s="520" t="str">
        <f>IF(E100="","",IF(AND(V100="Standard difficulty applied",O100&gt;P100),U100,IF(AND(V100="Low Difficulty - only applicable if all habitat created before losses",P100&gt;=O100),"Low",VLOOKUP(F100,'G-3 Multipliers'!$A$2:$E$129,4,FALSE))))</f>
        <v/>
      </c>
      <c r="X100" s="524" t="str">
        <f>IFERROR(IF(E100="","",VLOOKUP(W100, 'G-3 Multipliers'!$P$2:$Q$6,2,FALSE)),"")</f>
        <v/>
      </c>
      <c r="Y100" s="529" t="str">
        <f t="shared" si="11"/>
        <v/>
      </c>
      <c r="Z100" s="239"/>
      <c r="AA100" s="240"/>
      <c r="AE100" s="54" t="str">
        <f t="shared" si="7"/>
        <v/>
      </c>
    </row>
    <row r="101" spans="1:31" x14ac:dyDescent="0.25">
      <c r="A101" s="47" t="str">
        <f>IFERROR(INDEX('G-8 Condition Look up'!$I$4:$I$130,MATCH(F101,'G-8 Condition Look up'!$A$4:$A$130,0)),"")</f>
        <v/>
      </c>
      <c r="C101" s="384" t="str">
        <f>IFERROR(INDEX('G-1 All Habitats'!$AG$3:$AG$15,MATCH(D101,'G-1 All Habitats'!$AF$3:$AF$15,0)),"")</f>
        <v/>
      </c>
      <c r="D101" s="146"/>
      <c r="E101" s="79"/>
      <c r="F101" s="246" t="str">
        <f>IFERROR(INDEX('G-1 All Habitats'!$B$3:$B$129,MATCH(E101,'G-1 All Habitats'!$A$3:$A$129,0)),"")</f>
        <v/>
      </c>
      <c r="G101" s="70"/>
      <c r="H101" s="498" t="str">
        <f>IF(F101="","",VLOOKUP(F101,'G-1 All Habitats'!$B$2:$M$129,10,FALSE))</f>
        <v/>
      </c>
      <c r="I101" s="499" t="str">
        <f>IFERROR(VLOOKUP(H101,'G-1 All Habitats'!$V$3:$W$7,2,FALSE),"")</f>
        <v/>
      </c>
      <c r="J101" s="71"/>
      <c r="K101" s="499" t="str">
        <f>IFERROR(INDEX('G-8 Condition Look up'!$A$3:$H$130,MATCH(F101,'G-8 Condition Look up'!$A$3:$A$130,0),MATCH(J101,'G-8 Condition Look up'!$A$3:$H$3,0)),"")</f>
        <v/>
      </c>
      <c r="L101" s="71"/>
      <c r="M101" s="507" t="str">
        <f>IF(L101="","",IF(VLOOKUP(L101,'G-3 Multipliers'!$L$3:$N$6,2,FALSE)=0,"Spatial Data Missing",VLOOKUP(L101,'G-3 Multipliers'!$L$3:$N$6,2,FALSE)))</f>
        <v/>
      </c>
      <c r="N101" s="505" t="str">
        <f>IF(L101="","",IF(VLOOKUP(L101,'G-3 Multipliers'!$L$3:$N$6,3,FALSE)=0,"Spatial Data Missing",VLOOKUP(L101,'G-3 Multipliers'!$L$3:$N$6,3,FALSE)))</f>
        <v/>
      </c>
      <c r="O101" s="498" t="str">
        <f t="shared" si="6"/>
        <v/>
      </c>
      <c r="P101" s="82"/>
      <c r="Q101" s="82"/>
      <c r="R101" s="507" t="str">
        <f t="shared" si="8"/>
        <v/>
      </c>
      <c r="S101" s="521" t="str">
        <f t="shared" si="9"/>
        <v/>
      </c>
      <c r="T101" s="522" t="str">
        <f>IFERROR(IF(S101="Check Data ⚠","Check Data ⚠",VLOOKUP(S101,'G-4 Temporal multipliers'!$A$4:$C$37,3,FALSE)),"")</f>
        <v/>
      </c>
      <c r="U101" s="523" t="str">
        <f>IF(F101="","",VLOOKUP(F101,'G-3 Multipliers'!$A$2:$E$129,2,FALSE))</f>
        <v/>
      </c>
      <c r="V101" s="520" t="str">
        <f t="shared" si="10"/>
        <v/>
      </c>
      <c r="W101" s="520" t="str">
        <f>IF(E101="","",IF(AND(V101="Standard difficulty applied",O101&gt;P101),U101,IF(AND(V101="Low Difficulty - only applicable if all habitat created before losses",P101&gt;=O101),"Low",VLOOKUP(F101,'G-3 Multipliers'!$A$2:$E$129,4,FALSE))))</f>
        <v/>
      </c>
      <c r="X101" s="524" t="str">
        <f>IFERROR(IF(E101="","",VLOOKUP(W101, 'G-3 Multipliers'!$P$2:$Q$6,2,FALSE)),"")</f>
        <v/>
      </c>
      <c r="Y101" s="529" t="str">
        <f t="shared" si="11"/>
        <v/>
      </c>
      <c r="Z101" s="239"/>
      <c r="AA101" s="240"/>
      <c r="AE101" s="54" t="str">
        <f t="shared" si="7"/>
        <v/>
      </c>
    </row>
    <row r="102" spans="1:31" x14ac:dyDescent="0.25">
      <c r="A102" s="47" t="str">
        <f>IFERROR(INDEX('G-8 Condition Look up'!$I$4:$I$130,MATCH(F102,'G-8 Condition Look up'!$A$4:$A$130,0)),"")</f>
        <v/>
      </c>
      <c r="C102" s="384" t="str">
        <f>IFERROR(INDEX('G-1 All Habitats'!$AG$3:$AG$15,MATCH(D102,'G-1 All Habitats'!$AF$3:$AF$15,0)),"")</f>
        <v/>
      </c>
      <c r="D102" s="146"/>
      <c r="E102" s="79"/>
      <c r="F102" s="246" t="str">
        <f>IFERROR(INDEX('G-1 All Habitats'!$B$3:$B$129,MATCH(E102,'G-1 All Habitats'!$A$3:$A$129,0)),"")</f>
        <v/>
      </c>
      <c r="G102" s="70"/>
      <c r="H102" s="498" t="str">
        <f>IF(F102="","",VLOOKUP(F102,'G-1 All Habitats'!$B$2:$M$129,10,FALSE))</f>
        <v/>
      </c>
      <c r="I102" s="499" t="str">
        <f>IFERROR(VLOOKUP(H102,'G-1 All Habitats'!$V$3:$W$7,2,FALSE),"")</f>
        <v/>
      </c>
      <c r="J102" s="71"/>
      <c r="K102" s="499" t="str">
        <f>IFERROR(INDEX('G-8 Condition Look up'!$A$3:$H$130,MATCH(F102,'G-8 Condition Look up'!$A$3:$A$130,0),MATCH(J102,'G-8 Condition Look up'!$A$3:$H$3,0)),"")</f>
        <v/>
      </c>
      <c r="L102" s="71"/>
      <c r="M102" s="507" t="str">
        <f>IF(L102="","",IF(VLOOKUP(L102,'G-3 Multipliers'!$L$3:$N$6,2,FALSE)=0,"Spatial Data Missing",VLOOKUP(L102,'G-3 Multipliers'!$L$3:$N$6,2,FALSE)))</f>
        <v/>
      </c>
      <c r="N102" s="505" t="str">
        <f>IF(L102="","",IF(VLOOKUP(L102,'G-3 Multipliers'!$L$3:$N$6,3,FALSE)=0,"Spatial Data Missing",VLOOKUP(L102,'G-3 Multipliers'!$L$3:$N$6,3,FALSE)))</f>
        <v/>
      </c>
      <c r="O102" s="498" t="str">
        <f t="shared" si="6"/>
        <v/>
      </c>
      <c r="P102" s="82"/>
      <c r="Q102" s="82"/>
      <c r="R102" s="507" t="str">
        <f t="shared" si="8"/>
        <v/>
      </c>
      <c r="S102" s="521" t="str">
        <f t="shared" si="9"/>
        <v/>
      </c>
      <c r="T102" s="522" t="str">
        <f>IFERROR(IF(S102="Check Data ⚠","Check Data ⚠",VLOOKUP(S102,'G-4 Temporal multipliers'!$A$4:$C$37,3,FALSE)),"")</f>
        <v/>
      </c>
      <c r="U102" s="523" t="str">
        <f>IF(F102="","",VLOOKUP(F102,'G-3 Multipliers'!$A$2:$E$129,2,FALSE))</f>
        <v/>
      </c>
      <c r="V102" s="520" t="str">
        <f t="shared" si="10"/>
        <v/>
      </c>
      <c r="W102" s="520" t="str">
        <f>IF(E102="","",IF(AND(V102="Standard difficulty applied",O102&gt;P102),U102,IF(AND(V102="Low Difficulty - only applicable if all habitat created before losses",P102&gt;=O102),"Low",VLOOKUP(F102,'G-3 Multipliers'!$A$2:$E$129,4,FALSE))))</f>
        <v/>
      </c>
      <c r="X102" s="524" t="str">
        <f>IFERROR(IF(E102="","",VLOOKUP(W102, 'G-3 Multipliers'!$P$2:$Q$6,2,FALSE)),"")</f>
        <v/>
      </c>
      <c r="Y102" s="529" t="str">
        <f t="shared" si="11"/>
        <v/>
      </c>
      <c r="Z102" s="239"/>
      <c r="AA102" s="240"/>
      <c r="AE102" s="54" t="str">
        <f t="shared" si="7"/>
        <v/>
      </c>
    </row>
    <row r="103" spans="1:31" x14ac:dyDescent="0.25">
      <c r="A103" s="47" t="str">
        <f>IFERROR(INDEX('G-8 Condition Look up'!$I$4:$I$130,MATCH(F103,'G-8 Condition Look up'!$A$4:$A$130,0)),"")</f>
        <v/>
      </c>
      <c r="C103" s="384" t="str">
        <f>IFERROR(INDEX('G-1 All Habitats'!$AG$3:$AG$15,MATCH(D103,'G-1 All Habitats'!$AF$3:$AF$15,0)),"")</f>
        <v/>
      </c>
      <c r="D103" s="146"/>
      <c r="E103" s="79"/>
      <c r="F103" s="246" t="str">
        <f>IFERROR(INDEX('G-1 All Habitats'!$B$3:$B$129,MATCH(E103,'G-1 All Habitats'!$A$3:$A$129,0)),"")</f>
        <v/>
      </c>
      <c r="G103" s="70"/>
      <c r="H103" s="498" t="str">
        <f>IF(F103="","",VLOOKUP(F103,'G-1 All Habitats'!$B$2:$M$129,10,FALSE))</f>
        <v/>
      </c>
      <c r="I103" s="499" t="str">
        <f>IFERROR(VLOOKUP(H103,'G-1 All Habitats'!$V$3:$W$7,2,FALSE),"")</f>
        <v/>
      </c>
      <c r="J103" s="71"/>
      <c r="K103" s="499" t="str">
        <f>IFERROR(INDEX('G-8 Condition Look up'!$A$3:$H$130,MATCH(F103,'G-8 Condition Look up'!$A$3:$A$130,0),MATCH(J103,'G-8 Condition Look up'!$A$3:$H$3,0)),"")</f>
        <v/>
      </c>
      <c r="L103" s="71"/>
      <c r="M103" s="507" t="str">
        <f>IF(L103="","",IF(VLOOKUP(L103,'G-3 Multipliers'!$L$3:$N$6,2,FALSE)=0,"Spatial Data Missing",VLOOKUP(L103,'G-3 Multipliers'!$L$3:$N$6,2,FALSE)))</f>
        <v/>
      </c>
      <c r="N103" s="505" t="str">
        <f>IF(L103="","",IF(VLOOKUP(L103,'G-3 Multipliers'!$L$3:$N$6,3,FALSE)=0,"Spatial Data Missing",VLOOKUP(L103,'G-3 Multipliers'!$L$3:$N$6,3,FALSE)))</f>
        <v/>
      </c>
      <c r="O103" s="498" t="str">
        <f t="shared" si="6"/>
        <v/>
      </c>
      <c r="P103" s="82"/>
      <c r="Q103" s="82"/>
      <c r="R103" s="507" t="str">
        <f t="shared" si="8"/>
        <v/>
      </c>
      <c r="S103" s="521" t="str">
        <f t="shared" si="9"/>
        <v/>
      </c>
      <c r="T103" s="522" t="str">
        <f>IFERROR(IF(S103="Check Data ⚠","Check Data ⚠",VLOOKUP(S103,'G-4 Temporal multipliers'!$A$4:$C$37,3,FALSE)),"")</f>
        <v/>
      </c>
      <c r="U103" s="523" t="str">
        <f>IF(F103="","",VLOOKUP(F103,'G-3 Multipliers'!$A$2:$E$129,2,FALSE))</f>
        <v/>
      </c>
      <c r="V103" s="520" t="str">
        <f t="shared" si="10"/>
        <v/>
      </c>
      <c r="W103" s="520" t="str">
        <f>IF(E103="","",IF(AND(V103="Standard difficulty applied",O103&gt;P103),U103,IF(AND(V103="Low Difficulty - only applicable if all habitat created before losses",P103&gt;=O103),"Low",VLOOKUP(F103,'G-3 Multipliers'!$A$2:$E$129,4,FALSE))))</f>
        <v/>
      </c>
      <c r="X103" s="524" t="str">
        <f>IFERROR(IF(E103="","",VLOOKUP(W103, 'G-3 Multipliers'!$P$2:$Q$6,2,FALSE)),"")</f>
        <v/>
      </c>
      <c r="Y103" s="529" t="str">
        <f t="shared" si="11"/>
        <v/>
      </c>
      <c r="Z103" s="239"/>
      <c r="AA103" s="240"/>
      <c r="AE103" s="54" t="str">
        <f t="shared" si="7"/>
        <v/>
      </c>
    </row>
    <row r="104" spans="1:31" x14ac:dyDescent="0.25">
      <c r="A104" s="47" t="str">
        <f>IFERROR(INDEX('G-8 Condition Look up'!$I$4:$I$130,MATCH(F104,'G-8 Condition Look up'!$A$4:$A$130,0)),"")</f>
        <v/>
      </c>
      <c r="C104" s="384" t="str">
        <f>IFERROR(INDEX('G-1 All Habitats'!$AG$3:$AG$15,MATCH(D104,'G-1 All Habitats'!$AF$3:$AF$15,0)),"")</f>
        <v/>
      </c>
      <c r="D104" s="146"/>
      <c r="E104" s="79"/>
      <c r="F104" s="246" t="str">
        <f>IFERROR(INDEX('G-1 All Habitats'!$B$3:$B$129,MATCH(E104,'G-1 All Habitats'!$A$3:$A$129,0)),"")</f>
        <v/>
      </c>
      <c r="G104" s="70"/>
      <c r="H104" s="498" t="str">
        <f>IF(F104="","",VLOOKUP(F104,'G-1 All Habitats'!$B$2:$M$129,10,FALSE))</f>
        <v/>
      </c>
      <c r="I104" s="499" t="str">
        <f>IFERROR(VLOOKUP(H104,'G-1 All Habitats'!$V$3:$W$7,2,FALSE),"")</f>
        <v/>
      </c>
      <c r="J104" s="71"/>
      <c r="K104" s="499" t="str">
        <f>IFERROR(INDEX('G-8 Condition Look up'!$A$3:$H$130,MATCH(F104,'G-8 Condition Look up'!$A$3:$A$130,0),MATCH(J104,'G-8 Condition Look up'!$A$3:$H$3,0)),"")</f>
        <v/>
      </c>
      <c r="L104" s="71"/>
      <c r="M104" s="507" t="str">
        <f>IF(L104="","",IF(VLOOKUP(L104,'G-3 Multipliers'!$L$3:$N$6,2,FALSE)=0,"Spatial Data Missing",VLOOKUP(L104,'G-3 Multipliers'!$L$3:$N$6,2,FALSE)))</f>
        <v/>
      </c>
      <c r="N104" s="505" t="str">
        <f>IF(L104="","",IF(VLOOKUP(L104,'G-3 Multipliers'!$L$3:$N$6,3,FALSE)=0,"Spatial Data Missing",VLOOKUP(L104,'G-3 Multipliers'!$L$3:$N$6,3,FALSE)))</f>
        <v/>
      </c>
      <c r="O104" s="498" t="str">
        <f t="shared" si="6"/>
        <v/>
      </c>
      <c r="P104" s="82"/>
      <c r="Q104" s="82"/>
      <c r="R104" s="507" t="str">
        <f t="shared" si="8"/>
        <v/>
      </c>
      <c r="S104" s="521" t="str">
        <f t="shared" si="9"/>
        <v/>
      </c>
      <c r="T104" s="522" t="str">
        <f>IFERROR(IF(S104="Check Data ⚠","Check Data ⚠",VLOOKUP(S104,'G-4 Temporal multipliers'!$A$4:$C$37,3,FALSE)),"")</f>
        <v/>
      </c>
      <c r="U104" s="523" t="str">
        <f>IF(F104="","",VLOOKUP(F104,'G-3 Multipliers'!$A$2:$E$129,2,FALSE))</f>
        <v/>
      </c>
      <c r="V104" s="520" t="str">
        <f t="shared" si="10"/>
        <v/>
      </c>
      <c r="W104" s="520" t="str">
        <f>IF(E104="","",IF(AND(V104="Standard difficulty applied",O104&gt;P104),U104,IF(AND(V104="Low Difficulty - only applicable if all habitat created before losses",P104&gt;=O104),"Low",VLOOKUP(F104,'G-3 Multipliers'!$A$2:$E$129,4,FALSE))))</f>
        <v/>
      </c>
      <c r="X104" s="524" t="str">
        <f>IFERROR(IF(E104="","",VLOOKUP(W104, 'G-3 Multipliers'!$P$2:$Q$6,2,FALSE)),"")</f>
        <v/>
      </c>
      <c r="Y104" s="529" t="str">
        <f t="shared" si="11"/>
        <v/>
      </c>
      <c r="Z104" s="239"/>
      <c r="AA104" s="240"/>
      <c r="AE104" s="54" t="str">
        <f t="shared" si="7"/>
        <v/>
      </c>
    </row>
    <row r="105" spans="1:31" x14ac:dyDescent="0.25">
      <c r="A105" s="47" t="str">
        <f>IFERROR(INDEX('G-8 Condition Look up'!$I$4:$I$130,MATCH(F105,'G-8 Condition Look up'!$A$4:$A$130,0)),"")</f>
        <v/>
      </c>
      <c r="C105" s="384" t="str">
        <f>IFERROR(INDEX('G-1 All Habitats'!$AG$3:$AG$15,MATCH(D105,'G-1 All Habitats'!$AF$3:$AF$15,0)),"")</f>
        <v/>
      </c>
      <c r="D105" s="146"/>
      <c r="E105" s="79"/>
      <c r="F105" s="246" t="str">
        <f>IFERROR(INDEX('G-1 All Habitats'!$B$3:$B$129,MATCH(E105,'G-1 All Habitats'!$A$3:$A$129,0)),"")</f>
        <v/>
      </c>
      <c r="G105" s="70"/>
      <c r="H105" s="498" t="str">
        <f>IF(F105="","",VLOOKUP(F105,'G-1 All Habitats'!$B$2:$M$129,10,FALSE))</f>
        <v/>
      </c>
      <c r="I105" s="499" t="str">
        <f>IFERROR(VLOOKUP(H105,'G-1 All Habitats'!$V$3:$W$7,2,FALSE),"")</f>
        <v/>
      </c>
      <c r="J105" s="71"/>
      <c r="K105" s="499" t="str">
        <f>IFERROR(INDEX('G-8 Condition Look up'!$A$3:$H$130,MATCH(F105,'G-8 Condition Look up'!$A$3:$A$130,0),MATCH(J105,'G-8 Condition Look up'!$A$3:$H$3,0)),"")</f>
        <v/>
      </c>
      <c r="L105" s="71"/>
      <c r="M105" s="507" t="str">
        <f>IF(L105="","",IF(VLOOKUP(L105,'G-3 Multipliers'!$L$3:$N$6,2,FALSE)=0,"Spatial Data Missing",VLOOKUP(L105,'G-3 Multipliers'!$L$3:$N$6,2,FALSE)))</f>
        <v/>
      </c>
      <c r="N105" s="505" t="str">
        <f>IF(L105="","",IF(VLOOKUP(L105,'G-3 Multipliers'!$L$3:$N$6,3,FALSE)=0,"Spatial Data Missing",VLOOKUP(L105,'G-3 Multipliers'!$L$3:$N$6,3,FALSE)))</f>
        <v/>
      </c>
      <c r="O105" s="498" t="str">
        <f t="shared" si="6"/>
        <v/>
      </c>
      <c r="P105" s="82"/>
      <c r="Q105" s="82"/>
      <c r="R105" s="507" t="str">
        <f t="shared" si="8"/>
        <v/>
      </c>
      <c r="S105" s="521" t="str">
        <f t="shared" si="9"/>
        <v/>
      </c>
      <c r="T105" s="522" t="str">
        <f>IFERROR(IF(S105="Check Data ⚠","Check Data ⚠",VLOOKUP(S105,'G-4 Temporal multipliers'!$A$4:$C$37,3,FALSE)),"")</f>
        <v/>
      </c>
      <c r="U105" s="523" t="str">
        <f>IF(F105="","",VLOOKUP(F105,'G-3 Multipliers'!$A$2:$E$129,2,FALSE))</f>
        <v/>
      </c>
      <c r="V105" s="520" t="str">
        <f t="shared" si="10"/>
        <v/>
      </c>
      <c r="W105" s="520" t="str">
        <f>IF(E105="","",IF(AND(V105="Standard difficulty applied",O105&gt;P105),U105,IF(AND(V105="Low Difficulty - only applicable if all habitat created before losses",P105&gt;=O105),"Low",VLOOKUP(F105,'G-3 Multipliers'!$A$2:$E$129,4,FALSE))))</f>
        <v/>
      </c>
      <c r="X105" s="524" t="str">
        <f>IFERROR(IF(E105="","",VLOOKUP(W105, 'G-3 Multipliers'!$P$2:$Q$6,2,FALSE)),"")</f>
        <v/>
      </c>
      <c r="Y105" s="529" t="str">
        <f t="shared" si="11"/>
        <v/>
      </c>
      <c r="Z105" s="239"/>
      <c r="AA105" s="240"/>
      <c r="AE105" s="54" t="str">
        <f t="shared" si="7"/>
        <v/>
      </c>
    </row>
    <row r="106" spans="1:31" x14ac:dyDescent="0.25">
      <c r="A106" s="47" t="str">
        <f>IFERROR(INDEX('G-8 Condition Look up'!$I$4:$I$130,MATCH(F106,'G-8 Condition Look up'!$A$4:$A$130,0)),"")</f>
        <v/>
      </c>
      <c r="C106" s="384" t="str">
        <f>IFERROR(INDEX('G-1 All Habitats'!$AG$3:$AG$15,MATCH(D106,'G-1 All Habitats'!$AF$3:$AF$15,0)),"")</f>
        <v/>
      </c>
      <c r="D106" s="146"/>
      <c r="E106" s="79"/>
      <c r="F106" s="246" t="str">
        <f>IFERROR(INDEX('G-1 All Habitats'!$B$3:$B$129,MATCH(E106,'G-1 All Habitats'!$A$3:$A$129,0)),"")</f>
        <v/>
      </c>
      <c r="G106" s="70"/>
      <c r="H106" s="498" t="str">
        <f>IF(F106="","",VLOOKUP(F106,'G-1 All Habitats'!$B$2:$M$129,10,FALSE))</f>
        <v/>
      </c>
      <c r="I106" s="499" t="str">
        <f>IFERROR(VLOOKUP(H106,'G-1 All Habitats'!$V$3:$W$7,2,FALSE),"")</f>
        <v/>
      </c>
      <c r="J106" s="71"/>
      <c r="K106" s="499" t="str">
        <f>IFERROR(INDEX('G-8 Condition Look up'!$A$3:$H$130,MATCH(F106,'G-8 Condition Look up'!$A$3:$A$130,0),MATCH(J106,'G-8 Condition Look up'!$A$3:$H$3,0)),"")</f>
        <v/>
      </c>
      <c r="L106" s="71"/>
      <c r="M106" s="507" t="str">
        <f>IF(L106="","",IF(VLOOKUP(L106,'G-3 Multipliers'!$L$3:$N$6,2,FALSE)=0,"Spatial Data Missing",VLOOKUP(L106,'G-3 Multipliers'!$L$3:$N$6,2,FALSE)))</f>
        <v/>
      </c>
      <c r="N106" s="505" t="str">
        <f>IF(L106="","",IF(VLOOKUP(L106,'G-3 Multipliers'!$L$3:$N$6,3,FALSE)=0,"Spatial Data Missing",VLOOKUP(L106,'G-3 Multipliers'!$L$3:$N$6,3,FALSE)))</f>
        <v/>
      </c>
      <c r="O106" s="498" t="str">
        <f t="shared" si="6"/>
        <v/>
      </c>
      <c r="P106" s="82"/>
      <c r="Q106" s="82"/>
      <c r="R106" s="507" t="str">
        <f t="shared" si="8"/>
        <v/>
      </c>
      <c r="S106" s="521" t="str">
        <f t="shared" si="9"/>
        <v/>
      </c>
      <c r="T106" s="522" t="str">
        <f>IFERROR(IF(S106="Check Data ⚠","Check Data ⚠",VLOOKUP(S106,'G-4 Temporal multipliers'!$A$4:$C$37,3,FALSE)),"")</f>
        <v/>
      </c>
      <c r="U106" s="523" t="str">
        <f>IF(F106="","",VLOOKUP(F106,'G-3 Multipliers'!$A$2:$E$129,2,FALSE))</f>
        <v/>
      </c>
      <c r="V106" s="520" t="str">
        <f t="shared" si="10"/>
        <v/>
      </c>
      <c r="W106" s="520" t="str">
        <f>IF(E106="","",IF(AND(V106="Standard difficulty applied",O106&gt;P106),U106,IF(AND(V106="Low Difficulty - only applicable if all habitat created before losses",P106&gt;=O106),"Low",VLOOKUP(F106,'G-3 Multipliers'!$A$2:$E$129,4,FALSE))))</f>
        <v/>
      </c>
      <c r="X106" s="524" t="str">
        <f>IFERROR(IF(E106="","",VLOOKUP(W106, 'G-3 Multipliers'!$P$2:$Q$6,2,FALSE)),"")</f>
        <v/>
      </c>
      <c r="Y106" s="529" t="str">
        <f t="shared" si="11"/>
        <v/>
      </c>
      <c r="Z106" s="239"/>
      <c r="AA106" s="240"/>
      <c r="AE106" s="54" t="str">
        <f t="shared" si="7"/>
        <v/>
      </c>
    </row>
    <row r="107" spans="1:31" x14ac:dyDescent="0.25">
      <c r="A107" s="47" t="str">
        <f>IFERROR(INDEX('G-8 Condition Look up'!$I$4:$I$130,MATCH(F107,'G-8 Condition Look up'!$A$4:$A$130,0)),"")</f>
        <v/>
      </c>
      <c r="C107" s="384" t="str">
        <f>IFERROR(INDEX('G-1 All Habitats'!$AG$3:$AG$15,MATCH(D107,'G-1 All Habitats'!$AF$3:$AF$15,0)),"")</f>
        <v/>
      </c>
      <c r="D107" s="146"/>
      <c r="E107" s="79"/>
      <c r="F107" s="246" t="str">
        <f>IFERROR(INDEX('G-1 All Habitats'!$B$3:$B$129,MATCH(E107,'G-1 All Habitats'!$A$3:$A$129,0)),"")</f>
        <v/>
      </c>
      <c r="G107" s="70"/>
      <c r="H107" s="498" t="str">
        <f>IF(F107="","",VLOOKUP(F107,'G-1 All Habitats'!$B$2:$M$129,10,FALSE))</f>
        <v/>
      </c>
      <c r="I107" s="499" t="str">
        <f>IFERROR(VLOOKUP(H107,'G-1 All Habitats'!$V$3:$W$7,2,FALSE),"")</f>
        <v/>
      </c>
      <c r="J107" s="71"/>
      <c r="K107" s="499" t="str">
        <f>IFERROR(INDEX('G-8 Condition Look up'!$A$3:$H$130,MATCH(F107,'G-8 Condition Look up'!$A$3:$A$130,0),MATCH(J107,'G-8 Condition Look up'!$A$3:$H$3,0)),"")</f>
        <v/>
      </c>
      <c r="L107" s="71"/>
      <c r="M107" s="507" t="str">
        <f>IF(L107="","",IF(VLOOKUP(L107,'G-3 Multipliers'!$L$3:$N$6,2,FALSE)=0,"Spatial Data Missing",VLOOKUP(L107,'G-3 Multipliers'!$L$3:$N$6,2,FALSE)))</f>
        <v/>
      </c>
      <c r="N107" s="505" t="str">
        <f>IF(L107="","",IF(VLOOKUP(L107,'G-3 Multipliers'!$L$3:$N$6,3,FALSE)=0,"Spatial Data Missing",VLOOKUP(L107,'G-3 Multipliers'!$L$3:$N$6,3,FALSE)))</f>
        <v/>
      </c>
      <c r="O107" s="498" t="str">
        <f t="shared" si="6"/>
        <v/>
      </c>
      <c r="P107" s="82"/>
      <c r="Q107" s="82"/>
      <c r="R107" s="507" t="str">
        <f t="shared" si="8"/>
        <v/>
      </c>
      <c r="S107" s="521" t="str">
        <f t="shared" si="9"/>
        <v/>
      </c>
      <c r="T107" s="522" t="str">
        <f>IFERROR(IF(S107="Check Data ⚠","Check Data ⚠",VLOOKUP(S107,'G-4 Temporal multipliers'!$A$4:$C$37,3,FALSE)),"")</f>
        <v/>
      </c>
      <c r="U107" s="523" t="str">
        <f>IF(F107="","",VLOOKUP(F107,'G-3 Multipliers'!$A$2:$E$129,2,FALSE))</f>
        <v/>
      </c>
      <c r="V107" s="520" t="str">
        <f t="shared" si="10"/>
        <v/>
      </c>
      <c r="W107" s="520" t="str">
        <f>IF(E107="","",IF(AND(V107="Standard difficulty applied",O107&gt;P107),U107,IF(AND(V107="Low Difficulty - only applicable if all habitat created before losses",P107&gt;=O107),"Low",VLOOKUP(F107,'G-3 Multipliers'!$A$2:$E$129,4,FALSE))))</f>
        <v/>
      </c>
      <c r="X107" s="524" t="str">
        <f>IFERROR(IF(E107="","",VLOOKUP(W107, 'G-3 Multipliers'!$P$2:$Q$6,2,FALSE)),"")</f>
        <v/>
      </c>
      <c r="Y107" s="529" t="str">
        <f t="shared" si="11"/>
        <v/>
      </c>
      <c r="Z107" s="239"/>
      <c r="AA107" s="240"/>
      <c r="AE107" s="54" t="str">
        <f t="shared" si="7"/>
        <v/>
      </c>
    </row>
    <row r="108" spans="1:31" x14ac:dyDescent="0.25">
      <c r="A108" s="47" t="str">
        <f>IFERROR(INDEX('G-8 Condition Look up'!$I$4:$I$130,MATCH(F108,'G-8 Condition Look up'!$A$4:$A$130,0)),"")</f>
        <v/>
      </c>
      <c r="C108" s="384" t="str">
        <f>IFERROR(INDEX('G-1 All Habitats'!$AG$3:$AG$15,MATCH(D108,'G-1 All Habitats'!$AF$3:$AF$15,0)),"")</f>
        <v/>
      </c>
      <c r="D108" s="146"/>
      <c r="E108" s="79"/>
      <c r="F108" s="246" t="str">
        <f>IFERROR(INDEX('G-1 All Habitats'!$B$3:$B$129,MATCH(E108,'G-1 All Habitats'!$A$3:$A$129,0)),"")</f>
        <v/>
      </c>
      <c r="G108" s="70"/>
      <c r="H108" s="498" t="str">
        <f>IF(F108="","",VLOOKUP(F108,'G-1 All Habitats'!$B$2:$M$129,10,FALSE))</f>
        <v/>
      </c>
      <c r="I108" s="499" t="str">
        <f>IFERROR(VLOOKUP(H108,'G-1 All Habitats'!$V$3:$W$7,2,FALSE),"")</f>
        <v/>
      </c>
      <c r="J108" s="71"/>
      <c r="K108" s="499" t="str">
        <f>IFERROR(INDEX('G-8 Condition Look up'!$A$3:$H$130,MATCH(F108,'G-8 Condition Look up'!$A$3:$A$130,0),MATCH(J108,'G-8 Condition Look up'!$A$3:$H$3,0)),"")</f>
        <v/>
      </c>
      <c r="L108" s="71"/>
      <c r="M108" s="507" t="str">
        <f>IF(L108="","",IF(VLOOKUP(L108,'G-3 Multipliers'!$L$3:$N$6,2,FALSE)=0,"Spatial Data Missing",VLOOKUP(L108,'G-3 Multipliers'!$L$3:$N$6,2,FALSE)))</f>
        <v/>
      </c>
      <c r="N108" s="505" t="str">
        <f>IF(L108="","",IF(VLOOKUP(L108,'G-3 Multipliers'!$L$3:$N$6,3,FALSE)=0,"Spatial Data Missing",VLOOKUP(L108,'G-3 Multipliers'!$L$3:$N$6,3,FALSE)))</f>
        <v/>
      </c>
      <c r="O108" s="498" t="str">
        <f t="shared" si="6"/>
        <v/>
      </c>
      <c r="P108" s="82"/>
      <c r="Q108" s="82"/>
      <c r="R108" s="507" t="str">
        <f t="shared" si="8"/>
        <v/>
      </c>
      <c r="S108" s="521" t="str">
        <f t="shared" si="9"/>
        <v/>
      </c>
      <c r="T108" s="522" t="str">
        <f>IFERROR(IF(S108="Check Data ⚠","Check Data ⚠",VLOOKUP(S108,'G-4 Temporal multipliers'!$A$4:$C$37,3,FALSE)),"")</f>
        <v/>
      </c>
      <c r="U108" s="523" t="str">
        <f>IF(F108="","",VLOOKUP(F108,'G-3 Multipliers'!$A$2:$E$129,2,FALSE))</f>
        <v/>
      </c>
      <c r="V108" s="520" t="str">
        <f t="shared" si="10"/>
        <v/>
      </c>
      <c r="W108" s="520" t="str">
        <f>IF(E108="","",IF(AND(V108="Standard difficulty applied",O108&gt;P108),U108,IF(AND(V108="Low Difficulty - only applicable if all habitat created before losses",P108&gt;=O108),"Low",VLOOKUP(F108,'G-3 Multipliers'!$A$2:$E$129,4,FALSE))))</f>
        <v/>
      </c>
      <c r="X108" s="524" t="str">
        <f>IFERROR(IF(E108="","",VLOOKUP(W108, 'G-3 Multipliers'!$P$2:$Q$6,2,FALSE)),"")</f>
        <v/>
      </c>
      <c r="Y108" s="529" t="str">
        <f t="shared" si="11"/>
        <v/>
      </c>
      <c r="Z108" s="239"/>
      <c r="AA108" s="240"/>
      <c r="AE108" s="54" t="str">
        <f t="shared" si="7"/>
        <v/>
      </c>
    </row>
    <row r="109" spans="1:31" x14ac:dyDescent="0.25">
      <c r="A109" s="47" t="str">
        <f>IFERROR(INDEX('G-8 Condition Look up'!$I$4:$I$130,MATCH(F109,'G-8 Condition Look up'!$A$4:$A$130,0)),"")</f>
        <v/>
      </c>
      <c r="C109" s="384" t="str">
        <f>IFERROR(INDEX('G-1 All Habitats'!$AG$3:$AG$15,MATCH(D109,'G-1 All Habitats'!$AF$3:$AF$15,0)),"")</f>
        <v/>
      </c>
      <c r="D109" s="146"/>
      <c r="E109" s="79"/>
      <c r="F109" s="246" t="str">
        <f>IFERROR(INDEX('G-1 All Habitats'!$B$3:$B$129,MATCH(E109,'G-1 All Habitats'!$A$3:$A$129,0)),"")</f>
        <v/>
      </c>
      <c r="G109" s="70"/>
      <c r="H109" s="498" t="str">
        <f>IF(F109="","",VLOOKUP(F109,'G-1 All Habitats'!$B$2:$M$129,10,FALSE))</f>
        <v/>
      </c>
      <c r="I109" s="499" t="str">
        <f>IFERROR(VLOOKUP(H109,'G-1 All Habitats'!$V$3:$W$7,2,FALSE),"")</f>
        <v/>
      </c>
      <c r="J109" s="71"/>
      <c r="K109" s="499" t="str">
        <f>IFERROR(INDEX('G-8 Condition Look up'!$A$3:$H$130,MATCH(F109,'G-8 Condition Look up'!$A$3:$A$130,0),MATCH(J109,'G-8 Condition Look up'!$A$3:$H$3,0)),"")</f>
        <v/>
      </c>
      <c r="L109" s="71"/>
      <c r="M109" s="507" t="str">
        <f>IF(L109="","",IF(VLOOKUP(L109,'G-3 Multipliers'!$L$3:$N$6,2,FALSE)=0,"Spatial Data Missing",VLOOKUP(L109,'G-3 Multipliers'!$L$3:$N$6,2,FALSE)))</f>
        <v/>
      </c>
      <c r="N109" s="505" t="str">
        <f>IF(L109="","",IF(VLOOKUP(L109,'G-3 Multipliers'!$L$3:$N$6,3,FALSE)=0,"Spatial Data Missing",VLOOKUP(L109,'G-3 Multipliers'!$L$3:$N$6,3,FALSE)))</f>
        <v/>
      </c>
      <c r="O109" s="498" t="str">
        <f t="shared" si="6"/>
        <v/>
      </c>
      <c r="P109" s="82"/>
      <c r="Q109" s="82"/>
      <c r="R109" s="507" t="str">
        <f t="shared" si="8"/>
        <v/>
      </c>
      <c r="S109" s="521" t="str">
        <f t="shared" si="9"/>
        <v/>
      </c>
      <c r="T109" s="522" t="str">
        <f>IFERROR(IF(S109="Check Data ⚠","Check Data ⚠",VLOOKUP(S109,'G-4 Temporal multipliers'!$A$4:$C$37,3,FALSE)),"")</f>
        <v/>
      </c>
      <c r="U109" s="523" t="str">
        <f>IF(F109="","",VLOOKUP(F109,'G-3 Multipliers'!$A$2:$E$129,2,FALSE))</f>
        <v/>
      </c>
      <c r="V109" s="520" t="str">
        <f t="shared" si="10"/>
        <v/>
      </c>
      <c r="W109" s="520" t="str">
        <f>IF(E109="","",IF(AND(V109="Standard difficulty applied",O109&gt;P109),U109,IF(AND(V109="Low Difficulty - only applicable if all habitat created before losses",P109&gt;=O109),"Low",VLOOKUP(F109,'G-3 Multipliers'!$A$2:$E$129,4,FALSE))))</f>
        <v/>
      </c>
      <c r="X109" s="524" t="str">
        <f>IFERROR(IF(E109="","",VLOOKUP(W109, 'G-3 Multipliers'!$P$2:$Q$6,2,FALSE)),"")</f>
        <v/>
      </c>
      <c r="Y109" s="529" t="str">
        <f t="shared" si="11"/>
        <v/>
      </c>
      <c r="Z109" s="239"/>
      <c r="AA109" s="240"/>
      <c r="AE109" s="54" t="str">
        <f t="shared" si="7"/>
        <v/>
      </c>
    </row>
    <row r="110" spans="1:31" x14ac:dyDescent="0.25">
      <c r="A110" s="47" t="str">
        <f>IFERROR(INDEX('G-8 Condition Look up'!$I$4:$I$130,MATCH(F110,'G-8 Condition Look up'!$A$4:$A$130,0)),"")</f>
        <v/>
      </c>
      <c r="C110" s="384" t="str">
        <f>IFERROR(INDEX('G-1 All Habitats'!$AG$3:$AG$15,MATCH(D110,'G-1 All Habitats'!$AF$3:$AF$15,0)),"")</f>
        <v/>
      </c>
      <c r="D110" s="146"/>
      <c r="E110" s="79"/>
      <c r="F110" s="246" t="str">
        <f>IFERROR(INDEX('G-1 All Habitats'!$B$3:$B$129,MATCH(E110,'G-1 All Habitats'!$A$3:$A$129,0)),"")</f>
        <v/>
      </c>
      <c r="G110" s="70"/>
      <c r="H110" s="498" t="str">
        <f>IF(F110="","",VLOOKUP(F110,'G-1 All Habitats'!$B$2:$M$129,10,FALSE))</f>
        <v/>
      </c>
      <c r="I110" s="499" t="str">
        <f>IFERROR(VLOOKUP(H110,'G-1 All Habitats'!$V$3:$W$7,2,FALSE),"")</f>
        <v/>
      </c>
      <c r="J110" s="71"/>
      <c r="K110" s="499" t="str">
        <f>IFERROR(INDEX('G-8 Condition Look up'!$A$3:$H$130,MATCH(F110,'G-8 Condition Look up'!$A$3:$A$130,0),MATCH(J110,'G-8 Condition Look up'!$A$3:$H$3,0)),"")</f>
        <v/>
      </c>
      <c r="L110" s="71"/>
      <c r="M110" s="507" t="str">
        <f>IF(L110="","",IF(VLOOKUP(L110,'G-3 Multipliers'!$L$3:$N$6,2,FALSE)=0,"Spatial Data Missing",VLOOKUP(L110,'G-3 Multipliers'!$L$3:$N$6,2,FALSE)))</f>
        <v/>
      </c>
      <c r="N110" s="505" t="str">
        <f>IF(L110="","",IF(VLOOKUP(L110,'G-3 Multipliers'!$L$3:$N$6,3,FALSE)=0,"Spatial Data Missing",VLOOKUP(L110,'G-3 Multipliers'!$L$3:$N$6,3,FALSE)))</f>
        <v/>
      </c>
      <c r="O110" s="498" t="str">
        <f t="shared" si="6"/>
        <v/>
      </c>
      <c r="P110" s="82"/>
      <c r="Q110" s="82"/>
      <c r="R110" s="507" t="str">
        <f t="shared" si="8"/>
        <v/>
      </c>
      <c r="S110" s="521" t="str">
        <f t="shared" si="9"/>
        <v/>
      </c>
      <c r="T110" s="522" t="str">
        <f>IFERROR(IF(S110="Check Data ⚠","Check Data ⚠",VLOOKUP(S110,'G-4 Temporal multipliers'!$A$4:$C$37,3,FALSE)),"")</f>
        <v/>
      </c>
      <c r="U110" s="523" t="str">
        <f>IF(F110="","",VLOOKUP(F110,'G-3 Multipliers'!$A$2:$E$129,2,FALSE))</f>
        <v/>
      </c>
      <c r="V110" s="520" t="str">
        <f t="shared" si="10"/>
        <v/>
      </c>
      <c r="W110" s="520" t="str">
        <f>IF(E110="","",IF(AND(V110="Standard difficulty applied",O110&gt;P110),U110,IF(AND(V110="Low Difficulty - only applicable if all habitat created before losses",P110&gt;=O110),"Low",VLOOKUP(F110,'G-3 Multipliers'!$A$2:$E$129,4,FALSE))))</f>
        <v/>
      </c>
      <c r="X110" s="524" t="str">
        <f>IFERROR(IF(E110="","",VLOOKUP(W110, 'G-3 Multipliers'!$P$2:$Q$6,2,FALSE)),"")</f>
        <v/>
      </c>
      <c r="Y110" s="529" t="str">
        <f t="shared" si="11"/>
        <v/>
      </c>
      <c r="Z110" s="239"/>
      <c r="AA110" s="240"/>
      <c r="AE110" s="54" t="str">
        <f t="shared" si="7"/>
        <v/>
      </c>
    </row>
    <row r="111" spans="1:31" x14ac:dyDescent="0.25">
      <c r="A111" s="47" t="str">
        <f>IFERROR(INDEX('G-8 Condition Look up'!$I$4:$I$130,MATCH(F111,'G-8 Condition Look up'!$A$4:$A$130,0)),"")</f>
        <v/>
      </c>
      <c r="C111" s="384" t="str">
        <f>IFERROR(INDEX('G-1 All Habitats'!$AG$3:$AG$15,MATCH(D111,'G-1 All Habitats'!$AF$3:$AF$15,0)),"")</f>
        <v/>
      </c>
      <c r="D111" s="146"/>
      <c r="E111" s="79"/>
      <c r="F111" s="246" t="str">
        <f>IFERROR(INDEX('G-1 All Habitats'!$B$3:$B$129,MATCH(E111,'G-1 All Habitats'!$A$3:$A$129,0)),"")</f>
        <v/>
      </c>
      <c r="G111" s="70"/>
      <c r="H111" s="498" t="str">
        <f>IF(F111="","",VLOOKUP(F111,'G-1 All Habitats'!$B$2:$M$129,10,FALSE))</f>
        <v/>
      </c>
      <c r="I111" s="499" t="str">
        <f>IFERROR(VLOOKUP(H111,'G-1 All Habitats'!$V$3:$W$7,2,FALSE),"")</f>
        <v/>
      </c>
      <c r="J111" s="71"/>
      <c r="K111" s="499" t="str">
        <f>IFERROR(INDEX('G-8 Condition Look up'!$A$3:$H$130,MATCH(F111,'G-8 Condition Look up'!$A$3:$A$130,0),MATCH(J111,'G-8 Condition Look up'!$A$3:$H$3,0)),"")</f>
        <v/>
      </c>
      <c r="L111" s="71"/>
      <c r="M111" s="507" t="str">
        <f>IF(L111="","",IF(VLOOKUP(L111,'G-3 Multipliers'!$L$3:$N$6,2,FALSE)=0,"Spatial Data Missing",VLOOKUP(L111,'G-3 Multipliers'!$L$3:$N$6,2,FALSE)))</f>
        <v/>
      </c>
      <c r="N111" s="505" t="str">
        <f>IF(L111="","",IF(VLOOKUP(L111,'G-3 Multipliers'!$L$3:$N$6,3,FALSE)=0,"Spatial Data Missing",VLOOKUP(L111,'G-3 Multipliers'!$L$3:$N$6,3,FALSE)))</f>
        <v/>
      </c>
      <c r="O111" s="498" t="str">
        <f t="shared" si="6"/>
        <v/>
      </c>
      <c r="P111" s="82"/>
      <c r="Q111" s="82"/>
      <c r="R111" s="507" t="str">
        <f t="shared" si="8"/>
        <v/>
      </c>
      <c r="S111" s="521" t="str">
        <f t="shared" si="9"/>
        <v/>
      </c>
      <c r="T111" s="522" t="str">
        <f>IFERROR(IF(S111="Check Data ⚠","Check Data ⚠",VLOOKUP(S111,'G-4 Temporal multipliers'!$A$4:$C$37,3,FALSE)),"")</f>
        <v/>
      </c>
      <c r="U111" s="523" t="str">
        <f>IF(F111="","",VLOOKUP(F111,'G-3 Multipliers'!$A$2:$E$129,2,FALSE))</f>
        <v/>
      </c>
      <c r="V111" s="520" t="str">
        <f t="shared" si="10"/>
        <v/>
      </c>
      <c r="W111" s="520" t="str">
        <f>IF(E111="","",IF(AND(V111="Standard difficulty applied",O111&gt;P111),U111,IF(AND(V111="Low Difficulty - only applicable if all habitat created before losses",P111&gt;=O111),"Low",VLOOKUP(F111,'G-3 Multipliers'!$A$2:$E$129,4,FALSE))))</f>
        <v/>
      </c>
      <c r="X111" s="524" t="str">
        <f>IFERROR(IF(E111="","",VLOOKUP(W111, 'G-3 Multipliers'!$P$2:$Q$6,2,FALSE)),"")</f>
        <v/>
      </c>
      <c r="Y111" s="529" t="str">
        <f t="shared" si="11"/>
        <v/>
      </c>
      <c r="Z111" s="239"/>
      <c r="AA111" s="240"/>
      <c r="AE111" s="54" t="str">
        <f t="shared" si="7"/>
        <v/>
      </c>
    </row>
    <row r="112" spans="1:31" x14ac:dyDescent="0.25">
      <c r="A112" s="47" t="str">
        <f>IFERROR(INDEX('G-8 Condition Look up'!$I$4:$I$130,MATCH(F112,'G-8 Condition Look up'!$A$4:$A$130,0)),"")</f>
        <v/>
      </c>
      <c r="C112" s="384" t="str">
        <f>IFERROR(INDEX('G-1 All Habitats'!$AG$3:$AG$15,MATCH(D112,'G-1 All Habitats'!$AF$3:$AF$15,0)),"")</f>
        <v/>
      </c>
      <c r="D112" s="146"/>
      <c r="E112" s="79"/>
      <c r="F112" s="246" t="str">
        <f>IFERROR(INDEX('G-1 All Habitats'!$B$3:$B$129,MATCH(E112,'G-1 All Habitats'!$A$3:$A$129,0)),"")</f>
        <v/>
      </c>
      <c r="G112" s="70"/>
      <c r="H112" s="498" t="str">
        <f>IF(F112="","",VLOOKUP(F112,'G-1 All Habitats'!$B$2:$M$129,10,FALSE))</f>
        <v/>
      </c>
      <c r="I112" s="499" t="str">
        <f>IFERROR(VLOOKUP(H112,'G-1 All Habitats'!$V$3:$W$7,2,FALSE),"")</f>
        <v/>
      </c>
      <c r="J112" s="71"/>
      <c r="K112" s="499" t="str">
        <f>IFERROR(INDEX('G-8 Condition Look up'!$A$3:$H$130,MATCH(F112,'G-8 Condition Look up'!$A$3:$A$130,0),MATCH(J112,'G-8 Condition Look up'!$A$3:$H$3,0)),"")</f>
        <v/>
      </c>
      <c r="L112" s="71"/>
      <c r="M112" s="507" t="str">
        <f>IF(L112="","",IF(VLOOKUP(L112,'G-3 Multipliers'!$L$3:$N$6,2,FALSE)=0,"Spatial Data Missing",VLOOKUP(L112,'G-3 Multipliers'!$L$3:$N$6,2,FALSE)))</f>
        <v/>
      </c>
      <c r="N112" s="505" t="str">
        <f>IF(L112="","",IF(VLOOKUP(L112,'G-3 Multipliers'!$L$3:$N$6,3,FALSE)=0,"Spatial Data Missing",VLOOKUP(L112,'G-3 Multipliers'!$L$3:$N$6,3,FALSE)))</f>
        <v/>
      </c>
      <c r="O112" s="498" t="str">
        <f t="shared" si="6"/>
        <v/>
      </c>
      <c r="P112" s="82"/>
      <c r="Q112" s="82"/>
      <c r="R112" s="507" t="str">
        <f t="shared" si="8"/>
        <v/>
      </c>
      <c r="S112" s="521" t="str">
        <f t="shared" si="9"/>
        <v/>
      </c>
      <c r="T112" s="522" t="str">
        <f>IFERROR(IF(S112="Check Data ⚠","Check Data ⚠",VLOOKUP(S112,'G-4 Temporal multipliers'!$A$4:$C$37,3,FALSE)),"")</f>
        <v/>
      </c>
      <c r="U112" s="523" t="str">
        <f>IF(F112="","",VLOOKUP(F112,'G-3 Multipliers'!$A$2:$E$129,2,FALSE))</f>
        <v/>
      </c>
      <c r="V112" s="520" t="str">
        <f t="shared" si="10"/>
        <v/>
      </c>
      <c r="W112" s="520" t="str">
        <f>IF(E112="","",IF(AND(V112="Standard difficulty applied",O112&gt;P112),U112,IF(AND(V112="Low Difficulty - only applicable if all habitat created before losses",P112&gt;=O112),"Low",VLOOKUP(F112,'G-3 Multipliers'!$A$2:$E$129,4,FALSE))))</f>
        <v/>
      </c>
      <c r="X112" s="524" t="str">
        <f>IFERROR(IF(E112="","",VLOOKUP(W112, 'G-3 Multipliers'!$P$2:$Q$6,2,FALSE)),"")</f>
        <v/>
      </c>
      <c r="Y112" s="529" t="str">
        <f t="shared" si="11"/>
        <v/>
      </c>
      <c r="Z112" s="239"/>
      <c r="AA112" s="240"/>
      <c r="AE112" s="54" t="str">
        <f t="shared" si="7"/>
        <v/>
      </c>
    </row>
    <row r="113" spans="1:31" x14ac:dyDescent="0.25">
      <c r="A113" s="47" t="str">
        <f>IFERROR(INDEX('G-8 Condition Look up'!$I$4:$I$130,MATCH(F113,'G-8 Condition Look up'!$A$4:$A$130,0)),"")</f>
        <v/>
      </c>
      <c r="C113" s="384" t="str">
        <f>IFERROR(INDEX('G-1 All Habitats'!$AG$3:$AG$15,MATCH(D113,'G-1 All Habitats'!$AF$3:$AF$15,0)),"")</f>
        <v/>
      </c>
      <c r="D113" s="146"/>
      <c r="E113" s="79"/>
      <c r="F113" s="246" t="str">
        <f>IFERROR(INDEX('G-1 All Habitats'!$B$3:$B$129,MATCH(E113,'G-1 All Habitats'!$A$3:$A$129,0)),"")</f>
        <v/>
      </c>
      <c r="G113" s="70"/>
      <c r="H113" s="498" t="str">
        <f>IF(F113="","",VLOOKUP(F113,'G-1 All Habitats'!$B$2:$M$129,10,FALSE))</f>
        <v/>
      </c>
      <c r="I113" s="499" t="str">
        <f>IFERROR(VLOOKUP(H113,'G-1 All Habitats'!$V$3:$W$7,2,FALSE),"")</f>
        <v/>
      </c>
      <c r="J113" s="71"/>
      <c r="K113" s="499" t="str">
        <f>IFERROR(INDEX('G-8 Condition Look up'!$A$3:$H$130,MATCH(F113,'G-8 Condition Look up'!$A$3:$A$130,0),MATCH(J113,'G-8 Condition Look up'!$A$3:$H$3,0)),"")</f>
        <v/>
      </c>
      <c r="L113" s="71"/>
      <c r="M113" s="507" t="str">
        <f>IF(L113="","",IF(VLOOKUP(L113,'G-3 Multipliers'!$L$3:$N$6,2,FALSE)=0,"Spatial Data Missing",VLOOKUP(L113,'G-3 Multipliers'!$L$3:$N$6,2,FALSE)))</f>
        <v/>
      </c>
      <c r="N113" s="505" t="str">
        <f>IF(L113="","",IF(VLOOKUP(L113,'G-3 Multipliers'!$L$3:$N$6,3,FALSE)=0,"Spatial Data Missing",VLOOKUP(L113,'G-3 Multipliers'!$L$3:$N$6,3,FALSE)))</f>
        <v/>
      </c>
      <c r="O113" s="498" t="str">
        <f t="shared" si="6"/>
        <v/>
      </c>
      <c r="P113" s="82"/>
      <c r="Q113" s="82"/>
      <c r="R113" s="507" t="str">
        <f t="shared" si="8"/>
        <v/>
      </c>
      <c r="S113" s="521" t="str">
        <f t="shared" si="9"/>
        <v/>
      </c>
      <c r="T113" s="522" t="str">
        <f>IFERROR(IF(S113="Check Data ⚠","Check Data ⚠",VLOOKUP(S113,'G-4 Temporal multipliers'!$A$4:$C$37,3,FALSE)),"")</f>
        <v/>
      </c>
      <c r="U113" s="523" t="str">
        <f>IF(F113="","",VLOOKUP(F113,'G-3 Multipliers'!$A$2:$E$129,2,FALSE))</f>
        <v/>
      </c>
      <c r="V113" s="520" t="str">
        <f t="shared" si="10"/>
        <v/>
      </c>
      <c r="W113" s="520" t="str">
        <f>IF(E113="","",IF(AND(V113="Standard difficulty applied",O113&gt;P113),U113,IF(AND(V113="Low Difficulty - only applicable if all habitat created before losses",P113&gt;=O113),"Low",VLOOKUP(F113,'G-3 Multipliers'!$A$2:$E$129,4,FALSE))))</f>
        <v/>
      </c>
      <c r="X113" s="524" t="str">
        <f>IFERROR(IF(E113="","",VLOOKUP(W113, 'G-3 Multipliers'!$P$2:$Q$6,2,FALSE)),"")</f>
        <v/>
      </c>
      <c r="Y113" s="529" t="str">
        <f t="shared" si="11"/>
        <v/>
      </c>
      <c r="Z113" s="239"/>
      <c r="AA113" s="240"/>
      <c r="AE113" s="54" t="str">
        <f t="shared" si="7"/>
        <v/>
      </c>
    </row>
    <row r="114" spans="1:31" x14ac:dyDescent="0.25">
      <c r="A114" s="47" t="str">
        <f>IFERROR(INDEX('G-8 Condition Look up'!$I$4:$I$130,MATCH(F114,'G-8 Condition Look up'!$A$4:$A$130,0)),"")</f>
        <v/>
      </c>
      <c r="C114" s="384" t="str">
        <f>IFERROR(INDEX('G-1 All Habitats'!$AG$3:$AG$15,MATCH(D114,'G-1 All Habitats'!$AF$3:$AF$15,0)),"")</f>
        <v/>
      </c>
      <c r="D114" s="146"/>
      <c r="E114" s="79"/>
      <c r="F114" s="246" t="str">
        <f>IFERROR(INDEX('G-1 All Habitats'!$B$3:$B$129,MATCH(E114,'G-1 All Habitats'!$A$3:$A$129,0)),"")</f>
        <v/>
      </c>
      <c r="G114" s="70"/>
      <c r="H114" s="498" t="str">
        <f>IF(F114="","",VLOOKUP(F114,'G-1 All Habitats'!$B$2:$M$129,10,FALSE))</f>
        <v/>
      </c>
      <c r="I114" s="499" t="str">
        <f>IFERROR(VLOOKUP(H114,'G-1 All Habitats'!$V$3:$W$7,2,FALSE),"")</f>
        <v/>
      </c>
      <c r="J114" s="71"/>
      <c r="K114" s="499" t="str">
        <f>IFERROR(INDEX('G-8 Condition Look up'!$A$3:$H$130,MATCH(F114,'G-8 Condition Look up'!$A$3:$A$130,0),MATCH(J114,'G-8 Condition Look up'!$A$3:$H$3,0)),"")</f>
        <v/>
      </c>
      <c r="L114" s="71"/>
      <c r="M114" s="507" t="str">
        <f>IF(L114="","",IF(VLOOKUP(L114,'G-3 Multipliers'!$L$3:$N$6,2,FALSE)=0,"Spatial Data Missing",VLOOKUP(L114,'G-3 Multipliers'!$L$3:$N$6,2,FALSE)))</f>
        <v/>
      </c>
      <c r="N114" s="505" t="str">
        <f>IF(L114="","",IF(VLOOKUP(L114,'G-3 Multipliers'!$L$3:$N$6,3,FALSE)=0,"Spatial Data Missing",VLOOKUP(L114,'G-3 Multipliers'!$L$3:$N$6,3,FALSE)))</f>
        <v/>
      </c>
      <c r="O114" s="498" t="str">
        <f t="shared" si="6"/>
        <v/>
      </c>
      <c r="P114" s="82"/>
      <c r="Q114" s="82"/>
      <c r="R114" s="507" t="str">
        <f t="shared" si="8"/>
        <v/>
      </c>
      <c r="S114" s="521" t="str">
        <f t="shared" si="9"/>
        <v/>
      </c>
      <c r="T114" s="522" t="str">
        <f>IFERROR(IF(S114="Check Data ⚠","Check Data ⚠",VLOOKUP(S114,'G-4 Temporal multipliers'!$A$4:$C$37,3,FALSE)),"")</f>
        <v/>
      </c>
      <c r="U114" s="523" t="str">
        <f>IF(F114="","",VLOOKUP(F114,'G-3 Multipliers'!$A$2:$E$129,2,FALSE))</f>
        <v/>
      </c>
      <c r="V114" s="520" t="str">
        <f t="shared" si="10"/>
        <v/>
      </c>
      <c r="W114" s="520" t="str">
        <f>IF(E114="","",IF(AND(V114="Standard difficulty applied",O114&gt;P114),U114,IF(AND(V114="Low Difficulty - only applicable if all habitat created before losses",P114&gt;=O114),"Low",VLOOKUP(F114,'G-3 Multipliers'!$A$2:$E$129,4,FALSE))))</f>
        <v/>
      </c>
      <c r="X114" s="524" t="str">
        <f>IFERROR(IF(E114="","",VLOOKUP(W114, 'G-3 Multipliers'!$P$2:$Q$6,2,FALSE)),"")</f>
        <v/>
      </c>
      <c r="Y114" s="529" t="str">
        <f t="shared" si="11"/>
        <v/>
      </c>
      <c r="Z114" s="239"/>
      <c r="AA114" s="240"/>
      <c r="AE114" s="54" t="str">
        <f t="shared" si="7"/>
        <v/>
      </c>
    </row>
    <row r="115" spans="1:31" x14ac:dyDescent="0.25">
      <c r="A115" s="47" t="str">
        <f>IFERROR(INDEX('G-8 Condition Look up'!$I$4:$I$130,MATCH(F115,'G-8 Condition Look up'!$A$4:$A$130,0)),"")</f>
        <v/>
      </c>
      <c r="C115" s="384" t="str">
        <f>IFERROR(INDEX('G-1 All Habitats'!$AG$3:$AG$15,MATCH(D115,'G-1 All Habitats'!$AF$3:$AF$15,0)),"")</f>
        <v/>
      </c>
      <c r="D115" s="146"/>
      <c r="E115" s="79"/>
      <c r="F115" s="246" t="str">
        <f>IFERROR(INDEX('G-1 All Habitats'!$B$3:$B$129,MATCH(E115,'G-1 All Habitats'!$A$3:$A$129,0)),"")</f>
        <v/>
      </c>
      <c r="G115" s="70"/>
      <c r="H115" s="498" t="str">
        <f>IF(F115="","",VLOOKUP(F115,'G-1 All Habitats'!$B$2:$M$129,10,FALSE))</f>
        <v/>
      </c>
      <c r="I115" s="499" t="str">
        <f>IFERROR(VLOOKUP(H115,'G-1 All Habitats'!$V$3:$W$7,2,FALSE),"")</f>
        <v/>
      </c>
      <c r="J115" s="71"/>
      <c r="K115" s="499" t="str">
        <f>IFERROR(INDEX('G-8 Condition Look up'!$A$3:$H$130,MATCH(F115,'G-8 Condition Look up'!$A$3:$A$130,0),MATCH(J115,'G-8 Condition Look up'!$A$3:$H$3,0)),"")</f>
        <v/>
      </c>
      <c r="L115" s="71"/>
      <c r="M115" s="507" t="str">
        <f>IF(L115="","",IF(VLOOKUP(L115,'G-3 Multipliers'!$L$3:$N$6,2,FALSE)=0,"Spatial Data Missing",VLOOKUP(L115,'G-3 Multipliers'!$L$3:$N$6,2,FALSE)))</f>
        <v/>
      </c>
      <c r="N115" s="505" t="str">
        <f>IF(L115="","",IF(VLOOKUP(L115,'G-3 Multipliers'!$L$3:$N$6,3,FALSE)=0,"Spatial Data Missing",VLOOKUP(L115,'G-3 Multipliers'!$L$3:$N$6,3,FALSE)))</f>
        <v/>
      </c>
      <c r="O115" s="498" t="str">
        <f t="shared" si="6"/>
        <v/>
      </c>
      <c r="P115" s="82"/>
      <c r="Q115" s="82"/>
      <c r="R115" s="507" t="str">
        <f t="shared" si="8"/>
        <v/>
      </c>
      <c r="S115" s="521" t="str">
        <f t="shared" si="9"/>
        <v/>
      </c>
      <c r="T115" s="522" t="str">
        <f>IFERROR(IF(S115="Check Data ⚠","Check Data ⚠",VLOOKUP(S115,'G-4 Temporal multipliers'!$A$4:$C$37,3,FALSE)),"")</f>
        <v/>
      </c>
      <c r="U115" s="523" t="str">
        <f>IF(F115="","",VLOOKUP(F115,'G-3 Multipliers'!$A$2:$E$129,2,FALSE))</f>
        <v/>
      </c>
      <c r="V115" s="520" t="str">
        <f t="shared" si="10"/>
        <v/>
      </c>
      <c r="W115" s="520" t="str">
        <f>IF(E115="","",IF(AND(V115="Standard difficulty applied",O115&gt;P115),U115,IF(AND(V115="Low Difficulty - only applicable if all habitat created before losses",P115&gt;=O115),"Low",VLOOKUP(F115,'G-3 Multipliers'!$A$2:$E$129,4,FALSE))))</f>
        <v/>
      </c>
      <c r="X115" s="524" t="str">
        <f>IFERROR(IF(E115="","",VLOOKUP(W115, 'G-3 Multipliers'!$P$2:$Q$6,2,FALSE)),"")</f>
        <v/>
      </c>
      <c r="Y115" s="529" t="str">
        <f t="shared" si="11"/>
        <v/>
      </c>
      <c r="Z115" s="239"/>
      <c r="AA115" s="240"/>
      <c r="AE115" s="54" t="str">
        <f t="shared" si="7"/>
        <v/>
      </c>
    </row>
    <row r="116" spans="1:31" x14ac:dyDescent="0.25">
      <c r="A116" s="47" t="str">
        <f>IFERROR(INDEX('G-8 Condition Look up'!$I$4:$I$130,MATCH(F116,'G-8 Condition Look up'!$A$4:$A$130,0)),"")</f>
        <v/>
      </c>
      <c r="C116" s="384" t="str">
        <f>IFERROR(INDEX('G-1 All Habitats'!$AG$3:$AG$15,MATCH(D116,'G-1 All Habitats'!$AF$3:$AF$15,0)),"")</f>
        <v/>
      </c>
      <c r="D116" s="146"/>
      <c r="E116" s="79"/>
      <c r="F116" s="246" t="str">
        <f>IFERROR(INDEX('G-1 All Habitats'!$B$3:$B$129,MATCH(E116,'G-1 All Habitats'!$A$3:$A$129,0)),"")</f>
        <v/>
      </c>
      <c r="G116" s="70"/>
      <c r="H116" s="498" t="str">
        <f>IF(F116="","",VLOOKUP(F116,'G-1 All Habitats'!$B$2:$M$129,10,FALSE))</f>
        <v/>
      </c>
      <c r="I116" s="499" t="str">
        <f>IFERROR(VLOOKUP(H116,'G-1 All Habitats'!$V$3:$W$7,2,FALSE),"")</f>
        <v/>
      </c>
      <c r="J116" s="71"/>
      <c r="K116" s="499" t="str">
        <f>IFERROR(INDEX('G-8 Condition Look up'!$A$3:$H$130,MATCH(F116,'G-8 Condition Look up'!$A$3:$A$130,0),MATCH(J116,'G-8 Condition Look up'!$A$3:$H$3,0)),"")</f>
        <v/>
      </c>
      <c r="L116" s="71"/>
      <c r="M116" s="507" t="str">
        <f>IF(L116="","",IF(VLOOKUP(L116,'G-3 Multipliers'!$L$3:$N$6,2,FALSE)=0,"Spatial Data Missing",VLOOKUP(L116,'G-3 Multipliers'!$L$3:$N$6,2,FALSE)))</f>
        <v/>
      </c>
      <c r="N116" s="505" t="str">
        <f>IF(L116="","",IF(VLOOKUP(L116,'G-3 Multipliers'!$L$3:$N$6,3,FALSE)=0,"Spatial Data Missing",VLOOKUP(L116,'G-3 Multipliers'!$L$3:$N$6,3,FALSE)))</f>
        <v/>
      </c>
      <c r="O116" s="498" t="str">
        <f t="shared" si="6"/>
        <v/>
      </c>
      <c r="P116" s="82"/>
      <c r="Q116" s="82"/>
      <c r="R116" s="507" t="str">
        <f t="shared" si="8"/>
        <v/>
      </c>
      <c r="S116" s="521" t="str">
        <f t="shared" si="9"/>
        <v/>
      </c>
      <c r="T116" s="522" t="str">
        <f>IFERROR(IF(S116="Check Data ⚠","Check Data ⚠",VLOOKUP(S116,'G-4 Temporal multipliers'!$A$4:$C$37,3,FALSE)),"")</f>
        <v/>
      </c>
      <c r="U116" s="523" t="str">
        <f>IF(F116="","",VLOOKUP(F116,'G-3 Multipliers'!$A$2:$E$129,2,FALSE))</f>
        <v/>
      </c>
      <c r="V116" s="520" t="str">
        <f t="shared" si="10"/>
        <v/>
      </c>
      <c r="W116" s="520" t="str">
        <f>IF(E116="","",IF(AND(V116="Standard difficulty applied",O116&gt;P116),U116,IF(AND(V116="Low Difficulty - only applicable if all habitat created before losses",P116&gt;=O116),"Low",VLOOKUP(F116,'G-3 Multipliers'!$A$2:$E$129,4,FALSE))))</f>
        <v/>
      </c>
      <c r="X116" s="524" t="str">
        <f>IFERROR(IF(E116="","",VLOOKUP(W116, 'G-3 Multipliers'!$P$2:$Q$6,2,FALSE)),"")</f>
        <v/>
      </c>
      <c r="Y116" s="529" t="str">
        <f t="shared" si="11"/>
        <v/>
      </c>
      <c r="Z116" s="239"/>
      <c r="AA116" s="240"/>
      <c r="AE116" s="54" t="str">
        <f t="shared" si="7"/>
        <v/>
      </c>
    </row>
    <row r="117" spans="1:31" x14ac:dyDescent="0.25">
      <c r="A117" s="47" t="str">
        <f>IFERROR(INDEX('G-8 Condition Look up'!$I$4:$I$130,MATCH(F117,'G-8 Condition Look up'!$A$4:$A$130,0)),"")</f>
        <v/>
      </c>
      <c r="C117" s="384" t="str">
        <f>IFERROR(INDEX('G-1 All Habitats'!$AG$3:$AG$15,MATCH(D117,'G-1 All Habitats'!$AF$3:$AF$15,0)),"")</f>
        <v/>
      </c>
      <c r="D117" s="146"/>
      <c r="E117" s="79"/>
      <c r="F117" s="246" t="str">
        <f>IFERROR(INDEX('G-1 All Habitats'!$B$3:$B$129,MATCH(E117,'G-1 All Habitats'!$A$3:$A$129,0)),"")</f>
        <v/>
      </c>
      <c r="G117" s="70"/>
      <c r="H117" s="498" t="str">
        <f>IF(F117="","",VLOOKUP(F117,'G-1 All Habitats'!$B$2:$M$129,10,FALSE))</f>
        <v/>
      </c>
      <c r="I117" s="499" t="str">
        <f>IFERROR(VLOOKUP(H117,'G-1 All Habitats'!$V$3:$W$7,2,FALSE),"")</f>
        <v/>
      </c>
      <c r="J117" s="71"/>
      <c r="K117" s="499" t="str">
        <f>IFERROR(INDEX('G-8 Condition Look up'!$A$3:$H$130,MATCH(F117,'G-8 Condition Look up'!$A$3:$A$130,0),MATCH(J117,'G-8 Condition Look up'!$A$3:$H$3,0)),"")</f>
        <v/>
      </c>
      <c r="L117" s="71"/>
      <c r="M117" s="507" t="str">
        <f>IF(L117="","",IF(VLOOKUP(L117,'G-3 Multipliers'!$L$3:$N$6,2,FALSE)=0,"Spatial Data Missing",VLOOKUP(L117,'G-3 Multipliers'!$L$3:$N$6,2,FALSE)))</f>
        <v/>
      </c>
      <c r="N117" s="505" t="str">
        <f>IF(L117="","",IF(VLOOKUP(L117,'G-3 Multipliers'!$L$3:$N$6,3,FALSE)=0,"Spatial Data Missing",VLOOKUP(L117,'G-3 Multipliers'!$L$3:$N$6,3,FALSE)))</f>
        <v/>
      </c>
      <c r="O117" s="498" t="str">
        <f t="shared" si="6"/>
        <v/>
      </c>
      <c r="P117" s="82"/>
      <c r="Q117" s="82"/>
      <c r="R117" s="507" t="str">
        <f t="shared" si="8"/>
        <v/>
      </c>
      <c r="S117" s="521" t="str">
        <f t="shared" si="9"/>
        <v/>
      </c>
      <c r="T117" s="522" t="str">
        <f>IFERROR(IF(S117="Check Data ⚠","Check Data ⚠",VLOOKUP(S117,'G-4 Temporal multipliers'!$A$4:$C$37,3,FALSE)),"")</f>
        <v/>
      </c>
      <c r="U117" s="523" t="str">
        <f>IF(F117="","",VLOOKUP(F117,'G-3 Multipliers'!$A$2:$E$129,2,FALSE))</f>
        <v/>
      </c>
      <c r="V117" s="520" t="str">
        <f t="shared" si="10"/>
        <v/>
      </c>
      <c r="W117" s="520" t="str">
        <f>IF(E117="","",IF(AND(V117="Standard difficulty applied",O117&gt;P117),U117,IF(AND(V117="Low Difficulty - only applicable if all habitat created before losses",P117&gt;=O117),"Low",VLOOKUP(F117,'G-3 Multipliers'!$A$2:$E$129,4,FALSE))))</f>
        <v/>
      </c>
      <c r="X117" s="524" t="str">
        <f>IFERROR(IF(E117="","",VLOOKUP(W117, 'G-3 Multipliers'!$P$2:$Q$6,2,FALSE)),"")</f>
        <v/>
      </c>
      <c r="Y117" s="529" t="str">
        <f t="shared" si="11"/>
        <v/>
      </c>
      <c r="Z117" s="239"/>
      <c r="AA117" s="240"/>
      <c r="AE117" s="54" t="str">
        <f t="shared" si="7"/>
        <v/>
      </c>
    </row>
    <row r="118" spans="1:31" x14ac:dyDescent="0.25">
      <c r="A118" s="47" t="str">
        <f>IFERROR(INDEX('G-8 Condition Look up'!$I$4:$I$130,MATCH(F118,'G-8 Condition Look up'!$A$4:$A$130,0)),"")</f>
        <v/>
      </c>
      <c r="C118" s="384" t="str">
        <f>IFERROR(INDEX('G-1 All Habitats'!$AG$3:$AG$15,MATCH(D118,'G-1 All Habitats'!$AF$3:$AF$15,0)),"")</f>
        <v/>
      </c>
      <c r="D118" s="146"/>
      <c r="E118" s="79"/>
      <c r="F118" s="246" t="str">
        <f>IFERROR(INDEX('G-1 All Habitats'!$B$3:$B$129,MATCH(E118,'G-1 All Habitats'!$A$3:$A$129,0)),"")</f>
        <v/>
      </c>
      <c r="G118" s="70"/>
      <c r="H118" s="498" t="str">
        <f>IF(F118="","",VLOOKUP(F118,'G-1 All Habitats'!$B$2:$M$129,10,FALSE))</f>
        <v/>
      </c>
      <c r="I118" s="499" t="str">
        <f>IFERROR(VLOOKUP(H118,'G-1 All Habitats'!$V$3:$W$7,2,FALSE),"")</f>
        <v/>
      </c>
      <c r="J118" s="71"/>
      <c r="K118" s="499" t="str">
        <f>IFERROR(INDEX('G-8 Condition Look up'!$A$3:$H$130,MATCH(F118,'G-8 Condition Look up'!$A$3:$A$130,0),MATCH(J118,'G-8 Condition Look up'!$A$3:$H$3,0)),"")</f>
        <v/>
      </c>
      <c r="L118" s="71"/>
      <c r="M118" s="507" t="str">
        <f>IF(L118="","",IF(VLOOKUP(L118,'G-3 Multipliers'!$L$3:$N$6,2,FALSE)=0,"Spatial Data Missing",VLOOKUP(L118,'G-3 Multipliers'!$L$3:$N$6,2,FALSE)))</f>
        <v/>
      </c>
      <c r="N118" s="505" t="str">
        <f>IF(L118="","",IF(VLOOKUP(L118,'G-3 Multipliers'!$L$3:$N$6,3,FALSE)=0,"Spatial Data Missing",VLOOKUP(L118,'G-3 Multipliers'!$L$3:$N$6,3,FALSE)))</f>
        <v/>
      </c>
      <c r="O118" s="498" t="str">
        <f t="shared" si="6"/>
        <v/>
      </c>
      <c r="P118" s="82"/>
      <c r="Q118" s="82"/>
      <c r="R118" s="507" t="str">
        <f t="shared" si="8"/>
        <v/>
      </c>
      <c r="S118" s="521" t="str">
        <f t="shared" si="9"/>
        <v/>
      </c>
      <c r="T118" s="522" t="str">
        <f>IFERROR(IF(S118="Check Data ⚠","Check Data ⚠",VLOOKUP(S118,'G-4 Temporal multipliers'!$A$4:$C$37,3,FALSE)),"")</f>
        <v/>
      </c>
      <c r="U118" s="523" t="str">
        <f>IF(F118="","",VLOOKUP(F118,'G-3 Multipliers'!$A$2:$E$129,2,FALSE))</f>
        <v/>
      </c>
      <c r="V118" s="520" t="str">
        <f t="shared" si="10"/>
        <v/>
      </c>
      <c r="W118" s="520" t="str">
        <f>IF(E118="","",IF(AND(V118="Standard difficulty applied",O118&gt;P118),U118,IF(AND(V118="Low Difficulty - only applicable if all habitat created before losses",P118&gt;=O118),"Low",VLOOKUP(F118,'G-3 Multipliers'!$A$2:$E$129,4,FALSE))))</f>
        <v/>
      </c>
      <c r="X118" s="524" t="str">
        <f>IFERROR(IF(E118="","",VLOOKUP(W118, 'G-3 Multipliers'!$P$2:$Q$6,2,FALSE)),"")</f>
        <v/>
      </c>
      <c r="Y118" s="529" t="str">
        <f t="shared" si="11"/>
        <v/>
      </c>
      <c r="Z118" s="239"/>
      <c r="AA118" s="240"/>
      <c r="AE118" s="54" t="str">
        <f t="shared" si="7"/>
        <v/>
      </c>
    </row>
    <row r="119" spans="1:31" x14ac:dyDescent="0.25">
      <c r="A119" s="47" t="str">
        <f>IFERROR(INDEX('G-8 Condition Look up'!$I$4:$I$130,MATCH(F119,'G-8 Condition Look up'!$A$4:$A$130,0)),"")</f>
        <v/>
      </c>
      <c r="C119" s="384" t="str">
        <f>IFERROR(INDEX('G-1 All Habitats'!$AG$3:$AG$15,MATCH(D119,'G-1 All Habitats'!$AF$3:$AF$15,0)),"")</f>
        <v/>
      </c>
      <c r="D119" s="146"/>
      <c r="E119" s="79"/>
      <c r="F119" s="246" t="str">
        <f>IFERROR(INDEX('G-1 All Habitats'!$B$3:$B$129,MATCH(E119,'G-1 All Habitats'!$A$3:$A$129,0)),"")</f>
        <v/>
      </c>
      <c r="G119" s="70"/>
      <c r="H119" s="498" t="str">
        <f>IF(F119="","",VLOOKUP(F119,'G-1 All Habitats'!$B$2:$M$129,10,FALSE))</f>
        <v/>
      </c>
      <c r="I119" s="499" t="str">
        <f>IFERROR(VLOOKUP(H119,'G-1 All Habitats'!$V$3:$W$7,2,FALSE),"")</f>
        <v/>
      </c>
      <c r="J119" s="71"/>
      <c r="K119" s="499" t="str">
        <f>IFERROR(INDEX('G-8 Condition Look up'!$A$3:$H$130,MATCH(F119,'G-8 Condition Look up'!$A$3:$A$130,0),MATCH(J119,'G-8 Condition Look up'!$A$3:$H$3,0)),"")</f>
        <v/>
      </c>
      <c r="L119" s="71"/>
      <c r="M119" s="507" t="str">
        <f>IF(L119="","",IF(VLOOKUP(L119,'G-3 Multipliers'!$L$3:$N$6,2,FALSE)=0,"Spatial Data Missing",VLOOKUP(L119,'G-3 Multipliers'!$L$3:$N$6,2,FALSE)))</f>
        <v/>
      </c>
      <c r="N119" s="505" t="str">
        <f>IF(L119="","",IF(VLOOKUP(L119,'G-3 Multipliers'!$L$3:$N$6,3,FALSE)=0,"Spatial Data Missing",VLOOKUP(L119,'G-3 Multipliers'!$L$3:$N$6,3,FALSE)))</f>
        <v/>
      </c>
      <c r="O119" s="498" t="str">
        <f t="shared" si="6"/>
        <v/>
      </c>
      <c r="P119" s="82"/>
      <c r="Q119" s="82"/>
      <c r="R119" s="507" t="str">
        <f t="shared" si="8"/>
        <v/>
      </c>
      <c r="S119" s="521" t="str">
        <f t="shared" si="9"/>
        <v/>
      </c>
      <c r="T119" s="522" t="str">
        <f>IFERROR(IF(S119="Check Data ⚠","Check Data ⚠",VLOOKUP(S119,'G-4 Temporal multipliers'!$A$4:$C$37,3,FALSE)),"")</f>
        <v/>
      </c>
      <c r="U119" s="523" t="str">
        <f>IF(F119="","",VLOOKUP(F119,'G-3 Multipliers'!$A$2:$E$129,2,FALSE))</f>
        <v/>
      </c>
      <c r="V119" s="520" t="str">
        <f t="shared" si="10"/>
        <v/>
      </c>
      <c r="W119" s="520" t="str">
        <f>IF(E119="","",IF(AND(V119="Standard difficulty applied",O119&gt;P119),U119,IF(AND(V119="Low Difficulty - only applicable if all habitat created before losses",P119&gt;=O119),"Low",VLOOKUP(F119,'G-3 Multipliers'!$A$2:$E$129,4,FALSE))))</f>
        <v/>
      </c>
      <c r="X119" s="524" t="str">
        <f>IFERROR(IF(E119="","",VLOOKUP(W119, 'G-3 Multipliers'!$P$2:$Q$6,2,FALSE)),"")</f>
        <v/>
      </c>
      <c r="Y119" s="529" t="str">
        <f t="shared" si="11"/>
        <v/>
      </c>
      <c r="Z119" s="239"/>
      <c r="AA119" s="240"/>
      <c r="AE119" s="54" t="str">
        <f t="shared" si="7"/>
        <v/>
      </c>
    </row>
    <row r="120" spans="1:31" x14ac:dyDescent="0.25">
      <c r="A120" s="47" t="str">
        <f>IFERROR(INDEX('G-8 Condition Look up'!$I$4:$I$130,MATCH(F120,'G-8 Condition Look up'!$A$4:$A$130,0)),"")</f>
        <v/>
      </c>
      <c r="C120" s="384" t="str">
        <f>IFERROR(INDEX('G-1 All Habitats'!$AG$3:$AG$15,MATCH(D120,'G-1 All Habitats'!$AF$3:$AF$15,0)),"")</f>
        <v/>
      </c>
      <c r="D120" s="146"/>
      <c r="E120" s="79"/>
      <c r="F120" s="246" t="str">
        <f>IFERROR(INDEX('G-1 All Habitats'!$B$3:$B$129,MATCH(E120,'G-1 All Habitats'!$A$3:$A$129,0)),"")</f>
        <v/>
      </c>
      <c r="G120" s="70"/>
      <c r="H120" s="498" t="str">
        <f>IF(F120="","",VLOOKUP(F120,'G-1 All Habitats'!$B$2:$M$129,10,FALSE))</f>
        <v/>
      </c>
      <c r="I120" s="499" t="str">
        <f>IFERROR(VLOOKUP(H120,'G-1 All Habitats'!$V$3:$W$7,2,FALSE),"")</f>
        <v/>
      </c>
      <c r="J120" s="71"/>
      <c r="K120" s="499" t="str">
        <f>IFERROR(INDEX('G-8 Condition Look up'!$A$3:$H$130,MATCH(F120,'G-8 Condition Look up'!$A$3:$A$130,0),MATCH(J120,'G-8 Condition Look up'!$A$3:$H$3,0)),"")</f>
        <v/>
      </c>
      <c r="L120" s="71"/>
      <c r="M120" s="507" t="str">
        <f>IF(L120="","",IF(VLOOKUP(L120,'G-3 Multipliers'!$L$3:$N$6,2,FALSE)=0,"Spatial Data Missing",VLOOKUP(L120,'G-3 Multipliers'!$L$3:$N$6,2,FALSE)))</f>
        <v/>
      </c>
      <c r="N120" s="505" t="str">
        <f>IF(L120="","",IF(VLOOKUP(L120,'G-3 Multipliers'!$L$3:$N$6,3,FALSE)=0,"Spatial Data Missing",VLOOKUP(L120,'G-3 Multipliers'!$L$3:$N$6,3,FALSE)))</f>
        <v/>
      </c>
      <c r="O120" s="498" t="str">
        <f t="shared" si="6"/>
        <v/>
      </c>
      <c r="P120" s="82"/>
      <c r="Q120" s="82"/>
      <c r="R120" s="507" t="str">
        <f t="shared" si="8"/>
        <v/>
      </c>
      <c r="S120" s="521" t="str">
        <f t="shared" si="9"/>
        <v/>
      </c>
      <c r="T120" s="522" t="str">
        <f>IFERROR(IF(S120="Check Data ⚠","Check Data ⚠",VLOOKUP(S120,'G-4 Temporal multipliers'!$A$4:$C$37,3,FALSE)),"")</f>
        <v/>
      </c>
      <c r="U120" s="523" t="str">
        <f>IF(F120="","",VLOOKUP(F120,'G-3 Multipliers'!$A$2:$E$129,2,FALSE))</f>
        <v/>
      </c>
      <c r="V120" s="520" t="str">
        <f t="shared" si="10"/>
        <v/>
      </c>
      <c r="W120" s="520" t="str">
        <f>IF(E120="","",IF(AND(V120="Standard difficulty applied",O120&gt;P120),U120,IF(AND(V120="Low Difficulty - only applicable if all habitat created before losses",P120&gt;=O120),"Low",VLOOKUP(F120,'G-3 Multipliers'!$A$2:$E$129,4,FALSE))))</f>
        <v/>
      </c>
      <c r="X120" s="524" t="str">
        <f>IFERROR(IF(E120="","",VLOOKUP(W120, 'G-3 Multipliers'!$P$2:$Q$6,2,FALSE)),"")</f>
        <v/>
      </c>
      <c r="Y120" s="529" t="str">
        <f t="shared" si="11"/>
        <v/>
      </c>
      <c r="Z120" s="239"/>
      <c r="AA120" s="240"/>
      <c r="AE120" s="54" t="str">
        <f t="shared" si="7"/>
        <v/>
      </c>
    </row>
    <row r="121" spans="1:31" x14ac:dyDescent="0.25">
      <c r="A121" s="47" t="str">
        <f>IFERROR(INDEX('G-8 Condition Look up'!$I$4:$I$130,MATCH(F121,'G-8 Condition Look up'!$A$4:$A$130,0)),"")</f>
        <v/>
      </c>
      <c r="C121" s="384" t="str">
        <f>IFERROR(INDEX('G-1 All Habitats'!$AG$3:$AG$15,MATCH(D121,'G-1 All Habitats'!$AF$3:$AF$15,0)),"")</f>
        <v/>
      </c>
      <c r="D121" s="146"/>
      <c r="E121" s="79"/>
      <c r="F121" s="246" t="str">
        <f>IFERROR(INDEX('G-1 All Habitats'!$B$3:$B$129,MATCH(E121,'G-1 All Habitats'!$A$3:$A$129,0)),"")</f>
        <v/>
      </c>
      <c r="G121" s="70"/>
      <c r="H121" s="498" t="str">
        <f>IF(F121="","",VLOOKUP(F121,'G-1 All Habitats'!$B$2:$M$129,10,FALSE))</f>
        <v/>
      </c>
      <c r="I121" s="499" t="str">
        <f>IFERROR(VLOOKUP(H121,'G-1 All Habitats'!$V$3:$W$7,2,FALSE),"")</f>
        <v/>
      </c>
      <c r="J121" s="71"/>
      <c r="K121" s="499" t="str">
        <f>IFERROR(INDEX('G-8 Condition Look up'!$A$3:$H$130,MATCH(F121,'G-8 Condition Look up'!$A$3:$A$130,0),MATCH(J121,'G-8 Condition Look up'!$A$3:$H$3,0)),"")</f>
        <v/>
      </c>
      <c r="L121" s="71"/>
      <c r="M121" s="507" t="str">
        <f>IF(L121="","",IF(VLOOKUP(L121,'G-3 Multipliers'!$L$3:$N$6,2,FALSE)=0,"Spatial Data Missing",VLOOKUP(L121,'G-3 Multipliers'!$L$3:$N$6,2,FALSE)))</f>
        <v/>
      </c>
      <c r="N121" s="505" t="str">
        <f>IF(L121="","",IF(VLOOKUP(L121,'G-3 Multipliers'!$L$3:$N$6,3,FALSE)=0,"Spatial Data Missing",VLOOKUP(L121,'G-3 Multipliers'!$L$3:$N$6,3,FALSE)))</f>
        <v/>
      </c>
      <c r="O121" s="498" t="str">
        <f t="shared" si="6"/>
        <v/>
      </c>
      <c r="P121" s="82"/>
      <c r="Q121" s="82"/>
      <c r="R121" s="507" t="str">
        <f t="shared" si="8"/>
        <v/>
      </c>
      <c r="S121" s="521" t="str">
        <f t="shared" si="9"/>
        <v/>
      </c>
      <c r="T121" s="522" t="str">
        <f>IFERROR(IF(S121="Check Data ⚠","Check Data ⚠",VLOOKUP(S121,'G-4 Temporal multipliers'!$A$4:$C$37,3,FALSE)),"")</f>
        <v/>
      </c>
      <c r="U121" s="523" t="str">
        <f>IF(F121="","",VLOOKUP(F121,'G-3 Multipliers'!$A$2:$E$129,2,FALSE))</f>
        <v/>
      </c>
      <c r="V121" s="520" t="str">
        <f t="shared" si="10"/>
        <v/>
      </c>
      <c r="W121" s="520" t="str">
        <f>IF(E121="","",IF(AND(V121="Standard difficulty applied",O121&gt;P121),U121,IF(AND(V121="Low Difficulty - only applicable if all habitat created before losses",P121&gt;=O121),"Low",VLOOKUP(F121,'G-3 Multipliers'!$A$2:$E$129,4,FALSE))))</f>
        <v/>
      </c>
      <c r="X121" s="524" t="str">
        <f>IFERROR(IF(E121="","",VLOOKUP(W121, 'G-3 Multipliers'!$P$2:$Q$6,2,FALSE)),"")</f>
        <v/>
      </c>
      <c r="Y121" s="529" t="str">
        <f t="shared" si="11"/>
        <v/>
      </c>
      <c r="Z121" s="239"/>
      <c r="AA121" s="240"/>
      <c r="AE121" s="54" t="str">
        <f t="shared" si="7"/>
        <v/>
      </c>
    </row>
    <row r="122" spans="1:31" x14ac:dyDescent="0.25">
      <c r="A122" s="47" t="str">
        <f>IFERROR(INDEX('G-8 Condition Look up'!$I$4:$I$130,MATCH(F122,'G-8 Condition Look up'!$A$4:$A$130,0)),"")</f>
        <v/>
      </c>
      <c r="C122" s="384" t="str">
        <f>IFERROR(INDEX('G-1 All Habitats'!$AG$3:$AG$15,MATCH(D122,'G-1 All Habitats'!$AF$3:$AF$15,0)),"")</f>
        <v/>
      </c>
      <c r="D122" s="146"/>
      <c r="E122" s="79"/>
      <c r="F122" s="246" t="str">
        <f>IFERROR(INDEX('G-1 All Habitats'!$B$3:$B$129,MATCH(E122,'G-1 All Habitats'!$A$3:$A$129,0)),"")</f>
        <v/>
      </c>
      <c r="G122" s="70"/>
      <c r="H122" s="498" t="str">
        <f>IF(F122="","",VLOOKUP(F122,'G-1 All Habitats'!$B$2:$M$129,10,FALSE))</f>
        <v/>
      </c>
      <c r="I122" s="499" t="str">
        <f>IFERROR(VLOOKUP(H122,'G-1 All Habitats'!$V$3:$W$7,2,FALSE),"")</f>
        <v/>
      </c>
      <c r="J122" s="71"/>
      <c r="K122" s="499" t="str">
        <f>IFERROR(INDEX('G-8 Condition Look up'!$A$3:$H$130,MATCH(F122,'G-8 Condition Look up'!$A$3:$A$130,0),MATCH(J122,'G-8 Condition Look up'!$A$3:$H$3,0)),"")</f>
        <v/>
      </c>
      <c r="L122" s="71"/>
      <c r="M122" s="507" t="str">
        <f>IF(L122="","",IF(VLOOKUP(L122,'G-3 Multipliers'!$L$3:$N$6,2,FALSE)=0,"Spatial Data Missing",VLOOKUP(L122,'G-3 Multipliers'!$L$3:$N$6,2,FALSE)))</f>
        <v/>
      </c>
      <c r="N122" s="505" t="str">
        <f>IF(L122="","",IF(VLOOKUP(L122,'G-3 Multipliers'!$L$3:$N$6,3,FALSE)=0,"Spatial Data Missing",VLOOKUP(L122,'G-3 Multipliers'!$L$3:$N$6,3,FALSE)))</f>
        <v/>
      </c>
      <c r="O122" s="498" t="str">
        <f t="shared" si="6"/>
        <v/>
      </c>
      <c r="P122" s="82"/>
      <c r="Q122" s="82"/>
      <c r="R122" s="507" t="str">
        <f t="shared" si="8"/>
        <v/>
      </c>
      <c r="S122" s="521" t="str">
        <f t="shared" si="9"/>
        <v/>
      </c>
      <c r="T122" s="522" t="str">
        <f>IFERROR(IF(S122="Check Data ⚠","Check Data ⚠",VLOOKUP(S122,'G-4 Temporal multipliers'!$A$4:$C$37,3,FALSE)),"")</f>
        <v/>
      </c>
      <c r="U122" s="523" t="str">
        <f>IF(F122="","",VLOOKUP(F122,'G-3 Multipliers'!$A$2:$E$129,2,FALSE))</f>
        <v/>
      </c>
      <c r="V122" s="520" t="str">
        <f t="shared" si="10"/>
        <v/>
      </c>
      <c r="W122" s="520" t="str">
        <f>IF(E122="","",IF(AND(V122="Standard difficulty applied",O122&gt;P122),U122,IF(AND(V122="Low Difficulty - only applicable if all habitat created before losses",P122&gt;=O122),"Low",VLOOKUP(F122,'G-3 Multipliers'!$A$2:$E$129,4,FALSE))))</f>
        <v/>
      </c>
      <c r="X122" s="524" t="str">
        <f>IFERROR(IF(E122="","",VLOOKUP(W122, 'G-3 Multipliers'!$P$2:$Q$6,2,FALSE)),"")</f>
        <v/>
      </c>
      <c r="Y122" s="529" t="str">
        <f t="shared" si="11"/>
        <v/>
      </c>
      <c r="Z122" s="239"/>
      <c r="AA122" s="240"/>
      <c r="AE122" s="54" t="str">
        <f t="shared" si="7"/>
        <v/>
      </c>
    </row>
    <row r="123" spans="1:31" x14ac:dyDescent="0.25">
      <c r="A123" s="47" t="str">
        <f>IFERROR(INDEX('G-8 Condition Look up'!$I$4:$I$130,MATCH(F123,'G-8 Condition Look up'!$A$4:$A$130,0)),"")</f>
        <v/>
      </c>
      <c r="C123" s="384" t="str">
        <f>IFERROR(INDEX('G-1 All Habitats'!$AG$3:$AG$15,MATCH(D123,'G-1 All Habitats'!$AF$3:$AF$15,0)),"")</f>
        <v/>
      </c>
      <c r="D123" s="146"/>
      <c r="E123" s="79"/>
      <c r="F123" s="246" t="str">
        <f>IFERROR(INDEX('G-1 All Habitats'!$B$3:$B$129,MATCH(E123,'G-1 All Habitats'!$A$3:$A$129,0)),"")</f>
        <v/>
      </c>
      <c r="G123" s="70"/>
      <c r="H123" s="498" t="str">
        <f>IF(F123="","",VLOOKUP(F123,'G-1 All Habitats'!$B$2:$M$129,10,FALSE))</f>
        <v/>
      </c>
      <c r="I123" s="499" t="str">
        <f>IFERROR(VLOOKUP(H123,'G-1 All Habitats'!$V$3:$W$7,2,FALSE),"")</f>
        <v/>
      </c>
      <c r="J123" s="71"/>
      <c r="K123" s="499" t="str">
        <f>IFERROR(INDEX('G-8 Condition Look up'!$A$3:$H$130,MATCH(F123,'G-8 Condition Look up'!$A$3:$A$130,0),MATCH(J123,'G-8 Condition Look up'!$A$3:$H$3,0)),"")</f>
        <v/>
      </c>
      <c r="L123" s="71"/>
      <c r="M123" s="507" t="str">
        <f>IF(L123="","",IF(VLOOKUP(L123,'G-3 Multipliers'!$L$3:$N$6,2,FALSE)=0,"Spatial Data Missing",VLOOKUP(L123,'G-3 Multipliers'!$L$3:$N$6,2,FALSE)))</f>
        <v/>
      </c>
      <c r="N123" s="505" t="str">
        <f>IF(L123="","",IF(VLOOKUP(L123,'G-3 Multipliers'!$L$3:$N$6,3,FALSE)=0,"Spatial Data Missing",VLOOKUP(L123,'G-3 Multipliers'!$L$3:$N$6,3,FALSE)))</f>
        <v/>
      </c>
      <c r="O123" s="498" t="str">
        <f t="shared" si="6"/>
        <v/>
      </c>
      <c r="P123" s="82"/>
      <c r="Q123" s="82"/>
      <c r="R123" s="507" t="str">
        <f t="shared" si="8"/>
        <v/>
      </c>
      <c r="S123" s="521" t="str">
        <f t="shared" si="9"/>
        <v/>
      </c>
      <c r="T123" s="522" t="str">
        <f>IFERROR(IF(S123="Check Data ⚠","Check Data ⚠",VLOOKUP(S123,'G-4 Temporal multipliers'!$A$4:$C$37,3,FALSE)),"")</f>
        <v/>
      </c>
      <c r="U123" s="523" t="str">
        <f>IF(F123="","",VLOOKUP(F123,'G-3 Multipliers'!$A$2:$E$129,2,FALSE))</f>
        <v/>
      </c>
      <c r="V123" s="520" t="str">
        <f t="shared" si="10"/>
        <v/>
      </c>
      <c r="W123" s="520" t="str">
        <f>IF(E123="","",IF(AND(V123="Standard difficulty applied",O123&gt;P123),U123,IF(AND(V123="Low Difficulty - only applicable if all habitat created before losses",P123&gt;=O123),"Low",VLOOKUP(F123,'G-3 Multipliers'!$A$2:$E$129,4,FALSE))))</f>
        <v/>
      </c>
      <c r="X123" s="524" t="str">
        <f>IFERROR(IF(E123="","",VLOOKUP(W123, 'G-3 Multipliers'!$P$2:$Q$6,2,FALSE)),"")</f>
        <v/>
      </c>
      <c r="Y123" s="529" t="str">
        <f t="shared" si="11"/>
        <v/>
      </c>
      <c r="Z123" s="239"/>
      <c r="AA123" s="240"/>
      <c r="AE123" s="54" t="str">
        <f t="shared" si="7"/>
        <v/>
      </c>
    </row>
    <row r="124" spans="1:31" x14ac:dyDescent="0.25">
      <c r="A124" s="47" t="str">
        <f>IFERROR(INDEX('G-8 Condition Look up'!$I$4:$I$130,MATCH(F124,'G-8 Condition Look up'!$A$4:$A$130,0)),"")</f>
        <v/>
      </c>
      <c r="C124" s="384" t="str">
        <f>IFERROR(INDEX('G-1 All Habitats'!$AG$3:$AG$15,MATCH(D124,'G-1 All Habitats'!$AF$3:$AF$15,0)),"")</f>
        <v/>
      </c>
      <c r="D124" s="146"/>
      <c r="E124" s="79"/>
      <c r="F124" s="246" t="str">
        <f>IFERROR(INDEX('G-1 All Habitats'!$B$3:$B$129,MATCH(E124,'G-1 All Habitats'!$A$3:$A$129,0)),"")</f>
        <v/>
      </c>
      <c r="G124" s="70"/>
      <c r="H124" s="498" t="str">
        <f>IF(F124="","",VLOOKUP(F124,'G-1 All Habitats'!$B$2:$M$129,10,FALSE))</f>
        <v/>
      </c>
      <c r="I124" s="499" t="str">
        <f>IFERROR(VLOOKUP(H124,'G-1 All Habitats'!$V$3:$W$7,2,FALSE),"")</f>
        <v/>
      </c>
      <c r="J124" s="71"/>
      <c r="K124" s="499" t="str">
        <f>IFERROR(INDEX('G-8 Condition Look up'!$A$3:$H$130,MATCH(F124,'G-8 Condition Look up'!$A$3:$A$130,0),MATCH(J124,'G-8 Condition Look up'!$A$3:$H$3,0)),"")</f>
        <v/>
      </c>
      <c r="L124" s="71"/>
      <c r="M124" s="507" t="str">
        <f>IF(L124="","",IF(VLOOKUP(L124,'G-3 Multipliers'!$L$3:$N$6,2,FALSE)=0,"Spatial Data Missing",VLOOKUP(L124,'G-3 Multipliers'!$L$3:$N$6,2,FALSE)))</f>
        <v/>
      </c>
      <c r="N124" s="505" t="str">
        <f>IF(L124="","",IF(VLOOKUP(L124,'G-3 Multipliers'!$L$3:$N$6,3,FALSE)=0,"Spatial Data Missing",VLOOKUP(L124,'G-3 Multipliers'!$L$3:$N$6,3,FALSE)))</f>
        <v/>
      </c>
      <c r="O124" s="498" t="str">
        <f t="shared" si="6"/>
        <v/>
      </c>
      <c r="P124" s="82"/>
      <c r="Q124" s="82"/>
      <c r="R124" s="507" t="str">
        <f t="shared" si="8"/>
        <v/>
      </c>
      <c r="S124" s="521" t="str">
        <f t="shared" si="9"/>
        <v/>
      </c>
      <c r="T124" s="522" t="str">
        <f>IFERROR(IF(S124="Check Data ⚠","Check Data ⚠",VLOOKUP(S124,'G-4 Temporal multipliers'!$A$4:$C$37,3,FALSE)),"")</f>
        <v/>
      </c>
      <c r="U124" s="523" t="str">
        <f>IF(F124="","",VLOOKUP(F124,'G-3 Multipliers'!$A$2:$E$129,2,FALSE))</f>
        <v/>
      </c>
      <c r="V124" s="520" t="str">
        <f t="shared" si="10"/>
        <v/>
      </c>
      <c r="W124" s="520" t="str">
        <f>IF(E124="","",IF(AND(V124="Standard difficulty applied",O124&gt;P124),U124,IF(AND(V124="Low Difficulty - only applicable if all habitat created before losses",P124&gt;=O124),"Low",VLOOKUP(F124,'G-3 Multipliers'!$A$2:$E$129,4,FALSE))))</f>
        <v/>
      </c>
      <c r="X124" s="524" t="str">
        <f>IFERROR(IF(E124="","",VLOOKUP(W124, 'G-3 Multipliers'!$P$2:$Q$6,2,FALSE)),"")</f>
        <v/>
      </c>
      <c r="Y124" s="529" t="str">
        <f t="shared" si="11"/>
        <v/>
      </c>
      <c r="Z124" s="239"/>
      <c r="AA124" s="240"/>
      <c r="AE124" s="54" t="str">
        <f t="shared" si="7"/>
        <v/>
      </c>
    </row>
    <row r="125" spans="1:31" x14ac:dyDescent="0.25">
      <c r="A125" s="47" t="str">
        <f>IFERROR(INDEX('G-8 Condition Look up'!$I$4:$I$130,MATCH(F125,'G-8 Condition Look up'!$A$4:$A$130,0)),"")</f>
        <v/>
      </c>
      <c r="C125" s="384" t="str">
        <f>IFERROR(INDEX('G-1 All Habitats'!$AG$3:$AG$15,MATCH(D125,'G-1 All Habitats'!$AF$3:$AF$15,0)),"")</f>
        <v/>
      </c>
      <c r="D125" s="146"/>
      <c r="E125" s="79"/>
      <c r="F125" s="246" t="str">
        <f>IFERROR(INDEX('G-1 All Habitats'!$B$3:$B$129,MATCH(E125,'G-1 All Habitats'!$A$3:$A$129,0)),"")</f>
        <v/>
      </c>
      <c r="G125" s="70"/>
      <c r="H125" s="498" t="str">
        <f>IF(F125="","",VLOOKUP(F125,'G-1 All Habitats'!$B$2:$M$129,10,FALSE))</f>
        <v/>
      </c>
      <c r="I125" s="499" t="str">
        <f>IFERROR(VLOOKUP(H125,'G-1 All Habitats'!$V$3:$W$7,2,FALSE),"")</f>
        <v/>
      </c>
      <c r="J125" s="71"/>
      <c r="K125" s="499" t="str">
        <f>IFERROR(INDEX('G-8 Condition Look up'!$A$3:$H$130,MATCH(F125,'G-8 Condition Look up'!$A$3:$A$130,0),MATCH(J125,'G-8 Condition Look up'!$A$3:$H$3,0)),"")</f>
        <v/>
      </c>
      <c r="L125" s="71"/>
      <c r="M125" s="507" t="str">
        <f>IF(L125="","",IF(VLOOKUP(L125,'G-3 Multipliers'!$L$3:$N$6,2,FALSE)=0,"Spatial Data Missing",VLOOKUP(L125,'G-3 Multipliers'!$L$3:$N$6,2,FALSE)))</f>
        <v/>
      </c>
      <c r="N125" s="505" t="str">
        <f>IF(L125="","",IF(VLOOKUP(L125,'G-3 Multipliers'!$L$3:$N$6,3,FALSE)=0,"Spatial Data Missing",VLOOKUP(L125,'G-3 Multipliers'!$L$3:$N$6,3,FALSE)))</f>
        <v/>
      </c>
      <c r="O125" s="498" t="str">
        <f t="shared" si="6"/>
        <v/>
      </c>
      <c r="P125" s="82"/>
      <c r="Q125" s="82"/>
      <c r="R125" s="507" t="str">
        <f t="shared" si="8"/>
        <v/>
      </c>
      <c r="S125" s="521" t="str">
        <f t="shared" si="9"/>
        <v/>
      </c>
      <c r="T125" s="522" t="str">
        <f>IFERROR(IF(S125="Check Data ⚠","Check Data ⚠",VLOOKUP(S125,'G-4 Temporal multipliers'!$A$4:$C$37,3,FALSE)),"")</f>
        <v/>
      </c>
      <c r="U125" s="523" t="str">
        <f>IF(F125="","",VLOOKUP(F125,'G-3 Multipliers'!$A$2:$E$129,2,FALSE))</f>
        <v/>
      </c>
      <c r="V125" s="520" t="str">
        <f t="shared" si="10"/>
        <v/>
      </c>
      <c r="W125" s="520" t="str">
        <f>IF(E125="","",IF(AND(V125="Standard difficulty applied",O125&gt;P125),U125,IF(AND(V125="Low Difficulty - only applicable if all habitat created before losses",P125&gt;=O125),"Low",VLOOKUP(F125,'G-3 Multipliers'!$A$2:$E$129,4,FALSE))))</f>
        <v/>
      </c>
      <c r="X125" s="524" t="str">
        <f>IFERROR(IF(E125="","",VLOOKUP(W125, 'G-3 Multipliers'!$P$2:$Q$6,2,FALSE)),"")</f>
        <v/>
      </c>
      <c r="Y125" s="529" t="str">
        <f t="shared" si="11"/>
        <v/>
      </c>
      <c r="Z125" s="239"/>
      <c r="AA125" s="240"/>
      <c r="AE125" s="54" t="str">
        <f t="shared" si="7"/>
        <v/>
      </c>
    </row>
    <row r="126" spans="1:31" x14ac:dyDescent="0.25">
      <c r="A126" s="47" t="str">
        <f>IFERROR(INDEX('G-8 Condition Look up'!$I$4:$I$130,MATCH(F126,'G-8 Condition Look up'!$A$4:$A$130,0)),"")</f>
        <v/>
      </c>
      <c r="C126" s="384" t="str">
        <f>IFERROR(INDEX('G-1 All Habitats'!$AG$3:$AG$15,MATCH(D126,'G-1 All Habitats'!$AF$3:$AF$15,0)),"")</f>
        <v/>
      </c>
      <c r="D126" s="146"/>
      <c r="E126" s="79"/>
      <c r="F126" s="246" t="str">
        <f>IFERROR(INDEX('G-1 All Habitats'!$B$3:$B$129,MATCH(E126,'G-1 All Habitats'!$A$3:$A$129,0)),"")</f>
        <v/>
      </c>
      <c r="G126" s="70"/>
      <c r="H126" s="498" t="str">
        <f>IF(F126="","",VLOOKUP(F126,'G-1 All Habitats'!$B$2:$M$129,10,FALSE))</f>
        <v/>
      </c>
      <c r="I126" s="499" t="str">
        <f>IFERROR(VLOOKUP(H126,'G-1 All Habitats'!$V$3:$W$7,2,FALSE),"")</f>
        <v/>
      </c>
      <c r="J126" s="71"/>
      <c r="K126" s="499" t="str">
        <f>IFERROR(INDEX('G-8 Condition Look up'!$A$3:$H$130,MATCH(F126,'G-8 Condition Look up'!$A$3:$A$130,0),MATCH(J126,'G-8 Condition Look up'!$A$3:$H$3,0)),"")</f>
        <v/>
      </c>
      <c r="L126" s="71"/>
      <c r="M126" s="507" t="str">
        <f>IF(L126="","",IF(VLOOKUP(L126,'G-3 Multipliers'!$L$3:$N$6,2,FALSE)=0,"Spatial Data Missing",VLOOKUP(L126,'G-3 Multipliers'!$L$3:$N$6,2,FALSE)))</f>
        <v/>
      </c>
      <c r="N126" s="505" t="str">
        <f>IF(L126="","",IF(VLOOKUP(L126,'G-3 Multipliers'!$L$3:$N$6,3,FALSE)=0,"Spatial Data Missing",VLOOKUP(L126,'G-3 Multipliers'!$L$3:$N$6,3,FALSE)))</f>
        <v/>
      </c>
      <c r="O126" s="498" t="str">
        <f t="shared" si="6"/>
        <v/>
      </c>
      <c r="P126" s="82"/>
      <c r="Q126" s="82"/>
      <c r="R126" s="507" t="str">
        <f t="shared" si="8"/>
        <v/>
      </c>
      <c r="S126" s="521" t="str">
        <f t="shared" si="9"/>
        <v/>
      </c>
      <c r="T126" s="522" t="str">
        <f>IFERROR(IF(S126="Check Data ⚠","Check Data ⚠",VLOOKUP(S126,'G-4 Temporal multipliers'!$A$4:$C$37,3,FALSE)),"")</f>
        <v/>
      </c>
      <c r="U126" s="523" t="str">
        <f>IF(F126="","",VLOOKUP(F126,'G-3 Multipliers'!$A$2:$E$129,2,FALSE))</f>
        <v/>
      </c>
      <c r="V126" s="520" t="str">
        <f t="shared" si="10"/>
        <v/>
      </c>
      <c r="W126" s="520" t="str">
        <f>IF(E126="","",IF(AND(V126="Standard difficulty applied",O126&gt;P126),U126,IF(AND(V126="Low Difficulty - only applicable if all habitat created before losses",P126&gt;=O126),"Low",VLOOKUP(F126,'G-3 Multipliers'!$A$2:$E$129,4,FALSE))))</f>
        <v/>
      </c>
      <c r="X126" s="524" t="str">
        <f>IFERROR(IF(E126="","",VLOOKUP(W126, 'G-3 Multipliers'!$P$2:$Q$6,2,FALSE)),"")</f>
        <v/>
      </c>
      <c r="Y126" s="529" t="str">
        <f t="shared" si="11"/>
        <v/>
      </c>
      <c r="Z126" s="239"/>
      <c r="AA126" s="240"/>
      <c r="AE126" s="54" t="str">
        <f t="shared" si="7"/>
        <v/>
      </c>
    </row>
    <row r="127" spans="1:31" x14ac:dyDescent="0.25">
      <c r="A127" s="47" t="str">
        <f>IFERROR(INDEX('G-8 Condition Look up'!$I$4:$I$130,MATCH(F127,'G-8 Condition Look up'!$A$4:$A$130,0)),"")</f>
        <v/>
      </c>
      <c r="C127" s="384" t="str">
        <f>IFERROR(INDEX('G-1 All Habitats'!$AG$3:$AG$15,MATCH(D127,'G-1 All Habitats'!$AF$3:$AF$15,0)),"")</f>
        <v/>
      </c>
      <c r="D127" s="146"/>
      <c r="E127" s="79"/>
      <c r="F127" s="246" t="str">
        <f>IFERROR(INDEX('G-1 All Habitats'!$B$3:$B$129,MATCH(E127,'G-1 All Habitats'!$A$3:$A$129,0)),"")</f>
        <v/>
      </c>
      <c r="G127" s="70"/>
      <c r="H127" s="498" t="str">
        <f>IF(F127="","",VLOOKUP(F127,'G-1 All Habitats'!$B$2:$M$129,10,FALSE))</f>
        <v/>
      </c>
      <c r="I127" s="499" t="str">
        <f>IFERROR(VLOOKUP(H127,'G-1 All Habitats'!$V$3:$W$7,2,FALSE),"")</f>
        <v/>
      </c>
      <c r="J127" s="71"/>
      <c r="K127" s="499" t="str">
        <f>IFERROR(INDEX('G-8 Condition Look up'!$A$3:$H$130,MATCH(F127,'G-8 Condition Look up'!$A$3:$A$130,0),MATCH(J127,'G-8 Condition Look up'!$A$3:$H$3,0)),"")</f>
        <v/>
      </c>
      <c r="L127" s="71"/>
      <c r="M127" s="507" t="str">
        <f>IF(L127="","",IF(VLOOKUP(L127,'G-3 Multipliers'!$L$3:$N$6,2,FALSE)=0,"Spatial Data Missing",VLOOKUP(L127,'G-3 Multipliers'!$L$3:$N$6,2,FALSE)))</f>
        <v/>
      </c>
      <c r="N127" s="505" t="str">
        <f>IF(L127="","",IF(VLOOKUP(L127,'G-3 Multipliers'!$L$3:$N$6,3,FALSE)=0,"Spatial Data Missing",VLOOKUP(L127,'G-3 Multipliers'!$L$3:$N$6,3,FALSE)))</f>
        <v/>
      </c>
      <c r="O127" s="498" t="str">
        <f t="shared" si="6"/>
        <v/>
      </c>
      <c r="P127" s="82"/>
      <c r="Q127" s="82"/>
      <c r="R127" s="507" t="str">
        <f t="shared" si="8"/>
        <v/>
      </c>
      <c r="S127" s="521" t="str">
        <f t="shared" si="9"/>
        <v/>
      </c>
      <c r="T127" s="522" t="str">
        <f>IFERROR(IF(S127="Check Data ⚠","Check Data ⚠",VLOOKUP(S127,'G-4 Temporal multipliers'!$A$4:$C$37,3,FALSE)),"")</f>
        <v/>
      </c>
      <c r="U127" s="523" t="str">
        <f>IF(F127="","",VLOOKUP(F127,'G-3 Multipliers'!$A$2:$E$129,2,FALSE))</f>
        <v/>
      </c>
      <c r="V127" s="520" t="str">
        <f t="shared" si="10"/>
        <v/>
      </c>
      <c r="W127" s="520" t="str">
        <f>IF(E127="","",IF(AND(V127="Standard difficulty applied",O127&gt;P127),U127,IF(AND(V127="Low Difficulty - only applicable if all habitat created before losses",P127&gt;=O127),"Low",VLOOKUP(F127,'G-3 Multipliers'!$A$2:$E$129,4,FALSE))))</f>
        <v/>
      </c>
      <c r="X127" s="524" t="str">
        <f>IFERROR(IF(E127="","",VLOOKUP(W127, 'G-3 Multipliers'!$P$2:$Q$6,2,FALSE)),"")</f>
        <v/>
      </c>
      <c r="Y127" s="529" t="str">
        <f t="shared" si="11"/>
        <v/>
      </c>
      <c r="Z127" s="239"/>
      <c r="AA127" s="240"/>
      <c r="AE127" s="54" t="str">
        <f t="shared" si="7"/>
        <v/>
      </c>
    </row>
    <row r="128" spans="1:31" x14ac:dyDescent="0.25">
      <c r="A128" s="47" t="str">
        <f>IFERROR(INDEX('G-8 Condition Look up'!$I$4:$I$130,MATCH(F128,'G-8 Condition Look up'!$A$4:$A$130,0)),"")</f>
        <v/>
      </c>
      <c r="C128" s="384" t="str">
        <f>IFERROR(INDEX('G-1 All Habitats'!$AG$3:$AG$15,MATCH(D128,'G-1 All Habitats'!$AF$3:$AF$15,0)),"")</f>
        <v/>
      </c>
      <c r="D128" s="146"/>
      <c r="E128" s="79"/>
      <c r="F128" s="246" t="str">
        <f>IFERROR(INDEX('G-1 All Habitats'!$B$3:$B$129,MATCH(E128,'G-1 All Habitats'!$A$3:$A$129,0)),"")</f>
        <v/>
      </c>
      <c r="G128" s="70"/>
      <c r="H128" s="498" t="str">
        <f>IF(F128="","",VLOOKUP(F128,'G-1 All Habitats'!$B$2:$M$129,10,FALSE))</f>
        <v/>
      </c>
      <c r="I128" s="499" t="str">
        <f>IFERROR(VLOOKUP(H128,'G-1 All Habitats'!$V$3:$W$7,2,FALSE),"")</f>
        <v/>
      </c>
      <c r="J128" s="71"/>
      <c r="K128" s="499" t="str">
        <f>IFERROR(INDEX('G-8 Condition Look up'!$A$3:$H$130,MATCH(F128,'G-8 Condition Look up'!$A$3:$A$130,0),MATCH(J128,'G-8 Condition Look up'!$A$3:$H$3,0)),"")</f>
        <v/>
      </c>
      <c r="L128" s="71"/>
      <c r="M128" s="507" t="str">
        <f>IF(L128="","",IF(VLOOKUP(L128,'G-3 Multipliers'!$L$3:$N$6,2,FALSE)=0,"Spatial Data Missing",VLOOKUP(L128,'G-3 Multipliers'!$L$3:$N$6,2,FALSE)))</f>
        <v/>
      </c>
      <c r="N128" s="505" t="str">
        <f>IF(L128="","",IF(VLOOKUP(L128,'G-3 Multipliers'!$L$3:$N$6,3,FALSE)=0,"Spatial Data Missing",VLOOKUP(L128,'G-3 Multipliers'!$L$3:$N$6,3,FALSE)))</f>
        <v/>
      </c>
      <c r="O128" s="498" t="str">
        <f t="shared" si="6"/>
        <v/>
      </c>
      <c r="P128" s="82"/>
      <c r="Q128" s="82"/>
      <c r="R128" s="507" t="str">
        <f t="shared" si="8"/>
        <v/>
      </c>
      <c r="S128" s="521" t="str">
        <f t="shared" si="9"/>
        <v/>
      </c>
      <c r="T128" s="522" t="str">
        <f>IFERROR(IF(S128="Check Data ⚠","Check Data ⚠",VLOOKUP(S128,'G-4 Temporal multipliers'!$A$4:$C$37,3,FALSE)),"")</f>
        <v/>
      </c>
      <c r="U128" s="523" t="str">
        <f>IF(F128="","",VLOOKUP(F128,'G-3 Multipliers'!$A$2:$E$129,2,FALSE))</f>
        <v/>
      </c>
      <c r="V128" s="520" t="str">
        <f t="shared" si="10"/>
        <v/>
      </c>
      <c r="W128" s="520" t="str">
        <f>IF(E128="","",IF(AND(V128="Standard difficulty applied",O128&gt;P128),U128,IF(AND(V128="Low Difficulty - only applicable if all habitat created before losses",P128&gt;=O128),"Low",VLOOKUP(F128,'G-3 Multipliers'!$A$2:$E$129,4,FALSE))))</f>
        <v/>
      </c>
      <c r="X128" s="524" t="str">
        <f>IFERROR(IF(E128="","",VLOOKUP(W128, 'G-3 Multipliers'!$P$2:$Q$6,2,FALSE)),"")</f>
        <v/>
      </c>
      <c r="Y128" s="529" t="str">
        <f t="shared" si="11"/>
        <v/>
      </c>
      <c r="Z128" s="239"/>
      <c r="AA128" s="240"/>
      <c r="AE128" s="54" t="str">
        <f t="shared" si="7"/>
        <v/>
      </c>
    </row>
    <row r="129" spans="1:31" x14ac:dyDescent="0.25">
      <c r="A129" s="47" t="str">
        <f>IFERROR(INDEX('G-8 Condition Look up'!$I$4:$I$130,MATCH(F129,'G-8 Condition Look up'!$A$4:$A$130,0)),"")</f>
        <v/>
      </c>
      <c r="C129" s="384" t="str">
        <f>IFERROR(INDEX('G-1 All Habitats'!$AG$3:$AG$15,MATCH(D129,'G-1 All Habitats'!$AF$3:$AF$15,0)),"")</f>
        <v/>
      </c>
      <c r="D129" s="146"/>
      <c r="E129" s="79"/>
      <c r="F129" s="246" t="str">
        <f>IFERROR(INDEX('G-1 All Habitats'!$B$3:$B$129,MATCH(E129,'G-1 All Habitats'!$A$3:$A$129,0)),"")</f>
        <v/>
      </c>
      <c r="G129" s="70"/>
      <c r="H129" s="498" t="str">
        <f>IF(F129="","",VLOOKUP(F129,'G-1 All Habitats'!$B$2:$M$129,10,FALSE))</f>
        <v/>
      </c>
      <c r="I129" s="499" t="str">
        <f>IFERROR(VLOOKUP(H129,'G-1 All Habitats'!$V$3:$W$7,2,FALSE),"")</f>
        <v/>
      </c>
      <c r="J129" s="71"/>
      <c r="K129" s="499" t="str">
        <f>IFERROR(INDEX('G-8 Condition Look up'!$A$3:$H$130,MATCH(F129,'G-8 Condition Look up'!$A$3:$A$130,0),MATCH(J129,'G-8 Condition Look up'!$A$3:$H$3,0)),"")</f>
        <v/>
      </c>
      <c r="L129" s="71"/>
      <c r="M129" s="507" t="str">
        <f>IF(L129="","",IF(VLOOKUP(L129,'G-3 Multipliers'!$L$3:$N$6,2,FALSE)=0,"Spatial Data Missing",VLOOKUP(L129,'G-3 Multipliers'!$L$3:$N$6,2,FALSE)))</f>
        <v/>
      </c>
      <c r="N129" s="505" t="str">
        <f>IF(L129="","",IF(VLOOKUP(L129,'G-3 Multipliers'!$L$3:$N$6,3,FALSE)=0,"Spatial Data Missing",VLOOKUP(L129,'G-3 Multipliers'!$L$3:$N$6,3,FALSE)))</f>
        <v/>
      </c>
      <c r="O129" s="498" t="str">
        <f t="shared" si="6"/>
        <v/>
      </c>
      <c r="P129" s="82"/>
      <c r="Q129" s="82"/>
      <c r="R129" s="507" t="str">
        <f t="shared" si="8"/>
        <v/>
      </c>
      <c r="S129" s="521" t="str">
        <f t="shared" si="9"/>
        <v/>
      </c>
      <c r="T129" s="522" t="str">
        <f>IFERROR(IF(S129="Check Data ⚠","Check Data ⚠",VLOOKUP(S129,'G-4 Temporal multipliers'!$A$4:$C$37,3,FALSE)),"")</f>
        <v/>
      </c>
      <c r="U129" s="523" t="str">
        <f>IF(F129="","",VLOOKUP(F129,'G-3 Multipliers'!$A$2:$E$129,2,FALSE))</f>
        <v/>
      </c>
      <c r="V129" s="520" t="str">
        <f t="shared" si="10"/>
        <v/>
      </c>
      <c r="W129" s="520" t="str">
        <f>IF(E129="","",IF(AND(V129="Standard difficulty applied",O129&gt;P129),U129,IF(AND(V129="Low Difficulty - only applicable if all habitat created before losses",P129&gt;=O129),"Low",VLOOKUP(F129,'G-3 Multipliers'!$A$2:$E$129,4,FALSE))))</f>
        <v/>
      </c>
      <c r="X129" s="524" t="str">
        <f>IFERROR(IF(E129="","",VLOOKUP(W129, 'G-3 Multipliers'!$P$2:$Q$6,2,FALSE)),"")</f>
        <v/>
      </c>
      <c r="Y129" s="529" t="str">
        <f t="shared" si="11"/>
        <v/>
      </c>
      <c r="Z129" s="239"/>
      <c r="AA129" s="240"/>
      <c r="AE129" s="54" t="str">
        <f t="shared" si="7"/>
        <v/>
      </c>
    </row>
    <row r="130" spans="1:31" x14ac:dyDescent="0.25">
      <c r="A130" s="47" t="str">
        <f>IFERROR(INDEX('G-8 Condition Look up'!$I$4:$I$130,MATCH(F130,'G-8 Condition Look up'!$A$4:$A$130,0)),"")</f>
        <v/>
      </c>
      <c r="C130" s="384" t="str">
        <f>IFERROR(INDEX('G-1 All Habitats'!$AG$3:$AG$15,MATCH(D130,'G-1 All Habitats'!$AF$3:$AF$15,0)),"")</f>
        <v/>
      </c>
      <c r="D130" s="146"/>
      <c r="E130" s="79"/>
      <c r="F130" s="246" t="str">
        <f>IFERROR(INDEX('G-1 All Habitats'!$B$3:$B$129,MATCH(E130,'G-1 All Habitats'!$A$3:$A$129,0)),"")</f>
        <v/>
      </c>
      <c r="G130" s="70"/>
      <c r="H130" s="498" t="str">
        <f>IF(F130="","",VLOOKUP(F130,'G-1 All Habitats'!$B$2:$M$129,10,FALSE))</f>
        <v/>
      </c>
      <c r="I130" s="499" t="str">
        <f>IFERROR(VLOOKUP(H130,'G-1 All Habitats'!$V$3:$W$7,2,FALSE),"")</f>
        <v/>
      </c>
      <c r="J130" s="71"/>
      <c r="K130" s="499" t="str">
        <f>IFERROR(INDEX('G-8 Condition Look up'!$A$3:$H$130,MATCH(F130,'G-8 Condition Look up'!$A$3:$A$130,0),MATCH(J130,'G-8 Condition Look up'!$A$3:$H$3,0)),"")</f>
        <v/>
      </c>
      <c r="L130" s="71"/>
      <c r="M130" s="507" t="str">
        <f>IF(L130="","",IF(VLOOKUP(L130,'G-3 Multipliers'!$L$3:$N$6,2,FALSE)=0,"Spatial Data Missing",VLOOKUP(L130,'G-3 Multipliers'!$L$3:$N$6,2,FALSE)))</f>
        <v/>
      </c>
      <c r="N130" s="505" t="str">
        <f>IF(L130="","",IF(VLOOKUP(L130,'G-3 Multipliers'!$L$3:$N$6,3,FALSE)=0,"Spatial Data Missing",VLOOKUP(L130,'G-3 Multipliers'!$L$3:$N$6,3,FALSE)))</f>
        <v/>
      </c>
      <c r="O130" s="498" t="str">
        <f t="shared" si="6"/>
        <v/>
      </c>
      <c r="P130" s="82"/>
      <c r="Q130" s="82"/>
      <c r="R130" s="507" t="str">
        <f t="shared" si="8"/>
        <v/>
      </c>
      <c r="S130" s="521" t="str">
        <f t="shared" si="9"/>
        <v/>
      </c>
      <c r="T130" s="522" t="str">
        <f>IFERROR(IF(S130="Check Data ⚠","Check Data ⚠",VLOOKUP(S130,'G-4 Temporal multipliers'!$A$4:$C$37,3,FALSE)),"")</f>
        <v/>
      </c>
      <c r="U130" s="523" t="str">
        <f>IF(F130="","",VLOOKUP(F130,'G-3 Multipliers'!$A$2:$E$129,2,FALSE))</f>
        <v/>
      </c>
      <c r="V130" s="520" t="str">
        <f t="shared" si="10"/>
        <v/>
      </c>
      <c r="W130" s="520" t="str">
        <f>IF(E130="","",IF(AND(V130="Standard difficulty applied",O130&gt;P130),U130,IF(AND(V130="Low Difficulty - only applicable if all habitat created before losses",P130&gt;=O130),"Low",VLOOKUP(F130,'G-3 Multipliers'!$A$2:$E$129,4,FALSE))))</f>
        <v/>
      </c>
      <c r="X130" s="524" t="str">
        <f>IFERROR(IF(E130="","",VLOOKUP(W130, 'G-3 Multipliers'!$P$2:$Q$6,2,FALSE)),"")</f>
        <v/>
      </c>
      <c r="Y130" s="529" t="str">
        <f t="shared" si="11"/>
        <v/>
      </c>
      <c r="Z130" s="239"/>
      <c r="AA130" s="240"/>
      <c r="AE130" s="54" t="str">
        <f t="shared" si="7"/>
        <v/>
      </c>
    </row>
    <row r="131" spans="1:31" x14ac:dyDescent="0.25">
      <c r="A131" s="47" t="str">
        <f>IFERROR(INDEX('G-8 Condition Look up'!$I$4:$I$130,MATCH(F131,'G-8 Condition Look up'!$A$4:$A$130,0)),"")</f>
        <v/>
      </c>
      <c r="C131" s="384" t="str">
        <f>IFERROR(INDEX('G-1 All Habitats'!$AG$3:$AG$15,MATCH(D131,'G-1 All Habitats'!$AF$3:$AF$15,0)),"")</f>
        <v/>
      </c>
      <c r="D131" s="146"/>
      <c r="E131" s="79"/>
      <c r="F131" s="246" t="str">
        <f>IFERROR(INDEX('G-1 All Habitats'!$B$3:$B$129,MATCH(E131,'G-1 All Habitats'!$A$3:$A$129,0)),"")</f>
        <v/>
      </c>
      <c r="G131" s="70"/>
      <c r="H131" s="498" t="str">
        <f>IF(F131="","",VLOOKUP(F131,'G-1 All Habitats'!$B$2:$M$129,10,FALSE))</f>
        <v/>
      </c>
      <c r="I131" s="499" t="str">
        <f>IFERROR(VLOOKUP(H131,'G-1 All Habitats'!$V$3:$W$7,2,FALSE),"")</f>
        <v/>
      </c>
      <c r="J131" s="71"/>
      <c r="K131" s="499" t="str">
        <f>IFERROR(INDEX('G-8 Condition Look up'!$A$3:$H$130,MATCH(F131,'G-8 Condition Look up'!$A$3:$A$130,0),MATCH(J131,'G-8 Condition Look up'!$A$3:$H$3,0)),"")</f>
        <v/>
      </c>
      <c r="L131" s="71"/>
      <c r="M131" s="507" t="str">
        <f>IF(L131="","",IF(VLOOKUP(L131,'G-3 Multipliers'!$L$3:$N$6,2,FALSE)=0,"Spatial Data Missing",VLOOKUP(L131,'G-3 Multipliers'!$L$3:$N$6,2,FALSE)))</f>
        <v/>
      </c>
      <c r="N131" s="505" t="str">
        <f>IF(L131="","",IF(VLOOKUP(L131,'G-3 Multipliers'!$L$3:$N$6,3,FALSE)=0,"Spatial Data Missing",VLOOKUP(L131,'G-3 Multipliers'!$L$3:$N$6,3,FALSE)))</f>
        <v/>
      </c>
      <c r="O131" s="498" t="str">
        <f t="shared" si="6"/>
        <v/>
      </c>
      <c r="P131" s="82"/>
      <c r="Q131" s="82"/>
      <c r="R131" s="507" t="str">
        <f t="shared" si="8"/>
        <v/>
      </c>
      <c r="S131" s="521" t="str">
        <f t="shared" si="9"/>
        <v/>
      </c>
      <c r="T131" s="522" t="str">
        <f>IFERROR(IF(S131="Check Data ⚠","Check Data ⚠",VLOOKUP(S131,'G-4 Temporal multipliers'!$A$4:$C$37,3,FALSE)),"")</f>
        <v/>
      </c>
      <c r="U131" s="523" t="str">
        <f>IF(F131="","",VLOOKUP(F131,'G-3 Multipliers'!$A$2:$E$129,2,FALSE))</f>
        <v/>
      </c>
      <c r="V131" s="520" t="str">
        <f t="shared" si="10"/>
        <v/>
      </c>
      <c r="W131" s="520" t="str">
        <f>IF(E131="","",IF(AND(V131="Standard difficulty applied",O131&gt;P131),U131,IF(AND(V131="Low Difficulty - only applicable if all habitat created before losses",P131&gt;=O131),"Low",VLOOKUP(F131,'G-3 Multipliers'!$A$2:$E$129,4,FALSE))))</f>
        <v/>
      </c>
      <c r="X131" s="524" t="str">
        <f>IFERROR(IF(E131="","",VLOOKUP(W131, 'G-3 Multipliers'!$P$2:$Q$6,2,FALSE)),"")</f>
        <v/>
      </c>
      <c r="Y131" s="529" t="str">
        <f t="shared" si="11"/>
        <v/>
      </c>
      <c r="Z131" s="239"/>
      <c r="AA131" s="240"/>
      <c r="AE131" s="54" t="str">
        <f t="shared" si="7"/>
        <v/>
      </c>
    </row>
    <row r="132" spans="1:31" x14ac:dyDescent="0.25">
      <c r="A132" s="47" t="str">
        <f>IFERROR(INDEX('G-8 Condition Look up'!$I$4:$I$130,MATCH(F132,'G-8 Condition Look up'!$A$4:$A$130,0)),"")</f>
        <v/>
      </c>
      <c r="C132" s="384" t="str">
        <f>IFERROR(INDEX('G-1 All Habitats'!$AG$3:$AG$15,MATCH(D132,'G-1 All Habitats'!$AF$3:$AF$15,0)),"")</f>
        <v/>
      </c>
      <c r="D132" s="146"/>
      <c r="E132" s="79"/>
      <c r="F132" s="246" t="str">
        <f>IFERROR(INDEX('G-1 All Habitats'!$B$3:$B$129,MATCH(E132,'G-1 All Habitats'!$A$3:$A$129,0)),"")</f>
        <v/>
      </c>
      <c r="G132" s="70"/>
      <c r="H132" s="498" t="str">
        <f>IF(F132="","",VLOOKUP(F132,'G-1 All Habitats'!$B$2:$M$129,10,FALSE))</f>
        <v/>
      </c>
      <c r="I132" s="499" t="str">
        <f>IFERROR(VLOOKUP(H132,'G-1 All Habitats'!$V$3:$W$7,2,FALSE),"")</f>
        <v/>
      </c>
      <c r="J132" s="71"/>
      <c r="K132" s="499" t="str">
        <f>IFERROR(INDEX('G-8 Condition Look up'!$A$3:$H$130,MATCH(F132,'G-8 Condition Look up'!$A$3:$A$130,0),MATCH(J132,'G-8 Condition Look up'!$A$3:$H$3,0)),"")</f>
        <v/>
      </c>
      <c r="L132" s="71"/>
      <c r="M132" s="507" t="str">
        <f>IF(L132="","",IF(VLOOKUP(L132,'G-3 Multipliers'!$L$3:$N$6,2,FALSE)=0,"Spatial Data Missing",VLOOKUP(L132,'G-3 Multipliers'!$L$3:$N$6,2,FALSE)))</f>
        <v/>
      </c>
      <c r="N132" s="505" t="str">
        <f>IF(L132="","",IF(VLOOKUP(L132,'G-3 Multipliers'!$L$3:$N$6,3,FALSE)=0,"Spatial Data Missing",VLOOKUP(L132,'G-3 Multipliers'!$L$3:$N$6,3,FALSE)))</f>
        <v/>
      </c>
      <c r="O132" s="498" t="str">
        <f t="shared" si="6"/>
        <v/>
      </c>
      <c r="P132" s="82"/>
      <c r="Q132" s="82"/>
      <c r="R132" s="507" t="str">
        <f t="shared" si="8"/>
        <v/>
      </c>
      <c r="S132" s="521" t="str">
        <f t="shared" si="9"/>
        <v/>
      </c>
      <c r="T132" s="522" t="str">
        <f>IFERROR(IF(S132="Check Data ⚠","Check Data ⚠",VLOOKUP(S132,'G-4 Temporal multipliers'!$A$4:$C$37,3,FALSE)),"")</f>
        <v/>
      </c>
      <c r="U132" s="523" t="str">
        <f>IF(F132="","",VLOOKUP(F132,'G-3 Multipliers'!$A$2:$E$129,2,FALSE))</f>
        <v/>
      </c>
      <c r="V132" s="520" t="str">
        <f t="shared" si="10"/>
        <v/>
      </c>
      <c r="W132" s="520" t="str">
        <f>IF(E132="","",IF(AND(V132="Standard difficulty applied",O132&gt;P132),U132,IF(AND(V132="Low Difficulty - only applicable if all habitat created before losses",P132&gt;=O132),"Low",VLOOKUP(F132,'G-3 Multipliers'!$A$2:$E$129,4,FALSE))))</f>
        <v/>
      </c>
      <c r="X132" s="524" t="str">
        <f>IFERROR(IF(E132="","",VLOOKUP(W132, 'G-3 Multipliers'!$P$2:$Q$6,2,FALSE)),"")</f>
        <v/>
      </c>
      <c r="Y132" s="529" t="str">
        <f t="shared" si="11"/>
        <v/>
      </c>
      <c r="Z132" s="239"/>
      <c r="AA132" s="240"/>
      <c r="AE132" s="54" t="str">
        <f t="shared" si="7"/>
        <v/>
      </c>
    </row>
    <row r="133" spans="1:31" x14ac:dyDescent="0.25">
      <c r="A133" s="47" t="str">
        <f>IFERROR(INDEX('G-8 Condition Look up'!$I$4:$I$130,MATCH(F133,'G-8 Condition Look up'!$A$4:$A$130,0)),"")</f>
        <v/>
      </c>
      <c r="C133" s="384" t="str">
        <f>IFERROR(INDEX('G-1 All Habitats'!$AG$3:$AG$15,MATCH(D133,'G-1 All Habitats'!$AF$3:$AF$15,0)),"")</f>
        <v/>
      </c>
      <c r="D133" s="146"/>
      <c r="E133" s="79"/>
      <c r="F133" s="246" t="str">
        <f>IFERROR(INDEX('G-1 All Habitats'!$B$3:$B$129,MATCH(E133,'G-1 All Habitats'!$A$3:$A$129,0)),"")</f>
        <v/>
      </c>
      <c r="G133" s="70"/>
      <c r="H133" s="498" t="str">
        <f>IF(F133="","",VLOOKUP(F133,'G-1 All Habitats'!$B$2:$M$129,10,FALSE))</f>
        <v/>
      </c>
      <c r="I133" s="499" t="str">
        <f>IFERROR(VLOOKUP(H133,'G-1 All Habitats'!$V$3:$W$7,2,FALSE),"")</f>
        <v/>
      </c>
      <c r="J133" s="71"/>
      <c r="K133" s="499" t="str">
        <f>IFERROR(INDEX('G-8 Condition Look up'!$A$3:$H$130,MATCH(F133,'G-8 Condition Look up'!$A$3:$A$130,0),MATCH(J133,'G-8 Condition Look up'!$A$3:$H$3,0)),"")</f>
        <v/>
      </c>
      <c r="L133" s="71"/>
      <c r="M133" s="507" t="str">
        <f>IF(L133="","",IF(VLOOKUP(L133,'G-3 Multipliers'!$L$3:$N$6,2,FALSE)=0,"Spatial Data Missing",VLOOKUP(L133,'G-3 Multipliers'!$L$3:$N$6,2,FALSE)))</f>
        <v/>
      </c>
      <c r="N133" s="505" t="str">
        <f>IF(L133="","",IF(VLOOKUP(L133,'G-3 Multipliers'!$L$3:$N$6,3,FALSE)=0,"Spatial Data Missing",VLOOKUP(L133,'G-3 Multipliers'!$L$3:$N$6,3,FALSE)))</f>
        <v/>
      </c>
      <c r="O133" s="498" t="str">
        <f t="shared" si="6"/>
        <v/>
      </c>
      <c r="P133" s="82"/>
      <c r="Q133" s="82"/>
      <c r="R133" s="507" t="str">
        <f t="shared" si="8"/>
        <v/>
      </c>
      <c r="S133" s="521" t="str">
        <f t="shared" si="9"/>
        <v/>
      </c>
      <c r="T133" s="522" t="str">
        <f>IFERROR(IF(S133="Check Data ⚠","Check Data ⚠",VLOOKUP(S133,'G-4 Temporal multipliers'!$A$4:$C$37,3,FALSE)),"")</f>
        <v/>
      </c>
      <c r="U133" s="523" t="str">
        <f>IF(F133="","",VLOOKUP(F133,'G-3 Multipliers'!$A$2:$E$129,2,FALSE))</f>
        <v/>
      </c>
      <c r="V133" s="520" t="str">
        <f t="shared" si="10"/>
        <v/>
      </c>
      <c r="W133" s="520" t="str">
        <f>IF(E133="","",IF(AND(V133="Standard difficulty applied",O133&gt;P133),U133,IF(AND(V133="Low Difficulty - only applicable if all habitat created before losses",P133&gt;=O133),"Low",VLOOKUP(F133,'G-3 Multipliers'!$A$2:$E$129,4,FALSE))))</f>
        <v/>
      </c>
      <c r="X133" s="524" t="str">
        <f>IFERROR(IF(E133="","",VLOOKUP(W133, 'G-3 Multipliers'!$P$2:$Q$6,2,FALSE)),"")</f>
        <v/>
      </c>
      <c r="Y133" s="529" t="str">
        <f t="shared" si="11"/>
        <v/>
      </c>
      <c r="Z133" s="239"/>
      <c r="AA133" s="240"/>
      <c r="AE133" s="54" t="str">
        <f t="shared" si="7"/>
        <v/>
      </c>
    </row>
    <row r="134" spans="1:31" x14ac:dyDescent="0.25">
      <c r="A134" s="47" t="str">
        <f>IFERROR(INDEX('G-8 Condition Look up'!$I$4:$I$130,MATCH(F134,'G-8 Condition Look up'!$A$4:$A$130,0)),"")</f>
        <v/>
      </c>
      <c r="C134" s="384" t="str">
        <f>IFERROR(INDEX('G-1 All Habitats'!$AG$3:$AG$15,MATCH(D134,'G-1 All Habitats'!$AF$3:$AF$15,0)),"")</f>
        <v/>
      </c>
      <c r="D134" s="146"/>
      <c r="E134" s="79"/>
      <c r="F134" s="246" t="str">
        <f>IFERROR(INDEX('G-1 All Habitats'!$B$3:$B$129,MATCH(E134,'G-1 All Habitats'!$A$3:$A$129,0)),"")</f>
        <v/>
      </c>
      <c r="G134" s="70"/>
      <c r="H134" s="498" t="str">
        <f>IF(F134="","",VLOOKUP(F134,'G-1 All Habitats'!$B$2:$M$129,10,FALSE))</f>
        <v/>
      </c>
      <c r="I134" s="499" t="str">
        <f>IFERROR(VLOOKUP(H134,'G-1 All Habitats'!$V$3:$W$7,2,FALSE),"")</f>
        <v/>
      </c>
      <c r="J134" s="71"/>
      <c r="K134" s="499" t="str">
        <f>IFERROR(INDEX('G-8 Condition Look up'!$A$3:$H$130,MATCH(F134,'G-8 Condition Look up'!$A$3:$A$130,0),MATCH(J134,'G-8 Condition Look up'!$A$3:$H$3,0)),"")</f>
        <v/>
      </c>
      <c r="L134" s="71"/>
      <c r="M134" s="507" t="str">
        <f>IF(L134="","",IF(VLOOKUP(L134,'G-3 Multipliers'!$L$3:$N$6,2,FALSE)=0,"Spatial Data Missing",VLOOKUP(L134,'G-3 Multipliers'!$L$3:$N$6,2,FALSE)))</f>
        <v/>
      </c>
      <c r="N134" s="505" t="str">
        <f>IF(L134="","",IF(VLOOKUP(L134,'G-3 Multipliers'!$L$3:$N$6,3,FALSE)=0,"Spatial Data Missing",VLOOKUP(L134,'G-3 Multipliers'!$L$3:$N$6,3,FALSE)))</f>
        <v/>
      </c>
      <c r="O134" s="498" t="str">
        <f t="shared" si="6"/>
        <v/>
      </c>
      <c r="P134" s="82"/>
      <c r="Q134" s="82"/>
      <c r="R134" s="507" t="str">
        <f t="shared" si="8"/>
        <v/>
      </c>
      <c r="S134" s="521" t="str">
        <f t="shared" si="9"/>
        <v/>
      </c>
      <c r="T134" s="522" t="str">
        <f>IFERROR(IF(S134="Check Data ⚠","Check Data ⚠",VLOOKUP(S134,'G-4 Temporal multipliers'!$A$4:$C$37,3,FALSE)),"")</f>
        <v/>
      </c>
      <c r="U134" s="523" t="str">
        <f>IF(F134="","",VLOOKUP(F134,'G-3 Multipliers'!$A$2:$E$129,2,FALSE))</f>
        <v/>
      </c>
      <c r="V134" s="520" t="str">
        <f t="shared" si="10"/>
        <v/>
      </c>
      <c r="W134" s="520" t="str">
        <f>IF(E134="","",IF(AND(V134="Standard difficulty applied",O134&gt;P134),U134,IF(AND(V134="Low Difficulty - only applicable if all habitat created before losses",P134&gt;=O134),"Low",VLOOKUP(F134,'G-3 Multipliers'!$A$2:$E$129,4,FALSE))))</f>
        <v/>
      </c>
      <c r="X134" s="524" t="str">
        <f>IFERROR(IF(E134="","",VLOOKUP(W134, 'G-3 Multipliers'!$P$2:$Q$6,2,FALSE)),"")</f>
        <v/>
      </c>
      <c r="Y134" s="529" t="str">
        <f t="shared" si="11"/>
        <v/>
      </c>
      <c r="Z134" s="239"/>
      <c r="AA134" s="240"/>
      <c r="AE134" s="54" t="str">
        <f t="shared" si="7"/>
        <v/>
      </c>
    </row>
    <row r="135" spans="1:31" x14ac:dyDescent="0.25">
      <c r="A135" s="47" t="str">
        <f>IFERROR(INDEX('G-8 Condition Look up'!$I$4:$I$130,MATCH(F135,'G-8 Condition Look up'!$A$4:$A$130,0)),"")</f>
        <v/>
      </c>
      <c r="C135" s="384" t="str">
        <f>IFERROR(INDEX('G-1 All Habitats'!$AG$3:$AG$15,MATCH(D135,'G-1 All Habitats'!$AF$3:$AF$15,0)),"")</f>
        <v/>
      </c>
      <c r="D135" s="146"/>
      <c r="E135" s="79"/>
      <c r="F135" s="246" t="str">
        <f>IFERROR(INDEX('G-1 All Habitats'!$B$3:$B$129,MATCH(E135,'G-1 All Habitats'!$A$3:$A$129,0)),"")</f>
        <v/>
      </c>
      <c r="G135" s="70"/>
      <c r="H135" s="498" t="str">
        <f>IF(F135="","",VLOOKUP(F135,'G-1 All Habitats'!$B$2:$M$129,10,FALSE))</f>
        <v/>
      </c>
      <c r="I135" s="499" t="str">
        <f>IFERROR(VLOOKUP(H135,'G-1 All Habitats'!$V$3:$W$7,2,FALSE),"")</f>
        <v/>
      </c>
      <c r="J135" s="71"/>
      <c r="K135" s="499" t="str">
        <f>IFERROR(INDEX('G-8 Condition Look up'!$A$3:$H$130,MATCH(F135,'G-8 Condition Look up'!$A$3:$A$130,0),MATCH(J135,'G-8 Condition Look up'!$A$3:$H$3,0)),"")</f>
        <v/>
      </c>
      <c r="L135" s="71"/>
      <c r="M135" s="507" t="str">
        <f>IF(L135="","",IF(VLOOKUP(L135,'G-3 Multipliers'!$L$3:$N$6,2,FALSE)=0,"Spatial Data Missing",VLOOKUP(L135,'G-3 Multipliers'!$L$3:$N$6,2,FALSE)))</f>
        <v/>
      </c>
      <c r="N135" s="505" t="str">
        <f>IF(L135="","",IF(VLOOKUP(L135,'G-3 Multipliers'!$L$3:$N$6,3,FALSE)=0,"Spatial Data Missing",VLOOKUP(L135,'G-3 Multipliers'!$L$3:$N$6,3,FALSE)))</f>
        <v/>
      </c>
      <c r="O135" s="498" t="str">
        <f t="shared" si="6"/>
        <v/>
      </c>
      <c r="P135" s="82"/>
      <c r="Q135" s="82"/>
      <c r="R135" s="507" t="str">
        <f t="shared" si="8"/>
        <v/>
      </c>
      <c r="S135" s="521" t="str">
        <f t="shared" si="9"/>
        <v/>
      </c>
      <c r="T135" s="522" t="str">
        <f>IFERROR(IF(S135="Check Data ⚠","Check Data ⚠",VLOOKUP(S135,'G-4 Temporal multipliers'!$A$4:$C$37,3,FALSE)),"")</f>
        <v/>
      </c>
      <c r="U135" s="523" t="str">
        <f>IF(F135="","",VLOOKUP(F135,'G-3 Multipliers'!$A$2:$E$129,2,FALSE))</f>
        <v/>
      </c>
      <c r="V135" s="520" t="str">
        <f t="shared" si="10"/>
        <v/>
      </c>
      <c r="W135" s="520" t="str">
        <f>IF(E135="","",IF(AND(V135="Standard difficulty applied",O135&gt;P135),U135,IF(AND(V135="Low Difficulty - only applicable if all habitat created before losses",P135&gt;=O135),"Low",VLOOKUP(F135,'G-3 Multipliers'!$A$2:$E$129,4,FALSE))))</f>
        <v/>
      </c>
      <c r="X135" s="524" t="str">
        <f>IFERROR(IF(E135="","",VLOOKUP(W135, 'G-3 Multipliers'!$P$2:$Q$6,2,FALSE)),"")</f>
        <v/>
      </c>
      <c r="Y135" s="529" t="str">
        <f t="shared" si="11"/>
        <v/>
      </c>
      <c r="Z135" s="239"/>
      <c r="AA135" s="240"/>
      <c r="AE135" s="54" t="str">
        <f t="shared" si="7"/>
        <v/>
      </c>
    </row>
    <row r="136" spans="1:31" x14ac:dyDescent="0.25">
      <c r="A136" s="47" t="str">
        <f>IFERROR(INDEX('G-8 Condition Look up'!$I$4:$I$130,MATCH(F136,'G-8 Condition Look up'!$A$4:$A$130,0)),"")</f>
        <v/>
      </c>
      <c r="C136" s="384" t="str">
        <f>IFERROR(INDEX('G-1 All Habitats'!$AG$3:$AG$15,MATCH(D136,'G-1 All Habitats'!$AF$3:$AF$15,0)),"")</f>
        <v/>
      </c>
      <c r="D136" s="146"/>
      <c r="E136" s="79"/>
      <c r="F136" s="246" t="str">
        <f>IFERROR(INDEX('G-1 All Habitats'!$B$3:$B$129,MATCH(E136,'G-1 All Habitats'!$A$3:$A$129,0)),"")</f>
        <v/>
      </c>
      <c r="G136" s="70"/>
      <c r="H136" s="498" t="str">
        <f>IF(F136="","",VLOOKUP(F136,'G-1 All Habitats'!$B$2:$M$129,10,FALSE))</f>
        <v/>
      </c>
      <c r="I136" s="499" t="str">
        <f>IFERROR(VLOOKUP(H136,'G-1 All Habitats'!$V$3:$W$7,2,FALSE),"")</f>
        <v/>
      </c>
      <c r="J136" s="71"/>
      <c r="K136" s="499" t="str">
        <f>IFERROR(INDEX('G-8 Condition Look up'!$A$3:$H$130,MATCH(F136,'G-8 Condition Look up'!$A$3:$A$130,0),MATCH(J136,'G-8 Condition Look up'!$A$3:$H$3,0)),"")</f>
        <v/>
      </c>
      <c r="L136" s="71"/>
      <c r="M136" s="507" t="str">
        <f>IF(L136="","",IF(VLOOKUP(L136,'G-3 Multipliers'!$L$3:$N$6,2,FALSE)=0,"Spatial Data Missing",VLOOKUP(L136,'G-3 Multipliers'!$L$3:$N$6,2,FALSE)))</f>
        <v/>
      </c>
      <c r="N136" s="505" t="str">
        <f>IF(L136="","",IF(VLOOKUP(L136,'G-3 Multipliers'!$L$3:$N$6,3,FALSE)=0,"Spatial Data Missing",VLOOKUP(L136,'G-3 Multipliers'!$L$3:$N$6,3,FALSE)))</f>
        <v/>
      </c>
      <c r="O136" s="498" t="str">
        <f t="shared" si="6"/>
        <v/>
      </c>
      <c r="P136" s="82"/>
      <c r="Q136" s="82"/>
      <c r="R136" s="507" t="str">
        <f t="shared" si="8"/>
        <v/>
      </c>
      <c r="S136" s="521" t="str">
        <f t="shared" si="9"/>
        <v/>
      </c>
      <c r="T136" s="522" t="str">
        <f>IFERROR(IF(S136="Check Data ⚠","Check Data ⚠",VLOOKUP(S136,'G-4 Temporal multipliers'!$A$4:$C$37,3,FALSE)),"")</f>
        <v/>
      </c>
      <c r="U136" s="523" t="str">
        <f>IF(F136="","",VLOOKUP(F136,'G-3 Multipliers'!$A$2:$E$129,2,FALSE))</f>
        <v/>
      </c>
      <c r="V136" s="520" t="str">
        <f t="shared" si="10"/>
        <v/>
      </c>
      <c r="W136" s="520" t="str">
        <f>IF(E136="","",IF(AND(V136="Standard difficulty applied",O136&gt;P136),U136,IF(AND(V136="Low Difficulty - only applicable if all habitat created before losses",P136&gt;=O136),"Low",VLOOKUP(F136,'G-3 Multipliers'!$A$2:$E$129,4,FALSE))))</f>
        <v/>
      </c>
      <c r="X136" s="524" t="str">
        <f>IFERROR(IF(E136="","",VLOOKUP(W136, 'G-3 Multipliers'!$P$2:$Q$6,2,FALSE)),"")</f>
        <v/>
      </c>
      <c r="Y136" s="529" t="str">
        <f t="shared" si="11"/>
        <v/>
      </c>
      <c r="Z136" s="239"/>
      <c r="AA136" s="240"/>
      <c r="AE136" s="54" t="str">
        <f t="shared" si="7"/>
        <v/>
      </c>
    </row>
    <row r="137" spans="1:31" x14ac:dyDescent="0.25">
      <c r="A137" s="47" t="str">
        <f>IFERROR(INDEX('G-8 Condition Look up'!$I$4:$I$130,MATCH(F137,'G-8 Condition Look up'!$A$4:$A$130,0)),"")</f>
        <v/>
      </c>
      <c r="C137" s="384" t="str">
        <f>IFERROR(INDEX('G-1 All Habitats'!$AG$3:$AG$15,MATCH(D137,'G-1 All Habitats'!$AF$3:$AF$15,0)),"")</f>
        <v/>
      </c>
      <c r="D137" s="146"/>
      <c r="E137" s="79"/>
      <c r="F137" s="246" t="str">
        <f>IFERROR(INDEX('G-1 All Habitats'!$B$3:$B$129,MATCH(E137,'G-1 All Habitats'!$A$3:$A$129,0)),"")</f>
        <v/>
      </c>
      <c r="G137" s="70"/>
      <c r="H137" s="498" t="str">
        <f>IF(F137="","",VLOOKUP(F137,'G-1 All Habitats'!$B$2:$M$129,10,FALSE))</f>
        <v/>
      </c>
      <c r="I137" s="499" t="str">
        <f>IFERROR(VLOOKUP(H137,'G-1 All Habitats'!$V$3:$W$7,2,FALSE),"")</f>
        <v/>
      </c>
      <c r="J137" s="71"/>
      <c r="K137" s="499" t="str">
        <f>IFERROR(INDEX('G-8 Condition Look up'!$A$3:$H$130,MATCH(F137,'G-8 Condition Look up'!$A$3:$A$130,0),MATCH(J137,'G-8 Condition Look up'!$A$3:$H$3,0)),"")</f>
        <v/>
      </c>
      <c r="L137" s="71"/>
      <c r="M137" s="507" t="str">
        <f>IF(L137="","",IF(VLOOKUP(L137,'G-3 Multipliers'!$L$3:$N$6,2,FALSE)=0,"Spatial Data Missing",VLOOKUP(L137,'G-3 Multipliers'!$L$3:$N$6,2,FALSE)))</f>
        <v/>
      </c>
      <c r="N137" s="505" t="str">
        <f>IF(L137="","",IF(VLOOKUP(L137,'G-3 Multipliers'!$L$3:$N$6,3,FALSE)=0,"Spatial Data Missing",VLOOKUP(L137,'G-3 Multipliers'!$L$3:$N$6,3,FALSE)))</f>
        <v/>
      </c>
      <c r="O137" s="498" t="str">
        <f t="shared" si="6"/>
        <v/>
      </c>
      <c r="P137" s="82"/>
      <c r="Q137" s="82"/>
      <c r="R137" s="507" t="str">
        <f t="shared" si="8"/>
        <v/>
      </c>
      <c r="S137" s="521" t="str">
        <f t="shared" si="9"/>
        <v/>
      </c>
      <c r="T137" s="522" t="str">
        <f>IFERROR(IF(S137="Check Data ⚠","Check Data ⚠",VLOOKUP(S137,'G-4 Temporal multipliers'!$A$4:$C$37,3,FALSE)),"")</f>
        <v/>
      </c>
      <c r="U137" s="523" t="str">
        <f>IF(F137="","",VLOOKUP(F137,'G-3 Multipliers'!$A$2:$E$129,2,FALSE))</f>
        <v/>
      </c>
      <c r="V137" s="520" t="str">
        <f t="shared" si="10"/>
        <v/>
      </c>
      <c r="W137" s="520" t="str">
        <f>IF(E137="","",IF(AND(V137="Standard difficulty applied",O137&gt;P137),U137,IF(AND(V137="Low Difficulty - only applicable if all habitat created before losses",P137&gt;=O137),"Low",VLOOKUP(F137,'G-3 Multipliers'!$A$2:$E$129,4,FALSE))))</f>
        <v/>
      </c>
      <c r="X137" s="524" t="str">
        <f>IFERROR(IF(E137="","",VLOOKUP(W137, 'G-3 Multipliers'!$P$2:$Q$6,2,FALSE)),"")</f>
        <v/>
      </c>
      <c r="Y137" s="529" t="str">
        <f t="shared" si="11"/>
        <v/>
      </c>
      <c r="Z137" s="239"/>
      <c r="AA137" s="240"/>
      <c r="AE137" s="54" t="str">
        <f t="shared" si="7"/>
        <v/>
      </c>
    </row>
    <row r="138" spans="1:31" x14ac:dyDescent="0.25">
      <c r="A138" s="47" t="str">
        <f>IFERROR(INDEX('G-8 Condition Look up'!$I$4:$I$130,MATCH(F138,'G-8 Condition Look up'!$A$4:$A$130,0)),"")</f>
        <v/>
      </c>
      <c r="C138" s="384" t="str">
        <f>IFERROR(INDEX('G-1 All Habitats'!$AG$3:$AG$15,MATCH(D138,'G-1 All Habitats'!$AF$3:$AF$15,0)),"")</f>
        <v/>
      </c>
      <c r="D138" s="146"/>
      <c r="E138" s="79"/>
      <c r="F138" s="246" t="str">
        <f>IFERROR(INDEX('G-1 All Habitats'!$B$3:$B$129,MATCH(E138,'G-1 All Habitats'!$A$3:$A$129,0)),"")</f>
        <v/>
      </c>
      <c r="G138" s="70"/>
      <c r="H138" s="498" t="str">
        <f>IF(F138="","",VLOOKUP(F138,'G-1 All Habitats'!$B$2:$M$129,10,FALSE))</f>
        <v/>
      </c>
      <c r="I138" s="499" t="str">
        <f>IFERROR(VLOOKUP(H138,'G-1 All Habitats'!$V$3:$W$7,2,FALSE),"")</f>
        <v/>
      </c>
      <c r="J138" s="71"/>
      <c r="K138" s="499" t="str">
        <f>IFERROR(INDEX('G-8 Condition Look up'!$A$3:$H$130,MATCH(F138,'G-8 Condition Look up'!$A$3:$A$130,0),MATCH(J138,'G-8 Condition Look up'!$A$3:$H$3,0)),"")</f>
        <v/>
      </c>
      <c r="L138" s="71"/>
      <c r="M138" s="507" t="str">
        <f>IF(L138="","",IF(VLOOKUP(L138,'G-3 Multipliers'!$L$3:$N$6,2,FALSE)=0,"Spatial Data Missing",VLOOKUP(L138,'G-3 Multipliers'!$L$3:$N$6,2,FALSE)))</f>
        <v/>
      </c>
      <c r="N138" s="505" t="str">
        <f>IF(L138="","",IF(VLOOKUP(L138,'G-3 Multipliers'!$L$3:$N$6,3,FALSE)=0,"Spatial Data Missing",VLOOKUP(L138,'G-3 Multipliers'!$L$3:$N$6,3,FALSE)))</f>
        <v/>
      </c>
      <c r="O138" s="498" t="str">
        <f t="shared" si="6"/>
        <v/>
      </c>
      <c r="P138" s="82"/>
      <c r="Q138" s="82"/>
      <c r="R138" s="507" t="str">
        <f t="shared" si="8"/>
        <v/>
      </c>
      <c r="S138" s="521" t="str">
        <f t="shared" si="9"/>
        <v/>
      </c>
      <c r="T138" s="522" t="str">
        <f>IFERROR(IF(S138="Check Data ⚠","Check Data ⚠",VLOOKUP(S138,'G-4 Temporal multipliers'!$A$4:$C$37,3,FALSE)),"")</f>
        <v/>
      </c>
      <c r="U138" s="523" t="str">
        <f>IF(F138="","",VLOOKUP(F138,'G-3 Multipliers'!$A$2:$E$129,2,FALSE))</f>
        <v/>
      </c>
      <c r="V138" s="520" t="str">
        <f t="shared" si="10"/>
        <v/>
      </c>
      <c r="W138" s="520" t="str">
        <f>IF(E138="","",IF(AND(V138="Standard difficulty applied",O138&gt;P138),U138,IF(AND(V138="Low Difficulty - only applicable if all habitat created before losses",P138&gt;=O138),"Low",VLOOKUP(F138,'G-3 Multipliers'!$A$2:$E$129,4,FALSE))))</f>
        <v/>
      </c>
      <c r="X138" s="524" t="str">
        <f>IFERROR(IF(E138="","",VLOOKUP(W138, 'G-3 Multipliers'!$P$2:$Q$6,2,FALSE)),"")</f>
        <v/>
      </c>
      <c r="Y138" s="529" t="str">
        <f t="shared" si="11"/>
        <v/>
      </c>
      <c r="Z138" s="239"/>
      <c r="AA138" s="240"/>
      <c r="AE138" s="54" t="str">
        <f t="shared" si="7"/>
        <v/>
      </c>
    </row>
    <row r="139" spans="1:31" x14ac:dyDescent="0.25">
      <c r="A139" s="47" t="str">
        <f>IFERROR(INDEX('G-8 Condition Look up'!$I$4:$I$130,MATCH(F139,'G-8 Condition Look up'!$A$4:$A$130,0)),"")</f>
        <v/>
      </c>
      <c r="C139" s="384" t="str">
        <f>IFERROR(INDEX('G-1 All Habitats'!$AG$3:$AG$15,MATCH(D139,'G-1 All Habitats'!$AF$3:$AF$15,0)),"")</f>
        <v/>
      </c>
      <c r="D139" s="146"/>
      <c r="E139" s="79"/>
      <c r="F139" s="246" t="str">
        <f>IFERROR(INDEX('G-1 All Habitats'!$B$3:$B$129,MATCH(E139,'G-1 All Habitats'!$A$3:$A$129,0)),"")</f>
        <v/>
      </c>
      <c r="G139" s="70"/>
      <c r="H139" s="498" t="str">
        <f>IF(F139="","",VLOOKUP(F139,'G-1 All Habitats'!$B$2:$M$129,10,FALSE))</f>
        <v/>
      </c>
      <c r="I139" s="499" t="str">
        <f>IFERROR(VLOOKUP(H139,'G-1 All Habitats'!$V$3:$W$7,2,FALSE),"")</f>
        <v/>
      </c>
      <c r="J139" s="71"/>
      <c r="K139" s="499" t="str">
        <f>IFERROR(INDEX('G-8 Condition Look up'!$A$3:$H$130,MATCH(F139,'G-8 Condition Look up'!$A$3:$A$130,0),MATCH(J139,'G-8 Condition Look up'!$A$3:$H$3,0)),"")</f>
        <v/>
      </c>
      <c r="L139" s="71"/>
      <c r="M139" s="507" t="str">
        <f>IF(L139="","",IF(VLOOKUP(L139,'G-3 Multipliers'!$L$3:$N$6,2,FALSE)=0,"Spatial Data Missing",VLOOKUP(L139,'G-3 Multipliers'!$L$3:$N$6,2,FALSE)))</f>
        <v/>
      </c>
      <c r="N139" s="505" t="str">
        <f>IF(L139="","",IF(VLOOKUP(L139,'G-3 Multipliers'!$L$3:$N$6,3,FALSE)=0,"Spatial Data Missing",VLOOKUP(L139,'G-3 Multipliers'!$L$3:$N$6,3,FALSE)))</f>
        <v/>
      </c>
      <c r="O139" s="498" t="str">
        <f t="shared" ref="O139:O202" si="12">IFERROR(INDEX(TemporalData,MATCH(F139,TemporalHabitats,0),MATCH(J139,TemporalConditions,0)),"")</f>
        <v/>
      </c>
      <c r="P139" s="82"/>
      <c r="Q139" s="82"/>
      <c r="R139" s="507" t="str">
        <f t="shared" si="8"/>
        <v/>
      </c>
      <c r="S139" s="521" t="str">
        <f t="shared" si="9"/>
        <v/>
      </c>
      <c r="T139" s="522" t="str">
        <f>IFERROR(IF(S139="Check Data ⚠","Check Data ⚠",VLOOKUP(S139,'G-4 Temporal multipliers'!$A$4:$C$37,3,FALSE)),"")</f>
        <v/>
      </c>
      <c r="U139" s="523" t="str">
        <f>IF(F139="","",VLOOKUP(F139,'G-3 Multipliers'!$A$2:$E$129,2,FALSE))</f>
        <v/>
      </c>
      <c r="V139" s="520" t="str">
        <f t="shared" si="10"/>
        <v/>
      </c>
      <c r="W139" s="520" t="str">
        <f>IF(E139="","",IF(AND(V139="Standard difficulty applied",O139&gt;P139),U139,IF(AND(V139="Low Difficulty - only applicable if all habitat created before losses",P139&gt;=O139),"Low",VLOOKUP(F139,'G-3 Multipliers'!$A$2:$E$129,4,FALSE))))</f>
        <v/>
      </c>
      <c r="X139" s="524" t="str">
        <f>IFERROR(IF(E139="","",VLOOKUP(W139, 'G-3 Multipliers'!$P$2:$Q$6,2,FALSE)),"")</f>
        <v/>
      </c>
      <c r="Y139" s="529" t="str">
        <f t="shared" si="11"/>
        <v/>
      </c>
      <c r="Z139" s="239"/>
      <c r="AA139" s="240"/>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4" t="str">
        <f>IFERROR(INDEX('G-1 All Habitats'!$AG$3:$AG$15,MATCH(D140,'G-1 All Habitats'!$AF$3:$AF$15,0)),"")</f>
        <v/>
      </c>
      <c r="D140" s="146"/>
      <c r="E140" s="79"/>
      <c r="F140" s="246" t="str">
        <f>IFERROR(INDEX('G-1 All Habitats'!$B$3:$B$129,MATCH(E140,'G-1 All Habitats'!$A$3:$A$129,0)),"")</f>
        <v/>
      </c>
      <c r="G140" s="70"/>
      <c r="H140" s="498" t="str">
        <f>IF(F140="","",VLOOKUP(F140,'G-1 All Habitats'!$B$2:$M$129,10,FALSE))</f>
        <v/>
      </c>
      <c r="I140" s="499" t="str">
        <f>IFERROR(VLOOKUP(H140,'G-1 All Habitats'!$V$3:$W$7,2,FALSE),"")</f>
        <v/>
      </c>
      <c r="J140" s="71"/>
      <c r="K140" s="499" t="str">
        <f>IFERROR(INDEX('G-8 Condition Look up'!$A$3:$H$130,MATCH(F140,'G-8 Condition Look up'!$A$3:$A$130,0),MATCH(J140,'G-8 Condition Look up'!$A$3:$H$3,0)),"")</f>
        <v/>
      </c>
      <c r="L140" s="71"/>
      <c r="M140" s="507" t="str">
        <f>IF(L140="","",IF(VLOOKUP(L140,'G-3 Multipliers'!$L$3:$N$6,2,FALSE)=0,"Spatial Data Missing",VLOOKUP(L140,'G-3 Multipliers'!$L$3:$N$6,2,FALSE)))</f>
        <v/>
      </c>
      <c r="N140" s="505" t="str">
        <f>IF(L140="","",IF(VLOOKUP(L140,'G-3 Multipliers'!$L$3:$N$6,3,FALSE)=0,"Spatial Data Missing",VLOOKUP(L140,'G-3 Multipliers'!$L$3:$N$6,3,FALSE)))</f>
        <v/>
      </c>
      <c r="O140" s="498" t="str">
        <f t="shared" si="12"/>
        <v/>
      </c>
      <c r="P140" s="82"/>
      <c r="Q140" s="82"/>
      <c r="R140" s="507"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1"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2" t="str">
        <f>IFERROR(IF(S140="Check Data ⚠","Check Data ⚠",VLOOKUP(S140,'G-4 Temporal multipliers'!$A$4:$C$37,3,FALSE)),"")</f>
        <v/>
      </c>
      <c r="U140" s="523" t="str">
        <f>IF(F140="","",VLOOKUP(F140,'G-3 Multipliers'!$A$2:$E$129,2,FALSE))</f>
        <v/>
      </c>
      <c r="V140" s="520"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20" t="str">
        <f>IF(E140="","",IF(AND(V140="Standard difficulty applied",O140&gt;P140),U140,IF(AND(V140="Low Difficulty - only applicable if all habitat created before losses",P140&gt;=O140),"Low",VLOOKUP(F140,'G-3 Multipliers'!$A$2:$E$129,4,FALSE))))</f>
        <v/>
      </c>
      <c r="X140" s="524" t="str">
        <f>IFERROR(IF(E140="","",VLOOKUP(W140, 'G-3 Multipliers'!$P$2:$Q$6,2,FALSE)),"")</f>
        <v/>
      </c>
      <c r="Y140" s="529" t="str">
        <f t="shared" ref="Y140:Y203" si="17">IFERROR(G140*I140*K140*N140*T140*X140,"")</f>
        <v/>
      </c>
      <c r="Z140" s="239"/>
      <c r="AA140" s="240"/>
      <c r="AE140" s="54" t="str">
        <f t="shared" si="13"/>
        <v/>
      </c>
    </row>
    <row r="141" spans="1:31" x14ac:dyDescent="0.25">
      <c r="A141" s="47" t="str">
        <f>IFERROR(INDEX('G-8 Condition Look up'!$I$4:$I$130,MATCH(F141,'G-8 Condition Look up'!$A$4:$A$130,0)),"")</f>
        <v/>
      </c>
      <c r="C141" s="384" t="str">
        <f>IFERROR(INDEX('G-1 All Habitats'!$AG$3:$AG$15,MATCH(D141,'G-1 All Habitats'!$AF$3:$AF$15,0)),"")</f>
        <v/>
      </c>
      <c r="D141" s="146"/>
      <c r="E141" s="79"/>
      <c r="F141" s="246" t="str">
        <f>IFERROR(INDEX('G-1 All Habitats'!$B$3:$B$129,MATCH(E141,'G-1 All Habitats'!$A$3:$A$129,0)),"")</f>
        <v/>
      </c>
      <c r="G141" s="70"/>
      <c r="H141" s="498" t="str">
        <f>IF(F141="","",VLOOKUP(F141,'G-1 All Habitats'!$B$2:$M$129,10,FALSE))</f>
        <v/>
      </c>
      <c r="I141" s="499" t="str">
        <f>IFERROR(VLOOKUP(H141,'G-1 All Habitats'!$V$3:$W$7,2,FALSE),"")</f>
        <v/>
      </c>
      <c r="J141" s="71"/>
      <c r="K141" s="499" t="str">
        <f>IFERROR(INDEX('G-8 Condition Look up'!$A$3:$H$130,MATCH(F141,'G-8 Condition Look up'!$A$3:$A$130,0),MATCH(J141,'G-8 Condition Look up'!$A$3:$H$3,0)),"")</f>
        <v/>
      </c>
      <c r="L141" s="71"/>
      <c r="M141" s="507" t="str">
        <f>IF(L141="","",IF(VLOOKUP(L141,'G-3 Multipliers'!$L$3:$N$6,2,FALSE)=0,"Spatial Data Missing",VLOOKUP(L141,'G-3 Multipliers'!$L$3:$N$6,2,FALSE)))</f>
        <v/>
      </c>
      <c r="N141" s="505" t="str">
        <f>IF(L141="","",IF(VLOOKUP(L141,'G-3 Multipliers'!$L$3:$N$6,3,FALSE)=0,"Spatial Data Missing",VLOOKUP(L141,'G-3 Multipliers'!$L$3:$N$6,3,FALSE)))</f>
        <v/>
      </c>
      <c r="O141" s="498" t="str">
        <f t="shared" si="12"/>
        <v/>
      </c>
      <c r="P141" s="82"/>
      <c r="Q141" s="82"/>
      <c r="R141" s="507" t="str">
        <f t="shared" si="14"/>
        <v/>
      </c>
      <c r="S141" s="521" t="str">
        <f t="shared" si="15"/>
        <v/>
      </c>
      <c r="T141" s="522" t="str">
        <f>IFERROR(IF(S141="Check Data ⚠","Check Data ⚠",VLOOKUP(S141,'G-4 Temporal multipliers'!$A$4:$C$37,3,FALSE)),"")</f>
        <v/>
      </c>
      <c r="U141" s="523" t="str">
        <f>IF(F141="","",VLOOKUP(F141,'G-3 Multipliers'!$A$2:$E$129,2,FALSE))</f>
        <v/>
      </c>
      <c r="V141" s="520" t="str">
        <f t="shared" si="16"/>
        <v/>
      </c>
      <c r="W141" s="520" t="str">
        <f>IF(E141="","",IF(AND(V141="Standard difficulty applied",O141&gt;P141),U141,IF(AND(V141="Low Difficulty - only applicable if all habitat created before losses",P141&gt;=O141),"Low",VLOOKUP(F141,'G-3 Multipliers'!$A$2:$E$129,4,FALSE))))</f>
        <v/>
      </c>
      <c r="X141" s="524" t="str">
        <f>IFERROR(IF(E141="","",VLOOKUP(W141, 'G-3 Multipliers'!$P$2:$Q$6,2,FALSE)),"")</f>
        <v/>
      </c>
      <c r="Y141" s="529" t="str">
        <f t="shared" si="17"/>
        <v/>
      </c>
      <c r="Z141" s="239"/>
      <c r="AA141" s="240"/>
      <c r="AE141" s="54" t="str">
        <f t="shared" si="13"/>
        <v/>
      </c>
    </row>
    <row r="142" spans="1:31" x14ac:dyDescent="0.25">
      <c r="A142" s="47" t="str">
        <f>IFERROR(INDEX('G-8 Condition Look up'!$I$4:$I$130,MATCH(F142,'G-8 Condition Look up'!$A$4:$A$130,0)),"")</f>
        <v/>
      </c>
      <c r="C142" s="384" t="str">
        <f>IFERROR(INDEX('G-1 All Habitats'!$AG$3:$AG$15,MATCH(D142,'G-1 All Habitats'!$AF$3:$AF$15,0)),"")</f>
        <v/>
      </c>
      <c r="D142" s="146"/>
      <c r="E142" s="79"/>
      <c r="F142" s="246" t="str">
        <f>IFERROR(INDEX('G-1 All Habitats'!$B$3:$B$129,MATCH(E142,'G-1 All Habitats'!$A$3:$A$129,0)),"")</f>
        <v/>
      </c>
      <c r="G142" s="70"/>
      <c r="H142" s="498" t="str">
        <f>IF(F142="","",VLOOKUP(F142,'G-1 All Habitats'!$B$2:$M$129,10,FALSE))</f>
        <v/>
      </c>
      <c r="I142" s="499" t="str">
        <f>IFERROR(VLOOKUP(H142,'G-1 All Habitats'!$V$3:$W$7,2,FALSE),"")</f>
        <v/>
      </c>
      <c r="J142" s="71"/>
      <c r="K142" s="499" t="str">
        <f>IFERROR(INDEX('G-8 Condition Look up'!$A$3:$H$130,MATCH(F142,'G-8 Condition Look up'!$A$3:$A$130,0),MATCH(J142,'G-8 Condition Look up'!$A$3:$H$3,0)),"")</f>
        <v/>
      </c>
      <c r="L142" s="71"/>
      <c r="M142" s="507" t="str">
        <f>IF(L142="","",IF(VLOOKUP(L142,'G-3 Multipliers'!$L$3:$N$6,2,FALSE)=0,"Spatial Data Missing",VLOOKUP(L142,'G-3 Multipliers'!$L$3:$N$6,2,FALSE)))</f>
        <v/>
      </c>
      <c r="N142" s="505" t="str">
        <f>IF(L142="","",IF(VLOOKUP(L142,'G-3 Multipliers'!$L$3:$N$6,3,FALSE)=0,"Spatial Data Missing",VLOOKUP(L142,'G-3 Multipliers'!$L$3:$N$6,3,FALSE)))</f>
        <v/>
      </c>
      <c r="O142" s="498" t="str">
        <f t="shared" si="12"/>
        <v/>
      </c>
      <c r="P142" s="82"/>
      <c r="Q142" s="82"/>
      <c r="R142" s="507" t="str">
        <f t="shared" si="14"/>
        <v/>
      </c>
      <c r="S142" s="521" t="str">
        <f t="shared" si="15"/>
        <v/>
      </c>
      <c r="T142" s="522" t="str">
        <f>IFERROR(IF(S142="Check Data ⚠","Check Data ⚠",VLOOKUP(S142,'G-4 Temporal multipliers'!$A$4:$C$37,3,FALSE)),"")</f>
        <v/>
      </c>
      <c r="U142" s="523" t="str">
        <f>IF(F142="","",VLOOKUP(F142,'G-3 Multipliers'!$A$2:$E$129,2,FALSE))</f>
        <v/>
      </c>
      <c r="V142" s="520" t="str">
        <f t="shared" si="16"/>
        <v/>
      </c>
      <c r="W142" s="520" t="str">
        <f>IF(E142="","",IF(AND(V142="Standard difficulty applied",O142&gt;P142),U142,IF(AND(V142="Low Difficulty - only applicable if all habitat created before losses",P142&gt;=O142),"Low",VLOOKUP(F142,'G-3 Multipliers'!$A$2:$E$129,4,FALSE))))</f>
        <v/>
      </c>
      <c r="X142" s="524" t="str">
        <f>IFERROR(IF(E142="","",VLOOKUP(W142, 'G-3 Multipliers'!$P$2:$Q$6,2,FALSE)),"")</f>
        <v/>
      </c>
      <c r="Y142" s="529" t="str">
        <f t="shared" si="17"/>
        <v/>
      </c>
      <c r="Z142" s="239"/>
      <c r="AA142" s="240"/>
      <c r="AE142" s="54" t="str">
        <f t="shared" si="13"/>
        <v/>
      </c>
    </row>
    <row r="143" spans="1:31" x14ac:dyDescent="0.25">
      <c r="A143" s="47" t="str">
        <f>IFERROR(INDEX('G-8 Condition Look up'!$I$4:$I$130,MATCH(F143,'G-8 Condition Look up'!$A$4:$A$130,0)),"")</f>
        <v/>
      </c>
      <c r="C143" s="384" t="str">
        <f>IFERROR(INDEX('G-1 All Habitats'!$AG$3:$AG$15,MATCH(D143,'G-1 All Habitats'!$AF$3:$AF$15,0)),"")</f>
        <v/>
      </c>
      <c r="D143" s="146"/>
      <c r="E143" s="79"/>
      <c r="F143" s="246" t="str">
        <f>IFERROR(INDEX('G-1 All Habitats'!$B$3:$B$129,MATCH(E143,'G-1 All Habitats'!$A$3:$A$129,0)),"")</f>
        <v/>
      </c>
      <c r="G143" s="70"/>
      <c r="H143" s="498" t="str">
        <f>IF(F143="","",VLOOKUP(F143,'G-1 All Habitats'!$B$2:$M$129,10,FALSE))</f>
        <v/>
      </c>
      <c r="I143" s="499" t="str">
        <f>IFERROR(VLOOKUP(H143,'G-1 All Habitats'!$V$3:$W$7,2,FALSE),"")</f>
        <v/>
      </c>
      <c r="J143" s="71"/>
      <c r="K143" s="499" t="str">
        <f>IFERROR(INDEX('G-8 Condition Look up'!$A$3:$H$130,MATCH(F143,'G-8 Condition Look up'!$A$3:$A$130,0),MATCH(J143,'G-8 Condition Look up'!$A$3:$H$3,0)),"")</f>
        <v/>
      </c>
      <c r="L143" s="71"/>
      <c r="M143" s="507" t="str">
        <f>IF(L143="","",IF(VLOOKUP(L143,'G-3 Multipliers'!$L$3:$N$6,2,FALSE)=0,"Spatial Data Missing",VLOOKUP(L143,'G-3 Multipliers'!$L$3:$N$6,2,FALSE)))</f>
        <v/>
      </c>
      <c r="N143" s="505" t="str">
        <f>IF(L143="","",IF(VLOOKUP(L143,'G-3 Multipliers'!$L$3:$N$6,3,FALSE)=0,"Spatial Data Missing",VLOOKUP(L143,'G-3 Multipliers'!$L$3:$N$6,3,FALSE)))</f>
        <v/>
      </c>
      <c r="O143" s="498" t="str">
        <f t="shared" si="12"/>
        <v/>
      </c>
      <c r="P143" s="82"/>
      <c r="Q143" s="82"/>
      <c r="R143" s="507" t="str">
        <f t="shared" si="14"/>
        <v/>
      </c>
      <c r="S143" s="521" t="str">
        <f t="shared" si="15"/>
        <v/>
      </c>
      <c r="T143" s="522" t="str">
        <f>IFERROR(IF(S143="Check Data ⚠","Check Data ⚠",VLOOKUP(S143,'G-4 Temporal multipliers'!$A$4:$C$37,3,FALSE)),"")</f>
        <v/>
      </c>
      <c r="U143" s="523" t="str">
        <f>IF(F143="","",VLOOKUP(F143,'G-3 Multipliers'!$A$2:$E$129,2,FALSE))</f>
        <v/>
      </c>
      <c r="V143" s="520" t="str">
        <f t="shared" si="16"/>
        <v/>
      </c>
      <c r="W143" s="520" t="str">
        <f>IF(E143="","",IF(AND(V143="Standard difficulty applied",O143&gt;P143),U143,IF(AND(V143="Low Difficulty - only applicable if all habitat created before losses",P143&gt;=O143),"Low",VLOOKUP(F143,'G-3 Multipliers'!$A$2:$E$129,4,FALSE))))</f>
        <v/>
      </c>
      <c r="X143" s="524" t="str">
        <f>IFERROR(IF(E143="","",VLOOKUP(W143, 'G-3 Multipliers'!$P$2:$Q$6,2,FALSE)),"")</f>
        <v/>
      </c>
      <c r="Y143" s="529" t="str">
        <f t="shared" si="17"/>
        <v/>
      </c>
      <c r="Z143" s="239"/>
      <c r="AA143" s="240"/>
      <c r="AE143" s="54" t="str">
        <f t="shared" si="13"/>
        <v/>
      </c>
    </row>
    <row r="144" spans="1:31" x14ac:dyDescent="0.25">
      <c r="A144" s="47" t="str">
        <f>IFERROR(INDEX('G-8 Condition Look up'!$I$4:$I$130,MATCH(F144,'G-8 Condition Look up'!$A$4:$A$130,0)),"")</f>
        <v/>
      </c>
      <c r="C144" s="384" t="str">
        <f>IFERROR(INDEX('G-1 All Habitats'!$AG$3:$AG$15,MATCH(D144,'G-1 All Habitats'!$AF$3:$AF$15,0)),"")</f>
        <v/>
      </c>
      <c r="D144" s="146"/>
      <c r="E144" s="79"/>
      <c r="F144" s="246" t="str">
        <f>IFERROR(INDEX('G-1 All Habitats'!$B$3:$B$129,MATCH(E144,'G-1 All Habitats'!$A$3:$A$129,0)),"")</f>
        <v/>
      </c>
      <c r="G144" s="70"/>
      <c r="H144" s="498" t="str">
        <f>IF(F144="","",VLOOKUP(F144,'G-1 All Habitats'!$B$2:$M$129,10,FALSE))</f>
        <v/>
      </c>
      <c r="I144" s="499" t="str">
        <f>IFERROR(VLOOKUP(H144,'G-1 All Habitats'!$V$3:$W$7,2,FALSE),"")</f>
        <v/>
      </c>
      <c r="J144" s="71"/>
      <c r="K144" s="499" t="str">
        <f>IFERROR(INDEX('G-8 Condition Look up'!$A$3:$H$130,MATCH(F144,'G-8 Condition Look up'!$A$3:$A$130,0),MATCH(J144,'G-8 Condition Look up'!$A$3:$H$3,0)),"")</f>
        <v/>
      </c>
      <c r="L144" s="71"/>
      <c r="M144" s="507" t="str">
        <f>IF(L144="","",IF(VLOOKUP(L144,'G-3 Multipliers'!$L$3:$N$6,2,FALSE)=0,"Spatial Data Missing",VLOOKUP(L144,'G-3 Multipliers'!$L$3:$N$6,2,FALSE)))</f>
        <v/>
      </c>
      <c r="N144" s="505" t="str">
        <f>IF(L144="","",IF(VLOOKUP(L144,'G-3 Multipliers'!$L$3:$N$6,3,FALSE)=0,"Spatial Data Missing",VLOOKUP(L144,'G-3 Multipliers'!$L$3:$N$6,3,FALSE)))</f>
        <v/>
      </c>
      <c r="O144" s="498" t="str">
        <f t="shared" si="12"/>
        <v/>
      </c>
      <c r="P144" s="82"/>
      <c r="Q144" s="82"/>
      <c r="R144" s="507" t="str">
        <f t="shared" si="14"/>
        <v/>
      </c>
      <c r="S144" s="521" t="str">
        <f t="shared" si="15"/>
        <v/>
      </c>
      <c r="T144" s="522" t="str">
        <f>IFERROR(IF(S144="Check Data ⚠","Check Data ⚠",VLOOKUP(S144,'G-4 Temporal multipliers'!$A$4:$C$37,3,FALSE)),"")</f>
        <v/>
      </c>
      <c r="U144" s="523" t="str">
        <f>IF(F144="","",VLOOKUP(F144,'G-3 Multipliers'!$A$2:$E$129,2,FALSE))</f>
        <v/>
      </c>
      <c r="V144" s="520" t="str">
        <f t="shared" si="16"/>
        <v/>
      </c>
      <c r="W144" s="520" t="str">
        <f>IF(E144="","",IF(AND(V144="Standard difficulty applied",O144&gt;P144),U144,IF(AND(V144="Low Difficulty - only applicable if all habitat created before losses",P144&gt;=O144),"Low",VLOOKUP(F144,'G-3 Multipliers'!$A$2:$E$129,4,FALSE))))</f>
        <v/>
      </c>
      <c r="X144" s="524" t="str">
        <f>IFERROR(IF(E144="","",VLOOKUP(W144, 'G-3 Multipliers'!$P$2:$Q$6,2,FALSE)),"")</f>
        <v/>
      </c>
      <c r="Y144" s="529" t="str">
        <f t="shared" si="17"/>
        <v/>
      </c>
      <c r="Z144" s="239"/>
      <c r="AA144" s="240"/>
      <c r="AE144" s="54" t="str">
        <f t="shared" si="13"/>
        <v/>
      </c>
    </row>
    <row r="145" spans="1:31" x14ac:dyDescent="0.25">
      <c r="A145" s="47" t="str">
        <f>IFERROR(INDEX('G-8 Condition Look up'!$I$4:$I$130,MATCH(F145,'G-8 Condition Look up'!$A$4:$A$130,0)),"")</f>
        <v/>
      </c>
      <c r="C145" s="384" t="str">
        <f>IFERROR(INDEX('G-1 All Habitats'!$AG$3:$AG$15,MATCH(D145,'G-1 All Habitats'!$AF$3:$AF$15,0)),"")</f>
        <v/>
      </c>
      <c r="D145" s="146"/>
      <c r="E145" s="79"/>
      <c r="F145" s="246" t="str">
        <f>IFERROR(INDEX('G-1 All Habitats'!$B$3:$B$129,MATCH(E145,'G-1 All Habitats'!$A$3:$A$129,0)),"")</f>
        <v/>
      </c>
      <c r="G145" s="70"/>
      <c r="H145" s="498" t="str">
        <f>IF(F145="","",VLOOKUP(F145,'G-1 All Habitats'!$B$2:$M$129,10,FALSE))</f>
        <v/>
      </c>
      <c r="I145" s="499" t="str">
        <f>IFERROR(VLOOKUP(H145,'G-1 All Habitats'!$V$3:$W$7,2,FALSE),"")</f>
        <v/>
      </c>
      <c r="J145" s="71"/>
      <c r="K145" s="499" t="str">
        <f>IFERROR(INDEX('G-8 Condition Look up'!$A$3:$H$130,MATCH(F145,'G-8 Condition Look up'!$A$3:$A$130,0),MATCH(J145,'G-8 Condition Look up'!$A$3:$H$3,0)),"")</f>
        <v/>
      </c>
      <c r="L145" s="71"/>
      <c r="M145" s="507" t="str">
        <f>IF(L145="","",IF(VLOOKUP(L145,'G-3 Multipliers'!$L$3:$N$6,2,FALSE)=0,"Spatial Data Missing",VLOOKUP(L145,'G-3 Multipliers'!$L$3:$N$6,2,FALSE)))</f>
        <v/>
      </c>
      <c r="N145" s="505" t="str">
        <f>IF(L145="","",IF(VLOOKUP(L145,'G-3 Multipliers'!$L$3:$N$6,3,FALSE)=0,"Spatial Data Missing",VLOOKUP(L145,'G-3 Multipliers'!$L$3:$N$6,3,FALSE)))</f>
        <v/>
      </c>
      <c r="O145" s="498" t="str">
        <f t="shared" si="12"/>
        <v/>
      </c>
      <c r="P145" s="82"/>
      <c r="Q145" s="82"/>
      <c r="R145" s="507" t="str">
        <f t="shared" si="14"/>
        <v/>
      </c>
      <c r="S145" s="521" t="str">
        <f t="shared" si="15"/>
        <v/>
      </c>
      <c r="T145" s="522" t="str">
        <f>IFERROR(IF(S145="Check Data ⚠","Check Data ⚠",VLOOKUP(S145,'G-4 Temporal multipliers'!$A$4:$C$37,3,FALSE)),"")</f>
        <v/>
      </c>
      <c r="U145" s="523" t="str">
        <f>IF(F145="","",VLOOKUP(F145,'G-3 Multipliers'!$A$2:$E$129,2,FALSE))</f>
        <v/>
      </c>
      <c r="V145" s="520" t="str">
        <f t="shared" si="16"/>
        <v/>
      </c>
      <c r="W145" s="520" t="str">
        <f>IF(E145="","",IF(AND(V145="Standard difficulty applied",O145&gt;P145),U145,IF(AND(V145="Low Difficulty - only applicable if all habitat created before losses",P145&gt;=O145),"Low",VLOOKUP(F145,'G-3 Multipliers'!$A$2:$E$129,4,FALSE))))</f>
        <v/>
      </c>
      <c r="X145" s="524" t="str">
        <f>IFERROR(IF(E145="","",VLOOKUP(W145, 'G-3 Multipliers'!$P$2:$Q$6,2,FALSE)),"")</f>
        <v/>
      </c>
      <c r="Y145" s="529" t="str">
        <f t="shared" si="17"/>
        <v/>
      </c>
      <c r="Z145" s="239"/>
      <c r="AA145" s="240"/>
      <c r="AE145" s="54" t="str">
        <f t="shared" si="13"/>
        <v/>
      </c>
    </row>
    <row r="146" spans="1:31" x14ac:dyDescent="0.25">
      <c r="A146" s="47" t="str">
        <f>IFERROR(INDEX('G-8 Condition Look up'!$I$4:$I$130,MATCH(F146,'G-8 Condition Look up'!$A$4:$A$130,0)),"")</f>
        <v/>
      </c>
      <c r="C146" s="384" t="str">
        <f>IFERROR(INDEX('G-1 All Habitats'!$AG$3:$AG$15,MATCH(D146,'G-1 All Habitats'!$AF$3:$AF$15,0)),"")</f>
        <v/>
      </c>
      <c r="D146" s="146"/>
      <c r="E146" s="79"/>
      <c r="F146" s="246" t="str">
        <f>IFERROR(INDEX('G-1 All Habitats'!$B$3:$B$129,MATCH(E146,'G-1 All Habitats'!$A$3:$A$129,0)),"")</f>
        <v/>
      </c>
      <c r="G146" s="70"/>
      <c r="H146" s="498" t="str">
        <f>IF(F146="","",VLOOKUP(F146,'G-1 All Habitats'!$B$2:$M$129,10,FALSE))</f>
        <v/>
      </c>
      <c r="I146" s="499" t="str">
        <f>IFERROR(VLOOKUP(H146,'G-1 All Habitats'!$V$3:$W$7,2,FALSE),"")</f>
        <v/>
      </c>
      <c r="J146" s="71"/>
      <c r="K146" s="499" t="str">
        <f>IFERROR(INDEX('G-8 Condition Look up'!$A$3:$H$130,MATCH(F146,'G-8 Condition Look up'!$A$3:$A$130,0),MATCH(J146,'G-8 Condition Look up'!$A$3:$H$3,0)),"")</f>
        <v/>
      </c>
      <c r="L146" s="71"/>
      <c r="M146" s="507" t="str">
        <f>IF(L146="","",IF(VLOOKUP(L146,'G-3 Multipliers'!$L$3:$N$6,2,FALSE)=0,"Spatial Data Missing",VLOOKUP(L146,'G-3 Multipliers'!$L$3:$N$6,2,FALSE)))</f>
        <v/>
      </c>
      <c r="N146" s="505" t="str">
        <f>IF(L146="","",IF(VLOOKUP(L146,'G-3 Multipliers'!$L$3:$N$6,3,FALSE)=0,"Spatial Data Missing",VLOOKUP(L146,'G-3 Multipliers'!$L$3:$N$6,3,FALSE)))</f>
        <v/>
      </c>
      <c r="O146" s="498" t="str">
        <f t="shared" si="12"/>
        <v/>
      </c>
      <c r="P146" s="82"/>
      <c r="Q146" s="82"/>
      <c r="R146" s="507" t="str">
        <f t="shared" si="14"/>
        <v/>
      </c>
      <c r="S146" s="521" t="str">
        <f t="shared" si="15"/>
        <v/>
      </c>
      <c r="T146" s="522" t="str">
        <f>IFERROR(IF(S146="Check Data ⚠","Check Data ⚠",VLOOKUP(S146,'G-4 Temporal multipliers'!$A$4:$C$37,3,FALSE)),"")</f>
        <v/>
      </c>
      <c r="U146" s="523" t="str">
        <f>IF(F146="","",VLOOKUP(F146,'G-3 Multipliers'!$A$2:$E$129,2,FALSE))</f>
        <v/>
      </c>
      <c r="V146" s="520" t="str">
        <f t="shared" si="16"/>
        <v/>
      </c>
      <c r="W146" s="520" t="str">
        <f>IF(E146="","",IF(AND(V146="Standard difficulty applied",O146&gt;P146),U146,IF(AND(V146="Low Difficulty - only applicable if all habitat created before losses",P146&gt;=O146),"Low",VLOOKUP(F146,'G-3 Multipliers'!$A$2:$E$129,4,FALSE))))</f>
        <v/>
      </c>
      <c r="X146" s="524" t="str">
        <f>IFERROR(IF(E146="","",VLOOKUP(W146, 'G-3 Multipliers'!$P$2:$Q$6,2,FALSE)),"")</f>
        <v/>
      </c>
      <c r="Y146" s="529" t="str">
        <f t="shared" si="17"/>
        <v/>
      </c>
      <c r="Z146" s="239"/>
      <c r="AA146" s="240"/>
      <c r="AE146" s="54" t="str">
        <f t="shared" si="13"/>
        <v/>
      </c>
    </row>
    <row r="147" spans="1:31" x14ac:dyDescent="0.25">
      <c r="A147" s="47" t="str">
        <f>IFERROR(INDEX('G-8 Condition Look up'!$I$4:$I$130,MATCH(F147,'G-8 Condition Look up'!$A$4:$A$130,0)),"")</f>
        <v/>
      </c>
      <c r="C147" s="384" t="str">
        <f>IFERROR(INDEX('G-1 All Habitats'!$AG$3:$AG$15,MATCH(D147,'G-1 All Habitats'!$AF$3:$AF$15,0)),"")</f>
        <v/>
      </c>
      <c r="D147" s="146"/>
      <c r="E147" s="79"/>
      <c r="F147" s="246" t="str">
        <f>IFERROR(INDEX('G-1 All Habitats'!$B$3:$B$129,MATCH(E147,'G-1 All Habitats'!$A$3:$A$129,0)),"")</f>
        <v/>
      </c>
      <c r="G147" s="70"/>
      <c r="H147" s="498" t="str">
        <f>IF(F147="","",VLOOKUP(F147,'G-1 All Habitats'!$B$2:$M$129,10,FALSE))</f>
        <v/>
      </c>
      <c r="I147" s="499" t="str">
        <f>IFERROR(VLOOKUP(H147,'G-1 All Habitats'!$V$3:$W$7,2,FALSE),"")</f>
        <v/>
      </c>
      <c r="J147" s="71"/>
      <c r="K147" s="499" t="str">
        <f>IFERROR(INDEX('G-8 Condition Look up'!$A$3:$H$130,MATCH(F147,'G-8 Condition Look up'!$A$3:$A$130,0),MATCH(J147,'G-8 Condition Look up'!$A$3:$H$3,0)),"")</f>
        <v/>
      </c>
      <c r="L147" s="71"/>
      <c r="M147" s="507" t="str">
        <f>IF(L147="","",IF(VLOOKUP(L147,'G-3 Multipliers'!$L$3:$N$6,2,FALSE)=0,"Spatial Data Missing",VLOOKUP(L147,'G-3 Multipliers'!$L$3:$N$6,2,FALSE)))</f>
        <v/>
      </c>
      <c r="N147" s="505" t="str">
        <f>IF(L147="","",IF(VLOOKUP(L147,'G-3 Multipliers'!$L$3:$N$6,3,FALSE)=0,"Spatial Data Missing",VLOOKUP(L147,'G-3 Multipliers'!$L$3:$N$6,3,FALSE)))</f>
        <v/>
      </c>
      <c r="O147" s="498" t="str">
        <f t="shared" si="12"/>
        <v/>
      </c>
      <c r="P147" s="82"/>
      <c r="Q147" s="82"/>
      <c r="R147" s="507" t="str">
        <f t="shared" si="14"/>
        <v/>
      </c>
      <c r="S147" s="521" t="str">
        <f t="shared" si="15"/>
        <v/>
      </c>
      <c r="T147" s="522" t="str">
        <f>IFERROR(IF(S147="Check Data ⚠","Check Data ⚠",VLOOKUP(S147,'G-4 Temporal multipliers'!$A$4:$C$37,3,FALSE)),"")</f>
        <v/>
      </c>
      <c r="U147" s="523" t="str">
        <f>IF(F147="","",VLOOKUP(F147,'G-3 Multipliers'!$A$2:$E$129,2,FALSE))</f>
        <v/>
      </c>
      <c r="V147" s="520" t="str">
        <f t="shared" si="16"/>
        <v/>
      </c>
      <c r="W147" s="520" t="str">
        <f>IF(E147="","",IF(AND(V147="Standard difficulty applied",O147&gt;P147),U147,IF(AND(V147="Low Difficulty - only applicable if all habitat created before losses",P147&gt;=O147),"Low",VLOOKUP(F147,'G-3 Multipliers'!$A$2:$E$129,4,FALSE))))</f>
        <v/>
      </c>
      <c r="X147" s="524" t="str">
        <f>IFERROR(IF(E147="","",VLOOKUP(W147, 'G-3 Multipliers'!$P$2:$Q$6,2,FALSE)),"")</f>
        <v/>
      </c>
      <c r="Y147" s="529" t="str">
        <f t="shared" si="17"/>
        <v/>
      </c>
      <c r="Z147" s="239"/>
      <c r="AA147" s="240"/>
      <c r="AE147" s="54" t="str">
        <f t="shared" si="13"/>
        <v/>
      </c>
    </row>
    <row r="148" spans="1:31" x14ac:dyDescent="0.25">
      <c r="A148" s="47" t="str">
        <f>IFERROR(INDEX('G-8 Condition Look up'!$I$4:$I$130,MATCH(F148,'G-8 Condition Look up'!$A$4:$A$130,0)),"")</f>
        <v/>
      </c>
      <c r="C148" s="384" t="str">
        <f>IFERROR(INDEX('G-1 All Habitats'!$AG$3:$AG$15,MATCH(D148,'G-1 All Habitats'!$AF$3:$AF$15,0)),"")</f>
        <v/>
      </c>
      <c r="D148" s="146"/>
      <c r="E148" s="79"/>
      <c r="F148" s="246" t="str">
        <f>IFERROR(INDEX('G-1 All Habitats'!$B$3:$B$129,MATCH(E148,'G-1 All Habitats'!$A$3:$A$129,0)),"")</f>
        <v/>
      </c>
      <c r="G148" s="70"/>
      <c r="H148" s="498" t="str">
        <f>IF(F148="","",VLOOKUP(F148,'G-1 All Habitats'!$B$2:$M$129,10,FALSE))</f>
        <v/>
      </c>
      <c r="I148" s="499" t="str">
        <f>IFERROR(VLOOKUP(H148,'G-1 All Habitats'!$V$3:$W$7,2,FALSE),"")</f>
        <v/>
      </c>
      <c r="J148" s="71"/>
      <c r="K148" s="499" t="str">
        <f>IFERROR(INDEX('G-8 Condition Look up'!$A$3:$H$130,MATCH(F148,'G-8 Condition Look up'!$A$3:$A$130,0),MATCH(J148,'G-8 Condition Look up'!$A$3:$H$3,0)),"")</f>
        <v/>
      </c>
      <c r="L148" s="71"/>
      <c r="M148" s="507" t="str">
        <f>IF(L148="","",IF(VLOOKUP(L148,'G-3 Multipliers'!$L$3:$N$6,2,FALSE)=0,"Spatial Data Missing",VLOOKUP(L148,'G-3 Multipliers'!$L$3:$N$6,2,FALSE)))</f>
        <v/>
      </c>
      <c r="N148" s="505" t="str">
        <f>IF(L148="","",IF(VLOOKUP(L148,'G-3 Multipliers'!$L$3:$N$6,3,FALSE)=0,"Spatial Data Missing",VLOOKUP(L148,'G-3 Multipliers'!$L$3:$N$6,3,FALSE)))</f>
        <v/>
      </c>
      <c r="O148" s="498" t="str">
        <f t="shared" si="12"/>
        <v/>
      </c>
      <c r="P148" s="82"/>
      <c r="Q148" s="82"/>
      <c r="R148" s="507" t="str">
        <f t="shared" si="14"/>
        <v/>
      </c>
      <c r="S148" s="521" t="str">
        <f t="shared" si="15"/>
        <v/>
      </c>
      <c r="T148" s="522" t="str">
        <f>IFERROR(IF(S148="Check Data ⚠","Check Data ⚠",VLOOKUP(S148,'G-4 Temporal multipliers'!$A$4:$C$37,3,FALSE)),"")</f>
        <v/>
      </c>
      <c r="U148" s="523" t="str">
        <f>IF(F148="","",VLOOKUP(F148,'G-3 Multipliers'!$A$2:$E$129,2,FALSE))</f>
        <v/>
      </c>
      <c r="V148" s="520" t="str">
        <f t="shared" si="16"/>
        <v/>
      </c>
      <c r="W148" s="520" t="str">
        <f>IF(E148="","",IF(AND(V148="Standard difficulty applied",O148&gt;P148),U148,IF(AND(V148="Low Difficulty - only applicable if all habitat created before losses",P148&gt;=O148),"Low",VLOOKUP(F148,'G-3 Multipliers'!$A$2:$E$129,4,FALSE))))</f>
        <v/>
      </c>
      <c r="X148" s="524" t="str">
        <f>IFERROR(IF(E148="","",VLOOKUP(W148, 'G-3 Multipliers'!$P$2:$Q$6,2,FALSE)),"")</f>
        <v/>
      </c>
      <c r="Y148" s="529" t="str">
        <f t="shared" si="17"/>
        <v/>
      </c>
      <c r="Z148" s="239"/>
      <c r="AA148" s="240"/>
      <c r="AE148" s="54" t="str">
        <f t="shared" si="13"/>
        <v/>
      </c>
    </row>
    <row r="149" spans="1:31" x14ac:dyDescent="0.25">
      <c r="A149" s="47" t="str">
        <f>IFERROR(INDEX('G-8 Condition Look up'!$I$4:$I$130,MATCH(F149,'G-8 Condition Look up'!$A$4:$A$130,0)),"")</f>
        <v/>
      </c>
      <c r="C149" s="384" t="str">
        <f>IFERROR(INDEX('G-1 All Habitats'!$AG$3:$AG$15,MATCH(D149,'G-1 All Habitats'!$AF$3:$AF$15,0)),"")</f>
        <v/>
      </c>
      <c r="D149" s="146"/>
      <c r="E149" s="79"/>
      <c r="F149" s="246" t="str">
        <f>IFERROR(INDEX('G-1 All Habitats'!$B$3:$B$129,MATCH(E149,'G-1 All Habitats'!$A$3:$A$129,0)),"")</f>
        <v/>
      </c>
      <c r="G149" s="70"/>
      <c r="H149" s="498" t="str">
        <f>IF(F149="","",VLOOKUP(F149,'G-1 All Habitats'!$B$2:$M$129,10,FALSE))</f>
        <v/>
      </c>
      <c r="I149" s="499" t="str">
        <f>IFERROR(VLOOKUP(H149,'G-1 All Habitats'!$V$3:$W$7,2,FALSE),"")</f>
        <v/>
      </c>
      <c r="J149" s="71"/>
      <c r="K149" s="499" t="str">
        <f>IFERROR(INDEX('G-8 Condition Look up'!$A$3:$H$130,MATCH(F149,'G-8 Condition Look up'!$A$3:$A$130,0),MATCH(J149,'G-8 Condition Look up'!$A$3:$H$3,0)),"")</f>
        <v/>
      </c>
      <c r="L149" s="71"/>
      <c r="M149" s="507" t="str">
        <f>IF(L149="","",IF(VLOOKUP(L149,'G-3 Multipliers'!$L$3:$N$6,2,FALSE)=0,"Spatial Data Missing",VLOOKUP(L149,'G-3 Multipliers'!$L$3:$N$6,2,FALSE)))</f>
        <v/>
      </c>
      <c r="N149" s="505" t="str">
        <f>IF(L149="","",IF(VLOOKUP(L149,'G-3 Multipliers'!$L$3:$N$6,3,FALSE)=0,"Spatial Data Missing",VLOOKUP(L149,'G-3 Multipliers'!$L$3:$N$6,3,FALSE)))</f>
        <v/>
      </c>
      <c r="O149" s="498" t="str">
        <f t="shared" si="12"/>
        <v/>
      </c>
      <c r="P149" s="82"/>
      <c r="Q149" s="82"/>
      <c r="R149" s="507" t="str">
        <f t="shared" si="14"/>
        <v/>
      </c>
      <c r="S149" s="521" t="str">
        <f t="shared" si="15"/>
        <v/>
      </c>
      <c r="T149" s="522" t="str">
        <f>IFERROR(IF(S149="Check Data ⚠","Check Data ⚠",VLOOKUP(S149,'G-4 Temporal multipliers'!$A$4:$C$37,3,FALSE)),"")</f>
        <v/>
      </c>
      <c r="U149" s="523" t="str">
        <f>IF(F149="","",VLOOKUP(F149,'G-3 Multipliers'!$A$2:$E$129,2,FALSE))</f>
        <v/>
      </c>
      <c r="V149" s="520" t="str">
        <f t="shared" si="16"/>
        <v/>
      </c>
      <c r="W149" s="520" t="str">
        <f>IF(E149="","",IF(AND(V149="Standard difficulty applied",O149&gt;P149),U149,IF(AND(V149="Low Difficulty - only applicable if all habitat created before losses",P149&gt;=O149),"Low",VLOOKUP(F149,'G-3 Multipliers'!$A$2:$E$129,4,FALSE))))</f>
        <v/>
      </c>
      <c r="X149" s="524" t="str">
        <f>IFERROR(IF(E149="","",VLOOKUP(W149, 'G-3 Multipliers'!$P$2:$Q$6,2,FALSE)),"")</f>
        <v/>
      </c>
      <c r="Y149" s="529" t="str">
        <f t="shared" si="17"/>
        <v/>
      </c>
      <c r="Z149" s="239"/>
      <c r="AA149" s="240"/>
      <c r="AE149" s="54" t="str">
        <f t="shared" si="13"/>
        <v/>
      </c>
    </row>
    <row r="150" spans="1:31" x14ac:dyDescent="0.25">
      <c r="A150" s="47" t="str">
        <f>IFERROR(INDEX('G-8 Condition Look up'!$I$4:$I$130,MATCH(F150,'G-8 Condition Look up'!$A$4:$A$130,0)),"")</f>
        <v/>
      </c>
      <c r="C150" s="384" t="str">
        <f>IFERROR(INDEX('G-1 All Habitats'!$AG$3:$AG$15,MATCH(D150,'G-1 All Habitats'!$AF$3:$AF$15,0)),"")</f>
        <v/>
      </c>
      <c r="D150" s="146"/>
      <c r="E150" s="79"/>
      <c r="F150" s="246" t="str">
        <f>IFERROR(INDEX('G-1 All Habitats'!$B$3:$B$129,MATCH(E150,'G-1 All Habitats'!$A$3:$A$129,0)),"")</f>
        <v/>
      </c>
      <c r="G150" s="70"/>
      <c r="H150" s="498" t="str">
        <f>IF(F150="","",VLOOKUP(F150,'G-1 All Habitats'!$B$2:$M$129,10,FALSE))</f>
        <v/>
      </c>
      <c r="I150" s="499" t="str">
        <f>IFERROR(VLOOKUP(H150,'G-1 All Habitats'!$V$3:$W$7,2,FALSE),"")</f>
        <v/>
      </c>
      <c r="J150" s="71"/>
      <c r="K150" s="499" t="str">
        <f>IFERROR(INDEX('G-8 Condition Look up'!$A$3:$H$130,MATCH(F150,'G-8 Condition Look up'!$A$3:$A$130,0),MATCH(J150,'G-8 Condition Look up'!$A$3:$H$3,0)),"")</f>
        <v/>
      </c>
      <c r="L150" s="71"/>
      <c r="M150" s="507" t="str">
        <f>IF(L150="","",IF(VLOOKUP(L150,'G-3 Multipliers'!$L$3:$N$6,2,FALSE)=0,"Spatial Data Missing",VLOOKUP(L150,'G-3 Multipliers'!$L$3:$N$6,2,FALSE)))</f>
        <v/>
      </c>
      <c r="N150" s="505" t="str">
        <f>IF(L150="","",IF(VLOOKUP(L150,'G-3 Multipliers'!$L$3:$N$6,3,FALSE)=0,"Spatial Data Missing",VLOOKUP(L150,'G-3 Multipliers'!$L$3:$N$6,3,FALSE)))</f>
        <v/>
      </c>
      <c r="O150" s="498" t="str">
        <f t="shared" si="12"/>
        <v/>
      </c>
      <c r="P150" s="82"/>
      <c r="Q150" s="82"/>
      <c r="R150" s="507" t="str">
        <f t="shared" si="14"/>
        <v/>
      </c>
      <c r="S150" s="521" t="str">
        <f t="shared" si="15"/>
        <v/>
      </c>
      <c r="T150" s="522" t="str">
        <f>IFERROR(IF(S150="Check Data ⚠","Check Data ⚠",VLOOKUP(S150,'G-4 Temporal multipliers'!$A$4:$C$37,3,FALSE)),"")</f>
        <v/>
      </c>
      <c r="U150" s="523" t="str">
        <f>IF(F150="","",VLOOKUP(F150,'G-3 Multipliers'!$A$2:$E$129,2,FALSE))</f>
        <v/>
      </c>
      <c r="V150" s="520" t="str">
        <f t="shared" si="16"/>
        <v/>
      </c>
      <c r="W150" s="520" t="str">
        <f>IF(E150="","",IF(AND(V150="Standard difficulty applied",O150&gt;P150),U150,IF(AND(V150="Low Difficulty - only applicable if all habitat created before losses",P150&gt;=O150),"Low",VLOOKUP(F150,'G-3 Multipliers'!$A$2:$E$129,4,FALSE))))</f>
        <v/>
      </c>
      <c r="X150" s="524" t="str">
        <f>IFERROR(IF(E150="","",VLOOKUP(W150, 'G-3 Multipliers'!$P$2:$Q$6,2,FALSE)),"")</f>
        <v/>
      </c>
      <c r="Y150" s="529" t="str">
        <f t="shared" si="17"/>
        <v/>
      </c>
      <c r="Z150" s="239"/>
      <c r="AA150" s="240"/>
      <c r="AE150" s="54" t="str">
        <f t="shared" si="13"/>
        <v/>
      </c>
    </row>
    <row r="151" spans="1:31" x14ac:dyDescent="0.25">
      <c r="A151" s="47" t="str">
        <f>IFERROR(INDEX('G-8 Condition Look up'!$I$4:$I$130,MATCH(F151,'G-8 Condition Look up'!$A$4:$A$130,0)),"")</f>
        <v/>
      </c>
      <c r="C151" s="384" t="str">
        <f>IFERROR(INDEX('G-1 All Habitats'!$AG$3:$AG$15,MATCH(D151,'G-1 All Habitats'!$AF$3:$AF$15,0)),"")</f>
        <v/>
      </c>
      <c r="D151" s="146"/>
      <c r="E151" s="79"/>
      <c r="F151" s="246" t="str">
        <f>IFERROR(INDEX('G-1 All Habitats'!$B$3:$B$129,MATCH(E151,'G-1 All Habitats'!$A$3:$A$129,0)),"")</f>
        <v/>
      </c>
      <c r="G151" s="70"/>
      <c r="H151" s="498" t="str">
        <f>IF(F151="","",VLOOKUP(F151,'G-1 All Habitats'!$B$2:$M$129,10,FALSE))</f>
        <v/>
      </c>
      <c r="I151" s="499" t="str">
        <f>IFERROR(VLOOKUP(H151,'G-1 All Habitats'!$V$3:$W$7,2,FALSE),"")</f>
        <v/>
      </c>
      <c r="J151" s="71"/>
      <c r="K151" s="499" t="str">
        <f>IFERROR(INDEX('G-8 Condition Look up'!$A$3:$H$130,MATCH(F151,'G-8 Condition Look up'!$A$3:$A$130,0),MATCH(J151,'G-8 Condition Look up'!$A$3:$H$3,0)),"")</f>
        <v/>
      </c>
      <c r="L151" s="71"/>
      <c r="M151" s="507" t="str">
        <f>IF(L151="","",IF(VLOOKUP(L151,'G-3 Multipliers'!$L$3:$N$6,2,FALSE)=0,"Spatial Data Missing",VLOOKUP(L151,'G-3 Multipliers'!$L$3:$N$6,2,FALSE)))</f>
        <v/>
      </c>
      <c r="N151" s="505" t="str">
        <f>IF(L151="","",IF(VLOOKUP(L151,'G-3 Multipliers'!$L$3:$N$6,3,FALSE)=0,"Spatial Data Missing",VLOOKUP(L151,'G-3 Multipliers'!$L$3:$N$6,3,FALSE)))</f>
        <v/>
      </c>
      <c r="O151" s="498" t="str">
        <f t="shared" si="12"/>
        <v/>
      </c>
      <c r="P151" s="82"/>
      <c r="Q151" s="82"/>
      <c r="R151" s="507" t="str">
        <f t="shared" si="14"/>
        <v/>
      </c>
      <c r="S151" s="521" t="str">
        <f t="shared" si="15"/>
        <v/>
      </c>
      <c r="T151" s="522" t="str">
        <f>IFERROR(IF(S151="Check Data ⚠","Check Data ⚠",VLOOKUP(S151,'G-4 Temporal multipliers'!$A$4:$C$37,3,FALSE)),"")</f>
        <v/>
      </c>
      <c r="U151" s="523" t="str">
        <f>IF(F151="","",VLOOKUP(F151,'G-3 Multipliers'!$A$2:$E$129,2,FALSE))</f>
        <v/>
      </c>
      <c r="V151" s="520" t="str">
        <f t="shared" si="16"/>
        <v/>
      </c>
      <c r="W151" s="520" t="str">
        <f>IF(E151="","",IF(AND(V151="Standard difficulty applied",O151&gt;P151),U151,IF(AND(V151="Low Difficulty - only applicable if all habitat created before losses",P151&gt;=O151),"Low",VLOOKUP(F151,'G-3 Multipliers'!$A$2:$E$129,4,FALSE))))</f>
        <v/>
      </c>
      <c r="X151" s="524" t="str">
        <f>IFERROR(IF(E151="","",VLOOKUP(W151, 'G-3 Multipliers'!$P$2:$Q$6,2,FALSE)),"")</f>
        <v/>
      </c>
      <c r="Y151" s="529" t="str">
        <f t="shared" si="17"/>
        <v/>
      </c>
      <c r="Z151" s="239"/>
      <c r="AA151" s="240"/>
      <c r="AE151" s="54" t="str">
        <f t="shared" si="13"/>
        <v/>
      </c>
    </row>
    <row r="152" spans="1:31" x14ac:dyDescent="0.25">
      <c r="A152" s="47" t="str">
        <f>IFERROR(INDEX('G-8 Condition Look up'!$I$4:$I$130,MATCH(F152,'G-8 Condition Look up'!$A$4:$A$130,0)),"")</f>
        <v/>
      </c>
      <c r="C152" s="384" t="str">
        <f>IFERROR(INDEX('G-1 All Habitats'!$AG$3:$AG$15,MATCH(D152,'G-1 All Habitats'!$AF$3:$AF$15,0)),"")</f>
        <v/>
      </c>
      <c r="D152" s="146"/>
      <c r="E152" s="79"/>
      <c r="F152" s="246" t="str">
        <f>IFERROR(INDEX('G-1 All Habitats'!$B$3:$B$129,MATCH(E152,'G-1 All Habitats'!$A$3:$A$129,0)),"")</f>
        <v/>
      </c>
      <c r="G152" s="70"/>
      <c r="H152" s="498" t="str">
        <f>IF(F152="","",VLOOKUP(F152,'G-1 All Habitats'!$B$2:$M$129,10,FALSE))</f>
        <v/>
      </c>
      <c r="I152" s="499" t="str">
        <f>IFERROR(VLOOKUP(H152,'G-1 All Habitats'!$V$3:$W$7,2,FALSE),"")</f>
        <v/>
      </c>
      <c r="J152" s="71"/>
      <c r="K152" s="499" t="str">
        <f>IFERROR(INDEX('G-8 Condition Look up'!$A$3:$H$130,MATCH(F152,'G-8 Condition Look up'!$A$3:$A$130,0),MATCH(J152,'G-8 Condition Look up'!$A$3:$H$3,0)),"")</f>
        <v/>
      </c>
      <c r="L152" s="71"/>
      <c r="M152" s="507" t="str">
        <f>IF(L152="","",IF(VLOOKUP(L152,'G-3 Multipliers'!$L$3:$N$6,2,FALSE)=0,"Spatial Data Missing",VLOOKUP(L152,'G-3 Multipliers'!$L$3:$N$6,2,FALSE)))</f>
        <v/>
      </c>
      <c r="N152" s="505" t="str">
        <f>IF(L152="","",IF(VLOOKUP(L152,'G-3 Multipliers'!$L$3:$N$6,3,FALSE)=0,"Spatial Data Missing",VLOOKUP(L152,'G-3 Multipliers'!$L$3:$N$6,3,FALSE)))</f>
        <v/>
      </c>
      <c r="O152" s="498" t="str">
        <f t="shared" si="12"/>
        <v/>
      </c>
      <c r="P152" s="82"/>
      <c r="Q152" s="82"/>
      <c r="R152" s="507" t="str">
        <f t="shared" si="14"/>
        <v/>
      </c>
      <c r="S152" s="521" t="str">
        <f t="shared" si="15"/>
        <v/>
      </c>
      <c r="T152" s="522" t="str">
        <f>IFERROR(IF(S152="Check Data ⚠","Check Data ⚠",VLOOKUP(S152,'G-4 Temporal multipliers'!$A$4:$C$37,3,FALSE)),"")</f>
        <v/>
      </c>
      <c r="U152" s="523" t="str">
        <f>IF(F152="","",VLOOKUP(F152,'G-3 Multipliers'!$A$2:$E$129,2,FALSE))</f>
        <v/>
      </c>
      <c r="V152" s="520" t="str">
        <f t="shared" si="16"/>
        <v/>
      </c>
      <c r="W152" s="520" t="str">
        <f>IF(E152="","",IF(AND(V152="Standard difficulty applied",O152&gt;P152),U152,IF(AND(V152="Low Difficulty - only applicable if all habitat created before losses",P152&gt;=O152),"Low",VLOOKUP(F152,'G-3 Multipliers'!$A$2:$E$129,4,FALSE))))</f>
        <v/>
      </c>
      <c r="X152" s="524" t="str">
        <f>IFERROR(IF(E152="","",VLOOKUP(W152, 'G-3 Multipliers'!$P$2:$Q$6,2,FALSE)),"")</f>
        <v/>
      </c>
      <c r="Y152" s="529" t="str">
        <f t="shared" si="17"/>
        <v/>
      </c>
      <c r="Z152" s="239"/>
      <c r="AA152" s="240"/>
      <c r="AE152" s="54" t="str">
        <f t="shared" si="13"/>
        <v/>
      </c>
    </row>
    <row r="153" spans="1:31" x14ac:dyDescent="0.25">
      <c r="A153" s="47" t="str">
        <f>IFERROR(INDEX('G-8 Condition Look up'!$I$4:$I$130,MATCH(F153,'G-8 Condition Look up'!$A$4:$A$130,0)),"")</f>
        <v/>
      </c>
      <c r="C153" s="384" t="str">
        <f>IFERROR(INDEX('G-1 All Habitats'!$AG$3:$AG$15,MATCH(D153,'G-1 All Habitats'!$AF$3:$AF$15,0)),"")</f>
        <v/>
      </c>
      <c r="D153" s="146"/>
      <c r="E153" s="79"/>
      <c r="F153" s="246" t="str">
        <f>IFERROR(INDEX('G-1 All Habitats'!$B$3:$B$129,MATCH(E153,'G-1 All Habitats'!$A$3:$A$129,0)),"")</f>
        <v/>
      </c>
      <c r="G153" s="70"/>
      <c r="H153" s="498" t="str">
        <f>IF(F153="","",VLOOKUP(F153,'G-1 All Habitats'!$B$2:$M$129,10,FALSE))</f>
        <v/>
      </c>
      <c r="I153" s="499" t="str">
        <f>IFERROR(VLOOKUP(H153,'G-1 All Habitats'!$V$3:$W$7,2,FALSE),"")</f>
        <v/>
      </c>
      <c r="J153" s="71"/>
      <c r="K153" s="499" t="str">
        <f>IFERROR(INDEX('G-8 Condition Look up'!$A$3:$H$130,MATCH(F153,'G-8 Condition Look up'!$A$3:$A$130,0),MATCH(J153,'G-8 Condition Look up'!$A$3:$H$3,0)),"")</f>
        <v/>
      </c>
      <c r="L153" s="71"/>
      <c r="M153" s="507" t="str">
        <f>IF(L153="","",IF(VLOOKUP(L153,'G-3 Multipliers'!$L$3:$N$6,2,FALSE)=0,"Spatial Data Missing",VLOOKUP(L153,'G-3 Multipliers'!$L$3:$N$6,2,FALSE)))</f>
        <v/>
      </c>
      <c r="N153" s="505" t="str">
        <f>IF(L153="","",IF(VLOOKUP(L153,'G-3 Multipliers'!$L$3:$N$6,3,FALSE)=0,"Spatial Data Missing",VLOOKUP(L153,'G-3 Multipliers'!$L$3:$N$6,3,FALSE)))</f>
        <v/>
      </c>
      <c r="O153" s="498" t="str">
        <f t="shared" si="12"/>
        <v/>
      </c>
      <c r="P153" s="82"/>
      <c r="Q153" s="82"/>
      <c r="R153" s="507" t="str">
        <f t="shared" si="14"/>
        <v/>
      </c>
      <c r="S153" s="521" t="str">
        <f t="shared" si="15"/>
        <v/>
      </c>
      <c r="T153" s="522" t="str">
        <f>IFERROR(IF(S153="Check Data ⚠","Check Data ⚠",VLOOKUP(S153,'G-4 Temporal multipliers'!$A$4:$C$37,3,FALSE)),"")</f>
        <v/>
      </c>
      <c r="U153" s="523" t="str">
        <f>IF(F153="","",VLOOKUP(F153,'G-3 Multipliers'!$A$2:$E$129,2,FALSE))</f>
        <v/>
      </c>
      <c r="V153" s="520" t="str">
        <f t="shared" si="16"/>
        <v/>
      </c>
      <c r="W153" s="520" t="str">
        <f>IF(E153="","",IF(AND(V153="Standard difficulty applied",O153&gt;P153),U153,IF(AND(V153="Low Difficulty - only applicable if all habitat created before losses",P153&gt;=O153),"Low",VLOOKUP(F153,'G-3 Multipliers'!$A$2:$E$129,4,FALSE))))</f>
        <v/>
      </c>
      <c r="X153" s="524" t="str">
        <f>IFERROR(IF(E153="","",VLOOKUP(W153, 'G-3 Multipliers'!$P$2:$Q$6,2,FALSE)),"")</f>
        <v/>
      </c>
      <c r="Y153" s="529" t="str">
        <f t="shared" si="17"/>
        <v/>
      </c>
      <c r="Z153" s="239"/>
      <c r="AA153" s="240"/>
      <c r="AE153" s="54" t="str">
        <f t="shared" si="13"/>
        <v/>
      </c>
    </row>
    <row r="154" spans="1:31" x14ac:dyDescent="0.25">
      <c r="A154" s="47" t="str">
        <f>IFERROR(INDEX('G-8 Condition Look up'!$I$4:$I$130,MATCH(F154,'G-8 Condition Look up'!$A$4:$A$130,0)),"")</f>
        <v/>
      </c>
      <c r="C154" s="384" t="str">
        <f>IFERROR(INDEX('G-1 All Habitats'!$AG$3:$AG$15,MATCH(D154,'G-1 All Habitats'!$AF$3:$AF$15,0)),"")</f>
        <v/>
      </c>
      <c r="D154" s="146"/>
      <c r="E154" s="79"/>
      <c r="F154" s="246" t="str">
        <f>IFERROR(INDEX('G-1 All Habitats'!$B$3:$B$129,MATCH(E154,'G-1 All Habitats'!$A$3:$A$129,0)),"")</f>
        <v/>
      </c>
      <c r="G154" s="70"/>
      <c r="H154" s="498" t="str">
        <f>IF(F154="","",VLOOKUP(F154,'G-1 All Habitats'!$B$2:$M$129,10,FALSE))</f>
        <v/>
      </c>
      <c r="I154" s="499" t="str">
        <f>IFERROR(VLOOKUP(H154,'G-1 All Habitats'!$V$3:$W$7,2,FALSE),"")</f>
        <v/>
      </c>
      <c r="J154" s="71"/>
      <c r="K154" s="499" t="str">
        <f>IFERROR(INDEX('G-8 Condition Look up'!$A$3:$H$130,MATCH(F154,'G-8 Condition Look up'!$A$3:$A$130,0),MATCH(J154,'G-8 Condition Look up'!$A$3:$H$3,0)),"")</f>
        <v/>
      </c>
      <c r="L154" s="71"/>
      <c r="M154" s="507" t="str">
        <f>IF(L154="","",IF(VLOOKUP(L154,'G-3 Multipliers'!$L$3:$N$6,2,FALSE)=0,"Spatial Data Missing",VLOOKUP(L154,'G-3 Multipliers'!$L$3:$N$6,2,FALSE)))</f>
        <v/>
      </c>
      <c r="N154" s="505" t="str">
        <f>IF(L154="","",IF(VLOOKUP(L154,'G-3 Multipliers'!$L$3:$N$6,3,FALSE)=0,"Spatial Data Missing",VLOOKUP(L154,'G-3 Multipliers'!$L$3:$N$6,3,FALSE)))</f>
        <v/>
      </c>
      <c r="O154" s="498" t="str">
        <f t="shared" si="12"/>
        <v/>
      </c>
      <c r="P154" s="82"/>
      <c r="Q154" s="82"/>
      <c r="R154" s="507" t="str">
        <f t="shared" si="14"/>
        <v/>
      </c>
      <c r="S154" s="521" t="str">
        <f t="shared" si="15"/>
        <v/>
      </c>
      <c r="T154" s="522" t="str">
        <f>IFERROR(IF(S154="Check Data ⚠","Check Data ⚠",VLOOKUP(S154,'G-4 Temporal multipliers'!$A$4:$C$37,3,FALSE)),"")</f>
        <v/>
      </c>
      <c r="U154" s="523" t="str">
        <f>IF(F154="","",VLOOKUP(F154,'G-3 Multipliers'!$A$2:$E$129,2,FALSE))</f>
        <v/>
      </c>
      <c r="V154" s="520" t="str">
        <f t="shared" si="16"/>
        <v/>
      </c>
      <c r="W154" s="520" t="str">
        <f>IF(E154="","",IF(AND(V154="Standard difficulty applied",O154&gt;P154),U154,IF(AND(V154="Low Difficulty - only applicable if all habitat created before losses",P154&gt;=O154),"Low",VLOOKUP(F154,'G-3 Multipliers'!$A$2:$E$129,4,FALSE))))</f>
        <v/>
      </c>
      <c r="X154" s="524" t="str">
        <f>IFERROR(IF(E154="","",VLOOKUP(W154, 'G-3 Multipliers'!$P$2:$Q$6,2,FALSE)),"")</f>
        <v/>
      </c>
      <c r="Y154" s="529" t="str">
        <f t="shared" si="17"/>
        <v/>
      </c>
      <c r="Z154" s="239"/>
      <c r="AA154" s="240"/>
      <c r="AE154" s="54" t="str">
        <f t="shared" si="13"/>
        <v/>
      </c>
    </row>
    <row r="155" spans="1:31" x14ac:dyDescent="0.25">
      <c r="A155" s="47" t="str">
        <f>IFERROR(INDEX('G-8 Condition Look up'!$I$4:$I$130,MATCH(F155,'G-8 Condition Look up'!$A$4:$A$130,0)),"")</f>
        <v/>
      </c>
      <c r="C155" s="384" t="str">
        <f>IFERROR(INDEX('G-1 All Habitats'!$AG$3:$AG$15,MATCH(D155,'G-1 All Habitats'!$AF$3:$AF$15,0)),"")</f>
        <v/>
      </c>
      <c r="D155" s="146"/>
      <c r="E155" s="79"/>
      <c r="F155" s="246" t="str">
        <f>IFERROR(INDEX('G-1 All Habitats'!$B$3:$B$129,MATCH(E155,'G-1 All Habitats'!$A$3:$A$129,0)),"")</f>
        <v/>
      </c>
      <c r="G155" s="70"/>
      <c r="H155" s="498" t="str">
        <f>IF(F155="","",VLOOKUP(F155,'G-1 All Habitats'!$B$2:$M$129,10,FALSE))</f>
        <v/>
      </c>
      <c r="I155" s="499" t="str">
        <f>IFERROR(VLOOKUP(H155,'G-1 All Habitats'!$V$3:$W$7,2,FALSE),"")</f>
        <v/>
      </c>
      <c r="J155" s="71"/>
      <c r="K155" s="499" t="str">
        <f>IFERROR(INDEX('G-8 Condition Look up'!$A$3:$H$130,MATCH(F155,'G-8 Condition Look up'!$A$3:$A$130,0),MATCH(J155,'G-8 Condition Look up'!$A$3:$H$3,0)),"")</f>
        <v/>
      </c>
      <c r="L155" s="71"/>
      <c r="M155" s="507" t="str">
        <f>IF(L155="","",IF(VLOOKUP(L155,'G-3 Multipliers'!$L$3:$N$6,2,FALSE)=0,"Spatial Data Missing",VLOOKUP(L155,'G-3 Multipliers'!$L$3:$N$6,2,FALSE)))</f>
        <v/>
      </c>
      <c r="N155" s="505" t="str">
        <f>IF(L155="","",IF(VLOOKUP(L155,'G-3 Multipliers'!$L$3:$N$6,3,FALSE)=0,"Spatial Data Missing",VLOOKUP(L155,'G-3 Multipliers'!$L$3:$N$6,3,FALSE)))</f>
        <v/>
      </c>
      <c r="O155" s="498" t="str">
        <f t="shared" si="12"/>
        <v/>
      </c>
      <c r="P155" s="82"/>
      <c r="Q155" s="82"/>
      <c r="R155" s="507" t="str">
        <f t="shared" si="14"/>
        <v/>
      </c>
      <c r="S155" s="521" t="str">
        <f t="shared" si="15"/>
        <v/>
      </c>
      <c r="T155" s="522" t="str">
        <f>IFERROR(IF(S155="Check Data ⚠","Check Data ⚠",VLOOKUP(S155,'G-4 Temporal multipliers'!$A$4:$C$37,3,FALSE)),"")</f>
        <v/>
      </c>
      <c r="U155" s="523" t="str">
        <f>IF(F155="","",VLOOKUP(F155,'G-3 Multipliers'!$A$2:$E$129,2,FALSE))</f>
        <v/>
      </c>
      <c r="V155" s="520" t="str">
        <f t="shared" si="16"/>
        <v/>
      </c>
      <c r="W155" s="520" t="str">
        <f>IF(E155="","",IF(AND(V155="Standard difficulty applied",O155&gt;P155),U155,IF(AND(V155="Low Difficulty - only applicable if all habitat created before losses",P155&gt;=O155),"Low",VLOOKUP(F155,'G-3 Multipliers'!$A$2:$E$129,4,FALSE))))</f>
        <v/>
      </c>
      <c r="X155" s="524" t="str">
        <f>IFERROR(IF(E155="","",VLOOKUP(W155, 'G-3 Multipliers'!$P$2:$Q$6,2,FALSE)),"")</f>
        <v/>
      </c>
      <c r="Y155" s="529" t="str">
        <f t="shared" si="17"/>
        <v/>
      </c>
      <c r="Z155" s="239"/>
      <c r="AA155" s="240"/>
      <c r="AE155" s="54" t="str">
        <f t="shared" si="13"/>
        <v/>
      </c>
    </row>
    <row r="156" spans="1:31" x14ac:dyDescent="0.25">
      <c r="A156" s="47" t="str">
        <f>IFERROR(INDEX('G-8 Condition Look up'!$I$4:$I$130,MATCH(F156,'G-8 Condition Look up'!$A$4:$A$130,0)),"")</f>
        <v/>
      </c>
      <c r="C156" s="384" t="str">
        <f>IFERROR(INDEX('G-1 All Habitats'!$AG$3:$AG$15,MATCH(D156,'G-1 All Habitats'!$AF$3:$AF$15,0)),"")</f>
        <v/>
      </c>
      <c r="D156" s="146"/>
      <c r="E156" s="79"/>
      <c r="F156" s="246" t="str">
        <f>IFERROR(INDEX('G-1 All Habitats'!$B$3:$B$129,MATCH(E156,'G-1 All Habitats'!$A$3:$A$129,0)),"")</f>
        <v/>
      </c>
      <c r="G156" s="70"/>
      <c r="H156" s="498" t="str">
        <f>IF(F156="","",VLOOKUP(F156,'G-1 All Habitats'!$B$2:$M$129,10,FALSE))</f>
        <v/>
      </c>
      <c r="I156" s="499" t="str">
        <f>IFERROR(VLOOKUP(H156,'G-1 All Habitats'!$V$3:$W$7,2,FALSE),"")</f>
        <v/>
      </c>
      <c r="J156" s="71"/>
      <c r="K156" s="499" t="str">
        <f>IFERROR(INDEX('G-8 Condition Look up'!$A$3:$H$130,MATCH(F156,'G-8 Condition Look up'!$A$3:$A$130,0),MATCH(J156,'G-8 Condition Look up'!$A$3:$H$3,0)),"")</f>
        <v/>
      </c>
      <c r="L156" s="71"/>
      <c r="M156" s="507" t="str">
        <f>IF(L156="","",IF(VLOOKUP(L156,'G-3 Multipliers'!$L$3:$N$6,2,FALSE)=0,"Spatial Data Missing",VLOOKUP(L156,'G-3 Multipliers'!$L$3:$N$6,2,FALSE)))</f>
        <v/>
      </c>
      <c r="N156" s="505" t="str">
        <f>IF(L156="","",IF(VLOOKUP(L156,'G-3 Multipliers'!$L$3:$N$6,3,FALSE)=0,"Spatial Data Missing",VLOOKUP(L156,'G-3 Multipliers'!$L$3:$N$6,3,FALSE)))</f>
        <v/>
      </c>
      <c r="O156" s="498" t="str">
        <f t="shared" si="12"/>
        <v/>
      </c>
      <c r="P156" s="82"/>
      <c r="Q156" s="82"/>
      <c r="R156" s="507" t="str">
        <f t="shared" si="14"/>
        <v/>
      </c>
      <c r="S156" s="521" t="str">
        <f t="shared" si="15"/>
        <v/>
      </c>
      <c r="T156" s="522" t="str">
        <f>IFERROR(IF(S156="Check Data ⚠","Check Data ⚠",VLOOKUP(S156,'G-4 Temporal multipliers'!$A$4:$C$37,3,FALSE)),"")</f>
        <v/>
      </c>
      <c r="U156" s="523" t="str">
        <f>IF(F156="","",VLOOKUP(F156,'G-3 Multipliers'!$A$2:$E$129,2,FALSE))</f>
        <v/>
      </c>
      <c r="V156" s="520" t="str">
        <f t="shared" si="16"/>
        <v/>
      </c>
      <c r="W156" s="520" t="str">
        <f>IF(E156="","",IF(AND(V156="Standard difficulty applied",O156&gt;P156),U156,IF(AND(V156="Low Difficulty - only applicable if all habitat created before losses",P156&gt;=O156),"Low",VLOOKUP(F156,'G-3 Multipliers'!$A$2:$E$129,4,FALSE))))</f>
        <v/>
      </c>
      <c r="X156" s="524" t="str">
        <f>IFERROR(IF(E156="","",VLOOKUP(W156, 'G-3 Multipliers'!$P$2:$Q$6,2,FALSE)),"")</f>
        <v/>
      </c>
      <c r="Y156" s="529" t="str">
        <f t="shared" si="17"/>
        <v/>
      </c>
      <c r="Z156" s="239"/>
      <c r="AA156" s="240"/>
      <c r="AE156" s="54" t="str">
        <f t="shared" si="13"/>
        <v/>
      </c>
    </row>
    <row r="157" spans="1:31" x14ac:dyDescent="0.25">
      <c r="A157" s="47" t="str">
        <f>IFERROR(INDEX('G-8 Condition Look up'!$I$4:$I$130,MATCH(F157,'G-8 Condition Look up'!$A$4:$A$130,0)),"")</f>
        <v/>
      </c>
      <c r="C157" s="384" t="str">
        <f>IFERROR(INDEX('G-1 All Habitats'!$AG$3:$AG$15,MATCH(D157,'G-1 All Habitats'!$AF$3:$AF$15,0)),"")</f>
        <v/>
      </c>
      <c r="D157" s="146"/>
      <c r="E157" s="79"/>
      <c r="F157" s="246" t="str">
        <f>IFERROR(INDEX('G-1 All Habitats'!$B$3:$B$129,MATCH(E157,'G-1 All Habitats'!$A$3:$A$129,0)),"")</f>
        <v/>
      </c>
      <c r="G157" s="70"/>
      <c r="H157" s="498" t="str">
        <f>IF(F157="","",VLOOKUP(F157,'G-1 All Habitats'!$B$2:$M$129,10,FALSE))</f>
        <v/>
      </c>
      <c r="I157" s="499" t="str">
        <f>IFERROR(VLOOKUP(H157,'G-1 All Habitats'!$V$3:$W$7,2,FALSE),"")</f>
        <v/>
      </c>
      <c r="J157" s="71"/>
      <c r="K157" s="499" t="str">
        <f>IFERROR(INDEX('G-8 Condition Look up'!$A$3:$H$130,MATCH(F157,'G-8 Condition Look up'!$A$3:$A$130,0),MATCH(J157,'G-8 Condition Look up'!$A$3:$H$3,0)),"")</f>
        <v/>
      </c>
      <c r="L157" s="71"/>
      <c r="M157" s="507" t="str">
        <f>IF(L157="","",IF(VLOOKUP(L157,'G-3 Multipliers'!$L$3:$N$6,2,FALSE)=0,"Spatial Data Missing",VLOOKUP(L157,'G-3 Multipliers'!$L$3:$N$6,2,FALSE)))</f>
        <v/>
      </c>
      <c r="N157" s="505" t="str">
        <f>IF(L157="","",IF(VLOOKUP(L157,'G-3 Multipliers'!$L$3:$N$6,3,FALSE)=0,"Spatial Data Missing",VLOOKUP(L157,'G-3 Multipliers'!$L$3:$N$6,3,FALSE)))</f>
        <v/>
      </c>
      <c r="O157" s="498" t="str">
        <f t="shared" si="12"/>
        <v/>
      </c>
      <c r="P157" s="82"/>
      <c r="Q157" s="82"/>
      <c r="R157" s="507" t="str">
        <f t="shared" si="14"/>
        <v/>
      </c>
      <c r="S157" s="521" t="str">
        <f t="shared" si="15"/>
        <v/>
      </c>
      <c r="T157" s="522" t="str">
        <f>IFERROR(IF(S157="Check Data ⚠","Check Data ⚠",VLOOKUP(S157,'G-4 Temporal multipliers'!$A$4:$C$37,3,FALSE)),"")</f>
        <v/>
      </c>
      <c r="U157" s="523" t="str">
        <f>IF(F157="","",VLOOKUP(F157,'G-3 Multipliers'!$A$2:$E$129,2,FALSE))</f>
        <v/>
      </c>
      <c r="V157" s="520" t="str">
        <f t="shared" si="16"/>
        <v/>
      </c>
      <c r="W157" s="520" t="str">
        <f>IF(E157="","",IF(AND(V157="Standard difficulty applied",O157&gt;P157),U157,IF(AND(V157="Low Difficulty - only applicable if all habitat created before losses",P157&gt;=O157),"Low",VLOOKUP(F157,'G-3 Multipliers'!$A$2:$E$129,4,FALSE))))</f>
        <v/>
      </c>
      <c r="X157" s="524" t="str">
        <f>IFERROR(IF(E157="","",VLOOKUP(W157, 'G-3 Multipliers'!$P$2:$Q$6,2,FALSE)),"")</f>
        <v/>
      </c>
      <c r="Y157" s="529" t="str">
        <f t="shared" si="17"/>
        <v/>
      </c>
      <c r="Z157" s="239"/>
      <c r="AA157" s="240"/>
      <c r="AE157" s="54" t="str">
        <f t="shared" si="13"/>
        <v/>
      </c>
    </row>
    <row r="158" spans="1:31" x14ac:dyDescent="0.25">
      <c r="A158" s="47" t="str">
        <f>IFERROR(INDEX('G-8 Condition Look up'!$I$4:$I$130,MATCH(F158,'G-8 Condition Look up'!$A$4:$A$130,0)),"")</f>
        <v/>
      </c>
      <c r="C158" s="384" t="str">
        <f>IFERROR(INDEX('G-1 All Habitats'!$AG$3:$AG$15,MATCH(D158,'G-1 All Habitats'!$AF$3:$AF$15,0)),"")</f>
        <v/>
      </c>
      <c r="D158" s="146"/>
      <c r="E158" s="79"/>
      <c r="F158" s="246" t="str">
        <f>IFERROR(INDEX('G-1 All Habitats'!$B$3:$B$129,MATCH(E158,'G-1 All Habitats'!$A$3:$A$129,0)),"")</f>
        <v/>
      </c>
      <c r="G158" s="70"/>
      <c r="H158" s="498" t="str">
        <f>IF(F158="","",VLOOKUP(F158,'G-1 All Habitats'!$B$2:$M$129,10,FALSE))</f>
        <v/>
      </c>
      <c r="I158" s="499" t="str">
        <f>IFERROR(VLOOKUP(H158,'G-1 All Habitats'!$V$3:$W$7,2,FALSE),"")</f>
        <v/>
      </c>
      <c r="J158" s="71"/>
      <c r="K158" s="499" t="str">
        <f>IFERROR(INDEX('G-8 Condition Look up'!$A$3:$H$130,MATCH(F158,'G-8 Condition Look up'!$A$3:$A$130,0),MATCH(J158,'G-8 Condition Look up'!$A$3:$H$3,0)),"")</f>
        <v/>
      </c>
      <c r="L158" s="71"/>
      <c r="M158" s="507" t="str">
        <f>IF(L158="","",IF(VLOOKUP(L158,'G-3 Multipliers'!$L$3:$N$6,2,FALSE)=0,"Spatial Data Missing",VLOOKUP(L158,'G-3 Multipliers'!$L$3:$N$6,2,FALSE)))</f>
        <v/>
      </c>
      <c r="N158" s="505" t="str">
        <f>IF(L158="","",IF(VLOOKUP(L158,'G-3 Multipliers'!$L$3:$N$6,3,FALSE)=0,"Spatial Data Missing",VLOOKUP(L158,'G-3 Multipliers'!$L$3:$N$6,3,FALSE)))</f>
        <v/>
      </c>
      <c r="O158" s="498" t="str">
        <f t="shared" si="12"/>
        <v/>
      </c>
      <c r="P158" s="82"/>
      <c r="Q158" s="82"/>
      <c r="R158" s="507" t="str">
        <f t="shared" si="14"/>
        <v/>
      </c>
      <c r="S158" s="521" t="str">
        <f t="shared" si="15"/>
        <v/>
      </c>
      <c r="T158" s="522" t="str">
        <f>IFERROR(IF(S158="Check Data ⚠","Check Data ⚠",VLOOKUP(S158,'G-4 Temporal multipliers'!$A$4:$C$37,3,FALSE)),"")</f>
        <v/>
      </c>
      <c r="U158" s="523" t="str">
        <f>IF(F158="","",VLOOKUP(F158,'G-3 Multipliers'!$A$2:$E$129,2,FALSE))</f>
        <v/>
      </c>
      <c r="V158" s="520" t="str">
        <f t="shared" si="16"/>
        <v/>
      </c>
      <c r="W158" s="520" t="str">
        <f>IF(E158="","",IF(AND(V158="Standard difficulty applied",O158&gt;P158),U158,IF(AND(V158="Low Difficulty - only applicable if all habitat created before losses",P158&gt;=O158),"Low",VLOOKUP(F158,'G-3 Multipliers'!$A$2:$E$129,4,FALSE))))</f>
        <v/>
      </c>
      <c r="X158" s="524" t="str">
        <f>IFERROR(IF(E158="","",VLOOKUP(W158, 'G-3 Multipliers'!$P$2:$Q$6,2,FALSE)),"")</f>
        <v/>
      </c>
      <c r="Y158" s="529" t="str">
        <f t="shared" si="17"/>
        <v/>
      </c>
      <c r="Z158" s="239"/>
      <c r="AA158" s="240"/>
      <c r="AE158" s="54" t="str">
        <f t="shared" si="13"/>
        <v/>
      </c>
    </row>
    <row r="159" spans="1:31" x14ac:dyDescent="0.25">
      <c r="A159" s="47" t="str">
        <f>IFERROR(INDEX('G-8 Condition Look up'!$I$4:$I$130,MATCH(F159,'G-8 Condition Look up'!$A$4:$A$130,0)),"")</f>
        <v/>
      </c>
      <c r="C159" s="384" t="str">
        <f>IFERROR(INDEX('G-1 All Habitats'!$AG$3:$AG$15,MATCH(D159,'G-1 All Habitats'!$AF$3:$AF$15,0)),"")</f>
        <v/>
      </c>
      <c r="D159" s="146"/>
      <c r="E159" s="79"/>
      <c r="F159" s="246" t="str">
        <f>IFERROR(INDEX('G-1 All Habitats'!$B$3:$B$129,MATCH(E159,'G-1 All Habitats'!$A$3:$A$129,0)),"")</f>
        <v/>
      </c>
      <c r="G159" s="70"/>
      <c r="H159" s="498" t="str">
        <f>IF(F159="","",VLOOKUP(F159,'G-1 All Habitats'!$B$2:$M$129,10,FALSE))</f>
        <v/>
      </c>
      <c r="I159" s="499" t="str">
        <f>IFERROR(VLOOKUP(H159,'G-1 All Habitats'!$V$3:$W$7,2,FALSE),"")</f>
        <v/>
      </c>
      <c r="J159" s="71"/>
      <c r="K159" s="499" t="str">
        <f>IFERROR(INDEX('G-8 Condition Look up'!$A$3:$H$130,MATCH(F159,'G-8 Condition Look up'!$A$3:$A$130,0),MATCH(J159,'G-8 Condition Look up'!$A$3:$H$3,0)),"")</f>
        <v/>
      </c>
      <c r="L159" s="71"/>
      <c r="M159" s="507" t="str">
        <f>IF(L159="","",IF(VLOOKUP(L159,'G-3 Multipliers'!$L$3:$N$6,2,FALSE)=0,"Spatial Data Missing",VLOOKUP(L159,'G-3 Multipliers'!$L$3:$N$6,2,FALSE)))</f>
        <v/>
      </c>
      <c r="N159" s="505" t="str">
        <f>IF(L159="","",IF(VLOOKUP(L159,'G-3 Multipliers'!$L$3:$N$6,3,FALSE)=0,"Spatial Data Missing",VLOOKUP(L159,'G-3 Multipliers'!$L$3:$N$6,3,FALSE)))</f>
        <v/>
      </c>
      <c r="O159" s="498" t="str">
        <f t="shared" si="12"/>
        <v/>
      </c>
      <c r="P159" s="82"/>
      <c r="Q159" s="82"/>
      <c r="R159" s="507" t="str">
        <f t="shared" si="14"/>
        <v/>
      </c>
      <c r="S159" s="521" t="str">
        <f t="shared" si="15"/>
        <v/>
      </c>
      <c r="T159" s="522" t="str">
        <f>IFERROR(IF(S159="Check Data ⚠","Check Data ⚠",VLOOKUP(S159,'G-4 Temporal multipliers'!$A$4:$C$37,3,FALSE)),"")</f>
        <v/>
      </c>
      <c r="U159" s="523" t="str">
        <f>IF(F159="","",VLOOKUP(F159,'G-3 Multipliers'!$A$2:$E$129,2,FALSE))</f>
        <v/>
      </c>
      <c r="V159" s="520" t="str">
        <f t="shared" si="16"/>
        <v/>
      </c>
      <c r="W159" s="520" t="str">
        <f>IF(E159="","",IF(AND(V159="Standard difficulty applied",O159&gt;P159),U159,IF(AND(V159="Low Difficulty - only applicable if all habitat created before losses",P159&gt;=O159),"Low",VLOOKUP(F159,'G-3 Multipliers'!$A$2:$E$129,4,FALSE))))</f>
        <v/>
      </c>
      <c r="X159" s="524" t="str">
        <f>IFERROR(IF(E159="","",VLOOKUP(W159, 'G-3 Multipliers'!$P$2:$Q$6,2,FALSE)),"")</f>
        <v/>
      </c>
      <c r="Y159" s="529" t="str">
        <f t="shared" si="17"/>
        <v/>
      </c>
      <c r="Z159" s="239"/>
      <c r="AA159" s="240"/>
      <c r="AE159" s="54" t="str">
        <f t="shared" si="13"/>
        <v/>
      </c>
    </row>
    <row r="160" spans="1:31" x14ac:dyDescent="0.25">
      <c r="A160" s="47" t="str">
        <f>IFERROR(INDEX('G-8 Condition Look up'!$I$4:$I$130,MATCH(F160,'G-8 Condition Look up'!$A$4:$A$130,0)),"")</f>
        <v/>
      </c>
      <c r="C160" s="384" t="str">
        <f>IFERROR(INDEX('G-1 All Habitats'!$AG$3:$AG$15,MATCH(D160,'G-1 All Habitats'!$AF$3:$AF$15,0)),"")</f>
        <v/>
      </c>
      <c r="D160" s="146"/>
      <c r="E160" s="79"/>
      <c r="F160" s="246" t="str">
        <f>IFERROR(INDEX('G-1 All Habitats'!$B$3:$B$129,MATCH(E160,'G-1 All Habitats'!$A$3:$A$129,0)),"")</f>
        <v/>
      </c>
      <c r="G160" s="70"/>
      <c r="H160" s="498" t="str">
        <f>IF(F160="","",VLOOKUP(F160,'G-1 All Habitats'!$B$2:$M$129,10,FALSE))</f>
        <v/>
      </c>
      <c r="I160" s="499" t="str">
        <f>IFERROR(VLOOKUP(H160,'G-1 All Habitats'!$V$3:$W$7,2,FALSE),"")</f>
        <v/>
      </c>
      <c r="J160" s="71"/>
      <c r="K160" s="499" t="str">
        <f>IFERROR(INDEX('G-8 Condition Look up'!$A$3:$H$130,MATCH(F160,'G-8 Condition Look up'!$A$3:$A$130,0),MATCH(J160,'G-8 Condition Look up'!$A$3:$H$3,0)),"")</f>
        <v/>
      </c>
      <c r="L160" s="71"/>
      <c r="M160" s="507" t="str">
        <f>IF(L160="","",IF(VLOOKUP(L160,'G-3 Multipliers'!$L$3:$N$6,2,FALSE)=0,"Spatial Data Missing",VLOOKUP(L160,'G-3 Multipliers'!$L$3:$N$6,2,FALSE)))</f>
        <v/>
      </c>
      <c r="N160" s="505" t="str">
        <f>IF(L160="","",IF(VLOOKUP(L160,'G-3 Multipliers'!$L$3:$N$6,3,FALSE)=0,"Spatial Data Missing",VLOOKUP(L160,'G-3 Multipliers'!$L$3:$N$6,3,FALSE)))</f>
        <v/>
      </c>
      <c r="O160" s="498" t="str">
        <f t="shared" si="12"/>
        <v/>
      </c>
      <c r="P160" s="82"/>
      <c r="Q160" s="82"/>
      <c r="R160" s="507" t="str">
        <f t="shared" si="14"/>
        <v/>
      </c>
      <c r="S160" s="521" t="str">
        <f t="shared" si="15"/>
        <v/>
      </c>
      <c r="T160" s="522" t="str">
        <f>IFERROR(IF(S160="Check Data ⚠","Check Data ⚠",VLOOKUP(S160,'G-4 Temporal multipliers'!$A$4:$C$37,3,FALSE)),"")</f>
        <v/>
      </c>
      <c r="U160" s="523" t="str">
        <f>IF(F160="","",VLOOKUP(F160,'G-3 Multipliers'!$A$2:$E$129,2,FALSE))</f>
        <v/>
      </c>
      <c r="V160" s="520" t="str">
        <f t="shared" si="16"/>
        <v/>
      </c>
      <c r="W160" s="520" t="str">
        <f>IF(E160="","",IF(AND(V160="Standard difficulty applied",O160&gt;P160),U160,IF(AND(V160="Low Difficulty - only applicable if all habitat created before losses",P160&gt;=O160),"Low",VLOOKUP(F160,'G-3 Multipliers'!$A$2:$E$129,4,FALSE))))</f>
        <v/>
      </c>
      <c r="X160" s="524" t="str">
        <f>IFERROR(IF(E160="","",VLOOKUP(W160, 'G-3 Multipliers'!$P$2:$Q$6,2,FALSE)),"")</f>
        <v/>
      </c>
      <c r="Y160" s="529" t="str">
        <f t="shared" si="17"/>
        <v/>
      </c>
      <c r="Z160" s="239"/>
      <c r="AA160" s="240"/>
      <c r="AE160" s="54" t="str">
        <f t="shared" si="13"/>
        <v/>
      </c>
    </row>
    <row r="161" spans="1:31" x14ac:dyDescent="0.25">
      <c r="A161" s="47" t="str">
        <f>IFERROR(INDEX('G-8 Condition Look up'!$I$4:$I$130,MATCH(F161,'G-8 Condition Look up'!$A$4:$A$130,0)),"")</f>
        <v/>
      </c>
      <c r="C161" s="384" t="str">
        <f>IFERROR(INDEX('G-1 All Habitats'!$AG$3:$AG$15,MATCH(D161,'G-1 All Habitats'!$AF$3:$AF$15,0)),"")</f>
        <v/>
      </c>
      <c r="D161" s="146"/>
      <c r="E161" s="79"/>
      <c r="F161" s="246" t="str">
        <f>IFERROR(INDEX('G-1 All Habitats'!$B$3:$B$129,MATCH(E161,'G-1 All Habitats'!$A$3:$A$129,0)),"")</f>
        <v/>
      </c>
      <c r="G161" s="70"/>
      <c r="H161" s="498" t="str">
        <f>IF(F161="","",VLOOKUP(F161,'G-1 All Habitats'!$B$2:$M$129,10,FALSE))</f>
        <v/>
      </c>
      <c r="I161" s="499" t="str">
        <f>IFERROR(VLOOKUP(H161,'G-1 All Habitats'!$V$3:$W$7,2,FALSE),"")</f>
        <v/>
      </c>
      <c r="J161" s="71"/>
      <c r="K161" s="499" t="str">
        <f>IFERROR(INDEX('G-8 Condition Look up'!$A$3:$H$130,MATCH(F161,'G-8 Condition Look up'!$A$3:$A$130,0),MATCH(J161,'G-8 Condition Look up'!$A$3:$H$3,0)),"")</f>
        <v/>
      </c>
      <c r="L161" s="71"/>
      <c r="M161" s="507" t="str">
        <f>IF(L161="","",IF(VLOOKUP(L161,'G-3 Multipliers'!$L$3:$N$6,2,FALSE)=0,"Spatial Data Missing",VLOOKUP(L161,'G-3 Multipliers'!$L$3:$N$6,2,FALSE)))</f>
        <v/>
      </c>
      <c r="N161" s="505" t="str">
        <f>IF(L161="","",IF(VLOOKUP(L161,'G-3 Multipliers'!$L$3:$N$6,3,FALSE)=0,"Spatial Data Missing",VLOOKUP(L161,'G-3 Multipliers'!$L$3:$N$6,3,FALSE)))</f>
        <v/>
      </c>
      <c r="O161" s="498" t="str">
        <f t="shared" si="12"/>
        <v/>
      </c>
      <c r="P161" s="82"/>
      <c r="Q161" s="82"/>
      <c r="R161" s="507" t="str">
        <f t="shared" si="14"/>
        <v/>
      </c>
      <c r="S161" s="521" t="str">
        <f t="shared" si="15"/>
        <v/>
      </c>
      <c r="T161" s="522" t="str">
        <f>IFERROR(IF(S161="Check Data ⚠","Check Data ⚠",VLOOKUP(S161,'G-4 Temporal multipliers'!$A$4:$C$37,3,FALSE)),"")</f>
        <v/>
      </c>
      <c r="U161" s="523" t="str">
        <f>IF(F161="","",VLOOKUP(F161,'G-3 Multipliers'!$A$2:$E$129,2,FALSE))</f>
        <v/>
      </c>
      <c r="V161" s="520" t="str">
        <f t="shared" si="16"/>
        <v/>
      </c>
      <c r="W161" s="520" t="str">
        <f>IF(E161="","",IF(AND(V161="Standard difficulty applied",O161&gt;P161),U161,IF(AND(V161="Low Difficulty - only applicable if all habitat created before losses",P161&gt;=O161),"Low",VLOOKUP(F161,'G-3 Multipliers'!$A$2:$E$129,4,FALSE))))</f>
        <v/>
      </c>
      <c r="X161" s="524" t="str">
        <f>IFERROR(IF(E161="","",VLOOKUP(W161, 'G-3 Multipliers'!$P$2:$Q$6,2,FALSE)),"")</f>
        <v/>
      </c>
      <c r="Y161" s="529" t="str">
        <f t="shared" si="17"/>
        <v/>
      </c>
      <c r="Z161" s="239"/>
      <c r="AA161" s="240"/>
      <c r="AE161" s="54" t="str">
        <f t="shared" si="13"/>
        <v/>
      </c>
    </row>
    <row r="162" spans="1:31" x14ac:dyDescent="0.25">
      <c r="A162" s="47" t="str">
        <f>IFERROR(INDEX('G-8 Condition Look up'!$I$4:$I$130,MATCH(F162,'G-8 Condition Look up'!$A$4:$A$130,0)),"")</f>
        <v/>
      </c>
      <c r="C162" s="384" t="str">
        <f>IFERROR(INDEX('G-1 All Habitats'!$AG$3:$AG$15,MATCH(D162,'G-1 All Habitats'!$AF$3:$AF$15,0)),"")</f>
        <v/>
      </c>
      <c r="D162" s="146"/>
      <c r="E162" s="79"/>
      <c r="F162" s="246" t="str">
        <f>IFERROR(INDEX('G-1 All Habitats'!$B$3:$B$129,MATCH(E162,'G-1 All Habitats'!$A$3:$A$129,0)),"")</f>
        <v/>
      </c>
      <c r="G162" s="70"/>
      <c r="H162" s="498" t="str">
        <f>IF(F162="","",VLOOKUP(F162,'G-1 All Habitats'!$B$2:$M$129,10,FALSE))</f>
        <v/>
      </c>
      <c r="I162" s="499" t="str">
        <f>IFERROR(VLOOKUP(H162,'G-1 All Habitats'!$V$3:$W$7,2,FALSE),"")</f>
        <v/>
      </c>
      <c r="J162" s="71"/>
      <c r="K162" s="499" t="str">
        <f>IFERROR(INDEX('G-8 Condition Look up'!$A$3:$H$130,MATCH(F162,'G-8 Condition Look up'!$A$3:$A$130,0),MATCH(J162,'G-8 Condition Look up'!$A$3:$H$3,0)),"")</f>
        <v/>
      </c>
      <c r="L162" s="71"/>
      <c r="M162" s="507" t="str">
        <f>IF(L162="","",IF(VLOOKUP(L162,'G-3 Multipliers'!$L$3:$N$6,2,FALSE)=0,"Spatial Data Missing",VLOOKUP(L162,'G-3 Multipliers'!$L$3:$N$6,2,FALSE)))</f>
        <v/>
      </c>
      <c r="N162" s="505" t="str">
        <f>IF(L162="","",IF(VLOOKUP(L162,'G-3 Multipliers'!$L$3:$N$6,3,FALSE)=0,"Spatial Data Missing",VLOOKUP(L162,'G-3 Multipliers'!$L$3:$N$6,3,FALSE)))</f>
        <v/>
      </c>
      <c r="O162" s="498" t="str">
        <f t="shared" si="12"/>
        <v/>
      </c>
      <c r="P162" s="82"/>
      <c r="Q162" s="82"/>
      <c r="R162" s="507" t="str">
        <f t="shared" si="14"/>
        <v/>
      </c>
      <c r="S162" s="521" t="str">
        <f t="shared" si="15"/>
        <v/>
      </c>
      <c r="T162" s="522" t="str">
        <f>IFERROR(IF(S162="Check Data ⚠","Check Data ⚠",VLOOKUP(S162,'G-4 Temporal multipliers'!$A$4:$C$37,3,FALSE)),"")</f>
        <v/>
      </c>
      <c r="U162" s="523" t="str">
        <f>IF(F162="","",VLOOKUP(F162,'G-3 Multipliers'!$A$2:$E$129,2,FALSE))</f>
        <v/>
      </c>
      <c r="V162" s="520" t="str">
        <f t="shared" si="16"/>
        <v/>
      </c>
      <c r="W162" s="520" t="str">
        <f>IF(E162="","",IF(AND(V162="Standard difficulty applied",O162&gt;P162),U162,IF(AND(V162="Low Difficulty - only applicable if all habitat created before losses",P162&gt;=O162),"Low",VLOOKUP(F162,'G-3 Multipliers'!$A$2:$E$129,4,FALSE))))</f>
        <v/>
      </c>
      <c r="X162" s="524" t="str">
        <f>IFERROR(IF(E162="","",VLOOKUP(W162, 'G-3 Multipliers'!$P$2:$Q$6,2,FALSE)),"")</f>
        <v/>
      </c>
      <c r="Y162" s="529" t="str">
        <f t="shared" si="17"/>
        <v/>
      </c>
      <c r="Z162" s="239"/>
      <c r="AA162" s="240"/>
      <c r="AE162" s="54" t="str">
        <f t="shared" si="13"/>
        <v/>
      </c>
    </row>
    <row r="163" spans="1:31" x14ac:dyDescent="0.25">
      <c r="A163" s="47" t="str">
        <f>IFERROR(INDEX('G-8 Condition Look up'!$I$4:$I$130,MATCH(F163,'G-8 Condition Look up'!$A$4:$A$130,0)),"")</f>
        <v/>
      </c>
      <c r="C163" s="384" t="str">
        <f>IFERROR(INDEX('G-1 All Habitats'!$AG$3:$AG$15,MATCH(D163,'G-1 All Habitats'!$AF$3:$AF$15,0)),"")</f>
        <v/>
      </c>
      <c r="D163" s="146"/>
      <c r="E163" s="79"/>
      <c r="F163" s="246" t="str">
        <f>IFERROR(INDEX('G-1 All Habitats'!$B$3:$B$129,MATCH(E163,'G-1 All Habitats'!$A$3:$A$129,0)),"")</f>
        <v/>
      </c>
      <c r="G163" s="70"/>
      <c r="H163" s="498" t="str">
        <f>IF(F163="","",VLOOKUP(F163,'G-1 All Habitats'!$B$2:$M$129,10,FALSE))</f>
        <v/>
      </c>
      <c r="I163" s="499" t="str">
        <f>IFERROR(VLOOKUP(H163,'G-1 All Habitats'!$V$3:$W$7,2,FALSE),"")</f>
        <v/>
      </c>
      <c r="J163" s="71"/>
      <c r="K163" s="499" t="str">
        <f>IFERROR(INDEX('G-8 Condition Look up'!$A$3:$H$130,MATCH(F163,'G-8 Condition Look up'!$A$3:$A$130,0),MATCH(J163,'G-8 Condition Look up'!$A$3:$H$3,0)),"")</f>
        <v/>
      </c>
      <c r="L163" s="71"/>
      <c r="M163" s="507" t="str">
        <f>IF(L163="","",IF(VLOOKUP(L163,'G-3 Multipliers'!$L$3:$N$6,2,FALSE)=0,"Spatial Data Missing",VLOOKUP(L163,'G-3 Multipliers'!$L$3:$N$6,2,FALSE)))</f>
        <v/>
      </c>
      <c r="N163" s="505" t="str">
        <f>IF(L163="","",IF(VLOOKUP(L163,'G-3 Multipliers'!$L$3:$N$6,3,FALSE)=0,"Spatial Data Missing",VLOOKUP(L163,'G-3 Multipliers'!$L$3:$N$6,3,FALSE)))</f>
        <v/>
      </c>
      <c r="O163" s="498" t="str">
        <f t="shared" si="12"/>
        <v/>
      </c>
      <c r="P163" s="82"/>
      <c r="Q163" s="82"/>
      <c r="R163" s="507" t="str">
        <f t="shared" si="14"/>
        <v/>
      </c>
      <c r="S163" s="521" t="str">
        <f t="shared" si="15"/>
        <v/>
      </c>
      <c r="T163" s="522" t="str">
        <f>IFERROR(IF(S163="Check Data ⚠","Check Data ⚠",VLOOKUP(S163,'G-4 Temporal multipliers'!$A$4:$C$37,3,FALSE)),"")</f>
        <v/>
      </c>
      <c r="U163" s="523" t="str">
        <f>IF(F163="","",VLOOKUP(F163,'G-3 Multipliers'!$A$2:$E$129,2,FALSE))</f>
        <v/>
      </c>
      <c r="V163" s="520" t="str">
        <f t="shared" si="16"/>
        <v/>
      </c>
      <c r="W163" s="520" t="str">
        <f>IF(E163="","",IF(AND(V163="Standard difficulty applied",O163&gt;P163),U163,IF(AND(V163="Low Difficulty - only applicable if all habitat created before losses",P163&gt;=O163),"Low",VLOOKUP(F163,'G-3 Multipliers'!$A$2:$E$129,4,FALSE))))</f>
        <v/>
      </c>
      <c r="X163" s="524" t="str">
        <f>IFERROR(IF(E163="","",VLOOKUP(W163, 'G-3 Multipliers'!$P$2:$Q$6,2,FALSE)),"")</f>
        <v/>
      </c>
      <c r="Y163" s="529" t="str">
        <f t="shared" si="17"/>
        <v/>
      </c>
      <c r="Z163" s="239"/>
      <c r="AA163" s="240"/>
      <c r="AE163" s="54" t="str">
        <f t="shared" si="13"/>
        <v/>
      </c>
    </row>
    <row r="164" spans="1:31" x14ac:dyDescent="0.25">
      <c r="A164" s="47" t="str">
        <f>IFERROR(INDEX('G-8 Condition Look up'!$I$4:$I$130,MATCH(F164,'G-8 Condition Look up'!$A$4:$A$130,0)),"")</f>
        <v/>
      </c>
      <c r="C164" s="384" t="str">
        <f>IFERROR(INDEX('G-1 All Habitats'!$AG$3:$AG$15,MATCH(D164,'G-1 All Habitats'!$AF$3:$AF$15,0)),"")</f>
        <v/>
      </c>
      <c r="D164" s="146"/>
      <c r="E164" s="79"/>
      <c r="F164" s="246" t="str">
        <f>IFERROR(INDEX('G-1 All Habitats'!$B$3:$B$129,MATCH(E164,'G-1 All Habitats'!$A$3:$A$129,0)),"")</f>
        <v/>
      </c>
      <c r="G164" s="70"/>
      <c r="H164" s="498" t="str">
        <f>IF(F164="","",VLOOKUP(F164,'G-1 All Habitats'!$B$2:$M$129,10,FALSE))</f>
        <v/>
      </c>
      <c r="I164" s="499" t="str">
        <f>IFERROR(VLOOKUP(H164,'G-1 All Habitats'!$V$3:$W$7,2,FALSE),"")</f>
        <v/>
      </c>
      <c r="J164" s="71"/>
      <c r="K164" s="499" t="str">
        <f>IFERROR(INDEX('G-8 Condition Look up'!$A$3:$H$130,MATCH(F164,'G-8 Condition Look up'!$A$3:$A$130,0),MATCH(J164,'G-8 Condition Look up'!$A$3:$H$3,0)),"")</f>
        <v/>
      </c>
      <c r="L164" s="71"/>
      <c r="M164" s="507" t="str">
        <f>IF(L164="","",IF(VLOOKUP(L164,'G-3 Multipliers'!$L$3:$N$6,2,FALSE)=0,"Spatial Data Missing",VLOOKUP(L164,'G-3 Multipliers'!$L$3:$N$6,2,FALSE)))</f>
        <v/>
      </c>
      <c r="N164" s="505" t="str">
        <f>IF(L164="","",IF(VLOOKUP(L164,'G-3 Multipliers'!$L$3:$N$6,3,FALSE)=0,"Spatial Data Missing",VLOOKUP(L164,'G-3 Multipliers'!$L$3:$N$6,3,FALSE)))</f>
        <v/>
      </c>
      <c r="O164" s="498" t="str">
        <f t="shared" si="12"/>
        <v/>
      </c>
      <c r="P164" s="82"/>
      <c r="Q164" s="82"/>
      <c r="R164" s="507" t="str">
        <f t="shared" si="14"/>
        <v/>
      </c>
      <c r="S164" s="521" t="str">
        <f t="shared" si="15"/>
        <v/>
      </c>
      <c r="T164" s="522" t="str">
        <f>IFERROR(IF(S164="Check Data ⚠","Check Data ⚠",VLOOKUP(S164,'G-4 Temporal multipliers'!$A$4:$C$37,3,FALSE)),"")</f>
        <v/>
      </c>
      <c r="U164" s="523" t="str">
        <f>IF(F164="","",VLOOKUP(F164,'G-3 Multipliers'!$A$2:$E$129,2,FALSE))</f>
        <v/>
      </c>
      <c r="V164" s="520" t="str">
        <f t="shared" si="16"/>
        <v/>
      </c>
      <c r="W164" s="520" t="str">
        <f>IF(E164="","",IF(AND(V164="Standard difficulty applied",O164&gt;P164),U164,IF(AND(V164="Low Difficulty - only applicable if all habitat created before losses",P164&gt;=O164),"Low",VLOOKUP(F164,'G-3 Multipliers'!$A$2:$E$129,4,FALSE))))</f>
        <v/>
      </c>
      <c r="X164" s="524" t="str">
        <f>IFERROR(IF(E164="","",VLOOKUP(W164, 'G-3 Multipliers'!$P$2:$Q$6,2,FALSE)),"")</f>
        <v/>
      </c>
      <c r="Y164" s="529" t="str">
        <f t="shared" si="17"/>
        <v/>
      </c>
      <c r="Z164" s="239"/>
      <c r="AA164" s="240"/>
      <c r="AE164" s="54" t="str">
        <f t="shared" si="13"/>
        <v/>
      </c>
    </row>
    <row r="165" spans="1:31" x14ac:dyDescent="0.25">
      <c r="A165" s="47" t="str">
        <f>IFERROR(INDEX('G-8 Condition Look up'!$I$4:$I$130,MATCH(F165,'G-8 Condition Look up'!$A$4:$A$130,0)),"")</f>
        <v/>
      </c>
      <c r="C165" s="384" t="str">
        <f>IFERROR(INDEX('G-1 All Habitats'!$AG$3:$AG$15,MATCH(D165,'G-1 All Habitats'!$AF$3:$AF$15,0)),"")</f>
        <v/>
      </c>
      <c r="D165" s="146"/>
      <c r="E165" s="79"/>
      <c r="F165" s="246" t="str">
        <f>IFERROR(INDEX('G-1 All Habitats'!$B$3:$B$129,MATCH(E165,'G-1 All Habitats'!$A$3:$A$129,0)),"")</f>
        <v/>
      </c>
      <c r="G165" s="70"/>
      <c r="H165" s="498" t="str">
        <f>IF(F165="","",VLOOKUP(F165,'G-1 All Habitats'!$B$2:$M$129,10,FALSE))</f>
        <v/>
      </c>
      <c r="I165" s="499" t="str">
        <f>IFERROR(VLOOKUP(H165,'G-1 All Habitats'!$V$3:$W$7,2,FALSE),"")</f>
        <v/>
      </c>
      <c r="J165" s="71"/>
      <c r="K165" s="499" t="str">
        <f>IFERROR(INDEX('G-8 Condition Look up'!$A$3:$H$130,MATCH(F165,'G-8 Condition Look up'!$A$3:$A$130,0),MATCH(J165,'G-8 Condition Look up'!$A$3:$H$3,0)),"")</f>
        <v/>
      </c>
      <c r="L165" s="71"/>
      <c r="M165" s="507" t="str">
        <f>IF(L165="","",IF(VLOOKUP(L165,'G-3 Multipliers'!$L$3:$N$6,2,FALSE)=0,"Spatial Data Missing",VLOOKUP(L165,'G-3 Multipliers'!$L$3:$N$6,2,FALSE)))</f>
        <v/>
      </c>
      <c r="N165" s="505" t="str">
        <f>IF(L165="","",IF(VLOOKUP(L165,'G-3 Multipliers'!$L$3:$N$6,3,FALSE)=0,"Spatial Data Missing",VLOOKUP(L165,'G-3 Multipliers'!$L$3:$N$6,3,FALSE)))</f>
        <v/>
      </c>
      <c r="O165" s="498" t="str">
        <f t="shared" si="12"/>
        <v/>
      </c>
      <c r="P165" s="82"/>
      <c r="Q165" s="82"/>
      <c r="R165" s="507" t="str">
        <f t="shared" si="14"/>
        <v/>
      </c>
      <c r="S165" s="521" t="str">
        <f t="shared" si="15"/>
        <v/>
      </c>
      <c r="T165" s="522" t="str">
        <f>IFERROR(IF(S165="Check Data ⚠","Check Data ⚠",VLOOKUP(S165,'G-4 Temporal multipliers'!$A$4:$C$37,3,FALSE)),"")</f>
        <v/>
      </c>
      <c r="U165" s="523" t="str">
        <f>IF(F165="","",VLOOKUP(F165,'G-3 Multipliers'!$A$2:$E$129,2,FALSE))</f>
        <v/>
      </c>
      <c r="V165" s="520" t="str">
        <f t="shared" si="16"/>
        <v/>
      </c>
      <c r="W165" s="520" t="str">
        <f>IF(E165="","",IF(AND(V165="Standard difficulty applied",O165&gt;P165),U165,IF(AND(V165="Low Difficulty - only applicable if all habitat created before losses",P165&gt;=O165),"Low",VLOOKUP(F165,'G-3 Multipliers'!$A$2:$E$129,4,FALSE))))</f>
        <v/>
      </c>
      <c r="X165" s="524" t="str">
        <f>IFERROR(IF(E165="","",VLOOKUP(W165, 'G-3 Multipliers'!$P$2:$Q$6,2,FALSE)),"")</f>
        <v/>
      </c>
      <c r="Y165" s="529" t="str">
        <f t="shared" si="17"/>
        <v/>
      </c>
      <c r="Z165" s="239"/>
      <c r="AA165" s="240"/>
      <c r="AE165" s="54" t="str">
        <f t="shared" si="13"/>
        <v/>
      </c>
    </row>
    <row r="166" spans="1:31" x14ac:dyDescent="0.25">
      <c r="A166" s="47" t="str">
        <f>IFERROR(INDEX('G-8 Condition Look up'!$I$4:$I$130,MATCH(F166,'G-8 Condition Look up'!$A$4:$A$130,0)),"")</f>
        <v/>
      </c>
      <c r="C166" s="384" t="str">
        <f>IFERROR(INDEX('G-1 All Habitats'!$AG$3:$AG$15,MATCH(D166,'G-1 All Habitats'!$AF$3:$AF$15,0)),"")</f>
        <v/>
      </c>
      <c r="D166" s="146"/>
      <c r="E166" s="79"/>
      <c r="F166" s="246" t="str">
        <f>IFERROR(INDEX('G-1 All Habitats'!$B$3:$B$129,MATCH(E166,'G-1 All Habitats'!$A$3:$A$129,0)),"")</f>
        <v/>
      </c>
      <c r="G166" s="70"/>
      <c r="H166" s="498" t="str">
        <f>IF(F166="","",VLOOKUP(F166,'G-1 All Habitats'!$B$2:$M$129,10,FALSE))</f>
        <v/>
      </c>
      <c r="I166" s="499" t="str">
        <f>IFERROR(VLOOKUP(H166,'G-1 All Habitats'!$V$3:$W$7,2,FALSE),"")</f>
        <v/>
      </c>
      <c r="J166" s="71"/>
      <c r="K166" s="499" t="str">
        <f>IFERROR(INDEX('G-8 Condition Look up'!$A$3:$H$130,MATCH(F166,'G-8 Condition Look up'!$A$3:$A$130,0),MATCH(J166,'G-8 Condition Look up'!$A$3:$H$3,0)),"")</f>
        <v/>
      </c>
      <c r="L166" s="71"/>
      <c r="M166" s="507" t="str">
        <f>IF(L166="","",IF(VLOOKUP(L166,'G-3 Multipliers'!$L$3:$N$6,2,FALSE)=0,"Spatial Data Missing",VLOOKUP(L166,'G-3 Multipliers'!$L$3:$N$6,2,FALSE)))</f>
        <v/>
      </c>
      <c r="N166" s="505" t="str">
        <f>IF(L166="","",IF(VLOOKUP(L166,'G-3 Multipliers'!$L$3:$N$6,3,FALSE)=0,"Spatial Data Missing",VLOOKUP(L166,'G-3 Multipliers'!$L$3:$N$6,3,FALSE)))</f>
        <v/>
      </c>
      <c r="O166" s="498" t="str">
        <f t="shared" si="12"/>
        <v/>
      </c>
      <c r="P166" s="82"/>
      <c r="Q166" s="82"/>
      <c r="R166" s="507" t="str">
        <f t="shared" si="14"/>
        <v/>
      </c>
      <c r="S166" s="521" t="str">
        <f t="shared" si="15"/>
        <v/>
      </c>
      <c r="T166" s="522" t="str">
        <f>IFERROR(IF(S166="Check Data ⚠","Check Data ⚠",VLOOKUP(S166,'G-4 Temporal multipliers'!$A$4:$C$37,3,FALSE)),"")</f>
        <v/>
      </c>
      <c r="U166" s="523" t="str">
        <f>IF(F166="","",VLOOKUP(F166,'G-3 Multipliers'!$A$2:$E$129,2,FALSE))</f>
        <v/>
      </c>
      <c r="V166" s="520" t="str">
        <f t="shared" si="16"/>
        <v/>
      </c>
      <c r="W166" s="520" t="str">
        <f>IF(E166="","",IF(AND(V166="Standard difficulty applied",O166&gt;P166),U166,IF(AND(V166="Low Difficulty - only applicable if all habitat created before losses",P166&gt;=O166),"Low",VLOOKUP(F166,'G-3 Multipliers'!$A$2:$E$129,4,FALSE))))</f>
        <v/>
      </c>
      <c r="X166" s="524" t="str">
        <f>IFERROR(IF(E166="","",VLOOKUP(W166, 'G-3 Multipliers'!$P$2:$Q$6,2,FALSE)),"")</f>
        <v/>
      </c>
      <c r="Y166" s="529" t="str">
        <f t="shared" si="17"/>
        <v/>
      </c>
      <c r="Z166" s="239"/>
      <c r="AA166" s="240"/>
      <c r="AE166" s="54" t="str">
        <f t="shared" si="13"/>
        <v/>
      </c>
    </row>
    <row r="167" spans="1:31" x14ac:dyDescent="0.25">
      <c r="A167" s="47" t="str">
        <f>IFERROR(INDEX('G-8 Condition Look up'!$I$4:$I$130,MATCH(F167,'G-8 Condition Look up'!$A$4:$A$130,0)),"")</f>
        <v/>
      </c>
      <c r="C167" s="384" t="str">
        <f>IFERROR(INDEX('G-1 All Habitats'!$AG$3:$AG$15,MATCH(D167,'G-1 All Habitats'!$AF$3:$AF$15,0)),"")</f>
        <v/>
      </c>
      <c r="D167" s="146"/>
      <c r="E167" s="79"/>
      <c r="F167" s="246" t="str">
        <f>IFERROR(INDEX('G-1 All Habitats'!$B$3:$B$129,MATCH(E167,'G-1 All Habitats'!$A$3:$A$129,0)),"")</f>
        <v/>
      </c>
      <c r="G167" s="70"/>
      <c r="H167" s="498" t="str">
        <f>IF(F167="","",VLOOKUP(F167,'G-1 All Habitats'!$B$2:$M$129,10,FALSE))</f>
        <v/>
      </c>
      <c r="I167" s="499" t="str">
        <f>IFERROR(VLOOKUP(H167,'G-1 All Habitats'!$V$3:$W$7,2,FALSE),"")</f>
        <v/>
      </c>
      <c r="J167" s="71"/>
      <c r="K167" s="499" t="str">
        <f>IFERROR(INDEX('G-8 Condition Look up'!$A$3:$H$130,MATCH(F167,'G-8 Condition Look up'!$A$3:$A$130,0),MATCH(J167,'G-8 Condition Look up'!$A$3:$H$3,0)),"")</f>
        <v/>
      </c>
      <c r="L167" s="71"/>
      <c r="M167" s="507" t="str">
        <f>IF(L167="","",IF(VLOOKUP(L167,'G-3 Multipliers'!$L$3:$N$6,2,FALSE)=0,"Spatial Data Missing",VLOOKUP(L167,'G-3 Multipliers'!$L$3:$N$6,2,FALSE)))</f>
        <v/>
      </c>
      <c r="N167" s="505" t="str">
        <f>IF(L167="","",IF(VLOOKUP(L167,'G-3 Multipliers'!$L$3:$N$6,3,FALSE)=0,"Spatial Data Missing",VLOOKUP(L167,'G-3 Multipliers'!$L$3:$N$6,3,FALSE)))</f>
        <v/>
      </c>
      <c r="O167" s="498" t="str">
        <f t="shared" si="12"/>
        <v/>
      </c>
      <c r="P167" s="82"/>
      <c r="Q167" s="82"/>
      <c r="R167" s="507" t="str">
        <f t="shared" si="14"/>
        <v/>
      </c>
      <c r="S167" s="521" t="str">
        <f t="shared" si="15"/>
        <v/>
      </c>
      <c r="T167" s="522" t="str">
        <f>IFERROR(IF(S167="Check Data ⚠","Check Data ⚠",VLOOKUP(S167,'G-4 Temporal multipliers'!$A$4:$C$37,3,FALSE)),"")</f>
        <v/>
      </c>
      <c r="U167" s="523" t="str">
        <f>IF(F167="","",VLOOKUP(F167,'G-3 Multipliers'!$A$2:$E$129,2,FALSE))</f>
        <v/>
      </c>
      <c r="V167" s="520" t="str">
        <f t="shared" si="16"/>
        <v/>
      </c>
      <c r="W167" s="520" t="str">
        <f>IF(E167="","",IF(AND(V167="Standard difficulty applied",O167&gt;P167),U167,IF(AND(V167="Low Difficulty - only applicable if all habitat created before losses",P167&gt;=O167),"Low",VLOOKUP(F167,'G-3 Multipliers'!$A$2:$E$129,4,FALSE))))</f>
        <v/>
      </c>
      <c r="X167" s="524" t="str">
        <f>IFERROR(IF(E167="","",VLOOKUP(W167, 'G-3 Multipliers'!$P$2:$Q$6,2,FALSE)),"")</f>
        <v/>
      </c>
      <c r="Y167" s="529" t="str">
        <f t="shared" si="17"/>
        <v/>
      </c>
      <c r="Z167" s="239"/>
      <c r="AA167" s="240"/>
      <c r="AE167" s="54" t="str">
        <f t="shared" si="13"/>
        <v/>
      </c>
    </row>
    <row r="168" spans="1:31" x14ac:dyDescent="0.25">
      <c r="A168" s="47" t="str">
        <f>IFERROR(INDEX('G-8 Condition Look up'!$I$4:$I$130,MATCH(F168,'G-8 Condition Look up'!$A$4:$A$130,0)),"")</f>
        <v/>
      </c>
      <c r="C168" s="384" t="str">
        <f>IFERROR(INDEX('G-1 All Habitats'!$AG$3:$AG$15,MATCH(D168,'G-1 All Habitats'!$AF$3:$AF$15,0)),"")</f>
        <v/>
      </c>
      <c r="D168" s="146"/>
      <c r="E168" s="79"/>
      <c r="F168" s="246" t="str">
        <f>IFERROR(INDEX('G-1 All Habitats'!$B$3:$B$129,MATCH(E168,'G-1 All Habitats'!$A$3:$A$129,0)),"")</f>
        <v/>
      </c>
      <c r="G168" s="70"/>
      <c r="H168" s="498" t="str">
        <f>IF(F168="","",VLOOKUP(F168,'G-1 All Habitats'!$B$2:$M$129,10,FALSE))</f>
        <v/>
      </c>
      <c r="I168" s="499" t="str">
        <f>IFERROR(VLOOKUP(H168,'G-1 All Habitats'!$V$3:$W$7,2,FALSE),"")</f>
        <v/>
      </c>
      <c r="J168" s="71"/>
      <c r="K168" s="499" t="str">
        <f>IFERROR(INDEX('G-8 Condition Look up'!$A$3:$H$130,MATCH(F168,'G-8 Condition Look up'!$A$3:$A$130,0),MATCH(J168,'G-8 Condition Look up'!$A$3:$H$3,0)),"")</f>
        <v/>
      </c>
      <c r="L168" s="71"/>
      <c r="M168" s="507" t="str">
        <f>IF(L168="","",IF(VLOOKUP(L168,'G-3 Multipliers'!$L$3:$N$6,2,FALSE)=0,"Spatial Data Missing",VLOOKUP(L168,'G-3 Multipliers'!$L$3:$N$6,2,FALSE)))</f>
        <v/>
      </c>
      <c r="N168" s="505" t="str">
        <f>IF(L168="","",IF(VLOOKUP(L168,'G-3 Multipliers'!$L$3:$N$6,3,FALSE)=0,"Spatial Data Missing",VLOOKUP(L168,'G-3 Multipliers'!$L$3:$N$6,3,FALSE)))</f>
        <v/>
      </c>
      <c r="O168" s="498" t="str">
        <f t="shared" si="12"/>
        <v/>
      </c>
      <c r="P168" s="82"/>
      <c r="Q168" s="82"/>
      <c r="R168" s="507" t="str">
        <f t="shared" si="14"/>
        <v/>
      </c>
      <c r="S168" s="521" t="str">
        <f t="shared" si="15"/>
        <v/>
      </c>
      <c r="T168" s="522" t="str">
        <f>IFERROR(IF(S168="Check Data ⚠","Check Data ⚠",VLOOKUP(S168,'G-4 Temporal multipliers'!$A$4:$C$37,3,FALSE)),"")</f>
        <v/>
      </c>
      <c r="U168" s="523" t="str">
        <f>IF(F168="","",VLOOKUP(F168,'G-3 Multipliers'!$A$2:$E$129,2,FALSE))</f>
        <v/>
      </c>
      <c r="V168" s="520" t="str">
        <f t="shared" si="16"/>
        <v/>
      </c>
      <c r="W168" s="520" t="str">
        <f>IF(E168="","",IF(AND(V168="Standard difficulty applied",O168&gt;P168),U168,IF(AND(V168="Low Difficulty - only applicable if all habitat created before losses",P168&gt;=O168),"Low",VLOOKUP(F168,'G-3 Multipliers'!$A$2:$E$129,4,FALSE))))</f>
        <v/>
      </c>
      <c r="X168" s="524" t="str">
        <f>IFERROR(IF(E168="","",VLOOKUP(W168, 'G-3 Multipliers'!$P$2:$Q$6,2,FALSE)),"")</f>
        <v/>
      </c>
      <c r="Y168" s="529" t="str">
        <f t="shared" si="17"/>
        <v/>
      </c>
      <c r="Z168" s="239"/>
      <c r="AA168" s="240"/>
      <c r="AE168" s="54" t="str">
        <f t="shared" si="13"/>
        <v/>
      </c>
    </row>
    <row r="169" spans="1:31" x14ac:dyDescent="0.25">
      <c r="A169" s="47" t="str">
        <f>IFERROR(INDEX('G-8 Condition Look up'!$I$4:$I$130,MATCH(F169,'G-8 Condition Look up'!$A$4:$A$130,0)),"")</f>
        <v/>
      </c>
      <c r="C169" s="384" t="str">
        <f>IFERROR(INDEX('G-1 All Habitats'!$AG$3:$AG$15,MATCH(D169,'G-1 All Habitats'!$AF$3:$AF$15,0)),"")</f>
        <v/>
      </c>
      <c r="D169" s="146"/>
      <c r="E169" s="79"/>
      <c r="F169" s="246" t="str">
        <f>IFERROR(INDEX('G-1 All Habitats'!$B$3:$B$129,MATCH(E169,'G-1 All Habitats'!$A$3:$A$129,0)),"")</f>
        <v/>
      </c>
      <c r="G169" s="70"/>
      <c r="H169" s="498" t="str">
        <f>IF(F169="","",VLOOKUP(F169,'G-1 All Habitats'!$B$2:$M$129,10,FALSE))</f>
        <v/>
      </c>
      <c r="I169" s="499" t="str">
        <f>IFERROR(VLOOKUP(H169,'G-1 All Habitats'!$V$3:$W$7,2,FALSE),"")</f>
        <v/>
      </c>
      <c r="J169" s="71"/>
      <c r="K169" s="499" t="str">
        <f>IFERROR(INDEX('G-8 Condition Look up'!$A$3:$H$130,MATCH(F169,'G-8 Condition Look up'!$A$3:$A$130,0),MATCH(J169,'G-8 Condition Look up'!$A$3:$H$3,0)),"")</f>
        <v/>
      </c>
      <c r="L169" s="71"/>
      <c r="M169" s="507" t="str">
        <f>IF(L169="","",IF(VLOOKUP(L169,'G-3 Multipliers'!$L$3:$N$6,2,FALSE)=0,"Spatial Data Missing",VLOOKUP(L169,'G-3 Multipliers'!$L$3:$N$6,2,FALSE)))</f>
        <v/>
      </c>
      <c r="N169" s="505" t="str">
        <f>IF(L169="","",IF(VLOOKUP(L169,'G-3 Multipliers'!$L$3:$N$6,3,FALSE)=0,"Spatial Data Missing",VLOOKUP(L169,'G-3 Multipliers'!$L$3:$N$6,3,FALSE)))</f>
        <v/>
      </c>
      <c r="O169" s="498" t="str">
        <f t="shared" si="12"/>
        <v/>
      </c>
      <c r="P169" s="82"/>
      <c r="Q169" s="82"/>
      <c r="R169" s="507" t="str">
        <f t="shared" si="14"/>
        <v/>
      </c>
      <c r="S169" s="521" t="str">
        <f t="shared" si="15"/>
        <v/>
      </c>
      <c r="T169" s="522" t="str">
        <f>IFERROR(IF(S169="Check Data ⚠","Check Data ⚠",VLOOKUP(S169,'G-4 Temporal multipliers'!$A$4:$C$37,3,FALSE)),"")</f>
        <v/>
      </c>
      <c r="U169" s="523" t="str">
        <f>IF(F169="","",VLOOKUP(F169,'G-3 Multipliers'!$A$2:$E$129,2,FALSE))</f>
        <v/>
      </c>
      <c r="V169" s="520" t="str">
        <f t="shared" si="16"/>
        <v/>
      </c>
      <c r="W169" s="520" t="str">
        <f>IF(E169="","",IF(AND(V169="Standard difficulty applied",O169&gt;P169),U169,IF(AND(V169="Low Difficulty - only applicable if all habitat created before losses",P169&gt;=O169),"Low",VLOOKUP(F169,'G-3 Multipliers'!$A$2:$E$129,4,FALSE))))</f>
        <v/>
      </c>
      <c r="X169" s="524" t="str">
        <f>IFERROR(IF(E169="","",VLOOKUP(W169, 'G-3 Multipliers'!$P$2:$Q$6,2,FALSE)),"")</f>
        <v/>
      </c>
      <c r="Y169" s="529" t="str">
        <f t="shared" si="17"/>
        <v/>
      </c>
      <c r="Z169" s="239"/>
      <c r="AA169" s="240"/>
      <c r="AE169" s="54" t="str">
        <f t="shared" si="13"/>
        <v/>
      </c>
    </row>
    <row r="170" spans="1:31" x14ac:dyDescent="0.25">
      <c r="A170" s="47" t="str">
        <f>IFERROR(INDEX('G-8 Condition Look up'!$I$4:$I$130,MATCH(F170,'G-8 Condition Look up'!$A$4:$A$130,0)),"")</f>
        <v/>
      </c>
      <c r="C170" s="384" t="str">
        <f>IFERROR(INDEX('G-1 All Habitats'!$AG$3:$AG$15,MATCH(D170,'G-1 All Habitats'!$AF$3:$AF$15,0)),"")</f>
        <v/>
      </c>
      <c r="D170" s="146"/>
      <c r="E170" s="79"/>
      <c r="F170" s="246" t="str">
        <f>IFERROR(INDEX('G-1 All Habitats'!$B$3:$B$129,MATCH(E170,'G-1 All Habitats'!$A$3:$A$129,0)),"")</f>
        <v/>
      </c>
      <c r="G170" s="70"/>
      <c r="H170" s="498" t="str">
        <f>IF(F170="","",VLOOKUP(F170,'G-1 All Habitats'!$B$2:$M$129,10,FALSE))</f>
        <v/>
      </c>
      <c r="I170" s="499" t="str">
        <f>IFERROR(VLOOKUP(H170,'G-1 All Habitats'!$V$3:$W$7,2,FALSE),"")</f>
        <v/>
      </c>
      <c r="J170" s="71"/>
      <c r="K170" s="499" t="str">
        <f>IFERROR(INDEX('G-8 Condition Look up'!$A$3:$H$130,MATCH(F170,'G-8 Condition Look up'!$A$3:$A$130,0),MATCH(J170,'G-8 Condition Look up'!$A$3:$H$3,0)),"")</f>
        <v/>
      </c>
      <c r="L170" s="71"/>
      <c r="M170" s="507" t="str">
        <f>IF(L170="","",IF(VLOOKUP(L170,'G-3 Multipliers'!$L$3:$N$6,2,FALSE)=0,"Spatial Data Missing",VLOOKUP(L170,'G-3 Multipliers'!$L$3:$N$6,2,FALSE)))</f>
        <v/>
      </c>
      <c r="N170" s="505" t="str">
        <f>IF(L170="","",IF(VLOOKUP(L170,'G-3 Multipliers'!$L$3:$N$6,3,FALSE)=0,"Spatial Data Missing",VLOOKUP(L170,'G-3 Multipliers'!$L$3:$N$6,3,FALSE)))</f>
        <v/>
      </c>
      <c r="O170" s="498" t="str">
        <f t="shared" si="12"/>
        <v/>
      </c>
      <c r="P170" s="82"/>
      <c r="Q170" s="82"/>
      <c r="R170" s="507" t="str">
        <f t="shared" si="14"/>
        <v/>
      </c>
      <c r="S170" s="521" t="str">
        <f t="shared" si="15"/>
        <v/>
      </c>
      <c r="T170" s="522" t="str">
        <f>IFERROR(IF(S170="Check Data ⚠","Check Data ⚠",VLOOKUP(S170,'G-4 Temporal multipliers'!$A$4:$C$37,3,FALSE)),"")</f>
        <v/>
      </c>
      <c r="U170" s="523" t="str">
        <f>IF(F170="","",VLOOKUP(F170,'G-3 Multipliers'!$A$2:$E$129,2,FALSE))</f>
        <v/>
      </c>
      <c r="V170" s="520" t="str">
        <f t="shared" si="16"/>
        <v/>
      </c>
      <c r="W170" s="520" t="str">
        <f>IF(E170="","",IF(AND(V170="Standard difficulty applied",O170&gt;P170),U170,IF(AND(V170="Low Difficulty - only applicable if all habitat created before losses",P170&gt;=O170),"Low",VLOOKUP(F170,'G-3 Multipliers'!$A$2:$E$129,4,FALSE))))</f>
        <v/>
      </c>
      <c r="X170" s="524" t="str">
        <f>IFERROR(IF(E170="","",VLOOKUP(W170, 'G-3 Multipliers'!$P$2:$Q$6,2,FALSE)),"")</f>
        <v/>
      </c>
      <c r="Y170" s="529" t="str">
        <f t="shared" si="17"/>
        <v/>
      </c>
      <c r="Z170" s="239"/>
      <c r="AA170" s="240"/>
      <c r="AE170" s="54" t="str">
        <f t="shared" si="13"/>
        <v/>
      </c>
    </row>
    <row r="171" spans="1:31" x14ac:dyDescent="0.25">
      <c r="A171" s="47" t="str">
        <f>IFERROR(INDEX('G-8 Condition Look up'!$I$4:$I$130,MATCH(F171,'G-8 Condition Look up'!$A$4:$A$130,0)),"")</f>
        <v/>
      </c>
      <c r="C171" s="384" t="str">
        <f>IFERROR(INDEX('G-1 All Habitats'!$AG$3:$AG$15,MATCH(D171,'G-1 All Habitats'!$AF$3:$AF$15,0)),"")</f>
        <v/>
      </c>
      <c r="D171" s="146"/>
      <c r="E171" s="79"/>
      <c r="F171" s="246" t="str">
        <f>IFERROR(INDEX('G-1 All Habitats'!$B$3:$B$129,MATCH(E171,'G-1 All Habitats'!$A$3:$A$129,0)),"")</f>
        <v/>
      </c>
      <c r="G171" s="70"/>
      <c r="H171" s="498" t="str">
        <f>IF(F171="","",VLOOKUP(F171,'G-1 All Habitats'!$B$2:$M$129,10,FALSE))</f>
        <v/>
      </c>
      <c r="I171" s="499" t="str">
        <f>IFERROR(VLOOKUP(H171,'G-1 All Habitats'!$V$3:$W$7,2,FALSE),"")</f>
        <v/>
      </c>
      <c r="J171" s="71"/>
      <c r="K171" s="499" t="str">
        <f>IFERROR(INDEX('G-8 Condition Look up'!$A$3:$H$130,MATCH(F171,'G-8 Condition Look up'!$A$3:$A$130,0),MATCH(J171,'G-8 Condition Look up'!$A$3:$H$3,0)),"")</f>
        <v/>
      </c>
      <c r="L171" s="71"/>
      <c r="M171" s="507" t="str">
        <f>IF(L171="","",IF(VLOOKUP(L171,'G-3 Multipliers'!$L$3:$N$6,2,FALSE)=0,"Spatial Data Missing",VLOOKUP(L171,'G-3 Multipliers'!$L$3:$N$6,2,FALSE)))</f>
        <v/>
      </c>
      <c r="N171" s="505" t="str">
        <f>IF(L171="","",IF(VLOOKUP(L171,'G-3 Multipliers'!$L$3:$N$6,3,FALSE)=0,"Spatial Data Missing",VLOOKUP(L171,'G-3 Multipliers'!$L$3:$N$6,3,FALSE)))</f>
        <v/>
      </c>
      <c r="O171" s="498" t="str">
        <f t="shared" si="12"/>
        <v/>
      </c>
      <c r="P171" s="82"/>
      <c r="Q171" s="82"/>
      <c r="R171" s="507" t="str">
        <f t="shared" si="14"/>
        <v/>
      </c>
      <c r="S171" s="521" t="str">
        <f t="shared" si="15"/>
        <v/>
      </c>
      <c r="T171" s="522" t="str">
        <f>IFERROR(IF(S171="Check Data ⚠","Check Data ⚠",VLOOKUP(S171,'G-4 Temporal multipliers'!$A$4:$C$37,3,FALSE)),"")</f>
        <v/>
      </c>
      <c r="U171" s="523" t="str">
        <f>IF(F171="","",VLOOKUP(F171,'G-3 Multipliers'!$A$2:$E$129,2,FALSE))</f>
        <v/>
      </c>
      <c r="V171" s="520" t="str">
        <f t="shared" si="16"/>
        <v/>
      </c>
      <c r="W171" s="520" t="str">
        <f>IF(E171="","",IF(AND(V171="Standard difficulty applied",O171&gt;P171),U171,IF(AND(V171="Low Difficulty - only applicable if all habitat created before losses",P171&gt;=O171),"Low",VLOOKUP(F171,'G-3 Multipliers'!$A$2:$E$129,4,FALSE))))</f>
        <v/>
      </c>
      <c r="X171" s="524" t="str">
        <f>IFERROR(IF(E171="","",VLOOKUP(W171, 'G-3 Multipliers'!$P$2:$Q$6,2,FALSE)),"")</f>
        <v/>
      </c>
      <c r="Y171" s="529" t="str">
        <f t="shared" si="17"/>
        <v/>
      </c>
      <c r="Z171" s="239"/>
      <c r="AA171" s="240"/>
      <c r="AE171" s="54" t="str">
        <f t="shared" si="13"/>
        <v/>
      </c>
    </row>
    <row r="172" spans="1:31" x14ac:dyDescent="0.25">
      <c r="A172" s="47" t="str">
        <f>IFERROR(INDEX('G-8 Condition Look up'!$I$4:$I$130,MATCH(F172,'G-8 Condition Look up'!$A$4:$A$130,0)),"")</f>
        <v/>
      </c>
      <c r="C172" s="384" t="str">
        <f>IFERROR(INDEX('G-1 All Habitats'!$AG$3:$AG$15,MATCH(D172,'G-1 All Habitats'!$AF$3:$AF$15,0)),"")</f>
        <v/>
      </c>
      <c r="D172" s="146"/>
      <c r="E172" s="79"/>
      <c r="F172" s="246" t="str">
        <f>IFERROR(INDEX('G-1 All Habitats'!$B$3:$B$129,MATCH(E172,'G-1 All Habitats'!$A$3:$A$129,0)),"")</f>
        <v/>
      </c>
      <c r="G172" s="70"/>
      <c r="H172" s="498" t="str">
        <f>IF(F172="","",VLOOKUP(F172,'G-1 All Habitats'!$B$2:$M$129,10,FALSE))</f>
        <v/>
      </c>
      <c r="I172" s="499" t="str">
        <f>IFERROR(VLOOKUP(H172,'G-1 All Habitats'!$V$3:$W$7,2,FALSE),"")</f>
        <v/>
      </c>
      <c r="J172" s="71"/>
      <c r="K172" s="499" t="str">
        <f>IFERROR(INDEX('G-8 Condition Look up'!$A$3:$H$130,MATCH(F172,'G-8 Condition Look up'!$A$3:$A$130,0),MATCH(J172,'G-8 Condition Look up'!$A$3:$H$3,0)),"")</f>
        <v/>
      </c>
      <c r="L172" s="71"/>
      <c r="M172" s="507" t="str">
        <f>IF(L172="","",IF(VLOOKUP(L172,'G-3 Multipliers'!$L$3:$N$6,2,FALSE)=0,"Spatial Data Missing",VLOOKUP(L172,'G-3 Multipliers'!$L$3:$N$6,2,FALSE)))</f>
        <v/>
      </c>
      <c r="N172" s="505" t="str">
        <f>IF(L172="","",IF(VLOOKUP(L172,'G-3 Multipliers'!$L$3:$N$6,3,FALSE)=0,"Spatial Data Missing",VLOOKUP(L172,'G-3 Multipliers'!$L$3:$N$6,3,FALSE)))</f>
        <v/>
      </c>
      <c r="O172" s="498" t="str">
        <f t="shared" si="12"/>
        <v/>
      </c>
      <c r="P172" s="82"/>
      <c r="Q172" s="82"/>
      <c r="R172" s="507" t="str">
        <f t="shared" si="14"/>
        <v/>
      </c>
      <c r="S172" s="521" t="str">
        <f t="shared" si="15"/>
        <v/>
      </c>
      <c r="T172" s="522" t="str">
        <f>IFERROR(IF(S172="Check Data ⚠","Check Data ⚠",VLOOKUP(S172,'G-4 Temporal multipliers'!$A$4:$C$37,3,FALSE)),"")</f>
        <v/>
      </c>
      <c r="U172" s="523" t="str">
        <f>IF(F172="","",VLOOKUP(F172,'G-3 Multipliers'!$A$2:$E$129,2,FALSE))</f>
        <v/>
      </c>
      <c r="V172" s="520" t="str">
        <f t="shared" si="16"/>
        <v/>
      </c>
      <c r="W172" s="520" t="str">
        <f>IF(E172="","",IF(AND(V172="Standard difficulty applied",O172&gt;P172),U172,IF(AND(V172="Low Difficulty - only applicable if all habitat created before losses",P172&gt;=O172),"Low",VLOOKUP(F172,'G-3 Multipliers'!$A$2:$E$129,4,FALSE))))</f>
        <v/>
      </c>
      <c r="X172" s="524" t="str">
        <f>IFERROR(IF(E172="","",VLOOKUP(W172, 'G-3 Multipliers'!$P$2:$Q$6,2,FALSE)),"")</f>
        <v/>
      </c>
      <c r="Y172" s="529" t="str">
        <f t="shared" si="17"/>
        <v/>
      </c>
      <c r="Z172" s="239"/>
      <c r="AA172" s="240"/>
      <c r="AE172" s="54" t="str">
        <f t="shared" si="13"/>
        <v/>
      </c>
    </row>
    <row r="173" spans="1:31" x14ac:dyDescent="0.25">
      <c r="A173" s="47" t="str">
        <f>IFERROR(INDEX('G-8 Condition Look up'!$I$4:$I$130,MATCH(F173,'G-8 Condition Look up'!$A$4:$A$130,0)),"")</f>
        <v/>
      </c>
      <c r="C173" s="384" t="str">
        <f>IFERROR(INDEX('G-1 All Habitats'!$AG$3:$AG$15,MATCH(D173,'G-1 All Habitats'!$AF$3:$AF$15,0)),"")</f>
        <v/>
      </c>
      <c r="D173" s="146"/>
      <c r="E173" s="79"/>
      <c r="F173" s="246" t="str">
        <f>IFERROR(INDEX('G-1 All Habitats'!$B$3:$B$129,MATCH(E173,'G-1 All Habitats'!$A$3:$A$129,0)),"")</f>
        <v/>
      </c>
      <c r="G173" s="70"/>
      <c r="H173" s="498" t="str">
        <f>IF(F173="","",VLOOKUP(F173,'G-1 All Habitats'!$B$2:$M$129,10,FALSE))</f>
        <v/>
      </c>
      <c r="I173" s="499" t="str">
        <f>IFERROR(VLOOKUP(H173,'G-1 All Habitats'!$V$3:$W$7,2,FALSE),"")</f>
        <v/>
      </c>
      <c r="J173" s="71"/>
      <c r="K173" s="499" t="str">
        <f>IFERROR(INDEX('G-8 Condition Look up'!$A$3:$H$130,MATCH(F173,'G-8 Condition Look up'!$A$3:$A$130,0),MATCH(J173,'G-8 Condition Look up'!$A$3:$H$3,0)),"")</f>
        <v/>
      </c>
      <c r="L173" s="71"/>
      <c r="M173" s="507" t="str">
        <f>IF(L173="","",IF(VLOOKUP(L173,'G-3 Multipliers'!$L$3:$N$6,2,FALSE)=0,"Spatial Data Missing",VLOOKUP(L173,'G-3 Multipliers'!$L$3:$N$6,2,FALSE)))</f>
        <v/>
      </c>
      <c r="N173" s="505" t="str">
        <f>IF(L173="","",IF(VLOOKUP(L173,'G-3 Multipliers'!$L$3:$N$6,3,FALSE)=0,"Spatial Data Missing",VLOOKUP(L173,'G-3 Multipliers'!$L$3:$N$6,3,FALSE)))</f>
        <v/>
      </c>
      <c r="O173" s="498" t="str">
        <f t="shared" si="12"/>
        <v/>
      </c>
      <c r="P173" s="82"/>
      <c r="Q173" s="82"/>
      <c r="R173" s="507" t="str">
        <f t="shared" si="14"/>
        <v/>
      </c>
      <c r="S173" s="521" t="str">
        <f t="shared" si="15"/>
        <v/>
      </c>
      <c r="T173" s="522" t="str">
        <f>IFERROR(IF(S173="Check Data ⚠","Check Data ⚠",VLOOKUP(S173,'G-4 Temporal multipliers'!$A$4:$C$37,3,FALSE)),"")</f>
        <v/>
      </c>
      <c r="U173" s="523" t="str">
        <f>IF(F173="","",VLOOKUP(F173,'G-3 Multipliers'!$A$2:$E$129,2,FALSE))</f>
        <v/>
      </c>
      <c r="V173" s="520" t="str">
        <f t="shared" si="16"/>
        <v/>
      </c>
      <c r="W173" s="520" t="str">
        <f>IF(E173="","",IF(AND(V173="Standard difficulty applied",O173&gt;P173),U173,IF(AND(V173="Low Difficulty - only applicable if all habitat created before losses",P173&gt;=O173),"Low",VLOOKUP(F173,'G-3 Multipliers'!$A$2:$E$129,4,FALSE))))</f>
        <v/>
      </c>
      <c r="X173" s="524" t="str">
        <f>IFERROR(IF(E173="","",VLOOKUP(W173, 'G-3 Multipliers'!$P$2:$Q$6,2,FALSE)),"")</f>
        <v/>
      </c>
      <c r="Y173" s="529" t="str">
        <f t="shared" si="17"/>
        <v/>
      </c>
      <c r="Z173" s="239"/>
      <c r="AA173" s="240"/>
      <c r="AE173" s="54" t="str">
        <f t="shared" si="13"/>
        <v/>
      </c>
    </row>
    <row r="174" spans="1:31" x14ac:dyDescent="0.25">
      <c r="A174" s="47" t="str">
        <f>IFERROR(INDEX('G-8 Condition Look up'!$I$4:$I$130,MATCH(F174,'G-8 Condition Look up'!$A$4:$A$130,0)),"")</f>
        <v/>
      </c>
      <c r="C174" s="384" t="str">
        <f>IFERROR(INDEX('G-1 All Habitats'!$AG$3:$AG$15,MATCH(D174,'G-1 All Habitats'!$AF$3:$AF$15,0)),"")</f>
        <v/>
      </c>
      <c r="D174" s="146"/>
      <c r="E174" s="79"/>
      <c r="F174" s="246" t="str">
        <f>IFERROR(INDEX('G-1 All Habitats'!$B$3:$B$129,MATCH(E174,'G-1 All Habitats'!$A$3:$A$129,0)),"")</f>
        <v/>
      </c>
      <c r="G174" s="70"/>
      <c r="H174" s="498" t="str">
        <f>IF(F174="","",VLOOKUP(F174,'G-1 All Habitats'!$B$2:$M$129,10,FALSE))</f>
        <v/>
      </c>
      <c r="I174" s="499" t="str">
        <f>IFERROR(VLOOKUP(H174,'G-1 All Habitats'!$V$3:$W$7,2,FALSE),"")</f>
        <v/>
      </c>
      <c r="J174" s="71"/>
      <c r="K174" s="499" t="str">
        <f>IFERROR(INDEX('G-8 Condition Look up'!$A$3:$H$130,MATCH(F174,'G-8 Condition Look up'!$A$3:$A$130,0),MATCH(J174,'G-8 Condition Look up'!$A$3:$H$3,0)),"")</f>
        <v/>
      </c>
      <c r="L174" s="71"/>
      <c r="M174" s="507" t="str">
        <f>IF(L174="","",IF(VLOOKUP(L174,'G-3 Multipliers'!$L$3:$N$6,2,FALSE)=0,"Spatial Data Missing",VLOOKUP(L174,'G-3 Multipliers'!$L$3:$N$6,2,FALSE)))</f>
        <v/>
      </c>
      <c r="N174" s="505" t="str">
        <f>IF(L174="","",IF(VLOOKUP(L174,'G-3 Multipliers'!$L$3:$N$6,3,FALSE)=0,"Spatial Data Missing",VLOOKUP(L174,'G-3 Multipliers'!$L$3:$N$6,3,FALSE)))</f>
        <v/>
      </c>
      <c r="O174" s="498" t="str">
        <f t="shared" si="12"/>
        <v/>
      </c>
      <c r="P174" s="82"/>
      <c r="Q174" s="82"/>
      <c r="R174" s="507" t="str">
        <f t="shared" si="14"/>
        <v/>
      </c>
      <c r="S174" s="521" t="str">
        <f t="shared" si="15"/>
        <v/>
      </c>
      <c r="T174" s="522" t="str">
        <f>IFERROR(IF(S174="Check Data ⚠","Check Data ⚠",VLOOKUP(S174,'G-4 Temporal multipliers'!$A$4:$C$37,3,FALSE)),"")</f>
        <v/>
      </c>
      <c r="U174" s="523" t="str">
        <f>IF(F174="","",VLOOKUP(F174,'G-3 Multipliers'!$A$2:$E$129,2,FALSE))</f>
        <v/>
      </c>
      <c r="V174" s="520" t="str">
        <f t="shared" si="16"/>
        <v/>
      </c>
      <c r="W174" s="520" t="str">
        <f>IF(E174="","",IF(AND(V174="Standard difficulty applied",O174&gt;P174),U174,IF(AND(V174="Low Difficulty - only applicable if all habitat created before losses",P174&gt;=O174),"Low",VLOOKUP(F174,'G-3 Multipliers'!$A$2:$E$129,4,FALSE))))</f>
        <v/>
      </c>
      <c r="X174" s="524" t="str">
        <f>IFERROR(IF(E174="","",VLOOKUP(W174, 'G-3 Multipliers'!$P$2:$Q$6,2,FALSE)),"")</f>
        <v/>
      </c>
      <c r="Y174" s="529" t="str">
        <f t="shared" si="17"/>
        <v/>
      </c>
      <c r="Z174" s="239"/>
      <c r="AA174" s="240"/>
      <c r="AE174" s="54" t="str">
        <f t="shared" si="13"/>
        <v/>
      </c>
    </row>
    <row r="175" spans="1:31" x14ac:dyDescent="0.25">
      <c r="A175" s="47" t="str">
        <f>IFERROR(INDEX('G-8 Condition Look up'!$I$4:$I$130,MATCH(F175,'G-8 Condition Look up'!$A$4:$A$130,0)),"")</f>
        <v/>
      </c>
      <c r="C175" s="384" t="str">
        <f>IFERROR(INDEX('G-1 All Habitats'!$AG$3:$AG$15,MATCH(D175,'G-1 All Habitats'!$AF$3:$AF$15,0)),"")</f>
        <v/>
      </c>
      <c r="D175" s="146"/>
      <c r="E175" s="79"/>
      <c r="F175" s="246" t="str">
        <f>IFERROR(INDEX('G-1 All Habitats'!$B$3:$B$129,MATCH(E175,'G-1 All Habitats'!$A$3:$A$129,0)),"")</f>
        <v/>
      </c>
      <c r="G175" s="70"/>
      <c r="H175" s="498" t="str">
        <f>IF(F175="","",VLOOKUP(F175,'G-1 All Habitats'!$B$2:$M$129,10,FALSE))</f>
        <v/>
      </c>
      <c r="I175" s="499" t="str">
        <f>IFERROR(VLOOKUP(H175,'G-1 All Habitats'!$V$3:$W$7,2,FALSE),"")</f>
        <v/>
      </c>
      <c r="J175" s="71"/>
      <c r="K175" s="499" t="str">
        <f>IFERROR(INDEX('G-8 Condition Look up'!$A$3:$H$130,MATCH(F175,'G-8 Condition Look up'!$A$3:$A$130,0),MATCH(J175,'G-8 Condition Look up'!$A$3:$H$3,0)),"")</f>
        <v/>
      </c>
      <c r="L175" s="71"/>
      <c r="M175" s="507" t="str">
        <f>IF(L175="","",IF(VLOOKUP(L175,'G-3 Multipliers'!$L$3:$N$6,2,FALSE)=0,"Spatial Data Missing",VLOOKUP(L175,'G-3 Multipliers'!$L$3:$N$6,2,FALSE)))</f>
        <v/>
      </c>
      <c r="N175" s="505" t="str">
        <f>IF(L175="","",IF(VLOOKUP(L175,'G-3 Multipliers'!$L$3:$N$6,3,FALSE)=0,"Spatial Data Missing",VLOOKUP(L175,'G-3 Multipliers'!$L$3:$N$6,3,FALSE)))</f>
        <v/>
      </c>
      <c r="O175" s="498" t="str">
        <f t="shared" si="12"/>
        <v/>
      </c>
      <c r="P175" s="82"/>
      <c r="Q175" s="82"/>
      <c r="R175" s="507" t="str">
        <f t="shared" si="14"/>
        <v/>
      </c>
      <c r="S175" s="521" t="str">
        <f t="shared" si="15"/>
        <v/>
      </c>
      <c r="T175" s="522" t="str">
        <f>IFERROR(IF(S175="Check Data ⚠","Check Data ⚠",VLOOKUP(S175,'G-4 Temporal multipliers'!$A$4:$C$37,3,FALSE)),"")</f>
        <v/>
      </c>
      <c r="U175" s="523" t="str">
        <f>IF(F175="","",VLOOKUP(F175,'G-3 Multipliers'!$A$2:$E$129,2,FALSE))</f>
        <v/>
      </c>
      <c r="V175" s="520" t="str">
        <f t="shared" si="16"/>
        <v/>
      </c>
      <c r="W175" s="520" t="str">
        <f>IF(E175="","",IF(AND(V175="Standard difficulty applied",O175&gt;P175),U175,IF(AND(V175="Low Difficulty - only applicable if all habitat created before losses",P175&gt;=O175),"Low",VLOOKUP(F175,'G-3 Multipliers'!$A$2:$E$129,4,FALSE))))</f>
        <v/>
      </c>
      <c r="X175" s="524" t="str">
        <f>IFERROR(IF(E175="","",VLOOKUP(W175, 'G-3 Multipliers'!$P$2:$Q$6,2,FALSE)),"")</f>
        <v/>
      </c>
      <c r="Y175" s="529" t="str">
        <f t="shared" si="17"/>
        <v/>
      </c>
      <c r="Z175" s="239"/>
      <c r="AA175" s="240"/>
      <c r="AE175" s="54" t="str">
        <f t="shared" si="13"/>
        <v/>
      </c>
    </row>
    <row r="176" spans="1:31" x14ac:dyDescent="0.25">
      <c r="A176" s="47" t="str">
        <f>IFERROR(INDEX('G-8 Condition Look up'!$I$4:$I$130,MATCH(F176,'G-8 Condition Look up'!$A$4:$A$130,0)),"")</f>
        <v/>
      </c>
      <c r="C176" s="384" t="str">
        <f>IFERROR(INDEX('G-1 All Habitats'!$AG$3:$AG$15,MATCH(D176,'G-1 All Habitats'!$AF$3:$AF$15,0)),"")</f>
        <v/>
      </c>
      <c r="D176" s="146"/>
      <c r="E176" s="79"/>
      <c r="F176" s="246" t="str">
        <f>IFERROR(INDEX('G-1 All Habitats'!$B$3:$B$129,MATCH(E176,'G-1 All Habitats'!$A$3:$A$129,0)),"")</f>
        <v/>
      </c>
      <c r="G176" s="70"/>
      <c r="H176" s="498" t="str">
        <f>IF(F176="","",VLOOKUP(F176,'G-1 All Habitats'!$B$2:$M$129,10,FALSE))</f>
        <v/>
      </c>
      <c r="I176" s="499" t="str">
        <f>IFERROR(VLOOKUP(H176,'G-1 All Habitats'!$V$3:$W$7,2,FALSE),"")</f>
        <v/>
      </c>
      <c r="J176" s="71"/>
      <c r="K176" s="499" t="str">
        <f>IFERROR(INDEX('G-8 Condition Look up'!$A$3:$H$130,MATCH(F176,'G-8 Condition Look up'!$A$3:$A$130,0),MATCH(J176,'G-8 Condition Look up'!$A$3:$H$3,0)),"")</f>
        <v/>
      </c>
      <c r="L176" s="71"/>
      <c r="M176" s="507" t="str">
        <f>IF(L176="","",IF(VLOOKUP(L176,'G-3 Multipliers'!$L$3:$N$6,2,FALSE)=0,"Spatial Data Missing",VLOOKUP(L176,'G-3 Multipliers'!$L$3:$N$6,2,FALSE)))</f>
        <v/>
      </c>
      <c r="N176" s="505" t="str">
        <f>IF(L176="","",IF(VLOOKUP(L176,'G-3 Multipliers'!$L$3:$N$6,3,FALSE)=0,"Spatial Data Missing",VLOOKUP(L176,'G-3 Multipliers'!$L$3:$N$6,3,FALSE)))</f>
        <v/>
      </c>
      <c r="O176" s="498" t="str">
        <f t="shared" si="12"/>
        <v/>
      </c>
      <c r="P176" s="82"/>
      <c r="Q176" s="82"/>
      <c r="R176" s="507" t="str">
        <f t="shared" si="14"/>
        <v/>
      </c>
      <c r="S176" s="521" t="str">
        <f t="shared" si="15"/>
        <v/>
      </c>
      <c r="T176" s="522" t="str">
        <f>IFERROR(IF(S176="Check Data ⚠","Check Data ⚠",VLOOKUP(S176,'G-4 Temporal multipliers'!$A$4:$C$37,3,FALSE)),"")</f>
        <v/>
      </c>
      <c r="U176" s="523" t="str">
        <f>IF(F176="","",VLOOKUP(F176,'G-3 Multipliers'!$A$2:$E$129,2,FALSE))</f>
        <v/>
      </c>
      <c r="V176" s="520" t="str">
        <f t="shared" si="16"/>
        <v/>
      </c>
      <c r="W176" s="520" t="str">
        <f>IF(E176="","",IF(AND(V176="Standard difficulty applied",O176&gt;P176),U176,IF(AND(V176="Low Difficulty - only applicable if all habitat created before losses",P176&gt;=O176),"Low",VLOOKUP(F176,'G-3 Multipliers'!$A$2:$E$129,4,FALSE))))</f>
        <v/>
      </c>
      <c r="X176" s="524" t="str">
        <f>IFERROR(IF(E176="","",VLOOKUP(W176, 'G-3 Multipliers'!$P$2:$Q$6,2,FALSE)),"")</f>
        <v/>
      </c>
      <c r="Y176" s="529" t="str">
        <f t="shared" si="17"/>
        <v/>
      </c>
      <c r="Z176" s="239"/>
      <c r="AA176" s="240"/>
      <c r="AE176" s="54" t="str">
        <f t="shared" si="13"/>
        <v/>
      </c>
    </row>
    <row r="177" spans="1:31" x14ac:dyDescent="0.25">
      <c r="A177" s="47" t="str">
        <f>IFERROR(INDEX('G-8 Condition Look up'!$I$4:$I$130,MATCH(F177,'G-8 Condition Look up'!$A$4:$A$130,0)),"")</f>
        <v/>
      </c>
      <c r="C177" s="384" t="str">
        <f>IFERROR(INDEX('G-1 All Habitats'!$AG$3:$AG$15,MATCH(D177,'G-1 All Habitats'!$AF$3:$AF$15,0)),"")</f>
        <v/>
      </c>
      <c r="D177" s="146"/>
      <c r="E177" s="79"/>
      <c r="F177" s="246" t="str">
        <f>IFERROR(INDEX('G-1 All Habitats'!$B$3:$B$129,MATCH(E177,'G-1 All Habitats'!$A$3:$A$129,0)),"")</f>
        <v/>
      </c>
      <c r="G177" s="70"/>
      <c r="H177" s="498" t="str">
        <f>IF(F177="","",VLOOKUP(F177,'G-1 All Habitats'!$B$2:$M$129,10,FALSE))</f>
        <v/>
      </c>
      <c r="I177" s="499" t="str">
        <f>IFERROR(VLOOKUP(H177,'G-1 All Habitats'!$V$3:$W$7,2,FALSE),"")</f>
        <v/>
      </c>
      <c r="J177" s="71"/>
      <c r="K177" s="499" t="str">
        <f>IFERROR(INDEX('G-8 Condition Look up'!$A$3:$H$130,MATCH(F177,'G-8 Condition Look up'!$A$3:$A$130,0),MATCH(J177,'G-8 Condition Look up'!$A$3:$H$3,0)),"")</f>
        <v/>
      </c>
      <c r="L177" s="71"/>
      <c r="M177" s="507" t="str">
        <f>IF(L177="","",IF(VLOOKUP(L177,'G-3 Multipliers'!$L$3:$N$6,2,FALSE)=0,"Spatial Data Missing",VLOOKUP(L177,'G-3 Multipliers'!$L$3:$N$6,2,FALSE)))</f>
        <v/>
      </c>
      <c r="N177" s="505" t="str">
        <f>IF(L177="","",IF(VLOOKUP(L177,'G-3 Multipliers'!$L$3:$N$6,3,FALSE)=0,"Spatial Data Missing",VLOOKUP(L177,'G-3 Multipliers'!$L$3:$N$6,3,FALSE)))</f>
        <v/>
      </c>
      <c r="O177" s="498" t="str">
        <f t="shared" si="12"/>
        <v/>
      </c>
      <c r="P177" s="82"/>
      <c r="Q177" s="82"/>
      <c r="R177" s="507" t="str">
        <f t="shared" si="14"/>
        <v/>
      </c>
      <c r="S177" s="521" t="str">
        <f t="shared" si="15"/>
        <v/>
      </c>
      <c r="T177" s="522" t="str">
        <f>IFERROR(IF(S177="Check Data ⚠","Check Data ⚠",VLOOKUP(S177,'G-4 Temporal multipliers'!$A$4:$C$37,3,FALSE)),"")</f>
        <v/>
      </c>
      <c r="U177" s="523" t="str">
        <f>IF(F177="","",VLOOKUP(F177,'G-3 Multipliers'!$A$2:$E$129,2,FALSE))</f>
        <v/>
      </c>
      <c r="V177" s="520" t="str">
        <f t="shared" si="16"/>
        <v/>
      </c>
      <c r="W177" s="520" t="str">
        <f>IF(E177="","",IF(AND(V177="Standard difficulty applied",O177&gt;P177),U177,IF(AND(V177="Low Difficulty - only applicable if all habitat created before losses",P177&gt;=O177),"Low",VLOOKUP(F177,'G-3 Multipliers'!$A$2:$E$129,4,FALSE))))</f>
        <v/>
      </c>
      <c r="X177" s="524" t="str">
        <f>IFERROR(IF(E177="","",VLOOKUP(W177, 'G-3 Multipliers'!$P$2:$Q$6,2,FALSE)),"")</f>
        <v/>
      </c>
      <c r="Y177" s="529" t="str">
        <f t="shared" si="17"/>
        <v/>
      </c>
      <c r="Z177" s="239"/>
      <c r="AA177" s="240"/>
      <c r="AE177" s="54" t="str">
        <f t="shared" si="13"/>
        <v/>
      </c>
    </row>
    <row r="178" spans="1:31" x14ac:dyDescent="0.25">
      <c r="A178" s="47" t="str">
        <f>IFERROR(INDEX('G-8 Condition Look up'!$I$4:$I$130,MATCH(F178,'G-8 Condition Look up'!$A$4:$A$130,0)),"")</f>
        <v/>
      </c>
      <c r="C178" s="384" t="str">
        <f>IFERROR(INDEX('G-1 All Habitats'!$AG$3:$AG$15,MATCH(D178,'G-1 All Habitats'!$AF$3:$AF$15,0)),"")</f>
        <v/>
      </c>
      <c r="D178" s="146"/>
      <c r="E178" s="79"/>
      <c r="F178" s="246" t="str">
        <f>IFERROR(INDEX('G-1 All Habitats'!$B$3:$B$129,MATCH(E178,'G-1 All Habitats'!$A$3:$A$129,0)),"")</f>
        <v/>
      </c>
      <c r="G178" s="70"/>
      <c r="H178" s="498" t="str">
        <f>IF(F178="","",VLOOKUP(F178,'G-1 All Habitats'!$B$2:$M$129,10,FALSE))</f>
        <v/>
      </c>
      <c r="I178" s="499" t="str">
        <f>IFERROR(VLOOKUP(H178,'G-1 All Habitats'!$V$3:$W$7,2,FALSE),"")</f>
        <v/>
      </c>
      <c r="J178" s="71"/>
      <c r="K178" s="499" t="str">
        <f>IFERROR(INDEX('G-8 Condition Look up'!$A$3:$H$130,MATCH(F178,'G-8 Condition Look up'!$A$3:$A$130,0),MATCH(J178,'G-8 Condition Look up'!$A$3:$H$3,0)),"")</f>
        <v/>
      </c>
      <c r="L178" s="71"/>
      <c r="M178" s="507" t="str">
        <f>IF(L178="","",IF(VLOOKUP(L178,'G-3 Multipliers'!$L$3:$N$6,2,FALSE)=0,"Spatial Data Missing",VLOOKUP(L178,'G-3 Multipliers'!$L$3:$N$6,2,FALSE)))</f>
        <v/>
      </c>
      <c r="N178" s="505" t="str">
        <f>IF(L178="","",IF(VLOOKUP(L178,'G-3 Multipliers'!$L$3:$N$6,3,FALSE)=0,"Spatial Data Missing",VLOOKUP(L178,'G-3 Multipliers'!$L$3:$N$6,3,FALSE)))</f>
        <v/>
      </c>
      <c r="O178" s="498" t="str">
        <f t="shared" si="12"/>
        <v/>
      </c>
      <c r="P178" s="82"/>
      <c r="Q178" s="82"/>
      <c r="R178" s="507" t="str">
        <f t="shared" si="14"/>
        <v/>
      </c>
      <c r="S178" s="521" t="str">
        <f t="shared" si="15"/>
        <v/>
      </c>
      <c r="T178" s="522" t="str">
        <f>IFERROR(IF(S178="Check Data ⚠","Check Data ⚠",VLOOKUP(S178,'G-4 Temporal multipliers'!$A$4:$C$37,3,FALSE)),"")</f>
        <v/>
      </c>
      <c r="U178" s="523" t="str">
        <f>IF(F178="","",VLOOKUP(F178,'G-3 Multipliers'!$A$2:$E$129,2,FALSE))</f>
        <v/>
      </c>
      <c r="V178" s="520" t="str">
        <f t="shared" si="16"/>
        <v/>
      </c>
      <c r="W178" s="520" t="str">
        <f>IF(E178="","",IF(AND(V178="Standard difficulty applied",O178&gt;P178),U178,IF(AND(V178="Low Difficulty - only applicable if all habitat created before losses",P178&gt;=O178),"Low",VLOOKUP(F178,'G-3 Multipliers'!$A$2:$E$129,4,FALSE))))</f>
        <v/>
      </c>
      <c r="X178" s="524" t="str">
        <f>IFERROR(IF(E178="","",VLOOKUP(W178, 'G-3 Multipliers'!$P$2:$Q$6,2,FALSE)),"")</f>
        <v/>
      </c>
      <c r="Y178" s="529" t="str">
        <f t="shared" si="17"/>
        <v/>
      </c>
      <c r="Z178" s="239"/>
      <c r="AA178" s="240"/>
      <c r="AE178" s="54" t="str">
        <f t="shared" si="13"/>
        <v/>
      </c>
    </row>
    <row r="179" spans="1:31" x14ac:dyDescent="0.25">
      <c r="A179" s="47" t="str">
        <f>IFERROR(INDEX('G-8 Condition Look up'!$I$4:$I$130,MATCH(F179,'G-8 Condition Look up'!$A$4:$A$130,0)),"")</f>
        <v/>
      </c>
      <c r="C179" s="384" t="str">
        <f>IFERROR(INDEX('G-1 All Habitats'!$AG$3:$AG$15,MATCH(D179,'G-1 All Habitats'!$AF$3:$AF$15,0)),"")</f>
        <v/>
      </c>
      <c r="D179" s="146"/>
      <c r="E179" s="79"/>
      <c r="F179" s="246" t="str">
        <f>IFERROR(INDEX('G-1 All Habitats'!$B$3:$B$129,MATCH(E179,'G-1 All Habitats'!$A$3:$A$129,0)),"")</f>
        <v/>
      </c>
      <c r="G179" s="70"/>
      <c r="H179" s="498" t="str">
        <f>IF(F179="","",VLOOKUP(F179,'G-1 All Habitats'!$B$2:$M$129,10,FALSE))</f>
        <v/>
      </c>
      <c r="I179" s="499" t="str">
        <f>IFERROR(VLOOKUP(H179,'G-1 All Habitats'!$V$3:$W$7,2,FALSE),"")</f>
        <v/>
      </c>
      <c r="J179" s="71"/>
      <c r="K179" s="499" t="str">
        <f>IFERROR(INDEX('G-8 Condition Look up'!$A$3:$H$130,MATCH(F179,'G-8 Condition Look up'!$A$3:$A$130,0),MATCH(J179,'G-8 Condition Look up'!$A$3:$H$3,0)),"")</f>
        <v/>
      </c>
      <c r="L179" s="71"/>
      <c r="M179" s="507" t="str">
        <f>IF(L179="","",IF(VLOOKUP(L179,'G-3 Multipliers'!$L$3:$N$6,2,FALSE)=0,"Spatial Data Missing",VLOOKUP(L179,'G-3 Multipliers'!$L$3:$N$6,2,FALSE)))</f>
        <v/>
      </c>
      <c r="N179" s="505" t="str">
        <f>IF(L179="","",IF(VLOOKUP(L179,'G-3 Multipliers'!$L$3:$N$6,3,FALSE)=0,"Spatial Data Missing",VLOOKUP(L179,'G-3 Multipliers'!$L$3:$N$6,3,FALSE)))</f>
        <v/>
      </c>
      <c r="O179" s="498" t="str">
        <f t="shared" si="12"/>
        <v/>
      </c>
      <c r="P179" s="82"/>
      <c r="Q179" s="82"/>
      <c r="R179" s="507" t="str">
        <f t="shared" si="14"/>
        <v/>
      </c>
      <c r="S179" s="521" t="str">
        <f t="shared" si="15"/>
        <v/>
      </c>
      <c r="T179" s="522" t="str">
        <f>IFERROR(IF(S179="Check Data ⚠","Check Data ⚠",VLOOKUP(S179,'G-4 Temporal multipliers'!$A$4:$C$37,3,FALSE)),"")</f>
        <v/>
      </c>
      <c r="U179" s="523" t="str">
        <f>IF(F179="","",VLOOKUP(F179,'G-3 Multipliers'!$A$2:$E$129,2,FALSE))</f>
        <v/>
      </c>
      <c r="V179" s="520" t="str">
        <f t="shared" si="16"/>
        <v/>
      </c>
      <c r="W179" s="520" t="str">
        <f>IF(E179="","",IF(AND(V179="Standard difficulty applied",O179&gt;P179),U179,IF(AND(V179="Low Difficulty - only applicable if all habitat created before losses",P179&gt;=O179),"Low",VLOOKUP(F179,'G-3 Multipliers'!$A$2:$E$129,4,FALSE))))</f>
        <v/>
      </c>
      <c r="X179" s="524" t="str">
        <f>IFERROR(IF(E179="","",VLOOKUP(W179, 'G-3 Multipliers'!$P$2:$Q$6,2,FALSE)),"")</f>
        <v/>
      </c>
      <c r="Y179" s="529" t="str">
        <f t="shared" si="17"/>
        <v/>
      </c>
      <c r="Z179" s="239"/>
      <c r="AA179" s="240"/>
      <c r="AE179" s="54" t="str">
        <f t="shared" si="13"/>
        <v/>
      </c>
    </row>
    <row r="180" spans="1:31" x14ac:dyDescent="0.25">
      <c r="A180" s="47" t="str">
        <f>IFERROR(INDEX('G-8 Condition Look up'!$I$4:$I$130,MATCH(F180,'G-8 Condition Look up'!$A$4:$A$130,0)),"")</f>
        <v/>
      </c>
      <c r="C180" s="384" t="str">
        <f>IFERROR(INDEX('G-1 All Habitats'!$AG$3:$AG$15,MATCH(D180,'G-1 All Habitats'!$AF$3:$AF$15,0)),"")</f>
        <v/>
      </c>
      <c r="D180" s="146"/>
      <c r="E180" s="79"/>
      <c r="F180" s="246" t="str">
        <f>IFERROR(INDEX('G-1 All Habitats'!$B$3:$B$129,MATCH(E180,'G-1 All Habitats'!$A$3:$A$129,0)),"")</f>
        <v/>
      </c>
      <c r="G180" s="70"/>
      <c r="H180" s="498" t="str">
        <f>IF(F180="","",VLOOKUP(F180,'G-1 All Habitats'!$B$2:$M$129,10,FALSE))</f>
        <v/>
      </c>
      <c r="I180" s="499" t="str">
        <f>IFERROR(VLOOKUP(H180,'G-1 All Habitats'!$V$3:$W$7,2,FALSE),"")</f>
        <v/>
      </c>
      <c r="J180" s="71"/>
      <c r="K180" s="499" t="str">
        <f>IFERROR(INDEX('G-8 Condition Look up'!$A$3:$H$130,MATCH(F180,'G-8 Condition Look up'!$A$3:$A$130,0),MATCH(J180,'G-8 Condition Look up'!$A$3:$H$3,0)),"")</f>
        <v/>
      </c>
      <c r="L180" s="71"/>
      <c r="M180" s="507" t="str">
        <f>IF(L180="","",IF(VLOOKUP(L180,'G-3 Multipliers'!$L$3:$N$6,2,FALSE)=0,"Spatial Data Missing",VLOOKUP(L180,'G-3 Multipliers'!$L$3:$N$6,2,FALSE)))</f>
        <v/>
      </c>
      <c r="N180" s="505" t="str">
        <f>IF(L180="","",IF(VLOOKUP(L180,'G-3 Multipliers'!$L$3:$N$6,3,FALSE)=0,"Spatial Data Missing",VLOOKUP(L180,'G-3 Multipliers'!$L$3:$N$6,3,FALSE)))</f>
        <v/>
      </c>
      <c r="O180" s="498" t="str">
        <f t="shared" si="12"/>
        <v/>
      </c>
      <c r="P180" s="82"/>
      <c r="Q180" s="82"/>
      <c r="R180" s="507" t="str">
        <f t="shared" si="14"/>
        <v/>
      </c>
      <c r="S180" s="521" t="str">
        <f t="shared" si="15"/>
        <v/>
      </c>
      <c r="T180" s="522" t="str">
        <f>IFERROR(IF(S180="Check Data ⚠","Check Data ⚠",VLOOKUP(S180,'G-4 Temporal multipliers'!$A$4:$C$37,3,FALSE)),"")</f>
        <v/>
      </c>
      <c r="U180" s="523" t="str">
        <f>IF(F180="","",VLOOKUP(F180,'G-3 Multipliers'!$A$2:$E$129,2,FALSE))</f>
        <v/>
      </c>
      <c r="V180" s="520" t="str">
        <f t="shared" si="16"/>
        <v/>
      </c>
      <c r="W180" s="520" t="str">
        <f>IF(E180="","",IF(AND(V180="Standard difficulty applied",O180&gt;P180),U180,IF(AND(V180="Low Difficulty - only applicable if all habitat created before losses",P180&gt;=O180),"Low",VLOOKUP(F180,'G-3 Multipliers'!$A$2:$E$129,4,FALSE))))</f>
        <v/>
      </c>
      <c r="X180" s="524" t="str">
        <f>IFERROR(IF(E180="","",VLOOKUP(W180, 'G-3 Multipliers'!$P$2:$Q$6,2,FALSE)),"")</f>
        <v/>
      </c>
      <c r="Y180" s="529" t="str">
        <f t="shared" si="17"/>
        <v/>
      </c>
      <c r="Z180" s="239"/>
      <c r="AA180" s="240"/>
      <c r="AE180" s="54" t="str">
        <f t="shared" si="13"/>
        <v/>
      </c>
    </row>
    <row r="181" spans="1:31" x14ac:dyDescent="0.25">
      <c r="A181" s="47" t="str">
        <f>IFERROR(INDEX('G-8 Condition Look up'!$I$4:$I$130,MATCH(F181,'G-8 Condition Look up'!$A$4:$A$130,0)),"")</f>
        <v/>
      </c>
      <c r="C181" s="384" t="str">
        <f>IFERROR(INDEX('G-1 All Habitats'!$AG$3:$AG$15,MATCH(D181,'G-1 All Habitats'!$AF$3:$AF$15,0)),"")</f>
        <v/>
      </c>
      <c r="D181" s="146"/>
      <c r="E181" s="79"/>
      <c r="F181" s="246" t="str">
        <f>IFERROR(INDEX('G-1 All Habitats'!$B$3:$B$129,MATCH(E181,'G-1 All Habitats'!$A$3:$A$129,0)),"")</f>
        <v/>
      </c>
      <c r="G181" s="70"/>
      <c r="H181" s="498" t="str">
        <f>IF(F181="","",VLOOKUP(F181,'G-1 All Habitats'!$B$2:$M$129,10,FALSE))</f>
        <v/>
      </c>
      <c r="I181" s="499" t="str">
        <f>IFERROR(VLOOKUP(H181,'G-1 All Habitats'!$V$3:$W$7,2,FALSE),"")</f>
        <v/>
      </c>
      <c r="J181" s="71"/>
      <c r="K181" s="499" t="str">
        <f>IFERROR(INDEX('G-8 Condition Look up'!$A$3:$H$130,MATCH(F181,'G-8 Condition Look up'!$A$3:$A$130,0),MATCH(J181,'G-8 Condition Look up'!$A$3:$H$3,0)),"")</f>
        <v/>
      </c>
      <c r="L181" s="71"/>
      <c r="M181" s="507" t="str">
        <f>IF(L181="","",IF(VLOOKUP(L181,'G-3 Multipliers'!$L$3:$N$6,2,FALSE)=0,"Spatial Data Missing",VLOOKUP(L181,'G-3 Multipliers'!$L$3:$N$6,2,FALSE)))</f>
        <v/>
      </c>
      <c r="N181" s="505" t="str">
        <f>IF(L181="","",IF(VLOOKUP(L181,'G-3 Multipliers'!$L$3:$N$6,3,FALSE)=0,"Spatial Data Missing",VLOOKUP(L181,'G-3 Multipliers'!$L$3:$N$6,3,FALSE)))</f>
        <v/>
      </c>
      <c r="O181" s="498" t="str">
        <f t="shared" si="12"/>
        <v/>
      </c>
      <c r="P181" s="82"/>
      <c r="Q181" s="82"/>
      <c r="R181" s="507" t="str">
        <f t="shared" si="14"/>
        <v/>
      </c>
      <c r="S181" s="521" t="str">
        <f t="shared" si="15"/>
        <v/>
      </c>
      <c r="T181" s="522" t="str">
        <f>IFERROR(IF(S181="Check Data ⚠","Check Data ⚠",VLOOKUP(S181,'G-4 Temporal multipliers'!$A$4:$C$37,3,FALSE)),"")</f>
        <v/>
      </c>
      <c r="U181" s="523" t="str">
        <f>IF(F181="","",VLOOKUP(F181,'G-3 Multipliers'!$A$2:$E$129,2,FALSE))</f>
        <v/>
      </c>
      <c r="V181" s="520" t="str">
        <f t="shared" si="16"/>
        <v/>
      </c>
      <c r="W181" s="520" t="str">
        <f>IF(E181="","",IF(AND(V181="Standard difficulty applied",O181&gt;P181),U181,IF(AND(V181="Low Difficulty - only applicable if all habitat created before losses",P181&gt;=O181),"Low",VLOOKUP(F181,'G-3 Multipliers'!$A$2:$E$129,4,FALSE))))</f>
        <v/>
      </c>
      <c r="X181" s="524" t="str">
        <f>IFERROR(IF(E181="","",VLOOKUP(W181, 'G-3 Multipliers'!$P$2:$Q$6,2,FALSE)),"")</f>
        <v/>
      </c>
      <c r="Y181" s="529" t="str">
        <f t="shared" si="17"/>
        <v/>
      </c>
      <c r="Z181" s="239"/>
      <c r="AA181" s="240"/>
      <c r="AE181" s="54" t="str">
        <f t="shared" si="13"/>
        <v/>
      </c>
    </row>
    <row r="182" spans="1:31" x14ac:dyDescent="0.25">
      <c r="A182" s="47" t="str">
        <f>IFERROR(INDEX('G-8 Condition Look up'!$I$4:$I$130,MATCH(F182,'G-8 Condition Look up'!$A$4:$A$130,0)),"")</f>
        <v/>
      </c>
      <c r="C182" s="384" t="str">
        <f>IFERROR(INDEX('G-1 All Habitats'!$AG$3:$AG$15,MATCH(D182,'G-1 All Habitats'!$AF$3:$AF$15,0)),"")</f>
        <v/>
      </c>
      <c r="D182" s="146"/>
      <c r="E182" s="79"/>
      <c r="F182" s="246" t="str">
        <f>IFERROR(INDEX('G-1 All Habitats'!$B$3:$B$129,MATCH(E182,'G-1 All Habitats'!$A$3:$A$129,0)),"")</f>
        <v/>
      </c>
      <c r="G182" s="70"/>
      <c r="H182" s="498" t="str">
        <f>IF(F182="","",VLOOKUP(F182,'G-1 All Habitats'!$B$2:$M$129,10,FALSE))</f>
        <v/>
      </c>
      <c r="I182" s="499" t="str">
        <f>IFERROR(VLOOKUP(H182,'G-1 All Habitats'!$V$3:$W$7,2,FALSE),"")</f>
        <v/>
      </c>
      <c r="J182" s="71"/>
      <c r="K182" s="499" t="str">
        <f>IFERROR(INDEX('G-8 Condition Look up'!$A$3:$H$130,MATCH(F182,'G-8 Condition Look up'!$A$3:$A$130,0),MATCH(J182,'G-8 Condition Look up'!$A$3:$H$3,0)),"")</f>
        <v/>
      </c>
      <c r="L182" s="71"/>
      <c r="M182" s="507" t="str">
        <f>IF(L182="","",IF(VLOOKUP(L182,'G-3 Multipliers'!$L$3:$N$6,2,FALSE)=0,"Spatial Data Missing",VLOOKUP(L182,'G-3 Multipliers'!$L$3:$N$6,2,FALSE)))</f>
        <v/>
      </c>
      <c r="N182" s="505" t="str">
        <f>IF(L182="","",IF(VLOOKUP(L182,'G-3 Multipliers'!$L$3:$N$6,3,FALSE)=0,"Spatial Data Missing",VLOOKUP(L182,'G-3 Multipliers'!$L$3:$N$6,3,FALSE)))</f>
        <v/>
      </c>
      <c r="O182" s="498" t="str">
        <f t="shared" si="12"/>
        <v/>
      </c>
      <c r="P182" s="82"/>
      <c r="Q182" s="82"/>
      <c r="R182" s="507" t="str">
        <f t="shared" si="14"/>
        <v/>
      </c>
      <c r="S182" s="521" t="str">
        <f t="shared" si="15"/>
        <v/>
      </c>
      <c r="T182" s="522" t="str">
        <f>IFERROR(IF(S182="Check Data ⚠","Check Data ⚠",VLOOKUP(S182,'G-4 Temporal multipliers'!$A$4:$C$37,3,FALSE)),"")</f>
        <v/>
      </c>
      <c r="U182" s="523" t="str">
        <f>IF(F182="","",VLOOKUP(F182,'G-3 Multipliers'!$A$2:$E$129,2,FALSE))</f>
        <v/>
      </c>
      <c r="V182" s="520" t="str">
        <f t="shared" si="16"/>
        <v/>
      </c>
      <c r="W182" s="520" t="str">
        <f>IF(E182="","",IF(AND(V182="Standard difficulty applied",O182&gt;P182),U182,IF(AND(V182="Low Difficulty - only applicable if all habitat created before losses",P182&gt;=O182),"Low",VLOOKUP(F182,'G-3 Multipliers'!$A$2:$E$129,4,FALSE))))</f>
        <v/>
      </c>
      <c r="X182" s="524" t="str">
        <f>IFERROR(IF(E182="","",VLOOKUP(W182, 'G-3 Multipliers'!$P$2:$Q$6,2,FALSE)),"")</f>
        <v/>
      </c>
      <c r="Y182" s="529" t="str">
        <f t="shared" si="17"/>
        <v/>
      </c>
      <c r="Z182" s="239"/>
      <c r="AA182" s="240"/>
      <c r="AE182" s="54" t="str">
        <f t="shared" si="13"/>
        <v/>
      </c>
    </row>
    <row r="183" spans="1:31" x14ac:dyDescent="0.25">
      <c r="A183" s="47" t="str">
        <f>IFERROR(INDEX('G-8 Condition Look up'!$I$4:$I$130,MATCH(F183,'G-8 Condition Look up'!$A$4:$A$130,0)),"")</f>
        <v/>
      </c>
      <c r="C183" s="384" t="str">
        <f>IFERROR(INDEX('G-1 All Habitats'!$AG$3:$AG$15,MATCH(D183,'G-1 All Habitats'!$AF$3:$AF$15,0)),"")</f>
        <v/>
      </c>
      <c r="D183" s="146"/>
      <c r="E183" s="79"/>
      <c r="F183" s="246" t="str">
        <f>IFERROR(INDEX('G-1 All Habitats'!$B$3:$B$129,MATCH(E183,'G-1 All Habitats'!$A$3:$A$129,0)),"")</f>
        <v/>
      </c>
      <c r="G183" s="70"/>
      <c r="H183" s="498" t="str">
        <f>IF(F183="","",VLOOKUP(F183,'G-1 All Habitats'!$B$2:$M$129,10,FALSE))</f>
        <v/>
      </c>
      <c r="I183" s="499" t="str">
        <f>IFERROR(VLOOKUP(H183,'G-1 All Habitats'!$V$3:$W$7,2,FALSE),"")</f>
        <v/>
      </c>
      <c r="J183" s="71"/>
      <c r="K183" s="499" t="str">
        <f>IFERROR(INDEX('G-8 Condition Look up'!$A$3:$H$130,MATCH(F183,'G-8 Condition Look up'!$A$3:$A$130,0),MATCH(J183,'G-8 Condition Look up'!$A$3:$H$3,0)),"")</f>
        <v/>
      </c>
      <c r="L183" s="71"/>
      <c r="M183" s="507" t="str">
        <f>IF(L183="","",IF(VLOOKUP(L183,'G-3 Multipliers'!$L$3:$N$6,2,FALSE)=0,"Spatial Data Missing",VLOOKUP(L183,'G-3 Multipliers'!$L$3:$N$6,2,FALSE)))</f>
        <v/>
      </c>
      <c r="N183" s="505" t="str">
        <f>IF(L183="","",IF(VLOOKUP(L183,'G-3 Multipliers'!$L$3:$N$6,3,FALSE)=0,"Spatial Data Missing",VLOOKUP(L183,'G-3 Multipliers'!$L$3:$N$6,3,FALSE)))</f>
        <v/>
      </c>
      <c r="O183" s="498" t="str">
        <f t="shared" si="12"/>
        <v/>
      </c>
      <c r="P183" s="82"/>
      <c r="Q183" s="82"/>
      <c r="R183" s="507" t="str">
        <f t="shared" si="14"/>
        <v/>
      </c>
      <c r="S183" s="521" t="str">
        <f t="shared" si="15"/>
        <v/>
      </c>
      <c r="T183" s="522" t="str">
        <f>IFERROR(IF(S183="Check Data ⚠","Check Data ⚠",VLOOKUP(S183,'G-4 Temporal multipliers'!$A$4:$C$37,3,FALSE)),"")</f>
        <v/>
      </c>
      <c r="U183" s="523" t="str">
        <f>IF(F183="","",VLOOKUP(F183,'G-3 Multipliers'!$A$2:$E$129,2,FALSE))</f>
        <v/>
      </c>
      <c r="V183" s="520" t="str">
        <f t="shared" si="16"/>
        <v/>
      </c>
      <c r="W183" s="520" t="str">
        <f>IF(E183="","",IF(AND(V183="Standard difficulty applied",O183&gt;P183),U183,IF(AND(V183="Low Difficulty - only applicable if all habitat created before losses",P183&gt;=O183),"Low",VLOOKUP(F183,'G-3 Multipliers'!$A$2:$E$129,4,FALSE))))</f>
        <v/>
      </c>
      <c r="X183" s="524" t="str">
        <f>IFERROR(IF(E183="","",VLOOKUP(W183, 'G-3 Multipliers'!$P$2:$Q$6,2,FALSE)),"")</f>
        <v/>
      </c>
      <c r="Y183" s="529" t="str">
        <f t="shared" si="17"/>
        <v/>
      </c>
      <c r="Z183" s="239"/>
      <c r="AA183" s="240"/>
      <c r="AE183" s="54" t="str">
        <f t="shared" si="13"/>
        <v/>
      </c>
    </row>
    <row r="184" spans="1:31" x14ac:dyDescent="0.25">
      <c r="A184" s="47" t="str">
        <f>IFERROR(INDEX('G-8 Condition Look up'!$I$4:$I$130,MATCH(F184,'G-8 Condition Look up'!$A$4:$A$130,0)),"")</f>
        <v/>
      </c>
      <c r="C184" s="384" t="str">
        <f>IFERROR(INDEX('G-1 All Habitats'!$AG$3:$AG$15,MATCH(D184,'G-1 All Habitats'!$AF$3:$AF$15,0)),"")</f>
        <v/>
      </c>
      <c r="D184" s="146"/>
      <c r="E184" s="79"/>
      <c r="F184" s="246" t="str">
        <f>IFERROR(INDEX('G-1 All Habitats'!$B$3:$B$129,MATCH(E184,'G-1 All Habitats'!$A$3:$A$129,0)),"")</f>
        <v/>
      </c>
      <c r="G184" s="70"/>
      <c r="H184" s="498" t="str">
        <f>IF(F184="","",VLOOKUP(F184,'G-1 All Habitats'!$B$2:$M$129,10,FALSE))</f>
        <v/>
      </c>
      <c r="I184" s="499" t="str">
        <f>IFERROR(VLOOKUP(H184,'G-1 All Habitats'!$V$3:$W$7,2,FALSE),"")</f>
        <v/>
      </c>
      <c r="J184" s="71"/>
      <c r="K184" s="499" t="str">
        <f>IFERROR(INDEX('G-8 Condition Look up'!$A$3:$H$130,MATCH(F184,'G-8 Condition Look up'!$A$3:$A$130,0),MATCH(J184,'G-8 Condition Look up'!$A$3:$H$3,0)),"")</f>
        <v/>
      </c>
      <c r="L184" s="71"/>
      <c r="M184" s="507" t="str">
        <f>IF(L184="","",IF(VLOOKUP(L184,'G-3 Multipliers'!$L$3:$N$6,2,FALSE)=0,"Spatial Data Missing",VLOOKUP(L184,'G-3 Multipliers'!$L$3:$N$6,2,FALSE)))</f>
        <v/>
      </c>
      <c r="N184" s="505" t="str">
        <f>IF(L184="","",IF(VLOOKUP(L184,'G-3 Multipliers'!$L$3:$N$6,3,FALSE)=0,"Spatial Data Missing",VLOOKUP(L184,'G-3 Multipliers'!$L$3:$N$6,3,FALSE)))</f>
        <v/>
      </c>
      <c r="O184" s="498" t="str">
        <f t="shared" si="12"/>
        <v/>
      </c>
      <c r="P184" s="82"/>
      <c r="Q184" s="82"/>
      <c r="R184" s="507" t="str">
        <f t="shared" si="14"/>
        <v/>
      </c>
      <c r="S184" s="521" t="str">
        <f t="shared" si="15"/>
        <v/>
      </c>
      <c r="T184" s="522" t="str">
        <f>IFERROR(IF(S184="Check Data ⚠","Check Data ⚠",VLOOKUP(S184,'G-4 Temporal multipliers'!$A$4:$C$37,3,FALSE)),"")</f>
        <v/>
      </c>
      <c r="U184" s="523" t="str">
        <f>IF(F184="","",VLOOKUP(F184,'G-3 Multipliers'!$A$2:$E$129,2,FALSE))</f>
        <v/>
      </c>
      <c r="V184" s="520" t="str">
        <f t="shared" si="16"/>
        <v/>
      </c>
      <c r="W184" s="520" t="str">
        <f>IF(E184="","",IF(AND(V184="Standard difficulty applied",O184&gt;P184),U184,IF(AND(V184="Low Difficulty - only applicable if all habitat created before losses",P184&gt;=O184),"Low",VLOOKUP(F184,'G-3 Multipliers'!$A$2:$E$129,4,FALSE))))</f>
        <v/>
      </c>
      <c r="X184" s="524" t="str">
        <f>IFERROR(IF(E184="","",VLOOKUP(W184, 'G-3 Multipliers'!$P$2:$Q$6,2,FALSE)),"")</f>
        <v/>
      </c>
      <c r="Y184" s="529" t="str">
        <f t="shared" si="17"/>
        <v/>
      </c>
      <c r="Z184" s="239"/>
      <c r="AA184" s="240"/>
      <c r="AE184" s="54" t="str">
        <f t="shared" si="13"/>
        <v/>
      </c>
    </row>
    <row r="185" spans="1:31" x14ac:dyDescent="0.25">
      <c r="A185" s="47" t="str">
        <f>IFERROR(INDEX('G-8 Condition Look up'!$I$4:$I$130,MATCH(F185,'G-8 Condition Look up'!$A$4:$A$130,0)),"")</f>
        <v/>
      </c>
      <c r="C185" s="384" t="str">
        <f>IFERROR(INDEX('G-1 All Habitats'!$AG$3:$AG$15,MATCH(D185,'G-1 All Habitats'!$AF$3:$AF$15,0)),"")</f>
        <v/>
      </c>
      <c r="D185" s="146"/>
      <c r="E185" s="79"/>
      <c r="F185" s="246" t="str">
        <f>IFERROR(INDEX('G-1 All Habitats'!$B$3:$B$129,MATCH(E185,'G-1 All Habitats'!$A$3:$A$129,0)),"")</f>
        <v/>
      </c>
      <c r="G185" s="70"/>
      <c r="H185" s="498" t="str">
        <f>IF(F185="","",VLOOKUP(F185,'G-1 All Habitats'!$B$2:$M$129,10,FALSE))</f>
        <v/>
      </c>
      <c r="I185" s="499" t="str">
        <f>IFERROR(VLOOKUP(H185,'G-1 All Habitats'!$V$3:$W$7,2,FALSE),"")</f>
        <v/>
      </c>
      <c r="J185" s="71"/>
      <c r="K185" s="499" t="str">
        <f>IFERROR(INDEX('G-8 Condition Look up'!$A$3:$H$130,MATCH(F185,'G-8 Condition Look up'!$A$3:$A$130,0),MATCH(J185,'G-8 Condition Look up'!$A$3:$H$3,0)),"")</f>
        <v/>
      </c>
      <c r="L185" s="71"/>
      <c r="M185" s="507" t="str">
        <f>IF(L185="","",IF(VLOOKUP(L185,'G-3 Multipliers'!$L$3:$N$6,2,FALSE)=0,"Spatial Data Missing",VLOOKUP(L185,'G-3 Multipliers'!$L$3:$N$6,2,FALSE)))</f>
        <v/>
      </c>
      <c r="N185" s="505" t="str">
        <f>IF(L185="","",IF(VLOOKUP(L185,'G-3 Multipliers'!$L$3:$N$6,3,FALSE)=0,"Spatial Data Missing",VLOOKUP(L185,'G-3 Multipliers'!$L$3:$N$6,3,FALSE)))</f>
        <v/>
      </c>
      <c r="O185" s="498" t="str">
        <f t="shared" si="12"/>
        <v/>
      </c>
      <c r="P185" s="82"/>
      <c r="Q185" s="82"/>
      <c r="R185" s="507" t="str">
        <f t="shared" si="14"/>
        <v/>
      </c>
      <c r="S185" s="521" t="str">
        <f t="shared" si="15"/>
        <v/>
      </c>
      <c r="T185" s="522" t="str">
        <f>IFERROR(IF(S185="Check Data ⚠","Check Data ⚠",VLOOKUP(S185,'G-4 Temporal multipliers'!$A$4:$C$37,3,FALSE)),"")</f>
        <v/>
      </c>
      <c r="U185" s="523" t="str">
        <f>IF(F185="","",VLOOKUP(F185,'G-3 Multipliers'!$A$2:$E$129,2,FALSE))</f>
        <v/>
      </c>
      <c r="V185" s="520" t="str">
        <f t="shared" si="16"/>
        <v/>
      </c>
      <c r="W185" s="520" t="str">
        <f>IF(E185="","",IF(AND(V185="Standard difficulty applied",O185&gt;P185),U185,IF(AND(V185="Low Difficulty - only applicable if all habitat created before losses",P185&gt;=O185),"Low",VLOOKUP(F185,'G-3 Multipliers'!$A$2:$E$129,4,FALSE))))</f>
        <v/>
      </c>
      <c r="X185" s="524" t="str">
        <f>IFERROR(IF(E185="","",VLOOKUP(W185, 'G-3 Multipliers'!$P$2:$Q$6,2,FALSE)),"")</f>
        <v/>
      </c>
      <c r="Y185" s="529" t="str">
        <f t="shared" si="17"/>
        <v/>
      </c>
      <c r="Z185" s="239"/>
      <c r="AA185" s="240"/>
      <c r="AE185" s="54" t="str">
        <f t="shared" si="13"/>
        <v/>
      </c>
    </row>
    <row r="186" spans="1:31" x14ac:dyDescent="0.25">
      <c r="A186" s="47" t="str">
        <f>IFERROR(INDEX('G-8 Condition Look up'!$I$4:$I$130,MATCH(F186,'G-8 Condition Look up'!$A$4:$A$130,0)),"")</f>
        <v/>
      </c>
      <c r="C186" s="384" t="str">
        <f>IFERROR(INDEX('G-1 All Habitats'!$AG$3:$AG$15,MATCH(D186,'G-1 All Habitats'!$AF$3:$AF$15,0)),"")</f>
        <v/>
      </c>
      <c r="D186" s="146"/>
      <c r="E186" s="79"/>
      <c r="F186" s="246" t="str">
        <f>IFERROR(INDEX('G-1 All Habitats'!$B$3:$B$129,MATCH(E186,'G-1 All Habitats'!$A$3:$A$129,0)),"")</f>
        <v/>
      </c>
      <c r="G186" s="70"/>
      <c r="H186" s="498" t="str">
        <f>IF(F186="","",VLOOKUP(F186,'G-1 All Habitats'!$B$2:$M$129,10,FALSE))</f>
        <v/>
      </c>
      <c r="I186" s="499" t="str">
        <f>IFERROR(VLOOKUP(H186,'G-1 All Habitats'!$V$3:$W$7,2,FALSE),"")</f>
        <v/>
      </c>
      <c r="J186" s="71"/>
      <c r="K186" s="499" t="str">
        <f>IFERROR(INDEX('G-8 Condition Look up'!$A$3:$H$130,MATCH(F186,'G-8 Condition Look up'!$A$3:$A$130,0),MATCH(J186,'G-8 Condition Look up'!$A$3:$H$3,0)),"")</f>
        <v/>
      </c>
      <c r="L186" s="71"/>
      <c r="M186" s="507" t="str">
        <f>IF(L186="","",IF(VLOOKUP(L186,'G-3 Multipliers'!$L$3:$N$6,2,FALSE)=0,"Spatial Data Missing",VLOOKUP(L186,'G-3 Multipliers'!$L$3:$N$6,2,FALSE)))</f>
        <v/>
      </c>
      <c r="N186" s="505" t="str">
        <f>IF(L186="","",IF(VLOOKUP(L186,'G-3 Multipliers'!$L$3:$N$6,3,FALSE)=0,"Spatial Data Missing",VLOOKUP(L186,'G-3 Multipliers'!$L$3:$N$6,3,FALSE)))</f>
        <v/>
      </c>
      <c r="O186" s="498" t="str">
        <f t="shared" si="12"/>
        <v/>
      </c>
      <c r="P186" s="82"/>
      <c r="Q186" s="82"/>
      <c r="R186" s="507" t="str">
        <f t="shared" si="14"/>
        <v/>
      </c>
      <c r="S186" s="521" t="str">
        <f t="shared" si="15"/>
        <v/>
      </c>
      <c r="T186" s="522" t="str">
        <f>IFERROR(IF(S186="Check Data ⚠","Check Data ⚠",VLOOKUP(S186,'G-4 Temporal multipliers'!$A$4:$C$37,3,FALSE)),"")</f>
        <v/>
      </c>
      <c r="U186" s="523" t="str">
        <f>IF(F186="","",VLOOKUP(F186,'G-3 Multipliers'!$A$2:$E$129,2,FALSE))</f>
        <v/>
      </c>
      <c r="V186" s="520" t="str">
        <f t="shared" si="16"/>
        <v/>
      </c>
      <c r="W186" s="520" t="str">
        <f>IF(E186="","",IF(AND(V186="Standard difficulty applied",O186&gt;P186),U186,IF(AND(V186="Low Difficulty - only applicable if all habitat created before losses",P186&gt;=O186),"Low",VLOOKUP(F186,'G-3 Multipliers'!$A$2:$E$129,4,FALSE))))</f>
        <v/>
      </c>
      <c r="X186" s="524" t="str">
        <f>IFERROR(IF(E186="","",VLOOKUP(W186, 'G-3 Multipliers'!$P$2:$Q$6,2,FALSE)),"")</f>
        <v/>
      </c>
      <c r="Y186" s="529" t="str">
        <f t="shared" si="17"/>
        <v/>
      </c>
      <c r="Z186" s="239"/>
      <c r="AA186" s="240"/>
      <c r="AE186" s="54" t="str">
        <f t="shared" si="13"/>
        <v/>
      </c>
    </row>
    <row r="187" spans="1:31" x14ac:dyDescent="0.25">
      <c r="A187" s="47" t="str">
        <f>IFERROR(INDEX('G-8 Condition Look up'!$I$4:$I$130,MATCH(F187,'G-8 Condition Look up'!$A$4:$A$130,0)),"")</f>
        <v/>
      </c>
      <c r="C187" s="384" t="str">
        <f>IFERROR(INDEX('G-1 All Habitats'!$AG$3:$AG$15,MATCH(D187,'G-1 All Habitats'!$AF$3:$AF$15,0)),"")</f>
        <v/>
      </c>
      <c r="D187" s="146"/>
      <c r="E187" s="79"/>
      <c r="F187" s="246" t="str">
        <f>IFERROR(INDEX('G-1 All Habitats'!$B$3:$B$129,MATCH(E187,'G-1 All Habitats'!$A$3:$A$129,0)),"")</f>
        <v/>
      </c>
      <c r="G187" s="70"/>
      <c r="H187" s="498" t="str">
        <f>IF(F187="","",VLOOKUP(F187,'G-1 All Habitats'!$B$2:$M$129,10,FALSE))</f>
        <v/>
      </c>
      <c r="I187" s="499" t="str">
        <f>IFERROR(VLOOKUP(H187,'G-1 All Habitats'!$V$3:$W$7,2,FALSE),"")</f>
        <v/>
      </c>
      <c r="J187" s="71"/>
      <c r="K187" s="499" t="str">
        <f>IFERROR(INDEX('G-8 Condition Look up'!$A$3:$H$130,MATCH(F187,'G-8 Condition Look up'!$A$3:$A$130,0),MATCH(J187,'G-8 Condition Look up'!$A$3:$H$3,0)),"")</f>
        <v/>
      </c>
      <c r="L187" s="71"/>
      <c r="M187" s="507" t="str">
        <f>IF(L187="","",IF(VLOOKUP(L187,'G-3 Multipliers'!$L$3:$N$6,2,FALSE)=0,"Spatial Data Missing",VLOOKUP(L187,'G-3 Multipliers'!$L$3:$N$6,2,FALSE)))</f>
        <v/>
      </c>
      <c r="N187" s="505" t="str">
        <f>IF(L187="","",IF(VLOOKUP(L187,'G-3 Multipliers'!$L$3:$N$6,3,FALSE)=0,"Spatial Data Missing",VLOOKUP(L187,'G-3 Multipliers'!$L$3:$N$6,3,FALSE)))</f>
        <v/>
      </c>
      <c r="O187" s="498" t="str">
        <f t="shared" si="12"/>
        <v/>
      </c>
      <c r="P187" s="82"/>
      <c r="Q187" s="82"/>
      <c r="R187" s="507" t="str">
        <f t="shared" si="14"/>
        <v/>
      </c>
      <c r="S187" s="521" t="str">
        <f t="shared" si="15"/>
        <v/>
      </c>
      <c r="T187" s="522" t="str">
        <f>IFERROR(IF(S187="Check Data ⚠","Check Data ⚠",VLOOKUP(S187,'G-4 Temporal multipliers'!$A$4:$C$37,3,FALSE)),"")</f>
        <v/>
      </c>
      <c r="U187" s="523" t="str">
        <f>IF(F187="","",VLOOKUP(F187,'G-3 Multipliers'!$A$2:$E$129,2,FALSE))</f>
        <v/>
      </c>
      <c r="V187" s="520" t="str">
        <f t="shared" si="16"/>
        <v/>
      </c>
      <c r="W187" s="520" t="str">
        <f>IF(E187="","",IF(AND(V187="Standard difficulty applied",O187&gt;P187),U187,IF(AND(V187="Low Difficulty - only applicable if all habitat created before losses",P187&gt;=O187),"Low",VLOOKUP(F187,'G-3 Multipliers'!$A$2:$E$129,4,FALSE))))</f>
        <v/>
      </c>
      <c r="X187" s="524" t="str">
        <f>IFERROR(IF(E187="","",VLOOKUP(W187, 'G-3 Multipliers'!$P$2:$Q$6,2,FALSE)),"")</f>
        <v/>
      </c>
      <c r="Y187" s="529" t="str">
        <f t="shared" si="17"/>
        <v/>
      </c>
      <c r="Z187" s="239"/>
      <c r="AA187" s="240"/>
      <c r="AE187" s="54" t="str">
        <f t="shared" si="13"/>
        <v/>
      </c>
    </row>
    <row r="188" spans="1:31" x14ac:dyDescent="0.25">
      <c r="A188" s="47" t="str">
        <f>IFERROR(INDEX('G-8 Condition Look up'!$I$4:$I$130,MATCH(F188,'G-8 Condition Look up'!$A$4:$A$130,0)),"")</f>
        <v/>
      </c>
      <c r="C188" s="384" t="str">
        <f>IFERROR(INDEX('G-1 All Habitats'!$AG$3:$AG$15,MATCH(D188,'G-1 All Habitats'!$AF$3:$AF$15,0)),"")</f>
        <v/>
      </c>
      <c r="D188" s="146"/>
      <c r="E188" s="79"/>
      <c r="F188" s="246" t="str">
        <f>IFERROR(INDEX('G-1 All Habitats'!$B$3:$B$129,MATCH(E188,'G-1 All Habitats'!$A$3:$A$129,0)),"")</f>
        <v/>
      </c>
      <c r="G188" s="70"/>
      <c r="H188" s="498" t="str">
        <f>IF(F188="","",VLOOKUP(F188,'G-1 All Habitats'!$B$2:$M$129,10,FALSE))</f>
        <v/>
      </c>
      <c r="I188" s="499" t="str">
        <f>IFERROR(VLOOKUP(H188,'G-1 All Habitats'!$V$3:$W$7,2,FALSE),"")</f>
        <v/>
      </c>
      <c r="J188" s="71"/>
      <c r="K188" s="499" t="str">
        <f>IFERROR(INDEX('G-8 Condition Look up'!$A$3:$H$130,MATCH(F188,'G-8 Condition Look up'!$A$3:$A$130,0),MATCH(J188,'G-8 Condition Look up'!$A$3:$H$3,0)),"")</f>
        <v/>
      </c>
      <c r="L188" s="71"/>
      <c r="M188" s="507" t="str">
        <f>IF(L188="","",IF(VLOOKUP(L188,'G-3 Multipliers'!$L$3:$N$6,2,FALSE)=0,"Spatial Data Missing",VLOOKUP(L188,'G-3 Multipliers'!$L$3:$N$6,2,FALSE)))</f>
        <v/>
      </c>
      <c r="N188" s="505" t="str">
        <f>IF(L188="","",IF(VLOOKUP(L188,'G-3 Multipliers'!$L$3:$N$6,3,FALSE)=0,"Spatial Data Missing",VLOOKUP(L188,'G-3 Multipliers'!$L$3:$N$6,3,FALSE)))</f>
        <v/>
      </c>
      <c r="O188" s="498" t="str">
        <f t="shared" si="12"/>
        <v/>
      </c>
      <c r="P188" s="82"/>
      <c r="Q188" s="82"/>
      <c r="R188" s="507" t="str">
        <f t="shared" si="14"/>
        <v/>
      </c>
      <c r="S188" s="521" t="str">
        <f t="shared" si="15"/>
        <v/>
      </c>
      <c r="T188" s="522" t="str">
        <f>IFERROR(IF(S188="Check Data ⚠","Check Data ⚠",VLOOKUP(S188,'G-4 Temporal multipliers'!$A$4:$C$37,3,FALSE)),"")</f>
        <v/>
      </c>
      <c r="U188" s="523" t="str">
        <f>IF(F188="","",VLOOKUP(F188,'G-3 Multipliers'!$A$2:$E$129,2,FALSE))</f>
        <v/>
      </c>
      <c r="V188" s="520" t="str">
        <f t="shared" si="16"/>
        <v/>
      </c>
      <c r="W188" s="520" t="str">
        <f>IF(E188="","",IF(AND(V188="Standard difficulty applied",O188&gt;P188),U188,IF(AND(V188="Low Difficulty - only applicable if all habitat created before losses",P188&gt;=O188),"Low",VLOOKUP(F188,'G-3 Multipliers'!$A$2:$E$129,4,FALSE))))</f>
        <v/>
      </c>
      <c r="X188" s="524" t="str">
        <f>IFERROR(IF(E188="","",VLOOKUP(W188, 'G-3 Multipliers'!$P$2:$Q$6,2,FALSE)),"")</f>
        <v/>
      </c>
      <c r="Y188" s="529" t="str">
        <f t="shared" si="17"/>
        <v/>
      </c>
      <c r="Z188" s="239"/>
      <c r="AA188" s="240"/>
      <c r="AE188" s="54" t="str">
        <f t="shared" si="13"/>
        <v/>
      </c>
    </row>
    <row r="189" spans="1:31" x14ac:dyDescent="0.25">
      <c r="A189" s="47" t="str">
        <f>IFERROR(INDEX('G-8 Condition Look up'!$I$4:$I$130,MATCH(F189,'G-8 Condition Look up'!$A$4:$A$130,0)),"")</f>
        <v/>
      </c>
      <c r="C189" s="384" t="str">
        <f>IFERROR(INDEX('G-1 All Habitats'!$AG$3:$AG$15,MATCH(D189,'G-1 All Habitats'!$AF$3:$AF$15,0)),"")</f>
        <v/>
      </c>
      <c r="D189" s="146"/>
      <c r="E189" s="79"/>
      <c r="F189" s="246" t="str">
        <f>IFERROR(INDEX('G-1 All Habitats'!$B$3:$B$129,MATCH(E189,'G-1 All Habitats'!$A$3:$A$129,0)),"")</f>
        <v/>
      </c>
      <c r="G189" s="70"/>
      <c r="H189" s="498" t="str">
        <f>IF(F189="","",VLOOKUP(F189,'G-1 All Habitats'!$B$2:$M$129,10,FALSE))</f>
        <v/>
      </c>
      <c r="I189" s="499" t="str">
        <f>IFERROR(VLOOKUP(H189,'G-1 All Habitats'!$V$3:$W$7,2,FALSE),"")</f>
        <v/>
      </c>
      <c r="J189" s="71"/>
      <c r="K189" s="499" t="str">
        <f>IFERROR(INDEX('G-8 Condition Look up'!$A$3:$H$130,MATCH(F189,'G-8 Condition Look up'!$A$3:$A$130,0),MATCH(J189,'G-8 Condition Look up'!$A$3:$H$3,0)),"")</f>
        <v/>
      </c>
      <c r="L189" s="71"/>
      <c r="M189" s="507" t="str">
        <f>IF(L189="","",IF(VLOOKUP(L189,'G-3 Multipliers'!$L$3:$N$6,2,FALSE)=0,"Spatial Data Missing",VLOOKUP(L189,'G-3 Multipliers'!$L$3:$N$6,2,FALSE)))</f>
        <v/>
      </c>
      <c r="N189" s="505" t="str">
        <f>IF(L189="","",IF(VLOOKUP(L189,'G-3 Multipliers'!$L$3:$N$6,3,FALSE)=0,"Spatial Data Missing",VLOOKUP(L189,'G-3 Multipliers'!$L$3:$N$6,3,FALSE)))</f>
        <v/>
      </c>
      <c r="O189" s="498" t="str">
        <f t="shared" si="12"/>
        <v/>
      </c>
      <c r="P189" s="82"/>
      <c r="Q189" s="82"/>
      <c r="R189" s="507" t="str">
        <f t="shared" si="14"/>
        <v/>
      </c>
      <c r="S189" s="521" t="str">
        <f t="shared" si="15"/>
        <v/>
      </c>
      <c r="T189" s="522" t="str">
        <f>IFERROR(IF(S189="Check Data ⚠","Check Data ⚠",VLOOKUP(S189,'G-4 Temporal multipliers'!$A$4:$C$37,3,FALSE)),"")</f>
        <v/>
      </c>
      <c r="U189" s="523" t="str">
        <f>IF(F189="","",VLOOKUP(F189,'G-3 Multipliers'!$A$2:$E$129,2,FALSE))</f>
        <v/>
      </c>
      <c r="V189" s="520" t="str">
        <f t="shared" si="16"/>
        <v/>
      </c>
      <c r="W189" s="520" t="str">
        <f>IF(E189="","",IF(AND(V189="Standard difficulty applied",O189&gt;P189),U189,IF(AND(V189="Low Difficulty - only applicable if all habitat created before losses",P189&gt;=O189),"Low",VLOOKUP(F189,'G-3 Multipliers'!$A$2:$E$129,4,FALSE))))</f>
        <v/>
      </c>
      <c r="X189" s="524" t="str">
        <f>IFERROR(IF(E189="","",VLOOKUP(W189, 'G-3 Multipliers'!$P$2:$Q$6,2,FALSE)),"")</f>
        <v/>
      </c>
      <c r="Y189" s="529" t="str">
        <f t="shared" si="17"/>
        <v/>
      </c>
      <c r="Z189" s="239"/>
      <c r="AA189" s="240"/>
      <c r="AE189" s="54" t="str">
        <f t="shared" si="13"/>
        <v/>
      </c>
    </row>
    <row r="190" spans="1:31" x14ac:dyDescent="0.25">
      <c r="A190" s="47" t="str">
        <f>IFERROR(INDEX('G-8 Condition Look up'!$I$4:$I$130,MATCH(F190,'G-8 Condition Look up'!$A$4:$A$130,0)),"")</f>
        <v/>
      </c>
      <c r="C190" s="384" t="str">
        <f>IFERROR(INDEX('G-1 All Habitats'!$AG$3:$AG$15,MATCH(D190,'G-1 All Habitats'!$AF$3:$AF$15,0)),"")</f>
        <v/>
      </c>
      <c r="D190" s="146"/>
      <c r="E190" s="79"/>
      <c r="F190" s="246" t="str">
        <f>IFERROR(INDEX('G-1 All Habitats'!$B$3:$B$129,MATCH(E190,'G-1 All Habitats'!$A$3:$A$129,0)),"")</f>
        <v/>
      </c>
      <c r="G190" s="70"/>
      <c r="H190" s="498" t="str">
        <f>IF(F190="","",VLOOKUP(F190,'G-1 All Habitats'!$B$2:$M$129,10,FALSE))</f>
        <v/>
      </c>
      <c r="I190" s="499" t="str">
        <f>IFERROR(VLOOKUP(H190,'G-1 All Habitats'!$V$3:$W$7,2,FALSE),"")</f>
        <v/>
      </c>
      <c r="J190" s="71"/>
      <c r="K190" s="499" t="str">
        <f>IFERROR(INDEX('G-8 Condition Look up'!$A$3:$H$130,MATCH(F190,'G-8 Condition Look up'!$A$3:$A$130,0),MATCH(J190,'G-8 Condition Look up'!$A$3:$H$3,0)),"")</f>
        <v/>
      </c>
      <c r="L190" s="71"/>
      <c r="M190" s="507" t="str">
        <f>IF(L190="","",IF(VLOOKUP(L190,'G-3 Multipliers'!$L$3:$N$6,2,FALSE)=0,"Spatial Data Missing",VLOOKUP(L190,'G-3 Multipliers'!$L$3:$N$6,2,FALSE)))</f>
        <v/>
      </c>
      <c r="N190" s="505" t="str">
        <f>IF(L190="","",IF(VLOOKUP(L190,'G-3 Multipliers'!$L$3:$N$6,3,FALSE)=0,"Spatial Data Missing",VLOOKUP(L190,'G-3 Multipliers'!$L$3:$N$6,3,FALSE)))</f>
        <v/>
      </c>
      <c r="O190" s="498" t="str">
        <f t="shared" si="12"/>
        <v/>
      </c>
      <c r="P190" s="82"/>
      <c r="Q190" s="82"/>
      <c r="R190" s="507" t="str">
        <f t="shared" si="14"/>
        <v/>
      </c>
      <c r="S190" s="521" t="str">
        <f t="shared" si="15"/>
        <v/>
      </c>
      <c r="T190" s="522" t="str">
        <f>IFERROR(IF(S190="Check Data ⚠","Check Data ⚠",VLOOKUP(S190,'G-4 Temporal multipliers'!$A$4:$C$37,3,FALSE)),"")</f>
        <v/>
      </c>
      <c r="U190" s="523" t="str">
        <f>IF(F190="","",VLOOKUP(F190,'G-3 Multipliers'!$A$2:$E$129,2,FALSE))</f>
        <v/>
      </c>
      <c r="V190" s="520" t="str">
        <f t="shared" si="16"/>
        <v/>
      </c>
      <c r="W190" s="520" t="str">
        <f>IF(E190="","",IF(AND(V190="Standard difficulty applied",O190&gt;P190),U190,IF(AND(V190="Low Difficulty - only applicable if all habitat created before losses",P190&gt;=O190),"Low",VLOOKUP(F190,'G-3 Multipliers'!$A$2:$E$129,4,FALSE))))</f>
        <v/>
      </c>
      <c r="X190" s="524" t="str">
        <f>IFERROR(IF(E190="","",VLOOKUP(W190, 'G-3 Multipliers'!$P$2:$Q$6,2,FALSE)),"")</f>
        <v/>
      </c>
      <c r="Y190" s="529" t="str">
        <f t="shared" si="17"/>
        <v/>
      </c>
      <c r="Z190" s="239"/>
      <c r="AA190" s="240"/>
      <c r="AE190" s="54" t="str">
        <f t="shared" si="13"/>
        <v/>
      </c>
    </row>
    <row r="191" spans="1:31" x14ac:dyDescent="0.25">
      <c r="A191" s="47" t="str">
        <f>IFERROR(INDEX('G-8 Condition Look up'!$I$4:$I$130,MATCH(F191,'G-8 Condition Look up'!$A$4:$A$130,0)),"")</f>
        <v/>
      </c>
      <c r="C191" s="384" t="str">
        <f>IFERROR(INDEX('G-1 All Habitats'!$AG$3:$AG$15,MATCH(D191,'G-1 All Habitats'!$AF$3:$AF$15,0)),"")</f>
        <v/>
      </c>
      <c r="D191" s="146"/>
      <c r="E191" s="79"/>
      <c r="F191" s="246" t="str">
        <f>IFERROR(INDEX('G-1 All Habitats'!$B$3:$B$129,MATCH(E191,'G-1 All Habitats'!$A$3:$A$129,0)),"")</f>
        <v/>
      </c>
      <c r="G191" s="70"/>
      <c r="H191" s="498" t="str">
        <f>IF(F191="","",VLOOKUP(F191,'G-1 All Habitats'!$B$2:$M$129,10,FALSE))</f>
        <v/>
      </c>
      <c r="I191" s="499" t="str">
        <f>IFERROR(VLOOKUP(H191,'G-1 All Habitats'!$V$3:$W$7,2,FALSE),"")</f>
        <v/>
      </c>
      <c r="J191" s="71"/>
      <c r="K191" s="499" t="str">
        <f>IFERROR(INDEX('G-8 Condition Look up'!$A$3:$H$130,MATCH(F191,'G-8 Condition Look up'!$A$3:$A$130,0),MATCH(J191,'G-8 Condition Look up'!$A$3:$H$3,0)),"")</f>
        <v/>
      </c>
      <c r="L191" s="71"/>
      <c r="M191" s="507" t="str">
        <f>IF(L191="","",IF(VLOOKUP(L191,'G-3 Multipliers'!$L$3:$N$6,2,FALSE)=0,"Spatial Data Missing",VLOOKUP(L191,'G-3 Multipliers'!$L$3:$N$6,2,FALSE)))</f>
        <v/>
      </c>
      <c r="N191" s="505" t="str">
        <f>IF(L191="","",IF(VLOOKUP(L191,'G-3 Multipliers'!$L$3:$N$6,3,FALSE)=0,"Spatial Data Missing",VLOOKUP(L191,'G-3 Multipliers'!$L$3:$N$6,3,FALSE)))</f>
        <v/>
      </c>
      <c r="O191" s="498" t="str">
        <f t="shared" si="12"/>
        <v/>
      </c>
      <c r="P191" s="82"/>
      <c r="Q191" s="82"/>
      <c r="R191" s="507" t="str">
        <f t="shared" si="14"/>
        <v/>
      </c>
      <c r="S191" s="521" t="str">
        <f t="shared" si="15"/>
        <v/>
      </c>
      <c r="T191" s="522" t="str">
        <f>IFERROR(IF(S191="Check Data ⚠","Check Data ⚠",VLOOKUP(S191,'G-4 Temporal multipliers'!$A$4:$C$37,3,FALSE)),"")</f>
        <v/>
      </c>
      <c r="U191" s="523" t="str">
        <f>IF(F191="","",VLOOKUP(F191,'G-3 Multipliers'!$A$2:$E$129,2,FALSE))</f>
        <v/>
      </c>
      <c r="V191" s="520" t="str">
        <f t="shared" si="16"/>
        <v/>
      </c>
      <c r="W191" s="520" t="str">
        <f>IF(E191="","",IF(AND(V191="Standard difficulty applied",O191&gt;P191),U191,IF(AND(V191="Low Difficulty - only applicable if all habitat created before losses",P191&gt;=O191),"Low",VLOOKUP(F191,'G-3 Multipliers'!$A$2:$E$129,4,FALSE))))</f>
        <v/>
      </c>
      <c r="X191" s="524" t="str">
        <f>IFERROR(IF(E191="","",VLOOKUP(W191, 'G-3 Multipliers'!$P$2:$Q$6,2,FALSE)),"")</f>
        <v/>
      </c>
      <c r="Y191" s="529" t="str">
        <f t="shared" si="17"/>
        <v/>
      </c>
      <c r="Z191" s="239"/>
      <c r="AA191" s="240"/>
      <c r="AE191" s="54" t="str">
        <f t="shared" si="13"/>
        <v/>
      </c>
    </row>
    <row r="192" spans="1:31" x14ac:dyDescent="0.25">
      <c r="A192" s="47" t="str">
        <f>IFERROR(INDEX('G-8 Condition Look up'!$I$4:$I$130,MATCH(F192,'G-8 Condition Look up'!$A$4:$A$130,0)),"")</f>
        <v/>
      </c>
      <c r="C192" s="384" t="str">
        <f>IFERROR(INDEX('G-1 All Habitats'!$AG$3:$AG$15,MATCH(D192,'G-1 All Habitats'!$AF$3:$AF$15,0)),"")</f>
        <v/>
      </c>
      <c r="D192" s="146"/>
      <c r="E192" s="79"/>
      <c r="F192" s="246" t="str">
        <f>IFERROR(INDEX('G-1 All Habitats'!$B$3:$B$129,MATCH(E192,'G-1 All Habitats'!$A$3:$A$129,0)),"")</f>
        <v/>
      </c>
      <c r="G192" s="70"/>
      <c r="H192" s="498" t="str">
        <f>IF(F192="","",VLOOKUP(F192,'G-1 All Habitats'!$B$2:$M$129,10,FALSE))</f>
        <v/>
      </c>
      <c r="I192" s="499" t="str">
        <f>IFERROR(VLOOKUP(H192,'G-1 All Habitats'!$V$3:$W$7,2,FALSE),"")</f>
        <v/>
      </c>
      <c r="J192" s="71"/>
      <c r="K192" s="499" t="str">
        <f>IFERROR(INDEX('G-8 Condition Look up'!$A$3:$H$130,MATCH(F192,'G-8 Condition Look up'!$A$3:$A$130,0),MATCH(J192,'G-8 Condition Look up'!$A$3:$H$3,0)),"")</f>
        <v/>
      </c>
      <c r="L192" s="71"/>
      <c r="M192" s="507" t="str">
        <f>IF(L192="","",IF(VLOOKUP(L192,'G-3 Multipliers'!$L$3:$N$6,2,FALSE)=0,"Spatial Data Missing",VLOOKUP(L192,'G-3 Multipliers'!$L$3:$N$6,2,FALSE)))</f>
        <v/>
      </c>
      <c r="N192" s="505" t="str">
        <f>IF(L192="","",IF(VLOOKUP(L192,'G-3 Multipliers'!$L$3:$N$6,3,FALSE)=0,"Spatial Data Missing",VLOOKUP(L192,'G-3 Multipliers'!$L$3:$N$6,3,FALSE)))</f>
        <v/>
      </c>
      <c r="O192" s="498" t="str">
        <f t="shared" si="12"/>
        <v/>
      </c>
      <c r="P192" s="82"/>
      <c r="Q192" s="82"/>
      <c r="R192" s="507" t="str">
        <f t="shared" si="14"/>
        <v/>
      </c>
      <c r="S192" s="521" t="str">
        <f t="shared" si="15"/>
        <v/>
      </c>
      <c r="T192" s="522" t="str">
        <f>IFERROR(IF(S192="Check Data ⚠","Check Data ⚠",VLOOKUP(S192,'G-4 Temporal multipliers'!$A$4:$C$37,3,FALSE)),"")</f>
        <v/>
      </c>
      <c r="U192" s="523" t="str">
        <f>IF(F192="","",VLOOKUP(F192,'G-3 Multipliers'!$A$2:$E$129,2,FALSE))</f>
        <v/>
      </c>
      <c r="V192" s="520" t="str">
        <f t="shared" si="16"/>
        <v/>
      </c>
      <c r="W192" s="520" t="str">
        <f>IF(E192="","",IF(AND(V192="Standard difficulty applied",O192&gt;P192),U192,IF(AND(V192="Low Difficulty - only applicable if all habitat created before losses",P192&gt;=O192),"Low",VLOOKUP(F192,'G-3 Multipliers'!$A$2:$E$129,4,FALSE))))</f>
        <v/>
      </c>
      <c r="X192" s="524" t="str">
        <f>IFERROR(IF(E192="","",VLOOKUP(W192, 'G-3 Multipliers'!$P$2:$Q$6,2,FALSE)),"")</f>
        <v/>
      </c>
      <c r="Y192" s="529" t="str">
        <f t="shared" si="17"/>
        <v/>
      </c>
      <c r="Z192" s="239"/>
      <c r="AA192" s="240"/>
      <c r="AE192" s="54" t="str">
        <f t="shared" si="13"/>
        <v/>
      </c>
    </row>
    <row r="193" spans="1:31" x14ac:dyDescent="0.25">
      <c r="A193" s="47" t="str">
        <f>IFERROR(INDEX('G-8 Condition Look up'!$I$4:$I$130,MATCH(F193,'G-8 Condition Look up'!$A$4:$A$130,0)),"")</f>
        <v/>
      </c>
      <c r="C193" s="384" t="str">
        <f>IFERROR(INDEX('G-1 All Habitats'!$AG$3:$AG$15,MATCH(D193,'G-1 All Habitats'!$AF$3:$AF$15,0)),"")</f>
        <v/>
      </c>
      <c r="D193" s="146"/>
      <c r="E193" s="79"/>
      <c r="F193" s="246" t="str">
        <f>IFERROR(INDEX('G-1 All Habitats'!$B$3:$B$129,MATCH(E193,'G-1 All Habitats'!$A$3:$A$129,0)),"")</f>
        <v/>
      </c>
      <c r="G193" s="70"/>
      <c r="H193" s="498" t="str">
        <f>IF(F193="","",VLOOKUP(F193,'G-1 All Habitats'!$B$2:$M$129,10,FALSE))</f>
        <v/>
      </c>
      <c r="I193" s="499" t="str">
        <f>IFERROR(VLOOKUP(H193,'G-1 All Habitats'!$V$3:$W$7,2,FALSE),"")</f>
        <v/>
      </c>
      <c r="J193" s="71"/>
      <c r="K193" s="499" t="str">
        <f>IFERROR(INDEX('G-8 Condition Look up'!$A$3:$H$130,MATCH(F193,'G-8 Condition Look up'!$A$3:$A$130,0),MATCH(J193,'G-8 Condition Look up'!$A$3:$H$3,0)),"")</f>
        <v/>
      </c>
      <c r="L193" s="71"/>
      <c r="M193" s="507" t="str">
        <f>IF(L193="","",IF(VLOOKUP(L193,'G-3 Multipliers'!$L$3:$N$6,2,FALSE)=0,"Spatial Data Missing",VLOOKUP(L193,'G-3 Multipliers'!$L$3:$N$6,2,FALSE)))</f>
        <v/>
      </c>
      <c r="N193" s="505" t="str">
        <f>IF(L193="","",IF(VLOOKUP(L193,'G-3 Multipliers'!$L$3:$N$6,3,FALSE)=0,"Spatial Data Missing",VLOOKUP(L193,'G-3 Multipliers'!$L$3:$N$6,3,FALSE)))</f>
        <v/>
      </c>
      <c r="O193" s="498" t="str">
        <f t="shared" si="12"/>
        <v/>
      </c>
      <c r="P193" s="82"/>
      <c r="Q193" s="82"/>
      <c r="R193" s="507" t="str">
        <f t="shared" si="14"/>
        <v/>
      </c>
      <c r="S193" s="521" t="str">
        <f t="shared" si="15"/>
        <v/>
      </c>
      <c r="T193" s="522" t="str">
        <f>IFERROR(IF(S193="Check Data ⚠","Check Data ⚠",VLOOKUP(S193,'G-4 Temporal multipliers'!$A$4:$C$37,3,FALSE)),"")</f>
        <v/>
      </c>
      <c r="U193" s="523" t="str">
        <f>IF(F193="","",VLOOKUP(F193,'G-3 Multipliers'!$A$2:$E$129,2,FALSE))</f>
        <v/>
      </c>
      <c r="V193" s="520" t="str">
        <f t="shared" si="16"/>
        <v/>
      </c>
      <c r="W193" s="520" t="str">
        <f>IF(E193="","",IF(AND(V193="Standard difficulty applied",O193&gt;P193),U193,IF(AND(V193="Low Difficulty - only applicable if all habitat created before losses",P193&gt;=O193),"Low",VLOOKUP(F193,'G-3 Multipliers'!$A$2:$E$129,4,FALSE))))</f>
        <v/>
      </c>
      <c r="X193" s="524" t="str">
        <f>IFERROR(IF(E193="","",VLOOKUP(W193, 'G-3 Multipliers'!$P$2:$Q$6,2,FALSE)),"")</f>
        <v/>
      </c>
      <c r="Y193" s="529" t="str">
        <f t="shared" si="17"/>
        <v/>
      </c>
      <c r="Z193" s="239"/>
      <c r="AA193" s="240"/>
      <c r="AE193" s="54" t="str">
        <f t="shared" si="13"/>
        <v/>
      </c>
    </row>
    <row r="194" spans="1:31" x14ac:dyDescent="0.25">
      <c r="A194" s="47" t="str">
        <f>IFERROR(INDEX('G-8 Condition Look up'!$I$4:$I$130,MATCH(F194,'G-8 Condition Look up'!$A$4:$A$130,0)),"")</f>
        <v/>
      </c>
      <c r="C194" s="384" t="str">
        <f>IFERROR(INDEX('G-1 All Habitats'!$AG$3:$AG$15,MATCH(D194,'G-1 All Habitats'!$AF$3:$AF$15,0)),"")</f>
        <v/>
      </c>
      <c r="D194" s="146"/>
      <c r="E194" s="79"/>
      <c r="F194" s="246" t="str">
        <f>IFERROR(INDEX('G-1 All Habitats'!$B$3:$B$129,MATCH(E194,'G-1 All Habitats'!$A$3:$A$129,0)),"")</f>
        <v/>
      </c>
      <c r="G194" s="70"/>
      <c r="H194" s="498" t="str">
        <f>IF(F194="","",VLOOKUP(F194,'G-1 All Habitats'!$B$2:$M$129,10,FALSE))</f>
        <v/>
      </c>
      <c r="I194" s="499" t="str">
        <f>IFERROR(VLOOKUP(H194,'G-1 All Habitats'!$V$3:$W$7,2,FALSE),"")</f>
        <v/>
      </c>
      <c r="J194" s="71"/>
      <c r="K194" s="499" t="str">
        <f>IFERROR(INDEX('G-8 Condition Look up'!$A$3:$H$130,MATCH(F194,'G-8 Condition Look up'!$A$3:$A$130,0),MATCH(J194,'G-8 Condition Look up'!$A$3:$H$3,0)),"")</f>
        <v/>
      </c>
      <c r="L194" s="71"/>
      <c r="M194" s="507" t="str">
        <f>IF(L194="","",IF(VLOOKUP(L194,'G-3 Multipliers'!$L$3:$N$6,2,FALSE)=0,"Spatial Data Missing",VLOOKUP(L194,'G-3 Multipliers'!$L$3:$N$6,2,FALSE)))</f>
        <v/>
      </c>
      <c r="N194" s="505" t="str">
        <f>IF(L194="","",IF(VLOOKUP(L194,'G-3 Multipliers'!$L$3:$N$6,3,FALSE)=0,"Spatial Data Missing",VLOOKUP(L194,'G-3 Multipliers'!$L$3:$N$6,3,FALSE)))</f>
        <v/>
      </c>
      <c r="O194" s="498" t="str">
        <f t="shared" si="12"/>
        <v/>
      </c>
      <c r="P194" s="82"/>
      <c r="Q194" s="82"/>
      <c r="R194" s="507" t="str">
        <f t="shared" si="14"/>
        <v/>
      </c>
      <c r="S194" s="521" t="str">
        <f t="shared" si="15"/>
        <v/>
      </c>
      <c r="T194" s="522" t="str">
        <f>IFERROR(IF(S194="Check Data ⚠","Check Data ⚠",VLOOKUP(S194,'G-4 Temporal multipliers'!$A$4:$C$37,3,FALSE)),"")</f>
        <v/>
      </c>
      <c r="U194" s="523" t="str">
        <f>IF(F194="","",VLOOKUP(F194,'G-3 Multipliers'!$A$2:$E$129,2,FALSE))</f>
        <v/>
      </c>
      <c r="V194" s="520" t="str">
        <f t="shared" si="16"/>
        <v/>
      </c>
      <c r="W194" s="520" t="str">
        <f>IF(E194="","",IF(AND(V194="Standard difficulty applied",O194&gt;P194),U194,IF(AND(V194="Low Difficulty - only applicable if all habitat created before losses",P194&gt;=O194),"Low",VLOOKUP(F194,'G-3 Multipliers'!$A$2:$E$129,4,FALSE))))</f>
        <v/>
      </c>
      <c r="X194" s="524" t="str">
        <f>IFERROR(IF(E194="","",VLOOKUP(W194, 'G-3 Multipliers'!$P$2:$Q$6,2,FALSE)),"")</f>
        <v/>
      </c>
      <c r="Y194" s="529" t="str">
        <f t="shared" si="17"/>
        <v/>
      </c>
      <c r="Z194" s="239"/>
      <c r="AA194" s="240"/>
      <c r="AE194" s="54" t="str">
        <f t="shared" si="13"/>
        <v/>
      </c>
    </row>
    <row r="195" spans="1:31" x14ac:dyDescent="0.25">
      <c r="A195" s="47" t="str">
        <f>IFERROR(INDEX('G-8 Condition Look up'!$I$4:$I$130,MATCH(F195,'G-8 Condition Look up'!$A$4:$A$130,0)),"")</f>
        <v/>
      </c>
      <c r="C195" s="384" t="str">
        <f>IFERROR(INDEX('G-1 All Habitats'!$AG$3:$AG$15,MATCH(D195,'G-1 All Habitats'!$AF$3:$AF$15,0)),"")</f>
        <v/>
      </c>
      <c r="D195" s="146"/>
      <c r="E195" s="79"/>
      <c r="F195" s="246" t="str">
        <f>IFERROR(INDEX('G-1 All Habitats'!$B$3:$B$129,MATCH(E195,'G-1 All Habitats'!$A$3:$A$129,0)),"")</f>
        <v/>
      </c>
      <c r="G195" s="70"/>
      <c r="H195" s="498" t="str">
        <f>IF(F195="","",VLOOKUP(F195,'G-1 All Habitats'!$B$2:$M$129,10,FALSE))</f>
        <v/>
      </c>
      <c r="I195" s="499" t="str">
        <f>IFERROR(VLOOKUP(H195,'G-1 All Habitats'!$V$3:$W$7,2,FALSE),"")</f>
        <v/>
      </c>
      <c r="J195" s="71"/>
      <c r="K195" s="499" t="str">
        <f>IFERROR(INDEX('G-8 Condition Look up'!$A$3:$H$130,MATCH(F195,'G-8 Condition Look up'!$A$3:$A$130,0),MATCH(J195,'G-8 Condition Look up'!$A$3:$H$3,0)),"")</f>
        <v/>
      </c>
      <c r="L195" s="71"/>
      <c r="M195" s="507" t="str">
        <f>IF(L195="","",IF(VLOOKUP(L195,'G-3 Multipliers'!$L$3:$N$6,2,FALSE)=0,"Spatial Data Missing",VLOOKUP(L195,'G-3 Multipliers'!$L$3:$N$6,2,FALSE)))</f>
        <v/>
      </c>
      <c r="N195" s="505" t="str">
        <f>IF(L195="","",IF(VLOOKUP(L195,'G-3 Multipliers'!$L$3:$N$6,3,FALSE)=0,"Spatial Data Missing",VLOOKUP(L195,'G-3 Multipliers'!$L$3:$N$6,3,FALSE)))</f>
        <v/>
      </c>
      <c r="O195" s="498" t="str">
        <f t="shared" si="12"/>
        <v/>
      </c>
      <c r="P195" s="82"/>
      <c r="Q195" s="82"/>
      <c r="R195" s="507" t="str">
        <f t="shared" si="14"/>
        <v/>
      </c>
      <c r="S195" s="521" t="str">
        <f t="shared" si="15"/>
        <v/>
      </c>
      <c r="T195" s="522" t="str">
        <f>IFERROR(IF(S195="Check Data ⚠","Check Data ⚠",VLOOKUP(S195,'G-4 Temporal multipliers'!$A$4:$C$37,3,FALSE)),"")</f>
        <v/>
      </c>
      <c r="U195" s="523" t="str">
        <f>IF(F195="","",VLOOKUP(F195,'G-3 Multipliers'!$A$2:$E$129,2,FALSE))</f>
        <v/>
      </c>
      <c r="V195" s="520" t="str">
        <f t="shared" si="16"/>
        <v/>
      </c>
      <c r="W195" s="520" t="str">
        <f>IF(E195="","",IF(AND(V195="Standard difficulty applied",O195&gt;P195),U195,IF(AND(V195="Low Difficulty - only applicable if all habitat created before losses",P195&gt;=O195),"Low",VLOOKUP(F195,'G-3 Multipliers'!$A$2:$E$129,4,FALSE))))</f>
        <v/>
      </c>
      <c r="X195" s="524" t="str">
        <f>IFERROR(IF(E195="","",VLOOKUP(W195, 'G-3 Multipliers'!$P$2:$Q$6,2,FALSE)),"")</f>
        <v/>
      </c>
      <c r="Y195" s="529" t="str">
        <f t="shared" si="17"/>
        <v/>
      </c>
      <c r="Z195" s="239"/>
      <c r="AA195" s="240"/>
      <c r="AE195" s="54" t="str">
        <f t="shared" si="13"/>
        <v/>
      </c>
    </row>
    <row r="196" spans="1:31" x14ac:dyDescent="0.25">
      <c r="A196" s="47" t="str">
        <f>IFERROR(INDEX('G-8 Condition Look up'!$I$4:$I$130,MATCH(F196,'G-8 Condition Look up'!$A$4:$A$130,0)),"")</f>
        <v/>
      </c>
      <c r="C196" s="384" t="str">
        <f>IFERROR(INDEX('G-1 All Habitats'!$AG$3:$AG$15,MATCH(D196,'G-1 All Habitats'!$AF$3:$AF$15,0)),"")</f>
        <v/>
      </c>
      <c r="D196" s="146"/>
      <c r="E196" s="79"/>
      <c r="F196" s="246" t="str">
        <f>IFERROR(INDEX('G-1 All Habitats'!$B$3:$B$129,MATCH(E196,'G-1 All Habitats'!$A$3:$A$129,0)),"")</f>
        <v/>
      </c>
      <c r="G196" s="70"/>
      <c r="H196" s="498" t="str">
        <f>IF(F196="","",VLOOKUP(F196,'G-1 All Habitats'!$B$2:$M$129,10,FALSE))</f>
        <v/>
      </c>
      <c r="I196" s="499" t="str">
        <f>IFERROR(VLOOKUP(H196,'G-1 All Habitats'!$V$3:$W$7,2,FALSE),"")</f>
        <v/>
      </c>
      <c r="J196" s="71"/>
      <c r="K196" s="499" t="str">
        <f>IFERROR(INDEX('G-8 Condition Look up'!$A$3:$H$130,MATCH(F196,'G-8 Condition Look up'!$A$3:$A$130,0),MATCH(J196,'G-8 Condition Look up'!$A$3:$H$3,0)),"")</f>
        <v/>
      </c>
      <c r="L196" s="71"/>
      <c r="M196" s="507" t="str">
        <f>IF(L196="","",IF(VLOOKUP(L196,'G-3 Multipliers'!$L$3:$N$6,2,FALSE)=0,"Spatial Data Missing",VLOOKUP(L196,'G-3 Multipliers'!$L$3:$N$6,2,FALSE)))</f>
        <v/>
      </c>
      <c r="N196" s="505" t="str">
        <f>IF(L196="","",IF(VLOOKUP(L196,'G-3 Multipliers'!$L$3:$N$6,3,FALSE)=0,"Spatial Data Missing",VLOOKUP(L196,'G-3 Multipliers'!$L$3:$N$6,3,FALSE)))</f>
        <v/>
      </c>
      <c r="O196" s="498" t="str">
        <f t="shared" si="12"/>
        <v/>
      </c>
      <c r="P196" s="82"/>
      <c r="Q196" s="82"/>
      <c r="R196" s="507" t="str">
        <f t="shared" si="14"/>
        <v/>
      </c>
      <c r="S196" s="521" t="str">
        <f t="shared" si="15"/>
        <v/>
      </c>
      <c r="T196" s="522" t="str">
        <f>IFERROR(IF(S196="Check Data ⚠","Check Data ⚠",VLOOKUP(S196,'G-4 Temporal multipliers'!$A$4:$C$37,3,FALSE)),"")</f>
        <v/>
      </c>
      <c r="U196" s="523" t="str">
        <f>IF(F196="","",VLOOKUP(F196,'G-3 Multipliers'!$A$2:$E$129,2,FALSE))</f>
        <v/>
      </c>
      <c r="V196" s="520" t="str">
        <f t="shared" si="16"/>
        <v/>
      </c>
      <c r="W196" s="520" t="str">
        <f>IF(E196="","",IF(AND(V196="Standard difficulty applied",O196&gt;P196),U196,IF(AND(V196="Low Difficulty - only applicable if all habitat created before losses",P196&gt;=O196),"Low",VLOOKUP(F196,'G-3 Multipliers'!$A$2:$E$129,4,FALSE))))</f>
        <v/>
      </c>
      <c r="X196" s="524" t="str">
        <f>IFERROR(IF(E196="","",VLOOKUP(W196, 'G-3 Multipliers'!$P$2:$Q$6,2,FALSE)),"")</f>
        <v/>
      </c>
      <c r="Y196" s="529" t="str">
        <f t="shared" si="17"/>
        <v/>
      </c>
      <c r="Z196" s="239"/>
      <c r="AA196" s="240"/>
      <c r="AE196" s="54" t="str">
        <f t="shared" si="13"/>
        <v/>
      </c>
    </row>
    <row r="197" spans="1:31" x14ac:dyDescent="0.25">
      <c r="A197" s="47" t="str">
        <f>IFERROR(INDEX('G-8 Condition Look up'!$I$4:$I$130,MATCH(F197,'G-8 Condition Look up'!$A$4:$A$130,0)),"")</f>
        <v/>
      </c>
      <c r="C197" s="384" t="str">
        <f>IFERROR(INDEX('G-1 All Habitats'!$AG$3:$AG$15,MATCH(D197,'G-1 All Habitats'!$AF$3:$AF$15,0)),"")</f>
        <v/>
      </c>
      <c r="D197" s="146"/>
      <c r="E197" s="79"/>
      <c r="F197" s="246" t="str">
        <f>IFERROR(INDEX('G-1 All Habitats'!$B$3:$B$129,MATCH(E197,'G-1 All Habitats'!$A$3:$A$129,0)),"")</f>
        <v/>
      </c>
      <c r="G197" s="70"/>
      <c r="H197" s="498" t="str">
        <f>IF(F197="","",VLOOKUP(F197,'G-1 All Habitats'!$B$2:$M$129,10,FALSE))</f>
        <v/>
      </c>
      <c r="I197" s="499" t="str">
        <f>IFERROR(VLOOKUP(H197,'G-1 All Habitats'!$V$3:$W$7,2,FALSE),"")</f>
        <v/>
      </c>
      <c r="J197" s="71"/>
      <c r="K197" s="499" t="str">
        <f>IFERROR(INDEX('G-8 Condition Look up'!$A$3:$H$130,MATCH(F197,'G-8 Condition Look up'!$A$3:$A$130,0),MATCH(J197,'G-8 Condition Look up'!$A$3:$H$3,0)),"")</f>
        <v/>
      </c>
      <c r="L197" s="71"/>
      <c r="M197" s="507" t="str">
        <f>IF(L197="","",IF(VLOOKUP(L197,'G-3 Multipliers'!$L$3:$N$6,2,FALSE)=0,"Spatial Data Missing",VLOOKUP(L197,'G-3 Multipliers'!$L$3:$N$6,2,FALSE)))</f>
        <v/>
      </c>
      <c r="N197" s="505" t="str">
        <f>IF(L197="","",IF(VLOOKUP(L197,'G-3 Multipliers'!$L$3:$N$6,3,FALSE)=0,"Spatial Data Missing",VLOOKUP(L197,'G-3 Multipliers'!$L$3:$N$6,3,FALSE)))</f>
        <v/>
      </c>
      <c r="O197" s="498" t="str">
        <f t="shared" si="12"/>
        <v/>
      </c>
      <c r="P197" s="82"/>
      <c r="Q197" s="82"/>
      <c r="R197" s="507" t="str">
        <f t="shared" si="14"/>
        <v/>
      </c>
      <c r="S197" s="521" t="str">
        <f t="shared" si="15"/>
        <v/>
      </c>
      <c r="T197" s="522" t="str">
        <f>IFERROR(IF(S197="Check Data ⚠","Check Data ⚠",VLOOKUP(S197,'G-4 Temporal multipliers'!$A$4:$C$37,3,FALSE)),"")</f>
        <v/>
      </c>
      <c r="U197" s="523" t="str">
        <f>IF(F197="","",VLOOKUP(F197,'G-3 Multipliers'!$A$2:$E$129,2,FALSE))</f>
        <v/>
      </c>
      <c r="V197" s="520" t="str">
        <f t="shared" si="16"/>
        <v/>
      </c>
      <c r="W197" s="520" t="str">
        <f>IF(E197="","",IF(AND(V197="Standard difficulty applied",O197&gt;P197),U197,IF(AND(V197="Low Difficulty - only applicable if all habitat created before losses",P197&gt;=O197),"Low",VLOOKUP(F197,'G-3 Multipliers'!$A$2:$E$129,4,FALSE))))</f>
        <v/>
      </c>
      <c r="X197" s="524" t="str">
        <f>IFERROR(IF(E197="","",VLOOKUP(W197, 'G-3 Multipliers'!$P$2:$Q$6,2,FALSE)),"")</f>
        <v/>
      </c>
      <c r="Y197" s="529" t="str">
        <f t="shared" si="17"/>
        <v/>
      </c>
      <c r="Z197" s="239"/>
      <c r="AA197" s="240"/>
      <c r="AE197" s="54" t="str">
        <f t="shared" si="13"/>
        <v/>
      </c>
    </row>
    <row r="198" spans="1:31" x14ac:dyDescent="0.25">
      <c r="A198" s="47" t="str">
        <f>IFERROR(INDEX('G-8 Condition Look up'!$I$4:$I$130,MATCH(F198,'G-8 Condition Look up'!$A$4:$A$130,0)),"")</f>
        <v/>
      </c>
      <c r="C198" s="384" t="str">
        <f>IFERROR(INDEX('G-1 All Habitats'!$AG$3:$AG$15,MATCH(D198,'G-1 All Habitats'!$AF$3:$AF$15,0)),"")</f>
        <v/>
      </c>
      <c r="D198" s="146"/>
      <c r="E198" s="79"/>
      <c r="F198" s="246" t="str">
        <f>IFERROR(INDEX('G-1 All Habitats'!$B$3:$B$129,MATCH(E198,'G-1 All Habitats'!$A$3:$A$129,0)),"")</f>
        <v/>
      </c>
      <c r="G198" s="70"/>
      <c r="H198" s="498" t="str">
        <f>IF(F198="","",VLOOKUP(F198,'G-1 All Habitats'!$B$2:$M$129,10,FALSE))</f>
        <v/>
      </c>
      <c r="I198" s="499" t="str">
        <f>IFERROR(VLOOKUP(H198,'G-1 All Habitats'!$V$3:$W$7,2,FALSE),"")</f>
        <v/>
      </c>
      <c r="J198" s="71"/>
      <c r="K198" s="499" t="str">
        <f>IFERROR(INDEX('G-8 Condition Look up'!$A$3:$H$130,MATCH(F198,'G-8 Condition Look up'!$A$3:$A$130,0),MATCH(J198,'G-8 Condition Look up'!$A$3:$H$3,0)),"")</f>
        <v/>
      </c>
      <c r="L198" s="71"/>
      <c r="M198" s="507" t="str">
        <f>IF(L198="","",IF(VLOOKUP(L198,'G-3 Multipliers'!$L$3:$N$6,2,FALSE)=0,"Spatial Data Missing",VLOOKUP(L198,'G-3 Multipliers'!$L$3:$N$6,2,FALSE)))</f>
        <v/>
      </c>
      <c r="N198" s="505" t="str">
        <f>IF(L198="","",IF(VLOOKUP(L198,'G-3 Multipliers'!$L$3:$N$6,3,FALSE)=0,"Spatial Data Missing",VLOOKUP(L198,'G-3 Multipliers'!$L$3:$N$6,3,FALSE)))</f>
        <v/>
      </c>
      <c r="O198" s="498" t="str">
        <f t="shared" si="12"/>
        <v/>
      </c>
      <c r="P198" s="82"/>
      <c r="Q198" s="82"/>
      <c r="R198" s="507" t="str">
        <f t="shared" si="14"/>
        <v/>
      </c>
      <c r="S198" s="521" t="str">
        <f t="shared" si="15"/>
        <v/>
      </c>
      <c r="T198" s="522" t="str">
        <f>IFERROR(IF(S198="Check Data ⚠","Check Data ⚠",VLOOKUP(S198,'G-4 Temporal multipliers'!$A$4:$C$37,3,FALSE)),"")</f>
        <v/>
      </c>
      <c r="U198" s="523" t="str">
        <f>IF(F198="","",VLOOKUP(F198,'G-3 Multipliers'!$A$2:$E$129,2,FALSE))</f>
        <v/>
      </c>
      <c r="V198" s="520" t="str">
        <f t="shared" si="16"/>
        <v/>
      </c>
      <c r="W198" s="520" t="str">
        <f>IF(E198="","",IF(AND(V198="Standard difficulty applied",O198&gt;P198),U198,IF(AND(V198="Low Difficulty - only applicable if all habitat created before losses",P198&gt;=O198),"Low",VLOOKUP(F198,'G-3 Multipliers'!$A$2:$E$129,4,FALSE))))</f>
        <v/>
      </c>
      <c r="X198" s="524" t="str">
        <f>IFERROR(IF(E198="","",VLOOKUP(W198, 'G-3 Multipliers'!$P$2:$Q$6,2,FALSE)),"")</f>
        <v/>
      </c>
      <c r="Y198" s="529" t="str">
        <f t="shared" si="17"/>
        <v/>
      </c>
      <c r="Z198" s="239"/>
      <c r="AA198" s="240"/>
      <c r="AE198" s="54" t="str">
        <f t="shared" si="13"/>
        <v/>
      </c>
    </row>
    <row r="199" spans="1:31" x14ac:dyDescent="0.25">
      <c r="A199" s="47" t="str">
        <f>IFERROR(INDEX('G-8 Condition Look up'!$I$4:$I$130,MATCH(F199,'G-8 Condition Look up'!$A$4:$A$130,0)),"")</f>
        <v/>
      </c>
      <c r="C199" s="384" t="str">
        <f>IFERROR(INDEX('G-1 All Habitats'!$AG$3:$AG$15,MATCH(D199,'G-1 All Habitats'!$AF$3:$AF$15,0)),"")</f>
        <v/>
      </c>
      <c r="D199" s="146"/>
      <c r="E199" s="79"/>
      <c r="F199" s="246" t="str">
        <f>IFERROR(INDEX('G-1 All Habitats'!$B$3:$B$129,MATCH(E199,'G-1 All Habitats'!$A$3:$A$129,0)),"")</f>
        <v/>
      </c>
      <c r="G199" s="70"/>
      <c r="H199" s="498" t="str">
        <f>IF(F199="","",VLOOKUP(F199,'G-1 All Habitats'!$B$2:$M$129,10,FALSE))</f>
        <v/>
      </c>
      <c r="I199" s="499" t="str">
        <f>IFERROR(VLOOKUP(H199,'G-1 All Habitats'!$V$3:$W$7,2,FALSE),"")</f>
        <v/>
      </c>
      <c r="J199" s="71"/>
      <c r="K199" s="499" t="str">
        <f>IFERROR(INDEX('G-8 Condition Look up'!$A$3:$H$130,MATCH(F199,'G-8 Condition Look up'!$A$3:$A$130,0),MATCH(J199,'G-8 Condition Look up'!$A$3:$H$3,0)),"")</f>
        <v/>
      </c>
      <c r="L199" s="71"/>
      <c r="M199" s="507" t="str">
        <f>IF(L199="","",IF(VLOOKUP(L199,'G-3 Multipliers'!$L$3:$N$6,2,FALSE)=0,"Spatial Data Missing",VLOOKUP(L199,'G-3 Multipliers'!$L$3:$N$6,2,FALSE)))</f>
        <v/>
      </c>
      <c r="N199" s="505" t="str">
        <f>IF(L199="","",IF(VLOOKUP(L199,'G-3 Multipliers'!$L$3:$N$6,3,FALSE)=0,"Spatial Data Missing",VLOOKUP(L199,'G-3 Multipliers'!$L$3:$N$6,3,FALSE)))</f>
        <v/>
      </c>
      <c r="O199" s="498" t="str">
        <f t="shared" si="12"/>
        <v/>
      </c>
      <c r="P199" s="82"/>
      <c r="Q199" s="82"/>
      <c r="R199" s="507" t="str">
        <f t="shared" si="14"/>
        <v/>
      </c>
      <c r="S199" s="521" t="str">
        <f t="shared" si="15"/>
        <v/>
      </c>
      <c r="T199" s="522" t="str">
        <f>IFERROR(IF(S199="Check Data ⚠","Check Data ⚠",VLOOKUP(S199,'G-4 Temporal multipliers'!$A$4:$C$37,3,FALSE)),"")</f>
        <v/>
      </c>
      <c r="U199" s="523" t="str">
        <f>IF(F199="","",VLOOKUP(F199,'G-3 Multipliers'!$A$2:$E$129,2,FALSE))</f>
        <v/>
      </c>
      <c r="V199" s="520" t="str">
        <f t="shared" si="16"/>
        <v/>
      </c>
      <c r="W199" s="520" t="str">
        <f>IF(E199="","",IF(AND(V199="Standard difficulty applied",O199&gt;P199),U199,IF(AND(V199="Low Difficulty - only applicable if all habitat created before losses",P199&gt;=O199),"Low",VLOOKUP(F199,'G-3 Multipliers'!$A$2:$E$129,4,FALSE))))</f>
        <v/>
      </c>
      <c r="X199" s="524" t="str">
        <f>IFERROR(IF(E199="","",VLOOKUP(W199, 'G-3 Multipliers'!$P$2:$Q$6,2,FALSE)),"")</f>
        <v/>
      </c>
      <c r="Y199" s="529" t="str">
        <f t="shared" si="17"/>
        <v/>
      </c>
      <c r="Z199" s="239"/>
      <c r="AA199" s="240"/>
      <c r="AE199" s="54" t="str">
        <f t="shared" si="13"/>
        <v/>
      </c>
    </row>
    <row r="200" spans="1:31" x14ac:dyDescent="0.25">
      <c r="A200" s="47" t="str">
        <f>IFERROR(INDEX('G-8 Condition Look up'!$I$4:$I$130,MATCH(F200,'G-8 Condition Look up'!$A$4:$A$130,0)),"")</f>
        <v/>
      </c>
      <c r="C200" s="384" t="str">
        <f>IFERROR(INDEX('G-1 All Habitats'!$AG$3:$AG$15,MATCH(D200,'G-1 All Habitats'!$AF$3:$AF$15,0)),"")</f>
        <v/>
      </c>
      <c r="D200" s="146"/>
      <c r="E200" s="79"/>
      <c r="F200" s="246" t="str">
        <f>IFERROR(INDEX('G-1 All Habitats'!$B$3:$B$129,MATCH(E200,'G-1 All Habitats'!$A$3:$A$129,0)),"")</f>
        <v/>
      </c>
      <c r="G200" s="70"/>
      <c r="H200" s="498" t="str">
        <f>IF(F200="","",VLOOKUP(F200,'G-1 All Habitats'!$B$2:$M$129,10,FALSE))</f>
        <v/>
      </c>
      <c r="I200" s="499" t="str">
        <f>IFERROR(VLOOKUP(H200,'G-1 All Habitats'!$V$3:$W$7,2,FALSE),"")</f>
        <v/>
      </c>
      <c r="J200" s="71"/>
      <c r="K200" s="499" t="str">
        <f>IFERROR(INDEX('G-8 Condition Look up'!$A$3:$H$130,MATCH(F200,'G-8 Condition Look up'!$A$3:$A$130,0),MATCH(J200,'G-8 Condition Look up'!$A$3:$H$3,0)),"")</f>
        <v/>
      </c>
      <c r="L200" s="71"/>
      <c r="M200" s="507" t="str">
        <f>IF(L200="","",IF(VLOOKUP(L200,'G-3 Multipliers'!$L$3:$N$6,2,FALSE)=0,"Spatial Data Missing",VLOOKUP(L200,'G-3 Multipliers'!$L$3:$N$6,2,FALSE)))</f>
        <v/>
      </c>
      <c r="N200" s="505" t="str">
        <f>IF(L200="","",IF(VLOOKUP(L200,'G-3 Multipliers'!$L$3:$N$6,3,FALSE)=0,"Spatial Data Missing",VLOOKUP(L200,'G-3 Multipliers'!$L$3:$N$6,3,FALSE)))</f>
        <v/>
      </c>
      <c r="O200" s="498" t="str">
        <f t="shared" si="12"/>
        <v/>
      </c>
      <c r="P200" s="82"/>
      <c r="Q200" s="82"/>
      <c r="R200" s="507" t="str">
        <f t="shared" si="14"/>
        <v/>
      </c>
      <c r="S200" s="521" t="str">
        <f t="shared" si="15"/>
        <v/>
      </c>
      <c r="T200" s="522" t="str">
        <f>IFERROR(IF(S200="Check Data ⚠","Check Data ⚠",VLOOKUP(S200,'G-4 Temporal multipliers'!$A$4:$C$37,3,FALSE)),"")</f>
        <v/>
      </c>
      <c r="U200" s="523" t="str">
        <f>IF(F200="","",VLOOKUP(F200,'G-3 Multipliers'!$A$2:$E$129,2,FALSE))</f>
        <v/>
      </c>
      <c r="V200" s="520" t="str">
        <f t="shared" si="16"/>
        <v/>
      </c>
      <c r="W200" s="520" t="str">
        <f>IF(E200="","",IF(AND(V200="Standard difficulty applied",O200&gt;P200),U200,IF(AND(V200="Low Difficulty - only applicable if all habitat created before losses",P200&gt;=O200),"Low",VLOOKUP(F200,'G-3 Multipliers'!$A$2:$E$129,4,FALSE))))</f>
        <v/>
      </c>
      <c r="X200" s="524" t="str">
        <f>IFERROR(IF(E200="","",VLOOKUP(W200, 'G-3 Multipliers'!$P$2:$Q$6,2,FALSE)),"")</f>
        <v/>
      </c>
      <c r="Y200" s="529" t="str">
        <f t="shared" si="17"/>
        <v/>
      </c>
      <c r="Z200" s="239"/>
      <c r="AA200" s="240"/>
      <c r="AE200" s="54" t="str">
        <f t="shared" si="13"/>
        <v/>
      </c>
    </row>
    <row r="201" spans="1:31" x14ac:dyDescent="0.25">
      <c r="A201" s="47" t="str">
        <f>IFERROR(INDEX('G-8 Condition Look up'!$I$4:$I$130,MATCH(F201,'G-8 Condition Look up'!$A$4:$A$130,0)),"")</f>
        <v/>
      </c>
      <c r="C201" s="384" t="str">
        <f>IFERROR(INDEX('G-1 All Habitats'!$AG$3:$AG$15,MATCH(D201,'G-1 All Habitats'!$AF$3:$AF$15,0)),"")</f>
        <v/>
      </c>
      <c r="D201" s="146"/>
      <c r="E201" s="79"/>
      <c r="F201" s="246" t="str">
        <f>IFERROR(INDEX('G-1 All Habitats'!$B$3:$B$129,MATCH(E201,'G-1 All Habitats'!$A$3:$A$129,0)),"")</f>
        <v/>
      </c>
      <c r="G201" s="70"/>
      <c r="H201" s="498" t="str">
        <f>IF(F201="","",VLOOKUP(F201,'G-1 All Habitats'!$B$2:$M$129,10,FALSE))</f>
        <v/>
      </c>
      <c r="I201" s="499" t="str">
        <f>IFERROR(VLOOKUP(H201,'G-1 All Habitats'!$V$3:$W$7,2,FALSE),"")</f>
        <v/>
      </c>
      <c r="J201" s="71"/>
      <c r="K201" s="499" t="str">
        <f>IFERROR(INDEX('G-8 Condition Look up'!$A$3:$H$130,MATCH(F201,'G-8 Condition Look up'!$A$3:$A$130,0),MATCH(J201,'G-8 Condition Look up'!$A$3:$H$3,0)),"")</f>
        <v/>
      </c>
      <c r="L201" s="71"/>
      <c r="M201" s="507" t="str">
        <f>IF(L201="","",IF(VLOOKUP(L201,'G-3 Multipliers'!$L$3:$N$6,2,FALSE)=0,"Spatial Data Missing",VLOOKUP(L201,'G-3 Multipliers'!$L$3:$N$6,2,FALSE)))</f>
        <v/>
      </c>
      <c r="N201" s="505" t="str">
        <f>IF(L201="","",IF(VLOOKUP(L201,'G-3 Multipliers'!$L$3:$N$6,3,FALSE)=0,"Spatial Data Missing",VLOOKUP(L201,'G-3 Multipliers'!$L$3:$N$6,3,FALSE)))</f>
        <v/>
      </c>
      <c r="O201" s="498" t="str">
        <f t="shared" si="12"/>
        <v/>
      </c>
      <c r="P201" s="82"/>
      <c r="Q201" s="82"/>
      <c r="R201" s="507" t="str">
        <f t="shared" si="14"/>
        <v/>
      </c>
      <c r="S201" s="521" t="str">
        <f t="shared" si="15"/>
        <v/>
      </c>
      <c r="T201" s="522" t="str">
        <f>IFERROR(IF(S201="Check Data ⚠","Check Data ⚠",VLOOKUP(S201,'G-4 Temporal multipliers'!$A$4:$C$37,3,FALSE)),"")</f>
        <v/>
      </c>
      <c r="U201" s="523" t="str">
        <f>IF(F201="","",VLOOKUP(F201,'G-3 Multipliers'!$A$2:$E$129,2,FALSE))</f>
        <v/>
      </c>
      <c r="V201" s="520" t="str">
        <f t="shared" si="16"/>
        <v/>
      </c>
      <c r="W201" s="520" t="str">
        <f>IF(E201="","",IF(AND(V201="Standard difficulty applied",O201&gt;P201),U201,IF(AND(V201="Low Difficulty - only applicable if all habitat created before losses",P201&gt;=O201),"Low",VLOOKUP(F201,'G-3 Multipliers'!$A$2:$E$129,4,FALSE))))</f>
        <v/>
      </c>
      <c r="X201" s="524" t="str">
        <f>IFERROR(IF(E201="","",VLOOKUP(W201, 'G-3 Multipliers'!$P$2:$Q$6,2,FALSE)),"")</f>
        <v/>
      </c>
      <c r="Y201" s="529" t="str">
        <f t="shared" si="17"/>
        <v/>
      </c>
      <c r="Z201" s="239"/>
      <c r="AA201" s="240"/>
      <c r="AE201" s="54" t="str">
        <f t="shared" si="13"/>
        <v/>
      </c>
    </row>
    <row r="202" spans="1:31" x14ac:dyDescent="0.25">
      <c r="A202" s="47" t="str">
        <f>IFERROR(INDEX('G-8 Condition Look up'!$I$4:$I$130,MATCH(F202,'G-8 Condition Look up'!$A$4:$A$130,0)),"")</f>
        <v/>
      </c>
      <c r="C202" s="384" t="str">
        <f>IFERROR(INDEX('G-1 All Habitats'!$AG$3:$AG$15,MATCH(D202,'G-1 All Habitats'!$AF$3:$AF$15,0)),"")</f>
        <v/>
      </c>
      <c r="D202" s="146"/>
      <c r="E202" s="79"/>
      <c r="F202" s="246" t="str">
        <f>IFERROR(INDEX('G-1 All Habitats'!$B$3:$B$129,MATCH(E202,'G-1 All Habitats'!$A$3:$A$129,0)),"")</f>
        <v/>
      </c>
      <c r="G202" s="70"/>
      <c r="H202" s="498" t="str">
        <f>IF(F202="","",VLOOKUP(F202,'G-1 All Habitats'!$B$2:$M$129,10,FALSE))</f>
        <v/>
      </c>
      <c r="I202" s="499" t="str">
        <f>IFERROR(VLOOKUP(H202,'G-1 All Habitats'!$V$3:$W$7,2,FALSE),"")</f>
        <v/>
      </c>
      <c r="J202" s="71"/>
      <c r="K202" s="499" t="str">
        <f>IFERROR(INDEX('G-8 Condition Look up'!$A$3:$H$130,MATCH(F202,'G-8 Condition Look up'!$A$3:$A$130,0),MATCH(J202,'G-8 Condition Look up'!$A$3:$H$3,0)),"")</f>
        <v/>
      </c>
      <c r="L202" s="71"/>
      <c r="M202" s="507" t="str">
        <f>IF(L202="","",IF(VLOOKUP(L202,'G-3 Multipliers'!$L$3:$N$6,2,FALSE)=0,"Spatial Data Missing",VLOOKUP(L202,'G-3 Multipliers'!$L$3:$N$6,2,FALSE)))</f>
        <v/>
      </c>
      <c r="N202" s="505" t="str">
        <f>IF(L202="","",IF(VLOOKUP(L202,'G-3 Multipliers'!$L$3:$N$6,3,FALSE)=0,"Spatial Data Missing",VLOOKUP(L202,'G-3 Multipliers'!$L$3:$N$6,3,FALSE)))</f>
        <v/>
      </c>
      <c r="O202" s="498" t="str">
        <f t="shared" si="12"/>
        <v/>
      </c>
      <c r="P202" s="82"/>
      <c r="Q202" s="82"/>
      <c r="R202" s="507" t="str">
        <f t="shared" si="14"/>
        <v/>
      </c>
      <c r="S202" s="521" t="str">
        <f t="shared" si="15"/>
        <v/>
      </c>
      <c r="T202" s="522" t="str">
        <f>IFERROR(IF(S202="Check Data ⚠","Check Data ⚠",VLOOKUP(S202,'G-4 Temporal multipliers'!$A$4:$C$37,3,FALSE)),"")</f>
        <v/>
      </c>
      <c r="U202" s="523" t="str">
        <f>IF(F202="","",VLOOKUP(F202,'G-3 Multipliers'!$A$2:$E$129,2,FALSE))</f>
        <v/>
      </c>
      <c r="V202" s="520" t="str">
        <f t="shared" si="16"/>
        <v/>
      </c>
      <c r="W202" s="520" t="str">
        <f>IF(E202="","",IF(AND(V202="Standard difficulty applied",O202&gt;P202),U202,IF(AND(V202="Low Difficulty - only applicable if all habitat created before losses",P202&gt;=O202),"Low",VLOOKUP(F202,'G-3 Multipliers'!$A$2:$E$129,4,FALSE))))</f>
        <v/>
      </c>
      <c r="X202" s="524" t="str">
        <f>IFERROR(IF(E202="","",VLOOKUP(W202, 'G-3 Multipliers'!$P$2:$Q$6,2,FALSE)),"")</f>
        <v/>
      </c>
      <c r="Y202" s="529" t="str">
        <f t="shared" si="17"/>
        <v/>
      </c>
      <c r="Z202" s="239"/>
      <c r="AA202" s="240"/>
      <c r="AE202" s="54" t="str">
        <f t="shared" si="13"/>
        <v/>
      </c>
    </row>
    <row r="203" spans="1:31" x14ac:dyDescent="0.25">
      <c r="A203" s="47" t="str">
        <f>IFERROR(INDEX('G-8 Condition Look up'!$I$4:$I$130,MATCH(F203,'G-8 Condition Look up'!$A$4:$A$130,0)),"")</f>
        <v/>
      </c>
      <c r="C203" s="384" t="str">
        <f>IFERROR(INDEX('G-1 All Habitats'!$AG$3:$AG$15,MATCH(D203,'G-1 All Habitats'!$AF$3:$AF$15,0)),"")</f>
        <v/>
      </c>
      <c r="D203" s="146"/>
      <c r="E203" s="79"/>
      <c r="F203" s="246" t="str">
        <f>IFERROR(INDEX('G-1 All Habitats'!$B$3:$B$129,MATCH(E203,'G-1 All Habitats'!$A$3:$A$129,0)),"")</f>
        <v/>
      </c>
      <c r="G203" s="70"/>
      <c r="H203" s="498" t="str">
        <f>IF(F203="","",VLOOKUP(F203,'G-1 All Habitats'!$B$2:$M$129,10,FALSE))</f>
        <v/>
      </c>
      <c r="I203" s="499" t="str">
        <f>IFERROR(VLOOKUP(H203,'G-1 All Habitats'!$V$3:$W$7,2,FALSE),"")</f>
        <v/>
      </c>
      <c r="J203" s="71"/>
      <c r="K203" s="499" t="str">
        <f>IFERROR(INDEX('G-8 Condition Look up'!$A$3:$H$130,MATCH(F203,'G-8 Condition Look up'!$A$3:$A$130,0),MATCH(J203,'G-8 Condition Look up'!$A$3:$H$3,0)),"")</f>
        <v/>
      </c>
      <c r="L203" s="71"/>
      <c r="M203" s="507" t="str">
        <f>IF(L203="","",IF(VLOOKUP(L203,'G-3 Multipliers'!$L$3:$N$6,2,FALSE)=0,"Spatial Data Missing",VLOOKUP(L203,'G-3 Multipliers'!$L$3:$N$6,2,FALSE)))</f>
        <v/>
      </c>
      <c r="N203" s="505" t="str">
        <f>IF(L203="","",IF(VLOOKUP(L203,'G-3 Multipliers'!$L$3:$N$6,3,FALSE)=0,"Spatial Data Missing",VLOOKUP(L203,'G-3 Multipliers'!$L$3:$N$6,3,FALSE)))</f>
        <v/>
      </c>
      <c r="O203" s="498" t="str">
        <f t="shared" ref="O203:O256" si="18">IFERROR(INDEX(TemporalData,MATCH(F203,TemporalHabitats,0),MATCH(J203,TemporalConditions,0)),"")</f>
        <v/>
      </c>
      <c r="P203" s="82"/>
      <c r="Q203" s="82"/>
      <c r="R203" s="507" t="str">
        <f t="shared" si="14"/>
        <v/>
      </c>
      <c r="S203" s="521" t="str">
        <f t="shared" si="15"/>
        <v/>
      </c>
      <c r="T203" s="522" t="str">
        <f>IFERROR(IF(S203="Check Data ⚠","Check Data ⚠",VLOOKUP(S203,'G-4 Temporal multipliers'!$A$4:$C$37,3,FALSE)),"")</f>
        <v/>
      </c>
      <c r="U203" s="523" t="str">
        <f>IF(F203="","",VLOOKUP(F203,'G-3 Multipliers'!$A$2:$E$129,2,FALSE))</f>
        <v/>
      </c>
      <c r="V203" s="520" t="str">
        <f t="shared" si="16"/>
        <v/>
      </c>
      <c r="W203" s="520" t="str">
        <f>IF(E203="","",IF(AND(V203="Standard difficulty applied",O203&gt;P203),U203,IF(AND(V203="Low Difficulty - only applicable if all habitat created before losses",P203&gt;=O203),"Low",VLOOKUP(F203,'G-3 Multipliers'!$A$2:$E$129,4,FALSE))))</f>
        <v/>
      </c>
      <c r="X203" s="524" t="str">
        <f>IFERROR(IF(E203="","",VLOOKUP(W203, 'G-3 Multipliers'!$P$2:$Q$6,2,FALSE)),"")</f>
        <v/>
      </c>
      <c r="Y203" s="529" t="str">
        <f t="shared" si="17"/>
        <v/>
      </c>
      <c r="Z203" s="239"/>
      <c r="AA203" s="240"/>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4" t="str">
        <f>IFERROR(INDEX('G-1 All Habitats'!$AG$3:$AG$15,MATCH(D204,'G-1 All Habitats'!$AF$3:$AF$15,0)),"")</f>
        <v/>
      </c>
      <c r="D204" s="146"/>
      <c r="E204" s="79"/>
      <c r="F204" s="246" t="str">
        <f>IFERROR(INDEX('G-1 All Habitats'!$B$3:$B$129,MATCH(E204,'G-1 All Habitats'!$A$3:$A$129,0)),"")</f>
        <v/>
      </c>
      <c r="G204" s="70"/>
      <c r="H204" s="498" t="str">
        <f>IF(F204="","",VLOOKUP(F204,'G-1 All Habitats'!$B$2:$M$129,10,FALSE))</f>
        <v/>
      </c>
      <c r="I204" s="499" t="str">
        <f>IFERROR(VLOOKUP(H204,'G-1 All Habitats'!$V$3:$W$7,2,FALSE),"")</f>
        <v/>
      </c>
      <c r="J204" s="71"/>
      <c r="K204" s="499" t="str">
        <f>IFERROR(INDEX('G-8 Condition Look up'!$A$3:$H$130,MATCH(F204,'G-8 Condition Look up'!$A$3:$A$130,0),MATCH(J204,'G-8 Condition Look up'!$A$3:$H$3,0)),"")</f>
        <v/>
      </c>
      <c r="L204" s="71"/>
      <c r="M204" s="507" t="str">
        <f>IF(L204="","",IF(VLOOKUP(L204,'G-3 Multipliers'!$L$3:$N$6,2,FALSE)=0,"Spatial Data Missing",VLOOKUP(L204,'G-3 Multipliers'!$L$3:$N$6,2,FALSE)))</f>
        <v/>
      </c>
      <c r="N204" s="505" t="str">
        <f>IF(L204="","",IF(VLOOKUP(L204,'G-3 Multipliers'!$L$3:$N$6,3,FALSE)=0,"Spatial Data Missing",VLOOKUP(L204,'G-3 Multipliers'!$L$3:$N$6,3,FALSE)))</f>
        <v/>
      </c>
      <c r="O204" s="498" t="str">
        <f t="shared" si="18"/>
        <v/>
      </c>
      <c r="P204" s="82"/>
      <c r="Q204" s="82"/>
      <c r="R204" s="507"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1"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2" t="str">
        <f>IFERROR(IF(S204="Check Data ⚠","Check Data ⚠",VLOOKUP(S204,'G-4 Temporal multipliers'!$A$4:$C$37,3,FALSE)),"")</f>
        <v/>
      </c>
      <c r="U204" s="523" t="str">
        <f>IF(F204="","",VLOOKUP(F204,'G-3 Multipliers'!$A$2:$E$129,2,FALSE))</f>
        <v/>
      </c>
      <c r="V204" s="520"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20" t="str">
        <f>IF(E204="","",IF(AND(V204="Standard difficulty applied",O204&gt;P204),U204,IF(AND(V204="Low Difficulty - only applicable if all habitat created before losses",P204&gt;=O204),"Low",VLOOKUP(F204,'G-3 Multipliers'!$A$2:$E$129,4,FALSE))))</f>
        <v/>
      </c>
      <c r="X204" s="524" t="str">
        <f>IFERROR(IF(E204="","",VLOOKUP(W204, 'G-3 Multipliers'!$P$2:$Q$6,2,FALSE)),"")</f>
        <v/>
      </c>
      <c r="Y204" s="529" t="str">
        <f t="shared" ref="Y204:Y256" si="23">IFERROR(G204*I204*K204*N204*T204*X204,"")</f>
        <v/>
      </c>
      <c r="Z204" s="239"/>
      <c r="AA204" s="240"/>
      <c r="AE204" s="54" t="str">
        <f t="shared" si="19"/>
        <v/>
      </c>
    </row>
    <row r="205" spans="1:31" x14ac:dyDescent="0.25">
      <c r="A205" s="47" t="str">
        <f>IFERROR(INDEX('G-8 Condition Look up'!$I$4:$I$130,MATCH(F205,'G-8 Condition Look up'!$A$4:$A$130,0)),"")</f>
        <v/>
      </c>
      <c r="C205" s="384" t="str">
        <f>IFERROR(INDEX('G-1 All Habitats'!$AG$3:$AG$15,MATCH(D205,'G-1 All Habitats'!$AF$3:$AF$15,0)),"")</f>
        <v/>
      </c>
      <c r="D205" s="146"/>
      <c r="E205" s="79"/>
      <c r="F205" s="246" t="str">
        <f>IFERROR(INDEX('G-1 All Habitats'!$B$3:$B$129,MATCH(E205,'G-1 All Habitats'!$A$3:$A$129,0)),"")</f>
        <v/>
      </c>
      <c r="G205" s="70"/>
      <c r="H205" s="498" t="str">
        <f>IF(F205="","",VLOOKUP(F205,'G-1 All Habitats'!$B$2:$M$129,10,FALSE))</f>
        <v/>
      </c>
      <c r="I205" s="499" t="str">
        <f>IFERROR(VLOOKUP(H205,'G-1 All Habitats'!$V$3:$W$7,2,FALSE),"")</f>
        <v/>
      </c>
      <c r="J205" s="71"/>
      <c r="K205" s="499" t="str">
        <f>IFERROR(INDEX('G-8 Condition Look up'!$A$3:$H$130,MATCH(F205,'G-8 Condition Look up'!$A$3:$A$130,0),MATCH(J205,'G-8 Condition Look up'!$A$3:$H$3,0)),"")</f>
        <v/>
      </c>
      <c r="L205" s="71"/>
      <c r="M205" s="507" t="str">
        <f>IF(L205="","",IF(VLOOKUP(L205,'G-3 Multipliers'!$L$3:$N$6,2,FALSE)=0,"Spatial Data Missing",VLOOKUP(L205,'G-3 Multipliers'!$L$3:$N$6,2,FALSE)))</f>
        <v/>
      </c>
      <c r="N205" s="505" t="str">
        <f>IF(L205="","",IF(VLOOKUP(L205,'G-3 Multipliers'!$L$3:$N$6,3,FALSE)=0,"Spatial Data Missing",VLOOKUP(L205,'G-3 Multipliers'!$L$3:$N$6,3,FALSE)))</f>
        <v/>
      </c>
      <c r="O205" s="498" t="str">
        <f t="shared" si="18"/>
        <v/>
      </c>
      <c r="P205" s="82"/>
      <c r="Q205" s="82"/>
      <c r="R205" s="507" t="str">
        <f t="shared" si="20"/>
        <v/>
      </c>
      <c r="S205" s="521" t="str">
        <f t="shared" si="21"/>
        <v/>
      </c>
      <c r="T205" s="522" t="str">
        <f>IFERROR(IF(S205="Check Data ⚠","Check Data ⚠",VLOOKUP(S205,'G-4 Temporal multipliers'!$A$4:$C$37,3,FALSE)),"")</f>
        <v/>
      </c>
      <c r="U205" s="523" t="str">
        <f>IF(F205="","",VLOOKUP(F205,'G-3 Multipliers'!$A$2:$E$129,2,FALSE))</f>
        <v/>
      </c>
      <c r="V205" s="520" t="str">
        <f t="shared" si="22"/>
        <v/>
      </c>
      <c r="W205" s="520" t="str">
        <f>IF(E205="","",IF(AND(V205="Standard difficulty applied",O205&gt;P205),U205,IF(AND(V205="Low Difficulty - only applicable if all habitat created before losses",P205&gt;=O205),"Low",VLOOKUP(F205,'G-3 Multipliers'!$A$2:$E$129,4,FALSE))))</f>
        <v/>
      </c>
      <c r="X205" s="524" t="str">
        <f>IFERROR(IF(E205="","",VLOOKUP(W205, 'G-3 Multipliers'!$P$2:$Q$6,2,FALSE)),"")</f>
        <v/>
      </c>
      <c r="Y205" s="529" t="str">
        <f t="shared" si="23"/>
        <v/>
      </c>
      <c r="Z205" s="239"/>
      <c r="AA205" s="240"/>
      <c r="AE205" s="54" t="str">
        <f t="shared" si="19"/>
        <v/>
      </c>
    </row>
    <row r="206" spans="1:31" x14ac:dyDescent="0.25">
      <c r="A206" s="47" t="str">
        <f>IFERROR(INDEX('G-8 Condition Look up'!$I$4:$I$130,MATCH(F206,'G-8 Condition Look up'!$A$4:$A$130,0)),"")</f>
        <v/>
      </c>
      <c r="C206" s="384" t="str">
        <f>IFERROR(INDEX('G-1 All Habitats'!$AG$3:$AG$15,MATCH(D206,'G-1 All Habitats'!$AF$3:$AF$15,0)),"")</f>
        <v/>
      </c>
      <c r="D206" s="146"/>
      <c r="E206" s="79"/>
      <c r="F206" s="246" t="str">
        <f>IFERROR(INDEX('G-1 All Habitats'!$B$3:$B$129,MATCH(E206,'G-1 All Habitats'!$A$3:$A$129,0)),"")</f>
        <v/>
      </c>
      <c r="G206" s="70"/>
      <c r="H206" s="498" t="str">
        <f>IF(F206="","",VLOOKUP(F206,'G-1 All Habitats'!$B$2:$M$129,10,FALSE))</f>
        <v/>
      </c>
      <c r="I206" s="499" t="str">
        <f>IFERROR(VLOOKUP(H206,'G-1 All Habitats'!$V$3:$W$7,2,FALSE),"")</f>
        <v/>
      </c>
      <c r="J206" s="71"/>
      <c r="K206" s="499" t="str">
        <f>IFERROR(INDEX('G-8 Condition Look up'!$A$3:$H$130,MATCH(F206,'G-8 Condition Look up'!$A$3:$A$130,0),MATCH(J206,'G-8 Condition Look up'!$A$3:$H$3,0)),"")</f>
        <v/>
      </c>
      <c r="L206" s="71"/>
      <c r="M206" s="507" t="str">
        <f>IF(L206="","",IF(VLOOKUP(L206,'G-3 Multipliers'!$L$3:$N$6,2,FALSE)=0,"Spatial Data Missing",VLOOKUP(L206,'G-3 Multipliers'!$L$3:$N$6,2,FALSE)))</f>
        <v/>
      </c>
      <c r="N206" s="505" t="str">
        <f>IF(L206="","",IF(VLOOKUP(L206,'G-3 Multipliers'!$L$3:$N$6,3,FALSE)=0,"Spatial Data Missing",VLOOKUP(L206,'G-3 Multipliers'!$L$3:$N$6,3,FALSE)))</f>
        <v/>
      </c>
      <c r="O206" s="498" t="str">
        <f t="shared" si="18"/>
        <v/>
      </c>
      <c r="P206" s="82"/>
      <c r="Q206" s="82"/>
      <c r="R206" s="507" t="str">
        <f t="shared" si="20"/>
        <v/>
      </c>
      <c r="S206" s="521" t="str">
        <f t="shared" si="21"/>
        <v/>
      </c>
      <c r="T206" s="522" t="str">
        <f>IFERROR(IF(S206="Check Data ⚠","Check Data ⚠",VLOOKUP(S206,'G-4 Temporal multipliers'!$A$4:$C$37,3,FALSE)),"")</f>
        <v/>
      </c>
      <c r="U206" s="523" t="str">
        <f>IF(F206="","",VLOOKUP(F206,'G-3 Multipliers'!$A$2:$E$129,2,FALSE))</f>
        <v/>
      </c>
      <c r="V206" s="520" t="str">
        <f t="shared" si="22"/>
        <v/>
      </c>
      <c r="W206" s="520" t="str">
        <f>IF(E206="","",IF(AND(V206="Standard difficulty applied",O206&gt;P206),U206,IF(AND(V206="Low Difficulty - only applicable if all habitat created before losses",P206&gt;=O206),"Low",VLOOKUP(F206,'G-3 Multipliers'!$A$2:$E$129,4,FALSE))))</f>
        <v/>
      </c>
      <c r="X206" s="524" t="str">
        <f>IFERROR(IF(E206="","",VLOOKUP(W206, 'G-3 Multipliers'!$P$2:$Q$6,2,FALSE)),"")</f>
        <v/>
      </c>
      <c r="Y206" s="529" t="str">
        <f t="shared" si="23"/>
        <v/>
      </c>
      <c r="Z206" s="239"/>
      <c r="AA206" s="240"/>
      <c r="AE206" s="54" t="str">
        <f t="shared" si="19"/>
        <v/>
      </c>
    </row>
    <row r="207" spans="1:31" x14ac:dyDescent="0.25">
      <c r="A207" s="47" t="str">
        <f>IFERROR(INDEX('G-8 Condition Look up'!$I$4:$I$130,MATCH(F207,'G-8 Condition Look up'!$A$4:$A$130,0)),"")</f>
        <v/>
      </c>
      <c r="C207" s="384" t="str">
        <f>IFERROR(INDEX('G-1 All Habitats'!$AG$3:$AG$15,MATCH(D207,'G-1 All Habitats'!$AF$3:$AF$15,0)),"")</f>
        <v/>
      </c>
      <c r="D207" s="146"/>
      <c r="E207" s="79"/>
      <c r="F207" s="246" t="str">
        <f>IFERROR(INDEX('G-1 All Habitats'!$B$3:$B$129,MATCH(E207,'G-1 All Habitats'!$A$3:$A$129,0)),"")</f>
        <v/>
      </c>
      <c r="G207" s="70"/>
      <c r="H207" s="498" t="str">
        <f>IF(F207="","",VLOOKUP(F207,'G-1 All Habitats'!$B$2:$M$129,10,FALSE))</f>
        <v/>
      </c>
      <c r="I207" s="499" t="str">
        <f>IFERROR(VLOOKUP(H207,'G-1 All Habitats'!$V$3:$W$7,2,FALSE),"")</f>
        <v/>
      </c>
      <c r="J207" s="71"/>
      <c r="K207" s="499" t="str">
        <f>IFERROR(INDEX('G-8 Condition Look up'!$A$3:$H$130,MATCH(F207,'G-8 Condition Look up'!$A$3:$A$130,0),MATCH(J207,'G-8 Condition Look up'!$A$3:$H$3,0)),"")</f>
        <v/>
      </c>
      <c r="L207" s="71"/>
      <c r="M207" s="507" t="str">
        <f>IF(L207="","",IF(VLOOKUP(L207,'G-3 Multipliers'!$L$3:$N$6,2,FALSE)=0,"Spatial Data Missing",VLOOKUP(L207,'G-3 Multipliers'!$L$3:$N$6,2,FALSE)))</f>
        <v/>
      </c>
      <c r="N207" s="505" t="str">
        <f>IF(L207="","",IF(VLOOKUP(L207,'G-3 Multipliers'!$L$3:$N$6,3,FALSE)=0,"Spatial Data Missing",VLOOKUP(L207,'G-3 Multipliers'!$L$3:$N$6,3,FALSE)))</f>
        <v/>
      </c>
      <c r="O207" s="498" t="str">
        <f t="shared" si="18"/>
        <v/>
      </c>
      <c r="P207" s="82"/>
      <c r="Q207" s="82"/>
      <c r="R207" s="507" t="str">
        <f t="shared" si="20"/>
        <v/>
      </c>
      <c r="S207" s="521" t="str">
        <f t="shared" si="21"/>
        <v/>
      </c>
      <c r="T207" s="522" t="str">
        <f>IFERROR(IF(S207="Check Data ⚠","Check Data ⚠",VLOOKUP(S207,'G-4 Temporal multipliers'!$A$4:$C$37,3,FALSE)),"")</f>
        <v/>
      </c>
      <c r="U207" s="523" t="str">
        <f>IF(F207="","",VLOOKUP(F207,'G-3 Multipliers'!$A$2:$E$129,2,FALSE))</f>
        <v/>
      </c>
      <c r="V207" s="520" t="str">
        <f t="shared" si="22"/>
        <v/>
      </c>
      <c r="W207" s="520" t="str">
        <f>IF(E207="","",IF(AND(V207="Standard difficulty applied",O207&gt;P207),U207,IF(AND(V207="Low Difficulty - only applicable if all habitat created before losses",P207&gt;=O207),"Low",VLOOKUP(F207,'G-3 Multipliers'!$A$2:$E$129,4,FALSE))))</f>
        <v/>
      </c>
      <c r="X207" s="524" t="str">
        <f>IFERROR(IF(E207="","",VLOOKUP(W207, 'G-3 Multipliers'!$P$2:$Q$6,2,FALSE)),"")</f>
        <v/>
      </c>
      <c r="Y207" s="529" t="str">
        <f t="shared" si="23"/>
        <v/>
      </c>
      <c r="Z207" s="239"/>
      <c r="AA207" s="240"/>
      <c r="AE207" s="54" t="str">
        <f t="shared" si="19"/>
        <v/>
      </c>
    </row>
    <row r="208" spans="1:31" x14ac:dyDescent="0.25">
      <c r="A208" s="47" t="str">
        <f>IFERROR(INDEX('G-8 Condition Look up'!$I$4:$I$130,MATCH(F208,'G-8 Condition Look up'!$A$4:$A$130,0)),"")</f>
        <v/>
      </c>
      <c r="C208" s="384" t="str">
        <f>IFERROR(INDEX('G-1 All Habitats'!$AG$3:$AG$15,MATCH(D208,'G-1 All Habitats'!$AF$3:$AF$15,0)),"")</f>
        <v/>
      </c>
      <c r="D208" s="146"/>
      <c r="E208" s="79"/>
      <c r="F208" s="246" t="str">
        <f>IFERROR(INDEX('G-1 All Habitats'!$B$3:$B$129,MATCH(E208,'G-1 All Habitats'!$A$3:$A$129,0)),"")</f>
        <v/>
      </c>
      <c r="G208" s="70"/>
      <c r="H208" s="498" t="str">
        <f>IF(F208="","",VLOOKUP(F208,'G-1 All Habitats'!$B$2:$M$129,10,FALSE))</f>
        <v/>
      </c>
      <c r="I208" s="499" t="str">
        <f>IFERROR(VLOOKUP(H208,'G-1 All Habitats'!$V$3:$W$7,2,FALSE),"")</f>
        <v/>
      </c>
      <c r="J208" s="71"/>
      <c r="K208" s="499" t="str">
        <f>IFERROR(INDEX('G-8 Condition Look up'!$A$3:$H$130,MATCH(F208,'G-8 Condition Look up'!$A$3:$A$130,0),MATCH(J208,'G-8 Condition Look up'!$A$3:$H$3,0)),"")</f>
        <v/>
      </c>
      <c r="L208" s="71"/>
      <c r="M208" s="507" t="str">
        <f>IF(L208="","",IF(VLOOKUP(L208,'G-3 Multipliers'!$L$3:$N$6,2,FALSE)=0,"Spatial Data Missing",VLOOKUP(L208,'G-3 Multipliers'!$L$3:$N$6,2,FALSE)))</f>
        <v/>
      </c>
      <c r="N208" s="505" t="str">
        <f>IF(L208="","",IF(VLOOKUP(L208,'G-3 Multipliers'!$L$3:$N$6,3,FALSE)=0,"Spatial Data Missing",VLOOKUP(L208,'G-3 Multipliers'!$L$3:$N$6,3,FALSE)))</f>
        <v/>
      </c>
      <c r="O208" s="498" t="str">
        <f t="shared" si="18"/>
        <v/>
      </c>
      <c r="P208" s="82"/>
      <c r="Q208" s="82"/>
      <c r="R208" s="507" t="str">
        <f t="shared" si="20"/>
        <v/>
      </c>
      <c r="S208" s="521" t="str">
        <f t="shared" si="21"/>
        <v/>
      </c>
      <c r="T208" s="522" t="str">
        <f>IFERROR(IF(S208="Check Data ⚠","Check Data ⚠",VLOOKUP(S208,'G-4 Temporal multipliers'!$A$4:$C$37,3,FALSE)),"")</f>
        <v/>
      </c>
      <c r="U208" s="523" t="str">
        <f>IF(F208="","",VLOOKUP(F208,'G-3 Multipliers'!$A$2:$E$129,2,FALSE))</f>
        <v/>
      </c>
      <c r="V208" s="520" t="str">
        <f t="shared" si="22"/>
        <v/>
      </c>
      <c r="W208" s="520" t="str">
        <f>IF(E208="","",IF(AND(V208="Standard difficulty applied",O208&gt;P208),U208,IF(AND(V208="Low Difficulty - only applicable if all habitat created before losses",P208&gt;=O208),"Low",VLOOKUP(F208,'G-3 Multipliers'!$A$2:$E$129,4,FALSE))))</f>
        <v/>
      </c>
      <c r="X208" s="524" t="str">
        <f>IFERROR(IF(E208="","",VLOOKUP(W208, 'G-3 Multipliers'!$P$2:$Q$6,2,FALSE)),"")</f>
        <v/>
      </c>
      <c r="Y208" s="529" t="str">
        <f t="shared" si="23"/>
        <v/>
      </c>
      <c r="Z208" s="239"/>
      <c r="AA208" s="240"/>
      <c r="AE208" s="54" t="str">
        <f t="shared" si="19"/>
        <v/>
      </c>
    </row>
    <row r="209" spans="1:31" x14ac:dyDescent="0.25">
      <c r="A209" s="47" t="str">
        <f>IFERROR(INDEX('G-8 Condition Look up'!$I$4:$I$130,MATCH(F209,'G-8 Condition Look up'!$A$4:$A$130,0)),"")</f>
        <v/>
      </c>
      <c r="C209" s="384" t="str">
        <f>IFERROR(INDEX('G-1 All Habitats'!$AG$3:$AG$15,MATCH(D209,'G-1 All Habitats'!$AF$3:$AF$15,0)),"")</f>
        <v/>
      </c>
      <c r="D209" s="146"/>
      <c r="E209" s="79"/>
      <c r="F209" s="246" t="str">
        <f>IFERROR(INDEX('G-1 All Habitats'!$B$3:$B$129,MATCH(E209,'G-1 All Habitats'!$A$3:$A$129,0)),"")</f>
        <v/>
      </c>
      <c r="G209" s="70"/>
      <c r="H209" s="498" t="str">
        <f>IF(F209="","",VLOOKUP(F209,'G-1 All Habitats'!$B$2:$M$129,10,FALSE))</f>
        <v/>
      </c>
      <c r="I209" s="499" t="str">
        <f>IFERROR(VLOOKUP(H209,'G-1 All Habitats'!$V$3:$W$7,2,FALSE),"")</f>
        <v/>
      </c>
      <c r="J209" s="71"/>
      <c r="K209" s="499" t="str">
        <f>IFERROR(INDEX('G-8 Condition Look up'!$A$3:$H$130,MATCH(F209,'G-8 Condition Look up'!$A$3:$A$130,0),MATCH(J209,'G-8 Condition Look up'!$A$3:$H$3,0)),"")</f>
        <v/>
      </c>
      <c r="L209" s="71"/>
      <c r="M209" s="507" t="str">
        <f>IF(L209="","",IF(VLOOKUP(L209,'G-3 Multipliers'!$L$3:$N$6,2,FALSE)=0,"Spatial Data Missing",VLOOKUP(L209,'G-3 Multipliers'!$L$3:$N$6,2,FALSE)))</f>
        <v/>
      </c>
      <c r="N209" s="505" t="str">
        <f>IF(L209="","",IF(VLOOKUP(L209,'G-3 Multipliers'!$L$3:$N$6,3,FALSE)=0,"Spatial Data Missing",VLOOKUP(L209,'G-3 Multipliers'!$L$3:$N$6,3,FALSE)))</f>
        <v/>
      </c>
      <c r="O209" s="498" t="str">
        <f t="shared" si="18"/>
        <v/>
      </c>
      <c r="P209" s="82"/>
      <c r="Q209" s="82"/>
      <c r="R209" s="507" t="str">
        <f t="shared" si="20"/>
        <v/>
      </c>
      <c r="S209" s="521" t="str">
        <f t="shared" si="21"/>
        <v/>
      </c>
      <c r="T209" s="522" t="str">
        <f>IFERROR(IF(S209="Check Data ⚠","Check Data ⚠",VLOOKUP(S209,'G-4 Temporal multipliers'!$A$4:$C$37,3,FALSE)),"")</f>
        <v/>
      </c>
      <c r="U209" s="523" t="str">
        <f>IF(F209="","",VLOOKUP(F209,'G-3 Multipliers'!$A$2:$E$129,2,FALSE))</f>
        <v/>
      </c>
      <c r="V209" s="520" t="str">
        <f t="shared" si="22"/>
        <v/>
      </c>
      <c r="W209" s="520" t="str">
        <f>IF(E209="","",IF(AND(V209="Standard difficulty applied",O209&gt;P209),U209,IF(AND(V209="Low Difficulty - only applicable if all habitat created before losses",P209&gt;=O209),"Low",VLOOKUP(F209,'G-3 Multipliers'!$A$2:$E$129,4,FALSE))))</f>
        <v/>
      </c>
      <c r="X209" s="524" t="str">
        <f>IFERROR(IF(E209="","",VLOOKUP(W209, 'G-3 Multipliers'!$P$2:$Q$6,2,FALSE)),"")</f>
        <v/>
      </c>
      <c r="Y209" s="529" t="str">
        <f t="shared" si="23"/>
        <v/>
      </c>
      <c r="Z209" s="239"/>
      <c r="AA209" s="240"/>
      <c r="AE209" s="54" t="str">
        <f t="shared" si="19"/>
        <v/>
      </c>
    </row>
    <row r="210" spans="1:31" x14ac:dyDescent="0.25">
      <c r="A210" s="47" t="str">
        <f>IFERROR(INDEX('G-8 Condition Look up'!$I$4:$I$130,MATCH(F210,'G-8 Condition Look up'!$A$4:$A$130,0)),"")</f>
        <v/>
      </c>
      <c r="C210" s="384" t="str">
        <f>IFERROR(INDEX('G-1 All Habitats'!$AG$3:$AG$15,MATCH(D210,'G-1 All Habitats'!$AF$3:$AF$15,0)),"")</f>
        <v/>
      </c>
      <c r="D210" s="146"/>
      <c r="E210" s="79"/>
      <c r="F210" s="246" t="str">
        <f>IFERROR(INDEX('G-1 All Habitats'!$B$3:$B$129,MATCH(E210,'G-1 All Habitats'!$A$3:$A$129,0)),"")</f>
        <v/>
      </c>
      <c r="G210" s="70"/>
      <c r="H210" s="498" t="str">
        <f>IF(F210="","",VLOOKUP(F210,'G-1 All Habitats'!$B$2:$M$129,10,FALSE))</f>
        <v/>
      </c>
      <c r="I210" s="499" t="str">
        <f>IFERROR(VLOOKUP(H210,'G-1 All Habitats'!$V$3:$W$7,2,FALSE),"")</f>
        <v/>
      </c>
      <c r="J210" s="71"/>
      <c r="K210" s="499" t="str">
        <f>IFERROR(INDEX('G-8 Condition Look up'!$A$3:$H$130,MATCH(F210,'G-8 Condition Look up'!$A$3:$A$130,0),MATCH(J210,'G-8 Condition Look up'!$A$3:$H$3,0)),"")</f>
        <v/>
      </c>
      <c r="L210" s="71"/>
      <c r="M210" s="507" t="str">
        <f>IF(L210="","",IF(VLOOKUP(L210,'G-3 Multipliers'!$L$3:$N$6,2,FALSE)=0,"Spatial Data Missing",VLOOKUP(L210,'G-3 Multipliers'!$L$3:$N$6,2,FALSE)))</f>
        <v/>
      </c>
      <c r="N210" s="505" t="str">
        <f>IF(L210="","",IF(VLOOKUP(L210,'G-3 Multipliers'!$L$3:$N$6,3,FALSE)=0,"Spatial Data Missing",VLOOKUP(L210,'G-3 Multipliers'!$L$3:$N$6,3,FALSE)))</f>
        <v/>
      </c>
      <c r="O210" s="498" t="str">
        <f t="shared" si="18"/>
        <v/>
      </c>
      <c r="P210" s="82"/>
      <c r="Q210" s="82"/>
      <c r="R210" s="507" t="str">
        <f t="shared" si="20"/>
        <v/>
      </c>
      <c r="S210" s="521" t="str">
        <f t="shared" si="21"/>
        <v/>
      </c>
      <c r="T210" s="522" t="str">
        <f>IFERROR(IF(S210="Check Data ⚠","Check Data ⚠",VLOOKUP(S210,'G-4 Temporal multipliers'!$A$4:$C$37,3,FALSE)),"")</f>
        <v/>
      </c>
      <c r="U210" s="523" t="str">
        <f>IF(F210="","",VLOOKUP(F210,'G-3 Multipliers'!$A$2:$E$129,2,FALSE))</f>
        <v/>
      </c>
      <c r="V210" s="520" t="str">
        <f t="shared" si="22"/>
        <v/>
      </c>
      <c r="W210" s="520" t="str">
        <f>IF(E210="","",IF(AND(V210="Standard difficulty applied",O210&gt;P210),U210,IF(AND(V210="Low Difficulty - only applicable if all habitat created before losses",P210&gt;=O210),"Low",VLOOKUP(F210,'G-3 Multipliers'!$A$2:$E$129,4,FALSE))))</f>
        <v/>
      </c>
      <c r="X210" s="524" t="str">
        <f>IFERROR(IF(E210="","",VLOOKUP(W210, 'G-3 Multipliers'!$P$2:$Q$6,2,FALSE)),"")</f>
        <v/>
      </c>
      <c r="Y210" s="529" t="str">
        <f t="shared" si="23"/>
        <v/>
      </c>
      <c r="Z210" s="239"/>
      <c r="AA210" s="240"/>
      <c r="AE210" s="54" t="str">
        <f t="shared" si="19"/>
        <v/>
      </c>
    </row>
    <row r="211" spans="1:31" x14ac:dyDescent="0.25">
      <c r="A211" s="47" t="str">
        <f>IFERROR(INDEX('G-8 Condition Look up'!$I$4:$I$130,MATCH(F211,'G-8 Condition Look up'!$A$4:$A$130,0)),"")</f>
        <v/>
      </c>
      <c r="C211" s="384" t="str">
        <f>IFERROR(INDEX('G-1 All Habitats'!$AG$3:$AG$15,MATCH(D211,'G-1 All Habitats'!$AF$3:$AF$15,0)),"")</f>
        <v/>
      </c>
      <c r="D211" s="146"/>
      <c r="E211" s="79"/>
      <c r="F211" s="246" t="str">
        <f>IFERROR(INDEX('G-1 All Habitats'!$B$3:$B$129,MATCH(E211,'G-1 All Habitats'!$A$3:$A$129,0)),"")</f>
        <v/>
      </c>
      <c r="G211" s="70"/>
      <c r="H211" s="498" t="str">
        <f>IF(F211="","",VLOOKUP(F211,'G-1 All Habitats'!$B$2:$M$129,10,FALSE))</f>
        <v/>
      </c>
      <c r="I211" s="499" t="str">
        <f>IFERROR(VLOOKUP(H211,'G-1 All Habitats'!$V$3:$W$7,2,FALSE),"")</f>
        <v/>
      </c>
      <c r="J211" s="71"/>
      <c r="K211" s="499" t="str">
        <f>IFERROR(INDEX('G-8 Condition Look up'!$A$3:$H$130,MATCH(F211,'G-8 Condition Look up'!$A$3:$A$130,0),MATCH(J211,'G-8 Condition Look up'!$A$3:$H$3,0)),"")</f>
        <v/>
      </c>
      <c r="L211" s="71"/>
      <c r="M211" s="507" t="str">
        <f>IF(L211="","",IF(VLOOKUP(L211,'G-3 Multipliers'!$L$3:$N$6,2,FALSE)=0,"Spatial Data Missing",VLOOKUP(L211,'G-3 Multipliers'!$L$3:$N$6,2,FALSE)))</f>
        <v/>
      </c>
      <c r="N211" s="505" t="str">
        <f>IF(L211="","",IF(VLOOKUP(L211,'G-3 Multipliers'!$L$3:$N$6,3,FALSE)=0,"Spatial Data Missing",VLOOKUP(L211,'G-3 Multipliers'!$L$3:$N$6,3,FALSE)))</f>
        <v/>
      </c>
      <c r="O211" s="498" t="str">
        <f t="shared" si="18"/>
        <v/>
      </c>
      <c r="P211" s="82"/>
      <c r="Q211" s="82"/>
      <c r="R211" s="507" t="str">
        <f t="shared" si="20"/>
        <v/>
      </c>
      <c r="S211" s="521" t="str">
        <f t="shared" si="21"/>
        <v/>
      </c>
      <c r="T211" s="522" t="str">
        <f>IFERROR(IF(S211="Check Data ⚠","Check Data ⚠",VLOOKUP(S211,'G-4 Temporal multipliers'!$A$4:$C$37,3,FALSE)),"")</f>
        <v/>
      </c>
      <c r="U211" s="523" t="str">
        <f>IF(F211="","",VLOOKUP(F211,'G-3 Multipliers'!$A$2:$E$129,2,FALSE))</f>
        <v/>
      </c>
      <c r="V211" s="520" t="str">
        <f t="shared" si="22"/>
        <v/>
      </c>
      <c r="W211" s="520" t="str">
        <f>IF(E211="","",IF(AND(V211="Standard difficulty applied",O211&gt;P211),U211,IF(AND(V211="Low Difficulty - only applicable if all habitat created before losses",P211&gt;=O211),"Low",VLOOKUP(F211,'G-3 Multipliers'!$A$2:$E$129,4,FALSE))))</f>
        <v/>
      </c>
      <c r="X211" s="524" t="str">
        <f>IFERROR(IF(E211="","",VLOOKUP(W211, 'G-3 Multipliers'!$P$2:$Q$6,2,FALSE)),"")</f>
        <v/>
      </c>
      <c r="Y211" s="529" t="str">
        <f t="shared" si="23"/>
        <v/>
      </c>
      <c r="Z211" s="239"/>
      <c r="AA211" s="240"/>
      <c r="AE211" s="54" t="str">
        <f t="shared" si="19"/>
        <v/>
      </c>
    </row>
    <row r="212" spans="1:31" x14ac:dyDescent="0.25">
      <c r="A212" s="47" t="str">
        <f>IFERROR(INDEX('G-8 Condition Look up'!$I$4:$I$130,MATCH(F212,'G-8 Condition Look up'!$A$4:$A$130,0)),"")</f>
        <v/>
      </c>
      <c r="C212" s="384" t="str">
        <f>IFERROR(INDEX('G-1 All Habitats'!$AG$3:$AG$15,MATCH(D212,'G-1 All Habitats'!$AF$3:$AF$15,0)),"")</f>
        <v/>
      </c>
      <c r="D212" s="146"/>
      <c r="E212" s="79"/>
      <c r="F212" s="246" t="str">
        <f>IFERROR(INDEX('G-1 All Habitats'!$B$3:$B$129,MATCH(E212,'G-1 All Habitats'!$A$3:$A$129,0)),"")</f>
        <v/>
      </c>
      <c r="G212" s="70"/>
      <c r="H212" s="498" t="str">
        <f>IF(F212="","",VLOOKUP(F212,'G-1 All Habitats'!$B$2:$M$129,10,FALSE))</f>
        <v/>
      </c>
      <c r="I212" s="499" t="str">
        <f>IFERROR(VLOOKUP(H212,'G-1 All Habitats'!$V$3:$W$7,2,FALSE),"")</f>
        <v/>
      </c>
      <c r="J212" s="71"/>
      <c r="K212" s="499" t="str">
        <f>IFERROR(INDEX('G-8 Condition Look up'!$A$3:$H$130,MATCH(F212,'G-8 Condition Look up'!$A$3:$A$130,0),MATCH(J212,'G-8 Condition Look up'!$A$3:$H$3,0)),"")</f>
        <v/>
      </c>
      <c r="L212" s="71"/>
      <c r="M212" s="507" t="str">
        <f>IF(L212="","",IF(VLOOKUP(L212,'G-3 Multipliers'!$L$3:$N$6,2,FALSE)=0,"Spatial Data Missing",VLOOKUP(L212,'G-3 Multipliers'!$L$3:$N$6,2,FALSE)))</f>
        <v/>
      </c>
      <c r="N212" s="505" t="str">
        <f>IF(L212="","",IF(VLOOKUP(L212,'G-3 Multipliers'!$L$3:$N$6,3,FALSE)=0,"Spatial Data Missing",VLOOKUP(L212,'G-3 Multipliers'!$L$3:$N$6,3,FALSE)))</f>
        <v/>
      </c>
      <c r="O212" s="498" t="str">
        <f t="shared" si="18"/>
        <v/>
      </c>
      <c r="P212" s="82"/>
      <c r="Q212" s="82"/>
      <c r="R212" s="507" t="str">
        <f t="shared" si="20"/>
        <v/>
      </c>
      <c r="S212" s="521" t="str">
        <f t="shared" si="21"/>
        <v/>
      </c>
      <c r="T212" s="522" t="str">
        <f>IFERROR(IF(S212="Check Data ⚠","Check Data ⚠",VLOOKUP(S212,'G-4 Temporal multipliers'!$A$4:$C$37,3,FALSE)),"")</f>
        <v/>
      </c>
      <c r="U212" s="523" t="str">
        <f>IF(F212="","",VLOOKUP(F212,'G-3 Multipliers'!$A$2:$E$129,2,FALSE))</f>
        <v/>
      </c>
      <c r="V212" s="520" t="str">
        <f t="shared" si="22"/>
        <v/>
      </c>
      <c r="W212" s="520" t="str">
        <f>IF(E212="","",IF(AND(V212="Standard difficulty applied",O212&gt;P212),U212,IF(AND(V212="Low Difficulty - only applicable if all habitat created before losses",P212&gt;=O212),"Low",VLOOKUP(F212,'G-3 Multipliers'!$A$2:$E$129,4,FALSE))))</f>
        <v/>
      </c>
      <c r="X212" s="524" t="str">
        <f>IFERROR(IF(E212="","",VLOOKUP(W212, 'G-3 Multipliers'!$P$2:$Q$6,2,FALSE)),"")</f>
        <v/>
      </c>
      <c r="Y212" s="529" t="str">
        <f t="shared" si="23"/>
        <v/>
      </c>
      <c r="Z212" s="239"/>
      <c r="AA212" s="240"/>
      <c r="AE212" s="54" t="str">
        <f t="shared" si="19"/>
        <v/>
      </c>
    </row>
    <row r="213" spans="1:31" x14ac:dyDescent="0.25">
      <c r="A213" s="47" t="str">
        <f>IFERROR(INDEX('G-8 Condition Look up'!$I$4:$I$130,MATCH(F213,'G-8 Condition Look up'!$A$4:$A$130,0)),"")</f>
        <v/>
      </c>
      <c r="C213" s="384" t="str">
        <f>IFERROR(INDEX('G-1 All Habitats'!$AG$3:$AG$15,MATCH(D213,'G-1 All Habitats'!$AF$3:$AF$15,0)),"")</f>
        <v/>
      </c>
      <c r="D213" s="146"/>
      <c r="E213" s="79"/>
      <c r="F213" s="246" t="str">
        <f>IFERROR(INDEX('G-1 All Habitats'!$B$3:$B$129,MATCH(E213,'G-1 All Habitats'!$A$3:$A$129,0)),"")</f>
        <v/>
      </c>
      <c r="G213" s="70"/>
      <c r="H213" s="498" t="str">
        <f>IF(F213="","",VLOOKUP(F213,'G-1 All Habitats'!$B$2:$M$129,10,FALSE))</f>
        <v/>
      </c>
      <c r="I213" s="499" t="str">
        <f>IFERROR(VLOOKUP(H213,'G-1 All Habitats'!$V$3:$W$7,2,FALSE),"")</f>
        <v/>
      </c>
      <c r="J213" s="71"/>
      <c r="K213" s="499" t="str">
        <f>IFERROR(INDEX('G-8 Condition Look up'!$A$3:$H$130,MATCH(F213,'G-8 Condition Look up'!$A$3:$A$130,0),MATCH(J213,'G-8 Condition Look up'!$A$3:$H$3,0)),"")</f>
        <v/>
      </c>
      <c r="L213" s="71"/>
      <c r="M213" s="507" t="str">
        <f>IF(L213="","",IF(VLOOKUP(L213,'G-3 Multipliers'!$L$3:$N$6,2,FALSE)=0,"Spatial Data Missing",VLOOKUP(L213,'G-3 Multipliers'!$L$3:$N$6,2,FALSE)))</f>
        <v/>
      </c>
      <c r="N213" s="505" t="str">
        <f>IF(L213="","",IF(VLOOKUP(L213,'G-3 Multipliers'!$L$3:$N$6,3,FALSE)=0,"Spatial Data Missing",VLOOKUP(L213,'G-3 Multipliers'!$L$3:$N$6,3,FALSE)))</f>
        <v/>
      </c>
      <c r="O213" s="498" t="str">
        <f t="shared" si="18"/>
        <v/>
      </c>
      <c r="P213" s="82"/>
      <c r="Q213" s="82"/>
      <c r="R213" s="507" t="str">
        <f t="shared" si="20"/>
        <v/>
      </c>
      <c r="S213" s="521" t="str">
        <f t="shared" si="21"/>
        <v/>
      </c>
      <c r="T213" s="522" t="str">
        <f>IFERROR(IF(S213="Check Data ⚠","Check Data ⚠",VLOOKUP(S213,'G-4 Temporal multipliers'!$A$4:$C$37,3,FALSE)),"")</f>
        <v/>
      </c>
      <c r="U213" s="523" t="str">
        <f>IF(F213="","",VLOOKUP(F213,'G-3 Multipliers'!$A$2:$E$129,2,FALSE))</f>
        <v/>
      </c>
      <c r="V213" s="520" t="str">
        <f t="shared" si="22"/>
        <v/>
      </c>
      <c r="W213" s="520" t="str">
        <f>IF(E213="","",IF(AND(V213="Standard difficulty applied",O213&gt;P213),U213,IF(AND(V213="Low Difficulty - only applicable if all habitat created before losses",P213&gt;=O213),"Low",VLOOKUP(F213,'G-3 Multipliers'!$A$2:$E$129,4,FALSE))))</f>
        <v/>
      </c>
      <c r="X213" s="524" t="str">
        <f>IFERROR(IF(E213="","",VLOOKUP(W213, 'G-3 Multipliers'!$P$2:$Q$6,2,FALSE)),"")</f>
        <v/>
      </c>
      <c r="Y213" s="529" t="str">
        <f t="shared" si="23"/>
        <v/>
      </c>
      <c r="Z213" s="239"/>
      <c r="AA213" s="240"/>
      <c r="AE213" s="54" t="str">
        <f t="shared" si="19"/>
        <v/>
      </c>
    </row>
    <row r="214" spans="1:31" x14ac:dyDescent="0.25">
      <c r="A214" s="47" t="str">
        <f>IFERROR(INDEX('G-8 Condition Look up'!$I$4:$I$130,MATCH(F214,'G-8 Condition Look up'!$A$4:$A$130,0)),"")</f>
        <v/>
      </c>
      <c r="C214" s="384" t="str">
        <f>IFERROR(INDEX('G-1 All Habitats'!$AG$3:$AG$15,MATCH(D214,'G-1 All Habitats'!$AF$3:$AF$15,0)),"")</f>
        <v/>
      </c>
      <c r="D214" s="146"/>
      <c r="E214" s="79"/>
      <c r="F214" s="246" t="str">
        <f>IFERROR(INDEX('G-1 All Habitats'!$B$3:$B$129,MATCH(E214,'G-1 All Habitats'!$A$3:$A$129,0)),"")</f>
        <v/>
      </c>
      <c r="G214" s="70"/>
      <c r="H214" s="498" t="str">
        <f>IF(F214="","",VLOOKUP(F214,'G-1 All Habitats'!$B$2:$M$129,10,FALSE))</f>
        <v/>
      </c>
      <c r="I214" s="499" t="str">
        <f>IFERROR(VLOOKUP(H214,'G-1 All Habitats'!$V$3:$W$7,2,FALSE),"")</f>
        <v/>
      </c>
      <c r="J214" s="71"/>
      <c r="K214" s="499" t="str">
        <f>IFERROR(INDEX('G-8 Condition Look up'!$A$3:$H$130,MATCH(F214,'G-8 Condition Look up'!$A$3:$A$130,0),MATCH(J214,'G-8 Condition Look up'!$A$3:$H$3,0)),"")</f>
        <v/>
      </c>
      <c r="L214" s="71"/>
      <c r="M214" s="507" t="str">
        <f>IF(L214="","",IF(VLOOKUP(L214,'G-3 Multipliers'!$L$3:$N$6,2,FALSE)=0,"Spatial Data Missing",VLOOKUP(L214,'G-3 Multipliers'!$L$3:$N$6,2,FALSE)))</f>
        <v/>
      </c>
      <c r="N214" s="505" t="str">
        <f>IF(L214="","",IF(VLOOKUP(L214,'G-3 Multipliers'!$L$3:$N$6,3,FALSE)=0,"Spatial Data Missing",VLOOKUP(L214,'G-3 Multipliers'!$L$3:$N$6,3,FALSE)))</f>
        <v/>
      </c>
      <c r="O214" s="498" t="str">
        <f t="shared" si="18"/>
        <v/>
      </c>
      <c r="P214" s="82"/>
      <c r="Q214" s="82"/>
      <c r="R214" s="507" t="str">
        <f t="shared" si="20"/>
        <v/>
      </c>
      <c r="S214" s="521" t="str">
        <f t="shared" si="21"/>
        <v/>
      </c>
      <c r="T214" s="522" t="str">
        <f>IFERROR(IF(S214="Check Data ⚠","Check Data ⚠",VLOOKUP(S214,'G-4 Temporal multipliers'!$A$4:$C$37,3,FALSE)),"")</f>
        <v/>
      </c>
      <c r="U214" s="523" t="str">
        <f>IF(F214="","",VLOOKUP(F214,'G-3 Multipliers'!$A$2:$E$129,2,FALSE))</f>
        <v/>
      </c>
      <c r="V214" s="520" t="str">
        <f t="shared" si="22"/>
        <v/>
      </c>
      <c r="W214" s="520" t="str">
        <f>IF(E214="","",IF(AND(V214="Standard difficulty applied",O214&gt;P214),U214,IF(AND(V214="Low Difficulty - only applicable if all habitat created before losses",P214&gt;=O214),"Low",VLOOKUP(F214,'G-3 Multipliers'!$A$2:$E$129,4,FALSE))))</f>
        <v/>
      </c>
      <c r="X214" s="524" t="str">
        <f>IFERROR(IF(E214="","",VLOOKUP(W214, 'G-3 Multipliers'!$P$2:$Q$6,2,FALSE)),"")</f>
        <v/>
      </c>
      <c r="Y214" s="529" t="str">
        <f t="shared" si="23"/>
        <v/>
      </c>
      <c r="Z214" s="239"/>
      <c r="AA214" s="240"/>
      <c r="AE214" s="54" t="str">
        <f t="shared" si="19"/>
        <v/>
      </c>
    </row>
    <row r="215" spans="1:31" x14ac:dyDescent="0.25">
      <c r="A215" s="47" t="str">
        <f>IFERROR(INDEX('G-8 Condition Look up'!$I$4:$I$130,MATCH(F215,'G-8 Condition Look up'!$A$4:$A$130,0)),"")</f>
        <v/>
      </c>
      <c r="C215" s="384" t="str">
        <f>IFERROR(INDEX('G-1 All Habitats'!$AG$3:$AG$15,MATCH(D215,'G-1 All Habitats'!$AF$3:$AF$15,0)),"")</f>
        <v/>
      </c>
      <c r="D215" s="146"/>
      <c r="E215" s="79"/>
      <c r="F215" s="246" t="str">
        <f>IFERROR(INDEX('G-1 All Habitats'!$B$3:$B$129,MATCH(E215,'G-1 All Habitats'!$A$3:$A$129,0)),"")</f>
        <v/>
      </c>
      <c r="G215" s="70"/>
      <c r="H215" s="498" t="str">
        <f>IF(F215="","",VLOOKUP(F215,'G-1 All Habitats'!$B$2:$M$129,10,FALSE))</f>
        <v/>
      </c>
      <c r="I215" s="499" t="str">
        <f>IFERROR(VLOOKUP(H215,'G-1 All Habitats'!$V$3:$W$7,2,FALSE),"")</f>
        <v/>
      </c>
      <c r="J215" s="71"/>
      <c r="K215" s="499" t="str">
        <f>IFERROR(INDEX('G-8 Condition Look up'!$A$3:$H$130,MATCH(F215,'G-8 Condition Look up'!$A$3:$A$130,0),MATCH(J215,'G-8 Condition Look up'!$A$3:$H$3,0)),"")</f>
        <v/>
      </c>
      <c r="L215" s="71"/>
      <c r="M215" s="507" t="str">
        <f>IF(L215="","",IF(VLOOKUP(L215,'G-3 Multipliers'!$L$3:$N$6,2,FALSE)=0,"Spatial Data Missing",VLOOKUP(L215,'G-3 Multipliers'!$L$3:$N$6,2,FALSE)))</f>
        <v/>
      </c>
      <c r="N215" s="505" t="str">
        <f>IF(L215="","",IF(VLOOKUP(L215,'G-3 Multipliers'!$L$3:$N$6,3,FALSE)=0,"Spatial Data Missing",VLOOKUP(L215,'G-3 Multipliers'!$L$3:$N$6,3,FALSE)))</f>
        <v/>
      </c>
      <c r="O215" s="498" t="str">
        <f t="shared" si="18"/>
        <v/>
      </c>
      <c r="P215" s="82"/>
      <c r="Q215" s="82"/>
      <c r="R215" s="507" t="str">
        <f t="shared" si="20"/>
        <v/>
      </c>
      <c r="S215" s="521" t="str">
        <f t="shared" si="21"/>
        <v/>
      </c>
      <c r="T215" s="522" t="str">
        <f>IFERROR(IF(S215="Check Data ⚠","Check Data ⚠",VLOOKUP(S215,'G-4 Temporal multipliers'!$A$4:$C$37,3,FALSE)),"")</f>
        <v/>
      </c>
      <c r="U215" s="523" t="str">
        <f>IF(F215="","",VLOOKUP(F215,'G-3 Multipliers'!$A$2:$E$129,2,FALSE))</f>
        <v/>
      </c>
      <c r="V215" s="520" t="str">
        <f t="shared" si="22"/>
        <v/>
      </c>
      <c r="W215" s="520" t="str">
        <f>IF(E215="","",IF(AND(V215="Standard difficulty applied",O215&gt;P215),U215,IF(AND(V215="Low Difficulty - only applicable if all habitat created before losses",P215&gt;=O215),"Low",VLOOKUP(F215,'G-3 Multipliers'!$A$2:$E$129,4,FALSE))))</f>
        <v/>
      </c>
      <c r="X215" s="524" t="str">
        <f>IFERROR(IF(E215="","",VLOOKUP(W215, 'G-3 Multipliers'!$P$2:$Q$6,2,FALSE)),"")</f>
        <v/>
      </c>
      <c r="Y215" s="529" t="str">
        <f t="shared" si="23"/>
        <v/>
      </c>
      <c r="Z215" s="239"/>
      <c r="AA215" s="240"/>
      <c r="AE215" s="54" t="str">
        <f t="shared" si="19"/>
        <v/>
      </c>
    </row>
    <row r="216" spans="1:31" x14ac:dyDescent="0.25">
      <c r="A216" s="47" t="str">
        <f>IFERROR(INDEX('G-8 Condition Look up'!$I$4:$I$130,MATCH(F216,'G-8 Condition Look up'!$A$4:$A$130,0)),"")</f>
        <v/>
      </c>
      <c r="C216" s="384" t="str">
        <f>IFERROR(INDEX('G-1 All Habitats'!$AG$3:$AG$15,MATCH(D216,'G-1 All Habitats'!$AF$3:$AF$15,0)),"")</f>
        <v/>
      </c>
      <c r="D216" s="146"/>
      <c r="E216" s="79"/>
      <c r="F216" s="246" t="str">
        <f>IFERROR(INDEX('G-1 All Habitats'!$B$3:$B$129,MATCH(E216,'G-1 All Habitats'!$A$3:$A$129,0)),"")</f>
        <v/>
      </c>
      <c r="G216" s="70"/>
      <c r="H216" s="498" t="str">
        <f>IF(F216="","",VLOOKUP(F216,'G-1 All Habitats'!$B$2:$M$129,10,FALSE))</f>
        <v/>
      </c>
      <c r="I216" s="499" t="str">
        <f>IFERROR(VLOOKUP(H216,'G-1 All Habitats'!$V$3:$W$7,2,FALSE),"")</f>
        <v/>
      </c>
      <c r="J216" s="71"/>
      <c r="K216" s="499" t="str">
        <f>IFERROR(INDEX('G-8 Condition Look up'!$A$3:$H$130,MATCH(F216,'G-8 Condition Look up'!$A$3:$A$130,0),MATCH(J216,'G-8 Condition Look up'!$A$3:$H$3,0)),"")</f>
        <v/>
      </c>
      <c r="L216" s="71"/>
      <c r="M216" s="507" t="str">
        <f>IF(L216="","",IF(VLOOKUP(L216,'G-3 Multipliers'!$L$3:$N$6,2,FALSE)=0,"Spatial Data Missing",VLOOKUP(L216,'G-3 Multipliers'!$L$3:$N$6,2,FALSE)))</f>
        <v/>
      </c>
      <c r="N216" s="505" t="str">
        <f>IF(L216="","",IF(VLOOKUP(L216,'G-3 Multipliers'!$L$3:$N$6,3,FALSE)=0,"Spatial Data Missing",VLOOKUP(L216,'G-3 Multipliers'!$L$3:$N$6,3,FALSE)))</f>
        <v/>
      </c>
      <c r="O216" s="498" t="str">
        <f t="shared" si="18"/>
        <v/>
      </c>
      <c r="P216" s="82"/>
      <c r="Q216" s="82"/>
      <c r="R216" s="507" t="str">
        <f t="shared" si="20"/>
        <v/>
      </c>
      <c r="S216" s="521" t="str">
        <f t="shared" si="21"/>
        <v/>
      </c>
      <c r="T216" s="522" t="str">
        <f>IFERROR(IF(S216="Check Data ⚠","Check Data ⚠",VLOOKUP(S216,'G-4 Temporal multipliers'!$A$4:$C$37,3,FALSE)),"")</f>
        <v/>
      </c>
      <c r="U216" s="523" t="str">
        <f>IF(F216="","",VLOOKUP(F216,'G-3 Multipliers'!$A$2:$E$129,2,FALSE))</f>
        <v/>
      </c>
      <c r="V216" s="520" t="str">
        <f t="shared" si="22"/>
        <v/>
      </c>
      <c r="W216" s="520" t="str">
        <f>IF(E216="","",IF(AND(V216="Standard difficulty applied",O216&gt;P216),U216,IF(AND(V216="Low Difficulty - only applicable if all habitat created before losses",P216&gt;=O216),"Low",VLOOKUP(F216,'G-3 Multipliers'!$A$2:$E$129,4,FALSE))))</f>
        <v/>
      </c>
      <c r="X216" s="524" t="str">
        <f>IFERROR(IF(E216="","",VLOOKUP(W216, 'G-3 Multipliers'!$P$2:$Q$6,2,FALSE)),"")</f>
        <v/>
      </c>
      <c r="Y216" s="529" t="str">
        <f t="shared" si="23"/>
        <v/>
      </c>
      <c r="Z216" s="239"/>
      <c r="AA216" s="240"/>
      <c r="AE216" s="54" t="str">
        <f t="shared" si="19"/>
        <v/>
      </c>
    </row>
    <row r="217" spans="1:31" x14ac:dyDescent="0.25">
      <c r="A217" s="47" t="str">
        <f>IFERROR(INDEX('G-8 Condition Look up'!$I$4:$I$130,MATCH(F217,'G-8 Condition Look up'!$A$4:$A$130,0)),"")</f>
        <v/>
      </c>
      <c r="C217" s="384" t="str">
        <f>IFERROR(INDEX('G-1 All Habitats'!$AG$3:$AG$15,MATCH(D217,'G-1 All Habitats'!$AF$3:$AF$15,0)),"")</f>
        <v/>
      </c>
      <c r="D217" s="146"/>
      <c r="E217" s="79"/>
      <c r="F217" s="246" t="str">
        <f>IFERROR(INDEX('G-1 All Habitats'!$B$3:$B$129,MATCH(E217,'G-1 All Habitats'!$A$3:$A$129,0)),"")</f>
        <v/>
      </c>
      <c r="G217" s="70"/>
      <c r="H217" s="498" t="str">
        <f>IF(F217="","",VLOOKUP(F217,'G-1 All Habitats'!$B$2:$M$129,10,FALSE))</f>
        <v/>
      </c>
      <c r="I217" s="499" t="str">
        <f>IFERROR(VLOOKUP(H217,'G-1 All Habitats'!$V$3:$W$7,2,FALSE),"")</f>
        <v/>
      </c>
      <c r="J217" s="71"/>
      <c r="K217" s="499" t="str">
        <f>IFERROR(INDEX('G-8 Condition Look up'!$A$3:$H$130,MATCH(F217,'G-8 Condition Look up'!$A$3:$A$130,0),MATCH(J217,'G-8 Condition Look up'!$A$3:$H$3,0)),"")</f>
        <v/>
      </c>
      <c r="L217" s="71"/>
      <c r="M217" s="507" t="str">
        <f>IF(L217="","",IF(VLOOKUP(L217,'G-3 Multipliers'!$L$3:$N$6,2,FALSE)=0,"Spatial Data Missing",VLOOKUP(L217,'G-3 Multipliers'!$L$3:$N$6,2,FALSE)))</f>
        <v/>
      </c>
      <c r="N217" s="505" t="str">
        <f>IF(L217="","",IF(VLOOKUP(L217,'G-3 Multipliers'!$L$3:$N$6,3,FALSE)=0,"Spatial Data Missing",VLOOKUP(L217,'G-3 Multipliers'!$L$3:$N$6,3,FALSE)))</f>
        <v/>
      </c>
      <c r="O217" s="498" t="str">
        <f t="shared" si="18"/>
        <v/>
      </c>
      <c r="P217" s="82"/>
      <c r="Q217" s="82"/>
      <c r="R217" s="507" t="str">
        <f t="shared" si="20"/>
        <v/>
      </c>
      <c r="S217" s="521" t="str">
        <f t="shared" si="21"/>
        <v/>
      </c>
      <c r="T217" s="522" t="str">
        <f>IFERROR(IF(S217="Check Data ⚠","Check Data ⚠",VLOOKUP(S217,'G-4 Temporal multipliers'!$A$4:$C$37,3,FALSE)),"")</f>
        <v/>
      </c>
      <c r="U217" s="523" t="str">
        <f>IF(F217="","",VLOOKUP(F217,'G-3 Multipliers'!$A$2:$E$129,2,FALSE))</f>
        <v/>
      </c>
      <c r="V217" s="520" t="str">
        <f t="shared" si="22"/>
        <v/>
      </c>
      <c r="W217" s="520" t="str">
        <f>IF(E217="","",IF(AND(V217="Standard difficulty applied",O217&gt;P217),U217,IF(AND(V217="Low Difficulty - only applicable if all habitat created before losses",P217&gt;=O217),"Low",VLOOKUP(F217,'G-3 Multipliers'!$A$2:$E$129,4,FALSE))))</f>
        <v/>
      </c>
      <c r="X217" s="524" t="str">
        <f>IFERROR(IF(E217="","",VLOOKUP(W217, 'G-3 Multipliers'!$P$2:$Q$6,2,FALSE)),"")</f>
        <v/>
      </c>
      <c r="Y217" s="529" t="str">
        <f t="shared" si="23"/>
        <v/>
      </c>
      <c r="Z217" s="239"/>
      <c r="AA217" s="240"/>
      <c r="AE217" s="54" t="str">
        <f t="shared" si="19"/>
        <v/>
      </c>
    </row>
    <row r="218" spans="1:31" x14ac:dyDescent="0.25">
      <c r="A218" s="47" t="str">
        <f>IFERROR(INDEX('G-8 Condition Look up'!$I$4:$I$130,MATCH(F218,'G-8 Condition Look up'!$A$4:$A$130,0)),"")</f>
        <v/>
      </c>
      <c r="C218" s="384" t="str">
        <f>IFERROR(INDEX('G-1 All Habitats'!$AG$3:$AG$15,MATCH(D218,'G-1 All Habitats'!$AF$3:$AF$15,0)),"")</f>
        <v/>
      </c>
      <c r="D218" s="146"/>
      <c r="E218" s="79"/>
      <c r="F218" s="246" t="str">
        <f>IFERROR(INDEX('G-1 All Habitats'!$B$3:$B$129,MATCH(E218,'G-1 All Habitats'!$A$3:$A$129,0)),"")</f>
        <v/>
      </c>
      <c r="G218" s="70"/>
      <c r="H218" s="498" t="str">
        <f>IF(F218="","",VLOOKUP(F218,'G-1 All Habitats'!$B$2:$M$129,10,FALSE))</f>
        <v/>
      </c>
      <c r="I218" s="499" t="str">
        <f>IFERROR(VLOOKUP(H218,'G-1 All Habitats'!$V$3:$W$7,2,FALSE),"")</f>
        <v/>
      </c>
      <c r="J218" s="71"/>
      <c r="K218" s="499" t="str">
        <f>IFERROR(INDEX('G-8 Condition Look up'!$A$3:$H$130,MATCH(F218,'G-8 Condition Look up'!$A$3:$A$130,0),MATCH(J218,'G-8 Condition Look up'!$A$3:$H$3,0)),"")</f>
        <v/>
      </c>
      <c r="L218" s="71"/>
      <c r="M218" s="507" t="str">
        <f>IF(L218="","",IF(VLOOKUP(L218,'G-3 Multipliers'!$L$3:$N$6,2,FALSE)=0,"Spatial Data Missing",VLOOKUP(L218,'G-3 Multipliers'!$L$3:$N$6,2,FALSE)))</f>
        <v/>
      </c>
      <c r="N218" s="505" t="str">
        <f>IF(L218="","",IF(VLOOKUP(L218,'G-3 Multipliers'!$L$3:$N$6,3,FALSE)=0,"Spatial Data Missing",VLOOKUP(L218,'G-3 Multipliers'!$L$3:$N$6,3,FALSE)))</f>
        <v/>
      </c>
      <c r="O218" s="498" t="str">
        <f t="shared" si="18"/>
        <v/>
      </c>
      <c r="P218" s="82"/>
      <c r="Q218" s="82"/>
      <c r="R218" s="507" t="str">
        <f t="shared" si="20"/>
        <v/>
      </c>
      <c r="S218" s="521" t="str">
        <f t="shared" si="21"/>
        <v/>
      </c>
      <c r="T218" s="522" t="str">
        <f>IFERROR(IF(S218="Check Data ⚠","Check Data ⚠",VLOOKUP(S218,'G-4 Temporal multipliers'!$A$4:$C$37,3,FALSE)),"")</f>
        <v/>
      </c>
      <c r="U218" s="523" t="str">
        <f>IF(F218="","",VLOOKUP(F218,'G-3 Multipliers'!$A$2:$E$129,2,FALSE))</f>
        <v/>
      </c>
      <c r="V218" s="520" t="str">
        <f t="shared" si="22"/>
        <v/>
      </c>
      <c r="W218" s="520" t="str">
        <f>IF(E218="","",IF(AND(V218="Standard difficulty applied",O218&gt;P218),U218,IF(AND(V218="Low Difficulty - only applicable if all habitat created before losses",P218&gt;=O218),"Low",VLOOKUP(F218,'G-3 Multipliers'!$A$2:$E$129,4,FALSE))))</f>
        <v/>
      </c>
      <c r="X218" s="524" t="str">
        <f>IFERROR(IF(E218="","",VLOOKUP(W218, 'G-3 Multipliers'!$P$2:$Q$6,2,FALSE)),"")</f>
        <v/>
      </c>
      <c r="Y218" s="529" t="str">
        <f t="shared" si="23"/>
        <v/>
      </c>
      <c r="Z218" s="239"/>
      <c r="AA218" s="240"/>
      <c r="AE218" s="54" t="str">
        <f t="shared" si="19"/>
        <v/>
      </c>
    </row>
    <row r="219" spans="1:31" x14ac:dyDescent="0.25">
      <c r="A219" s="47" t="str">
        <f>IFERROR(INDEX('G-8 Condition Look up'!$I$4:$I$130,MATCH(F219,'G-8 Condition Look up'!$A$4:$A$130,0)),"")</f>
        <v/>
      </c>
      <c r="C219" s="384" t="str">
        <f>IFERROR(INDEX('G-1 All Habitats'!$AG$3:$AG$15,MATCH(D219,'G-1 All Habitats'!$AF$3:$AF$15,0)),"")</f>
        <v/>
      </c>
      <c r="D219" s="146"/>
      <c r="E219" s="79"/>
      <c r="F219" s="246" t="str">
        <f>IFERROR(INDEX('G-1 All Habitats'!$B$3:$B$129,MATCH(E219,'G-1 All Habitats'!$A$3:$A$129,0)),"")</f>
        <v/>
      </c>
      <c r="G219" s="70"/>
      <c r="H219" s="498" t="str">
        <f>IF(F219="","",VLOOKUP(F219,'G-1 All Habitats'!$B$2:$M$129,10,FALSE))</f>
        <v/>
      </c>
      <c r="I219" s="499" t="str">
        <f>IFERROR(VLOOKUP(H219,'G-1 All Habitats'!$V$3:$W$7,2,FALSE),"")</f>
        <v/>
      </c>
      <c r="J219" s="71"/>
      <c r="K219" s="499" t="str">
        <f>IFERROR(INDEX('G-8 Condition Look up'!$A$3:$H$130,MATCH(F219,'G-8 Condition Look up'!$A$3:$A$130,0),MATCH(J219,'G-8 Condition Look up'!$A$3:$H$3,0)),"")</f>
        <v/>
      </c>
      <c r="L219" s="71"/>
      <c r="M219" s="507" t="str">
        <f>IF(L219="","",IF(VLOOKUP(L219,'G-3 Multipliers'!$L$3:$N$6,2,FALSE)=0,"Spatial Data Missing",VLOOKUP(L219,'G-3 Multipliers'!$L$3:$N$6,2,FALSE)))</f>
        <v/>
      </c>
      <c r="N219" s="505" t="str">
        <f>IF(L219="","",IF(VLOOKUP(L219,'G-3 Multipliers'!$L$3:$N$6,3,FALSE)=0,"Spatial Data Missing",VLOOKUP(L219,'G-3 Multipliers'!$L$3:$N$6,3,FALSE)))</f>
        <v/>
      </c>
      <c r="O219" s="498" t="str">
        <f t="shared" si="18"/>
        <v/>
      </c>
      <c r="P219" s="82"/>
      <c r="Q219" s="82"/>
      <c r="R219" s="507" t="str">
        <f t="shared" si="20"/>
        <v/>
      </c>
      <c r="S219" s="521" t="str">
        <f t="shared" si="21"/>
        <v/>
      </c>
      <c r="T219" s="522" t="str">
        <f>IFERROR(IF(S219="Check Data ⚠","Check Data ⚠",VLOOKUP(S219,'G-4 Temporal multipliers'!$A$4:$C$37,3,FALSE)),"")</f>
        <v/>
      </c>
      <c r="U219" s="523" t="str">
        <f>IF(F219="","",VLOOKUP(F219,'G-3 Multipliers'!$A$2:$E$129,2,FALSE))</f>
        <v/>
      </c>
      <c r="V219" s="520" t="str">
        <f t="shared" si="22"/>
        <v/>
      </c>
      <c r="W219" s="520" t="str">
        <f>IF(E219="","",IF(AND(V219="Standard difficulty applied",O219&gt;P219),U219,IF(AND(V219="Low Difficulty - only applicable if all habitat created before losses",P219&gt;=O219),"Low",VLOOKUP(F219,'G-3 Multipliers'!$A$2:$E$129,4,FALSE))))</f>
        <v/>
      </c>
      <c r="X219" s="524" t="str">
        <f>IFERROR(IF(E219="","",VLOOKUP(W219, 'G-3 Multipliers'!$P$2:$Q$6,2,FALSE)),"")</f>
        <v/>
      </c>
      <c r="Y219" s="529" t="str">
        <f t="shared" si="23"/>
        <v/>
      </c>
      <c r="Z219" s="239"/>
      <c r="AA219" s="240"/>
      <c r="AE219" s="54" t="str">
        <f t="shared" si="19"/>
        <v/>
      </c>
    </row>
    <row r="220" spans="1:31" x14ac:dyDescent="0.25">
      <c r="A220" s="47" t="str">
        <f>IFERROR(INDEX('G-8 Condition Look up'!$I$4:$I$130,MATCH(F220,'G-8 Condition Look up'!$A$4:$A$130,0)),"")</f>
        <v/>
      </c>
      <c r="C220" s="384" t="str">
        <f>IFERROR(INDEX('G-1 All Habitats'!$AG$3:$AG$15,MATCH(D220,'G-1 All Habitats'!$AF$3:$AF$15,0)),"")</f>
        <v/>
      </c>
      <c r="D220" s="146"/>
      <c r="E220" s="79"/>
      <c r="F220" s="246" t="str">
        <f>IFERROR(INDEX('G-1 All Habitats'!$B$3:$B$129,MATCH(E220,'G-1 All Habitats'!$A$3:$A$129,0)),"")</f>
        <v/>
      </c>
      <c r="G220" s="70"/>
      <c r="H220" s="498" t="str">
        <f>IF(F220="","",VLOOKUP(F220,'G-1 All Habitats'!$B$2:$M$129,10,FALSE))</f>
        <v/>
      </c>
      <c r="I220" s="499" t="str">
        <f>IFERROR(VLOOKUP(H220,'G-1 All Habitats'!$V$3:$W$7,2,FALSE),"")</f>
        <v/>
      </c>
      <c r="J220" s="71"/>
      <c r="K220" s="499" t="str">
        <f>IFERROR(INDEX('G-8 Condition Look up'!$A$3:$H$130,MATCH(F220,'G-8 Condition Look up'!$A$3:$A$130,0),MATCH(J220,'G-8 Condition Look up'!$A$3:$H$3,0)),"")</f>
        <v/>
      </c>
      <c r="L220" s="71"/>
      <c r="M220" s="507" t="str">
        <f>IF(L220="","",IF(VLOOKUP(L220,'G-3 Multipliers'!$L$3:$N$6,2,FALSE)=0,"Spatial Data Missing",VLOOKUP(L220,'G-3 Multipliers'!$L$3:$N$6,2,FALSE)))</f>
        <v/>
      </c>
      <c r="N220" s="505" t="str">
        <f>IF(L220="","",IF(VLOOKUP(L220,'G-3 Multipliers'!$L$3:$N$6,3,FALSE)=0,"Spatial Data Missing",VLOOKUP(L220,'G-3 Multipliers'!$L$3:$N$6,3,FALSE)))</f>
        <v/>
      </c>
      <c r="O220" s="498" t="str">
        <f t="shared" si="18"/>
        <v/>
      </c>
      <c r="P220" s="82"/>
      <c r="Q220" s="82"/>
      <c r="R220" s="507" t="str">
        <f t="shared" si="20"/>
        <v/>
      </c>
      <c r="S220" s="521" t="str">
        <f t="shared" si="21"/>
        <v/>
      </c>
      <c r="T220" s="522" t="str">
        <f>IFERROR(IF(S220="Check Data ⚠","Check Data ⚠",VLOOKUP(S220,'G-4 Temporal multipliers'!$A$4:$C$37,3,FALSE)),"")</f>
        <v/>
      </c>
      <c r="U220" s="523" t="str">
        <f>IF(F220="","",VLOOKUP(F220,'G-3 Multipliers'!$A$2:$E$129,2,FALSE))</f>
        <v/>
      </c>
      <c r="V220" s="520" t="str">
        <f t="shared" si="22"/>
        <v/>
      </c>
      <c r="W220" s="520" t="str">
        <f>IF(E220="","",IF(AND(V220="Standard difficulty applied",O220&gt;P220),U220,IF(AND(V220="Low Difficulty - only applicable if all habitat created before losses",P220&gt;=O220),"Low",VLOOKUP(F220,'G-3 Multipliers'!$A$2:$E$129,4,FALSE))))</f>
        <v/>
      </c>
      <c r="X220" s="524" t="str">
        <f>IFERROR(IF(E220="","",VLOOKUP(W220, 'G-3 Multipliers'!$P$2:$Q$6,2,FALSE)),"")</f>
        <v/>
      </c>
      <c r="Y220" s="529" t="str">
        <f t="shared" si="23"/>
        <v/>
      </c>
      <c r="Z220" s="239"/>
      <c r="AA220" s="240"/>
      <c r="AE220" s="54" t="str">
        <f t="shared" si="19"/>
        <v/>
      </c>
    </row>
    <row r="221" spans="1:31" x14ac:dyDescent="0.25">
      <c r="A221" s="47" t="str">
        <f>IFERROR(INDEX('G-8 Condition Look up'!$I$4:$I$130,MATCH(F221,'G-8 Condition Look up'!$A$4:$A$130,0)),"")</f>
        <v/>
      </c>
      <c r="C221" s="384" t="str">
        <f>IFERROR(INDEX('G-1 All Habitats'!$AG$3:$AG$15,MATCH(D221,'G-1 All Habitats'!$AF$3:$AF$15,0)),"")</f>
        <v/>
      </c>
      <c r="D221" s="146"/>
      <c r="E221" s="79"/>
      <c r="F221" s="246" t="str">
        <f>IFERROR(INDEX('G-1 All Habitats'!$B$3:$B$129,MATCH(E221,'G-1 All Habitats'!$A$3:$A$129,0)),"")</f>
        <v/>
      </c>
      <c r="G221" s="70"/>
      <c r="H221" s="498" t="str">
        <f>IF(F221="","",VLOOKUP(F221,'G-1 All Habitats'!$B$2:$M$129,10,FALSE))</f>
        <v/>
      </c>
      <c r="I221" s="499" t="str">
        <f>IFERROR(VLOOKUP(H221,'G-1 All Habitats'!$V$3:$W$7,2,FALSE),"")</f>
        <v/>
      </c>
      <c r="J221" s="71"/>
      <c r="K221" s="499" t="str">
        <f>IFERROR(INDEX('G-8 Condition Look up'!$A$3:$H$130,MATCH(F221,'G-8 Condition Look up'!$A$3:$A$130,0),MATCH(J221,'G-8 Condition Look up'!$A$3:$H$3,0)),"")</f>
        <v/>
      </c>
      <c r="L221" s="71"/>
      <c r="M221" s="507" t="str">
        <f>IF(L221="","",IF(VLOOKUP(L221,'G-3 Multipliers'!$L$3:$N$6,2,FALSE)=0,"Spatial Data Missing",VLOOKUP(L221,'G-3 Multipliers'!$L$3:$N$6,2,FALSE)))</f>
        <v/>
      </c>
      <c r="N221" s="505" t="str">
        <f>IF(L221="","",IF(VLOOKUP(L221,'G-3 Multipliers'!$L$3:$N$6,3,FALSE)=0,"Spatial Data Missing",VLOOKUP(L221,'G-3 Multipliers'!$L$3:$N$6,3,FALSE)))</f>
        <v/>
      </c>
      <c r="O221" s="498" t="str">
        <f t="shared" si="18"/>
        <v/>
      </c>
      <c r="P221" s="82"/>
      <c r="Q221" s="82"/>
      <c r="R221" s="507" t="str">
        <f t="shared" si="20"/>
        <v/>
      </c>
      <c r="S221" s="521" t="str">
        <f t="shared" si="21"/>
        <v/>
      </c>
      <c r="T221" s="522" t="str">
        <f>IFERROR(IF(S221="Check Data ⚠","Check Data ⚠",VLOOKUP(S221,'G-4 Temporal multipliers'!$A$4:$C$37,3,FALSE)),"")</f>
        <v/>
      </c>
      <c r="U221" s="523" t="str">
        <f>IF(F221="","",VLOOKUP(F221,'G-3 Multipliers'!$A$2:$E$129,2,FALSE))</f>
        <v/>
      </c>
      <c r="V221" s="520" t="str">
        <f t="shared" si="22"/>
        <v/>
      </c>
      <c r="W221" s="520" t="str">
        <f>IF(E221="","",IF(AND(V221="Standard difficulty applied",O221&gt;P221),U221,IF(AND(V221="Low Difficulty - only applicable if all habitat created before losses",P221&gt;=O221),"Low",VLOOKUP(F221,'G-3 Multipliers'!$A$2:$E$129,4,FALSE))))</f>
        <v/>
      </c>
      <c r="X221" s="524" t="str">
        <f>IFERROR(IF(E221="","",VLOOKUP(W221, 'G-3 Multipliers'!$P$2:$Q$6,2,FALSE)),"")</f>
        <v/>
      </c>
      <c r="Y221" s="529" t="str">
        <f t="shared" si="23"/>
        <v/>
      </c>
      <c r="Z221" s="239"/>
      <c r="AA221" s="240"/>
      <c r="AE221" s="54" t="str">
        <f t="shared" si="19"/>
        <v/>
      </c>
    </row>
    <row r="222" spans="1:31" x14ac:dyDescent="0.25">
      <c r="A222" s="47" t="str">
        <f>IFERROR(INDEX('G-8 Condition Look up'!$I$4:$I$130,MATCH(F222,'G-8 Condition Look up'!$A$4:$A$130,0)),"")</f>
        <v/>
      </c>
      <c r="C222" s="384" t="str">
        <f>IFERROR(INDEX('G-1 All Habitats'!$AG$3:$AG$15,MATCH(D222,'G-1 All Habitats'!$AF$3:$AF$15,0)),"")</f>
        <v/>
      </c>
      <c r="D222" s="146"/>
      <c r="E222" s="79"/>
      <c r="F222" s="246" t="str">
        <f>IFERROR(INDEX('G-1 All Habitats'!$B$3:$B$129,MATCH(E222,'G-1 All Habitats'!$A$3:$A$129,0)),"")</f>
        <v/>
      </c>
      <c r="G222" s="70"/>
      <c r="H222" s="498" t="str">
        <f>IF(F222="","",VLOOKUP(F222,'G-1 All Habitats'!$B$2:$M$129,10,FALSE))</f>
        <v/>
      </c>
      <c r="I222" s="499" t="str">
        <f>IFERROR(VLOOKUP(H222,'G-1 All Habitats'!$V$3:$W$7,2,FALSE),"")</f>
        <v/>
      </c>
      <c r="J222" s="71"/>
      <c r="K222" s="499" t="str">
        <f>IFERROR(INDEX('G-8 Condition Look up'!$A$3:$H$130,MATCH(F222,'G-8 Condition Look up'!$A$3:$A$130,0),MATCH(J222,'G-8 Condition Look up'!$A$3:$H$3,0)),"")</f>
        <v/>
      </c>
      <c r="L222" s="71"/>
      <c r="M222" s="507" t="str">
        <f>IF(L222="","",IF(VLOOKUP(L222,'G-3 Multipliers'!$L$3:$N$6,2,FALSE)=0,"Spatial Data Missing",VLOOKUP(L222,'G-3 Multipliers'!$L$3:$N$6,2,FALSE)))</f>
        <v/>
      </c>
      <c r="N222" s="505" t="str">
        <f>IF(L222="","",IF(VLOOKUP(L222,'G-3 Multipliers'!$L$3:$N$6,3,FALSE)=0,"Spatial Data Missing",VLOOKUP(L222,'G-3 Multipliers'!$L$3:$N$6,3,FALSE)))</f>
        <v/>
      </c>
      <c r="O222" s="498" t="str">
        <f t="shared" si="18"/>
        <v/>
      </c>
      <c r="P222" s="82"/>
      <c r="Q222" s="82"/>
      <c r="R222" s="507" t="str">
        <f t="shared" si="20"/>
        <v/>
      </c>
      <c r="S222" s="521" t="str">
        <f t="shared" si="21"/>
        <v/>
      </c>
      <c r="T222" s="522" t="str">
        <f>IFERROR(IF(S222="Check Data ⚠","Check Data ⚠",VLOOKUP(S222,'G-4 Temporal multipliers'!$A$4:$C$37,3,FALSE)),"")</f>
        <v/>
      </c>
      <c r="U222" s="523" t="str">
        <f>IF(F222="","",VLOOKUP(F222,'G-3 Multipliers'!$A$2:$E$129,2,FALSE))</f>
        <v/>
      </c>
      <c r="V222" s="520" t="str">
        <f t="shared" si="22"/>
        <v/>
      </c>
      <c r="W222" s="520" t="str">
        <f>IF(E222="","",IF(AND(V222="Standard difficulty applied",O222&gt;P222),U222,IF(AND(V222="Low Difficulty - only applicable if all habitat created before losses",P222&gt;=O222),"Low",VLOOKUP(F222,'G-3 Multipliers'!$A$2:$E$129,4,FALSE))))</f>
        <v/>
      </c>
      <c r="X222" s="524" t="str">
        <f>IFERROR(IF(E222="","",VLOOKUP(W222, 'G-3 Multipliers'!$P$2:$Q$6,2,FALSE)),"")</f>
        <v/>
      </c>
      <c r="Y222" s="529" t="str">
        <f t="shared" si="23"/>
        <v/>
      </c>
      <c r="Z222" s="239"/>
      <c r="AA222" s="240"/>
      <c r="AE222" s="54" t="str">
        <f t="shared" si="19"/>
        <v/>
      </c>
    </row>
    <row r="223" spans="1:31" x14ac:dyDescent="0.25">
      <c r="A223" s="47" t="str">
        <f>IFERROR(INDEX('G-8 Condition Look up'!$I$4:$I$130,MATCH(F223,'G-8 Condition Look up'!$A$4:$A$130,0)),"")</f>
        <v/>
      </c>
      <c r="C223" s="384" t="str">
        <f>IFERROR(INDEX('G-1 All Habitats'!$AG$3:$AG$15,MATCH(D223,'G-1 All Habitats'!$AF$3:$AF$15,0)),"")</f>
        <v/>
      </c>
      <c r="D223" s="146"/>
      <c r="E223" s="79"/>
      <c r="F223" s="246" t="str">
        <f>IFERROR(INDEX('G-1 All Habitats'!$B$3:$B$129,MATCH(E223,'G-1 All Habitats'!$A$3:$A$129,0)),"")</f>
        <v/>
      </c>
      <c r="G223" s="70"/>
      <c r="H223" s="498" t="str">
        <f>IF(F223="","",VLOOKUP(F223,'G-1 All Habitats'!$B$2:$M$129,10,FALSE))</f>
        <v/>
      </c>
      <c r="I223" s="499" t="str">
        <f>IFERROR(VLOOKUP(H223,'G-1 All Habitats'!$V$3:$W$7,2,FALSE),"")</f>
        <v/>
      </c>
      <c r="J223" s="71"/>
      <c r="K223" s="499" t="str">
        <f>IFERROR(INDEX('G-8 Condition Look up'!$A$3:$H$130,MATCH(F223,'G-8 Condition Look up'!$A$3:$A$130,0),MATCH(J223,'G-8 Condition Look up'!$A$3:$H$3,0)),"")</f>
        <v/>
      </c>
      <c r="L223" s="71"/>
      <c r="M223" s="507" t="str">
        <f>IF(L223="","",IF(VLOOKUP(L223,'G-3 Multipliers'!$L$3:$N$6,2,FALSE)=0,"Spatial Data Missing",VLOOKUP(L223,'G-3 Multipliers'!$L$3:$N$6,2,FALSE)))</f>
        <v/>
      </c>
      <c r="N223" s="505" t="str">
        <f>IF(L223="","",IF(VLOOKUP(L223,'G-3 Multipliers'!$L$3:$N$6,3,FALSE)=0,"Spatial Data Missing",VLOOKUP(L223,'G-3 Multipliers'!$L$3:$N$6,3,FALSE)))</f>
        <v/>
      </c>
      <c r="O223" s="498" t="str">
        <f t="shared" si="18"/>
        <v/>
      </c>
      <c r="P223" s="82"/>
      <c r="Q223" s="82"/>
      <c r="R223" s="507" t="str">
        <f t="shared" si="20"/>
        <v/>
      </c>
      <c r="S223" s="521" t="str">
        <f t="shared" si="21"/>
        <v/>
      </c>
      <c r="T223" s="522" t="str">
        <f>IFERROR(IF(S223="Check Data ⚠","Check Data ⚠",VLOOKUP(S223,'G-4 Temporal multipliers'!$A$4:$C$37,3,FALSE)),"")</f>
        <v/>
      </c>
      <c r="U223" s="523" t="str">
        <f>IF(F223="","",VLOOKUP(F223,'G-3 Multipliers'!$A$2:$E$129,2,FALSE))</f>
        <v/>
      </c>
      <c r="V223" s="520" t="str">
        <f t="shared" si="22"/>
        <v/>
      </c>
      <c r="W223" s="520" t="str">
        <f>IF(E223="","",IF(AND(V223="Standard difficulty applied",O223&gt;P223),U223,IF(AND(V223="Low Difficulty - only applicable if all habitat created before losses",P223&gt;=O223),"Low",VLOOKUP(F223,'G-3 Multipliers'!$A$2:$E$129,4,FALSE))))</f>
        <v/>
      </c>
      <c r="X223" s="524" t="str">
        <f>IFERROR(IF(E223="","",VLOOKUP(W223, 'G-3 Multipliers'!$P$2:$Q$6,2,FALSE)),"")</f>
        <v/>
      </c>
      <c r="Y223" s="529" t="str">
        <f t="shared" si="23"/>
        <v/>
      </c>
      <c r="Z223" s="239"/>
      <c r="AA223" s="240"/>
      <c r="AE223" s="54" t="str">
        <f t="shared" si="19"/>
        <v/>
      </c>
    </row>
    <row r="224" spans="1:31" x14ac:dyDescent="0.25">
      <c r="A224" s="47" t="str">
        <f>IFERROR(INDEX('G-8 Condition Look up'!$I$4:$I$130,MATCH(F224,'G-8 Condition Look up'!$A$4:$A$130,0)),"")</f>
        <v/>
      </c>
      <c r="C224" s="384" t="str">
        <f>IFERROR(INDEX('G-1 All Habitats'!$AG$3:$AG$15,MATCH(D224,'G-1 All Habitats'!$AF$3:$AF$15,0)),"")</f>
        <v/>
      </c>
      <c r="D224" s="146"/>
      <c r="E224" s="79"/>
      <c r="F224" s="246" t="str">
        <f>IFERROR(INDEX('G-1 All Habitats'!$B$3:$B$129,MATCH(E224,'G-1 All Habitats'!$A$3:$A$129,0)),"")</f>
        <v/>
      </c>
      <c r="G224" s="70"/>
      <c r="H224" s="498" t="str">
        <f>IF(F224="","",VLOOKUP(F224,'G-1 All Habitats'!$B$2:$M$129,10,FALSE))</f>
        <v/>
      </c>
      <c r="I224" s="499" t="str">
        <f>IFERROR(VLOOKUP(H224,'G-1 All Habitats'!$V$3:$W$7,2,FALSE),"")</f>
        <v/>
      </c>
      <c r="J224" s="71"/>
      <c r="K224" s="499" t="str">
        <f>IFERROR(INDEX('G-8 Condition Look up'!$A$3:$H$130,MATCH(F224,'G-8 Condition Look up'!$A$3:$A$130,0),MATCH(J224,'G-8 Condition Look up'!$A$3:$H$3,0)),"")</f>
        <v/>
      </c>
      <c r="L224" s="71"/>
      <c r="M224" s="507" t="str">
        <f>IF(L224="","",IF(VLOOKUP(L224,'G-3 Multipliers'!$L$3:$N$6,2,FALSE)=0,"Spatial Data Missing",VLOOKUP(L224,'G-3 Multipliers'!$L$3:$N$6,2,FALSE)))</f>
        <v/>
      </c>
      <c r="N224" s="505" t="str">
        <f>IF(L224="","",IF(VLOOKUP(L224,'G-3 Multipliers'!$L$3:$N$6,3,FALSE)=0,"Spatial Data Missing",VLOOKUP(L224,'G-3 Multipliers'!$L$3:$N$6,3,FALSE)))</f>
        <v/>
      </c>
      <c r="O224" s="498" t="str">
        <f t="shared" si="18"/>
        <v/>
      </c>
      <c r="P224" s="82"/>
      <c r="Q224" s="82"/>
      <c r="R224" s="507" t="str">
        <f t="shared" si="20"/>
        <v/>
      </c>
      <c r="S224" s="521" t="str">
        <f t="shared" si="21"/>
        <v/>
      </c>
      <c r="T224" s="522" t="str">
        <f>IFERROR(IF(S224="Check Data ⚠","Check Data ⚠",VLOOKUP(S224,'G-4 Temporal multipliers'!$A$4:$C$37,3,FALSE)),"")</f>
        <v/>
      </c>
      <c r="U224" s="523" t="str">
        <f>IF(F224="","",VLOOKUP(F224,'G-3 Multipliers'!$A$2:$E$129,2,FALSE))</f>
        <v/>
      </c>
      <c r="V224" s="520" t="str">
        <f t="shared" si="22"/>
        <v/>
      </c>
      <c r="W224" s="520" t="str">
        <f>IF(E224="","",IF(AND(V224="Standard difficulty applied",O224&gt;P224),U224,IF(AND(V224="Low Difficulty - only applicable if all habitat created before losses",P224&gt;=O224),"Low",VLOOKUP(F224,'G-3 Multipliers'!$A$2:$E$129,4,FALSE))))</f>
        <v/>
      </c>
      <c r="X224" s="524" t="str">
        <f>IFERROR(IF(E224="","",VLOOKUP(W224, 'G-3 Multipliers'!$P$2:$Q$6,2,FALSE)),"")</f>
        <v/>
      </c>
      <c r="Y224" s="529" t="str">
        <f t="shared" si="23"/>
        <v/>
      </c>
      <c r="Z224" s="239"/>
      <c r="AA224" s="240"/>
      <c r="AE224" s="54" t="str">
        <f t="shared" si="19"/>
        <v/>
      </c>
    </row>
    <row r="225" spans="1:31" x14ac:dyDescent="0.25">
      <c r="A225" s="47" t="str">
        <f>IFERROR(INDEX('G-8 Condition Look up'!$I$4:$I$130,MATCH(F225,'G-8 Condition Look up'!$A$4:$A$130,0)),"")</f>
        <v/>
      </c>
      <c r="C225" s="384" t="str">
        <f>IFERROR(INDEX('G-1 All Habitats'!$AG$3:$AG$15,MATCH(D225,'G-1 All Habitats'!$AF$3:$AF$15,0)),"")</f>
        <v/>
      </c>
      <c r="D225" s="146"/>
      <c r="E225" s="79"/>
      <c r="F225" s="246" t="str">
        <f>IFERROR(INDEX('G-1 All Habitats'!$B$3:$B$129,MATCH(E225,'G-1 All Habitats'!$A$3:$A$129,0)),"")</f>
        <v/>
      </c>
      <c r="G225" s="70"/>
      <c r="H225" s="498" t="str">
        <f>IF(F225="","",VLOOKUP(F225,'G-1 All Habitats'!$B$2:$M$129,10,FALSE))</f>
        <v/>
      </c>
      <c r="I225" s="499" t="str">
        <f>IFERROR(VLOOKUP(H225,'G-1 All Habitats'!$V$3:$W$7,2,FALSE),"")</f>
        <v/>
      </c>
      <c r="J225" s="71"/>
      <c r="K225" s="499" t="str">
        <f>IFERROR(INDEX('G-8 Condition Look up'!$A$3:$H$130,MATCH(F225,'G-8 Condition Look up'!$A$3:$A$130,0),MATCH(J225,'G-8 Condition Look up'!$A$3:$H$3,0)),"")</f>
        <v/>
      </c>
      <c r="L225" s="71"/>
      <c r="M225" s="507" t="str">
        <f>IF(L225="","",IF(VLOOKUP(L225,'G-3 Multipliers'!$L$3:$N$6,2,FALSE)=0,"Spatial Data Missing",VLOOKUP(L225,'G-3 Multipliers'!$L$3:$N$6,2,FALSE)))</f>
        <v/>
      </c>
      <c r="N225" s="505" t="str">
        <f>IF(L225="","",IF(VLOOKUP(L225,'G-3 Multipliers'!$L$3:$N$6,3,FALSE)=0,"Spatial Data Missing",VLOOKUP(L225,'G-3 Multipliers'!$L$3:$N$6,3,FALSE)))</f>
        <v/>
      </c>
      <c r="O225" s="498" t="str">
        <f t="shared" si="18"/>
        <v/>
      </c>
      <c r="P225" s="82"/>
      <c r="Q225" s="82"/>
      <c r="R225" s="507" t="str">
        <f t="shared" si="20"/>
        <v/>
      </c>
      <c r="S225" s="521" t="str">
        <f t="shared" si="21"/>
        <v/>
      </c>
      <c r="T225" s="522" t="str">
        <f>IFERROR(IF(S225="Check Data ⚠","Check Data ⚠",VLOOKUP(S225,'G-4 Temporal multipliers'!$A$4:$C$37,3,FALSE)),"")</f>
        <v/>
      </c>
      <c r="U225" s="523" t="str">
        <f>IF(F225="","",VLOOKUP(F225,'G-3 Multipliers'!$A$2:$E$129,2,FALSE))</f>
        <v/>
      </c>
      <c r="V225" s="520" t="str">
        <f t="shared" si="22"/>
        <v/>
      </c>
      <c r="W225" s="520" t="str">
        <f>IF(E225="","",IF(AND(V225="Standard difficulty applied",O225&gt;P225),U225,IF(AND(V225="Low Difficulty - only applicable if all habitat created before losses",P225&gt;=O225),"Low",VLOOKUP(F225,'G-3 Multipliers'!$A$2:$E$129,4,FALSE))))</f>
        <v/>
      </c>
      <c r="X225" s="524" t="str">
        <f>IFERROR(IF(E225="","",VLOOKUP(W225, 'G-3 Multipliers'!$P$2:$Q$6,2,FALSE)),"")</f>
        <v/>
      </c>
      <c r="Y225" s="529" t="str">
        <f t="shared" si="23"/>
        <v/>
      </c>
      <c r="Z225" s="239"/>
      <c r="AA225" s="240"/>
      <c r="AE225" s="54" t="str">
        <f t="shared" si="19"/>
        <v/>
      </c>
    </row>
    <row r="226" spans="1:31" x14ac:dyDescent="0.25">
      <c r="A226" s="47" t="str">
        <f>IFERROR(INDEX('G-8 Condition Look up'!$I$4:$I$130,MATCH(F226,'G-8 Condition Look up'!$A$4:$A$130,0)),"")</f>
        <v/>
      </c>
      <c r="C226" s="384" t="str">
        <f>IFERROR(INDEX('G-1 All Habitats'!$AG$3:$AG$15,MATCH(D226,'G-1 All Habitats'!$AF$3:$AF$15,0)),"")</f>
        <v/>
      </c>
      <c r="D226" s="146"/>
      <c r="E226" s="79"/>
      <c r="F226" s="246" t="str">
        <f>IFERROR(INDEX('G-1 All Habitats'!$B$3:$B$129,MATCH(E226,'G-1 All Habitats'!$A$3:$A$129,0)),"")</f>
        <v/>
      </c>
      <c r="G226" s="70"/>
      <c r="H226" s="498" t="str">
        <f>IF(F226="","",VLOOKUP(F226,'G-1 All Habitats'!$B$2:$M$129,10,FALSE))</f>
        <v/>
      </c>
      <c r="I226" s="499" t="str">
        <f>IFERROR(VLOOKUP(H226,'G-1 All Habitats'!$V$3:$W$7,2,FALSE),"")</f>
        <v/>
      </c>
      <c r="J226" s="71"/>
      <c r="K226" s="499" t="str">
        <f>IFERROR(INDEX('G-8 Condition Look up'!$A$3:$H$130,MATCH(F226,'G-8 Condition Look up'!$A$3:$A$130,0),MATCH(J226,'G-8 Condition Look up'!$A$3:$H$3,0)),"")</f>
        <v/>
      </c>
      <c r="L226" s="71"/>
      <c r="M226" s="507" t="str">
        <f>IF(L226="","",IF(VLOOKUP(L226,'G-3 Multipliers'!$L$3:$N$6,2,FALSE)=0,"Spatial Data Missing",VLOOKUP(L226,'G-3 Multipliers'!$L$3:$N$6,2,FALSE)))</f>
        <v/>
      </c>
      <c r="N226" s="505" t="str">
        <f>IF(L226="","",IF(VLOOKUP(L226,'G-3 Multipliers'!$L$3:$N$6,3,FALSE)=0,"Spatial Data Missing",VLOOKUP(L226,'G-3 Multipliers'!$L$3:$N$6,3,FALSE)))</f>
        <v/>
      </c>
      <c r="O226" s="498" t="str">
        <f t="shared" si="18"/>
        <v/>
      </c>
      <c r="P226" s="82"/>
      <c r="Q226" s="82"/>
      <c r="R226" s="507" t="str">
        <f t="shared" si="20"/>
        <v/>
      </c>
      <c r="S226" s="521" t="str">
        <f t="shared" si="21"/>
        <v/>
      </c>
      <c r="T226" s="522" t="str">
        <f>IFERROR(IF(S226="Check Data ⚠","Check Data ⚠",VLOOKUP(S226,'G-4 Temporal multipliers'!$A$4:$C$37,3,FALSE)),"")</f>
        <v/>
      </c>
      <c r="U226" s="523" t="str">
        <f>IF(F226="","",VLOOKUP(F226,'G-3 Multipliers'!$A$2:$E$129,2,FALSE))</f>
        <v/>
      </c>
      <c r="V226" s="520" t="str">
        <f t="shared" si="22"/>
        <v/>
      </c>
      <c r="W226" s="520" t="str">
        <f>IF(E226="","",IF(AND(V226="Standard difficulty applied",O226&gt;P226),U226,IF(AND(V226="Low Difficulty - only applicable if all habitat created before losses",P226&gt;=O226),"Low",VLOOKUP(F226,'G-3 Multipliers'!$A$2:$E$129,4,FALSE))))</f>
        <v/>
      </c>
      <c r="X226" s="524" t="str">
        <f>IFERROR(IF(E226="","",VLOOKUP(W226, 'G-3 Multipliers'!$P$2:$Q$6,2,FALSE)),"")</f>
        <v/>
      </c>
      <c r="Y226" s="529" t="str">
        <f t="shared" si="23"/>
        <v/>
      </c>
      <c r="Z226" s="239"/>
      <c r="AA226" s="240"/>
      <c r="AE226" s="54" t="str">
        <f t="shared" si="19"/>
        <v/>
      </c>
    </row>
    <row r="227" spans="1:31" x14ac:dyDescent="0.25">
      <c r="A227" s="47" t="str">
        <f>IFERROR(INDEX('G-8 Condition Look up'!$I$4:$I$130,MATCH(F227,'G-8 Condition Look up'!$A$4:$A$130,0)),"")</f>
        <v/>
      </c>
      <c r="C227" s="384" t="str">
        <f>IFERROR(INDEX('G-1 All Habitats'!$AG$3:$AG$15,MATCH(D227,'G-1 All Habitats'!$AF$3:$AF$15,0)),"")</f>
        <v/>
      </c>
      <c r="D227" s="146"/>
      <c r="E227" s="79"/>
      <c r="F227" s="246" t="str">
        <f>IFERROR(INDEX('G-1 All Habitats'!$B$3:$B$129,MATCH(E227,'G-1 All Habitats'!$A$3:$A$129,0)),"")</f>
        <v/>
      </c>
      <c r="G227" s="70"/>
      <c r="H227" s="498" t="str">
        <f>IF(F227="","",VLOOKUP(F227,'G-1 All Habitats'!$B$2:$M$129,10,FALSE))</f>
        <v/>
      </c>
      <c r="I227" s="499" t="str">
        <f>IFERROR(VLOOKUP(H227,'G-1 All Habitats'!$V$3:$W$7,2,FALSE),"")</f>
        <v/>
      </c>
      <c r="J227" s="71"/>
      <c r="K227" s="499" t="str">
        <f>IFERROR(INDEX('G-8 Condition Look up'!$A$3:$H$130,MATCH(F227,'G-8 Condition Look up'!$A$3:$A$130,0),MATCH(J227,'G-8 Condition Look up'!$A$3:$H$3,0)),"")</f>
        <v/>
      </c>
      <c r="L227" s="71"/>
      <c r="M227" s="507" t="str">
        <f>IF(L227="","",IF(VLOOKUP(L227,'G-3 Multipliers'!$L$3:$N$6,2,FALSE)=0,"Spatial Data Missing",VLOOKUP(L227,'G-3 Multipliers'!$L$3:$N$6,2,FALSE)))</f>
        <v/>
      </c>
      <c r="N227" s="505" t="str">
        <f>IF(L227="","",IF(VLOOKUP(L227,'G-3 Multipliers'!$L$3:$N$6,3,FALSE)=0,"Spatial Data Missing",VLOOKUP(L227,'G-3 Multipliers'!$L$3:$N$6,3,FALSE)))</f>
        <v/>
      </c>
      <c r="O227" s="498" t="str">
        <f t="shared" si="18"/>
        <v/>
      </c>
      <c r="P227" s="82"/>
      <c r="Q227" s="82"/>
      <c r="R227" s="507" t="str">
        <f t="shared" si="20"/>
        <v/>
      </c>
      <c r="S227" s="521" t="str">
        <f t="shared" si="21"/>
        <v/>
      </c>
      <c r="T227" s="522" t="str">
        <f>IFERROR(IF(S227="Check Data ⚠","Check Data ⚠",VLOOKUP(S227,'G-4 Temporal multipliers'!$A$4:$C$37,3,FALSE)),"")</f>
        <v/>
      </c>
      <c r="U227" s="523" t="str">
        <f>IF(F227="","",VLOOKUP(F227,'G-3 Multipliers'!$A$2:$E$129,2,FALSE))</f>
        <v/>
      </c>
      <c r="V227" s="520" t="str">
        <f t="shared" si="22"/>
        <v/>
      </c>
      <c r="W227" s="520" t="str">
        <f>IF(E227="","",IF(AND(V227="Standard difficulty applied",O227&gt;P227),U227,IF(AND(V227="Low Difficulty - only applicable if all habitat created before losses",P227&gt;=O227),"Low",VLOOKUP(F227,'G-3 Multipliers'!$A$2:$E$129,4,FALSE))))</f>
        <v/>
      </c>
      <c r="X227" s="524" t="str">
        <f>IFERROR(IF(E227="","",VLOOKUP(W227, 'G-3 Multipliers'!$P$2:$Q$6,2,FALSE)),"")</f>
        <v/>
      </c>
      <c r="Y227" s="529" t="str">
        <f t="shared" si="23"/>
        <v/>
      </c>
      <c r="Z227" s="239"/>
      <c r="AA227" s="240"/>
      <c r="AE227" s="54" t="str">
        <f t="shared" si="19"/>
        <v/>
      </c>
    </row>
    <row r="228" spans="1:31" x14ac:dyDescent="0.25">
      <c r="A228" s="47" t="str">
        <f>IFERROR(INDEX('G-8 Condition Look up'!$I$4:$I$130,MATCH(F228,'G-8 Condition Look up'!$A$4:$A$130,0)),"")</f>
        <v/>
      </c>
      <c r="C228" s="384" t="str">
        <f>IFERROR(INDEX('G-1 All Habitats'!$AG$3:$AG$15,MATCH(D228,'G-1 All Habitats'!$AF$3:$AF$15,0)),"")</f>
        <v/>
      </c>
      <c r="D228" s="146"/>
      <c r="E228" s="79"/>
      <c r="F228" s="246" t="str">
        <f>IFERROR(INDEX('G-1 All Habitats'!$B$3:$B$129,MATCH(E228,'G-1 All Habitats'!$A$3:$A$129,0)),"")</f>
        <v/>
      </c>
      <c r="G228" s="70"/>
      <c r="H228" s="498" t="str">
        <f>IF(F228="","",VLOOKUP(F228,'G-1 All Habitats'!$B$2:$M$129,10,FALSE))</f>
        <v/>
      </c>
      <c r="I228" s="499" t="str">
        <f>IFERROR(VLOOKUP(H228,'G-1 All Habitats'!$V$3:$W$7,2,FALSE),"")</f>
        <v/>
      </c>
      <c r="J228" s="71"/>
      <c r="K228" s="499" t="str">
        <f>IFERROR(INDEX('G-8 Condition Look up'!$A$3:$H$130,MATCH(F228,'G-8 Condition Look up'!$A$3:$A$130,0),MATCH(J228,'G-8 Condition Look up'!$A$3:$H$3,0)),"")</f>
        <v/>
      </c>
      <c r="L228" s="71"/>
      <c r="M228" s="507" t="str">
        <f>IF(L228="","",IF(VLOOKUP(L228,'G-3 Multipliers'!$L$3:$N$6,2,FALSE)=0,"Spatial Data Missing",VLOOKUP(L228,'G-3 Multipliers'!$L$3:$N$6,2,FALSE)))</f>
        <v/>
      </c>
      <c r="N228" s="505" t="str">
        <f>IF(L228="","",IF(VLOOKUP(L228,'G-3 Multipliers'!$L$3:$N$6,3,FALSE)=0,"Spatial Data Missing",VLOOKUP(L228,'G-3 Multipliers'!$L$3:$N$6,3,FALSE)))</f>
        <v/>
      </c>
      <c r="O228" s="498" t="str">
        <f t="shared" si="18"/>
        <v/>
      </c>
      <c r="P228" s="82"/>
      <c r="Q228" s="82"/>
      <c r="R228" s="507" t="str">
        <f t="shared" si="20"/>
        <v/>
      </c>
      <c r="S228" s="521" t="str">
        <f t="shared" si="21"/>
        <v/>
      </c>
      <c r="T228" s="522" t="str">
        <f>IFERROR(IF(S228="Check Data ⚠","Check Data ⚠",VLOOKUP(S228,'G-4 Temporal multipliers'!$A$4:$C$37,3,FALSE)),"")</f>
        <v/>
      </c>
      <c r="U228" s="523" t="str">
        <f>IF(F228="","",VLOOKUP(F228,'G-3 Multipliers'!$A$2:$E$129,2,FALSE))</f>
        <v/>
      </c>
      <c r="V228" s="520" t="str">
        <f t="shared" si="22"/>
        <v/>
      </c>
      <c r="W228" s="520" t="str">
        <f>IF(E228="","",IF(AND(V228="Standard difficulty applied",O228&gt;P228),U228,IF(AND(V228="Low Difficulty - only applicable if all habitat created before losses",P228&gt;=O228),"Low",VLOOKUP(F228,'G-3 Multipliers'!$A$2:$E$129,4,FALSE))))</f>
        <v/>
      </c>
      <c r="X228" s="524" t="str">
        <f>IFERROR(IF(E228="","",VLOOKUP(W228, 'G-3 Multipliers'!$P$2:$Q$6,2,FALSE)),"")</f>
        <v/>
      </c>
      <c r="Y228" s="529" t="str">
        <f t="shared" si="23"/>
        <v/>
      </c>
      <c r="Z228" s="239"/>
      <c r="AA228" s="240"/>
      <c r="AE228" s="54" t="str">
        <f t="shared" si="19"/>
        <v/>
      </c>
    </row>
    <row r="229" spans="1:31" x14ac:dyDescent="0.25">
      <c r="A229" s="47" t="str">
        <f>IFERROR(INDEX('G-8 Condition Look up'!$I$4:$I$130,MATCH(F229,'G-8 Condition Look up'!$A$4:$A$130,0)),"")</f>
        <v/>
      </c>
      <c r="C229" s="384" t="str">
        <f>IFERROR(INDEX('G-1 All Habitats'!$AG$3:$AG$15,MATCH(D229,'G-1 All Habitats'!$AF$3:$AF$15,0)),"")</f>
        <v/>
      </c>
      <c r="D229" s="146"/>
      <c r="E229" s="79"/>
      <c r="F229" s="246" t="str">
        <f>IFERROR(INDEX('G-1 All Habitats'!$B$3:$B$129,MATCH(E229,'G-1 All Habitats'!$A$3:$A$129,0)),"")</f>
        <v/>
      </c>
      <c r="G229" s="70"/>
      <c r="H229" s="498" t="str">
        <f>IF(F229="","",VLOOKUP(F229,'G-1 All Habitats'!$B$2:$M$129,10,FALSE))</f>
        <v/>
      </c>
      <c r="I229" s="499" t="str">
        <f>IFERROR(VLOOKUP(H229,'G-1 All Habitats'!$V$3:$W$7,2,FALSE),"")</f>
        <v/>
      </c>
      <c r="J229" s="71"/>
      <c r="K229" s="499" t="str">
        <f>IFERROR(INDEX('G-8 Condition Look up'!$A$3:$H$130,MATCH(F229,'G-8 Condition Look up'!$A$3:$A$130,0),MATCH(J229,'G-8 Condition Look up'!$A$3:$H$3,0)),"")</f>
        <v/>
      </c>
      <c r="L229" s="71"/>
      <c r="M229" s="507" t="str">
        <f>IF(L229="","",IF(VLOOKUP(L229,'G-3 Multipliers'!$L$3:$N$6,2,FALSE)=0,"Spatial Data Missing",VLOOKUP(L229,'G-3 Multipliers'!$L$3:$N$6,2,FALSE)))</f>
        <v/>
      </c>
      <c r="N229" s="505" t="str">
        <f>IF(L229="","",IF(VLOOKUP(L229,'G-3 Multipliers'!$L$3:$N$6,3,FALSE)=0,"Spatial Data Missing",VLOOKUP(L229,'G-3 Multipliers'!$L$3:$N$6,3,FALSE)))</f>
        <v/>
      </c>
      <c r="O229" s="498" t="str">
        <f t="shared" si="18"/>
        <v/>
      </c>
      <c r="P229" s="82"/>
      <c r="Q229" s="82"/>
      <c r="R229" s="507" t="str">
        <f t="shared" si="20"/>
        <v/>
      </c>
      <c r="S229" s="521" t="str">
        <f t="shared" si="21"/>
        <v/>
      </c>
      <c r="T229" s="522" t="str">
        <f>IFERROR(IF(S229="Check Data ⚠","Check Data ⚠",VLOOKUP(S229,'G-4 Temporal multipliers'!$A$4:$C$37,3,FALSE)),"")</f>
        <v/>
      </c>
      <c r="U229" s="523" t="str">
        <f>IF(F229="","",VLOOKUP(F229,'G-3 Multipliers'!$A$2:$E$129,2,FALSE))</f>
        <v/>
      </c>
      <c r="V229" s="520" t="str">
        <f t="shared" si="22"/>
        <v/>
      </c>
      <c r="W229" s="520" t="str">
        <f>IF(E229="","",IF(AND(V229="Standard difficulty applied",O229&gt;P229),U229,IF(AND(V229="Low Difficulty - only applicable if all habitat created before losses",P229&gt;=O229),"Low",VLOOKUP(F229,'G-3 Multipliers'!$A$2:$E$129,4,FALSE))))</f>
        <v/>
      </c>
      <c r="X229" s="524" t="str">
        <f>IFERROR(IF(E229="","",VLOOKUP(W229, 'G-3 Multipliers'!$P$2:$Q$6,2,FALSE)),"")</f>
        <v/>
      </c>
      <c r="Y229" s="529" t="str">
        <f t="shared" si="23"/>
        <v/>
      </c>
      <c r="Z229" s="239"/>
      <c r="AA229" s="240"/>
      <c r="AE229" s="54" t="str">
        <f t="shared" si="19"/>
        <v/>
      </c>
    </row>
    <row r="230" spans="1:31" x14ac:dyDescent="0.25">
      <c r="A230" s="47" t="str">
        <f>IFERROR(INDEX('G-8 Condition Look up'!$I$4:$I$130,MATCH(F230,'G-8 Condition Look up'!$A$4:$A$130,0)),"")</f>
        <v/>
      </c>
      <c r="C230" s="384" t="str">
        <f>IFERROR(INDEX('G-1 All Habitats'!$AG$3:$AG$15,MATCH(D230,'G-1 All Habitats'!$AF$3:$AF$15,0)),"")</f>
        <v/>
      </c>
      <c r="D230" s="146"/>
      <c r="E230" s="79"/>
      <c r="F230" s="246" t="str">
        <f>IFERROR(INDEX('G-1 All Habitats'!$B$3:$B$129,MATCH(E230,'G-1 All Habitats'!$A$3:$A$129,0)),"")</f>
        <v/>
      </c>
      <c r="G230" s="70"/>
      <c r="H230" s="498" t="str">
        <f>IF(F230="","",VLOOKUP(F230,'G-1 All Habitats'!$B$2:$M$129,10,FALSE))</f>
        <v/>
      </c>
      <c r="I230" s="499" t="str">
        <f>IFERROR(VLOOKUP(H230,'G-1 All Habitats'!$V$3:$W$7,2,FALSE),"")</f>
        <v/>
      </c>
      <c r="J230" s="71"/>
      <c r="K230" s="499" t="str">
        <f>IFERROR(INDEX('G-8 Condition Look up'!$A$3:$H$130,MATCH(F230,'G-8 Condition Look up'!$A$3:$A$130,0),MATCH(J230,'G-8 Condition Look up'!$A$3:$H$3,0)),"")</f>
        <v/>
      </c>
      <c r="L230" s="71"/>
      <c r="M230" s="507" t="str">
        <f>IF(L230="","",IF(VLOOKUP(L230,'G-3 Multipliers'!$L$3:$N$6,2,FALSE)=0,"Spatial Data Missing",VLOOKUP(L230,'G-3 Multipliers'!$L$3:$N$6,2,FALSE)))</f>
        <v/>
      </c>
      <c r="N230" s="505" t="str">
        <f>IF(L230="","",IF(VLOOKUP(L230,'G-3 Multipliers'!$L$3:$N$6,3,FALSE)=0,"Spatial Data Missing",VLOOKUP(L230,'G-3 Multipliers'!$L$3:$N$6,3,FALSE)))</f>
        <v/>
      </c>
      <c r="O230" s="498" t="str">
        <f t="shared" si="18"/>
        <v/>
      </c>
      <c r="P230" s="82"/>
      <c r="Q230" s="82"/>
      <c r="R230" s="507" t="str">
        <f t="shared" si="20"/>
        <v/>
      </c>
      <c r="S230" s="521" t="str">
        <f t="shared" si="21"/>
        <v/>
      </c>
      <c r="T230" s="522" t="str">
        <f>IFERROR(IF(S230="Check Data ⚠","Check Data ⚠",VLOOKUP(S230,'G-4 Temporal multipliers'!$A$4:$C$37,3,FALSE)),"")</f>
        <v/>
      </c>
      <c r="U230" s="523" t="str">
        <f>IF(F230="","",VLOOKUP(F230,'G-3 Multipliers'!$A$2:$E$129,2,FALSE))</f>
        <v/>
      </c>
      <c r="V230" s="520" t="str">
        <f t="shared" si="22"/>
        <v/>
      </c>
      <c r="W230" s="520" t="str">
        <f>IF(E230="","",IF(AND(V230="Standard difficulty applied",O230&gt;P230),U230,IF(AND(V230="Low Difficulty - only applicable if all habitat created before losses",P230&gt;=O230),"Low",VLOOKUP(F230,'G-3 Multipliers'!$A$2:$E$129,4,FALSE))))</f>
        <v/>
      </c>
      <c r="X230" s="524" t="str">
        <f>IFERROR(IF(E230="","",VLOOKUP(W230, 'G-3 Multipliers'!$P$2:$Q$6,2,FALSE)),"")</f>
        <v/>
      </c>
      <c r="Y230" s="529" t="str">
        <f t="shared" si="23"/>
        <v/>
      </c>
      <c r="Z230" s="239"/>
      <c r="AA230" s="240"/>
      <c r="AE230" s="54" t="str">
        <f t="shared" si="19"/>
        <v/>
      </c>
    </row>
    <row r="231" spans="1:31" x14ac:dyDescent="0.25">
      <c r="A231" s="47" t="str">
        <f>IFERROR(INDEX('G-8 Condition Look up'!$I$4:$I$130,MATCH(F231,'G-8 Condition Look up'!$A$4:$A$130,0)),"")</f>
        <v/>
      </c>
      <c r="C231" s="384" t="str">
        <f>IFERROR(INDEX('G-1 All Habitats'!$AG$3:$AG$15,MATCH(D231,'G-1 All Habitats'!$AF$3:$AF$15,0)),"")</f>
        <v/>
      </c>
      <c r="D231" s="146"/>
      <c r="E231" s="79"/>
      <c r="F231" s="246" t="str">
        <f>IFERROR(INDEX('G-1 All Habitats'!$B$3:$B$129,MATCH(E231,'G-1 All Habitats'!$A$3:$A$129,0)),"")</f>
        <v/>
      </c>
      <c r="G231" s="70"/>
      <c r="H231" s="498" t="str">
        <f>IF(F231="","",VLOOKUP(F231,'G-1 All Habitats'!$B$2:$M$129,10,FALSE))</f>
        <v/>
      </c>
      <c r="I231" s="499" t="str">
        <f>IFERROR(VLOOKUP(H231,'G-1 All Habitats'!$V$3:$W$7,2,FALSE),"")</f>
        <v/>
      </c>
      <c r="J231" s="71"/>
      <c r="K231" s="499" t="str">
        <f>IFERROR(INDEX('G-8 Condition Look up'!$A$3:$H$130,MATCH(F231,'G-8 Condition Look up'!$A$3:$A$130,0),MATCH(J231,'G-8 Condition Look up'!$A$3:$H$3,0)),"")</f>
        <v/>
      </c>
      <c r="L231" s="71"/>
      <c r="M231" s="507" t="str">
        <f>IF(L231="","",IF(VLOOKUP(L231,'G-3 Multipliers'!$L$3:$N$6,2,FALSE)=0,"Spatial Data Missing",VLOOKUP(L231,'G-3 Multipliers'!$L$3:$N$6,2,FALSE)))</f>
        <v/>
      </c>
      <c r="N231" s="505" t="str">
        <f>IF(L231="","",IF(VLOOKUP(L231,'G-3 Multipliers'!$L$3:$N$6,3,FALSE)=0,"Spatial Data Missing",VLOOKUP(L231,'G-3 Multipliers'!$L$3:$N$6,3,FALSE)))</f>
        <v/>
      </c>
      <c r="O231" s="498" t="str">
        <f t="shared" si="18"/>
        <v/>
      </c>
      <c r="P231" s="82"/>
      <c r="Q231" s="82"/>
      <c r="R231" s="507" t="str">
        <f t="shared" si="20"/>
        <v/>
      </c>
      <c r="S231" s="521" t="str">
        <f t="shared" si="21"/>
        <v/>
      </c>
      <c r="T231" s="522" t="str">
        <f>IFERROR(IF(S231="Check Data ⚠","Check Data ⚠",VLOOKUP(S231,'G-4 Temporal multipliers'!$A$4:$C$37,3,FALSE)),"")</f>
        <v/>
      </c>
      <c r="U231" s="523" t="str">
        <f>IF(F231="","",VLOOKUP(F231,'G-3 Multipliers'!$A$2:$E$129,2,FALSE))</f>
        <v/>
      </c>
      <c r="V231" s="520" t="str">
        <f t="shared" si="22"/>
        <v/>
      </c>
      <c r="W231" s="520" t="str">
        <f>IF(E231="","",IF(AND(V231="Standard difficulty applied",O231&gt;P231),U231,IF(AND(V231="Low Difficulty - only applicable if all habitat created before losses",P231&gt;=O231),"Low",VLOOKUP(F231,'G-3 Multipliers'!$A$2:$E$129,4,FALSE))))</f>
        <v/>
      </c>
      <c r="X231" s="524" t="str">
        <f>IFERROR(IF(E231="","",VLOOKUP(W231, 'G-3 Multipliers'!$P$2:$Q$6,2,FALSE)),"")</f>
        <v/>
      </c>
      <c r="Y231" s="529" t="str">
        <f t="shared" si="23"/>
        <v/>
      </c>
      <c r="Z231" s="239"/>
      <c r="AA231" s="240"/>
      <c r="AE231" s="54" t="str">
        <f t="shared" si="19"/>
        <v/>
      </c>
    </row>
    <row r="232" spans="1:31" x14ac:dyDescent="0.25">
      <c r="A232" s="47" t="str">
        <f>IFERROR(INDEX('G-8 Condition Look up'!$I$4:$I$130,MATCH(F232,'G-8 Condition Look up'!$A$4:$A$130,0)),"")</f>
        <v/>
      </c>
      <c r="C232" s="384" t="str">
        <f>IFERROR(INDEX('G-1 All Habitats'!$AG$3:$AG$15,MATCH(D232,'G-1 All Habitats'!$AF$3:$AF$15,0)),"")</f>
        <v/>
      </c>
      <c r="D232" s="146"/>
      <c r="E232" s="79"/>
      <c r="F232" s="246" t="str">
        <f>IFERROR(INDEX('G-1 All Habitats'!$B$3:$B$129,MATCH(E232,'G-1 All Habitats'!$A$3:$A$129,0)),"")</f>
        <v/>
      </c>
      <c r="G232" s="70"/>
      <c r="H232" s="498" t="str">
        <f>IF(F232="","",VLOOKUP(F232,'G-1 All Habitats'!$B$2:$M$129,10,FALSE))</f>
        <v/>
      </c>
      <c r="I232" s="499" t="str">
        <f>IFERROR(VLOOKUP(H232,'G-1 All Habitats'!$V$3:$W$7,2,FALSE),"")</f>
        <v/>
      </c>
      <c r="J232" s="71"/>
      <c r="K232" s="499" t="str">
        <f>IFERROR(INDEX('G-8 Condition Look up'!$A$3:$H$130,MATCH(F232,'G-8 Condition Look up'!$A$3:$A$130,0),MATCH(J232,'G-8 Condition Look up'!$A$3:$H$3,0)),"")</f>
        <v/>
      </c>
      <c r="L232" s="71"/>
      <c r="M232" s="507" t="str">
        <f>IF(L232="","",IF(VLOOKUP(L232,'G-3 Multipliers'!$L$3:$N$6,2,FALSE)=0,"Spatial Data Missing",VLOOKUP(L232,'G-3 Multipliers'!$L$3:$N$6,2,FALSE)))</f>
        <v/>
      </c>
      <c r="N232" s="505" t="str">
        <f>IF(L232="","",IF(VLOOKUP(L232,'G-3 Multipliers'!$L$3:$N$6,3,FALSE)=0,"Spatial Data Missing",VLOOKUP(L232,'G-3 Multipliers'!$L$3:$N$6,3,FALSE)))</f>
        <v/>
      </c>
      <c r="O232" s="498" t="str">
        <f t="shared" si="18"/>
        <v/>
      </c>
      <c r="P232" s="82"/>
      <c r="Q232" s="82"/>
      <c r="R232" s="507" t="str">
        <f t="shared" si="20"/>
        <v/>
      </c>
      <c r="S232" s="521" t="str">
        <f t="shared" si="21"/>
        <v/>
      </c>
      <c r="T232" s="522" t="str">
        <f>IFERROR(IF(S232="Check Data ⚠","Check Data ⚠",VLOOKUP(S232,'G-4 Temporal multipliers'!$A$4:$C$37,3,FALSE)),"")</f>
        <v/>
      </c>
      <c r="U232" s="523" t="str">
        <f>IF(F232="","",VLOOKUP(F232,'G-3 Multipliers'!$A$2:$E$129,2,FALSE))</f>
        <v/>
      </c>
      <c r="V232" s="520" t="str">
        <f t="shared" si="22"/>
        <v/>
      </c>
      <c r="W232" s="520" t="str">
        <f>IF(E232="","",IF(AND(V232="Standard difficulty applied",O232&gt;P232),U232,IF(AND(V232="Low Difficulty - only applicable if all habitat created before losses",P232&gt;=O232),"Low",VLOOKUP(F232,'G-3 Multipliers'!$A$2:$E$129,4,FALSE))))</f>
        <v/>
      </c>
      <c r="X232" s="524" t="str">
        <f>IFERROR(IF(E232="","",VLOOKUP(W232, 'G-3 Multipliers'!$P$2:$Q$6,2,FALSE)),"")</f>
        <v/>
      </c>
      <c r="Y232" s="529" t="str">
        <f t="shared" si="23"/>
        <v/>
      </c>
      <c r="Z232" s="239"/>
      <c r="AA232" s="240"/>
      <c r="AE232" s="54" t="str">
        <f t="shared" si="19"/>
        <v/>
      </c>
    </row>
    <row r="233" spans="1:31" x14ac:dyDescent="0.25">
      <c r="A233" s="47" t="str">
        <f>IFERROR(INDEX('G-8 Condition Look up'!$I$4:$I$130,MATCH(F233,'G-8 Condition Look up'!$A$4:$A$130,0)),"")</f>
        <v/>
      </c>
      <c r="C233" s="384" t="str">
        <f>IFERROR(INDEX('G-1 All Habitats'!$AG$3:$AG$15,MATCH(D233,'G-1 All Habitats'!$AF$3:$AF$15,0)),"")</f>
        <v/>
      </c>
      <c r="D233" s="146"/>
      <c r="E233" s="79"/>
      <c r="F233" s="246" t="str">
        <f>IFERROR(INDEX('G-1 All Habitats'!$B$3:$B$129,MATCH(E233,'G-1 All Habitats'!$A$3:$A$129,0)),"")</f>
        <v/>
      </c>
      <c r="G233" s="70"/>
      <c r="H233" s="498" t="str">
        <f>IF(F233="","",VLOOKUP(F233,'G-1 All Habitats'!$B$2:$M$129,10,FALSE))</f>
        <v/>
      </c>
      <c r="I233" s="499" t="str">
        <f>IFERROR(VLOOKUP(H233,'G-1 All Habitats'!$V$3:$W$7,2,FALSE),"")</f>
        <v/>
      </c>
      <c r="J233" s="71"/>
      <c r="K233" s="499" t="str">
        <f>IFERROR(INDEX('G-8 Condition Look up'!$A$3:$H$130,MATCH(F233,'G-8 Condition Look up'!$A$3:$A$130,0),MATCH(J233,'G-8 Condition Look up'!$A$3:$H$3,0)),"")</f>
        <v/>
      </c>
      <c r="L233" s="71"/>
      <c r="M233" s="507" t="str">
        <f>IF(L233="","",IF(VLOOKUP(L233,'G-3 Multipliers'!$L$3:$N$6,2,FALSE)=0,"Spatial Data Missing",VLOOKUP(L233,'G-3 Multipliers'!$L$3:$N$6,2,FALSE)))</f>
        <v/>
      </c>
      <c r="N233" s="505" t="str">
        <f>IF(L233="","",IF(VLOOKUP(L233,'G-3 Multipliers'!$L$3:$N$6,3,FALSE)=0,"Spatial Data Missing",VLOOKUP(L233,'G-3 Multipliers'!$L$3:$N$6,3,FALSE)))</f>
        <v/>
      </c>
      <c r="O233" s="498" t="str">
        <f t="shared" si="18"/>
        <v/>
      </c>
      <c r="P233" s="82"/>
      <c r="Q233" s="82"/>
      <c r="R233" s="507" t="str">
        <f t="shared" si="20"/>
        <v/>
      </c>
      <c r="S233" s="521" t="str">
        <f t="shared" si="21"/>
        <v/>
      </c>
      <c r="T233" s="522" t="str">
        <f>IFERROR(IF(S233="Check Data ⚠","Check Data ⚠",VLOOKUP(S233,'G-4 Temporal multipliers'!$A$4:$C$37,3,FALSE)),"")</f>
        <v/>
      </c>
      <c r="U233" s="523" t="str">
        <f>IF(F233="","",VLOOKUP(F233,'G-3 Multipliers'!$A$2:$E$129,2,FALSE))</f>
        <v/>
      </c>
      <c r="V233" s="520" t="str">
        <f t="shared" si="22"/>
        <v/>
      </c>
      <c r="W233" s="520" t="str">
        <f>IF(E233="","",IF(AND(V233="Standard difficulty applied",O233&gt;P233),U233,IF(AND(V233="Low Difficulty - only applicable if all habitat created before losses",P233&gt;=O233),"Low",VLOOKUP(F233,'G-3 Multipliers'!$A$2:$E$129,4,FALSE))))</f>
        <v/>
      </c>
      <c r="X233" s="524" t="str">
        <f>IFERROR(IF(E233="","",VLOOKUP(W233, 'G-3 Multipliers'!$P$2:$Q$6,2,FALSE)),"")</f>
        <v/>
      </c>
      <c r="Y233" s="529" t="str">
        <f t="shared" si="23"/>
        <v/>
      </c>
      <c r="Z233" s="239"/>
      <c r="AA233" s="240"/>
      <c r="AE233" s="54" t="str">
        <f t="shared" si="19"/>
        <v/>
      </c>
    </row>
    <row r="234" spans="1:31" x14ac:dyDescent="0.25">
      <c r="A234" s="47" t="str">
        <f>IFERROR(INDEX('G-8 Condition Look up'!$I$4:$I$130,MATCH(F234,'G-8 Condition Look up'!$A$4:$A$130,0)),"")</f>
        <v/>
      </c>
      <c r="C234" s="384" t="str">
        <f>IFERROR(INDEX('G-1 All Habitats'!$AG$3:$AG$15,MATCH(D234,'G-1 All Habitats'!$AF$3:$AF$15,0)),"")</f>
        <v/>
      </c>
      <c r="D234" s="146"/>
      <c r="E234" s="79"/>
      <c r="F234" s="246" t="str">
        <f>IFERROR(INDEX('G-1 All Habitats'!$B$3:$B$129,MATCH(E234,'G-1 All Habitats'!$A$3:$A$129,0)),"")</f>
        <v/>
      </c>
      <c r="G234" s="70"/>
      <c r="H234" s="498" t="str">
        <f>IF(F234="","",VLOOKUP(F234,'G-1 All Habitats'!$B$2:$M$129,10,FALSE))</f>
        <v/>
      </c>
      <c r="I234" s="499" t="str">
        <f>IFERROR(VLOOKUP(H234,'G-1 All Habitats'!$V$3:$W$7,2,FALSE),"")</f>
        <v/>
      </c>
      <c r="J234" s="71"/>
      <c r="K234" s="499" t="str">
        <f>IFERROR(INDEX('G-8 Condition Look up'!$A$3:$H$130,MATCH(F234,'G-8 Condition Look up'!$A$3:$A$130,0),MATCH(J234,'G-8 Condition Look up'!$A$3:$H$3,0)),"")</f>
        <v/>
      </c>
      <c r="L234" s="71"/>
      <c r="M234" s="507" t="str">
        <f>IF(L234="","",IF(VLOOKUP(L234,'G-3 Multipliers'!$L$3:$N$6,2,FALSE)=0,"Spatial Data Missing",VLOOKUP(L234,'G-3 Multipliers'!$L$3:$N$6,2,FALSE)))</f>
        <v/>
      </c>
      <c r="N234" s="505" t="str">
        <f>IF(L234="","",IF(VLOOKUP(L234,'G-3 Multipliers'!$L$3:$N$6,3,FALSE)=0,"Spatial Data Missing",VLOOKUP(L234,'G-3 Multipliers'!$L$3:$N$6,3,FALSE)))</f>
        <v/>
      </c>
      <c r="O234" s="498" t="str">
        <f t="shared" si="18"/>
        <v/>
      </c>
      <c r="P234" s="82"/>
      <c r="Q234" s="82"/>
      <c r="R234" s="507" t="str">
        <f t="shared" si="20"/>
        <v/>
      </c>
      <c r="S234" s="521" t="str">
        <f t="shared" si="21"/>
        <v/>
      </c>
      <c r="T234" s="522" t="str">
        <f>IFERROR(IF(S234="Check Data ⚠","Check Data ⚠",VLOOKUP(S234,'G-4 Temporal multipliers'!$A$4:$C$37,3,FALSE)),"")</f>
        <v/>
      </c>
      <c r="U234" s="523" t="str">
        <f>IF(F234="","",VLOOKUP(F234,'G-3 Multipliers'!$A$2:$E$129,2,FALSE))</f>
        <v/>
      </c>
      <c r="V234" s="520" t="str">
        <f t="shared" si="22"/>
        <v/>
      </c>
      <c r="W234" s="520" t="str">
        <f>IF(E234="","",IF(AND(V234="Standard difficulty applied",O234&gt;P234),U234,IF(AND(V234="Low Difficulty - only applicable if all habitat created before losses",P234&gt;=O234),"Low",VLOOKUP(F234,'G-3 Multipliers'!$A$2:$E$129,4,FALSE))))</f>
        <v/>
      </c>
      <c r="X234" s="524" t="str">
        <f>IFERROR(IF(E234="","",VLOOKUP(W234, 'G-3 Multipliers'!$P$2:$Q$6,2,FALSE)),"")</f>
        <v/>
      </c>
      <c r="Y234" s="529" t="str">
        <f t="shared" si="23"/>
        <v/>
      </c>
      <c r="Z234" s="239"/>
      <c r="AA234" s="240"/>
      <c r="AE234" s="54" t="str">
        <f t="shared" si="19"/>
        <v/>
      </c>
    </row>
    <row r="235" spans="1:31" x14ac:dyDescent="0.25">
      <c r="A235" s="47" t="str">
        <f>IFERROR(INDEX('G-8 Condition Look up'!$I$4:$I$130,MATCH(F235,'G-8 Condition Look up'!$A$4:$A$130,0)),"")</f>
        <v/>
      </c>
      <c r="C235" s="384" t="str">
        <f>IFERROR(INDEX('G-1 All Habitats'!$AG$3:$AG$15,MATCH(D235,'G-1 All Habitats'!$AF$3:$AF$15,0)),"")</f>
        <v/>
      </c>
      <c r="D235" s="146"/>
      <c r="E235" s="79"/>
      <c r="F235" s="246" t="str">
        <f>IFERROR(INDEX('G-1 All Habitats'!$B$3:$B$129,MATCH(E235,'G-1 All Habitats'!$A$3:$A$129,0)),"")</f>
        <v/>
      </c>
      <c r="G235" s="70"/>
      <c r="H235" s="498" t="str">
        <f>IF(F235="","",VLOOKUP(F235,'G-1 All Habitats'!$B$2:$M$129,10,FALSE))</f>
        <v/>
      </c>
      <c r="I235" s="499" t="str">
        <f>IFERROR(VLOOKUP(H235,'G-1 All Habitats'!$V$3:$W$7,2,FALSE),"")</f>
        <v/>
      </c>
      <c r="J235" s="71"/>
      <c r="K235" s="499" t="str">
        <f>IFERROR(INDEX('G-8 Condition Look up'!$A$3:$H$130,MATCH(F235,'G-8 Condition Look up'!$A$3:$A$130,0),MATCH(J235,'G-8 Condition Look up'!$A$3:$H$3,0)),"")</f>
        <v/>
      </c>
      <c r="L235" s="71"/>
      <c r="M235" s="507" t="str">
        <f>IF(L235="","",IF(VLOOKUP(L235,'G-3 Multipliers'!$L$3:$N$6,2,FALSE)=0,"Spatial Data Missing",VLOOKUP(L235,'G-3 Multipliers'!$L$3:$N$6,2,FALSE)))</f>
        <v/>
      </c>
      <c r="N235" s="505" t="str">
        <f>IF(L235="","",IF(VLOOKUP(L235,'G-3 Multipliers'!$L$3:$N$6,3,FALSE)=0,"Spatial Data Missing",VLOOKUP(L235,'G-3 Multipliers'!$L$3:$N$6,3,FALSE)))</f>
        <v/>
      </c>
      <c r="O235" s="498" t="str">
        <f t="shared" si="18"/>
        <v/>
      </c>
      <c r="P235" s="82"/>
      <c r="Q235" s="82"/>
      <c r="R235" s="507" t="str">
        <f t="shared" si="20"/>
        <v/>
      </c>
      <c r="S235" s="521" t="str">
        <f t="shared" si="21"/>
        <v/>
      </c>
      <c r="T235" s="522" t="str">
        <f>IFERROR(IF(S235="Check Data ⚠","Check Data ⚠",VLOOKUP(S235,'G-4 Temporal multipliers'!$A$4:$C$37,3,FALSE)),"")</f>
        <v/>
      </c>
      <c r="U235" s="523" t="str">
        <f>IF(F235="","",VLOOKUP(F235,'G-3 Multipliers'!$A$2:$E$129,2,FALSE))</f>
        <v/>
      </c>
      <c r="V235" s="520" t="str">
        <f t="shared" si="22"/>
        <v/>
      </c>
      <c r="W235" s="520" t="str">
        <f>IF(E235="","",IF(AND(V235="Standard difficulty applied",O235&gt;P235),U235,IF(AND(V235="Low Difficulty - only applicable if all habitat created before losses",P235&gt;=O235),"Low",VLOOKUP(F235,'G-3 Multipliers'!$A$2:$E$129,4,FALSE))))</f>
        <v/>
      </c>
      <c r="X235" s="524" t="str">
        <f>IFERROR(IF(E235="","",VLOOKUP(W235, 'G-3 Multipliers'!$P$2:$Q$6,2,FALSE)),"")</f>
        <v/>
      </c>
      <c r="Y235" s="529" t="str">
        <f t="shared" si="23"/>
        <v/>
      </c>
      <c r="Z235" s="239"/>
      <c r="AA235" s="240"/>
      <c r="AE235" s="54" t="str">
        <f t="shared" si="19"/>
        <v/>
      </c>
    </row>
    <row r="236" spans="1:31" x14ac:dyDescent="0.25">
      <c r="A236" s="47" t="str">
        <f>IFERROR(INDEX('G-8 Condition Look up'!$I$4:$I$130,MATCH(F236,'G-8 Condition Look up'!$A$4:$A$130,0)),"")</f>
        <v/>
      </c>
      <c r="C236" s="384" t="str">
        <f>IFERROR(INDEX('G-1 All Habitats'!$AG$3:$AG$15,MATCH(D236,'G-1 All Habitats'!$AF$3:$AF$15,0)),"")</f>
        <v/>
      </c>
      <c r="D236" s="146"/>
      <c r="E236" s="79"/>
      <c r="F236" s="246" t="str">
        <f>IFERROR(INDEX('G-1 All Habitats'!$B$3:$B$129,MATCH(E236,'G-1 All Habitats'!$A$3:$A$129,0)),"")</f>
        <v/>
      </c>
      <c r="G236" s="70"/>
      <c r="H236" s="498" t="str">
        <f>IF(F236="","",VLOOKUP(F236,'G-1 All Habitats'!$B$2:$M$129,10,FALSE))</f>
        <v/>
      </c>
      <c r="I236" s="499" t="str">
        <f>IFERROR(VLOOKUP(H236,'G-1 All Habitats'!$V$3:$W$7,2,FALSE),"")</f>
        <v/>
      </c>
      <c r="J236" s="71"/>
      <c r="K236" s="499" t="str">
        <f>IFERROR(INDEX('G-8 Condition Look up'!$A$3:$H$130,MATCH(F236,'G-8 Condition Look up'!$A$3:$A$130,0),MATCH(J236,'G-8 Condition Look up'!$A$3:$H$3,0)),"")</f>
        <v/>
      </c>
      <c r="L236" s="71"/>
      <c r="M236" s="507" t="str">
        <f>IF(L236="","",IF(VLOOKUP(L236,'G-3 Multipliers'!$L$3:$N$6,2,FALSE)=0,"Spatial Data Missing",VLOOKUP(L236,'G-3 Multipliers'!$L$3:$N$6,2,FALSE)))</f>
        <v/>
      </c>
      <c r="N236" s="505" t="str">
        <f>IF(L236="","",IF(VLOOKUP(L236,'G-3 Multipliers'!$L$3:$N$6,3,FALSE)=0,"Spatial Data Missing",VLOOKUP(L236,'G-3 Multipliers'!$L$3:$N$6,3,FALSE)))</f>
        <v/>
      </c>
      <c r="O236" s="498" t="str">
        <f t="shared" si="18"/>
        <v/>
      </c>
      <c r="P236" s="82"/>
      <c r="Q236" s="82"/>
      <c r="R236" s="507" t="str">
        <f t="shared" si="20"/>
        <v/>
      </c>
      <c r="S236" s="521" t="str">
        <f t="shared" si="21"/>
        <v/>
      </c>
      <c r="T236" s="522" t="str">
        <f>IFERROR(IF(S236="Check Data ⚠","Check Data ⚠",VLOOKUP(S236,'G-4 Temporal multipliers'!$A$4:$C$37,3,FALSE)),"")</f>
        <v/>
      </c>
      <c r="U236" s="523" t="str">
        <f>IF(F236="","",VLOOKUP(F236,'G-3 Multipliers'!$A$2:$E$129,2,FALSE))</f>
        <v/>
      </c>
      <c r="V236" s="520" t="str">
        <f t="shared" si="22"/>
        <v/>
      </c>
      <c r="W236" s="520" t="str">
        <f>IF(E236="","",IF(AND(V236="Standard difficulty applied",O236&gt;P236),U236,IF(AND(V236="Low Difficulty - only applicable if all habitat created before losses",P236&gt;=O236),"Low",VLOOKUP(F236,'G-3 Multipliers'!$A$2:$E$129,4,FALSE))))</f>
        <v/>
      </c>
      <c r="X236" s="524" t="str">
        <f>IFERROR(IF(E236="","",VLOOKUP(W236, 'G-3 Multipliers'!$P$2:$Q$6,2,FALSE)),"")</f>
        <v/>
      </c>
      <c r="Y236" s="529" t="str">
        <f t="shared" si="23"/>
        <v/>
      </c>
      <c r="Z236" s="239"/>
      <c r="AA236" s="240"/>
      <c r="AE236" s="54" t="str">
        <f t="shared" si="19"/>
        <v/>
      </c>
    </row>
    <row r="237" spans="1:31" x14ac:dyDescent="0.25">
      <c r="A237" s="47" t="str">
        <f>IFERROR(INDEX('G-8 Condition Look up'!$I$4:$I$130,MATCH(F237,'G-8 Condition Look up'!$A$4:$A$130,0)),"")</f>
        <v/>
      </c>
      <c r="C237" s="384" t="str">
        <f>IFERROR(INDEX('G-1 All Habitats'!$AG$3:$AG$15,MATCH(D237,'G-1 All Habitats'!$AF$3:$AF$15,0)),"")</f>
        <v/>
      </c>
      <c r="D237" s="146"/>
      <c r="E237" s="79"/>
      <c r="F237" s="246" t="str">
        <f>IFERROR(INDEX('G-1 All Habitats'!$B$3:$B$129,MATCH(E237,'G-1 All Habitats'!$A$3:$A$129,0)),"")</f>
        <v/>
      </c>
      <c r="G237" s="70"/>
      <c r="H237" s="498" t="str">
        <f>IF(F237="","",VLOOKUP(F237,'G-1 All Habitats'!$B$2:$M$129,10,FALSE))</f>
        <v/>
      </c>
      <c r="I237" s="499" t="str">
        <f>IFERROR(VLOOKUP(H237,'G-1 All Habitats'!$V$3:$W$7,2,FALSE),"")</f>
        <v/>
      </c>
      <c r="J237" s="71"/>
      <c r="K237" s="499" t="str">
        <f>IFERROR(INDEX('G-8 Condition Look up'!$A$3:$H$130,MATCH(F237,'G-8 Condition Look up'!$A$3:$A$130,0),MATCH(J237,'G-8 Condition Look up'!$A$3:$H$3,0)),"")</f>
        <v/>
      </c>
      <c r="L237" s="71"/>
      <c r="M237" s="507" t="str">
        <f>IF(L237="","",IF(VLOOKUP(L237,'G-3 Multipliers'!$L$3:$N$6,2,FALSE)=0,"Spatial Data Missing",VLOOKUP(L237,'G-3 Multipliers'!$L$3:$N$6,2,FALSE)))</f>
        <v/>
      </c>
      <c r="N237" s="505" t="str">
        <f>IF(L237="","",IF(VLOOKUP(L237,'G-3 Multipliers'!$L$3:$N$6,3,FALSE)=0,"Spatial Data Missing",VLOOKUP(L237,'G-3 Multipliers'!$L$3:$N$6,3,FALSE)))</f>
        <v/>
      </c>
      <c r="O237" s="498" t="str">
        <f t="shared" si="18"/>
        <v/>
      </c>
      <c r="P237" s="82"/>
      <c r="Q237" s="82"/>
      <c r="R237" s="507" t="str">
        <f t="shared" si="20"/>
        <v/>
      </c>
      <c r="S237" s="521" t="str">
        <f t="shared" si="21"/>
        <v/>
      </c>
      <c r="T237" s="522" t="str">
        <f>IFERROR(IF(S237="Check Data ⚠","Check Data ⚠",VLOOKUP(S237,'G-4 Temporal multipliers'!$A$4:$C$37,3,FALSE)),"")</f>
        <v/>
      </c>
      <c r="U237" s="523" t="str">
        <f>IF(F237="","",VLOOKUP(F237,'G-3 Multipliers'!$A$2:$E$129,2,FALSE))</f>
        <v/>
      </c>
      <c r="V237" s="520" t="str">
        <f t="shared" si="22"/>
        <v/>
      </c>
      <c r="W237" s="520" t="str">
        <f>IF(E237="","",IF(AND(V237="Standard difficulty applied",O237&gt;P237),U237,IF(AND(V237="Low Difficulty - only applicable if all habitat created before losses",P237&gt;=O237),"Low",VLOOKUP(F237,'G-3 Multipliers'!$A$2:$E$129,4,FALSE))))</f>
        <v/>
      </c>
      <c r="X237" s="524" t="str">
        <f>IFERROR(IF(E237="","",VLOOKUP(W237, 'G-3 Multipliers'!$P$2:$Q$6,2,FALSE)),"")</f>
        <v/>
      </c>
      <c r="Y237" s="529" t="str">
        <f t="shared" si="23"/>
        <v/>
      </c>
      <c r="Z237" s="239"/>
      <c r="AA237" s="240"/>
      <c r="AE237" s="54" t="str">
        <f t="shared" si="19"/>
        <v/>
      </c>
    </row>
    <row r="238" spans="1:31" x14ac:dyDescent="0.25">
      <c r="A238" s="47" t="str">
        <f>IFERROR(INDEX('G-8 Condition Look up'!$I$4:$I$130,MATCH(F238,'G-8 Condition Look up'!$A$4:$A$130,0)),"")</f>
        <v/>
      </c>
      <c r="C238" s="384" t="str">
        <f>IFERROR(INDEX('G-1 All Habitats'!$AG$3:$AG$15,MATCH(D238,'G-1 All Habitats'!$AF$3:$AF$15,0)),"")</f>
        <v/>
      </c>
      <c r="D238" s="146"/>
      <c r="E238" s="79"/>
      <c r="F238" s="246" t="str">
        <f>IFERROR(INDEX('G-1 All Habitats'!$B$3:$B$129,MATCH(E238,'G-1 All Habitats'!$A$3:$A$129,0)),"")</f>
        <v/>
      </c>
      <c r="G238" s="70"/>
      <c r="H238" s="498" t="str">
        <f>IF(F238="","",VLOOKUP(F238,'G-1 All Habitats'!$B$2:$M$129,10,FALSE))</f>
        <v/>
      </c>
      <c r="I238" s="499" t="str">
        <f>IFERROR(VLOOKUP(H238,'G-1 All Habitats'!$V$3:$W$7,2,FALSE),"")</f>
        <v/>
      </c>
      <c r="J238" s="71"/>
      <c r="K238" s="499" t="str">
        <f>IFERROR(INDEX('G-8 Condition Look up'!$A$3:$H$130,MATCH(F238,'G-8 Condition Look up'!$A$3:$A$130,0),MATCH(J238,'G-8 Condition Look up'!$A$3:$H$3,0)),"")</f>
        <v/>
      </c>
      <c r="L238" s="71"/>
      <c r="M238" s="507" t="str">
        <f>IF(L238="","",IF(VLOOKUP(L238,'G-3 Multipliers'!$L$3:$N$6,2,FALSE)=0,"Spatial Data Missing",VLOOKUP(L238,'G-3 Multipliers'!$L$3:$N$6,2,FALSE)))</f>
        <v/>
      </c>
      <c r="N238" s="505" t="str">
        <f>IF(L238="","",IF(VLOOKUP(L238,'G-3 Multipliers'!$L$3:$N$6,3,FALSE)=0,"Spatial Data Missing",VLOOKUP(L238,'G-3 Multipliers'!$L$3:$N$6,3,FALSE)))</f>
        <v/>
      </c>
      <c r="O238" s="498" t="str">
        <f t="shared" si="18"/>
        <v/>
      </c>
      <c r="P238" s="82"/>
      <c r="Q238" s="82"/>
      <c r="R238" s="507" t="str">
        <f t="shared" si="20"/>
        <v/>
      </c>
      <c r="S238" s="521" t="str">
        <f t="shared" si="21"/>
        <v/>
      </c>
      <c r="T238" s="522" t="str">
        <f>IFERROR(IF(S238="Check Data ⚠","Check Data ⚠",VLOOKUP(S238,'G-4 Temporal multipliers'!$A$4:$C$37,3,FALSE)),"")</f>
        <v/>
      </c>
      <c r="U238" s="523" t="str">
        <f>IF(F238="","",VLOOKUP(F238,'G-3 Multipliers'!$A$2:$E$129,2,FALSE))</f>
        <v/>
      </c>
      <c r="V238" s="520" t="str">
        <f t="shared" si="22"/>
        <v/>
      </c>
      <c r="W238" s="520" t="str">
        <f>IF(E238="","",IF(AND(V238="Standard difficulty applied",O238&gt;P238),U238,IF(AND(V238="Low Difficulty - only applicable if all habitat created before losses",P238&gt;=O238),"Low",VLOOKUP(F238,'G-3 Multipliers'!$A$2:$E$129,4,FALSE))))</f>
        <v/>
      </c>
      <c r="X238" s="524" t="str">
        <f>IFERROR(IF(E238="","",VLOOKUP(W238, 'G-3 Multipliers'!$P$2:$Q$6,2,FALSE)),"")</f>
        <v/>
      </c>
      <c r="Y238" s="529" t="str">
        <f t="shared" si="23"/>
        <v/>
      </c>
      <c r="Z238" s="239"/>
      <c r="AA238" s="240"/>
      <c r="AE238" s="54" t="str">
        <f t="shared" si="19"/>
        <v/>
      </c>
    </row>
    <row r="239" spans="1:31" x14ac:dyDescent="0.25">
      <c r="A239" s="47" t="str">
        <f>IFERROR(INDEX('G-8 Condition Look up'!$I$4:$I$130,MATCH(F239,'G-8 Condition Look up'!$A$4:$A$130,0)),"")</f>
        <v/>
      </c>
      <c r="C239" s="384" t="str">
        <f>IFERROR(INDEX('G-1 All Habitats'!$AG$3:$AG$15,MATCH(D239,'G-1 All Habitats'!$AF$3:$AF$15,0)),"")</f>
        <v/>
      </c>
      <c r="D239" s="146"/>
      <c r="E239" s="79"/>
      <c r="F239" s="246" t="str">
        <f>IFERROR(INDEX('G-1 All Habitats'!$B$3:$B$129,MATCH(E239,'G-1 All Habitats'!$A$3:$A$129,0)),"")</f>
        <v/>
      </c>
      <c r="G239" s="70"/>
      <c r="H239" s="498" t="str">
        <f>IF(F239="","",VLOOKUP(F239,'G-1 All Habitats'!$B$2:$M$129,10,FALSE))</f>
        <v/>
      </c>
      <c r="I239" s="499" t="str">
        <f>IFERROR(VLOOKUP(H239,'G-1 All Habitats'!$V$3:$W$7,2,FALSE),"")</f>
        <v/>
      </c>
      <c r="J239" s="71"/>
      <c r="K239" s="499" t="str">
        <f>IFERROR(INDEX('G-8 Condition Look up'!$A$3:$H$130,MATCH(F239,'G-8 Condition Look up'!$A$3:$A$130,0),MATCH(J239,'G-8 Condition Look up'!$A$3:$H$3,0)),"")</f>
        <v/>
      </c>
      <c r="L239" s="71"/>
      <c r="M239" s="507" t="str">
        <f>IF(L239="","",IF(VLOOKUP(L239,'G-3 Multipliers'!$L$3:$N$6,2,FALSE)=0,"Spatial Data Missing",VLOOKUP(L239,'G-3 Multipliers'!$L$3:$N$6,2,FALSE)))</f>
        <v/>
      </c>
      <c r="N239" s="505" t="str">
        <f>IF(L239="","",IF(VLOOKUP(L239,'G-3 Multipliers'!$L$3:$N$6,3,FALSE)=0,"Spatial Data Missing",VLOOKUP(L239,'G-3 Multipliers'!$L$3:$N$6,3,FALSE)))</f>
        <v/>
      </c>
      <c r="O239" s="498" t="str">
        <f t="shared" si="18"/>
        <v/>
      </c>
      <c r="P239" s="82"/>
      <c r="Q239" s="82"/>
      <c r="R239" s="507" t="str">
        <f t="shared" si="20"/>
        <v/>
      </c>
      <c r="S239" s="521" t="str">
        <f t="shared" si="21"/>
        <v/>
      </c>
      <c r="T239" s="522" t="str">
        <f>IFERROR(IF(S239="Check Data ⚠","Check Data ⚠",VLOOKUP(S239,'G-4 Temporal multipliers'!$A$4:$C$37,3,FALSE)),"")</f>
        <v/>
      </c>
      <c r="U239" s="523" t="str">
        <f>IF(F239="","",VLOOKUP(F239,'G-3 Multipliers'!$A$2:$E$129,2,FALSE))</f>
        <v/>
      </c>
      <c r="V239" s="520" t="str">
        <f t="shared" si="22"/>
        <v/>
      </c>
      <c r="W239" s="520" t="str">
        <f>IF(E239="","",IF(AND(V239="Standard difficulty applied",O239&gt;P239),U239,IF(AND(V239="Low Difficulty - only applicable if all habitat created before losses",P239&gt;=O239),"Low",VLOOKUP(F239,'G-3 Multipliers'!$A$2:$E$129,4,FALSE))))</f>
        <v/>
      </c>
      <c r="X239" s="524" t="str">
        <f>IFERROR(IF(E239="","",VLOOKUP(W239, 'G-3 Multipliers'!$P$2:$Q$6,2,FALSE)),"")</f>
        <v/>
      </c>
      <c r="Y239" s="529" t="str">
        <f t="shared" si="23"/>
        <v/>
      </c>
      <c r="Z239" s="239"/>
      <c r="AA239" s="240"/>
      <c r="AE239" s="54" t="str">
        <f t="shared" si="19"/>
        <v/>
      </c>
    </row>
    <row r="240" spans="1:31" x14ac:dyDescent="0.25">
      <c r="A240" s="47" t="str">
        <f>IFERROR(INDEX('G-8 Condition Look up'!$I$4:$I$130,MATCH(F240,'G-8 Condition Look up'!$A$4:$A$130,0)),"")</f>
        <v/>
      </c>
      <c r="C240" s="384" t="str">
        <f>IFERROR(INDEX('G-1 All Habitats'!$AG$3:$AG$15,MATCH(D240,'G-1 All Habitats'!$AF$3:$AF$15,0)),"")</f>
        <v/>
      </c>
      <c r="D240" s="146"/>
      <c r="E240" s="79"/>
      <c r="F240" s="246" t="str">
        <f>IFERROR(INDEX('G-1 All Habitats'!$B$3:$B$129,MATCH(E240,'G-1 All Habitats'!$A$3:$A$129,0)),"")</f>
        <v/>
      </c>
      <c r="G240" s="70"/>
      <c r="H240" s="498" t="str">
        <f>IF(F240="","",VLOOKUP(F240,'G-1 All Habitats'!$B$2:$M$129,10,FALSE))</f>
        <v/>
      </c>
      <c r="I240" s="499" t="str">
        <f>IFERROR(VLOOKUP(H240,'G-1 All Habitats'!$V$3:$W$7,2,FALSE),"")</f>
        <v/>
      </c>
      <c r="J240" s="71"/>
      <c r="K240" s="499" t="str">
        <f>IFERROR(INDEX('G-8 Condition Look up'!$A$3:$H$130,MATCH(F240,'G-8 Condition Look up'!$A$3:$A$130,0),MATCH(J240,'G-8 Condition Look up'!$A$3:$H$3,0)),"")</f>
        <v/>
      </c>
      <c r="L240" s="71"/>
      <c r="M240" s="507" t="str">
        <f>IF(L240="","",IF(VLOOKUP(L240,'G-3 Multipliers'!$L$3:$N$6,2,FALSE)=0,"Spatial Data Missing",VLOOKUP(L240,'G-3 Multipliers'!$L$3:$N$6,2,FALSE)))</f>
        <v/>
      </c>
      <c r="N240" s="505" t="str">
        <f>IF(L240="","",IF(VLOOKUP(L240,'G-3 Multipliers'!$L$3:$N$6,3,FALSE)=0,"Spatial Data Missing",VLOOKUP(L240,'G-3 Multipliers'!$L$3:$N$6,3,FALSE)))</f>
        <v/>
      </c>
      <c r="O240" s="498" t="str">
        <f t="shared" si="18"/>
        <v/>
      </c>
      <c r="P240" s="82"/>
      <c r="Q240" s="82"/>
      <c r="R240" s="507" t="str">
        <f t="shared" si="20"/>
        <v/>
      </c>
      <c r="S240" s="521" t="str">
        <f t="shared" si="21"/>
        <v/>
      </c>
      <c r="T240" s="522" t="str">
        <f>IFERROR(IF(S240="Check Data ⚠","Check Data ⚠",VLOOKUP(S240,'G-4 Temporal multipliers'!$A$4:$C$37,3,FALSE)),"")</f>
        <v/>
      </c>
      <c r="U240" s="523" t="str">
        <f>IF(F240="","",VLOOKUP(F240,'G-3 Multipliers'!$A$2:$E$129,2,FALSE))</f>
        <v/>
      </c>
      <c r="V240" s="520" t="str">
        <f t="shared" si="22"/>
        <v/>
      </c>
      <c r="W240" s="520" t="str">
        <f>IF(E240="","",IF(AND(V240="Standard difficulty applied",O240&gt;P240),U240,IF(AND(V240="Low Difficulty - only applicable if all habitat created before losses",P240&gt;=O240),"Low",VLOOKUP(F240,'G-3 Multipliers'!$A$2:$E$129,4,FALSE))))</f>
        <v/>
      </c>
      <c r="X240" s="524" t="str">
        <f>IFERROR(IF(E240="","",VLOOKUP(W240, 'G-3 Multipliers'!$P$2:$Q$6,2,FALSE)),"")</f>
        <v/>
      </c>
      <c r="Y240" s="529" t="str">
        <f t="shared" si="23"/>
        <v/>
      </c>
      <c r="Z240" s="239"/>
      <c r="AA240" s="240"/>
      <c r="AE240" s="54" t="str">
        <f t="shared" si="19"/>
        <v/>
      </c>
    </row>
    <row r="241" spans="1:31" x14ac:dyDescent="0.25">
      <c r="A241" s="47" t="str">
        <f>IFERROR(INDEX('G-8 Condition Look up'!$I$4:$I$130,MATCH(F241,'G-8 Condition Look up'!$A$4:$A$130,0)),"")</f>
        <v/>
      </c>
      <c r="C241" s="384" t="str">
        <f>IFERROR(INDEX('G-1 All Habitats'!$AG$3:$AG$15,MATCH(D241,'G-1 All Habitats'!$AF$3:$AF$15,0)),"")</f>
        <v/>
      </c>
      <c r="D241" s="146"/>
      <c r="E241" s="79"/>
      <c r="F241" s="246" t="str">
        <f>IFERROR(INDEX('G-1 All Habitats'!$B$3:$B$129,MATCH(E241,'G-1 All Habitats'!$A$3:$A$129,0)),"")</f>
        <v/>
      </c>
      <c r="G241" s="70"/>
      <c r="H241" s="498" t="str">
        <f>IF(F241="","",VLOOKUP(F241,'G-1 All Habitats'!$B$2:$M$129,10,FALSE))</f>
        <v/>
      </c>
      <c r="I241" s="499" t="str">
        <f>IFERROR(VLOOKUP(H241,'G-1 All Habitats'!$V$3:$W$7,2,FALSE),"")</f>
        <v/>
      </c>
      <c r="J241" s="71"/>
      <c r="K241" s="499" t="str">
        <f>IFERROR(INDEX('G-8 Condition Look up'!$A$3:$H$130,MATCH(F241,'G-8 Condition Look up'!$A$3:$A$130,0),MATCH(J241,'G-8 Condition Look up'!$A$3:$H$3,0)),"")</f>
        <v/>
      </c>
      <c r="L241" s="71"/>
      <c r="M241" s="507" t="str">
        <f>IF(L241="","",IF(VLOOKUP(L241,'G-3 Multipliers'!$L$3:$N$6,2,FALSE)=0,"Spatial Data Missing",VLOOKUP(L241,'G-3 Multipliers'!$L$3:$N$6,2,FALSE)))</f>
        <v/>
      </c>
      <c r="N241" s="505" t="str">
        <f>IF(L241="","",IF(VLOOKUP(L241,'G-3 Multipliers'!$L$3:$N$6,3,FALSE)=0,"Spatial Data Missing",VLOOKUP(L241,'G-3 Multipliers'!$L$3:$N$6,3,FALSE)))</f>
        <v/>
      </c>
      <c r="O241" s="498" t="str">
        <f t="shared" si="18"/>
        <v/>
      </c>
      <c r="P241" s="82"/>
      <c r="Q241" s="82"/>
      <c r="R241" s="507" t="str">
        <f t="shared" si="20"/>
        <v/>
      </c>
      <c r="S241" s="521" t="str">
        <f t="shared" si="21"/>
        <v/>
      </c>
      <c r="T241" s="522" t="str">
        <f>IFERROR(IF(S241="Check Data ⚠","Check Data ⚠",VLOOKUP(S241,'G-4 Temporal multipliers'!$A$4:$C$37,3,FALSE)),"")</f>
        <v/>
      </c>
      <c r="U241" s="523" t="str">
        <f>IF(F241="","",VLOOKUP(F241,'G-3 Multipliers'!$A$2:$E$129,2,FALSE))</f>
        <v/>
      </c>
      <c r="V241" s="520" t="str">
        <f t="shared" si="22"/>
        <v/>
      </c>
      <c r="W241" s="520" t="str">
        <f>IF(E241="","",IF(AND(V241="Standard difficulty applied",O241&gt;P241),U241,IF(AND(V241="Low Difficulty - only applicable if all habitat created before losses",P241&gt;=O241),"Low",VLOOKUP(F241,'G-3 Multipliers'!$A$2:$E$129,4,FALSE))))</f>
        <v/>
      </c>
      <c r="X241" s="524" t="str">
        <f>IFERROR(IF(E241="","",VLOOKUP(W241, 'G-3 Multipliers'!$P$2:$Q$6,2,FALSE)),"")</f>
        <v/>
      </c>
      <c r="Y241" s="529" t="str">
        <f t="shared" si="23"/>
        <v/>
      </c>
      <c r="Z241" s="239"/>
      <c r="AA241" s="240"/>
      <c r="AE241" s="54" t="str">
        <f t="shared" si="19"/>
        <v/>
      </c>
    </row>
    <row r="242" spans="1:31" x14ac:dyDescent="0.25">
      <c r="A242" s="47" t="str">
        <f>IFERROR(INDEX('G-8 Condition Look up'!$I$4:$I$130,MATCH(F242,'G-8 Condition Look up'!$A$4:$A$130,0)),"")</f>
        <v/>
      </c>
      <c r="C242" s="384" t="str">
        <f>IFERROR(INDEX('G-1 All Habitats'!$AG$3:$AG$15,MATCH(D242,'G-1 All Habitats'!$AF$3:$AF$15,0)),"")</f>
        <v/>
      </c>
      <c r="D242" s="146"/>
      <c r="E242" s="79"/>
      <c r="F242" s="246" t="str">
        <f>IFERROR(INDEX('G-1 All Habitats'!$B$3:$B$129,MATCH(E242,'G-1 All Habitats'!$A$3:$A$129,0)),"")</f>
        <v/>
      </c>
      <c r="G242" s="70"/>
      <c r="H242" s="498" t="str">
        <f>IF(F242="","",VLOOKUP(F242,'G-1 All Habitats'!$B$2:$M$129,10,FALSE))</f>
        <v/>
      </c>
      <c r="I242" s="499" t="str">
        <f>IFERROR(VLOOKUP(H242,'G-1 All Habitats'!$V$3:$W$7,2,FALSE),"")</f>
        <v/>
      </c>
      <c r="J242" s="71"/>
      <c r="K242" s="499" t="str">
        <f>IFERROR(INDEX('G-8 Condition Look up'!$A$3:$H$130,MATCH(F242,'G-8 Condition Look up'!$A$3:$A$130,0),MATCH(J242,'G-8 Condition Look up'!$A$3:$H$3,0)),"")</f>
        <v/>
      </c>
      <c r="L242" s="71"/>
      <c r="M242" s="507" t="str">
        <f>IF(L242="","",IF(VLOOKUP(L242,'G-3 Multipliers'!$L$3:$N$6,2,FALSE)=0,"Spatial Data Missing",VLOOKUP(L242,'G-3 Multipliers'!$L$3:$N$6,2,FALSE)))</f>
        <v/>
      </c>
      <c r="N242" s="505" t="str">
        <f>IF(L242="","",IF(VLOOKUP(L242,'G-3 Multipliers'!$L$3:$N$6,3,FALSE)=0,"Spatial Data Missing",VLOOKUP(L242,'G-3 Multipliers'!$L$3:$N$6,3,FALSE)))</f>
        <v/>
      </c>
      <c r="O242" s="498" t="str">
        <f t="shared" si="18"/>
        <v/>
      </c>
      <c r="P242" s="82"/>
      <c r="Q242" s="82"/>
      <c r="R242" s="507" t="str">
        <f t="shared" si="20"/>
        <v/>
      </c>
      <c r="S242" s="521" t="str">
        <f t="shared" si="21"/>
        <v/>
      </c>
      <c r="T242" s="522" t="str">
        <f>IFERROR(IF(S242="Check Data ⚠","Check Data ⚠",VLOOKUP(S242,'G-4 Temporal multipliers'!$A$4:$C$37,3,FALSE)),"")</f>
        <v/>
      </c>
      <c r="U242" s="523" t="str">
        <f>IF(F242="","",VLOOKUP(F242,'G-3 Multipliers'!$A$2:$E$129,2,FALSE))</f>
        <v/>
      </c>
      <c r="V242" s="520" t="str">
        <f t="shared" si="22"/>
        <v/>
      </c>
      <c r="W242" s="520" t="str">
        <f>IF(E242="","",IF(AND(V242="Standard difficulty applied",O242&gt;P242),U242,IF(AND(V242="Low Difficulty - only applicable if all habitat created before losses",P242&gt;=O242),"Low",VLOOKUP(F242,'G-3 Multipliers'!$A$2:$E$129,4,FALSE))))</f>
        <v/>
      </c>
      <c r="X242" s="524" t="str">
        <f>IFERROR(IF(E242="","",VLOOKUP(W242, 'G-3 Multipliers'!$P$2:$Q$6,2,FALSE)),"")</f>
        <v/>
      </c>
      <c r="Y242" s="529" t="str">
        <f t="shared" si="23"/>
        <v/>
      </c>
      <c r="Z242" s="239"/>
      <c r="AA242" s="240"/>
      <c r="AE242" s="54" t="str">
        <f t="shared" si="19"/>
        <v/>
      </c>
    </row>
    <row r="243" spans="1:31" x14ac:dyDescent="0.25">
      <c r="A243" s="47" t="str">
        <f>IFERROR(INDEX('G-8 Condition Look up'!$I$4:$I$130,MATCH(F243,'G-8 Condition Look up'!$A$4:$A$130,0)),"")</f>
        <v/>
      </c>
      <c r="C243" s="384" t="str">
        <f>IFERROR(INDEX('G-1 All Habitats'!$AG$3:$AG$15,MATCH(D243,'G-1 All Habitats'!$AF$3:$AF$15,0)),"")</f>
        <v/>
      </c>
      <c r="D243" s="146"/>
      <c r="E243" s="79"/>
      <c r="F243" s="246" t="str">
        <f>IFERROR(INDEX('G-1 All Habitats'!$B$3:$B$129,MATCH(E243,'G-1 All Habitats'!$A$3:$A$129,0)),"")</f>
        <v/>
      </c>
      <c r="G243" s="70"/>
      <c r="H243" s="498" t="str">
        <f>IF(F243="","",VLOOKUP(F243,'G-1 All Habitats'!$B$2:$M$129,10,FALSE))</f>
        <v/>
      </c>
      <c r="I243" s="499" t="str">
        <f>IFERROR(VLOOKUP(H243,'G-1 All Habitats'!$V$3:$W$7,2,FALSE),"")</f>
        <v/>
      </c>
      <c r="J243" s="71"/>
      <c r="K243" s="499" t="str">
        <f>IFERROR(INDEX('G-8 Condition Look up'!$A$3:$H$130,MATCH(F243,'G-8 Condition Look up'!$A$3:$A$130,0),MATCH(J243,'G-8 Condition Look up'!$A$3:$H$3,0)),"")</f>
        <v/>
      </c>
      <c r="L243" s="71"/>
      <c r="M243" s="507" t="str">
        <f>IF(L243="","",IF(VLOOKUP(L243,'G-3 Multipliers'!$L$3:$N$6,2,FALSE)=0,"Spatial Data Missing",VLOOKUP(L243,'G-3 Multipliers'!$L$3:$N$6,2,FALSE)))</f>
        <v/>
      </c>
      <c r="N243" s="505" t="str">
        <f>IF(L243="","",IF(VLOOKUP(L243,'G-3 Multipliers'!$L$3:$N$6,3,FALSE)=0,"Spatial Data Missing",VLOOKUP(L243,'G-3 Multipliers'!$L$3:$N$6,3,FALSE)))</f>
        <v/>
      </c>
      <c r="O243" s="498" t="str">
        <f t="shared" si="18"/>
        <v/>
      </c>
      <c r="P243" s="82"/>
      <c r="Q243" s="82"/>
      <c r="R243" s="507" t="str">
        <f t="shared" si="20"/>
        <v/>
      </c>
      <c r="S243" s="521" t="str">
        <f t="shared" si="21"/>
        <v/>
      </c>
      <c r="T243" s="522" t="str">
        <f>IFERROR(IF(S243="Check Data ⚠","Check Data ⚠",VLOOKUP(S243,'G-4 Temporal multipliers'!$A$4:$C$37,3,FALSE)),"")</f>
        <v/>
      </c>
      <c r="U243" s="523" t="str">
        <f>IF(F243="","",VLOOKUP(F243,'G-3 Multipliers'!$A$2:$E$129,2,FALSE))</f>
        <v/>
      </c>
      <c r="V243" s="520" t="str">
        <f t="shared" si="22"/>
        <v/>
      </c>
      <c r="W243" s="520" t="str">
        <f>IF(E243="","",IF(AND(V243="Standard difficulty applied",O243&gt;P243),U243,IF(AND(V243="Low Difficulty - only applicable if all habitat created before losses",P243&gt;=O243),"Low",VLOOKUP(F243,'G-3 Multipliers'!$A$2:$E$129,4,FALSE))))</f>
        <v/>
      </c>
      <c r="X243" s="524" t="str">
        <f>IFERROR(IF(E243="","",VLOOKUP(W243, 'G-3 Multipliers'!$P$2:$Q$6,2,FALSE)),"")</f>
        <v/>
      </c>
      <c r="Y243" s="529" t="str">
        <f t="shared" si="23"/>
        <v/>
      </c>
      <c r="Z243" s="239"/>
      <c r="AA243" s="240"/>
      <c r="AE243" s="54" t="str">
        <f t="shared" si="19"/>
        <v/>
      </c>
    </row>
    <row r="244" spans="1:31" x14ac:dyDescent="0.25">
      <c r="A244" s="47" t="str">
        <f>IFERROR(INDEX('G-8 Condition Look up'!$I$4:$I$130,MATCH(F244,'G-8 Condition Look up'!$A$4:$A$130,0)),"")</f>
        <v/>
      </c>
      <c r="C244" s="384" t="str">
        <f>IFERROR(INDEX('G-1 All Habitats'!$AG$3:$AG$15,MATCH(D244,'G-1 All Habitats'!$AF$3:$AF$15,0)),"")</f>
        <v/>
      </c>
      <c r="D244" s="146"/>
      <c r="E244" s="79"/>
      <c r="F244" s="246" t="str">
        <f>IFERROR(INDEX('G-1 All Habitats'!$B$3:$B$129,MATCH(E244,'G-1 All Habitats'!$A$3:$A$129,0)),"")</f>
        <v/>
      </c>
      <c r="G244" s="70"/>
      <c r="H244" s="498" t="str">
        <f>IF(F244="","",VLOOKUP(F244,'G-1 All Habitats'!$B$2:$M$129,10,FALSE))</f>
        <v/>
      </c>
      <c r="I244" s="499" t="str">
        <f>IFERROR(VLOOKUP(H244,'G-1 All Habitats'!$V$3:$W$7,2,FALSE),"")</f>
        <v/>
      </c>
      <c r="J244" s="71"/>
      <c r="K244" s="499" t="str">
        <f>IFERROR(INDEX('G-8 Condition Look up'!$A$3:$H$130,MATCH(F244,'G-8 Condition Look up'!$A$3:$A$130,0),MATCH(J244,'G-8 Condition Look up'!$A$3:$H$3,0)),"")</f>
        <v/>
      </c>
      <c r="L244" s="71"/>
      <c r="M244" s="507" t="str">
        <f>IF(L244="","",IF(VLOOKUP(L244,'G-3 Multipliers'!$L$3:$N$6,2,FALSE)=0,"Spatial Data Missing",VLOOKUP(L244,'G-3 Multipliers'!$L$3:$N$6,2,FALSE)))</f>
        <v/>
      </c>
      <c r="N244" s="505" t="str">
        <f>IF(L244="","",IF(VLOOKUP(L244,'G-3 Multipliers'!$L$3:$N$6,3,FALSE)=0,"Spatial Data Missing",VLOOKUP(L244,'G-3 Multipliers'!$L$3:$N$6,3,FALSE)))</f>
        <v/>
      </c>
      <c r="O244" s="498" t="str">
        <f t="shared" si="18"/>
        <v/>
      </c>
      <c r="P244" s="82"/>
      <c r="Q244" s="82"/>
      <c r="R244" s="507" t="str">
        <f t="shared" si="20"/>
        <v/>
      </c>
      <c r="S244" s="521" t="str">
        <f t="shared" si="21"/>
        <v/>
      </c>
      <c r="T244" s="522" t="str">
        <f>IFERROR(IF(S244="Check Data ⚠","Check Data ⚠",VLOOKUP(S244,'G-4 Temporal multipliers'!$A$4:$C$37,3,FALSE)),"")</f>
        <v/>
      </c>
      <c r="U244" s="523" t="str">
        <f>IF(F244="","",VLOOKUP(F244,'G-3 Multipliers'!$A$2:$E$129,2,FALSE))</f>
        <v/>
      </c>
      <c r="V244" s="520" t="str">
        <f t="shared" si="22"/>
        <v/>
      </c>
      <c r="W244" s="520" t="str">
        <f>IF(E244="","",IF(AND(V244="Standard difficulty applied",O244&gt;P244),U244,IF(AND(V244="Low Difficulty - only applicable if all habitat created before losses",P244&gt;=O244),"Low",VLOOKUP(F244,'G-3 Multipliers'!$A$2:$E$129,4,FALSE))))</f>
        <v/>
      </c>
      <c r="X244" s="524" t="str">
        <f>IFERROR(IF(E244="","",VLOOKUP(W244, 'G-3 Multipliers'!$P$2:$Q$6,2,FALSE)),"")</f>
        <v/>
      </c>
      <c r="Y244" s="529" t="str">
        <f t="shared" si="23"/>
        <v/>
      </c>
      <c r="Z244" s="239"/>
      <c r="AA244" s="240"/>
      <c r="AE244" s="54" t="str">
        <f t="shared" si="19"/>
        <v/>
      </c>
    </row>
    <row r="245" spans="1:31" x14ac:dyDescent="0.25">
      <c r="A245" s="47" t="str">
        <f>IFERROR(INDEX('G-8 Condition Look up'!$I$4:$I$130,MATCH(F245,'G-8 Condition Look up'!$A$4:$A$130,0)),"")</f>
        <v/>
      </c>
      <c r="C245" s="384" t="str">
        <f>IFERROR(INDEX('G-1 All Habitats'!$AG$3:$AG$15,MATCH(D245,'G-1 All Habitats'!$AF$3:$AF$15,0)),"")</f>
        <v/>
      </c>
      <c r="D245" s="146"/>
      <c r="E245" s="79"/>
      <c r="F245" s="246" t="str">
        <f>IFERROR(INDEX('G-1 All Habitats'!$B$3:$B$129,MATCH(E245,'G-1 All Habitats'!$A$3:$A$129,0)),"")</f>
        <v/>
      </c>
      <c r="G245" s="70"/>
      <c r="H245" s="498" t="str">
        <f>IF(F245="","",VLOOKUP(F245,'G-1 All Habitats'!$B$2:$M$129,10,FALSE))</f>
        <v/>
      </c>
      <c r="I245" s="499" t="str">
        <f>IFERROR(VLOOKUP(H245,'G-1 All Habitats'!$V$3:$W$7,2,FALSE),"")</f>
        <v/>
      </c>
      <c r="J245" s="71"/>
      <c r="K245" s="499" t="str">
        <f>IFERROR(INDEX('G-8 Condition Look up'!$A$3:$H$130,MATCH(F245,'G-8 Condition Look up'!$A$3:$A$130,0),MATCH(J245,'G-8 Condition Look up'!$A$3:$H$3,0)),"")</f>
        <v/>
      </c>
      <c r="L245" s="71"/>
      <c r="M245" s="507" t="str">
        <f>IF(L245="","",IF(VLOOKUP(L245,'G-3 Multipliers'!$L$3:$N$6,2,FALSE)=0,"Spatial Data Missing",VLOOKUP(L245,'G-3 Multipliers'!$L$3:$N$6,2,FALSE)))</f>
        <v/>
      </c>
      <c r="N245" s="505" t="str">
        <f>IF(L245="","",IF(VLOOKUP(L245,'G-3 Multipliers'!$L$3:$N$6,3,FALSE)=0,"Spatial Data Missing",VLOOKUP(L245,'G-3 Multipliers'!$L$3:$N$6,3,FALSE)))</f>
        <v/>
      </c>
      <c r="O245" s="498" t="str">
        <f t="shared" si="18"/>
        <v/>
      </c>
      <c r="P245" s="82"/>
      <c r="Q245" s="82"/>
      <c r="R245" s="507" t="str">
        <f t="shared" si="20"/>
        <v/>
      </c>
      <c r="S245" s="521" t="str">
        <f t="shared" si="21"/>
        <v/>
      </c>
      <c r="T245" s="522" t="str">
        <f>IFERROR(IF(S245="Check Data ⚠","Check Data ⚠",VLOOKUP(S245,'G-4 Temporal multipliers'!$A$4:$C$37,3,FALSE)),"")</f>
        <v/>
      </c>
      <c r="U245" s="523" t="str">
        <f>IF(F245="","",VLOOKUP(F245,'G-3 Multipliers'!$A$2:$E$129,2,FALSE))</f>
        <v/>
      </c>
      <c r="V245" s="520" t="str">
        <f t="shared" si="22"/>
        <v/>
      </c>
      <c r="W245" s="520" t="str">
        <f>IF(E245="","",IF(AND(V245="Standard difficulty applied",O245&gt;P245),U245,IF(AND(V245="Low Difficulty - only applicable if all habitat created before losses",P245&gt;=O245),"Low",VLOOKUP(F245,'G-3 Multipliers'!$A$2:$E$129,4,FALSE))))</f>
        <v/>
      </c>
      <c r="X245" s="524" t="str">
        <f>IFERROR(IF(E245="","",VLOOKUP(W245, 'G-3 Multipliers'!$P$2:$Q$6,2,FALSE)),"")</f>
        <v/>
      </c>
      <c r="Y245" s="529" t="str">
        <f t="shared" si="23"/>
        <v/>
      </c>
      <c r="Z245" s="239"/>
      <c r="AA245" s="240"/>
      <c r="AE245" s="54" t="str">
        <f t="shared" si="19"/>
        <v/>
      </c>
    </row>
    <row r="246" spans="1:31" x14ac:dyDescent="0.25">
      <c r="A246" s="47" t="str">
        <f>IFERROR(INDEX('G-8 Condition Look up'!$I$4:$I$130,MATCH(F246,'G-8 Condition Look up'!$A$4:$A$130,0)),"")</f>
        <v/>
      </c>
      <c r="C246" s="384" t="str">
        <f>IFERROR(INDEX('G-1 All Habitats'!$AG$3:$AG$15,MATCH(D246,'G-1 All Habitats'!$AF$3:$AF$15,0)),"")</f>
        <v/>
      </c>
      <c r="D246" s="146"/>
      <c r="E246" s="79"/>
      <c r="F246" s="246" t="str">
        <f>IFERROR(INDEX('G-1 All Habitats'!$B$3:$B$129,MATCH(E246,'G-1 All Habitats'!$A$3:$A$129,0)),"")</f>
        <v/>
      </c>
      <c r="G246" s="70"/>
      <c r="H246" s="498" t="str">
        <f>IF(F246="","",VLOOKUP(F246,'G-1 All Habitats'!$B$2:$M$129,10,FALSE))</f>
        <v/>
      </c>
      <c r="I246" s="499" t="str">
        <f>IFERROR(VLOOKUP(H246,'G-1 All Habitats'!$V$3:$W$7,2,FALSE),"")</f>
        <v/>
      </c>
      <c r="J246" s="71"/>
      <c r="K246" s="499" t="str">
        <f>IFERROR(INDEX('G-8 Condition Look up'!$A$3:$H$130,MATCH(F246,'G-8 Condition Look up'!$A$3:$A$130,0),MATCH(J246,'G-8 Condition Look up'!$A$3:$H$3,0)),"")</f>
        <v/>
      </c>
      <c r="L246" s="71"/>
      <c r="M246" s="507" t="str">
        <f>IF(L246="","",IF(VLOOKUP(L246,'G-3 Multipliers'!$L$3:$N$6,2,FALSE)=0,"Spatial Data Missing",VLOOKUP(L246,'G-3 Multipliers'!$L$3:$N$6,2,FALSE)))</f>
        <v/>
      </c>
      <c r="N246" s="505" t="str">
        <f>IF(L246="","",IF(VLOOKUP(L246,'G-3 Multipliers'!$L$3:$N$6,3,FALSE)=0,"Spatial Data Missing",VLOOKUP(L246,'G-3 Multipliers'!$L$3:$N$6,3,FALSE)))</f>
        <v/>
      </c>
      <c r="O246" s="498" t="str">
        <f t="shared" si="18"/>
        <v/>
      </c>
      <c r="P246" s="82"/>
      <c r="Q246" s="82"/>
      <c r="R246" s="507" t="str">
        <f t="shared" si="20"/>
        <v/>
      </c>
      <c r="S246" s="521" t="str">
        <f t="shared" si="21"/>
        <v/>
      </c>
      <c r="T246" s="522" t="str">
        <f>IFERROR(IF(S246="Check Data ⚠","Check Data ⚠",VLOOKUP(S246,'G-4 Temporal multipliers'!$A$4:$C$37,3,FALSE)),"")</f>
        <v/>
      </c>
      <c r="U246" s="523" t="str">
        <f>IF(F246="","",VLOOKUP(F246,'G-3 Multipliers'!$A$2:$E$129,2,FALSE))</f>
        <v/>
      </c>
      <c r="V246" s="520" t="str">
        <f t="shared" si="22"/>
        <v/>
      </c>
      <c r="W246" s="520" t="str">
        <f>IF(E246="","",IF(AND(V246="Standard difficulty applied",O246&gt;P246),U246,IF(AND(V246="Low Difficulty - only applicable if all habitat created before losses",P246&gt;=O246),"Low",VLOOKUP(F246,'G-3 Multipliers'!$A$2:$E$129,4,FALSE))))</f>
        <v/>
      </c>
      <c r="X246" s="524" t="str">
        <f>IFERROR(IF(E246="","",VLOOKUP(W246, 'G-3 Multipliers'!$P$2:$Q$6,2,FALSE)),"")</f>
        <v/>
      </c>
      <c r="Y246" s="529" t="str">
        <f t="shared" si="23"/>
        <v/>
      </c>
      <c r="Z246" s="239"/>
      <c r="AA246" s="240"/>
      <c r="AE246" s="54" t="str">
        <f t="shared" si="19"/>
        <v/>
      </c>
    </row>
    <row r="247" spans="1:31" x14ac:dyDescent="0.25">
      <c r="A247" s="47" t="str">
        <f>IFERROR(INDEX('G-8 Condition Look up'!$I$4:$I$130,MATCH(F247,'G-8 Condition Look up'!$A$4:$A$130,0)),"")</f>
        <v/>
      </c>
      <c r="C247" s="384" t="str">
        <f>IFERROR(INDEX('G-1 All Habitats'!$AG$3:$AG$15,MATCH(D247,'G-1 All Habitats'!$AF$3:$AF$15,0)),"")</f>
        <v/>
      </c>
      <c r="D247" s="146"/>
      <c r="E247" s="79"/>
      <c r="F247" s="246" t="str">
        <f>IFERROR(INDEX('G-1 All Habitats'!$B$3:$B$129,MATCH(E247,'G-1 All Habitats'!$A$3:$A$129,0)),"")</f>
        <v/>
      </c>
      <c r="G247" s="70"/>
      <c r="H247" s="498" t="str">
        <f>IF(F247="","",VLOOKUP(F247,'G-1 All Habitats'!$B$2:$M$129,10,FALSE))</f>
        <v/>
      </c>
      <c r="I247" s="499" t="str">
        <f>IFERROR(VLOOKUP(H247,'G-1 All Habitats'!$V$3:$W$7,2,FALSE),"")</f>
        <v/>
      </c>
      <c r="J247" s="71"/>
      <c r="K247" s="499" t="str">
        <f>IFERROR(INDEX('G-8 Condition Look up'!$A$3:$H$130,MATCH(F247,'G-8 Condition Look up'!$A$3:$A$130,0),MATCH(J247,'G-8 Condition Look up'!$A$3:$H$3,0)),"")</f>
        <v/>
      </c>
      <c r="L247" s="71"/>
      <c r="M247" s="507" t="str">
        <f>IF(L247="","",IF(VLOOKUP(L247,'G-3 Multipliers'!$L$3:$N$6,2,FALSE)=0,"Spatial Data Missing",VLOOKUP(L247,'G-3 Multipliers'!$L$3:$N$6,2,FALSE)))</f>
        <v/>
      </c>
      <c r="N247" s="505" t="str">
        <f>IF(L247="","",IF(VLOOKUP(L247,'G-3 Multipliers'!$L$3:$N$6,3,FALSE)=0,"Spatial Data Missing",VLOOKUP(L247,'G-3 Multipliers'!$L$3:$N$6,3,FALSE)))</f>
        <v/>
      </c>
      <c r="O247" s="498" t="str">
        <f t="shared" si="18"/>
        <v/>
      </c>
      <c r="P247" s="82"/>
      <c r="Q247" s="82"/>
      <c r="R247" s="507" t="str">
        <f t="shared" si="20"/>
        <v/>
      </c>
      <c r="S247" s="521" t="str">
        <f t="shared" si="21"/>
        <v/>
      </c>
      <c r="T247" s="522" t="str">
        <f>IFERROR(IF(S247="Check Data ⚠","Check Data ⚠",VLOOKUP(S247,'G-4 Temporal multipliers'!$A$4:$C$37,3,FALSE)),"")</f>
        <v/>
      </c>
      <c r="U247" s="523" t="str">
        <f>IF(F247="","",VLOOKUP(F247,'G-3 Multipliers'!$A$2:$E$129,2,FALSE))</f>
        <v/>
      </c>
      <c r="V247" s="520" t="str">
        <f t="shared" si="22"/>
        <v/>
      </c>
      <c r="W247" s="520" t="str">
        <f>IF(E247="","",IF(AND(V247="Standard difficulty applied",O247&gt;P247),U247,IF(AND(V247="Low Difficulty - only applicable if all habitat created before losses",P247&gt;=O247),"Low",VLOOKUP(F247,'G-3 Multipliers'!$A$2:$E$129,4,FALSE))))</f>
        <v/>
      </c>
      <c r="X247" s="524" t="str">
        <f>IFERROR(IF(E247="","",VLOOKUP(W247, 'G-3 Multipliers'!$P$2:$Q$6,2,FALSE)),"")</f>
        <v/>
      </c>
      <c r="Y247" s="529" t="str">
        <f t="shared" si="23"/>
        <v/>
      </c>
      <c r="Z247" s="239"/>
      <c r="AA247" s="240"/>
      <c r="AE247" s="54" t="str">
        <f t="shared" si="19"/>
        <v/>
      </c>
    </row>
    <row r="248" spans="1:31" x14ac:dyDescent="0.25">
      <c r="A248" s="47" t="str">
        <f>IFERROR(INDEX('G-8 Condition Look up'!$I$4:$I$130,MATCH(F248,'G-8 Condition Look up'!$A$4:$A$130,0)),"")</f>
        <v/>
      </c>
      <c r="C248" s="384" t="str">
        <f>IFERROR(INDEX('G-1 All Habitats'!$AG$3:$AG$15,MATCH(D248,'G-1 All Habitats'!$AF$3:$AF$15,0)),"")</f>
        <v/>
      </c>
      <c r="D248" s="146"/>
      <c r="E248" s="79"/>
      <c r="F248" s="246" t="str">
        <f>IFERROR(INDEX('G-1 All Habitats'!$B$3:$B$129,MATCH(E248,'G-1 All Habitats'!$A$3:$A$129,0)),"")</f>
        <v/>
      </c>
      <c r="G248" s="70"/>
      <c r="H248" s="498" t="str">
        <f>IF(F248="","",VLOOKUP(F248,'G-1 All Habitats'!$B$2:$M$129,10,FALSE))</f>
        <v/>
      </c>
      <c r="I248" s="499" t="str">
        <f>IFERROR(VLOOKUP(H248,'G-1 All Habitats'!$V$3:$W$7,2,FALSE),"")</f>
        <v/>
      </c>
      <c r="J248" s="71"/>
      <c r="K248" s="499" t="str">
        <f>IFERROR(INDEX('G-8 Condition Look up'!$A$3:$H$130,MATCH(F248,'G-8 Condition Look up'!$A$3:$A$130,0),MATCH(J248,'G-8 Condition Look up'!$A$3:$H$3,0)),"")</f>
        <v/>
      </c>
      <c r="L248" s="71"/>
      <c r="M248" s="507" t="str">
        <f>IF(L248="","",IF(VLOOKUP(L248,'G-3 Multipliers'!$L$3:$N$6,2,FALSE)=0,"Spatial Data Missing",VLOOKUP(L248,'G-3 Multipliers'!$L$3:$N$6,2,FALSE)))</f>
        <v/>
      </c>
      <c r="N248" s="505" t="str">
        <f>IF(L248="","",IF(VLOOKUP(L248,'G-3 Multipliers'!$L$3:$N$6,3,FALSE)=0,"Spatial Data Missing",VLOOKUP(L248,'G-3 Multipliers'!$L$3:$N$6,3,FALSE)))</f>
        <v/>
      </c>
      <c r="O248" s="498" t="str">
        <f t="shared" si="18"/>
        <v/>
      </c>
      <c r="P248" s="82"/>
      <c r="Q248" s="82"/>
      <c r="R248" s="507" t="str">
        <f t="shared" si="20"/>
        <v/>
      </c>
      <c r="S248" s="521" t="str">
        <f t="shared" si="21"/>
        <v/>
      </c>
      <c r="T248" s="522" t="str">
        <f>IFERROR(IF(S248="Check Data ⚠","Check Data ⚠",VLOOKUP(S248,'G-4 Temporal multipliers'!$A$4:$C$37,3,FALSE)),"")</f>
        <v/>
      </c>
      <c r="U248" s="523" t="str">
        <f>IF(F248="","",VLOOKUP(F248,'G-3 Multipliers'!$A$2:$E$129,2,FALSE))</f>
        <v/>
      </c>
      <c r="V248" s="520" t="str">
        <f t="shared" si="22"/>
        <v/>
      </c>
      <c r="W248" s="520" t="str">
        <f>IF(E248="","",IF(AND(V248="Standard difficulty applied",O248&gt;P248),U248,IF(AND(V248="Low Difficulty - only applicable if all habitat created before losses",P248&gt;=O248),"Low",VLOOKUP(F248,'G-3 Multipliers'!$A$2:$E$129,4,FALSE))))</f>
        <v/>
      </c>
      <c r="X248" s="524" t="str">
        <f>IFERROR(IF(E248="","",VLOOKUP(W248, 'G-3 Multipliers'!$P$2:$Q$6,2,FALSE)),"")</f>
        <v/>
      </c>
      <c r="Y248" s="529" t="str">
        <f t="shared" si="23"/>
        <v/>
      </c>
      <c r="Z248" s="239"/>
      <c r="AA248" s="240"/>
      <c r="AE248" s="54" t="str">
        <f t="shared" si="19"/>
        <v/>
      </c>
    </row>
    <row r="249" spans="1:31" x14ac:dyDescent="0.25">
      <c r="A249" s="47" t="str">
        <f>IFERROR(INDEX('G-8 Condition Look up'!$I$4:$I$130,MATCH(F249,'G-8 Condition Look up'!$A$4:$A$130,0)),"")</f>
        <v/>
      </c>
      <c r="C249" s="384" t="str">
        <f>IFERROR(INDEX('G-1 All Habitats'!$AG$3:$AG$15,MATCH(D249,'G-1 All Habitats'!$AF$3:$AF$15,0)),"")</f>
        <v/>
      </c>
      <c r="D249" s="146"/>
      <c r="E249" s="79"/>
      <c r="F249" s="246" t="str">
        <f>IFERROR(INDEX('G-1 All Habitats'!$B$3:$B$129,MATCH(E249,'G-1 All Habitats'!$A$3:$A$129,0)),"")</f>
        <v/>
      </c>
      <c r="G249" s="70"/>
      <c r="H249" s="498" t="str">
        <f>IF(F249="","",VLOOKUP(F249,'G-1 All Habitats'!$B$2:$M$129,10,FALSE))</f>
        <v/>
      </c>
      <c r="I249" s="499" t="str">
        <f>IFERROR(VLOOKUP(H249,'G-1 All Habitats'!$V$3:$W$7,2,FALSE),"")</f>
        <v/>
      </c>
      <c r="J249" s="71"/>
      <c r="K249" s="499" t="str">
        <f>IFERROR(INDEX('G-8 Condition Look up'!$A$3:$H$130,MATCH(F249,'G-8 Condition Look up'!$A$3:$A$130,0),MATCH(J249,'G-8 Condition Look up'!$A$3:$H$3,0)),"")</f>
        <v/>
      </c>
      <c r="L249" s="71"/>
      <c r="M249" s="507" t="str">
        <f>IF(L249="","",IF(VLOOKUP(L249,'G-3 Multipliers'!$L$3:$N$6,2,FALSE)=0,"Spatial Data Missing",VLOOKUP(L249,'G-3 Multipliers'!$L$3:$N$6,2,FALSE)))</f>
        <v/>
      </c>
      <c r="N249" s="505" t="str">
        <f>IF(L249="","",IF(VLOOKUP(L249,'G-3 Multipliers'!$L$3:$N$6,3,FALSE)=0,"Spatial Data Missing",VLOOKUP(L249,'G-3 Multipliers'!$L$3:$N$6,3,FALSE)))</f>
        <v/>
      </c>
      <c r="O249" s="498" t="str">
        <f t="shared" si="18"/>
        <v/>
      </c>
      <c r="P249" s="82"/>
      <c r="Q249" s="82"/>
      <c r="R249" s="507" t="str">
        <f t="shared" si="20"/>
        <v/>
      </c>
      <c r="S249" s="521" t="str">
        <f t="shared" si="21"/>
        <v/>
      </c>
      <c r="T249" s="522" t="str">
        <f>IFERROR(IF(S249="Check Data ⚠","Check Data ⚠",VLOOKUP(S249,'G-4 Temporal multipliers'!$A$4:$C$37,3,FALSE)),"")</f>
        <v/>
      </c>
      <c r="U249" s="523" t="str">
        <f>IF(F249="","",VLOOKUP(F249,'G-3 Multipliers'!$A$2:$E$129,2,FALSE))</f>
        <v/>
      </c>
      <c r="V249" s="520" t="str">
        <f t="shared" si="22"/>
        <v/>
      </c>
      <c r="W249" s="520" t="str">
        <f>IF(E249="","",IF(AND(V249="Standard difficulty applied",O249&gt;P249),U249,IF(AND(V249="Low Difficulty - only applicable if all habitat created before losses",P249&gt;=O249),"Low",VLOOKUP(F249,'G-3 Multipliers'!$A$2:$E$129,4,FALSE))))</f>
        <v/>
      </c>
      <c r="X249" s="524" t="str">
        <f>IFERROR(IF(E249="","",VLOOKUP(W249, 'G-3 Multipliers'!$P$2:$Q$6,2,FALSE)),"")</f>
        <v/>
      </c>
      <c r="Y249" s="529" t="str">
        <f t="shared" si="23"/>
        <v/>
      </c>
      <c r="Z249" s="239"/>
      <c r="AA249" s="240"/>
      <c r="AE249" s="54" t="str">
        <f t="shared" si="19"/>
        <v/>
      </c>
    </row>
    <row r="250" spans="1:31" x14ac:dyDescent="0.25">
      <c r="A250" s="47" t="str">
        <f>IFERROR(INDEX('G-8 Condition Look up'!$I$4:$I$130,MATCH(F250,'G-8 Condition Look up'!$A$4:$A$130,0)),"")</f>
        <v/>
      </c>
      <c r="C250" s="384" t="str">
        <f>IFERROR(INDEX('G-1 All Habitats'!$AG$3:$AG$15,MATCH(D250,'G-1 All Habitats'!$AF$3:$AF$15,0)),"")</f>
        <v/>
      </c>
      <c r="D250" s="146"/>
      <c r="E250" s="79"/>
      <c r="F250" s="246" t="str">
        <f>IFERROR(INDEX('G-1 All Habitats'!$B$3:$B$129,MATCH(E250,'G-1 All Habitats'!$A$3:$A$129,0)),"")</f>
        <v/>
      </c>
      <c r="G250" s="70"/>
      <c r="H250" s="498" t="str">
        <f>IF(F250="","",VLOOKUP(F250,'G-1 All Habitats'!$B$2:$M$129,10,FALSE))</f>
        <v/>
      </c>
      <c r="I250" s="499" t="str">
        <f>IFERROR(VLOOKUP(H250,'G-1 All Habitats'!$V$3:$W$7,2,FALSE),"")</f>
        <v/>
      </c>
      <c r="J250" s="71"/>
      <c r="K250" s="499" t="str">
        <f>IFERROR(INDEX('G-8 Condition Look up'!$A$3:$H$130,MATCH(F250,'G-8 Condition Look up'!$A$3:$A$130,0),MATCH(J250,'G-8 Condition Look up'!$A$3:$H$3,0)),"")</f>
        <v/>
      </c>
      <c r="L250" s="71"/>
      <c r="M250" s="507" t="str">
        <f>IF(L250="","",IF(VLOOKUP(L250,'G-3 Multipliers'!$L$3:$N$6,2,FALSE)=0,"Spatial Data Missing",VLOOKUP(L250,'G-3 Multipliers'!$L$3:$N$6,2,FALSE)))</f>
        <v/>
      </c>
      <c r="N250" s="505" t="str">
        <f>IF(L250="","",IF(VLOOKUP(L250,'G-3 Multipliers'!$L$3:$N$6,3,FALSE)=0,"Spatial Data Missing",VLOOKUP(L250,'G-3 Multipliers'!$L$3:$N$6,3,FALSE)))</f>
        <v/>
      </c>
      <c r="O250" s="498" t="str">
        <f t="shared" si="18"/>
        <v/>
      </c>
      <c r="P250" s="82"/>
      <c r="Q250" s="82"/>
      <c r="R250" s="507" t="str">
        <f t="shared" si="20"/>
        <v/>
      </c>
      <c r="S250" s="521" t="str">
        <f t="shared" si="21"/>
        <v/>
      </c>
      <c r="T250" s="522" t="str">
        <f>IFERROR(IF(S250="Check Data ⚠","Check Data ⚠",VLOOKUP(S250,'G-4 Temporal multipliers'!$A$4:$C$37,3,FALSE)),"")</f>
        <v/>
      </c>
      <c r="U250" s="523" t="str">
        <f>IF(F250="","",VLOOKUP(F250,'G-3 Multipliers'!$A$2:$E$129,2,FALSE))</f>
        <v/>
      </c>
      <c r="V250" s="520" t="str">
        <f t="shared" si="22"/>
        <v/>
      </c>
      <c r="W250" s="520" t="str">
        <f>IF(E250="","",IF(AND(V250="Standard difficulty applied",O250&gt;P250),U250,IF(AND(V250="Low Difficulty - only applicable if all habitat created before losses",P250&gt;=O250),"Low",VLOOKUP(F250,'G-3 Multipliers'!$A$2:$E$129,4,FALSE))))</f>
        <v/>
      </c>
      <c r="X250" s="524" t="str">
        <f>IFERROR(IF(E250="","",VLOOKUP(W250, 'G-3 Multipliers'!$P$2:$Q$6,2,FALSE)),"")</f>
        <v/>
      </c>
      <c r="Y250" s="529" t="str">
        <f t="shared" si="23"/>
        <v/>
      </c>
      <c r="Z250" s="239"/>
      <c r="AA250" s="240"/>
      <c r="AE250" s="54" t="str">
        <f t="shared" si="19"/>
        <v/>
      </c>
    </row>
    <row r="251" spans="1:31" x14ac:dyDescent="0.25">
      <c r="A251" s="47" t="str">
        <f>IFERROR(INDEX('G-8 Condition Look up'!$I$4:$I$130,MATCH(F251,'G-8 Condition Look up'!$A$4:$A$130,0)),"")</f>
        <v/>
      </c>
      <c r="C251" s="384" t="str">
        <f>IFERROR(INDEX('G-1 All Habitats'!$AG$3:$AG$15,MATCH(D251,'G-1 All Habitats'!$AF$3:$AF$15,0)),"")</f>
        <v/>
      </c>
      <c r="D251" s="146"/>
      <c r="E251" s="79"/>
      <c r="F251" s="246" t="str">
        <f>IFERROR(INDEX('G-1 All Habitats'!$B$3:$B$129,MATCH(E251,'G-1 All Habitats'!$A$3:$A$129,0)),"")</f>
        <v/>
      </c>
      <c r="G251" s="70"/>
      <c r="H251" s="498" t="str">
        <f>IF(F251="","",VLOOKUP(F251,'G-1 All Habitats'!$B$2:$M$129,10,FALSE))</f>
        <v/>
      </c>
      <c r="I251" s="499" t="str">
        <f>IFERROR(VLOOKUP(H251,'G-1 All Habitats'!$V$3:$W$7,2,FALSE),"")</f>
        <v/>
      </c>
      <c r="J251" s="71"/>
      <c r="K251" s="499" t="str">
        <f>IFERROR(INDEX('G-8 Condition Look up'!$A$3:$H$130,MATCH(F251,'G-8 Condition Look up'!$A$3:$A$130,0),MATCH(J251,'G-8 Condition Look up'!$A$3:$H$3,0)),"")</f>
        <v/>
      </c>
      <c r="L251" s="71"/>
      <c r="M251" s="507" t="str">
        <f>IF(L251="","",IF(VLOOKUP(L251,'G-3 Multipliers'!$L$3:$N$6,2,FALSE)=0,"Spatial Data Missing",VLOOKUP(L251,'G-3 Multipliers'!$L$3:$N$6,2,FALSE)))</f>
        <v/>
      </c>
      <c r="N251" s="505" t="str">
        <f>IF(L251="","",IF(VLOOKUP(L251,'G-3 Multipliers'!$L$3:$N$6,3,FALSE)=0,"Spatial Data Missing",VLOOKUP(L251,'G-3 Multipliers'!$L$3:$N$6,3,FALSE)))</f>
        <v/>
      </c>
      <c r="O251" s="498" t="str">
        <f t="shared" si="18"/>
        <v/>
      </c>
      <c r="P251" s="82"/>
      <c r="Q251" s="82"/>
      <c r="R251" s="507" t="str">
        <f t="shared" si="20"/>
        <v/>
      </c>
      <c r="S251" s="521" t="str">
        <f t="shared" si="21"/>
        <v/>
      </c>
      <c r="T251" s="522" t="str">
        <f>IFERROR(IF(S251="Check Data ⚠","Check Data ⚠",VLOOKUP(S251,'G-4 Temporal multipliers'!$A$4:$C$37,3,FALSE)),"")</f>
        <v/>
      </c>
      <c r="U251" s="523" t="str">
        <f>IF(F251="","",VLOOKUP(F251,'G-3 Multipliers'!$A$2:$E$129,2,FALSE))</f>
        <v/>
      </c>
      <c r="V251" s="520" t="str">
        <f t="shared" si="22"/>
        <v/>
      </c>
      <c r="W251" s="520" t="str">
        <f>IF(E251="","",IF(AND(V251="Standard difficulty applied",O251&gt;P251),U251,IF(AND(V251="Low Difficulty - only applicable if all habitat created before losses",P251&gt;=O251),"Low",VLOOKUP(F251,'G-3 Multipliers'!$A$2:$E$129,4,FALSE))))</f>
        <v/>
      </c>
      <c r="X251" s="524" t="str">
        <f>IFERROR(IF(E251="","",VLOOKUP(W251, 'G-3 Multipliers'!$P$2:$Q$6,2,FALSE)),"")</f>
        <v/>
      </c>
      <c r="Y251" s="529" t="str">
        <f t="shared" si="23"/>
        <v/>
      </c>
      <c r="Z251" s="239"/>
      <c r="AA251" s="240"/>
      <c r="AE251" s="54" t="str">
        <f t="shared" si="19"/>
        <v/>
      </c>
    </row>
    <row r="252" spans="1:31" x14ac:dyDescent="0.25">
      <c r="A252" s="47" t="str">
        <f>IFERROR(INDEX('G-8 Condition Look up'!$I$4:$I$130,MATCH(F252,'G-8 Condition Look up'!$A$4:$A$130,0)),"")</f>
        <v/>
      </c>
      <c r="C252" s="384" t="str">
        <f>IFERROR(INDEX('G-1 All Habitats'!$AG$3:$AG$15,MATCH(D252,'G-1 All Habitats'!$AF$3:$AF$15,0)),"")</f>
        <v/>
      </c>
      <c r="D252" s="146"/>
      <c r="E252" s="79"/>
      <c r="F252" s="246" t="str">
        <f>IFERROR(INDEX('G-1 All Habitats'!$B$3:$B$129,MATCH(E252,'G-1 All Habitats'!$A$3:$A$129,0)),"")</f>
        <v/>
      </c>
      <c r="G252" s="70"/>
      <c r="H252" s="498" t="str">
        <f>IF(F252="","",VLOOKUP(F252,'G-1 All Habitats'!$B$2:$M$129,10,FALSE))</f>
        <v/>
      </c>
      <c r="I252" s="499" t="str">
        <f>IFERROR(VLOOKUP(H252,'G-1 All Habitats'!$V$3:$W$7,2,FALSE),"")</f>
        <v/>
      </c>
      <c r="J252" s="71"/>
      <c r="K252" s="499" t="str">
        <f>IFERROR(INDEX('G-8 Condition Look up'!$A$3:$H$130,MATCH(F252,'G-8 Condition Look up'!$A$3:$A$130,0),MATCH(J252,'G-8 Condition Look up'!$A$3:$H$3,0)),"")</f>
        <v/>
      </c>
      <c r="L252" s="71"/>
      <c r="M252" s="507" t="str">
        <f>IF(L252="","",IF(VLOOKUP(L252,'G-3 Multipliers'!$L$3:$N$6,2,FALSE)=0,"Spatial Data Missing",VLOOKUP(L252,'G-3 Multipliers'!$L$3:$N$6,2,FALSE)))</f>
        <v/>
      </c>
      <c r="N252" s="505" t="str">
        <f>IF(L252="","",IF(VLOOKUP(L252,'G-3 Multipliers'!$L$3:$N$6,3,FALSE)=0,"Spatial Data Missing",VLOOKUP(L252,'G-3 Multipliers'!$L$3:$N$6,3,FALSE)))</f>
        <v/>
      </c>
      <c r="O252" s="498" t="str">
        <f t="shared" si="18"/>
        <v/>
      </c>
      <c r="P252" s="82"/>
      <c r="Q252" s="82"/>
      <c r="R252" s="507" t="str">
        <f t="shared" si="20"/>
        <v/>
      </c>
      <c r="S252" s="521" t="str">
        <f t="shared" si="21"/>
        <v/>
      </c>
      <c r="T252" s="522" t="str">
        <f>IFERROR(IF(S252="Check Data ⚠","Check Data ⚠",VLOOKUP(S252,'G-4 Temporal multipliers'!$A$4:$C$37,3,FALSE)),"")</f>
        <v/>
      </c>
      <c r="U252" s="523" t="str">
        <f>IF(F252="","",VLOOKUP(F252,'G-3 Multipliers'!$A$2:$E$129,2,FALSE))</f>
        <v/>
      </c>
      <c r="V252" s="520" t="str">
        <f t="shared" si="22"/>
        <v/>
      </c>
      <c r="W252" s="520" t="str">
        <f>IF(E252="","",IF(AND(V252="Standard difficulty applied",O252&gt;P252),U252,IF(AND(V252="Low Difficulty - only applicable if all habitat created before losses",P252&gt;=O252),"Low",VLOOKUP(F252,'G-3 Multipliers'!$A$2:$E$129,4,FALSE))))</f>
        <v/>
      </c>
      <c r="X252" s="524" t="str">
        <f>IFERROR(IF(E252="","",VLOOKUP(W252, 'G-3 Multipliers'!$P$2:$Q$6,2,FALSE)),"")</f>
        <v/>
      </c>
      <c r="Y252" s="529" t="str">
        <f t="shared" si="23"/>
        <v/>
      </c>
      <c r="Z252" s="239"/>
      <c r="AA252" s="240"/>
      <c r="AE252" s="54" t="str">
        <f t="shared" si="19"/>
        <v/>
      </c>
    </row>
    <row r="253" spans="1:31" x14ac:dyDescent="0.25">
      <c r="A253" s="47" t="str">
        <f>IFERROR(INDEX('G-8 Condition Look up'!$I$4:$I$130,MATCH(F253,'G-8 Condition Look up'!$A$4:$A$130,0)),"")</f>
        <v/>
      </c>
      <c r="C253" s="384" t="str">
        <f>IFERROR(INDEX('G-1 All Habitats'!$AG$3:$AG$15,MATCH(D253,'G-1 All Habitats'!$AF$3:$AF$15,0)),"")</f>
        <v/>
      </c>
      <c r="D253" s="146"/>
      <c r="E253" s="79"/>
      <c r="F253" s="246" t="str">
        <f>IFERROR(INDEX('G-1 All Habitats'!$B$3:$B$129,MATCH(E253,'G-1 All Habitats'!$A$3:$A$129,0)),"")</f>
        <v/>
      </c>
      <c r="G253" s="70"/>
      <c r="H253" s="498" t="str">
        <f>IF(F253="","",VLOOKUP(F253,'G-1 All Habitats'!$B$2:$M$129,10,FALSE))</f>
        <v/>
      </c>
      <c r="I253" s="499" t="str">
        <f>IFERROR(VLOOKUP(H253,'G-1 All Habitats'!$V$3:$W$7,2,FALSE),"")</f>
        <v/>
      </c>
      <c r="J253" s="71"/>
      <c r="K253" s="499" t="str">
        <f>IFERROR(INDEX('G-8 Condition Look up'!$A$3:$H$130,MATCH(F253,'G-8 Condition Look up'!$A$3:$A$130,0),MATCH(J253,'G-8 Condition Look up'!$A$3:$H$3,0)),"")</f>
        <v/>
      </c>
      <c r="L253" s="71"/>
      <c r="M253" s="507" t="str">
        <f>IF(L253="","",IF(VLOOKUP(L253,'G-3 Multipliers'!$L$3:$N$6,2,FALSE)=0,"Spatial Data Missing",VLOOKUP(L253,'G-3 Multipliers'!$L$3:$N$6,2,FALSE)))</f>
        <v/>
      </c>
      <c r="N253" s="505" t="str">
        <f>IF(L253="","",IF(VLOOKUP(L253,'G-3 Multipliers'!$L$3:$N$6,3,FALSE)=0,"Spatial Data Missing",VLOOKUP(L253,'G-3 Multipliers'!$L$3:$N$6,3,FALSE)))</f>
        <v/>
      </c>
      <c r="O253" s="498" t="str">
        <f t="shared" si="18"/>
        <v/>
      </c>
      <c r="P253" s="82"/>
      <c r="Q253" s="82"/>
      <c r="R253" s="507" t="str">
        <f t="shared" si="20"/>
        <v/>
      </c>
      <c r="S253" s="521" t="str">
        <f t="shared" si="21"/>
        <v/>
      </c>
      <c r="T253" s="522" t="str">
        <f>IFERROR(IF(S253="Check Data ⚠","Check Data ⚠",VLOOKUP(S253,'G-4 Temporal multipliers'!$A$4:$C$37,3,FALSE)),"")</f>
        <v/>
      </c>
      <c r="U253" s="523" t="str">
        <f>IF(F253="","",VLOOKUP(F253,'G-3 Multipliers'!$A$2:$E$129,2,FALSE))</f>
        <v/>
      </c>
      <c r="V253" s="520" t="str">
        <f t="shared" si="22"/>
        <v/>
      </c>
      <c r="W253" s="520" t="str">
        <f>IF(E253="","",IF(AND(V253="Standard difficulty applied",O253&gt;P253),U253,IF(AND(V253="Low Difficulty - only applicable if all habitat created before losses",P253&gt;=O253),"Low",VLOOKUP(F253,'G-3 Multipliers'!$A$2:$E$129,4,FALSE))))</f>
        <v/>
      </c>
      <c r="X253" s="524" t="str">
        <f>IFERROR(IF(E253="","",VLOOKUP(W253, 'G-3 Multipliers'!$P$2:$Q$6,2,FALSE)),"")</f>
        <v/>
      </c>
      <c r="Y253" s="529" t="str">
        <f t="shared" si="23"/>
        <v/>
      </c>
      <c r="Z253" s="239"/>
      <c r="AA253" s="240"/>
      <c r="AE253" s="54" t="str">
        <f t="shared" si="19"/>
        <v/>
      </c>
    </row>
    <row r="254" spans="1:31" x14ac:dyDescent="0.25">
      <c r="A254" s="47" t="str">
        <f>IFERROR(INDEX('G-8 Condition Look up'!$I$4:$I$130,MATCH(F254,'G-8 Condition Look up'!$A$4:$A$130,0)),"")</f>
        <v/>
      </c>
      <c r="C254" s="384" t="str">
        <f>IFERROR(INDEX('G-1 All Habitats'!$AG$3:$AG$15,MATCH(D254,'G-1 All Habitats'!$AF$3:$AF$15,0)),"")</f>
        <v/>
      </c>
      <c r="D254" s="146"/>
      <c r="E254" s="79"/>
      <c r="F254" s="246" t="str">
        <f>IFERROR(INDEX('G-1 All Habitats'!$B$3:$B$129,MATCH(E254,'G-1 All Habitats'!$A$3:$A$129,0)),"")</f>
        <v/>
      </c>
      <c r="G254" s="70"/>
      <c r="H254" s="498" t="str">
        <f>IF(F254="","",VLOOKUP(F254,'G-1 All Habitats'!$B$2:$M$129,10,FALSE))</f>
        <v/>
      </c>
      <c r="I254" s="499" t="str">
        <f>IFERROR(VLOOKUP(H254,'G-1 All Habitats'!$V$3:$W$7,2,FALSE),"")</f>
        <v/>
      </c>
      <c r="J254" s="71"/>
      <c r="K254" s="499" t="str">
        <f>IFERROR(INDEX('G-8 Condition Look up'!$A$3:$H$130,MATCH(F254,'G-8 Condition Look up'!$A$3:$A$130,0),MATCH(J254,'G-8 Condition Look up'!$A$3:$H$3,0)),"")</f>
        <v/>
      </c>
      <c r="L254" s="71"/>
      <c r="M254" s="507" t="str">
        <f>IF(L254="","",IF(VLOOKUP(L254,'G-3 Multipliers'!$L$3:$N$6,2,FALSE)=0,"Spatial Data Missing",VLOOKUP(L254,'G-3 Multipliers'!$L$3:$N$6,2,FALSE)))</f>
        <v/>
      </c>
      <c r="N254" s="505" t="str">
        <f>IF(L254="","",IF(VLOOKUP(L254,'G-3 Multipliers'!$L$3:$N$6,3,FALSE)=0,"Spatial Data Missing",VLOOKUP(L254,'G-3 Multipliers'!$L$3:$N$6,3,FALSE)))</f>
        <v/>
      </c>
      <c r="O254" s="498" t="str">
        <f t="shared" si="18"/>
        <v/>
      </c>
      <c r="P254" s="82"/>
      <c r="Q254" s="82"/>
      <c r="R254" s="507" t="str">
        <f t="shared" si="20"/>
        <v/>
      </c>
      <c r="S254" s="521" t="str">
        <f t="shared" si="21"/>
        <v/>
      </c>
      <c r="T254" s="522" t="str">
        <f>IFERROR(IF(S254="Check Data ⚠","Check Data ⚠",VLOOKUP(S254,'G-4 Temporal multipliers'!$A$4:$C$37,3,FALSE)),"")</f>
        <v/>
      </c>
      <c r="U254" s="523" t="str">
        <f>IF(F254="","",VLOOKUP(F254,'G-3 Multipliers'!$A$2:$E$129,2,FALSE))</f>
        <v/>
      </c>
      <c r="V254" s="520" t="str">
        <f t="shared" si="22"/>
        <v/>
      </c>
      <c r="W254" s="520" t="str">
        <f>IF(E254="","",IF(AND(V254="Standard difficulty applied",O254&gt;P254),U254,IF(AND(V254="Low Difficulty - only applicable if all habitat created before losses",P254&gt;=O254),"Low",VLOOKUP(F254,'G-3 Multipliers'!$A$2:$E$129,4,FALSE))))</f>
        <v/>
      </c>
      <c r="X254" s="524" t="str">
        <f>IFERROR(IF(E254="","",VLOOKUP(W254, 'G-3 Multipliers'!$P$2:$Q$6,2,FALSE)),"")</f>
        <v/>
      </c>
      <c r="Y254" s="529" t="str">
        <f t="shared" si="23"/>
        <v/>
      </c>
      <c r="Z254" s="239"/>
      <c r="AA254" s="240"/>
      <c r="AE254" s="54" t="str">
        <f t="shared" si="19"/>
        <v/>
      </c>
    </row>
    <row r="255" spans="1:31" x14ac:dyDescent="0.25">
      <c r="A255" s="47" t="str">
        <f>IFERROR(INDEX('G-8 Condition Look up'!$I$4:$I$130,MATCH(F255,'G-8 Condition Look up'!$A$4:$A$130,0)),"")</f>
        <v/>
      </c>
      <c r="C255" s="384" t="str">
        <f>IFERROR(INDEX('G-1 All Habitats'!$AG$3:$AG$15,MATCH(D255,'G-1 All Habitats'!$AF$3:$AF$15,0)),"")</f>
        <v/>
      </c>
      <c r="D255" s="146"/>
      <c r="E255" s="79"/>
      <c r="F255" s="246" t="str">
        <f>IFERROR(INDEX('G-1 All Habitats'!$B$3:$B$129,MATCH(E255,'G-1 All Habitats'!$A$3:$A$129,0)),"")</f>
        <v/>
      </c>
      <c r="G255" s="70"/>
      <c r="H255" s="498" t="str">
        <f>IF(F255="","",VLOOKUP(F255,'G-1 All Habitats'!$B$2:$M$129,10,FALSE))</f>
        <v/>
      </c>
      <c r="I255" s="499" t="str">
        <f>IFERROR(VLOOKUP(H255,'G-1 All Habitats'!$V$3:$W$7,2,FALSE),"")</f>
        <v/>
      </c>
      <c r="J255" s="71"/>
      <c r="K255" s="499" t="str">
        <f>IFERROR(INDEX('G-8 Condition Look up'!$A$3:$H$130,MATCH(F255,'G-8 Condition Look up'!$A$3:$A$130,0),MATCH(J255,'G-8 Condition Look up'!$A$3:$H$3,0)),"")</f>
        <v/>
      </c>
      <c r="L255" s="71"/>
      <c r="M255" s="507" t="str">
        <f>IF(L255="","",IF(VLOOKUP(L255,'G-3 Multipliers'!$L$3:$N$6,2,FALSE)=0,"Spatial Data Missing",VLOOKUP(L255,'G-3 Multipliers'!$L$3:$N$6,2,FALSE)))</f>
        <v/>
      </c>
      <c r="N255" s="505" t="str">
        <f>IF(L255="","",IF(VLOOKUP(L255,'G-3 Multipliers'!$L$3:$N$6,3,FALSE)=0,"Spatial Data Missing",VLOOKUP(L255,'G-3 Multipliers'!$L$3:$N$6,3,FALSE)))</f>
        <v/>
      </c>
      <c r="O255" s="498" t="str">
        <f t="shared" si="18"/>
        <v/>
      </c>
      <c r="P255" s="82"/>
      <c r="Q255" s="82"/>
      <c r="R255" s="507" t="str">
        <f t="shared" si="20"/>
        <v/>
      </c>
      <c r="S255" s="521" t="str">
        <f t="shared" si="21"/>
        <v/>
      </c>
      <c r="T255" s="522" t="str">
        <f>IFERROR(IF(S255="Check Data ⚠","Check Data ⚠",VLOOKUP(S255,'G-4 Temporal multipliers'!$A$4:$C$37,3,FALSE)),"")</f>
        <v/>
      </c>
      <c r="U255" s="523" t="str">
        <f>IF(F255="","",VLOOKUP(F255,'G-3 Multipliers'!$A$2:$E$129,2,FALSE))</f>
        <v/>
      </c>
      <c r="V255" s="520" t="str">
        <f t="shared" si="22"/>
        <v/>
      </c>
      <c r="W255" s="520" t="str">
        <f>IF(E255="","",IF(AND(V255="Standard difficulty applied",O255&gt;P255),U255,IF(AND(V255="Low Difficulty - only applicable if all habitat created before losses",P255&gt;=O255),"Low",VLOOKUP(F255,'G-3 Multipliers'!$A$2:$E$129,4,FALSE))))</f>
        <v/>
      </c>
      <c r="X255" s="524" t="str">
        <f>IFERROR(IF(E255="","",VLOOKUP(W255, 'G-3 Multipliers'!$P$2:$Q$6,2,FALSE)),"")</f>
        <v/>
      </c>
      <c r="Y255" s="529" t="str">
        <f t="shared" si="23"/>
        <v/>
      </c>
      <c r="Z255" s="239"/>
      <c r="AA255" s="240"/>
      <c r="AE255" s="54" t="str">
        <f t="shared" si="19"/>
        <v/>
      </c>
    </row>
    <row r="256" spans="1:31" ht="14.4" thickBot="1" x14ac:dyDescent="0.3">
      <c r="A256" s="47" t="str">
        <f>IFERROR(INDEX('G-8 Condition Look up'!$I$4:$I$130,MATCH(F256,'G-8 Condition Look up'!$A$4:$A$130,0)),"")</f>
        <v/>
      </c>
      <c r="C256" s="385" t="str">
        <f>IFERROR(INDEX('G-1 All Habitats'!$AG$3:$AG$15,MATCH(D256,'G-1 All Habitats'!$AF$3:$AF$15,0)),"")</f>
        <v/>
      </c>
      <c r="D256" s="314"/>
      <c r="E256" s="241"/>
      <c r="F256" s="319" t="str">
        <f>IFERROR(INDEX('G-1 All Habitats'!$B$3:$B$129,MATCH(E256,'G-1 All Habitats'!$A$3:$A$129,0)),"")</f>
        <v/>
      </c>
      <c r="G256" s="318"/>
      <c r="H256" s="500" t="str">
        <f>IF(F256="","",VLOOKUP(F256,'G-1 All Habitats'!$B$2:$M$129,10,FALSE))</f>
        <v/>
      </c>
      <c r="I256" s="501" t="str">
        <f>IFERROR(VLOOKUP(H256,'G-1 All Habitats'!$V$3:$W$7,2,FALSE),"")</f>
        <v/>
      </c>
      <c r="J256" s="314"/>
      <c r="K256" s="501" t="str">
        <f>IFERROR(INDEX('G-8 Condition Look up'!$A$3:$H$130,MATCH(F256,'G-8 Condition Look up'!$A$3:$A$130,0),MATCH(J256,'G-8 Condition Look up'!$A$3:$H$3,0)),"")</f>
        <v/>
      </c>
      <c r="L256" s="314"/>
      <c r="M256" s="508" t="str">
        <f>IF(L256="","",IF(VLOOKUP(L256,'G-3 Multipliers'!$L$3:$N$6,2,FALSE)=0,"Spatial Data Missing",VLOOKUP(L256,'G-3 Multipliers'!$L$3:$N$6,2,FALSE)))</f>
        <v/>
      </c>
      <c r="N256" s="505" t="str">
        <f>IF(L256="","",IF(VLOOKUP(L256,'G-3 Multipliers'!$L$3:$N$6,3,FALSE)=0,"Spatial Data Missing",VLOOKUP(L256,'G-3 Multipliers'!$L$3:$N$6,3,FALSE)))</f>
        <v/>
      </c>
      <c r="O256" s="500" t="str">
        <f t="shared" si="18"/>
        <v/>
      </c>
      <c r="P256" s="241"/>
      <c r="Q256" s="241"/>
      <c r="R256" s="507" t="str">
        <f t="shared" si="20"/>
        <v/>
      </c>
      <c r="S256" s="521" t="str">
        <f t="shared" si="21"/>
        <v/>
      </c>
      <c r="T256" s="522" t="str">
        <f>IFERROR(IF(S256="Check Data ⚠","Check Data ⚠",VLOOKUP(S256,'G-4 Temporal multipliers'!$A$4:$C$37,3,FALSE)),"")</f>
        <v/>
      </c>
      <c r="U256" s="528" t="str">
        <f>IF(F256="","",VLOOKUP(F256,'G-3 Multipliers'!$A$2:$E$129,2,FALSE))</f>
        <v/>
      </c>
      <c r="V256" s="520" t="str">
        <f t="shared" si="22"/>
        <v/>
      </c>
      <c r="W256" s="508" t="str">
        <f>IF(E256="","",IF(AND(V256="Standard difficulty applied",O256&gt;P256),U256,IF(AND(V256="Low Difficulty - only applicable if all habitat created before losses",P256&gt;=O256),"Low",VLOOKUP(F256,'G-3 Multipliers'!$A$2:$E$129,4,FALSE))))</f>
        <v/>
      </c>
      <c r="X256" s="524" t="str">
        <f>IFERROR(IF(E256="","",VLOOKUP(W256, 'G-3 Multipliers'!$P$2:$Q$6,2,FALSE)),"")</f>
        <v/>
      </c>
      <c r="Y256" s="530" t="str">
        <f t="shared" si="23"/>
        <v/>
      </c>
      <c r="Z256" s="320"/>
      <c r="AA256" s="321"/>
      <c r="AE256" s="54" t="str">
        <f t="shared" si="19"/>
        <v/>
      </c>
    </row>
    <row r="257" spans="5:25" ht="14.4" thickBot="1" x14ac:dyDescent="0.3">
      <c r="E257" s="178" t="s">
        <v>243</v>
      </c>
      <c r="F257" s="340" t="s">
        <v>244</v>
      </c>
      <c r="G257" s="519">
        <f>SUM(G11:G256)</f>
        <v>1.1531</v>
      </c>
      <c r="T257" s="86"/>
      <c r="U257" s="86"/>
      <c r="V257" s="86"/>
      <c r="W257" s="86"/>
      <c r="X257" s="173" t="s">
        <v>245</v>
      </c>
      <c r="Y257" s="519">
        <f>SUM(Y11:Y256)</f>
        <v>2.1426687161742399</v>
      </c>
    </row>
    <row r="258" spans="5:25" ht="14.4" thickBot="1" x14ac:dyDescent="0.3">
      <c r="E258" s="47"/>
    </row>
    <row r="259" spans="5:25" ht="14.4" thickBot="1" x14ac:dyDescent="0.3">
      <c r="E259" s="502" t="s">
        <v>246</v>
      </c>
      <c r="G259" s="519">
        <f>IF('Detailed Results'!$K$40&gt;0,"Error",SUMIFS($G$11:$G$256,$F$11:$F$256,"&lt;&gt;"&amp;'G-1 All Habitats'!B73,$F$11:$F$256,"&lt;&gt;"&amp;'G-1 All Habitats'!B65,$F$11:$F$256,"&lt;&gt;"&amp;'G-1 All Habitats'!B66))</f>
        <v>0.98310000000000008</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ZKSaWrML89nWeSGSE+CneB3Rr5QFX1qLBS0zXY2C/DFz6XOT68sR1FlyvlS258yZlIoXLiJx4p0BUYAOg2WncA==" saltValue="QqpyhXYa+WJnsNQV448EnA=="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s>
  <conditionalFormatting sqref="K11:K256">
    <cfRule type="cellIs" dxfId="260" priority="38" operator="equal">
      <formula>"Not Possible"</formula>
    </cfRule>
  </conditionalFormatting>
  <conditionalFormatting sqref="S11:S256">
    <cfRule type="containsText" dxfId="259" priority="20" operator="containsText" text="30+">
      <formula>NOT(ISERROR(SEARCH("30+",S11)))</formula>
    </cfRule>
  </conditionalFormatting>
  <conditionalFormatting sqref="O11:O256">
    <cfRule type="containsText" dxfId="258" priority="19" operator="containsText" text="30+">
      <formula>NOT(ISERROR(SEARCH("30+",O11)))</formula>
    </cfRule>
  </conditionalFormatting>
  <conditionalFormatting sqref="V11:V256">
    <cfRule type="cellIs" dxfId="257" priority="9" operator="equal">
      <formula>"No - Enhancement difficulty applied"</formula>
    </cfRule>
    <cfRule type="containsText" dxfId="256" priority="15" operator="containsText" text="No - Low Difficulty">
      <formula>NOT(ISERROR(SEARCH("No - Low Difficulty",V11)))</formula>
    </cfRule>
  </conditionalFormatting>
  <conditionalFormatting sqref="X12:Y257 R11:Y11 R12:X256">
    <cfRule type="containsText" dxfId="255" priority="14" operator="containsText" text="Error">
      <formula>NOT(ISERROR(SEARCH("Error",R11)))</formula>
    </cfRule>
    <cfRule type="containsText" dxfId="254" priority="17" operator="containsText" text="Check">
      <formula>NOT(ISERROR(SEARCH("Check",R11)))</formula>
    </cfRule>
  </conditionalFormatting>
  <conditionalFormatting sqref="P2">
    <cfRule type="containsText" dxfId="253" priority="13" operator="containsText" text="Note">
      <formula>NOT(ISERROR(SEARCH("Note",P2)))</formula>
    </cfRule>
  </conditionalFormatting>
  <conditionalFormatting sqref="P5">
    <cfRule type="containsText" dxfId="252" priority="12" operator="containsText" text="Check">
      <formula>NOT(ISERROR(SEARCH("Check",P5)))</formula>
    </cfRule>
  </conditionalFormatting>
  <conditionalFormatting sqref="T255">
    <cfRule type="containsText" dxfId="251" priority="11" operator="containsText" text="30+">
      <formula>NOT(ISERROR(SEARCH("30+",T255)))</formula>
    </cfRule>
  </conditionalFormatting>
  <conditionalFormatting sqref="V11:V256">
    <cfRule type="cellIs" dxfId="250" priority="10" operator="equal">
      <formula>"No - Enhancement difficulty applied"</formula>
    </cfRule>
  </conditionalFormatting>
  <conditionalFormatting sqref="E257">
    <cfRule type="containsText" dxfId="249" priority="7" operator="containsText" text="Error">
      <formula>NOT(ISERROR(SEARCH("Error",E257)))</formula>
    </cfRule>
    <cfRule type="containsText" dxfId="248"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activeCell="AN5" sqref="AN5"/>
    </sheetView>
  </sheetViews>
  <sheetFormatPr defaultColWidth="8.88671875" defaultRowHeight="13.8" zeroHeight="1" x14ac:dyDescent="0.25"/>
  <cols>
    <col min="1" max="1" width="19.5546875" style="47" hidden="1" customWidth="1"/>
    <col min="2" max="2" width="19" style="47" hidden="1" customWidth="1"/>
    <col min="3" max="3" width="11" style="47" hidden="1" customWidth="1"/>
    <col min="4" max="4" width="2.88671875" style="47" customWidth="1"/>
    <col min="5" max="5" width="11.33203125" style="47" customWidth="1"/>
    <col min="6" max="6" width="57.6640625" style="47" customWidth="1"/>
    <col min="7" max="7" width="13.109375" style="47" customWidth="1"/>
    <col min="8" max="9" width="17.88671875" style="47" customWidth="1"/>
    <col min="10" max="10" width="18.10937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09375" style="47" customWidth="1"/>
    <col min="23" max="23" width="18.44140625" style="47" customWidth="1"/>
    <col min="24" max="24" width="13.109375" style="47" customWidth="1"/>
    <col min="25" max="25" width="12.6640625" style="47" customWidth="1"/>
    <col min="26" max="26" width="12.5546875" style="47" customWidth="1"/>
    <col min="27" max="27" width="41.6640625" style="47" customWidth="1"/>
    <col min="28" max="28" width="15.44140625" style="47" customWidth="1"/>
    <col min="29" max="29" width="12.33203125" style="47" customWidth="1"/>
    <col min="30" max="30" width="18.109375" style="47" customWidth="1"/>
    <col min="31" max="31" width="20.8867187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44140625" style="47" customWidth="1"/>
    <col min="38" max="38" width="17.109375" style="47" customWidth="1"/>
    <col min="39" max="39" width="14.5546875" style="47" customWidth="1"/>
    <col min="40" max="40" width="12.6640625" style="47" customWidth="1"/>
    <col min="41" max="41" width="40.33203125" style="47" customWidth="1"/>
    <col min="42" max="42" width="42.33203125" style="47" customWidth="1"/>
    <col min="43" max="55" width="8.88671875" style="47" customWidth="1"/>
    <col min="56" max="16384" width="8.88671875" style="47"/>
  </cols>
  <sheetData>
    <row r="1" spans="1:42" ht="14.4" thickBot="1" x14ac:dyDescent="0.3"/>
    <row r="2" spans="1:42" ht="19.5" customHeight="1" thickBot="1" x14ac:dyDescent="0.3">
      <c r="E2" s="933" t="str">
        <f>IF(Start!$F$12="","",Start!$F$12)</f>
        <v>Land at Doncaster Road, Goldthorpe, Rotherham</v>
      </c>
      <c r="F2" s="934"/>
      <c r="G2" s="935"/>
      <c r="AD2" s="938" t="str">
        <f>IF(OR(COUNTIF($AD$12:AD257,"*30+*")&gt;0,COUNTIF(AH12:AH257,"*30+*")&gt;0),"Note; Habitat selected has a time to target condition greater than 30 years. Non standard agreement may be required.","")</f>
        <v/>
      </c>
      <c r="AE2" s="938"/>
      <c r="AF2" s="938"/>
      <c r="AG2" s="938"/>
      <c r="AH2" s="938"/>
      <c r="AI2" s="938"/>
    </row>
    <row r="3" spans="1:42" ht="13.2" customHeight="1" x14ac:dyDescent="0.25">
      <c r="E3" s="891" t="str">
        <f ca="1">MID(CELL("filename",D1),FIND("]",CELL("filename",D1))+1,256)</f>
        <v>A-3 Site Habitat Enhancement</v>
      </c>
      <c r="F3" s="892"/>
      <c r="G3" s="893"/>
      <c r="AD3" s="938"/>
      <c r="AE3" s="938"/>
      <c r="AF3" s="938"/>
      <c r="AG3" s="938"/>
      <c r="AH3" s="938"/>
      <c r="AI3" s="938"/>
    </row>
    <row r="4" spans="1:42" ht="15.75" customHeight="1" thickBot="1" x14ac:dyDescent="0.35">
      <c r="E4" s="894"/>
      <c r="F4" s="895"/>
      <c r="G4" s="896"/>
      <c r="H4" s="234" t="str">
        <f>IF(G4="","",IF(ISNA(VLOOKUP($E4,'A-1 Site Habitat Baseline'!$D$1:$O$258,3,FALSE)),"",(VLOOKUP($E4,'A-1 Site Habitat Baseline'!$D$1:$O$258,3,FALSE))))</f>
        <v/>
      </c>
      <c r="AD4" s="447"/>
      <c r="AE4" s="447"/>
      <c r="AF4" s="447"/>
      <c r="AG4" s="447"/>
      <c r="AK4" s="235"/>
      <c r="AL4" s="235"/>
      <c r="AM4" s="235"/>
    </row>
    <row r="5" spans="1:42" ht="15" customHeight="1" x14ac:dyDescent="0.25">
      <c r="AD5" s="938" t="str">
        <f>IF(Q12&lt;&gt;A12,"Change in broad habitat type detected. Check compliance with guidance.","")</f>
        <v/>
      </c>
      <c r="AE5" s="938"/>
      <c r="AF5" s="938"/>
      <c r="AG5" s="938"/>
      <c r="AH5" s="938"/>
      <c r="AI5" s="938"/>
    </row>
    <row r="6" spans="1:42" ht="15.75" customHeight="1" x14ac:dyDescent="0.25">
      <c r="AD6" s="938"/>
      <c r="AE6" s="938"/>
      <c r="AF6" s="938"/>
      <c r="AG6" s="938"/>
      <c r="AH6" s="938"/>
      <c r="AI6" s="938"/>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8" t="s">
        <v>225</v>
      </c>
      <c r="R9" s="919"/>
      <c r="S9" s="919"/>
      <c r="T9" s="919"/>
      <c r="U9" s="919"/>
      <c r="V9" s="919"/>
      <c r="W9" s="919"/>
      <c r="X9" s="919"/>
      <c r="Y9" s="919"/>
      <c r="Z9" s="919"/>
      <c r="AA9" s="919"/>
      <c r="AB9" s="919"/>
      <c r="AC9" s="919"/>
      <c r="AD9" s="919"/>
      <c r="AE9" s="919"/>
      <c r="AF9" s="919"/>
      <c r="AG9" s="919"/>
      <c r="AH9" s="919"/>
      <c r="AI9" s="919"/>
      <c r="AJ9" s="919"/>
      <c r="AK9" s="919"/>
      <c r="AL9" s="919"/>
      <c r="AM9" s="920"/>
    </row>
    <row r="10" spans="1:42" ht="28.2" customHeight="1" thickBot="1" x14ac:dyDescent="0.3">
      <c r="F10" s="918" t="s">
        <v>247</v>
      </c>
      <c r="G10" s="919"/>
      <c r="H10" s="919"/>
      <c r="I10" s="919"/>
      <c r="J10" s="919"/>
      <c r="K10" s="919"/>
      <c r="L10" s="919"/>
      <c r="M10" s="919"/>
      <c r="N10" s="919"/>
      <c r="O10" s="920"/>
      <c r="P10" s="236"/>
      <c r="Q10" s="936" t="s">
        <v>248</v>
      </c>
      <c r="R10" s="937"/>
      <c r="S10" s="396"/>
      <c r="T10" s="924" t="s">
        <v>249</v>
      </c>
      <c r="U10" s="923"/>
      <c r="V10" s="925" t="s">
        <v>250</v>
      </c>
      <c r="W10" s="930" t="s">
        <v>189</v>
      </c>
      <c r="X10" s="930" t="s">
        <v>206</v>
      </c>
      <c r="Y10" s="930" t="s">
        <v>190</v>
      </c>
      <c r="Z10" s="928" t="s">
        <v>206</v>
      </c>
      <c r="AA10" s="922" t="s">
        <v>191</v>
      </c>
      <c r="AB10" s="924"/>
      <c r="AC10" s="923"/>
      <c r="AD10" s="903" t="s">
        <v>251</v>
      </c>
      <c r="AE10" s="905"/>
      <c r="AF10" s="905"/>
      <c r="AG10" s="905"/>
      <c r="AH10" s="905"/>
      <c r="AI10" s="904"/>
      <c r="AJ10" s="903" t="s">
        <v>252</v>
      </c>
      <c r="AK10" s="905"/>
      <c r="AL10" s="905"/>
      <c r="AM10" s="905"/>
      <c r="AN10" s="906" t="s">
        <v>230</v>
      </c>
      <c r="AO10" s="922" t="s">
        <v>196</v>
      </c>
      <c r="AP10" s="923"/>
    </row>
    <row r="11" spans="1:42" s="49" customFormat="1" ht="42" thickBot="1" x14ac:dyDescent="0.3">
      <c r="A11" s="388" t="s">
        <v>202</v>
      </c>
      <c r="B11" s="388" t="s">
        <v>253</v>
      </c>
      <c r="C11" s="388" t="s">
        <v>200</v>
      </c>
      <c r="E11" s="363" t="s">
        <v>254</v>
      </c>
      <c r="F11" s="367" t="s">
        <v>255</v>
      </c>
      <c r="G11" s="367" t="s">
        <v>256</v>
      </c>
      <c r="H11" s="367" t="s">
        <v>257</v>
      </c>
      <c r="I11" s="367" t="s">
        <v>258</v>
      </c>
      <c r="J11" s="367" t="s">
        <v>259</v>
      </c>
      <c r="K11" s="367" t="s">
        <v>260</v>
      </c>
      <c r="L11" s="367" t="s">
        <v>261</v>
      </c>
      <c r="M11" s="367" t="s">
        <v>262</v>
      </c>
      <c r="N11" s="367" t="s">
        <v>263</v>
      </c>
      <c r="O11" s="365" t="s">
        <v>192</v>
      </c>
      <c r="P11" s="361" t="s">
        <v>264</v>
      </c>
      <c r="Q11" s="380" t="s">
        <v>265</v>
      </c>
      <c r="R11" s="77" t="s">
        <v>227</v>
      </c>
      <c r="S11" s="362" t="s">
        <v>227</v>
      </c>
      <c r="T11" s="364" t="s">
        <v>266</v>
      </c>
      <c r="U11" s="366" t="s">
        <v>267</v>
      </c>
      <c r="V11" s="926"/>
      <c r="W11" s="931"/>
      <c r="X11" s="931"/>
      <c r="Y11" s="931"/>
      <c r="Z11" s="929"/>
      <c r="AA11" s="380" t="s">
        <v>191</v>
      </c>
      <c r="AB11" s="389" t="s">
        <v>191</v>
      </c>
      <c r="AC11" s="390" t="s">
        <v>231</v>
      </c>
      <c r="AD11" s="380" t="s">
        <v>232</v>
      </c>
      <c r="AE11" s="391" t="s">
        <v>268</v>
      </c>
      <c r="AF11" s="391" t="s">
        <v>269</v>
      </c>
      <c r="AG11" s="391" t="s">
        <v>235</v>
      </c>
      <c r="AH11" s="391" t="s">
        <v>236</v>
      </c>
      <c r="AI11" s="381" t="s">
        <v>237</v>
      </c>
      <c r="AJ11" s="380" t="s">
        <v>270</v>
      </c>
      <c r="AK11" s="391" t="s">
        <v>239</v>
      </c>
      <c r="AL11" s="391" t="s">
        <v>271</v>
      </c>
      <c r="AM11" s="393" t="s">
        <v>241</v>
      </c>
      <c r="AN11" s="927"/>
      <c r="AO11" s="364" t="s">
        <v>215</v>
      </c>
      <c r="AP11" s="366"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1" t="str">
        <f>'A-1 Site Habitat Baseline'!AL11</f>
        <v/>
      </c>
      <c r="F12" s="520" t="str">
        <f>IF(E12="","",IF(ISNA(VLOOKUP($E12,'A-1 Site Habitat Baseline'!$D$1:$O$258,4,FALSE)),"",(VLOOKUP($E12,'A-1 Site Habitat Baseline'!$D$1:$O$258,4,FALSE))))</f>
        <v/>
      </c>
      <c r="G12" s="520" t="str">
        <f>IF(E12="","",IF(ISNA(VLOOKUP($E12,'A-1 Site Habitat Baseline'!$D$1:$O$258,5,FALSE)),"",(VLOOKUP($E12,'A-1 Site Habitat Baseline'!$D$1:$O$258,5,FALSE))))</f>
        <v/>
      </c>
      <c r="H12" s="520" t="str">
        <f>IF(E12="","",IF(ISNA(VLOOKUP($E12,'A-1 Site Habitat Baseline'!$D$1:$O$258,6,FALSE)),"",(VLOOKUP($E12,'A-1 Site Habitat Baseline'!$D$1:$O$258,6,FALSE))))</f>
        <v/>
      </c>
      <c r="I12" s="520" t="str">
        <f>IF(E12="","",IF(ISNA(VLOOKUP($E12,'A-1 Site Habitat Baseline'!$D$1:$O$258,7,FALSE)),"",(VLOOKUP($E12,'A-1 Site Habitat Baseline'!$D$1:$O$258,7,FALSE))))</f>
        <v/>
      </c>
      <c r="J12" s="520" t="str">
        <f>IF(E12="","",IF(ISNA(VLOOKUP($E12,'A-1 Site Habitat Baseline'!$D$1:$O$258,8,FALSE)),"",(VLOOKUP($E12,'A-1 Site Habitat Baseline'!$D$1:$O$258,8,FALSE))))</f>
        <v/>
      </c>
      <c r="K12" s="520" t="str">
        <f>IF(E12="","",IF(ISNA(VLOOKUP($E12,'A-1 Site Habitat Baseline'!$D$1:$O$258,9,FALSE)),"",(VLOOKUP($E12,'A-1 Site Habitat Baseline'!$D$1:$O$258,9,FALSE))))</f>
        <v/>
      </c>
      <c r="L12" s="520" t="str">
        <f>IF(E12="","",IF(ISNA(VLOOKUP($E12,'A-1 Site Habitat Baseline'!$D$1:$O$258,11,FALSE)),"",(VLOOKUP($E12,'A-1 Site Habitat Baseline'!$D$1:$O$258,11,FALSE))))</f>
        <v/>
      </c>
      <c r="M12" s="520" t="str">
        <f>IF(E12="","",IF(ISNA(VLOOKUP($E12,'A-1 Site Habitat Baseline'!$D$1:$O$258,12,FALSE)),"",(VLOOKUP($E12,'A-1 Site Habitat Baseline'!$D$1:$O$258,12,FALSE))))</f>
        <v/>
      </c>
      <c r="N12" s="532" t="str">
        <f>IF(E12="","",IF(ISNA(VLOOKUP($E12,'A-1 Site Habitat Baseline'!$D$1:$X$258,14,FALSE)),"",(VLOOKUP($E12,'A-1 Site Habitat Baseline'!$D$1:$X$258,14,FALSE))))</f>
        <v/>
      </c>
      <c r="O12" s="524" t="str">
        <f>IF(E12="","",IF(ISNA(VLOOKUP($E12,'A-1 Site Habitat Baseline'!$D$1:$X$258,16,FALSE)),"",(VLOOKUP($E12,'A-1 Site Habitat Baseline'!$D$1:$X$258,13,FALSE))))</f>
        <v/>
      </c>
      <c r="P12" s="237" t="str">
        <f>IFERROR(INDEX('G-1 All Habitats'!$AG$3:$AG$15,MATCH(Q12,'G-1 All Habitats'!$AF$3:$AF$15,0)),"")</f>
        <v/>
      </c>
      <c r="Q12" s="238" t="str">
        <f t="shared" ref="Q12" si="0">A12</f>
        <v/>
      </c>
      <c r="R12" s="238"/>
      <c r="S12" s="392" t="str">
        <f>IFERROR(INDEX('G-1 All Habitats'!$B$3:$B$129,MATCH(R12,'G-1 All Habitats'!$A$3:$A$129,0)),"")</f>
        <v/>
      </c>
      <c r="T12" s="498"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9"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7" t="str">
        <f>IF(S12="","",VLOOKUP(E12,BaselineHabSite,17,FALSE))</f>
        <v/>
      </c>
      <c r="W12" s="520" t="str">
        <f>IF(S12="","",VLOOKUP(S12,'G-1 All Habitats'!$B$2:$M$129,10,FALSE))</f>
        <v/>
      </c>
      <c r="X12" s="520" t="str">
        <f>IFERROR(VLOOKUP(W12,'G-1 All Habitats'!$V$3:$W$7,2,FALSE),"")</f>
        <v/>
      </c>
      <c r="Y12" s="79"/>
      <c r="Z12" s="524" t="str">
        <f>IFERROR(INDEX('G-8 Condition Look up'!$A$3:$H$130,MATCH(S12,'G-8 Condition Look up'!$A$3:$A$130,0),MATCH(Y12,'G-8 Condition Look up'!$A$3:$H$3,0)),"")</f>
        <v/>
      </c>
      <c r="AA12" s="71"/>
      <c r="AB12" s="520" t="str">
        <f>IF(AA12="","",IF(VLOOKUP(AA12,'G-3 Multipliers'!$L$3:$N$6,2,FALSE)=0,"Spatial Data Missing ⚠",VLOOKUP(AA12,'G-3 Multipliers'!$L$3:$N$6,2,FALSE)))</f>
        <v/>
      </c>
      <c r="AC12" s="524" t="str">
        <f>IF(AA12="","",IF(VLOOKUP(AA12,'G-3 Multipliers'!$L$3:$N$6,3,FALSE)=0,"Spatial Data Missing ⚠",VLOOKUP(AA12,'G-3 Multipliers'!$L$3:$N$6,3,FALSE)))</f>
        <v/>
      </c>
      <c r="AD12" s="539" t="str">
        <f t="shared" ref="AD12:AD75" si="1">IFERROR(IF(OR(LEFT(U12,5)="Error ▲",LEFT(T12,5)="Error ▲"),"Check Data ⚠",INDEX(EnhanceTemporal,MATCH(S12,EnhanceHabitat,0),MATCH(U12,EnhanceCondition,0))),"")</f>
        <v/>
      </c>
      <c r="AE12" s="82"/>
      <c r="AF12" s="82"/>
      <c r="AG12" s="507"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1"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2" t="str">
        <f>IF(AH12="Check Data ⚠","Check Data ⚠",IFERROR(VLOOKUP(AH12,'G-4 Temporal multipliers'!$A$4:$C$36,3,FALSE),""))</f>
        <v/>
      </c>
      <c r="AJ12" s="498" t="str">
        <f>IF(S12="","",VLOOKUP(S12,'G-3 Multipliers'!$A$2:$E$129,4,FALSE))</f>
        <v/>
      </c>
      <c r="AK12" s="507" t="str">
        <f>IF(E12="","",IF(AG12="Check details - Is there evidence that habitat has reached target condition? ⚠","Low Difficulty - only applicable if all habitat created before losses ⚠","Standard difficulty applied"))</f>
        <v/>
      </c>
      <c r="AL12" s="507" t="str">
        <f>(IF(AND(AK12="Standard difficulty applied",AD12&gt;AE12),AJ12,IF(AND(AK12="Low Difficulty - only applicable if all habitat created before losses ⚠",AE12&gt;=AD12),"Low", AJ12)))</f>
        <v/>
      </c>
      <c r="AM12" s="540" t="str">
        <f>IFERROR(IF(F12="","",IF(AH12="Check Data ⚠","Check Data ⚠",VLOOKUP(AL12, 'G-3 Multipliers'!$P$2:$Q$6,2,FALSE))),"")</f>
        <v/>
      </c>
      <c r="AN12" s="513" t="str">
        <f>IFERROR(((((V12*X12*Z12)-(V12*I12*K12))*(AM12*AI12))+(V12*I12*K12))*(AC12),"")</f>
        <v/>
      </c>
      <c r="AO12" s="239"/>
      <c r="AP12" s="240"/>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1" t="str">
        <f>'A-1 Site Habitat Baseline'!AL12</f>
        <v/>
      </c>
      <c r="F13" s="520" t="str">
        <f>IF(E13="","",IF(ISNA(VLOOKUP($E13,'A-1 Site Habitat Baseline'!$D$1:$O$258,4,FALSE)),"",(VLOOKUP($E13,'A-1 Site Habitat Baseline'!$D$1:$O$258,4,FALSE))))</f>
        <v/>
      </c>
      <c r="G13" s="520" t="str">
        <f>IF(E13="","",IF(ISNA(VLOOKUP($E13,'A-1 Site Habitat Baseline'!$D$1:$O$258,5,FALSE)),"",(VLOOKUP($E13,'A-1 Site Habitat Baseline'!$D$1:$O$258,5,FALSE))))</f>
        <v/>
      </c>
      <c r="H13" s="520" t="str">
        <f>IF(E13="","",IF(ISNA(VLOOKUP($E13,'A-1 Site Habitat Baseline'!$D$1:$O$258,6,FALSE)),"",(VLOOKUP($E13,'A-1 Site Habitat Baseline'!$D$1:$O$258,6,FALSE))))</f>
        <v/>
      </c>
      <c r="I13" s="520" t="str">
        <f>IF(E13="","",IF(ISNA(VLOOKUP($E13,'A-1 Site Habitat Baseline'!$D$1:$O$258,7,FALSE)),"",(VLOOKUP($E13,'A-1 Site Habitat Baseline'!$D$1:$O$258,7,FALSE))))</f>
        <v/>
      </c>
      <c r="J13" s="520" t="str">
        <f>IF(E13="","",IF(ISNA(VLOOKUP($E13,'A-1 Site Habitat Baseline'!$D$1:$O$258,8,FALSE)),"",(VLOOKUP($E13,'A-1 Site Habitat Baseline'!$D$1:$O$258,8,FALSE))))</f>
        <v/>
      </c>
      <c r="K13" s="520" t="str">
        <f>IF(E13="","",IF(ISNA(VLOOKUP($E13,'A-1 Site Habitat Baseline'!$D$1:$O$258,9,FALSE)),"",(VLOOKUP($E13,'A-1 Site Habitat Baseline'!$D$1:$O$258,9,FALSE))))</f>
        <v/>
      </c>
      <c r="L13" s="520" t="str">
        <f>IF(E13="","",IF(ISNA(VLOOKUP($E13,'A-1 Site Habitat Baseline'!$D$1:$O$258,11,FALSE)),"",(VLOOKUP($E13,'A-1 Site Habitat Baseline'!$D$1:$O$258,11,FALSE))))</f>
        <v/>
      </c>
      <c r="M13" s="520" t="str">
        <f>IF(E13="","",IF(ISNA(VLOOKUP($E13,'A-1 Site Habitat Baseline'!$D$1:$O$258,12,FALSE)),"",(VLOOKUP($E13,'A-1 Site Habitat Baseline'!$D$1:$O$258,12,FALSE))))</f>
        <v/>
      </c>
      <c r="N13" s="532" t="str">
        <f>IF(E13="","",IF(ISNA(VLOOKUP($E13,'A-1 Site Habitat Baseline'!$D$1:$X$258,14,FALSE)),"",(VLOOKUP($E13,'A-1 Site Habitat Baseline'!$D$1:$X$258,14,FALSE))))</f>
        <v/>
      </c>
      <c r="O13" s="524" t="str">
        <f>IF(E13="","",IF(ISNA(VLOOKUP($E13,'A-1 Site Habitat Baseline'!$D$1:$X$258,16,FALSE)),"",(VLOOKUP($E13,'A-1 Site Habitat Baseline'!$D$1:$X$258,13,FALSE))))</f>
        <v/>
      </c>
      <c r="P13" s="237" t="str">
        <f>IFERROR(INDEX('G-1 All Habitats'!$AG$3:$AG$15,MATCH(Q13,'G-1 All Habitats'!$AF$3:$AF$15,0)),"")</f>
        <v/>
      </c>
      <c r="Q13" s="238" t="str">
        <f t="shared" ref="Q13:Q76" si="2">A13</f>
        <v/>
      </c>
      <c r="R13" s="238"/>
      <c r="S13" s="392" t="str">
        <f>IFERROR(INDEX('G-1 All Habitats'!$B$3:$B$129,MATCH(R13,'G-1 All Habitats'!$A$3:$A$129,0)),"")</f>
        <v/>
      </c>
      <c r="T13" s="498"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9"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7" t="str">
        <f t="shared" ref="V13:V75" si="5">IF(S13="","",VLOOKUP(E13,BaselineHabSite,17,FALSE))</f>
        <v/>
      </c>
      <c r="W13" s="520" t="str">
        <f>IF(S13="","",VLOOKUP(S13,'G-1 All Habitats'!$B$2:$M$129,10,FALSE))</f>
        <v/>
      </c>
      <c r="X13" s="520" t="str">
        <f>IFERROR(VLOOKUP(W13,'G-1 All Habitats'!$V$3:$W$7,2,FALSE),"")</f>
        <v/>
      </c>
      <c r="Y13" s="79"/>
      <c r="Z13" s="524" t="str">
        <f>IFERROR(INDEX('G-8 Condition Look up'!$A$3:$H$130,MATCH(S13,'G-8 Condition Look up'!$A$3:$A$130,0),MATCH(Y13,'G-8 Condition Look up'!$A$3:$H$3,0)),"")</f>
        <v/>
      </c>
      <c r="AA13" s="71"/>
      <c r="AB13" s="520" t="str">
        <f>IF(AA13="","",IF(VLOOKUP(AA13,'G-3 Multipliers'!$L$3:$N$6,2,FALSE)=0,"Spatial Data Missing ⚠",VLOOKUP(AA13,'G-3 Multipliers'!$L$3:$N$6,2,FALSE)))</f>
        <v/>
      </c>
      <c r="AC13" s="524" t="str">
        <f>IF(AA13="","",IF(VLOOKUP(AA13,'G-3 Multipliers'!$L$3:$N$6,3,FALSE)=0,"Spatial Data Missing ⚠",VLOOKUP(AA13,'G-3 Multipliers'!$L$3:$N$6,3,FALSE)))</f>
        <v/>
      </c>
      <c r="AD13" s="539" t="str">
        <f t="shared" si="1"/>
        <v/>
      </c>
      <c r="AE13" s="82"/>
      <c r="AF13" s="82"/>
      <c r="AG13" s="507"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1"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2" t="str">
        <f>IF(AH13="Check Data","Check Data",IFERROR(VLOOKUP(AH13,'G-4 Temporal multipliers'!$A$4:$C$36,3,FALSE),""))</f>
        <v/>
      </c>
      <c r="AJ13" s="498" t="str">
        <f>IF(S13="","",VLOOKUP(S13,'G-3 Multipliers'!$A$2:$E$129,4,FALSE))</f>
        <v/>
      </c>
      <c r="AK13" s="507" t="str">
        <f t="shared" ref="AK13:AK76" si="8">IF(E13="","",IF(AG13="Check details - Is there evidence that habitat has reached target condition? ⚠","Low Difficulty - only applicable if all habitat created before losses ⚠","Standard difficulty applied"))</f>
        <v/>
      </c>
      <c r="AL13" s="507" t="str">
        <f t="shared" ref="AL13:AL76" si="9">(IF(AND(AK13="Standard difficulty applied",AD13&gt;AE13),AJ13,IF(AND(AK13="Low Difficulty - only applicable if all habitat created before losses ⚠",AE13&gt;=AD13),"Low", AJ13)))</f>
        <v/>
      </c>
      <c r="AM13" s="540" t="str">
        <f>IFERROR(IF(F13="","",IF(AH13="Check Data ⚠","Check Data ⚠",VLOOKUP(AL13, 'G-3 Multipliers'!$P$2:$Q$6,2,FALSE))),"")</f>
        <v/>
      </c>
      <c r="AN13" s="513" t="str">
        <f t="shared" ref="AN13:AN75" si="10">IFERROR(((((V13*X13*Z13)-(V13*I13*K13))*(AM13*AI13))+(V13*I13*K13))*(AC13),"")</f>
        <v/>
      </c>
      <c r="AO13" s="239"/>
      <c r="AP13" s="240"/>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1" t="str">
        <f>'A-1 Site Habitat Baseline'!AL13</f>
        <v/>
      </c>
      <c r="F14" s="520" t="str">
        <f>IF(E14="","",IF(ISNA(VLOOKUP($E14,'A-1 Site Habitat Baseline'!$D$1:$O$258,4,FALSE)),"",(VLOOKUP($E14,'A-1 Site Habitat Baseline'!$D$1:$O$258,4,FALSE))))</f>
        <v/>
      </c>
      <c r="G14" s="520" t="str">
        <f>IF(E14="","",IF(ISNA(VLOOKUP($E14,'A-1 Site Habitat Baseline'!$D$1:$O$258,5,FALSE)),"",(VLOOKUP($E14,'A-1 Site Habitat Baseline'!$D$1:$O$258,5,FALSE))))</f>
        <v/>
      </c>
      <c r="H14" s="520" t="str">
        <f>IF(E14="","",IF(ISNA(VLOOKUP($E14,'A-1 Site Habitat Baseline'!$D$1:$O$258,6,FALSE)),"",(VLOOKUP($E14,'A-1 Site Habitat Baseline'!$D$1:$O$258,6,FALSE))))</f>
        <v/>
      </c>
      <c r="I14" s="520" t="str">
        <f>IF(E14="","",IF(ISNA(VLOOKUP($E14,'A-1 Site Habitat Baseline'!$D$1:$O$258,7,FALSE)),"",(VLOOKUP($E14,'A-1 Site Habitat Baseline'!$D$1:$O$258,7,FALSE))))</f>
        <v/>
      </c>
      <c r="J14" s="520" t="str">
        <f>IF(E14="","",IF(ISNA(VLOOKUP($E14,'A-1 Site Habitat Baseline'!$D$1:$O$258,8,FALSE)),"",(VLOOKUP($E14,'A-1 Site Habitat Baseline'!$D$1:$O$258,8,FALSE))))</f>
        <v/>
      </c>
      <c r="K14" s="520" t="str">
        <f>IF(E14="","",IF(ISNA(VLOOKUP($E14,'A-1 Site Habitat Baseline'!$D$1:$O$258,9,FALSE)),"",(VLOOKUP($E14,'A-1 Site Habitat Baseline'!$D$1:$O$258,9,FALSE))))</f>
        <v/>
      </c>
      <c r="L14" s="520" t="str">
        <f>IF(E14="","",IF(ISNA(VLOOKUP($E14,'A-1 Site Habitat Baseline'!$D$1:$O$258,11,FALSE)),"",(VLOOKUP($E14,'A-1 Site Habitat Baseline'!$D$1:$O$258,11,FALSE))))</f>
        <v/>
      </c>
      <c r="M14" s="520" t="str">
        <f>IF(E14="","",IF(ISNA(VLOOKUP($E14,'A-1 Site Habitat Baseline'!$D$1:$O$258,12,FALSE)),"",(VLOOKUP($E14,'A-1 Site Habitat Baseline'!$D$1:$O$258,12,FALSE))))</f>
        <v/>
      </c>
      <c r="N14" s="532" t="str">
        <f>IF(E14="","",IF(ISNA(VLOOKUP($E14,'A-1 Site Habitat Baseline'!$D$1:$X$258,14,FALSE)),"",(VLOOKUP($E14,'A-1 Site Habitat Baseline'!$D$1:$X$258,14,FALSE))))</f>
        <v/>
      </c>
      <c r="O14" s="524" t="str">
        <f>IF(E14="","",IF(ISNA(VLOOKUP($E14,'A-1 Site Habitat Baseline'!$D$1:$X$258,16,FALSE)),"",(VLOOKUP($E14,'A-1 Site Habitat Baseline'!$D$1:$X$258,13,FALSE))))</f>
        <v/>
      </c>
      <c r="P14" s="237" t="str">
        <f>IFERROR(INDEX('G-1 All Habitats'!$AG$3:$AG$15,MATCH(Q14,'G-1 All Habitats'!$AF$3:$AF$15,0)),"")</f>
        <v/>
      </c>
      <c r="Q14" s="238" t="str">
        <f t="shared" si="2"/>
        <v/>
      </c>
      <c r="R14" s="238"/>
      <c r="S14" s="392" t="str">
        <f>IFERROR(INDEX('G-1 All Habitats'!$B$3:$B$129,MATCH(R14,'G-1 All Habitats'!$A$3:$A$129,0)),"")</f>
        <v/>
      </c>
      <c r="T14" s="498" t="str">
        <f t="shared" si="3"/>
        <v/>
      </c>
      <c r="U14" s="499" t="str">
        <f t="shared" si="4"/>
        <v/>
      </c>
      <c r="V14" s="537" t="str">
        <f t="shared" si="5"/>
        <v/>
      </c>
      <c r="W14" s="520" t="str">
        <f>IF(S14="","",VLOOKUP(S14,'G-1 All Habitats'!$B$2:$M$129,10,FALSE))</f>
        <v/>
      </c>
      <c r="X14" s="520" t="str">
        <f>IFERROR(VLOOKUP(W14,'G-1 All Habitats'!$V$3:$W$7,2,FALSE),"")</f>
        <v/>
      </c>
      <c r="Y14" s="79"/>
      <c r="Z14" s="524" t="str">
        <f>IFERROR(INDEX('G-8 Condition Look up'!$A$3:$H$130,MATCH(S14,'G-8 Condition Look up'!$A$3:$A$130,0),MATCH(Y14,'G-8 Condition Look up'!$A$3:$H$3,0)),"")</f>
        <v/>
      </c>
      <c r="AA14" s="71"/>
      <c r="AB14" s="520" t="str">
        <f>IF(AA14="","",IF(VLOOKUP(AA14,'G-3 Multipliers'!$L$3:$N$6,2,FALSE)=0,"Spatial Data Missing ⚠",VLOOKUP(AA14,'G-3 Multipliers'!$L$3:$N$6,2,FALSE)))</f>
        <v/>
      </c>
      <c r="AC14" s="524" t="str">
        <f>IF(AA14="","",IF(VLOOKUP(AA14,'G-3 Multipliers'!$L$3:$N$6,3,FALSE)=0,"Spatial Data Missing ⚠",VLOOKUP(AA14,'G-3 Multipliers'!$L$3:$N$6,3,FALSE)))</f>
        <v/>
      </c>
      <c r="AD14" s="539" t="str">
        <f t="shared" si="1"/>
        <v/>
      </c>
      <c r="AE14" s="82"/>
      <c r="AF14" s="82"/>
      <c r="AG14" s="507" t="str">
        <f t="shared" si="6"/>
        <v/>
      </c>
      <c r="AH14" s="521" t="str">
        <f t="shared" si="7"/>
        <v/>
      </c>
      <c r="AI14" s="522" t="str">
        <f>IF(AH14="Check Data","Check Data",IFERROR(VLOOKUP(AH14,'G-4 Temporal multipliers'!$A$4:$C$36,3,FALSE),""))</f>
        <v/>
      </c>
      <c r="AJ14" s="498" t="str">
        <f>IF(S14="","",VLOOKUP(S14,'G-3 Multipliers'!$A$2:$E$129,4,FALSE))</f>
        <v/>
      </c>
      <c r="AK14" s="507" t="str">
        <f t="shared" si="8"/>
        <v/>
      </c>
      <c r="AL14" s="507" t="str">
        <f t="shared" si="9"/>
        <v/>
      </c>
      <c r="AM14" s="540" t="str">
        <f>IFERROR(IF(F14="","",IF(AH14="Check Data ⚠","Check Data ⚠",VLOOKUP(AL14, 'G-3 Multipliers'!$P$2:$Q$6,2,FALSE))),"")</f>
        <v/>
      </c>
      <c r="AN14" s="513" t="str">
        <f>IFERROR(((((V14*X14*Z14)-(V14*I14*K14))*(AM14*AI14))+(V14*I14*K14))*(AC14),"")</f>
        <v/>
      </c>
      <c r="AO14" s="239"/>
      <c r="AP14" s="240"/>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1" t="str">
        <f>'A-1 Site Habitat Baseline'!AL14</f>
        <v/>
      </c>
      <c r="F15" s="520" t="str">
        <f>IF(E15="","",IF(ISNA(VLOOKUP($E15,'A-1 Site Habitat Baseline'!$D$1:$O$258,4,FALSE)),"",(VLOOKUP($E15,'A-1 Site Habitat Baseline'!$D$1:$O$258,4,FALSE))))</f>
        <v/>
      </c>
      <c r="G15" s="520" t="str">
        <f>IF(E15="","",IF(ISNA(VLOOKUP($E15,'A-1 Site Habitat Baseline'!$D$1:$O$258,5,FALSE)),"",(VLOOKUP($E15,'A-1 Site Habitat Baseline'!$D$1:$O$258,5,FALSE))))</f>
        <v/>
      </c>
      <c r="H15" s="520" t="str">
        <f>IF(E15="","",IF(ISNA(VLOOKUP($E15,'A-1 Site Habitat Baseline'!$D$1:$O$258,6,FALSE)),"",(VLOOKUP($E15,'A-1 Site Habitat Baseline'!$D$1:$O$258,6,FALSE))))</f>
        <v/>
      </c>
      <c r="I15" s="520" t="str">
        <f>IF(E15="","",IF(ISNA(VLOOKUP($E15,'A-1 Site Habitat Baseline'!$D$1:$O$258,7,FALSE)),"",(VLOOKUP($E15,'A-1 Site Habitat Baseline'!$D$1:$O$258,7,FALSE))))</f>
        <v/>
      </c>
      <c r="J15" s="520" t="str">
        <f>IF(E15="","",IF(ISNA(VLOOKUP($E15,'A-1 Site Habitat Baseline'!$D$1:$O$258,8,FALSE)),"",(VLOOKUP($E15,'A-1 Site Habitat Baseline'!$D$1:$O$258,8,FALSE))))</f>
        <v/>
      </c>
      <c r="K15" s="520" t="str">
        <f>IF(E15="","",IF(ISNA(VLOOKUP($E15,'A-1 Site Habitat Baseline'!$D$1:$O$258,9,FALSE)),"",(VLOOKUP($E15,'A-1 Site Habitat Baseline'!$D$1:$O$258,9,FALSE))))</f>
        <v/>
      </c>
      <c r="L15" s="520" t="str">
        <f>IF(E15="","",IF(ISNA(VLOOKUP($E15,'A-1 Site Habitat Baseline'!$D$1:$O$258,11,FALSE)),"",(VLOOKUP($E15,'A-1 Site Habitat Baseline'!$D$1:$O$258,11,FALSE))))</f>
        <v/>
      </c>
      <c r="M15" s="520" t="str">
        <f>IF(E15="","",IF(ISNA(VLOOKUP($E15,'A-1 Site Habitat Baseline'!$D$1:$O$258,12,FALSE)),"",(VLOOKUP($E15,'A-1 Site Habitat Baseline'!$D$1:$O$258,12,FALSE))))</f>
        <v/>
      </c>
      <c r="N15" s="532" t="str">
        <f>IF(E15="","",IF(ISNA(VLOOKUP($E15,'A-1 Site Habitat Baseline'!$D$1:$X$258,14,FALSE)),"",(VLOOKUP($E15,'A-1 Site Habitat Baseline'!$D$1:$X$258,14,FALSE))))</f>
        <v/>
      </c>
      <c r="O15" s="524" t="str">
        <f>IF(E15="","",IF(ISNA(VLOOKUP($E15,'A-1 Site Habitat Baseline'!$D$1:$X$258,16,FALSE)),"",(VLOOKUP($E15,'A-1 Site Habitat Baseline'!$D$1:$X$258,13,FALSE))))</f>
        <v/>
      </c>
      <c r="P15" s="237" t="str">
        <f>IFERROR(INDEX('G-1 All Habitats'!$AG$3:$AG$15,MATCH(Q15,'G-1 All Habitats'!$AF$3:$AF$15,0)),"")</f>
        <v/>
      </c>
      <c r="Q15" s="238" t="str">
        <f t="shared" si="2"/>
        <v/>
      </c>
      <c r="R15" s="238"/>
      <c r="S15" s="392" t="str">
        <f>IFERROR(INDEX('G-1 All Habitats'!$B$3:$B$129,MATCH(R15,'G-1 All Habitats'!$A$3:$A$129,0)),"")</f>
        <v/>
      </c>
      <c r="T15" s="498" t="str">
        <f t="shared" si="3"/>
        <v/>
      </c>
      <c r="U15" s="499" t="str">
        <f t="shared" si="4"/>
        <v/>
      </c>
      <c r="V15" s="537" t="str">
        <f t="shared" si="5"/>
        <v/>
      </c>
      <c r="W15" s="520" t="str">
        <f>IF(S15="","",VLOOKUP(S15,'G-1 All Habitats'!$B$2:$M$129,10,FALSE))</f>
        <v/>
      </c>
      <c r="X15" s="520" t="str">
        <f>IFERROR(VLOOKUP(W15,'G-1 All Habitats'!$V$3:$W$7,2,FALSE),"")</f>
        <v/>
      </c>
      <c r="Y15" s="79"/>
      <c r="Z15" s="524" t="str">
        <f>IFERROR(INDEX('G-8 Condition Look up'!$A$3:$H$130,MATCH(S15,'G-8 Condition Look up'!$A$3:$A$130,0),MATCH(Y15,'G-8 Condition Look up'!$A$3:$H$3,0)),"")</f>
        <v/>
      </c>
      <c r="AA15" s="71"/>
      <c r="AB15" s="520" t="str">
        <f>IF(AA15="","",IF(VLOOKUP(AA15,'G-3 Multipliers'!$L$3:$N$6,2,FALSE)=0,"Spatial Data Missing ⚠",VLOOKUP(AA15,'G-3 Multipliers'!$L$3:$N$6,2,FALSE)))</f>
        <v/>
      </c>
      <c r="AC15" s="524" t="str">
        <f>IF(AA15="","",IF(VLOOKUP(AA15,'G-3 Multipliers'!$L$3:$N$6,3,FALSE)=0,"Spatial Data Missing ⚠",VLOOKUP(AA15,'G-3 Multipliers'!$L$3:$N$6,3,FALSE)))</f>
        <v/>
      </c>
      <c r="AD15" s="539" t="str">
        <f t="shared" si="1"/>
        <v/>
      </c>
      <c r="AE15" s="82"/>
      <c r="AF15" s="82"/>
      <c r="AG15" s="507" t="str">
        <f t="shared" si="6"/>
        <v/>
      </c>
      <c r="AH15" s="521" t="str">
        <f t="shared" si="7"/>
        <v/>
      </c>
      <c r="AI15" s="522" t="str">
        <f>IF(AH15="Check Data","Check Data",IFERROR(VLOOKUP(AH15,'G-4 Temporal multipliers'!$A$4:$C$36,3,FALSE),""))</f>
        <v/>
      </c>
      <c r="AJ15" s="498" t="str">
        <f>IF(S15="","",VLOOKUP(S15,'G-3 Multipliers'!$A$2:$E$129,4,FALSE))</f>
        <v/>
      </c>
      <c r="AK15" s="507" t="str">
        <f t="shared" si="8"/>
        <v/>
      </c>
      <c r="AL15" s="507" t="str">
        <f t="shared" si="9"/>
        <v/>
      </c>
      <c r="AM15" s="540" t="str">
        <f>IFERROR(IF(F15="","",IF(AH15="Check Data ⚠","Check Data ⚠",VLOOKUP(AL15, 'G-3 Multipliers'!$P$2:$Q$6,2,FALSE))),"")</f>
        <v/>
      </c>
      <c r="AN15" s="513" t="str">
        <f t="shared" si="10"/>
        <v/>
      </c>
      <c r="AO15" s="239"/>
      <c r="AP15" s="240"/>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1" t="str">
        <f>'A-1 Site Habitat Baseline'!AL15</f>
        <v/>
      </c>
      <c r="F16" s="520" t="str">
        <f>IF(E16="","",IF(ISNA(VLOOKUP($E16,'A-1 Site Habitat Baseline'!$D$1:$O$258,4,FALSE)),"",(VLOOKUP($E16,'A-1 Site Habitat Baseline'!$D$1:$O$258,4,FALSE))))</f>
        <v/>
      </c>
      <c r="G16" s="520" t="str">
        <f>IF(E16="","",IF(ISNA(VLOOKUP($E16,'A-1 Site Habitat Baseline'!$D$1:$O$258,5,FALSE)),"",(VLOOKUP($E16,'A-1 Site Habitat Baseline'!$D$1:$O$258,5,FALSE))))</f>
        <v/>
      </c>
      <c r="H16" s="520" t="str">
        <f>IF(E16="","",IF(ISNA(VLOOKUP($E16,'A-1 Site Habitat Baseline'!$D$1:$O$258,6,FALSE)),"",(VLOOKUP($E16,'A-1 Site Habitat Baseline'!$D$1:$O$258,6,FALSE))))</f>
        <v/>
      </c>
      <c r="I16" s="520" t="str">
        <f>IF(E16="","",IF(ISNA(VLOOKUP($E16,'A-1 Site Habitat Baseline'!$D$1:$O$258,7,FALSE)),"",(VLOOKUP($E16,'A-1 Site Habitat Baseline'!$D$1:$O$258,7,FALSE))))</f>
        <v/>
      </c>
      <c r="J16" s="520" t="str">
        <f>IF(E16="","",IF(ISNA(VLOOKUP($E16,'A-1 Site Habitat Baseline'!$D$1:$O$258,8,FALSE)),"",(VLOOKUP($E16,'A-1 Site Habitat Baseline'!$D$1:$O$258,8,FALSE))))</f>
        <v/>
      </c>
      <c r="K16" s="520" t="str">
        <f>IF(E16="","",IF(ISNA(VLOOKUP($E16,'A-1 Site Habitat Baseline'!$D$1:$O$258,9,FALSE)),"",(VLOOKUP($E16,'A-1 Site Habitat Baseline'!$D$1:$O$258,9,FALSE))))</f>
        <v/>
      </c>
      <c r="L16" s="520" t="str">
        <f>IF(E16="","",IF(ISNA(VLOOKUP($E16,'A-1 Site Habitat Baseline'!$D$1:$O$258,11,FALSE)),"",(VLOOKUP($E16,'A-1 Site Habitat Baseline'!$D$1:$O$258,11,FALSE))))</f>
        <v/>
      </c>
      <c r="M16" s="520" t="str">
        <f>IF(E16="","",IF(ISNA(VLOOKUP($E16,'A-1 Site Habitat Baseline'!$D$1:$O$258,12,FALSE)),"",(VLOOKUP($E16,'A-1 Site Habitat Baseline'!$D$1:$O$258,12,FALSE))))</f>
        <v/>
      </c>
      <c r="N16" s="532" t="str">
        <f>IF(E16="","",IF(ISNA(VLOOKUP($E16,'A-1 Site Habitat Baseline'!$D$1:$X$258,14,FALSE)),"",(VLOOKUP($E16,'A-1 Site Habitat Baseline'!$D$1:$X$258,14,FALSE))))</f>
        <v/>
      </c>
      <c r="O16" s="524" t="str">
        <f>IF(E16="","",IF(ISNA(VLOOKUP($E16,'A-1 Site Habitat Baseline'!$D$1:$X$258,16,FALSE)),"",(VLOOKUP($E16,'A-1 Site Habitat Baseline'!$D$1:$X$258,13,FALSE))))</f>
        <v/>
      </c>
      <c r="P16" s="237" t="str">
        <f>IFERROR(INDEX('G-1 All Habitats'!$AG$3:$AG$15,MATCH(Q16,'G-1 All Habitats'!$AF$3:$AF$15,0)),"")</f>
        <v/>
      </c>
      <c r="Q16" s="238" t="str">
        <f t="shared" si="2"/>
        <v/>
      </c>
      <c r="R16" s="238"/>
      <c r="S16" s="392" t="str">
        <f>IFERROR(INDEX('G-1 All Habitats'!$B$3:$B$129,MATCH(R16,'G-1 All Habitats'!$A$3:$A$129,0)),"")</f>
        <v/>
      </c>
      <c r="T16" s="498" t="str">
        <f t="shared" si="3"/>
        <v/>
      </c>
      <c r="U16" s="499" t="str">
        <f t="shared" si="4"/>
        <v/>
      </c>
      <c r="V16" s="537" t="str">
        <f t="shared" si="5"/>
        <v/>
      </c>
      <c r="W16" s="520" t="str">
        <f>IF(S16="","",VLOOKUP(S16,'G-1 All Habitats'!$B$2:$M$129,10,FALSE))</f>
        <v/>
      </c>
      <c r="X16" s="520" t="str">
        <f>IFERROR(VLOOKUP(W16,'G-1 All Habitats'!$V$3:$W$7,2,FALSE),"")</f>
        <v/>
      </c>
      <c r="Y16" s="79"/>
      <c r="Z16" s="524" t="str">
        <f>IFERROR(INDEX('G-8 Condition Look up'!$A$3:$H$130,MATCH(S16,'G-8 Condition Look up'!$A$3:$A$130,0),MATCH(Y16,'G-8 Condition Look up'!$A$3:$H$3,0)),"")</f>
        <v/>
      </c>
      <c r="AA16" s="71"/>
      <c r="AB16" s="520" t="str">
        <f>IF(AA16="","",IF(VLOOKUP(AA16,'G-3 Multipliers'!$L$3:$N$6,2,FALSE)=0,"Spatial Data Missing ⚠",VLOOKUP(AA16,'G-3 Multipliers'!$L$3:$N$6,2,FALSE)))</f>
        <v/>
      </c>
      <c r="AC16" s="524" t="str">
        <f>IF(AA16="","",IF(VLOOKUP(AA16,'G-3 Multipliers'!$L$3:$N$6,3,FALSE)=0,"Spatial Data Missing ⚠",VLOOKUP(AA16,'G-3 Multipliers'!$L$3:$N$6,3,FALSE)))</f>
        <v/>
      </c>
      <c r="AD16" s="539" t="str">
        <f t="shared" si="1"/>
        <v/>
      </c>
      <c r="AE16" s="82"/>
      <c r="AF16" s="82"/>
      <c r="AG16" s="507" t="str">
        <f t="shared" si="6"/>
        <v/>
      </c>
      <c r="AH16" s="521" t="str">
        <f t="shared" si="7"/>
        <v/>
      </c>
      <c r="AI16" s="522" t="str">
        <f>IF(AH16="Check Data","Check Data",IFERROR(VLOOKUP(AH16,'G-4 Temporal multipliers'!$A$4:$C$36,3,FALSE),""))</f>
        <v/>
      </c>
      <c r="AJ16" s="498" t="str">
        <f>IF(S16="","",VLOOKUP(S16,'G-3 Multipliers'!$A$2:$E$129,4,FALSE))</f>
        <v/>
      </c>
      <c r="AK16" s="507" t="str">
        <f t="shared" si="8"/>
        <v/>
      </c>
      <c r="AL16" s="507" t="str">
        <f t="shared" si="9"/>
        <v/>
      </c>
      <c r="AM16" s="540" t="str">
        <f>IFERROR(IF(F16="","",IF(AH16="Check Data ⚠","Check Data ⚠",VLOOKUP(AL16, 'G-3 Multipliers'!$P$2:$Q$6,2,FALSE))),"")</f>
        <v/>
      </c>
      <c r="AN16" s="513" t="str">
        <f t="shared" si="10"/>
        <v/>
      </c>
      <c r="AO16" s="239"/>
      <c r="AP16" s="240"/>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1" t="str">
        <f>'A-1 Site Habitat Baseline'!AL16</f>
        <v/>
      </c>
      <c r="F17" s="520" t="str">
        <f>IF(E17="","",IF(ISNA(VLOOKUP($E17,'A-1 Site Habitat Baseline'!$D$1:$O$258,4,FALSE)),"",(VLOOKUP($E17,'A-1 Site Habitat Baseline'!$D$1:$O$258,4,FALSE))))</f>
        <v/>
      </c>
      <c r="G17" s="520" t="str">
        <f>IF(E17="","",IF(ISNA(VLOOKUP($E17,'A-1 Site Habitat Baseline'!$D$1:$O$258,5,FALSE)),"",(VLOOKUP($E17,'A-1 Site Habitat Baseline'!$D$1:$O$258,5,FALSE))))</f>
        <v/>
      </c>
      <c r="H17" s="520" t="str">
        <f>IF(E17="","",IF(ISNA(VLOOKUP($E17,'A-1 Site Habitat Baseline'!$D$1:$O$258,6,FALSE)),"",(VLOOKUP($E17,'A-1 Site Habitat Baseline'!$D$1:$O$258,6,FALSE))))</f>
        <v/>
      </c>
      <c r="I17" s="520" t="str">
        <f>IF(E17="","",IF(ISNA(VLOOKUP($E17,'A-1 Site Habitat Baseline'!$D$1:$O$258,7,FALSE)),"",(VLOOKUP($E17,'A-1 Site Habitat Baseline'!$D$1:$O$258,7,FALSE))))</f>
        <v/>
      </c>
      <c r="J17" s="520" t="str">
        <f>IF(E17="","",IF(ISNA(VLOOKUP($E17,'A-1 Site Habitat Baseline'!$D$1:$O$258,8,FALSE)),"",(VLOOKUP($E17,'A-1 Site Habitat Baseline'!$D$1:$O$258,8,FALSE))))</f>
        <v/>
      </c>
      <c r="K17" s="520" t="str">
        <f>IF(E17="","",IF(ISNA(VLOOKUP($E17,'A-1 Site Habitat Baseline'!$D$1:$O$258,9,FALSE)),"",(VLOOKUP($E17,'A-1 Site Habitat Baseline'!$D$1:$O$258,9,FALSE))))</f>
        <v/>
      </c>
      <c r="L17" s="520" t="str">
        <f>IF(E17="","",IF(ISNA(VLOOKUP($E17,'A-1 Site Habitat Baseline'!$D$1:$O$258,11,FALSE)),"",(VLOOKUP($E17,'A-1 Site Habitat Baseline'!$D$1:$O$258,11,FALSE))))</f>
        <v/>
      </c>
      <c r="M17" s="520" t="str">
        <f>IF(E17="","",IF(ISNA(VLOOKUP($E17,'A-1 Site Habitat Baseline'!$D$1:$O$258,12,FALSE)),"",(VLOOKUP($E17,'A-1 Site Habitat Baseline'!$D$1:$O$258,12,FALSE))))</f>
        <v/>
      </c>
      <c r="N17" s="532" t="str">
        <f>IF(E17="","",IF(ISNA(VLOOKUP($E17,'A-1 Site Habitat Baseline'!$D$1:$X$258,14,FALSE)),"",(VLOOKUP($E17,'A-1 Site Habitat Baseline'!$D$1:$X$258,14,FALSE))))</f>
        <v/>
      </c>
      <c r="O17" s="524" t="str">
        <f>IF(E17="","",IF(ISNA(VLOOKUP($E17,'A-1 Site Habitat Baseline'!$D$1:$X$258,16,FALSE)),"",(VLOOKUP($E17,'A-1 Site Habitat Baseline'!$D$1:$X$258,13,FALSE))))</f>
        <v/>
      </c>
      <c r="P17" s="237" t="str">
        <f>IFERROR(INDEX('G-1 All Habitats'!$AG$3:$AG$15,MATCH(Q17,'G-1 All Habitats'!$AF$3:$AF$15,0)),"")</f>
        <v/>
      </c>
      <c r="Q17" s="238" t="str">
        <f t="shared" si="2"/>
        <v/>
      </c>
      <c r="R17" s="238"/>
      <c r="S17" s="392" t="str">
        <f>IFERROR(INDEX('G-1 All Habitats'!$B$3:$B$129,MATCH(R17,'G-1 All Habitats'!$A$3:$A$129,0)),"")</f>
        <v/>
      </c>
      <c r="T17" s="498" t="str">
        <f t="shared" si="3"/>
        <v/>
      </c>
      <c r="U17" s="499" t="str">
        <f t="shared" si="4"/>
        <v/>
      </c>
      <c r="V17" s="537" t="str">
        <f t="shared" si="5"/>
        <v/>
      </c>
      <c r="W17" s="520" t="str">
        <f>IF(S17="","",VLOOKUP(S17,'G-1 All Habitats'!$B$2:$M$129,10,FALSE))</f>
        <v/>
      </c>
      <c r="X17" s="520" t="str">
        <f>IFERROR(VLOOKUP(W17,'G-1 All Habitats'!$V$3:$W$7,2,FALSE),"")</f>
        <v/>
      </c>
      <c r="Y17" s="79"/>
      <c r="Z17" s="524" t="str">
        <f>IFERROR(INDEX('G-8 Condition Look up'!$A$3:$H$130,MATCH(S17,'G-8 Condition Look up'!$A$3:$A$130,0),MATCH(Y17,'G-8 Condition Look up'!$A$3:$H$3,0)),"")</f>
        <v/>
      </c>
      <c r="AA17" s="71"/>
      <c r="AB17" s="520" t="str">
        <f>IF(AA17="","",IF(VLOOKUP(AA17,'G-3 Multipliers'!$L$3:$N$6,2,FALSE)=0,"Spatial Data Missing ⚠",VLOOKUP(AA17,'G-3 Multipliers'!$L$3:$N$6,2,FALSE)))</f>
        <v/>
      </c>
      <c r="AC17" s="524" t="str">
        <f>IF(AA17="","",IF(VLOOKUP(AA17,'G-3 Multipliers'!$L$3:$N$6,3,FALSE)=0,"Spatial Data Missing ⚠",VLOOKUP(AA17,'G-3 Multipliers'!$L$3:$N$6,3,FALSE)))</f>
        <v/>
      </c>
      <c r="AD17" s="539" t="str">
        <f t="shared" si="1"/>
        <v/>
      </c>
      <c r="AE17" s="82"/>
      <c r="AF17" s="82"/>
      <c r="AG17" s="507" t="str">
        <f t="shared" si="6"/>
        <v/>
      </c>
      <c r="AH17" s="521" t="str">
        <f t="shared" si="7"/>
        <v/>
      </c>
      <c r="AI17" s="522" t="str">
        <f>IF(AH17="Check Data","Check Data",IFERROR(VLOOKUP(AH17,'G-4 Temporal multipliers'!$A$4:$C$36,3,FALSE),""))</f>
        <v/>
      </c>
      <c r="AJ17" s="498" t="str">
        <f>IF(S17="","",VLOOKUP(S17,'G-3 Multipliers'!$A$2:$E$129,4,FALSE))</f>
        <v/>
      </c>
      <c r="AK17" s="507" t="str">
        <f t="shared" si="8"/>
        <v/>
      </c>
      <c r="AL17" s="507" t="str">
        <f t="shared" si="9"/>
        <v/>
      </c>
      <c r="AM17" s="540" t="str">
        <f>IFERROR(IF(F17="","",IF(AH17="Check Data ⚠","Check Data ⚠",VLOOKUP(AL17, 'G-3 Multipliers'!$P$2:$Q$6,2,FALSE))),"")</f>
        <v/>
      </c>
      <c r="AN17" s="513" t="str">
        <f t="shared" si="10"/>
        <v/>
      </c>
      <c r="AO17" s="239"/>
      <c r="AP17" s="240"/>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1" t="str">
        <f>'A-1 Site Habitat Baseline'!AL17</f>
        <v/>
      </c>
      <c r="F18" s="520" t="str">
        <f>IF(E18="","",IF(ISNA(VLOOKUP($E18,'A-1 Site Habitat Baseline'!$D$1:$O$258,4,FALSE)),"",(VLOOKUP($E18,'A-1 Site Habitat Baseline'!$D$1:$O$258,4,FALSE))))</f>
        <v/>
      </c>
      <c r="G18" s="520" t="str">
        <f>IF(E18="","",IF(ISNA(VLOOKUP($E18,'A-1 Site Habitat Baseline'!$D$1:$O$258,5,FALSE)),"",(VLOOKUP($E18,'A-1 Site Habitat Baseline'!$D$1:$O$258,5,FALSE))))</f>
        <v/>
      </c>
      <c r="H18" s="520" t="str">
        <f>IF(E18="","",IF(ISNA(VLOOKUP($E18,'A-1 Site Habitat Baseline'!$D$1:$O$258,6,FALSE)),"",(VLOOKUP($E18,'A-1 Site Habitat Baseline'!$D$1:$O$258,6,FALSE))))</f>
        <v/>
      </c>
      <c r="I18" s="520" t="str">
        <f>IF(E18="","",IF(ISNA(VLOOKUP($E18,'A-1 Site Habitat Baseline'!$D$1:$O$258,7,FALSE)),"",(VLOOKUP($E18,'A-1 Site Habitat Baseline'!$D$1:$O$258,7,FALSE))))</f>
        <v/>
      </c>
      <c r="J18" s="520" t="str">
        <f>IF(E18="","",IF(ISNA(VLOOKUP($E18,'A-1 Site Habitat Baseline'!$D$1:$O$258,8,FALSE)),"",(VLOOKUP($E18,'A-1 Site Habitat Baseline'!$D$1:$O$258,8,FALSE))))</f>
        <v/>
      </c>
      <c r="K18" s="520" t="str">
        <f>IF(E18="","",IF(ISNA(VLOOKUP($E18,'A-1 Site Habitat Baseline'!$D$1:$O$258,9,FALSE)),"",(VLOOKUP($E18,'A-1 Site Habitat Baseline'!$D$1:$O$258,9,FALSE))))</f>
        <v/>
      </c>
      <c r="L18" s="520" t="str">
        <f>IF(E18="","",IF(ISNA(VLOOKUP($E18,'A-1 Site Habitat Baseline'!$D$1:$O$258,11,FALSE)),"",(VLOOKUP($E18,'A-1 Site Habitat Baseline'!$D$1:$O$258,11,FALSE))))</f>
        <v/>
      </c>
      <c r="M18" s="520" t="str">
        <f>IF(E18="","",IF(ISNA(VLOOKUP($E18,'A-1 Site Habitat Baseline'!$D$1:$O$258,12,FALSE)),"",(VLOOKUP($E18,'A-1 Site Habitat Baseline'!$D$1:$O$258,12,FALSE))))</f>
        <v/>
      </c>
      <c r="N18" s="532" t="str">
        <f>IF(E18="","",IF(ISNA(VLOOKUP($E18,'A-1 Site Habitat Baseline'!$D$1:$X$258,14,FALSE)),"",(VLOOKUP($E18,'A-1 Site Habitat Baseline'!$D$1:$X$258,14,FALSE))))</f>
        <v/>
      </c>
      <c r="O18" s="524" t="str">
        <f>IF(E18="","",IF(ISNA(VLOOKUP($E18,'A-1 Site Habitat Baseline'!$D$1:$X$258,16,FALSE)),"",(VLOOKUP($E18,'A-1 Site Habitat Baseline'!$D$1:$X$258,13,FALSE))))</f>
        <v/>
      </c>
      <c r="P18" s="237" t="str">
        <f>IFERROR(INDEX('G-1 All Habitats'!$AG$3:$AG$15,MATCH(Q18,'G-1 All Habitats'!$AF$3:$AF$15,0)),"")</f>
        <v/>
      </c>
      <c r="Q18" s="238" t="str">
        <f t="shared" si="2"/>
        <v/>
      </c>
      <c r="R18" s="238"/>
      <c r="S18" s="392" t="str">
        <f>IFERROR(INDEX('G-1 All Habitats'!$B$3:$B$129,MATCH(R18,'G-1 All Habitats'!$A$3:$A$129,0)),"")</f>
        <v/>
      </c>
      <c r="T18" s="498" t="str">
        <f t="shared" si="3"/>
        <v/>
      </c>
      <c r="U18" s="499" t="str">
        <f t="shared" si="4"/>
        <v/>
      </c>
      <c r="V18" s="537" t="str">
        <f t="shared" si="5"/>
        <v/>
      </c>
      <c r="W18" s="520" t="str">
        <f>IF(S18="","",VLOOKUP(S18,'G-1 All Habitats'!$B$2:$M$129,10,FALSE))</f>
        <v/>
      </c>
      <c r="X18" s="520" t="str">
        <f>IFERROR(VLOOKUP(W18,'G-1 All Habitats'!$V$3:$W$7,2,FALSE),"")</f>
        <v/>
      </c>
      <c r="Y18" s="79"/>
      <c r="Z18" s="524" t="str">
        <f>IFERROR(INDEX('G-8 Condition Look up'!$A$3:$H$130,MATCH(S18,'G-8 Condition Look up'!$A$3:$A$130,0),MATCH(Y18,'G-8 Condition Look up'!$A$3:$H$3,0)),"")</f>
        <v/>
      </c>
      <c r="AA18" s="71"/>
      <c r="AB18" s="520" t="str">
        <f>IF(AA18="","",IF(VLOOKUP(AA18,'G-3 Multipliers'!$L$3:$N$6,2,FALSE)=0,"Spatial Data Missing ⚠",VLOOKUP(AA18,'G-3 Multipliers'!$L$3:$N$6,2,FALSE)))</f>
        <v/>
      </c>
      <c r="AC18" s="524" t="str">
        <f>IF(AA18="","",IF(VLOOKUP(AA18,'G-3 Multipliers'!$L$3:$N$6,3,FALSE)=0,"Spatial Data Missing ⚠",VLOOKUP(AA18,'G-3 Multipliers'!$L$3:$N$6,3,FALSE)))</f>
        <v/>
      </c>
      <c r="AD18" s="539" t="str">
        <f t="shared" si="1"/>
        <v/>
      </c>
      <c r="AE18" s="82"/>
      <c r="AF18" s="82"/>
      <c r="AG18" s="507" t="str">
        <f t="shared" si="6"/>
        <v/>
      </c>
      <c r="AH18" s="521" t="str">
        <f t="shared" si="7"/>
        <v/>
      </c>
      <c r="AI18" s="522" t="str">
        <f>IF(AH18="Check Data","Check Data",IFERROR(VLOOKUP(AH18,'G-4 Temporal multipliers'!$A$4:$C$36,3,FALSE),""))</f>
        <v/>
      </c>
      <c r="AJ18" s="498" t="str">
        <f>IF(S18="","",VLOOKUP(S18,'G-3 Multipliers'!$A$2:$E$129,4,FALSE))</f>
        <v/>
      </c>
      <c r="AK18" s="507" t="str">
        <f t="shared" si="8"/>
        <v/>
      </c>
      <c r="AL18" s="507" t="str">
        <f t="shared" si="9"/>
        <v/>
      </c>
      <c r="AM18" s="540" t="str">
        <f>IFERROR(IF(F18="","",IF(AH18="Check Data ⚠","Check Data ⚠",VLOOKUP(AL18, 'G-3 Multipliers'!$P$2:$Q$6,2,FALSE))),"")</f>
        <v/>
      </c>
      <c r="AN18" s="513" t="str">
        <f t="shared" si="10"/>
        <v/>
      </c>
      <c r="AO18" s="239"/>
      <c r="AP18" s="240"/>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1" t="str">
        <f>'A-1 Site Habitat Baseline'!AL18</f>
        <v/>
      </c>
      <c r="F19" s="520" t="str">
        <f>IF(E19="","",IF(ISNA(VLOOKUP($E19,'A-1 Site Habitat Baseline'!$D$1:$O$258,4,FALSE)),"",(VLOOKUP($E19,'A-1 Site Habitat Baseline'!$D$1:$O$258,4,FALSE))))</f>
        <v/>
      </c>
      <c r="G19" s="520" t="str">
        <f>IF(E19="","",IF(ISNA(VLOOKUP($E19,'A-1 Site Habitat Baseline'!$D$1:$O$258,5,FALSE)),"",(VLOOKUP($E19,'A-1 Site Habitat Baseline'!$D$1:$O$258,5,FALSE))))</f>
        <v/>
      </c>
      <c r="H19" s="520" t="str">
        <f>IF(E19="","",IF(ISNA(VLOOKUP($E19,'A-1 Site Habitat Baseline'!$D$1:$O$258,6,FALSE)),"",(VLOOKUP($E19,'A-1 Site Habitat Baseline'!$D$1:$O$258,6,FALSE))))</f>
        <v/>
      </c>
      <c r="I19" s="520" t="str">
        <f>IF(E19="","",IF(ISNA(VLOOKUP($E19,'A-1 Site Habitat Baseline'!$D$1:$O$258,7,FALSE)),"",(VLOOKUP($E19,'A-1 Site Habitat Baseline'!$D$1:$O$258,7,FALSE))))</f>
        <v/>
      </c>
      <c r="J19" s="520" t="str">
        <f>IF(E19="","",IF(ISNA(VLOOKUP($E19,'A-1 Site Habitat Baseline'!$D$1:$O$258,8,FALSE)),"",(VLOOKUP($E19,'A-1 Site Habitat Baseline'!$D$1:$O$258,8,FALSE))))</f>
        <v/>
      </c>
      <c r="K19" s="520" t="str">
        <f>IF(E19="","",IF(ISNA(VLOOKUP($E19,'A-1 Site Habitat Baseline'!$D$1:$O$258,9,FALSE)),"",(VLOOKUP($E19,'A-1 Site Habitat Baseline'!$D$1:$O$258,9,FALSE))))</f>
        <v/>
      </c>
      <c r="L19" s="520" t="str">
        <f>IF(E19="","",IF(ISNA(VLOOKUP($E19,'A-1 Site Habitat Baseline'!$D$1:$O$258,11,FALSE)),"",(VLOOKUP($E19,'A-1 Site Habitat Baseline'!$D$1:$O$258,11,FALSE))))</f>
        <v/>
      </c>
      <c r="M19" s="520" t="str">
        <f>IF(E19="","",IF(ISNA(VLOOKUP($E19,'A-1 Site Habitat Baseline'!$D$1:$O$258,12,FALSE)),"",(VLOOKUP($E19,'A-1 Site Habitat Baseline'!$D$1:$O$258,12,FALSE))))</f>
        <v/>
      </c>
      <c r="N19" s="532" t="str">
        <f>IF(E19="","",IF(ISNA(VLOOKUP($E19,'A-1 Site Habitat Baseline'!$D$1:$X$258,14,FALSE)),"",(VLOOKUP($E19,'A-1 Site Habitat Baseline'!$D$1:$X$258,14,FALSE))))</f>
        <v/>
      </c>
      <c r="O19" s="524" t="str">
        <f>IF(E19="","",IF(ISNA(VLOOKUP($E19,'A-1 Site Habitat Baseline'!$D$1:$X$258,16,FALSE)),"",(VLOOKUP($E19,'A-1 Site Habitat Baseline'!$D$1:$X$258,13,FALSE))))</f>
        <v/>
      </c>
      <c r="P19" s="237" t="str">
        <f>IFERROR(INDEX('G-1 All Habitats'!$AG$3:$AG$15,MATCH(Q19,'G-1 All Habitats'!$AF$3:$AF$15,0)),"")</f>
        <v/>
      </c>
      <c r="Q19" s="238" t="str">
        <f t="shared" si="2"/>
        <v/>
      </c>
      <c r="R19" s="238"/>
      <c r="S19" s="392" t="str">
        <f>IFERROR(INDEX('G-1 All Habitats'!$B$3:$B$129,MATCH(R19,'G-1 All Habitats'!$A$3:$A$129,0)),"")</f>
        <v/>
      </c>
      <c r="T19" s="498" t="str">
        <f t="shared" si="3"/>
        <v/>
      </c>
      <c r="U19" s="499" t="str">
        <f t="shared" si="4"/>
        <v/>
      </c>
      <c r="V19" s="537" t="str">
        <f t="shared" si="5"/>
        <v/>
      </c>
      <c r="W19" s="520" t="str">
        <f>IF(S19="","",VLOOKUP(S19,'G-1 All Habitats'!$B$2:$M$129,10,FALSE))</f>
        <v/>
      </c>
      <c r="X19" s="520" t="str">
        <f>IFERROR(VLOOKUP(W19,'G-1 All Habitats'!$V$3:$W$7,2,FALSE),"")</f>
        <v/>
      </c>
      <c r="Y19" s="79"/>
      <c r="Z19" s="524" t="str">
        <f>IFERROR(INDEX('G-8 Condition Look up'!$A$3:$H$130,MATCH(S19,'G-8 Condition Look up'!$A$3:$A$130,0),MATCH(Y19,'G-8 Condition Look up'!$A$3:$H$3,0)),"")</f>
        <v/>
      </c>
      <c r="AA19" s="71"/>
      <c r="AB19" s="520" t="str">
        <f>IF(AA19="","",IF(VLOOKUP(AA19,'G-3 Multipliers'!$L$3:$N$6,2,FALSE)=0,"Spatial Data Missing ⚠",VLOOKUP(AA19,'G-3 Multipliers'!$L$3:$N$6,2,FALSE)))</f>
        <v/>
      </c>
      <c r="AC19" s="524" t="str">
        <f>IF(AA19="","",IF(VLOOKUP(AA19,'G-3 Multipliers'!$L$3:$N$6,3,FALSE)=0,"Spatial Data Missing ⚠",VLOOKUP(AA19,'G-3 Multipliers'!$L$3:$N$6,3,FALSE)))</f>
        <v/>
      </c>
      <c r="AD19" s="539" t="str">
        <f t="shared" si="1"/>
        <v/>
      </c>
      <c r="AE19" s="82"/>
      <c r="AF19" s="82"/>
      <c r="AG19" s="507" t="str">
        <f t="shared" si="6"/>
        <v/>
      </c>
      <c r="AH19" s="521" t="str">
        <f t="shared" si="7"/>
        <v/>
      </c>
      <c r="AI19" s="522" t="str">
        <f>IF(AH19="Check Data","Check Data",IFERROR(VLOOKUP(AH19,'G-4 Temporal multipliers'!$A$4:$C$36,3,FALSE),""))</f>
        <v/>
      </c>
      <c r="AJ19" s="498" t="str">
        <f>IF(S19="","",VLOOKUP(S19,'G-3 Multipliers'!$A$2:$E$129,4,FALSE))</f>
        <v/>
      </c>
      <c r="AK19" s="507" t="str">
        <f t="shared" si="8"/>
        <v/>
      </c>
      <c r="AL19" s="507" t="str">
        <f t="shared" si="9"/>
        <v/>
      </c>
      <c r="AM19" s="540" t="str">
        <f>IFERROR(IF(F19="","",IF(AH19="Check Data ⚠","Check Data ⚠",VLOOKUP(AL19, 'G-3 Multipliers'!$P$2:$Q$6,2,FALSE))),"")</f>
        <v/>
      </c>
      <c r="AN19" s="513" t="str">
        <f t="shared" si="10"/>
        <v/>
      </c>
      <c r="AO19" s="239"/>
      <c r="AP19" s="240"/>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1" t="str">
        <f>'A-1 Site Habitat Baseline'!AL19</f>
        <v/>
      </c>
      <c r="F20" s="520" t="str">
        <f>IF(E20="","",IF(ISNA(VLOOKUP($E20,'A-1 Site Habitat Baseline'!$D$1:$O$258,4,FALSE)),"",(VLOOKUP($E20,'A-1 Site Habitat Baseline'!$D$1:$O$258,4,FALSE))))</f>
        <v/>
      </c>
      <c r="G20" s="520" t="str">
        <f>IF(E20="","",IF(ISNA(VLOOKUP($E20,'A-1 Site Habitat Baseline'!$D$1:$O$258,5,FALSE)),"",(VLOOKUP($E20,'A-1 Site Habitat Baseline'!$D$1:$O$258,5,FALSE))))</f>
        <v/>
      </c>
      <c r="H20" s="520" t="str">
        <f>IF(E20="","",IF(ISNA(VLOOKUP($E20,'A-1 Site Habitat Baseline'!$D$1:$O$258,6,FALSE)),"",(VLOOKUP($E20,'A-1 Site Habitat Baseline'!$D$1:$O$258,6,FALSE))))</f>
        <v/>
      </c>
      <c r="I20" s="520" t="str">
        <f>IF(E20="","",IF(ISNA(VLOOKUP($E20,'A-1 Site Habitat Baseline'!$D$1:$O$258,7,FALSE)),"",(VLOOKUP($E20,'A-1 Site Habitat Baseline'!$D$1:$O$258,7,FALSE))))</f>
        <v/>
      </c>
      <c r="J20" s="520" t="str">
        <f>IF(E20="","",IF(ISNA(VLOOKUP($E20,'A-1 Site Habitat Baseline'!$D$1:$O$258,8,FALSE)),"",(VLOOKUP($E20,'A-1 Site Habitat Baseline'!$D$1:$O$258,8,FALSE))))</f>
        <v/>
      </c>
      <c r="K20" s="520" t="str">
        <f>IF(E20="","",IF(ISNA(VLOOKUP($E20,'A-1 Site Habitat Baseline'!$D$1:$O$258,9,FALSE)),"",(VLOOKUP($E20,'A-1 Site Habitat Baseline'!$D$1:$O$258,9,FALSE))))</f>
        <v/>
      </c>
      <c r="L20" s="520" t="str">
        <f>IF(E20="","",IF(ISNA(VLOOKUP($E20,'A-1 Site Habitat Baseline'!$D$1:$O$258,11,FALSE)),"",(VLOOKUP($E20,'A-1 Site Habitat Baseline'!$D$1:$O$258,11,FALSE))))</f>
        <v/>
      </c>
      <c r="M20" s="520" t="str">
        <f>IF(E20="","",IF(ISNA(VLOOKUP($E20,'A-1 Site Habitat Baseline'!$D$1:$O$258,12,FALSE)),"",(VLOOKUP($E20,'A-1 Site Habitat Baseline'!$D$1:$O$258,12,FALSE))))</f>
        <v/>
      </c>
      <c r="N20" s="532" t="str">
        <f>IF(E20="","",IF(ISNA(VLOOKUP($E20,'A-1 Site Habitat Baseline'!$D$1:$X$258,14,FALSE)),"",(VLOOKUP($E20,'A-1 Site Habitat Baseline'!$D$1:$X$258,14,FALSE))))</f>
        <v/>
      </c>
      <c r="O20" s="524" t="str">
        <f>IF(E20="","",IF(ISNA(VLOOKUP($E20,'A-1 Site Habitat Baseline'!$D$1:$X$258,16,FALSE)),"",(VLOOKUP($E20,'A-1 Site Habitat Baseline'!$D$1:$X$258,13,FALSE))))</f>
        <v/>
      </c>
      <c r="P20" s="237" t="str">
        <f>IFERROR(INDEX('G-1 All Habitats'!$AG$3:$AG$15,MATCH(Q20,'G-1 All Habitats'!$AF$3:$AF$15,0)),"")</f>
        <v/>
      </c>
      <c r="Q20" s="238" t="str">
        <f t="shared" si="2"/>
        <v/>
      </c>
      <c r="R20" s="238"/>
      <c r="S20" s="392" t="str">
        <f>IFERROR(INDEX('G-1 All Habitats'!$B$3:$B$129,MATCH(R20,'G-1 All Habitats'!$A$3:$A$129,0)),"")</f>
        <v/>
      </c>
      <c r="T20" s="498" t="str">
        <f t="shared" si="3"/>
        <v/>
      </c>
      <c r="U20" s="499" t="str">
        <f t="shared" si="4"/>
        <v/>
      </c>
      <c r="V20" s="537" t="str">
        <f t="shared" si="5"/>
        <v/>
      </c>
      <c r="W20" s="520" t="str">
        <f>IF(S20="","",VLOOKUP(S20,'G-1 All Habitats'!$B$2:$M$129,10,FALSE))</f>
        <v/>
      </c>
      <c r="X20" s="520" t="str">
        <f>IFERROR(VLOOKUP(W20,'G-1 All Habitats'!$V$3:$W$7,2,FALSE),"")</f>
        <v/>
      </c>
      <c r="Y20" s="79"/>
      <c r="Z20" s="524" t="str">
        <f>IFERROR(INDEX('G-8 Condition Look up'!$A$3:$H$130,MATCH(S20,'G-8 Condition Look up'!$A$3:$A$130,0),MATCH(Y20,'G-8 Condition Look up'!$A$3:$H$3,0)),"")</f>
        <v/>
      </c>
      <c r="AA20" s="71"/>
      <c r="AB20" s="520" t="str">
        <f>IF(AA20="","",IF(VLOOKUP(AA20,'G-3 Multipliers'!$L$3:$N$6,2,FALSE)=0,"Spatial Data Missing ⚠",VLOOKUP(AA20,'G-3 Multipliers'!$L$3:$N$6,2,FALSE)))</f>
        <v/>
      </c>
      <c r="AC20" s="524" t="str">
        <f>IF(AA20="","",IF(VLOOKUP(AA20,'G-3 Multipliers'!$L$3:$N$6,3,FALSE)=0,"Spatial Data Missing ⚠",VLOOKUP(AA20,'G-3 Multipliers'!$L$3:$N$6,3,FALSE)))</f>
        <v/>
      </c>
      <c r="AD20" s="539" t="str">
        <f t="shared" si="1"/>
        <v/>
      </c>
      <c r="AE20" s="82"/>
      <c r="AF20" s="82"/>
      <c r="AG20" s="507" t="str">
        <f t="shared" si="6"/>
        <v/>
      </c>
      <c r="AH20" s="521" t="str">
        <f t="shared" si="7"/>
        <v/>
      </c>
      <c r="AI20" s="522" t="str">
        <f>IF(AH20="Check Data","Check Data",IFERROR(VLOOKUP(AH20,'G-4 Temporal multipliers'!$A$4:$C$36,3,FALSE),""))</f>
        <v/>
      </c>
      <c r="AJ20" s="498" t="str">
        <f>IF(S20="","",VLOOKUP(S20,'G-3 Multipliers'!$A$2:$E$129,4,FALSE))</f>
        <v/>
      </c>
      <c r="AK20" s="507" t="str">
        <f t="shared" si="8"/>
        <v/>
      </c>
      <c r="AL20" s="507" t="str">
        <f t="shared" si="9"/>
        <v/>
      </c>
      <c r="AM20" s="540" t="str">
        <f>IFERROR(IF(F20="","",IF(AH20="Check Data ⚠","Check Data ⚠",VLOOKUP(AL20, 'G-3 Multipliers'!$P$2:$Q$6,2,FALSE))),"")</f>
        <v/>
      </c>
      <c r="AN20" s="513" t="str">
        <f t="shared" si="10"/>
        <v/>
      </c>
      <c r="AO20" s="239"/>
      <c r="AP20" s="240"/>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1" t="str">
        <f>'A-1 Site Habitat Baseline'!AL20</f>
        <v/>
      </c>
      <c r="F21" s="520" t="str">
        <f>IF(E21="","",IF(ISNA(VLOOKUP($E21,'A-1 Site Habitat Baseline'!$D$1:$O$258,4,FALSE)),"",(VLOOKUP($E21,'A-1 Site Habitat Baseline'!$D$1:$O$258,4,FALSE))))</f>
        <v/>
      </c>
      <c r="G21" s="520" t="str">
        <f>IF(E21="","",IF(ISNA(VLOOKUP($E21,'A-1 Site Habitat Baseline'!$D$1:$O$258,5,FALSE)),"",(VLOOKUP($E21,'A-1 Site Habitat Baseline'!$D$1:$O$258,5,FALSE))))</f>
        <v/>
      </c>
      <c r="H21" s="520" t="str">
        <f>IF(E21="","",IF(ISNA(VLOOKUP($E21,'A-1 Site Habitat Baseline'!$D$1:$O$258,6,FALSE)),"",(VLOOKUP($E21,'A-1 Site Habitat Baseline'!$D$1:$O$258,6,FALSE))))</f>
        <v/>
      </c>
      <c r="I21" s="520" t="str">
        <f>IF(E21="","",IF(ISNA(VLOOKUP($E21,'A-1 Site Habitat Baseline'!$D$1:$O$258,7,FALSE)),"",(VLOOKUP($E21,'A-1 Site Habitat Baseline'!$D$1:$O$258,7,FALSE))))</f>
        <v/>
      </c>
      <c r="J21" s="520" t="str">
        <f>IF(E21="","",IF(ISNA(VLOOKUP($E21,'A-1 Site Habitat Baseline'!$D$1:$O$258,8,FALSE)),"",(VLOOKUP($E21,'A-1 Site Habitat Baseline'!$D$1:$O$258,8,FALSE))))</f>
        <v/>
      </c>
      <c r="K21" s="520" t="str">
        <f>IF(E21="","",IF(ISNA(VLOOKUP($E21,'A-1 Site Habitat Baseline'!$D$1:$O$258,9,FALSE)),"",(VLOOKUP($E21,'A-1 Site Habitat Baseline'!$D$1:$O$258,9,FALSE))))</f>
        <v/>
      </c>
      <c r="L21" s="520" t="str">
        <f>IF(E21="","",IF(ISNA(VLOOKUP($E21,'A-1 Site Habitat Baseline'!$D$1:$O$258,11,FALSE)),"",(VLOOKUP($E21,'A-1 Site Habitat Baseline'!$D$1:$O$258,11,FALSE))))</f>
        <v/>
      </c>
      <c r="M21" s="520" t="str">
        <f>IF(E21="","",IF(ISNA(VLOOKUP($E21,'A-1 Site Habitat Baseline'!$D$1:$O$258,12,FALSE)),"",(VLOOKUP($E21,'A-1 Site Habitat Baseline'!$D$1:$O$258,12,FALSE))))</f>
        <v/>
      </c>
      <c r="N21" s="532" t="str">
        <f>IF(E21="","",IF(ISNA(VLOOKUP($E21,'A-1 Site Habitat Baseline'!$D$1:$X$258,14,FALSE)),"",(VLOOKUP($E21,'A-1 Site Habitat Baseline'!$D$1:$X$258,14,FALSE))))</f>
        <v/>
      </c>
      <c r="O21" s="524" t="str">
        <f>IF(E21="","",IF(ISNA(VLOOKUP($E21,'A-1 Site Habitat Baseline'!$D$1:$X$258,16,FALSE)),"",(VLOOKUP($E21,'A-1 Site Habitat Baseline'!$D$1:$X$258,13,FALSE))))</f>
        <v/>
      </c>
      <c r="P21" s="237" t="str">
        <f>IFERROR(INDEX('G-1 All Habitats'!$AG$3:$AG$15,MATCH(Q21,'G-1 All Habitats'!$AF$3:$AF$15,0)),"")</f>
        <v/>
      </c>
      <c r="Q21" s="238" t="str">
        <f t="shared" si="2"/>
        <v/>
      </c>
      <c r="R21" s="238"/>
      <c r="S21" s="392" t="str">
        <f>IFERROR(INDEX('G-1 All Habitats'!$B$3:$B$129,MATCH(R21,'G-1 All Habitats'!$A$3:$A$129,0)),"")</f>
        <v/>
      </c>
      <c r="T21" s="498" t="str">
        <f t="shared" si="3"/>
        <v/>
      </c>
      <c r="U21" s="499" t="str">
        <f t="shared" si="4"/>
        <v/>
      </c>
      <c r="V21" s="537" t="str">
        <f t="shared" si="5"/>
        <v/>
      </c>
      <c r="W21" s="520" t="str">
        <f>IF(S21="","",VLOOKUP(S21,'G-1 All Habitats'!$B$2:$M$129,10,FALSE))</f>
        <v/>
      </c>
      <c r="X21" s="520" t="str">
        <f>IFERROR(VLOOKUP(W21,'G-1 All Habitats'!$V$3:$W$7,2,FALSE),"")</f>
        <v/>
      </c>
      <c r="Y21" s="79"/>
      <c r="Z21" s="524" t="str">
        <f>IFERROR(INDEX('G-8 Condition Look up'!$A$3:$H$130,MATCH(S21,'G-8 Condition Look up'!$A$3:$A$130,0),MATCH(Y21,'G-8 Condition Look up'!$A$3:$H$3,0)),"")</f>
        <v/>
      </c>
      <c r="AA21" s="71"/>
      <c r="AB21" s="520" t="str">
        <f>IF(AA21="","",IF(VLOOKUP(AA21,'G-3 Multipliers'!$L$3:$N$6,2,FALSE)=0,"Spatial Data Missing ⚠",VLOOKUP(AA21,'G-3 Multipliers'!$L$3:$N$6,2,FALSE)))</f>
        <v/>
      </c>
      <c r="AC21" s="524" t="str">
        <f>IF(AA21="","",IF(VLOOKUP(AA21,'G-3 Multipliers'!$L$3:$N$6,3,FALSE)=0,"Spatial Data Missing ⚠",VLOOKUP(AA21,'G-3 Multipliers'!$L$3:$N$6,3,FALSE)))</f>
        <v/>
      </c>
      <c r="AD21" s="539" t="str">
        <f t="shared" si="1"/>
        <v/>
      </c>
      <c r="AE21" s="82"/>
      <c r="AF21" s="82"/>
      <c r="AG21" s="507" t="str">
        <f t="shared" si="6"/>
        <v/>
      </c>
      <c r="AH21" s="521" t="str">
        <f t="shared" si="7"/>
        <v/>
      </c>
      <c r="AI21" s="522" t="str">
        <f>IF(AH21="Check Data","Check Data",IFERROR(VLOOKUP(AH21,'G-4 Temporal multipliers'!$A$4:$C$36,3,FALSE),""))</f>
        <v/>
      </c>
      <c r="AJ21" s="498" t="str">
        <f>IF(S21="","",VLOOKUP(S21,'G-3 Multipliers'!$A$2:$E$129,4,FALSE))</f>
        <v/>
      </c>
      <c r="AK21" s="507" t="str">
        <f t="shared" si="8"/>
        <v/>
      </c>
      <c r="AL21" s="507" t="str">
        <f t="shared" si="9"/>
        <v/>
      </c>
      <c r="AM21" s="540" t="str">
        <f>IFERROR(IF(F21="","",IF(AH21="Check Data ⚠","Check Data ⚠",VLOOKUP(AL21, 'G-3 Multipliers'!$P$2:$Q$6,2,FALSE))),"")</f>
        <v/>
      </c>
      <c r="AN21" s="513" t="str">
        <f t="shared" si="10"/>
        <v/>
      </c>
      <c r="AO21" s="239"/>
      <c r="AP21" s="240"/>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1" t="str">
        <f>'A-1 Site Habitat Baseline'!AL21</f>
        <v/>
      </c>
      <c r="F22" s="520" t="str">
        <f>IF(E22="","",IF(ISNA(VLOOKUP($E22,'A-1 Site Habitat Baseline'!$D$1:$O$258,4,FALSE)),"",(VLOOKUP($E22,'A-1 Site Habitat Baseline'!$D$1:$O$258,4,FALSE))))</f>
        <v/>
      </c>
      <c r="G22" s="520" t="str">
        <f>IF(E22="","",IF(ISNA(VLOOKUP($E22,'A-1 Site Habitat Baseline'!$D$1:$O$258,5,FALSE)),"",(VLOOKUP($E22,'A-1 Site Habitat Baseline'!$D$1:$O$258,5,FALSE))))</f>
        <v/>
      </c>
      <c r="H22" s="520" t="str">
        <f>IF(E22="","",IF(ISNA(VLOOKUP($E22,'A-1 Site Habitat Baseline'!$D$1:$O$258,6,FALSE)),"",(VLOOKUP($E22,'A-1 Site Habitat Baseline'!$D$1:$O$258,6,FALSE))))</f>
        <v/>
      </c>
      <c r="I22" s="520" t="str">
        <f>IF(E22="","",IF(ISNA(VLOOKUP($E22,'A-1 Site Habitat Baseline'!$D$1:$O$258,7,FALSE)),"",(VLOOKUP($E22,'A-1 Site Habitat Baseline'!$D$1:$O$258,7,FALSE))))</f>
        <v/>
      </c>
      <c r="J22" s="520" t="str">
        <f>IF(E22="","",IF(ISNA(VLOOKUP($E22,'A-1 Site Habitat Baseline'!$D$1:$O$258,8,FALSE)),"",(VLOOKUP($E22,'A-1 Site Habitat Baseline'!$D$1:$O$258,8,FALSE))))</f>
        <v/>
      </c>
      <c r="K22" s="520" t="str">
        <f>IF(E22="","",IF(ISNA(VLOOKUP($E22,'A-1 Site Habitat Baseline'!$D$1:$O$258,9,FALSE)),"",(VLOOKUP($E22,'A-1 Site Habitat Baseline'!$D$1:$O$258,9,FALSE))))</f>
        <v/>
      </c>
      <c r="L22" s="520" t="str">
        <f>IF(E22="","",IF(ISNA(VLOOKUP($E22,'A-1 Site Habitat Baseline'!$D$1:$O$258,11,FALSE)),"",(VLOOKUP($E22,'A-1 Site Habitat Baseline'!$D$1:$O$258,11,FALSE))))</f>
        <v/>
      </c>
      <c r="M22" s="520" t="str">
        <f>IF(E22="","",IF(ISNA(VLOOKUP($E22,'A-1 Site Habitat Baseline'!$D$1:$O$258,12,FALSE)),"",(VLOOKUP($E22,'A-1 Site Habitat Baseline'!$D$1:$O$258,12,FALSE))))</f>
        <v/>
      </c>
      <c r="N22" s="532" t="str">
        <f>IF(E22="","",IF(ISNA(VLOOKUP($E22,'A-1 Site Habitat Baseline'!$D$1:$X$258,14,FALSE)),"",(VLOOKUP($E22,'A-1 Site Habitat Baseline'!$D$1:$X$258,14,FALSE))))</f>
        <v/>
      </c>
      <c r="O22" s="524" t="str">
        <f>IF(E22="","",IF(ISNA(VLOOKUP($E22,'A-1 Site Habitat Baseline'!$D$1:$X$258,16,FALSE)),"",(VLOOKUP($E22,'A-1 Site Habitat Baseline'!$D$1:$X$258,13,FALSE))))</f>
        <v/>
      </c>
      <c r="P22" s="237" t="str">
        <f>IFERROR(INDEX('G-1 All Habitats'!$AG$3:$AG$15,MATCH(Q22,'G-1 All Habitats'!$AF$3:$AF$15,0)),"")</f>
        <v/>
      </c>
      <c r="Q22" s="238" t="str">
        <f t="shared" si="2"/>
        <v/>
      </c>
      <c r="R22" s="238" t="str">
        <f t="shared" ref="R22:R76" si="11">IF(B22="","",B22)</f>
        <v/>
      </c>
      <c r="S22" s="392" t="str">
        <f>IFERROR(INDEX('G-1 All Habitats'!$B$3:$B$129,MATCH(R22,'G-1 All Habitats'!$A$3:$A$129,0)),"")</f>
        <v/>
      </c>
      <c r="T22" s="498" t="str">
        <f t="shared" si="3"/>
        <v/>
      </c>
      <c r="U22" s="499" t="str">
        <f t="shared" si="4"/>
        <v/>
      </c>
      <c r="V22" s="537" t="str">
        <f t="shared" si="5"/>
        <v/>
      </c>
      <c r="W22" s="520" t="str">
        <f>IF(S22="","",VLOOKUP(S22,'G-1 All Habitats'!$B$2:$M$129,10,FALSE))</f>
        <v/>
      </c>
      <c r="X22" s="520" t="str">
        <f>IFERROR(VLOOKUP(W22,'G-1 All Habitats'!$V$3:$W$7,2,FALSE),"")</f>
        <v/>
      </c>
      <c r="Y22" s="79"/>
      <c r="Z22" s="524" t="str">
        <f>IFERROR(INDEX('G-8 Condition Look up'!$A$3:$H$130,MATCH(S22,'G-8 Condition Look up'!$A$3:$A$130,0),MATCH(Y22,'G-8 Condition Look up'!$A$3:$H$3,0)),"")</f>
        <v/>
      </c>
      <c r="AA22" s="71"/>
      <c r="AB22" s="520" t="str">
        <f>IF(AA22="","",IF(VLOOKUP(AA22,'G-3 Multipliers'!$L$3:$N$6,2,FALSE)=0,"Spatial Data Missing ⚠",VLOOKUP(AA22,'G-3 Multipliers'!$L$3:$N$6,2,FALSE)))</f>
        <v/>
      </c>
      <c r="AC22" s="524" t="str">
        <f>IF(AA22="","",IF(VLOOKUP(AA22,'G-3 Multipliers'!$L$3:$N$6,3,FALSE)=0,"Spatial Data Missing ⚠",VLOOKUP(AA22,'G-3 Multipliers'!$L$3:$N$6,3,FALSE)))</f>
        <v/>
      </c>
      <c r="AD22" s="539" t="str">
        <f t="shared" si="1"/>
        <v/>
      </c>
      <c r="AE22" s="82"/>
      <c r="AF22" s="82"/>
      <c r="AG22" s="507" t="str">
        <f t="shared" si="6"/>
        <v/>
      </c>
      <c r="AH22" s="521" t="str">
        <f t="shared" si="7"/>
        <v/>
      </c>
      <c r="AI22" s="522" t="str">
        <f>IF(AH22="Check Data","Check Data",IFERROR(VLOOKUP(AH22,'G-4 Temporal multipliers'!$A$4:$C$36,3,FALSE),""))</f>
        <v/>
      </c>
      <c r="AJ22" s="498" t="str">
        <f>IF(S22="","",VLOOKUP(S22,'G-3 Multipliers'!$A$2:$E$129,4,FALSE))</f>
        <v/>
      </c>
      <c r="AK22" s="507" t="str">
        <f t="shared" si="8"/>
        <v/>
      </c>
      <c r="AL22" s="507" t="str">
        <f t="shared" si="9"/>
        <v/>
      </c>
      <c r="AM22" s="540" t="str">
        <f>IFERROR(IF(F22="","",IF(AH22="Check Data ⚠","Check Data ⚠",VLOOKUP(AL22, 'G-3 Multipliers'!$P$2:$Q$6,2,FALSE))),"")</f>
        <v/>
      </c>
      <c r="AN22" s="513" t="str">
        <f t="shared" si="10"/>
        <v/>
      </c>
      <c r="AO22" s="239"/>
      <c r="AP22" s="240"/>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1" t="str">
        <f>'A-1 Site Habitat Baseline'!AL22</f>
        <v/>
      </c>
      <c r="F23" s="520" t="str">
        <f>IF(E23="","",IF(ISNA(VLOOKUP($E23,'A-1 Site Habitat Baseline'!$D$1:$O$258,4,FALSE)),"",(VLOOKUP($E23,'A-1 Site Habitat Baseline'!$D$1:$O$258,4,FALSE))))</f>
        <v/>
      </c>
      <c r="G23" s="520" t="str">
        <f>IF(E23="","",IF(ISNA(VLOOKUP($E23,'A-1 Site Habitat Baseline'!$D$1:$O$258,5,FALSE)),"",(VLOOKUP($E23,'A-1 Site Habitat Baseline'!$D$1:$O$258,5,FALSE))))</f>
        <v/>
      </c>
      <c r="H23" s="520" t="str">
        <f>IF(E23="","",IF(ISNA(VLOOKUP($E23,'A-1 Site Habitat Baseline'!$D$1:$O$258,6,FALSE)),"",(VLOOKUP($E23,'A-1 Site Habitat Baseline'!$D$1:$O$258,6,FALSE))))</f>
        <v/>
      </c>
      <c r="I23" s="520" t="str">
        <f>IF(E23="","",IF(ISNA(VLOOKUP($E23,'A-1 Site Habitat Baseline'!$D$1:$O$258,7,FALSE)),"",(VLOOKUP($E23,'A-1 Site Habitat Baseline'!$D$1:$O$258,7,FALSE))))</f>
        <v/>
      </c>
      <c r="J23" s="520" t="str">
        <f>IF(E23="","",IF(ISNA(VLOOKUP($E23,'A-1 Site Habitat Baseline'!$D$1:$O$258,8,FALSE)),"",(VLOOKUP($E23,'A-1 Site Habitat Baseline'!$D$1:$O$258,8,FALSE))))</f>
        <v/>
      </c>
      <c r="K23" s="520" t="str">
        <f>IF(E23="","",IF(ISNA(VLOOKUP($E23,'A-1 Site Habitat Baseline'!$D$1:$O$258,9,FALSE)),"",(VLOOKUP($E23,'A-1 Site Habitat Baseline'!$D$1:$O$258,9,FALSE))))</f>
        <v/>
      </c>
      <c r="L23" s="520" t="str">
        <f>IF(E23="","",IF(ISNA(VLOOKUP($E23,'A-1 Site Habitat Baseline'!$D$1:$O$258,11,FALSE)),"",(VLOOKUP($E23,'A-1 Site Habitat Baseline'!$D$1:$O$258,11,FALSE))))</f>
        <v/>
      </c>
      <c r="M23" s="520" t="str">
        <f>IF(E23="","",IF(ISNA(VLOOKUP($E23,'A-1 Site Habitat Baseline'!$D$1:$O$258,12,FALSE)),"",(VLOOKUP($E23,'A-1 Site Habitat Baseline'!$D$1:$O$258,12,FALSE))))</f>
        <v/>
      </c>
      <c r="N23" s="532" t="str">
        <f>IF(E23="","",IF(ISNA(VLOOKUP($E23,'A-1 Site Habitat Baseline'!$D$1:$X$258,14,FALSE)),"",(VLOOKUP($E23,'A-1 Site Habitat Baseline'!$D$1:$X$258,14,FALSE))))</f>
        <v/>
      </c>
      <c r="O23" s="524" t="str">
        <f>IF(E23="","",IF(ISNA(VLOOKUP($E23,'A-1 Site Habitat Baseline'!$D$1:$X$258,16,FALSE)),"",(VLOOKUP($E23,'A-1 Site Habitat Baseline'!$D$1:$X$258,13,FALSE))))</f>
        <v/>
      </c>
      <c r="P23" s="237" t="str">
        <f>IFERROR(INDEX('G-1 All Habitats'!$AG$3:$AG$15,MATCH(Q23,'G-1 All Habitats'!$AF$3:$AF$15,0)),"")</f>
        <v/>
      </c>
      <c r="Q23" s="238" t="str">
        <f t="shared" si="2"/>
        <v/>
      </c>
      <c r="R23" s="238" t="str">
        <f t="shared" si="11"/>
        <v/>
      </c>
      <c r="S23" s="392" t="str">
        <f>IFERROR(INDEX('G-1 All Habitats'!$B$3:$B$129,MATCH(R23,'G-1 All Habitats'!$A$3:$A$129,0)),"")</f>
        <v/>
      </c>
      <c r="T23" s="498" t="str">
        <f t="shared" si="3"/>
        <v/>
      </c>
      <c r="U23" s="499" t="str">
        <f t="shared" si="4"/>
        <v/>
      </c>
      <c r="V23" s="537" t="str">
        <f t="shared" si="5"/>
        <v/>
      </c>
      <c r="W23" s="520" t="str">
        <f>IF(S23="","",VLOOKUP(S23,'G-1 All Habitats'!$B$2:$M$129,10,FALSE))</f>
        <v/>
      </c>
      <c r="X23" s="520" t="str">
        <f>IFERROR(VLOOKUP(W23,'G-1 All Habitats'!$V$3:$W$7,2,FALSE),"")</f>
        <v/>
      </c>
      <c r="Y23" s="79"/>
      <c r="Z23" s="524" t="str">
        <f>IFERROR(INDEX('G-8 Condition Look up'!$A$3:$H$130,MATCH(S23,'G-8 Condition Look up'!$A$3:$A$130,0),MATCH(Y23,'G-8 Condition Look up'!$A$3:$H$3,0)),"")</f>
        <v/>
      </c>
      <c r="AA23" s="71"/>
      <c r="AB23" s="520" t="str">
        <f>IF(AA23="","",IF(VLOOKUP(AA23,'G-3 Multipliers'!$L$3:$N$6,2,FALSE)=0,"Spatial Data Missing ⚠",VLOOKUP(AA23,'G-3 Multipliers'!$L$3:$N$6,2,FALSE)))</f>
        <v/>
      </c>
      <c r="AC23" s="524" t="str">
        <f>IF(AA23="","",IF(VLOOKUP(AA23,'G-3 Multipliers'!$L$3:$N$6,3,FALSE)=0,"Spatial Data Missing ⚠",VLOOKUP(AA23,'G-3 Multipliers'!$L$3:$N$6,3,FALSE)))</f>
        <v/>
      </c>
      <c r="AD23" s="539" t="str">
        <f t="shared" si="1"/>
        <v/>
      </c>
      <c r="AE23" s="82"/>
      <c r="AF23" s="82"/>
      <c r="AG23" s="507" t="str">
        <f t="shared" si="6"/>
        <v/>
      </c>
      <c r="AH23" s="521" t="str">
        <f t="shared" si="7"/>
        <v/>
      </c>
      <c r="AI23" s="522" t="str">
        <f>IF(AH23="Check Data","Check Data",IFERROR(VLOOKUP(AH23,'G-4 Temporal multipliers'!$A$4:$C$36,3,FALSE),""))</f>
        <v/>
      </c>
      <c r="AJ23" s="498" t="str">
        <f>IF(S23="","",VLOOKUP(S23,'G-3 Multipliers'!$A$2:$E$129,4,FALSE))</f>
        <v/>
      </c>
      <c r="AK23" s="507" t="str">
        <f t="shared" si="8"/>
        <v/>
      </c>
      <c r="AL23" s="507" t="str">
        <f t="shared" si="9"/>
        <v/>
      </c>
      <c r="AM23" s="540" t="str">
        <f>IFERROR(IF(F23="","",IF(AH23="Check Data ⚠","Check Data ⚠",VLOOKUP(AL23, 'G-3 Multipliers'!$P$2:$Q$6,2,FALSE))),"")</f>
        <v/>
      </c>
      <c r="AN23" s="513" t="str">
        <f t="shared" si="10"/>
        <v/>
      </c>
      <c r="AO23" s="239"/>
      <c r="AP23" s="240"/>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1" t="str">
        <f>'A-1 Site Habitat Baseline'!AL23</f>
        <v/>
      </c>
      <c r="F24" s="520" t="str">
        <f>IF(E24="","",IF(ISNA(VLOOKUP($E24,'A-1 Site Habitat Baseline'!$D$1:$O$258,4,FALSE)),"",(VLOOKUP($E24,'A-1 Site Habitat Baseline'!$D$1:$O$258,4,FALSE))))</f>
        <v/>
      </c>
      <c r="G24" s="520" t="str">
        <f>IF(E24="","",IF(ISNA(VLOOKUP($E24,'A-1 Site Habitat Baseline'!$D$1:$O$258,5,FALSE)),"",(VLOOKUP($E24,'A-1 Site Habitat Baseline'!$D$1:$O$258,5,FALSE))))</f>
        <v/>
      </c>
      <c r="H24" s="520" t="str">
        <f>IF(E24="","",IF(ISNA(VLOOKUP($E24,'A-1 Site Habitat Baseline'!$D$1:$O$258,6,FALSE)),"",(VLOOKUP($E24,'A-1 Site Habitat Baseline'!$D$1:$O$258,6,FALSE))))</f>
        <v/>
      </c>
      <c r="I24" s="520" t="str">
        <f>IF(E24="","",IF(ISNA(VLOOKUP($E24,'A-1 Site Habitat Baseline'!$D$1:$O$258,7,FALSE)),"",(VLOOKUP($E24,'A-1 Site Habitat Baseline'!$D$1:$O$258,7,FALSE))))</f>
        <v/>
      </c>
      <c r="J24" s="520" t="str">
        <f>IF(E24="","",IF(ISNA(VLOOKUP($E24,'A-1 Site Habitat Baseline'!$D$1:$O$258,8,FALSE)),"",(VLOOKUP($E24,'A-1 Site Habitat Baseline'!$D$1:$O$258,8,FALSE))))</f>
        <v/>
      </c>
      <c r="K24" s="520" t="str">
        <f>IF(E24="","",IF(ISNA(VLOOKUP($E24,'A-1 Site Habitat Baseline'!$D$1:$O$258,9,FALSE)),"",(VLOOKUP($E24,'A-1 Site Habitat Baseline'!$D$1:$O$258,9,FALSE))))</f>
        <v/>
      </c>
      <c r="L24" s="520" t="str">
        <f>IF(E24="","",IF(ISNA(VLOOKUP($E24,'A-1 Site Habitat Baseline'!$D$1:$O$258,11,FALSE)),"",(VLOOKUP($E24,'A-1 Site Habitat Baseline'!$D$1:$O$258,11,FALSE))))</f>
        <v/>
      </c>
      <c r="M24" s="520" t="str">
        <f>IF(E24="","",IF(ISNA(VLOOKUP($E24,'A-1 Site Habitat Baseline'!$D$1:$O$258,12,FALSE)),"",(VLOOKUP($E24,'A-1 Site Habitat Baseline'!$D$1:$O$258,12,FALSE))))</f>
        <v/>
      </c>
      <c r="N24" s="532" t="str">
        <f>IF(E24="","",IF(ISNA(VLOOKUP($E24,'A-1 Site Habitat Baseline'!$D$1:$X$258,14,FALSE)),"",(VLOOKUP($E24,'A-1 Site Habitat Baseline'!$D$1:$X$258,14,FALSE))))</f>
        <v/>
      </c>
      <c r="O24" s="524" t="str">
        <f>IF(E24="","",IF(ISNA(VLOOKUP($E24,'A-1 Site Habitat Baseline'!$D$1:$X$258,16,FALSE)),"",(VLOOKUP($E24,'A-1 Site Habitat Baseline'!$D$1:$X$258,13,FALSE))))</f>
        <v/>
      </c>
      <c r="P24" s="237" t="str">
        <f>IFERROR(INDEX('G-1 All Habitats'!$AG$3:$AG$15,MATCH(Q24,'G-1 All Habitats'!$AF$3:$AF$15,0)),"")</f>
        <v/>
      </c>
      <c r="Q24" s="238" t="str">
        <f t="shared" si="2"/>
        <v/>
      </c>
      <c r="R24" s="238" t="str">
        <f t="shared" si="11"/>
        <v/>
      </c>
      <c r="S24" s="392" t="str">
        <f>IFERROR(INDEX('G-1 All Habitats'!$B$3:$B$129,MATCH(R24,'G-1 All Habitats'!$A$3:$A$129,0)),"")</f>
        <v/>
      </c>
      <c r="T24" s="498" t="str">
        <f t="shared" si="3"/>
        <v/>
      </c>
      <c r="U24" s="499" t="str">
        <f t="shared" si="4"/>
        <v/>
      </c>
      <c r="V24" s="537" t="str">
        <f t="shared" si="5"/>
        <v/>
      </c>
      <c r="W24" s="520" t="str">
        <f>IF(S24="","",VLOOKUP(S24,'G-1 All Habitats'!$B$2:$M$129,10,FALSE))</f>
        <v/>
      </c>
      <c r="X24" s="520" t="str">
        <f>IFERROR(VLOOKUP(W24,'G-1 All Habitats'!$V$3:$W$7,2,FALSE),"")</f>
        <v/>
      </c>
      <c r="Y24" s="79"/>
      <c r="Z24" s="524" t="str">
        <f>IFERROR(INDEX('G-8 Condition Look up'!$A$3:$H$130,MATCH(S24,'G-8 Condition Look up'!$A$3:$A$130,0),MATCH(Y24,'G-8 Condition Look up'!$A$3:$H$3,0)),"")</f>
        <v/>
      </c>
      <c r="AA24" s="71"/>
      <c r="AB24" s="520" t="str">
        <f>IF(AA24="","",IF(VLOOKUP(AA24,'G-3 Multipliers'!$L$3:$N$6,2,FALSE)=0,"Spatial Data Missing ⚠",VLOOKUP(AA24,'G-3 Multipliers'!$L$3:$N$6,2,FALSE)))</f>
        <v/>
      </c>
      <c r="AC24" s="524" t="str">
        <f>IF(AA24="","",IF(VLOOKUP(AA24,'G-3 Multipliers'!$L$3:$N$6,3,FALSE)=0,"Spatial Data Missing ⚠",VLOOKUP(AA24,'G-3 Multipliers'!$L$3:$N$6,3,FALSE)))</f>
        <v/>
      </c>
      <c r="AD24" s="539" t="str">
        <f t="shared" si="1"/>
        <v/>
      </c>
      <c r="AE24" s="82"/>
      <c r="AF24" s="82"/>
      <c r="AG24" s="507" t="str">
        <f t="shared" si="6"/>
        <v/>
      </c>
      <c r="AH24" s="521" t="str">
        <f t="shared" si="7"/>
        <v/>
      </c>
      <c r="AI24" s="522" t="str">
        <f>IF(AH24="Check Data","Check Data",IFERROR(VLOOKUP(AH24,'G-4 Temporal multipliers'!$A$4:$C$36,3,FALSE),""))</f>
        <v/>
      </c>
      <c r="AJ24" s="498" t="str">
        <f>IF(S24="","",VLOOKUP(S24,'G-3 Multipliers'!$A$2:$E$129,4,FALSE))</f>
        <v/>
      </c>
      <c r="AK24" s="507" t="str">
        <f t="shared" si="8"/>
        <v/>
      </c>
      <c r="AL24" s="507" t="str">
        <f t="shared" si="9"/>
        <v/>
      </c>
      <c r="AM24" s="540" t="str">
        <f>IFERROR(IF(F24="","",IF(AH24="Check Data ⚠","Check Data ⚠",VLOOKUP(AL24, 'G-3 Multipliers'!$P$2:$Q$6,2,FALSE))),"")</f>
        <v/>
      </c>
      <c r="AN24" s="513" t="str">
        <f t="shared" si="10"/>
        <v/>
      </c>
      <c r="AO24" s="239"/>
      <c r="AP24" s="240"/>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1" t="str">
        <f>'A-1 Site Habitat Baseline'!AL24</f>
        <v/>
      </c>
      <c r="F25" s="520" t="str">
        <f>IF(E25="","",IF(ISNA(VLOOKUP($E25,'A-1 Site Habitat Baseline'!$D$1:$O$258,4,FALSE)),"",(VLOOKUP($E25,'A-1 Site Habitat Baseline'!$D$1:$O$258,4,FALSE))))</f>
        <v/>
      </c>
      <c r="G25" s="520" t="str">
        <f>IF(E25="","",IF(ISNA(VLOOKUP($E25,'A-1 Site Habitat Baseline'!$D$1:$O$258,5,FALSE)),"",(VLOOKUP($E25,'A-1 Site Habitat Baseline'!$D$1:$O$258,5,FALSE))))</f>
        <v/>
      </c>
      <c r="H25" s="520" t="str">
        <f>IF(E25="","",IF(ISNA(VLOOKUP($E25,'A-1 Site Habitat Baseline'!$D$1:$O$258,6,FALSE)),"",(VLOOKUP($E25,'A-1 Site Habitat Baseline'!$D$1:$O$258,6,FALSE))))</f>
        <v/>
      </c>
      <c r="I25" s="520" t="str">
        <f>IF(E25="","",IF(ISNA(VLOOKUP($E25,'A-1 Site Habitat Baseline'!$D$1:$O$258,7,FALSE)),"",(VLOOKUP($E25,'A-1 Site Habitat Baseline'!$D$1:$O$258,7,FALSE))))</f>
        <v/>
      </c>
      <c r="J25" s="520" t="str">
        <f>IF(E25="","",IF(ISNA(VLOOKUP($E25,'A-1 Site Habitat Baseline'!$D$1:$O$258,8,FALSE)),"",(VLOOKUP($E25,'A-1 Site Habitat Baseline'!$D$1:$O$258,8,FALSE))))</f>
        <v/>
      </c>
      <c r="K25" s="520" t="str">
        <f>IF(E25="","",IF(ISNA(VLOOKUP($E25,'A-1 Site Habitat Baseline'!$D$1:$O$258,9,FALSE)),"",(VLOOKUP($E25,'A-1 Site Habitat Baseline'!$D$1:$O$258,9,FALSE))))</f>
        <v/>
      </c>
      <c r="L25" s="520" t="str">
        <f>IF(E25="","",IF(ISNA(VLOOKUP($E25,'A-1 Site Habitat Baseline'!$D$1:$O$258,11,FALSE)),"",(VLOOKUP($E25,'A-1 Site Habitat Baseline'!$D$1:$O$258,11,FALSE))))</f>
        <v/>
      </c>
      <c r="M25" s="520" t="str">
        <f>IF(E25="","",IF(ISNA(VLOOKUP($E25,'A-1 Site Habitat Baseline'!$D$1:$O$258,12,FALSE)),"",(VLOOKUP($E25,'A-1 Site Habitat Baseline'!$D$1:$O$258,12,FALSE))))</f>
        <v/>
      </c>
      <c r="N25" s="532" t="str">
        <f>IF(E25="","",IF(ISNA(VLOOKUP($E25,'A-1 Site Habitat Baseline'!$D$1:$X$258,14,FALSE)),"",(VLOOKUP($E25,'A-1 Site Habitat Baseline'!$D$1:$X$258,14,FALSE))))</f>
        <v/>
      </c>
      <c r="O25" s="524" t="str">
        <f>IF(E25="","",IF(ISNA(VLOOKUP($E25,'A-1 Site Habitat Baseline'!$D$1:$X$258,16,FALSE)),"",(VLOOKUP($E25,'A-1 Site Habitat Baseline'!$D$1:$X$258,13,FALSE))))</f>
        <v/>
      </c>
      <c r="P25" s="237" t="str">
        <f>IFERROR(INDEX('G-1 All Habitats'!$AG$3:$AG$15,MATCH(Q25,'G-1 All Habitats'!$AF$3:$AF$15,0)),"")</f>
        <v/>
      </c>
      <c r="Q25" s="238" t="str">
        <f t="shared" si="2"/>
        <v/>
      </c>
      <c r="R25" s="238" t="str">
        <f t="shared" si="11"/>
        <v/>
      </c>
      <c r="S25" s="392" t="str">
        <f>IFERROR(INDEX('G-1 All Habitats'!$B$3:$B$129,MATCH(R25,'G-1 All Habitats'!$A$3:$A$129,0)),"")</f>
        <v/>
      </c>
      <c r="T25" s="498" t="str">
        <f t="shared" si="3"/>
        <v/>
      </c>
      <c r="U25" s="499" t="str">
        <f t="shared" si="4"/>
        <v/>
      </c>
      <c r="V25" s="537" t="str">
        <f t="shared" si="5"/>
        <v/>
      </c>
      <c r="W25" s="520" t="str">
        <f>IF(S25="","",VLOOKUP(S25,'G-1 All Habitats'!$B$2:$M$129,10,FALSE))</f>
        <v/>
      </c>
      <c r="X25" s="520" t="str">
        <f>IFERROR(VLOOKUP(W25,'G-1 All Habitats'!$V$3:$W$7,2,FALSE),"")</f>
        <v/>
      </c>
      <c r="Y25" s="79"/>
      <c r="Z25" s="524" t="str">
        <f>IFERROR(INDEX('G-8 Condition Look up'!$A$3:$H$130,MATCH(S25,'G-8 Condition Look up'!$A$3:$A$130,0),MATCH(Y25,'G-8 Condition Look up'!$A$3:$H$3,0)),"")</f>
        <v/>
      </c>
      <c r="AA25" s="71"/>
      <c r="AB25" s="520" t="str">
        <f>IF(AA25="","",IF(VLOOKUP(AA25,'G-3 Multipliers'!$L$3:$N$6,2,FALSE)=0,"Spatial Data Missing ⚠",VLOOKUP(AA25,'G-3 Multipliers'!$L$3:$N$6,2,FALSE)))</f>
        <v/>
      </c>
      <c r="AC25" s="524" t="str">
        <f>IF(AA25="","",IF(VLOOKUP(AA25,'G-3 Multipliers'!$L$3:$N$6,3,FALSE)=0,"Spatial Data Missing ⚠",VLOOKUP(AA25,'G-3 Multipliers'!$L$3:$N$6,3,FALSE)))</f>
        <v/>
      </c>
      <c r="AD25" s="539" t="str">
        <f t="shared" si="1"/>
        <v/>
      </c>
      <c r="AE25" s="82"/>
      <c r="AF25" s="82"/>
      <c r="AG25" s="507" t="str">
        <f t="shared" si="6"/>
        <v/>
      </c>
      <c r="AH25" s="521" t="str">
        <f t="shared" si="7"/>
        <v/>
      </c>
      <c r="AI25" s="522" t="str">
        <f>IF(AH25="Check Data","Check Data",IFERROR(VLOOKUP(AH25,'G-4 Temporal multipliers'!$A$4:$C$36,3,FALSE),""))</f>
        <v/>
      </c>
      <c r="AJ25" s="498" t="str">
        <f>IF(S25="","",VLOOKUP(S25,'G-3 Multipliers'!$A$2:$E$129,4,FALSE))</f>
        <v/>
      </c>
      <c r="AK25" s="507" t="str">
        <f t="shared" si="8"/>
        <v/>
      </c>
      <c r="AL25" s="507" t="str">
        <f t="shared" si="9"/>
        <v/>
      </c>
      <c r="AM25" s="540" t="str">
        <f>IFERROR(IF(F25="","",IF(AH25="Check Data ⚠","Check Data ⚠",VLOOKUP(AL25, 'G-3 Multipliers'!$P$2:$Q$6,2,FALSE))),"")</f>
        <v/>
      </c>
      <c r="AN25" s="513" t="str">
        <f t="shared" si="10"/>
        <v/>
      </c>
      <c r="AO25" s="239"/>
      <c r="AP25" s="240"/>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1" t="str">
        <f>'A-1 Site Habitat Baseline'!AL25</f>
        <v/>
      </c>
      <c r="F26" s="520" t="str">
        <f>IF(E26="","",IF(ISNA(VLOOKUP($E26,'A-1 Site Habitat Baseline'!$D$1:$O$258,4,FALSE)),"",(VLOOKUP($E26,'A-1 Site Habitat Baseline'!$D$1:$O$258,4,FALSE))))</f>
        <v/>
      </c>
      <c r="G26" s="520" t="str">
        <f>IF(E26="","",IF(ISNA(VLOOKUP($E26,'A-1 Site Habitat Baseline'!$D$1:$O$258,5,FALSE)),"",(VLOOKUP($E26,'A-1 Site Habitat Baseline'!$D$1:$O$258,5,FALSE))))</f>
        <v/>
      </c>
      <c r="H26" s="520" t="str">
        <f>IF(E26="","",IF(ISNA(VLOOKUP($E26,'A-1 Site Habitat Baseline'!$D$1:$O$258,6,FALSE)),"",(VLOOKUP($E26,'A-1 Site Habitat Baseline'!$D$1:$O$258,6,FALSE))))</f>
        <v/>
      </c>
      <c r="I26" s="520" t="str">
        <f>IF(E26="","",IF(ISNA(VLOOKUP($E26,'A-1 Site Habitat Baseline'!$D$1:$O$258,7,FALSE)),"",(VLOOKUP($E26,'A-1 Site Habitat Baseline'!$D$1:$O$258,7,FALSE))))</f>
        <v/>
      </c>
      <c r="J26" s="520" t="str">
        <f>IF(E26="","",IF(ISNA(VLOOKUP($E26,'A-1 Site Habitat Baseline'!$D$1:$O$258,8,FALSE)),"",(VLOOKUP($E26,'A-1 Site Habitat Baseline'!$D$1:$O$258,8,FALSE))))</f>
        <v/>
      </c>
      <c r="K26" s="520" t="str">
        <f>IF(E26="","",IF(ISNA(VLOOKUP($E26,'A-1 Site Habitat Baseline'!$D$1:$O$258,9,FALSE)),"",(VLOOKUP($E26,'A-1 Site Habitat Baseline'!$D$1:$O$258,9,FALSE))))</f>
        <v/>
      </c>
      <c r="L26" s="520" t="str">
        <f>IF(E26="","",IF(ISNA(VLOOKUP($E26,'A-1 Site Habitat Baseline'!$D$1:$O$258,11,FALSE)),"",(VLOOKUP($E26,'A-1 Site Habitat Baseline'!$D$1:$O$258,11,FALSE))))</f>
        <v/>
      </c>
      <c r="M26" s="520" t="str">
        <f>IF(E26="","",IF(ISNA(VLOOKUP($E26,'A-1 Site Habitat Baseline'!$D$1:$O$258,12,FALSE)),"",(VLOOKUP($E26,'A-1 Site Habitat Baseline'!$D$1:$O$258,12,FALSE))))</f>
        <v/>
      </c>
      <c r="N26" s="532" t="str">
        <f>IF(E26="","",IF(ISNA(VLOOKUP($E26,'A-1 Site Habitat Baseline'!$D$1:$X$258,14,FALSE)),"",(VLOOKUP($E26,'A-1 Site Habitat Baseline'!$D$1:$X$258,14,FALSE))))</f>
        <v/>
      </c>
      <c r="O26" s="524" t="str">
        <f>IF(E26="","",IF(ISNA(VLOOKUP($E26,'A-1 Site Habitat Baseline'!$D$1:$X$258,16,FALSE)),"",(VLOOKUP($E26,'A-1 Site Habitat Baseline'!$D$1:$X$258,13,FALSE))))</f>
        <v/>
      </c>
      <c r="P26" s="237" t="str">
        <f>IFERROR(INDEX('G-1 All Habitats'!$AG$3:$AG$15,MATCH(Q26,'G-1 All Habitats'!$AF$3:$AF$15,0)),"")</f>
        <v/>
      </c>
      <c r="Q26" s="238" t="str">
        <f t="shared" si="2"/>
        <v/>
      </c>
      <c r="R26" s="238" t="str">
        <f t="shared" si="11"/>
        <v/>
      </c>
      <c r="S26" s="392" t="str">
        <f>IFERROR(INDEX('G-1 All Habitats'!$B$3:$B$129,MATCH(R26,'G-1 All Habitats'!$A$3:$A$129,0)),"")</f>
        <v/>
      </c>
      <c r="T26" s="498" t="str">
        <f t="shared" si="3"/>
        <v/>
      </c>
      <c r="U26" s="499" t="str">
        <f t="shared" si="4"/>
        <v/>
      </c>
      <c r="V26" s="537" t="str">
        <f t="shared" si="5"/>
        <v/>
      </c>
      <c r="W26" s="520" t="str">
        <f>IF(S26="","",VLOOKUP(S26,'G-1 All Habitats'!$B$2:$M$129,10,FALSE))</f>
        <v/>
      </c>
      <c r="X26" s="520" t="str">
        <f>IFERROR(VLOOKUP(W26,'G-1 All Habitats'!$V$3:$W$7,2,FALSE),"")</f>
        <v/>
      </c>
      <c r="Y26" s="79"/>
      <c r="Z26" s="524" t="str">
        <f>IFERROR(INDEX('G-8 Condition Look up'!$A$3:$H$130,MATCH(S26,'G-8 Condition Look up'!$A$3:$A$130,0),MATCH(Y26,'G-8 Condition Look up'!$A$3:$H$3,0)),"")</f>
        <v/>
      </c>
      <c r="AA26" s="71"/>
      <c r="AB26" s="520" t="str">
        <f>IF(AA26="","",IF(VLOOKUP(AA26,'G-3 Multipliers'!$L$3:$N$6,2,FALSE)=0,"Spatial Data Missing ⚠",VLOOKUP(AA26,'G-3 Multipliers'!$L$3:$N$6,2,FALSE)))</f>
        <v/>
      </c>
      <c r="AC26" s="524" t="str">
        <f>IF(AA26="","",IF(VLOOKUP(AA26,'G-3 Multipliers'!$L$3:$N$6,3,FALSE)=0,"Spatial Data Missing ⚠",VLOOKUP(AA26,'G-3 Multipliers'!$L$3:$N$6,3,FALSE)))</f>
        <v/>
      </c>
      <c r="AD26" s="539" t="str">
        <f t="shared" si="1"/>
        <v/>
      </c>
      <c r="AE26" s="82"/>
      <c r="AF26" s="82"/>
      <c r="AG26" s="507" t="str">
        <f t="shared" si="6"/>
        <v/>
      </c>
      <c r="AH26" s="521" t="str">
        <f t="shared" si="7"/>
        <v/>
      </c>
      <c r="AI26" s="522" t="str">
        <f>IF(AH26="Check Data","Check Data",IFERROR(VLOOKUP(AH26,'G-4 Temporal multipliers'!$A$4:$C$36,3,FALSE),""))</f>
        <v/>
      </c>
      <c r="AJ26" s="498" t="str">
        <f>IF(S26="","",VLOOKUP(S26,'G-3 Multipliers'!$A$2:$E$129,4,FALSE))</f>
        <v/>
      </c>
      <c r="AK26" s="507" t="str">
        <f t="shared" si="8"/>
        <v/>
      </c>
      <c r="AL26" s="507" t="str">
        <f t="shared" si="9"/>
        <v/>
      </c>
      <c r="AM26" s="540" t="str">
        <f>IFERROR(IF(F26="","",IF(AH26="Check Data ⚠","Check Data ⚠",VLOOKUP(AL26, 'G-3 Multipliers'!$P$2:$Q$6,2,FALSE))),"")</f>
        <v/>
      </c>
      <c r="AN26" s="513" t="str">
        <f t="shared" si="10"/>
        <v/>
      </c>
      <c r="AO26" s="239"/>
      <c r="AP26" s="240"/>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1" t="str">
        <f>'A-1 Site Habitat Baseline'!AL26</f>
        <v/>
      </c>
      <c r="F27" s="520" t="str">
        <f>IF(E27="","",IF(ISNA(VLOOKUP($E27,'A-1 Site Habitat Baseline'!$D$1:$O$258,4,FALSE)),"",(VLOOKUP($E27,'A-1 Site Habitat Baseline'!$D$1:$O$258,4,FALSE))))</f>
        <v/>
      </c>
      <c r="G27" s="520" t="str">
        <f>IF(E27="","",IF(ISNA(VLOOKUP($E27,'A-1 Site Habitat Baseline'!$D$1:$O$258,5,FALSE)),"",(VLOOKUP($E27,'A-1 Site Habitat Baseline'!$D$1:$O$258,5,FALSE))))</f>
        <v/>
      </c>
      <c r="H27" s="520" t="str">
        <f>IF(E27="","",IF(ISNA(VLOOKUP($E27,'A-1 Site Habitat Baseline'!$D$1:$O$258,6,FALSE)),"",(VLOOKUP($E27,'A-1 Site Habitat Baseline'!$D$1:$O$258,6,FALSE))))</f>
        <v/>
      </c>
      <c r="I27" s="520" t="str">
        <f>IF(E27="","",IF(ISNA(VLOOKUP($E27,'A-1 Site Habitat Baseline'!$D$1:$O$258,7,FALSE)),"",(VLOOKUP($E27,'A-1 Site Habitat Baseline'!$D$1:$O$258,7,FALSE))))</f>
        <v/>
      </c>
      <c r="J27" s="520" t="str">
        <f>IF(E27="","",IF(ISNA(VLOOKUP($E27,'A-1 Site Habitat Baseline'!$D$1:$O$258,8,FALSE)),"",(VLOOKUP($E27,'A-1 Site Habitat Baseline'!$D$1:$O$258,8,FALSE))))</f>
        <v/>
      </c>
      <c r="K27" s="520" t="str">
        <f>IF(E27="","",IF(ISNA(VLOOKUP($E27,'A-1 Site Habitat Baseline'!$D$1:$O$258,9,FALSE)),"",(VLOOKUP($E27,'A-1 Site Habitat Baseline'!$D$1:$O$258,9,FALSE))))</f>
        <v/>
      </c>
      <c r="L27" s="520" t="str">
        <f>IF(E27="","",IF(ISNA(VLOOKUP($E27,'A-1 Site Habitat Baseline'!$D$1:$O$258,11,FALSE)),"",(VLOOKUP($E27,'A-1 Site Habitat Baseline'!$D$1:$O$258,11,FALSE))))</f>
        <v/>
      </c>
      <c r="M27" s="520" t="str">
        <f>IF(E27="","",IF(ISNA(VLOOKUP($E27,'A-1 Site Habitat Baseline'!$D$1:$O$258,12,FALSE)),"",(VLOOKUP($E27,'A-1 Site Habitat Baseline'!$D$1:$O$258,12,FALSE))))</f>
        <v/>
      </c>
      <c r="N27" s="532" t="str">
        <f>IF(E27="","",IF(ISNA(VLOOKUP($E27,'A-1 Site Habitat Baseline'!$D$1:$X$258,14,FALSE)),"",(VLOOKUP($E27,'A-1 Site Habitat Baseline'!$D$1:$X$258,14,FALSE))))</f>
        <v/>
      </c>
      <c r="O27" s="524" t="str">
        <f>IF(E27="","",IF(ISNA(VLOOKUP($E27,'A-1 Site Habitat Baseline'!$D$1:$X$258,16,FALSE)),"",(VLOOKUP($E27,'A-1 Site Habitat Baseline'!$D$1:$X$258,13,FALSE))))</f>
        <v/>
      </c>
      <c r="P27" s="237" t="str">
        <f>IFERROR(INDEX('G-1 All Habitats'!$AG$3:$AG$15,MATCH(Q27,'G-1 All Habitats'!$AF$3:$AF$15,0)),"")</f>
        <v/>
      </c>
      <c r="Q27" s="238" t="str">
        <f t="shared" si="2"/>
        <v/>
      </c>
      <c r="R27" s="238" t="str">
        <f t="shared" si="11"/>
        <v/>
      </c>
      <c r="S27" s="392" t="str">
        <f>IFERROR(INDEX('G-1 All Habitats'!$B$3:$B$129,MATCH(R27,'G-1 All Habitats'!$A$3:$A$129,0)),"")</f>
        <v/>
      </c>
      <c r="T27" s="498" t="str">
        <f t="shared" si="3"/>
        <v/>
      </c>
      <c r="U27" s="499" t="str">
        <f t="shared" si="4"/>
        <v/>
      </c>
      <c r="V27" s="537" t="str">
        <f t="shared" si="5"/>
        <v/>
      </c>
      <c r="W27" s="520" t="str">
        <f>IF(S27="","",VLOOKUP(S27,'G-1 All Habitats'!$B$2:$M$129,10,FALSE))</f>
        <v/>
      </c>
      <c r="X27" s="520" t="str">
        <f>IFERROR(VLOOKUP(W27,'G-1 All Habitats'!$V$3:$W$7,2,FALSE),"")</f>
        <v/>
      </c>
      <c r="Y27" s="79"/>
      <c r="Z27" s="524" t="str">
        <f>IFERROR(INDEX('G-8 Condition Look up'!$A$3:$H$130,MATCH(S27,'G-8 Condition Look up'!$A$3:$A$130,0),MATCH(Y27,'G-8 Condition Look up'!$A$3:$H$3,0)),"")</f>
        <v/>
      </c>
      <c r="AA27" s="71"/>
      <c r="AB27" s="520" t="str">
        <f>IF(AA27="","",IF(VLOOKUP(AA27,'G-3 Multipliers'!$L$3:$N$6,2,FALSE)=0,"Spatial Data Missing ⚠",VLOOKUP(AA27,'G-3 Multipliers'!$L$3:$N$6,2,FALSE)))</f>
        <v/>
      </c>
      <c r="AC27" s="524" t="str">
        <f>IF(AA27="","",IF(VLOOKUP(AA27,'G-3 Multipliers'!$L$3:$N$6,3,FALSE)=0,"Spatial Data Missing ⚠",VLOOKUP(AA27,'G-3 Multipliers'!$L$3:$N$6,3,FALSE)))</f>
        <v/>
      </c>
      <c r="AD27" s="539" t="str">
        <f t="shared" si="1"/>
        <v/>
      </c>
      <c r="AE27" s="82"/>
      <c r="AF27" s="82"/>
      <c r="AG27" s="507" t="str">
        <f t="shared" si="6"/>
        <v/>
      </c>
      <c r="AH27" s="521" t="str">
        <f t="shared" si="7"/>
        <v/>
      </c>
      <c r="AI27" s="522" t="str">
        <f>IF(AH27="Check Data","Check Data",IFERROR(VLOOKUP(AH27,'G-4 Temporal multipliers'!$A$4:$C$36,3,FALSE),""))</f>
        <v/>
      </c>
      <c r="AJ27" s="498" t="str">
        <f>IF(S27="","",VLOOKUP(S27,'G-3 Multipliers'!$A$2:$E$129,4,FALSE))</f>
        <v/>
      </c>
      <c r="AK27" s="507" t="str">
        <f t="shared" si="8"/>
        <v/>
      </c>
      <c r="AL27" s="507" t="str">
        <f t="shared" si="9"/>
        <v/>
      </c>
      <c r="AM27" s="540" t="str">
        <f>IFERROR(IF(F27="","",IF(AH27="Check Data ⚠","Check Data ⚠",VLOOKUP(AL27, 'G-3 Multipliers'!$P$2:$Q$6,2,FALSE))),"")</f>
        <v/>
      </c>
      <c r="AN27" s="513" t="str">
        <f t="shared" si="10"/>
        <v/>
      </c>
      <c r="AO27" s="239"/>
      <c r="AP27" s="240"/>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1" t="str">
        <f>'A-1 Site Habitat Baseline'!AL27</f>
        <v/>
      </c>
      <c r="F28" s="520" t="str">
        <f>IF(E28="","",IF(ISNA(VLOOKUP($E28,'A-1 Site Habitat Baseline'!$D$1:$O$258,4,FALSE)),"",(VLOOKUP($E28,'A-1 Site Habitat Baseline'!$D$1:$O$258,4,FALSE))))</f>
        <v/>
      </c>
      <c r="G28" s="520" t="str">
        <f>IF(E28="","",IF(ISNA(VLOOKUP($E28,'A-1 Site Habitat Baseline'!$D$1:$O$258,5,FALSE)),"",(VLOOKUP($E28,'A-1 Site Habitat Baseline'!$D$1:$O$258,5,FALSE))))</f>
        <v/>
      </c>
      <c r="H28" s="520" t="str">
        <f>IF(E28="","",IF(ISNA(VLOOKUP($E28,'A-1 Site Habitat Baseline'!$D$1:$O$258,6,FALSE)),"",(VLOOKUP($E28,'A-1 Site Habitat Baseline'!$D$1:$O$258,6,FALSE))))</f>
        <v/>
      </c>
      <c r="I28" s="520" t="str">
        <f>IF(E28="","",IF(ISNA(VLOOKUP($E28,'A-1 Site Habitat Baseline'!$D$1:$O$258,7,FALSE)),"",(VLOOKUP($E28,'A-1 Site Habitat Baseline'!$D$1:$O$258,7,FALSE))))</f>
        <v/>
      </c>
      <c r="J28" s="520" t="str">
        <f>IF(E28="","",IF(ISNA(VLOOKUP($E28,'A-1 Site Habitat Baseline'!$D$1:$O$258,8,FALSE)),"",(VLOOKUP($E28,'A-1 Site Habitat Baseline'!$D$1:$O$258,8,FALSE))))</f>
        <v/>
      </c>
      <c r="K28" s="520" t="str">
        <f>IF(E28="","",IF(ISNA(VLOOKUP($E28,'A-1 Site Habitat Baseline'!$D$1:$O$258,9,FALSE)),"",(VLOOKUP($E28,'A-1 Site Habitat Baseline'!$D$1:$O$258,9,FALSE))))</f>
        <v/>
      </c>
      <c r="L28" s="520" t="str">
        <f>IF(E28="","",IF(ISNA(VLOOKUP($E28,'A-1 Site Habitat Baseline'!$D$1:$O$258,11,FALSE)),"",(VLOOKUP($E28,'A-1 Site Habitat Baseline'!$D$1:$O$258,11,FALSE))))</f>
        <v/>
      </c>
      <c r="M28" s="520" t="str">
        <f>IF(E28="","",IF(ISNA(VLOOKUP($E28,'A-1 Site Habitat Baseline'!$D$1:$O$258,12,FALSE)),"",(VLOOKUP($E28,'A-1 Site Habitat Baseline'!$D$1:$O$258,12,FALSE))))</f>
        <v/>
      </c>
      <c r="N28" s="532" t="str">
        <f>IF(E28="","",IF(ISNA(VLOOKUP($E28,'A-1 Site Habitat Baseline'!$D$1:$X$258,14,FALSE)),"",(VLOOKUP($E28,'A-1 Site Habitat Baseline'!$D$1:$X$258,14,FALSE))))</f>
        <v/>
      </c>
      <c r="O28" s="524" t="str">
        <f>IF(E28="","",IF(ISNA(VLOOKUP($E28,'A-1 Site Habitat Baseline'!$D$1:$X$258,16,FALSE)),"",(VLOOKUP($E28,'A-1 Site Habitat Baseline'!$D$1:$X$258,13,FALSE))))</f>
        <v/>
      </c>
      <c r="P28" s="237" t="str">
        <f>IFERROR(INDEX('G-1 All Habitats'!$AG$3:$AG$15,MATCH(Q28,'G-1 All Habitats'!$AF$3:$AF$15,0)),"")</f>
        <v/>
      </c>
      <c r="Q28" s="238" t="str">
        <f t="shared" si="2"/>
        <v/>
      </c>
      <c r="R28" s="238" t="str">
        <f t="shared" si="11"/>
        <v/>
      </c>
      <c r="S28" s="392" t="str">
        <f>IFERROR(INDEX('G-1 All Habitats'!$B$3:$B$129,MATCH(R28,'G-1 All Habitats'!$A$3:$A$129,0)),"")</f>
        <v/>
      </c>
      <c r="T28" s="498" t="str">
        <f t="shared" si="3"/>
        <v/>
      </c>
      <c r="U28" s="499" t="str">
        <f t="shared" si="4"/>
        <v/>
      </c>
      <c r="V28" s="537" t="str">
        <f t="shared" si="5"/>
        <v/>
      </c>
      <c r="W28" s="520" t="str">
        <f>IF(S28="","",VLOOKUP(S28,'G-1 All Habitats'!$B$2:$M$129,10,FALSE))</f>
        <v/>
      </c>
      <c r="X28" s="520" t="str">
        <f>IFERROR(VLOOKUP(W28,'G-1 All Habitats'!$V$3:$W$7,2,FALSE),"")</f>
        <v/>
      </c>
      <c r="Y28" s="79"/>
      <c r="Z28" s="524" t="str">
        <f>IFERROR(INDEX('G-8 Condition Look up'!$A$3:$H$130,MATCH(S28,'G-8 Condition Look up'!$A$3:$A$130,0),MATCH(Y28,'G-8 Condition Look up'!$A$3:$H$3,0)),"")</f>
        <v/>
      </c>
      <c r="AA28" s="71"/>
      <c r="AB28" s="520" t="str">
        <f>IF(AA28="","",IF(VLOOKUP(AA28,'G-3 Multipliers'!$L$3:$N$6,2,FALSE)=0,"Spatial Data Missing ⚠",VLOOKUP(AA28,'G-3 Multipliers'!$L$3:$N$6,2,FALSE)))</f>
        <v/>
      </c>
      <c r="AC28" s="524" t="str">
        <f>IF(AA28="","",IF(VLOOKUP(AA28,'G-3 Multipliers'!$L$3:$N$6,3,FALSE)=0,"Spatial Data Missing ⚠",VLOOKUP(AA28,'G-3 Multipliers'!$L$3:$N$6,3,FALSE)))</f>
        <v/>
      </c>
      <c r="AD28" s="539" t="str">
        <f t="shared" si="1"/>
        <v/>
      </c>
      <c r="AE28" s="82"/>
      <c r="AF28" s="82"/>
      <c r="AG28" s="507" t="str">
        <f t="shared" si="6"/>
        <v/>
      </c>
      <c r="AH28" s="521" t="str">
        <f t="shared" si="7"/>
        <v/>
      </c>
      <c r="AI28" s="522" t="str">
        <f>IF(AH28="Check Data","Check Data",IFERROR(VLOOKUP(AH28,'G-4 Temporal multipliers'!$A$4:$C$36,3,FALSE),""))</f>
        <v/>
      </c>
      <c r="AJ28" s="498" t="str">
        <f>IF(S28="","",VLOOKUP(S28,'G-3 Multipliers'!$A$2:$E$129,4,FALSE))</f>
        <v/>
      </c>
      <c r="AK28" s="507" t="str">
        <f t="shared" si="8"/>
        <v/>
      </c>
      <c r="AL28" s="507" t="str">
        <f t="shared" si="9"/>
        <v/>
      </c>
      <c r="AM28" s="540" t="str">
        <f>IFERROR(IF(F28="","",IF(AH28="Check Data ⚠","Check Data ⚠",VLOOKUP(AL28, 'G-3 Multipliers'!$P$2:$Q$6,2,FALSE))),"")</f>
        <v/>
      </c>
      <c r="AN28" s="513" t="str">
        <f t="shared" si="10"/>
        <v/>
      </c>
      <c r="AO28" s="239"/>
      <c r="AP28" s="240"/>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1" t="str">
        <f>'A-1 Site Habitat Baseline'!AL28</f>
        <v/>
      </c>
      <c r="F29" s="520" t="str">
        <f>IF(E29="","",IF(ISNA(VLOOKUP($E29,'A-1 Site Habitat Baseline'!$D$1:$O$258,4,FALSE)),"",(VLOOKUP($E29,'A-1 Site Habitat Baseline'!$D$1:$O$258,4,FALSE))))</f>
        <v/>
      </c>
      <c r="G29" s="520" t="str">
        <f>IF(E29="","",IF(ISNA(VLOOKUP($E29,'A-1 Site Habitat Baseline'!$D$1:$O$258,5,FALSE)),"",(VLOOKUP($E29,'A-1 Site Habitat Baseline'!$D$1:$O$258,5,FALSE))))</f>
        <v/>
      </c>
      <c r="H29" s="520" t="str">
        <f>IF(E29="","",IF(ISNA(VLOOKUP($E29,'A-1 Site Habitat Baseline'!$D$1:$O$258,6,FALSE)),"",(VLOOKUP($E29,'A-1 Site Habitat Baseline'!$D$1:$O$258,6,FALSE))))</f>
        <v/>
      </c>
      <c r="I29" s="520" t="str">
        <f>IF(E29="","",IF(ISNA(VLOOKUP($E29,'A-1 Site Habitat Baseline'!$D$1:$O$258,7,FALSE)),"",(VLOOKUP($E29,'A-1 Site Habitat Baseline'!$D$1:$O$258,7,FALSE))))</f>
        <v/>
      </c>
      <c r="J29" s="520" t="str">
        <f>IF(E29="","",IF(ISNA(VLOOKUP($E29,'A-1 Site Habitat Baseline'!$D$1:$O$258,8,FALSE)),"",(VLOOKUP($E29,'A-1 Site Habitat Baseline'!$D$1:$O$258,8,FALSE))))</f>
        <v/>
      </c>
      <c r="K29" s="520" t="str">
        <f>IF(E29="","",IF(ISNA(VLOOKUP($E29,'A-1 Site Habitat Baseline'!$D$1:$O$258,9,FALSE)),"",(VLOOKUP($E29,'A-1 Site Habitat Baseline'!$D$1:$O$258,9,FALSE))))</f>
        <v/>
      </c>
      <c r="L29" s="520" t="str">
        <f>IF(E29="","",IF(ISNA(VLOOKUP($E29,'A-1 Site Habitat Baseline'!$D$1:$O$258,11,FALSE)),"",(VLOOKUP($E29,'A-1 Site Habitat Baseline'!$D$1:$O$258,11,FALSE))))</f>
        <v/>
      </c>
      <c r="M29" s="520" t="str">
        <f>IF(E29="","",IF(ISNA(VLOOKUP($E29,'A-1 Site Habitat Baseline'!$D$1:$O$258,12,FALSE)),"",(VLOOKUP($E29,'A-1 Site Habitat Baseline'!$D$1:$O$258,12,FALSE))))</f>
        <v/>
      </c>
      <c r="N29" s="532" t="str">
        <f>IF(E29="","",IF(ISNA(VLOOKUP($E29,'A-1 Site Habitat Baseline'!$D$1:$X$258,14,FALSE)),"",(VLOOKUP($E29,'A-1 Site Habitat Baseline'!$D$1:$X$258,14,FALSE))))</f>
        <v/>
      </c>
      <c r="O29" s="524" t="str">
        <f>IF(E29="","",IF(ISNA(VLOOKUP($E29,'A-1 Site Habitat Baseline'!$D$1:$X$258,16,FALSE)),"",(VLOOKUP($E29,'A-1 Site Habitat Baseline'!$D$1:$X$258,13,FALSE))))</f>
        <v/>
      </c>
      <c r="P29" s="237" t="str">
        <f>IFERROR(INDEX('G-1 All Habitats'!$AG$3:$AG$15,MATCH(Q29,'G-1 All Habitats'!$AF$3:$AF$15,0)),"")</f>
        <v/>
      </c>
      <c r="Q29" s="238" t="str">
        <f t="shared" si="2"/>
        <v/>
      </c>
      <c r="R29" s="238" t="str">
        <f t="shared" si="11"/>
        <v/>
      </c>
      <c r="S29" s="392" t="str">
        <f>IFERROR(INDEX('G-1 All Habitats'!$B$3:$B$129,MATCH(R29,'G-1 All Habitats'!$A$3:$A$129,0)),"")</f>
        <v/>
      </c>
      <c r="T29" s="498" t="str">
        <f t="shared" si="3"/>
        <v/>
      </c>
      <c r="U29" s="499" t="str">
        <f t="shared" si="4"/>
        <v/>
      </c>
      <c r="V29" s="537" t="str">
        <f t="shared" si="5"/>
        <v/>
      </c>
      <c r="W29" s="520" t="str">
        <f>IF(S29="","",VLOOKUP(S29,'G-1 All Habitats'!$B$2:$M$129,10,FALSE))</f>
        <v/>
      </c>
      <c r="X29" s="520" t="str">
        <f>IFERROR(VLOOKUP(W29,'G-1 All Habitats'!$V$3:$W$7,2,FALSE),"")</f>
        <v/>
      </c>
      <c r="Y29" s="79"/>
      <c r="Z29" s="524" t="str">
        <f>IFERROR(INDEX('G-8 Condition Look up'!$A$3:$H$130,MATCH(S29,'G-8 Condition Look up'!$A$3:$A$130,0),MATCH(Y29,'G-8 Condition Look up'!$A$3:$H$3,0)),"")</f>
        <v/>
      </c>
      <c r="AA29" s="71"/>
      <c r="AB29" s="520" t="str">
        <f>IF(AA29="","",IF(VLOOKUP(AA29,'G-3 Multipliers'!$L$3:$N$6,2,FALSE)=0,"Spatial Data Missing ⚠",VLOOKUP(AA29,'G-3 Multipliers'!$L$3:$N$6,2,FALSE)))</f>
        <v/>
      </c>
      <c r="AC29" s="524" t="str">
        <f>IF(AA29="","",IF(VLOOKUP(AA29,'G-3 Multipliers'!$L$3:$N$6,3,FALSE)=0,"Spatial Data Missing ⚠",VLOOKUP(AA29,'G-3 Multipliers'!$L$3:$N$6,3,FALSE)))</f>
        <v/>
      </c>
      <c r="AD29" s="539" t="str">
        <f t="shared" si="1"/>
        <v/>
      </c>
      <c r="AE29" s="82"/>
      <c r="AF29" s="82"/>
      <c r="AG29" s="507" t="str">
        <f t="shared" si="6"/>
        <v/>
      </c>
      <c r="AH29" s="521" t="str">
        <f t="shared" si="7"/>
        <v/>
      </c>
      <c r="AI29" s="522" t="str">
        <f>IF(AH29="Check Data","Check Data",IFERROR(VLOOKUP(AH29,'G-4 Temporal multipliers'!$A$4:$C$36,3,FALSE),""))</f>
        <v/>
      </c>
      <c r="AJ29" s="498" t="str">
        <f>IF(S29="","",VLOOKUP(S29,'G-3 Multipliers'!$A$2:$E$129,4,FALSE))</f>
        <v/>
      </c>
      <c r="AK29" s="507" t="str">
        <f t="shared" si="8"/>
        <v/>
      </c>
      <c r="AL29" s="507" t="str">
        <f t="shared" si="9"/>
        <v/>
      </c>
      <c r="AM29" s="540" t="str">
        <f>IFERROR(IF(F29="","",IF(AH29="Check Data ⚠","Check Data ⚠",VLOOKUP(AL29, 'G-3 Multipliers'!$P$2:$Q$6,2,FALSE))),"")</f>
        <v/>
      </c>
      <c r="AN29" s="513" t="str">
        <f t="shared" si="10"/>
        <v/>
      </c>
      <c r="AO29" s="239"/>
      <c r="AP29" s="240"/>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1" t="str">
        <f>'A-1 Site Habitat Baseline'!AL29</f>
        <v/>
      </c>
      <c r="F30" s="520" t="str">
        <f>IF(E30="","",IF(ISNA(VLOOKUP($E30,'A-1 Site Habitat Baseline'!$D$1:$O$258,4,FALSE)),"",(VLOOKUP($E30,'A-1 Site Habitat Baseline'!$D$1:$O$258,4,FALSE))))</f>
        <v/>
      </c>
      <c r="G30" s="520" t="str">
        <f>IF(E30="","",IF(ISNA(VLOOKUP($E30,'A-1 Site Habitat Baseline'!$D$1:$O$258,5,FALSE)),"",(VLOOKUP($E30,'A-1 Site Habitat Baseline'!$D$1:$O$258,5,FALSE))))</f>
        <v/>
      </c>
      <c r="H30" s="520" t="str">
        <f>IF(E30="","",IF(ISNA(VLOOKUP($E30,'A-1 Site Habitat Baseline'!$D$1:$O$258,6,FALSE)),"",(VLOOKUP($E30,'A-1 Site Habitat Baseline'!$D$1:$O$258,6,FALSE))))</f>
        <v/>
      </c>
      <c r="I30" s="520" t="str">
        <f>IF(E30="","",IF(ISNA(VLOOKUP($E30,'A-1 Site Habitat Baseline'!$D$1:$O$258,7,FALSE)),"",(VLOOKUP($E30,'A-1 Site Habitat Baseline'!$D$1:$O$258,7,FALSE))))</f>
        <v/>
      </c>
      <c r="J30" s="520" t="str">
        <f>IF(E30="","",IF(ISNA(VLOOKUP($E30,'A-1 Site Habitat Baseline'!$D$1:$O$258,8,FALSE)),"",(VLOOKUP($E30,'A-1 Site Habitat Baseline'!$D$1:$O$258,8,FALSE))))</f>
        <v/>
      </c>
      <c r="K30" s="520" t="str">
        <f>IF(E30="","",IF(ISNA(VLOOKUP($E30,'A-1 Site Habitat Baseline'!$D$1:$O$258,9,FALSE)),"",(VLOOKUP($E30,'A-1 Site Habitat Baseline'!$D$1:$O$258,9,FALSE))))</f>
        <v/>
      </c>
      <c r="L30" s="520" t="str">
        <f>IF(E30="","",IF(ISNA(VLOOKUP($E30,'A-1 Site Habitat Baseline'!$D$1:$O$258,11,FALSE)),"",(VLOOKUP($E30,'A-1 Site Habitat Baseline'!$D$1:$O$258,11,FALSE))))</f>
        <v/>
      </c>
      <c r="M30" s="520" t="str">
        <f>IF(E30="","",IF(ISNA(VLOOKUP($E30,'A-1 Site Habitat Baseline'!$D$1:$O$258,12,FALSE)),"",(VLOOKUP($E30,'A-1 Site Habitat Baseline'!$D$1:$O$258,12,FALSE))))</f>
        <v/>
      </c>
      <c r="N30" s="532" t="str">
        <f>IF(E30="","",IF(ISNA(VLOOKUP($E30,'A-1 Site Habitat Baseline'!$D$1:$X$258,14,FALSE)),"",(VLOOKUP($E30,'A-1 Site Habitat Baseline'!$D$1:$X$258,14,FALSE))))</f>
        <v/>
      </c>
      <c r="O30" s="524" t="str">
        <f>IF(E30="","",IF(ISNA(VLOOKUP($E30,'A-1 Site Habitat Baseline'!$D$1:$X$258,16,FALSE)),"",(VLOOKUP($E30,'A-1 Site Habitat Baseline'!$D$1:$X$258,13,FALSE))))</f>
        <v/>
      </c>
      <c r="P30" s="237" t="str">
        <f>IFERROR(INDEX('G-1 All Habitats'!$AG$3:$AG$15,MATCH(Q30,'G-1 All Habitats'!$AF$3:$AF$15,0)),"")</f>
        <v/>
      </c>
      <c r="Q30" s="238" t="str">
        <f t="shared" si="2"/>
        <v/>
      </c>
      <c r="R30" s="238" t="str">
        <f t="shared" si="11"/>
        <v/>
      </c>
      <c r="S30" s="392" t="str">
        <f>IFERROR(INDEX('G-1 All Habitats'!$B$3:$B$129,MATCH(R30,'G-1 All Habitats'!$A$3:$A$129,0)),"")</f>
        <v/>
      </c>
      <c r="T30" s="498" t="str">
        <f t="shared" si="3"/>
        <v/>
      </c>
      <c r="U30" s="499" t="str">
        <f t="shared" si="4"/>
        <v/>
      </c>
      <c r="V30" s="537" t="str">
        <f t="shared" si="5"/>
        <v/>
      </c>
      <c r="W30" s="520" t="str">
        <f>IF(S30="","",VLOOKUP(S30,'G-1 All Habitats'!$B$2:$M$129,10,FALSE))</f>
        <v/>
      </c>
      <c r="X30" s="520" t="str">
        <f>IFERROR(VLOOKUP(W30,'G-1 All Habitats'!$V$3:$W$7,2,FALSE),"")</f>
        <v/>
      </c>
      <c r="Y30" s="79"/>
      <c r="Z30" s="524" t="str">
        <f>IFERROR(INDEX('G-8 Condition Look up'!$A$3:$H$130,MATCH(S30,'G-8 Condition Look up'!$A$3:$A$130,0),MATCH(Y30,'G-8 Condition Look up'!$A$3:$H$3,0)),"")</f>
        <v/>
      </c>
      <c r="AA30" s="71"/>
      <c r="AB30" s="520" t="str">
        <f>IF(AA30="","",IF(VLOOKUP(AA30,'G-3 Multipliers'!$L$3:$N$6,2,FALSE)=0,"Spatial Data Missing ⚠",VLOOKUP(AA30,'G-3 Multipliers'!$L$3:$N$6,2,FALSE)))</f>
        <v/>
      </c>
      <c r="AC30" s="524" t="str">
        <f>IF(AA30="","",IF(VLOOKUP(AA30,'G-3 Multipliers'!$L$3:$N$6,3,FALSE)=0,"Spatial Data Missing ⚠",VLOOKUP(AA30,'G-3 Multipliers'!$L$3:$N$6,3,FALSE)))</f>
        <v/>
      </c>
      <c r="AD30" s="539" t="str">
        <f t="shared" si="1"/>
        <v/>
      </c>
      <c r="AE30" s="82"/>
      <c r="AF30" s="82"/>
      <c r="AG30" s="507" t="str">
        <f t="shared" si="6"/>
        <v/>
      </c>
      <c r="AH30" s="521" t="str">
        <f t="shared" si="7"/>
        <v/>
      </c>
      <c r="AI30" s="522" t="str">
        <f>IF(AH30="Check Data","Check Data",IFERROR(VLOOKUP(AH30,'G-4 Temporal multipliers'!$A$4:$C$36,3,FALSE),""))</f>
        <v/>
      </c>
      <c r="AJ30" s="498" t="str">
        <f>IF(S30="","",VLOOKUP(S30,'G-3 Multipliers'!$A$2:$E$129,4,FALSE))</f>
        <v/>
      </c>
      <c r="AK30" s="507" t="str">
        <f t="shared" si="8"/>
        <v/>
      </c>
      <c r="AL30" s="507" t="str">
        <f t="shared" si="9"/>
        <v/>
      </c>
      <c r="AM30" s="540" t="str">
        <f>IFERROR(IF(F30="","",IF(AH30="Check Data ⚠","Check Data ⚠",VLOOKUP(AL30, 'G-3 Multipliers'!$P$2:$Q$6,2,FALSE))),"")</f>
        <v/>
      </c>
      <c r="AN30" s="513" t="str">
        <f t="shared" si="10"/>
        <v/>
      </c>
      <c r="AO30" s="239"/>
      <c r="AP30" s="240"/>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1" t="str">
        <f>'A-1 Site Habitat Baseline'!AL30</f>
        <v/>
      </c>
      <c r="F31" s="520" t="str">
        <f>IF(E31="","",IF(ISNA(VLOOKUP($E31,'A-1 Site Habitat Baseline'!$D$1:$O$258,4,FALSE)),"",(VLOOKUP($E31,'A-1 Site Habitat Baseline'!$D$1:$O$258,4,FALSE))))</f>
        <v/>
      </c>
      <c r="G31" s="520" t="str">
        <f>IF(E31="","",IF(ISNA(VLOOKUP($E31,'A-1 Site Habitat Baseline'!$D$1:$O$258,5,FALSE)),"",(VLOOKUP($E31,'A-1 Site Habitat Baseline'!$D$1:$O$258,5,FALSE))))</f>
        <v/>
      </c>
      <c r="H31" s="520" t="str">
        <f>IF(E31="","",IF(ISNA(VLOOKUP($E31,'A-1 Site Habitat Baseline'!$D$1:$O$258,6,FALSE)),"",(VLOOKUP($E31,'A-1 Site Habitat Baseline'!$D$1:$O$258,6,FALSE))))</f>
        <v/>
      </c>
      <c r="I31" s="520" t="str">
        <f>IF(E31="","",IF(ISNA(VLOOKUP($E31,'A-1 Site Habitat Baseline'!$D$1:$O$258,7,FALSE)),"",(VLOOKUP($E31,'A-1 Site Habitat Baseline'!$D$1:$O$258,7,FALSE))))</f>
        <v/>
      </c>
      <c r="J31" s="520" t="str">
        <f>IF(E31="","",IF(ISNA(VLOOKUP($E31,'A-1 Site Habitat Baseline'!$D$1:$O$258,8,FALSE)),"",(VLOOKUP($E31,'A-1 Site Habitat Baseline'!$D$1:$O$258,8,FALSE))))</f>
        <v/>
      </c>
      <c r="K31" s="520" t="str">
        <f>IF(E31="","",IF(ISNA(VLOOKUP($E31,'A-1 Site Habitat Baseline'!$D$1:$O$258,9,FALSE)),"",(VLOOKUP($E31,'A-1 Site Habitat Baseline'!$D$1:$O$258,9,FALSE))))</f>
        <v/>
      </c>
      <c r="L31" s="520" t="str">
        <f>IF(E31="","",IF(ISNA(VLOOKUP($E31,'A-1 Site Habitat Baseline'!$D$1:$O$258,11,FALSE)),"",(VLOOKUP($E31,'A-1 Site Habitat Baseline'!$D$1:$O$258,11,FALSE))))</f>
        <v/>
      </c>
      <c r="M31" s="520" t="str">
        <f>IF(E31="","",IF(ISNA(VLOOKUP($E31,'A-1 Site Habitat Baseline'!$D$1:$O$258,12,FALSE)),"",(VLOOKUP($E31,'A-1 Site Habitat Baseline'!$D$1:$O$258,12,FALSE))))</f>
        <v/>
      </c>
      <c r="N31" s="532" t="str">
        <f>IF(E31="","",IF(ISNA(VLOOKUP($E31,'A-1 Site Habitat Baseline'!$D$1:$X$258,14,FALSE)),"",(VLOOKUP($E31,'A-1 Site Habitat Baseline'!$D$1:$X$258,14,FALSE))))</f>
        <v/>
      </c>
      <c r="O31" s="524" t="str">
        <f>IF(E31="","",IF(ISNA(VLOOKUP($E31,'A-1 Site Habitat Baseline'!$D$1:$X$258,16,FALSE)),"",(VLOOKUP($E31,'A-1 Site Habitat Baseline'!$D$1:$X$258,13,FALSE))))</f>
        <v/>
      </c>
      <c r="P31" s="237" t="str">
        <f>IFERROR(INDEX('G-1 All Habitats'!$AG$3:$AG$15,MATCH(Q31,'G-1 All Habitats'!$AF$3:$AF$15,0)),"")</f>
        <v/>
      </c>
      <c r="Q31" s="238" t="str">
        <f t="shared" si="2"/>
        <v/>
      </c>
      <c r="R31" s="238" t="str">
        <f t="shared" si="11"/>
        <v/>
      </c>
      <c r="S31" s="392" t="str">
        <f>IFERROR(INDEX('G-1 All Habitats'!$B$3:$B$129,MATCH(R31,'G-1 All Habitats'!$A$3:$A$129,0)),"")</f>
        <v/>
      </c>
      <c r="T31" s="498" t="str">
        <f t="shared" si="3"/>
        <v/>
      </c>
      <c r="U31" s="499" t="str">
        <f t="shared" si="4"/>
        <v/>
      </c>
      <c r="V31" s="537" t="str">
        <f t="shared" si="5"/>
        <v/>
      </c>
      <c r="W31" s="520" t="str">
        <f>IF(S31="","",VLOOKUP(S31,'G-1 All Habitats'!$B$2:$M$129,10,FALSE))</f>
        <v/>
      </c>
      <c r="X31" s="520" t="str">
        <f>IFERROR(VLOOKUP(W31,'G-1 All Habitats'!$V$3:$W$7,2,FALSE),"")</f>
        <v/>
      </c>
      <c r="Y31" s="79"/>
      <c r="Z31" s="524" t="str">
        <f>IFERROR(INDEX('G-8 Condition Look up'!$A$3:$H$130,MATCH(S31,'G-8 Condition Look up'!$A$3:$A$130,0),MATCH(Y31,'G-8 Condition Look up'!$A$3:$H$3,0)),"")</f>
        <v/>
      </c>
      <c r="AA31" s="71"/>
      <c r="AB31" s="520" t="str">
        <f>IF(AA31="","",IF(VLOOKUP(AA31,'G-3 Multipliers'!$L$3:$N$6,2,FALSE)=0,"Spatial Data Missing ⚠",VLOOKUP(AA31,'G-3 Multipliers'!$L$3:$N$6,2,FALSE)))</f>
        <v/>
      </c>
      <c r="AC31" s="524" t="str">
        <f>IF(AA31="","",IF(VLOOKUP(AA31,'G-3 Multipliers'!$L$3:$N$6,3,FALSE)=0,"Spatial Data Missing ⚠",VLOOKUP(AA31,'G-3 Multipliers'!$L$3:$N$6,3,FALSE)))</f>
        <v/>
      </c>
      <c r="AD31" s="539" t="str">
        <f t="shared" si="1"/>
        <v/>
      </c>
      <c r="AE31" s="82"/>
      <c r="AF31" s="82"/>
      <c r="AG31" s="507" t="str">
        <f t="shared" si="6"/>
        <v/>
      </c>
      <c r="AH31" s="521" t="str">
        <f t="shared" si="7"/>
        <v/>
      </c>
      <c r="AI31" s="522" t="str">
        <f>IF(AH31="Check Data","Check Data",IFERROR(VLOOKUP(AH31,'G-4 Temporal multipliers'!$A$4:$C$36,3,FALSE),""))</f>
        <v/>
      </c>
      <c r="AJ31" s="498" t="str">
        <f>IF(S31="","",VLOOKUP(S31,'G-3 Multipliers'!$A$2:$E$129,4,FALSE))</f>
        <v/>
      </c>
      <c r="AK31" s="507" t="str">
        <f t="shared" si="8"/>
        <v/>
      </c>
      <c r="AL31" s="507" t="str">
        <f t="shared" si="9"/>
        <v/>
      </c>
      <c r="AM31" s="540" t="str">
        <f>IFERROR(IF(F31="","",IF(AH31="Check Data ⚠","Check Data ⚠",VLOOKUP(AL31, 'G-3 Multipliers'!$P$2:$Q$6,2,FALSE))),"")</f>
        <v/>
      </c>
      <c r="AN31" s="513" t="str">
        <f t="shared" si="10"/>
        <v/>
      </c>
      <c r="AO31" s="239"/>
      <c r="AP31" s="240"/>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1" t="str">
        <f>'A-1 Site Habitat Baseline'!AL31</f>
        <v/>
      </c>
      <c r="F32" s="520" t="str">
        <f>IF(E32="","",IF(ISNA(VLOOKUP($E32,'A-1 Site Habitat Baseline'!$D$1:$O$258,4,FALSE)),"",(VLOOKUP($E32,'A-1 Site Habitat Baseline'!$D$1:$O$258,4,FALSE))))</f>
        <v/>
      </c>
      <c r="G32" s="520" t="str">
        <f>IF(E32="","",IF(ISNA(VLOOKUP($E32,'A-1 Site Habitat Baseline'!$D$1:$O$258,5,FALSE)),"",(VLOOKUP($E32,'A-1 Site Habitat Baseline'!$D$1:$O$258,5,FALSE))))</f>
        <v/>
      </c>
      <c r="H32" s="520" t="str">
        <f>IF(E32="","",IF(ISNA(VLOOKUP($E32,'A-1 Site Habitat Baseline'!$D$1:$O$258,6,FALSE)),"",(VLOOKUP($E32,'A-1 Site Habitat Baseline'!$D$1:$O$258,6,FALSE))))</f>
        <v/>
      </c>
      <c r="I32" s="520" t="str">
        <f>IF(E32="","",IF(ISNA(VLOOKUP($E32,'A-1 Site Habitat Baseline'!$D$1:$O$258,7,FALSE)),"",(VLOOKUP($E32,'A-1 Site Habitat Baseline'!$D$1:$O$258,7,FALSE))))</f>
        <v/>
      </c>
      <c r="J32" s="520" t="str">
        <f>IF(E32="","",IF(ISNA(VLOOKUP($E32,'A-1 Site Habitat Baseline'!$D$1:$O$258,8,FALSE)),"",(VLOOKUP($E32,'A-1 Site Habitat Baseline'!$D$1:$O$258,8,FALSE))))</f>
        <v/>
      </c>
      <c r="K32" s="520" t="str">
        <f>IF(E32="","",IF(ISNA(VLOOKUP($E32,'A-1 Site Habitat Baseline'!$D$1:$O$258,9,FALSE)),"",(VLOOKUP($E32,'A-1 Site Habitat Baseline'!$D$1:$O$258,9,FALSE))))</f>
        <v/>
      </c>
      <c r="L32" s="520" t="str">
        <f>IF(E32="","",IF(ISNA(VLOOKUP($E32,'A-1 Site Habitat Baseline'!$D$1:$O$258,11,FALSE)),"",(VLOOKUP($E32,'A-1 Site Habitat Baseline'!$D$1:$O$258,11,FALSE))))</f>
        <v/>
      </c>
      <c r="M32" s="520" t="str">
        <f>IF(E32="","",IF(ISNA(VLOOKUP($E32,'A-1 Site Habitat Baseline'!$D$1:$O$258,12,FALSE)),"",(VLOOKUP($E32,'A-1 Site Habitat Baseline'!$D$1:$O$258,12,FALSE))))</f>
        <v/>
      </c>
      <c r="N32" s="532" t="str">
        <f>IF(E32="","",IF(ISNA(VLOOKUP($E32,'A-1 Site Habitat Baseline'!$D$1:$X$258,14,FALSE)),"",(VLOOKUP($E32,'A-1 Site Habitat Baseline'!$D$1:$X$258,14,FALSE))))</f>
        <v/>
      </c>
      <c r="O32" s="524" t="str">
        <f>IF(E32="","",IF(ISNA(VLOOKUP($E32,'A-1 Site Habitat Baseline'!$D$1:$X$258,16,FALSE)),"",(VLOOKUP($E32,'A-1 Site Habitat Baseline'!$D$1:$X$258,13,FALSE))))</f>
        <v/>
      </c>
      <c r="P32" s="237" t="str">
        <f>IFERROR(INDEX('G-1 All Habitats'!$AG$3:$AG$15,MATCH(Q32,'G-1 All Habitats'!$AF$3:$AF$15,0)),"")</f>
        <v/>
      </c>
      <c r="Q32" s="238" t="str">
        <f t="shared" si="2"/>
        <v/>
      </c>
      <c r="R32" s="238" t="str">
        <f t="shared" si="11"/>
        <v/>
      </c>
      <c r="S32" s="392" t="str">
        <f>IFERROR(INDEX('G-1 All Habitats'!$B$3:$B$129,MATCH(R32,'G-1 All Habitats'!$A$3:$A$129,0)),"")</f>
        <v/>
      </c>
      <c r="T32" s="498" t="str">
        <f t="shared" si="3"/>
        <v/>
      </c>
      <c r="U32" s="499" t="str">
        <f t="shared" si="4"/>
        <v/>
      </c>
      <c r="V32" s="537" t="str">
        <f t="shared" si="5"/>
        <v/>
      </c>
      <c r="W32" s="520" t="str">
        <f>IF(S32="","",VLOOKUP(S32,'G-1 All Habitats'!$B$2:$M$129,10,FALSE))</f>
        <v/>
      </c>
      <c r="X32" s="520" t="str">
        <f>IFERROR(VLOOKUP(W32,'G-1 All Habitats'!$V$3:$W$7,2,FALSE),"")</f>
        <v/>
      </c>
      <c r="Y32" s="79"/>
      <c r="Z32" s="524" t="str">
        <f>IFERROR(INDEX('G-8 Condition Look up'!$A$3:$H$130,MATCH(S32,'G-8 Condition Look up'!$A$3:$A$130,0),MATCH(Y32,'G-8 Condition Look up'!$A$3:$H$3,0)),"")</f>
        <v/>
      </c>
      <c r="AA32" s="71"/>
      <c r="AB32" s="520" t="str">
        <f>IF(AA32="","",IF(VLOOKUP(AA32,'G-3 Multipliers'!$L$3:$N$6,2,FALSE)=0,"Spatial Data Missing ⚠",VLOOKUP(AA32,'G-3 Multipliers'!$L$3:$N$6,2,FALSE)))</f>
        <v/>
      </c>
      <c r="AC32" s="524" t="str">
        <f>IF(AA32="","",IF(VLOOKUP(AA32,'G-3 Multipliers'!$L$3:$N$6,3,FALSE)=0,"Spatial Data Missing ⚠",VLOOKUP(AA32,'G-3 Multipliers'!$L$3:$N$6,3,FALSE)))</f>
        <v/>
      </c>
      <c r="AD32" s="539" t="str">
        <f t="shared" si="1"/>
        <v/>
      </c>
      <c r="AE32" s="82"/>
      <c r="AF32" s="82"/>
      <c r="AG32" s="507" t="str">
        <f t="shared" si="6"/>
        <v/>
      </c>
      <c r="AH32" s="521" t="str">
        <f t="shared" si="7"/>
        <v/>
      </c>
      <c r="AI32" s="522" t="str">
        <f>IF(AH32="Check Data","Check Data",IFERROR(VLOOKUP(AH32,'G-4 Temporal multipliers'!$A$4:$C$36,3,FALSE),""))</f>
        <v/>
      </c>
      <c r="AJ32" s="498" t="str">
        <f>IF(S32="","",VLOOKUP(S32,'G-3 Multipliers'!$A$2:$E$129,4,FALSE))</f>
        <v/>
      </c>
      <c r="AK32" s="507" t="str">
        <f t="shared" si="8"/>
        <v/>
      </c>
      <c r="AL32" s="507" t="str">
        <f t="shared" si="9"/>
        <v/>
      </c>
      <c r="AM32" s="540" t="str">
        <f>IFERROR(IF(F32="","",IF(AH32="Check Data ⚠","Check Data ⚠",VLOOKUP(AL32, 'G-3 Multipliers'!$P$2:$Q$6,2,FALSE))),"")</f>
        <v/>
      </c>
      <c r="AN32" s="513" t="str">
        <f t="shared" si="10"/>
        <v/>
      </c>
      <c r="AO32" s="239"/>
      <c r="AP32" s="240"/>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1" t="str">
        <f>'A-1 Site Habitat Baseline'!AL32</f>
        <v/>
      </c>
      <c r="F33" s="520" t="str">
        <f>IF(E33="","",IF(ISNA(VLOOKUP($E33,'A-1 Site Habitat Baseline'!$D$1:$O$258,4,FALSE)),"",(VLOOKUP($E33,'A-1 Site Habitat Baseline'!$D$1:$O$258,4,FALSE))))</f>
        <v/>
      </c>
      <c r="G33" s="520" t="str">
        <f>IF(E33="","",IF(ISNA(VLOOKUP($E33,'A-1 Site Habitat Baseline'!$D$1:$O$258,5,FALSE)),"",(VLOOKUP($E33,'A-1 Site Habitat Baseline'!$D$1:$O$258,5,FALSE))))</f>
        <v/>
      </c>
      <c r="H33" s="520" t="str">
        <f>IF(E33="","",IF(ISNA(VLOOKUP($E33,'A-1 Site Habitat Baseline'!$D$1:$O$258,6,FALSE)),"",(VLOOKUP($E33,'A-1 Site Habitat Baseline'!$D$1:$O$258,6,FALSE))))</f>
        <v/>
      </c>
      <c r="I33" s="520" t="str">
        <f>IF(E33="","",IF(ISNA(VLOOKUP($E33,'A-1 Site Habitat Baseline'!$D$1:$O$258,7,FALSE)),"",(VLOOKUP($E33,'A-1 Site Habitat Baseline'!$D$1:$O$258,7,FALSE))))</f>
        <v/>
      </c>
      <c r="J33" s="520" t="str">
        <f>IF(E33="","",IF(ISNA(VLOOKUP($E33,'A-1 Site Habitat Baseline'!$D$1:$O$258,8,FALSE)),"",(VLOOKUP($E33,'A-1 Site Habitat Baseline'!$D$1:$O$258,8,FALSE))))</f>
        <v/>
      </c>
      <c r="K33" s="520" t="str">
        <f>IF(E33="","",IF(ISNA(VLOOKUP($E33,'A-1 Site Habitat Baseline'!$D$1:$O$258,9,FALSE)),"",(VLOOKUP($E33,'A-1 Site Habitat Baseline'!$D$1:$O$258,9,FALSE))))</f>
        <v/>
      </c>
      <c r="L33" s="520" t="str">
        <f>IF(E33="","",IF(ISNA(VLOOKUP($E33,'A-1 Site Habitat Baseline'!$D$1:$O$258,11,FALSE)),"",(VLOOKUP($E33,'A-1 Site Habitat Baseline'!$D$1:$O$258,11,FALSE))))</f>
        <v/>
      </c>
      <c r="M33" s="520" t="str">
        <f>IF(E33="","",IF(ISNA(VLOOKUP($E33,'A-1 Site Habitat Baseline'!$D$1:$O$258,12,FALSE)),"",(VLOOKUP($E33,'A-1 Site Habitat Baseline'!$D$1:$O$258,12,FALSE))))</f>
        <v/>
      </c>
      <c r="N33" s="532" t="str">
        <f>IF(E33="","",IF(ISNA(VLOOKUP($E33,'A-1 Site Habitat Baseline'!$D$1:$X$258,14,FALSE)),"",(VLOOKUP($E33,'A-1 Site Habitat Baseline'!$D$1:$X$258,14,FALSE))))</f>
        <v/>
      </c>
      <c r="O33" s="524" t="str">
        <f>IF(E33="","",IF(ISNA(VLOOKUP($E33,'A-1 Site Habitat Baseline'!$D$1:$X$258,16,FALSE)),"",(VLOOKUP($E33,'A-1 Site Habitat Baseline'!$D$1:$X$258,13,FALSE))))</f>
        <v/>
      </c>
      <c r="P33" s="237" t="str">
        <f>IFERROR(INDEX('G-1 All Habitats'!$AG$3:$AG$15,MATCH(Q33,'G-1 All Habitats'!$AF$3:$AF$15,0)),"")</f>
        <v/>
      </c>
      <c r="Q33" s="238" t="str">
        <f t="shared" si="2"/>
        <v/>
      </c>
      <c r="R33" s="238" t="str">
        <f t="shared" si="11"/>
        <v/>
      </c>
      <c r="S33" s="392" t="str">
        <f>IFERROR(INDEX('G-1 All Habitats'!$B$3:$B$129,MATCH(R33,'G-1 All Habitats'!$A$3:$A$129,0)),"")</f>
        <v/>
      </c>
      <c r="T33" s="498" t="str">
        <f t="shared" si="3"/>
        <v/>
      </c>
      <c r="U33" s="499" t="str">
        <f t="shared" si="4"/>
        <v/>
      </c>
      <c r="V33" s="537" t="str">
        <f t="shared" si="5"/>
        <v/>
      </c>
      <c r="W33" s="520" t="str">
        <f>IF(S33="","",VLOOKUP(S33,'G-1 All Habitats'!$B$2:$M$129,10,FALSE))</f>
        <v/>
      </c>
      <c r="X33" s="520" t="str">
        <f>IFERROR(VLOOKUP(W33,'G-1 All Habitats'!$V$3:$W$7,2,FALSE),"")</f>
        <v/>
      </c>
      <c r="Y33" s="79"/>
      <c r="Z33" s="524" t="str">
        <f>IFERROR(INDEX('G-8 Condition Look up'!$A$3:$H$130,MATCH(S33,'G-8 Condition Look up'!$A$3:$A$130,0),MATCH(Y33,'G-8 Condition Look up'!$A$3:$H$3,0)),"")</f>
        <v/>
      </c>
      <c r="AA33" s="71"/>
      <c r="AB33" s="520" t="str">
        <f>IF(AA33="","",IF(VLOOKUP(AA33,'G-3 Multipliers'!$L$3:$N$6,2,FALSE)=0,"Spatial Data Missing ⚠",VLOOKUP(AA33,'G-3 Multipliers'!$L$3:$N$6,2,FALSE)))</f>
        <v/>
      </c>
      <c r="AC33" s="524" t="str">
        <f>IF(AA33="","",IF(VLOOKUP(AA33,'G-3 Multipliers'!$L$3:$N$6,3,FALSE)=0,"Spatial Data Missing ⚠",VLOOKUP(AA33,'G-3 Multipliers'!$L$3:$N$6,3,FALSE)))</f>
        <v/>
      </c>
      <c r="AD33" s="539" t="str">
        <f t="shared" si="1"/>
        <v/>
      </c>
      <c r="AE33" s="82"/>
      <c r="AF33" s="82"/>
      <c r="AG33" s="507" t="str">
        <f t="shared" si="6"/>
        <v/>
      </c>
      <c r="AH33" s="521" t="str">
        <f t="shared" si="7"/>
        <v/>
      </c>
      <c r="AI33" s="522" t="str">
        <f>IF(AH33="Check Data","Check Data",IFERROR(VLOOKUP(AH33,'G-4 Temporal multipliers'!$A$4:$C$36,3,FALSE),""))</f>
        <v/>
      </c>
      <c r="AJ33" s="498" t="str">
        <f>IF(S33="","",VLOOKUP(S33,'G-3 Multipliers'!$A$2:$E$129,4,FALSE))</f>
        <v/>
      </c>
      <c r="AK33" s="507" t="str">
        <f t="shared" si="8"/>
        <v/>
      </c>
      <c r="AL33" s="507" t="str">
        <f t="shared" si="9"/>
        <v/>
      </c>
      <c r="AM33" s="540" t="str">
        <f>IFERROR(IF(F33="","",IF(AH33="Check Data ⚠","Check Data ⚠",VLOOKUP(AL33, 'G-3 Multipliers'!$P$2:$Q$6,2,FALSE))),"")</f>
        <v/>
      </c>
      <c r="AN33" s="513" t="str">
        <f t="shared" si="10"/>
        <v/>
      </c>
      <c r="AO33" s="239"/>
      <c r="AP33" s="240"/>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1" t="str">
        <f>'A-1 Site Habitat Baseline'!AL33</f>
        <v/>
      </c>
      <c r="F34" s="520" t="str">
        <f>IF(E34="","",IF(ISNA(VLOOKUP($E34,'A-1 Site Habitat Baseline'!$D$1:$O$258,4,FALSE)),"",(VLOOKUP($E34,'A-1 Site Habitat Baseline'!$D$1:$O$258,4,FALSE))))</f>
        <v/>
      </c>
      <c r="G34" s="520" t="str">
        <f>IF(E34="","",IF(ISNA(VLOOKUP($E34,'A-1 Site Habitat Baseline'!$D$1:$O$258,5,FALSE)),"",(VLOOKUP($E34,'A-1 Site Habitat Baseline'!$D$1:$O$258,5,FALSE))))</f>
        <v/>
      </c>
      <c r="H34" s="520" t="str">
        <f>IF(E34="","",IF(ISNA(VLOOKUP($E34,'A-1 Site Habitat Baseline'!$D$1:$O$258,6,FALSE)),"",(VLOOKUP($E34,'A-1 Site Habitat Baseline'!$D$1:$O$258,6,FALSE))))</f>
        <v/>
      </c>
      <c r="I34" s="520" t="str">
        <f>IF(E34="","",IF(ISNA(VLOOKUP($E34,'A-1 Site Habitat Baseline'!$D$1:$O$258,7,FALSE)),"",(VLOOKUP($E34,'A-1 Site Habitat Baseline'!$D$1:$O$258,7,FALSE))))</f>
        <v/>
      </c>
      <c r="J34" s="520" t="str">
        <f>IF(E34="","",IF(ISNA(VLOOKUP($E34,'A-1 Site Habitat Baseline'!$D$1:$O$258,8,FALSE)),"",(VLOOKUP($E34,'A-1 Site Habitat Baseline'!$D$1:$O$258,8,FALSE))))</f>
        <v/>
      </c>
      <c r="K34" s="520" t="str">
        <f>IF(E34="","",IF(ISNA(VLOOKUP($E34,'A-1 Site Habitat Baseline'!$D$1:$O$258,9,FALSE)),"",(VLOOKUP($E34,'A-1 Site Habitat Baseline'!$D$1:$O$258,9,FALSE))))</f>
        <v/>
      </c>
      <c r="L34" s="520" t="str">
        <f>IF(E34="","",IF(ISNA(VLOOKUP($E34,'A-1 Site Habitat Baseline'!$D$1:$O$258,11,FALSE)),"",(VLOOKUP($E34,'A-1 Site Habitat Baseline'!$D$1:$O$258,11,FALSE))))</f>
        <v/>
      </c>
      <c r="M34" s="520" t="str">
        <f>IF(E34="","",IF(ISNA(VLOOKUP($E34,'A-1 Site Habitat Baseline'!$D$1:$O$258,12,FALSE)),"",(VLOOKUP($E34,'A-1 Site Habitat Baseline'!$D$1:$O$258,12,FALSE))))</f>
        <v/>
      </c>
      <c r="N34" s="532" t="str">
        <f>IF(E34="","",IF(ISNA(VLOOKUP($E34,'A-1 Site Habitat Baseline'!$D$1:$X$258,14,FALSE)),"",(VLOOKUP($E34,'A-1 Site Habitat Baseline'!$D$1:$X$258,14,FALSE))))</f>
        <v/>
      </c>
      <c r="O34" s="524" t="str">
        <f>IF(E34="","",IF(ISNA(VLOOKUP($E34,'A-1 Site Habitat Baseline'!$D$1:$X$258,16,FALSE)),"",(VLOOKUP($E34,'A-1 Site Habitat Baseline'!$D$1:$X$258,13,FALSE))))</f>
        <v/>
      </c>
      <c r="P34" s="237" t="str">
        <f>IFERROR(INDEX('G-1 All Habitats'!$AG$3:$AG$15,MATCH(Q34,'G-1 All Habitats'!$AF$3:$AF$15,0)),"")</f>
        <v/>
      </c>
      <c r="Q34" s="238" t="str">
        <f t="shared" si="2"/>
        <v/>
      </c>
      <c r="R34" s="238" t="str">
        <f t="shared" si="11"/>
        <v/>
      </c>
      <c r="S34" s="392" t="str">
        <f>IFERROR(INDEX('G-1 All Habitats'!$B$3:$B$129,MATCH(R34,'G-1 All Habitats'!$A$3:$A$129,0)),"")</f>
        <v/>
      </c>
      <c r="T34" s="498" t="str">
        <f t="shared" si="3"/>
        <v/>
      </c>
      <c r="U34" s="499" t="str">
        <f t="shared" si="4"/>
        <v/>
      </c>
      <c r="V34" s="537" t="str">
        <f t="shared" si="5"/>
        <v/>
      </c>
      <c r="W34" s="520" t="str">
        <f>IF(S34="","",VLOOKUP(S34,'G-1 All Habitats'!$B$2:$M$129,10,FALSE))</f>
        <v/>
      </c>
      <c r="X34" s="520" t="str">
        <f>IFERROR(VLOOKUP(W34,'G-1 All Habitats'!$V$3:$W$7,2,FALSE),"")</f>
        <v/>
      </c>
      <c r="Y34" s="79"/>
      <c r="Z34" s="524" t="str">
        <f>IFERROR(INDEX('G-8 Condition Look up'!$A$3:$H$130,MATCH(S34,'G-8 Condition Look up'!$A$3:$A$130,0),MATCH(Y34,'G-8 Condition Look up'!$A$3:$H$3,0)),"")</f>
        <v/>
      </c>
      <c r="AA34" s="71"/>
      <c r="AB34" s="520" t="str">
        <f>IF(AA34="","",IF(VLOOKUP(AA34,'G-3 Multipliers'!$L$3:$N$6,2,FALSE)=0,"Spatial Data Missing ⚠",VLOOKUP(AA34,'G-3 Multipliers'!$L$3:$N$6,2,FALSE)))</f>
        <v/>
      </c>
      <c r="AC34" s="524" t="str">
        <f>IF(AA34="","",IF(VLOOKUP(AA34,'G-3 Multipliers'!$L$3:$N$6,3,FALSE)=0,"Spatial Data Missing ⚠",VLOOKUP(AA34,'G-3 Multipliers'!$L$3:$N$6,3,FALSE)))</f>
        <v/>
      </c>
      <c r="AD34" s="539" t="str">
        <f t="shared" si="1"/>
        <v/>
      </c>
      <c r="AE34" s="82"/>
      <c r="AF34" s="82"/>
      <c r="AG34" s="507" t="str">
        <f t="shared" si="6"/>
        <v/>
      </c>
      <c r="AH34" s="521" t="str">
        <f t="shared" si="7"/>
        <v/>
      </c>
      <c r="AI34" s="522" t="str">
        <f>IF(AH34="Check Data","Check Data",IFERROR(VLOOKUP(AH34,'G-4 Temporal multipliers'!$A$4:$C$36,3,FALSE),""))</f>
        <v/>
      </c>
      <c r="AJ34" s="498" t="str">
        <f>IF(S34="","",VLOOKUP(S34,'G-3 Multipliers'!$A$2:$E$129,4,FALSE))</f>
        <v/>
      </c>
      <c r="AK34" s="507" t="str">
        <f t="shared" si="8"/>
        <v/>
      </c>
      <c r="AL34" s="507" t="str">
        <f t="shared" si="9"/>
        <v/>
      </c>
      <c r="AM34" s="540" t="str">
        <f>IFERROR(IF(F34="","",IF(AH34="Check Data ⚠","Check Data ⚠",VLOOKUP(AL34, 'G-3 Multipliers'!$P$2:$Q$6,2,FALSE))),"")</f>
        <v/>
      </c>
      <c r="AN34" s="513" t="str">
        <f t="shared" si="10"/>
        <v/>
      </c>
      <c r="AO34" s="239"/>
      <c r="AP34" s="240"/>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1" t="str">
        <f>'A-1 Site Habitat Baseline'!AL34</f>
        <v/>
      </c>
      <c r="F35" s="520" t="str">
        <f>IF(E35="","",IF(ISNA(VLOOKUP($E35,'A-1 Site Habitat Baseline'!$D$1:$O$258,4,FALSE)),"",(VLOOKUP($E35,'A-1 Site Habitat Baseline'!$D$1:$O$258,4,FALSE))))</f>
        <v/>
      </c>
      <c r="G35" s="520" t="str">
        <f>IF(E35="","",IF(ISNA(VLOOKUP($E35,'A-1 Site Habitat Baseline'!$D$1:$O$258,5,FALSE)),"",(VLOOKUP($E35,'A-1 Site Habitat Baseline'!$D$1:$O$258,5,FALSE))))</f>
        <v/>
      </c>
      <c r="H35" s="520" t="str">
        <f>IF(E35="","",IF(ISNA(VLOOKUP($E35,'A-1 Site Habitat Baseline'!$D$1:$O$258,6,FALSE)),"",(VLOOKUP($E35,'A-1 Site Habitat Baseline'!$D$1:$O$258,6,FALSE))))</f>
        <v/>
      </c>
      <c r="I35" s="520" t="str">
        <f>IF(E35="","",IF(ISNA(VLOOKUP($E35,'A-1 Site Habitat Baseline'!$D$1:$O$258,7,FALSE)),"",(VLOOKUP($E35,'A-1 Site Habitat Baseline'!$D$1:$O$258,7,FALSE))))</f>
        <v/>
      </c>
      <c r="J35" s="520" t="str">
        <f>IF(E35="","",IF(ISNA(VLOOKUP($E35,'A-1 Site Habitat Baseline'!$D$1:$O$258,8,FALSE)),"",(VLOOKUP($E35,'A-1 Site Habitat Baseline'!$D$1:$O$258,8,FALSE))))</f>
        <v/>
      </c>
      <c r="K35" s="520" t="str">
        <f>IF(E35="","",IF(ISNA(VLOOKUP($E35,'A-1 Site Habitat Baseline'!$D$1:$O$258,9,FALSE)),"",(VLOOKUP($E35,'A-1 Site Habitat Baseline'!$D$1:$O$258,9,FALSE))))</f>
        <v/>
      </c>
      <c r="L35" s="520" t="str">
        <f>IF(E35="","",IF(ISNA(VLOOKUP($E35,'A-1 Site Habitat Baseline'!$D$1:$O$258,11,FALSE)),"",(VLOOKUP($E35,'A-1 Site Habitat Baseline'!$D$1:$O$258,11,FALSE))))</f>
        <v/>
      </c>
      <c r="M35" s="520" t="str">
        <f>IF(E35="","",IF(ISNA(VLOOKUP($E35,'A-1 Site Habitat Baseline'!$D$1:$O$258,12,FALSE)),"",(VLOOKUP($E35,'A-1 Site Habitat Baseline'!$D$1:$O$258,12,FALSE))))</f>
        <v/>
      </c>
      <c r="N35" s="532" t="str">
        <f>IF(E35="","",IF(ISNA(VLOOKUP($E35,'A-1 Site Habitat Baseline'!$D$1:$X$258,14,FALSE)),"",(VLOOKUP($E35,'A-1 Site Habitat Baseline'!$D$1:$X$258,14,FALSE))))</f>
        <v/>
      </c>
      <c r="O35" s="524" t="str">
        <f>IF(E35="","",IF(ISNA(VLOOKUP($E35,'A-1 Site Habitat Baseline'!$D$1:$X$258,16,FALSE)),"",(VLOOKUP($E35,'A-1 Site Habitat Baseline'!$D$1:$X$258,13,FALSE))))</f>
        <v/>
      </c>
      <c r="P35" s="237" t="str">
        <f>IFERROR(INDEX('G-1 All Habitats'!$AG$3:$AG$15,MATCH(Q35,'G-1 All Habitats'!$AF$3:$AF$15,0)),"")</f>
        <v/>
      </c>
      <c r="Q35" s="238" t="str">
        <f t="shared" si="2"/>
        <v/>
      </c>
      <c r="R35" s="238" t="str">
        <f t="shared" si="11"/>
        <v/>
      </c>
      <c r="S35" s="392" t="str">
        <f>IFERROR(INDEX('G-1 All Habitats'!$B$3:$B$129,MATCH(R35,'G-1 All Habitats'!$A$3:$A$129,0)),"")</f>
        <v/>
      </c>
      <c r="T35" s="498" t="str">
        <f t="shared" si="3"/>
        <v/>
      </c>
      <c r="U35" s="499" t="str">
        <f t="shared" si="4"/>
        <v/>
      </c>
      <c r="V35" s="537" t="str">
        <f t="shared" si="5"/>
        <v/>
      </c>
      <c r="W35" s="520" t="str">
        <f>IF(S35="","",VLOOKUP(S35,'G-1 All Habitats'!$B$2:$M$129,10,FALSE))</f>
        <v/>
      </c>
      <c r="X35" s="520" t="str">
        <f>IFERROR(VLOOKUP(W35,'G-1 All Habitats'!$V$3:$W$7,2,FALSE),"")</f>
        <v/>
      </c>
      <c r="Y35" s="79"/>
      <c r="Z35" s="524" t="str">
        <f>IFERROR(INDEX('G-8 Condition Look up'!$A$3:$H$130,MATCH(S35,'G-8 Condition Look up'!$A$3:$A$130,0),MATCH(Y35,'G-8 Condition Look up'!$A$3:$H$3,0)),"")</f>
        <v/>
      </c>
      <c r="AA35" s="71"/>
      <c r="AB35" s="520" t="str">
        <f>IF(AA35="","",IF(VLOOKUP(AA35,'G-3 Multipliers'!$L$3:$N$6,2,FALSE)=0,"Spatial Data Missing ⚠",VLOOKUP(AA35,'G-3 Multipliers'!$L$3:$N$6,2,FALSE)))</f>
        <v/>
      </c>
      <c r="AC35" s="524" t="str">
        <f>IF(AA35="","",IF(VLOOKUP(AA35,'G-3 Multipliers'!$L$3:$N$6,3,FALSE)=0,"Spatial Data Missing ⚠",VLOOKUP(AA35,'G-3 Multipliers'!$L$3:$N$6,3,FALSE)))</f>
        <v/>
      </c>
      <c r="AD35" s="539" t="str">
        <f t="shared" si="1"/>
        <v/>
      </c>
      <c r="AE35" s="82"/>
      <c r="AF35" s="82"/>
      <c r="AG35" s="507" t="str">
        <f t="shared" si="6"/>
        <v/>
      </c>
      <c r="AH35" s="521" t="str">
        <f t="shared" si="7"/>
        <v/>
      </c>
      <c r="AI35" s="522" t="str">
        <f>IF(AH35="Check Data","Check Data",IFERROR(VLOOKUP(AH35,'G-4 Temporal multipliers'!$A$4:$C$36,3,FALSE),""))</f>
        <v/>
      </c>
      <c r="AJ35" s="498" t="str">
        <f>IF(S35="","",VLOOKUP(S35,'G-3 Multipliers'!$A$2:$E$129,4,FALSE))</f>
        <v/>
      </c>
      <c r="AK35" s="507" t="str">
        <f t="shared" si="8"/>
        <v/>
      </c>
      <c r="AL35" s="507" t="str">
        <f t="shared" si="9"/>
        <v/>
      </c>
      <c r="AM35" s="540" t="str">
        <f>IFERROR(IF(F35="","",IF(AH35="Check Data ⚠","Check Data ⚠",VLOOKUP(AL35, 'G-3 Multipliers'!$P$2:$Q$6,2,FALSE))),"")</f>
        <v/>
      </c>
      <c r="AN35" s="513" t="str">
        <f t="shared" si="10"/>
        <v/>
      </c>
      <c r="AO35" s="239"/>
      <c r="AP35" s="240"/>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1" t="str">
        <f>'A-1 Site Habitat Baseline'!AL35</f>
        <v/>
      </c>
      <c r="F36" s="520" t="str">
        <f>IF(E36="","",IF(ISNA(VLOOKUP($E36,'A-1 Site Habitat Baseline'!$D$1:$O$258,4,FALSE)),"",(VLOOKUP($E36,'A-1 Site Habitat Baseline'!$D$1:$O$258,4,FALSE))))</f>
        <v/>
      </c>
      <c r="G36" s="520" t="str">
        <f>IF(E36="","",IF(ISNA(VLOOKUP($E36,'A-1 Site Habitat Baseline'!$D$1:$O$258,5,FALSE)),"",(VLOOKUP($E36,'A-1 Site Habitat Baseline'!$D$1:$O$258,5,FALSE))))</f>
        <v/>
      </c>
      <c r="H36" s="520" t="str">
        <f>IF(E36="","",IF(ISNA(VLOOKUP($E36,'A-1 Site Habitat Baseline'!$D$1:$O$258,6,FALSE)),"",(VLOOKUP($E36,'A-1 Site Habitat Baseline'!$D$1:$O$258,6,FALSE))))</f>
        <v/>
      </c>
      <c r="I36" s="520" t="str">
        <f>IF(E36="","",IF(ISNA(VLOOKUP($E36,'A-1 Site Habitat Baseline'!$D$1:$O$258,7,FALSE)),"",(VLOOKUP($E36,'A-1 Site Habitat Baseline'!$D$1:$O$258,7,FALSE))))</f>
        <v/>
      </c>
      <c r="J36" s="520" t="str">
        <f>IF(E36="","",IF(ISNA(VLOOKUP($E36,'A-1 Site Habitat Baseline'!$D$1:$O$258,8,FALSE)),"",(VLOOKUP($E36,'A-1 Site Habitat Baseline'!$D$1:$O$258,8,FALSE))))</f>
        <v/>
      </c>
      <c r="K36" s="520" t="str">
        <f>IF(E36="","",IF(ISNA(VLOOKUP($E36,'A-1 Site Habitat Baseline'!$D$1:$O$258,9,FALSE)),"",(VLOOKUP($E36,'A-1 Site Habitat Baseline'!$D$1:$O$258,9,FALSE))))</f>
        <v/>
      </c>
      <c r="L36" s="520" t="str">
        <f>IF(E36="","",IF(ISNA(VLOOKUP($E36,'A-1 Site Habitat Baseline'!$D$1:$O$258,11,FALSE)),"",(VLOOKUP($E36,'A-1 Site Habitat Baseline'!$D$1:$O$258,11,FALSE))))</f>
        <v/>
      </c>
      <c r="M36" s="520" t="str">
        <f>IF(E36="","",IF(ISNA(VLOOKUP($E36,'A-1 Site Habitat Baseline'!$D$1:$O$258,12,FALSE)),"",(VLOOKUP($E36,'A-1 Site Habitat Baseline'!$D$1:$O$258,12,FALSE))))</f>
        <v/>
      </c>
      <c r="N36" s="532" t="str">
        <f>IF(E36="","",IF(ISNA(VLOOKUP($E36,'A-1 Site Habitat Baseline'!$D$1:$X$258,14,FALSE)),"",(VLOOKUP($E36,'A-1 Site Habitat Baseline'!$D$1:$X$258,14,FALSE))))</f>
        <v/>
      </c>
      <c r="O36" s="524" t="str">
        <f>IF(E36="","",IF(ISNA(VLOOKUP($E36,'A-1 Site Habitat Baseline'!$D$1:$X$258,16,FALSE)),"",(VLOOKUP($E36,'A-1 Site Habitat Baseline'!$D$1:$X$258,13,FALSE))))</f>
        <v/>
      </c>
      <c r="P36" s="237" t="str">
        <f>IFERROR(INDEX('G-1 All Habitats'!$AG$3:$AG$15,MATCH(Q36,'G-1 All Habitats'!$AF$3:$AF$15,0)),"")</f>
        <v/>
      </c>
      <c r="Q36" s="238" t="str">
        <f t="shared" si="2"/>
        <v/>
      </c>
      <c r="R36" s="238" t="str">
        <f t="shared" si="11"/>
        <v/>
      </c>
      <c r="S36" s="392" t="str">
        <f>IFERROR(INDEX('G-1 All Habitats'!$B$3:$B$129,MATCH(R36,'G-1 All Habitats'!$A$3:$A$129,0)),"")</f>
        <v/>
      </c>
      <c r="T36" s="498" t="str">
        <f t="shared" si="3"/>
        <v/>
      </c>
      <c r="U36" s="499" t="str">
        <f t="shared" si="4"/>
        <v/>
      </c>
      <c r="V36" s="537" t="str">
        <f t="shared" si="5"/>
        <v/>
      </c>
      <c r="W36" s="520" t="str">
        <f>IF(S36="","",VLOOKUP(S36,'G-1 All Habitats'!$B$2:$M$129,10,FALSE))</f>
        <v/>
      </c>
      <c r="X36" s="520" t="str">
        <f>IFERROR(VLOOKUP(W36,'G-1 All Habitats'!$V$3:$W$7,2,FALSE),"")</f>
        <v/>
      </c>
      <c r="Y36" s="79"/>
      <c r="Z36" s="524" t="str">
        <f>IFERROR(INDEX('G-8 Condition Look up'!$A$3:$H$130,MATCH(S36,'G-8 Condition Look up'!$A$3:$A$130,0),MATCH(Y36,'G-8 Condition Look up'!$A$3:$H$3,0)),"")</f>
        <v/>
      </c>
      <c r="AA36" s="71"/>
      <c r="AB36" s="520" t="str">
        <f>IF(AA36="","",IF(VLOOKUP(AA36,'G-3 Multipliers'!$L$3:$N$6,2,FALSE)=0,"Spatial Data Missing ⚠",VLOOKUP(AA36,'G-3 Multipliers'!$L$3:$N$6,2,FALSE)))</f>
        <v/>
      </c>
      <c r="AC36" s="524" t="str">
        <f>IF(AA36="","",IF(VLOOKUP(AA36,'G-3 Multipliers'!$L$3:$N$6,3,FALSE)=0,"Spatial Data Missing ⚠",VLOOKUP(AA36,'G-3 Multipliers'!$L$3:$N$6,3,FALSE)))</f>
        <v/>
      </c>
      <c r="AD36" s="539" t="str">
        <f t="shared" si="1"/>
        <v/>
      </c>
      <c r="AE36" s="82"/>
      <c r="AF36" s="82"/>
      <c r="AG36" s="507" t="str">
        <f t="shared" si="6"/>
        <v/>
      </c>
      <c r="AH36" s="521" t="str">
        <f t="shared" si="7"/>
        <v/>
      </c>
      <c r="AI36" s="522" t="str">
        <f>IF(AH36="Check Data","Check Data",IFERROR(VLOOKUP(AH36,'G-4 Temporal multipliers'!$A$4:$C$36,3,FALSE),""))</f>
        <v/>
      </c>
      <c r="AJ36" s="498" t="str">
        <f>IF(S36="","",VLOOKUP(S36,'G-3 Multipliers'!$A$2:$E$129,4,FALSE))</f>
        <v/>
      </c>
      <c r="AK36" s="507" t="str">
        <f t="shared" si="8"/>
        <v/>
      </c>
      <c r="AL36" s="507" t="str">
        <f t="shared" si="9"/>
        <v/>
      </c>
      <c r="AM36" s="540" t="str">
        <f>IFERROR(IF(F36="","",IF(AH36="Check Data ⚠","Check Data ⚠",VLOOKUP(AL36, 'G-3 Multipliers'!$P$2:$Q$6,2,FALSE))),"")</f>
        <v/>
      </c>
      <c r="AN36" s="513" t="str">
        <f t="shared" si="10"/>
        <v/>
      </c>
      <c r="AO36" s="239"/>
      <c r="AP36" s="240"/>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1" t="str">
        <f>'A-1 Site Habitat Baseline'!AL36</f>
        <v/>
      </c>
      <c r="F37" s="520" t="str">
        <f>IF(E37="","",IF(ISNA(VLOOKUP($E37,'A-1 Site Habitat Baseline'!$D$1:$O$258,4,FALSE)),"",(VLOOKUP($E37,'A-1 Site Habitat Baseline'!$D$1:$O$258,4,FALSE))))</f>
        <v/>
      </c>
      <c r="G37" s="520" t="str">
        <f>IF(E37="","",IF(ISNA(VLOOKUP($E37,'A-1 Site Habitat Baseline'!$D$1:$O$258,5,FALSE)),"",(VLOOKUP($E37,'A-1 Site Habitat Baseline'!$D$1:$O$258,5,FALSE))))</f>
        <v/>
      </c>
      <c r="H37" s="520" t="str">
        <f>IF(E37="","",IF(ISNA(VLOOKUP($E37,'A-1 Site Habitat Baseline'!$D$1:$O$258,6,FALSE)),"",(VLOOKUP($E37,'A-1 Site Habitat Baseline'!$D$1:$O$258,6,FALSE))))</f>
        <v/>
      </c>
      <c r="I37" s="520" t="str">
        <f>IF(E37="","",IF(ISNA(VLOOKUP($E37,'A-1 Site Habitat Baseline'!$D$1:$O$258,7,FALSE)),"",(VLOOKUP($E37,'A-1 Site Habitat Baseline'!$D$1:$O$258,7,FALSE))))</f>
        <v/>
      </c>
      <c r="J37" s="520" t="str">
        <f>IF(E37="","",IF(ISNA(VLOOKUP($E37,'A-1 Site Habitat Baseline'!$D$1:$O$258,8,FALSE)),"",(VLOOKUP($E37,'A-1 Site Habitat Baseline'!$D$1:$O$258,8,FALSE))))</f>
        <v/>
      </c>
      <c r="K37" s="520" t="str">
        <f>IF(E37="","",IF(ISNA(VLOOKUP($E37,'A-1 Site Habitat Baseline'!$D$1:$O$258,9,FALSE)),"",(VLOOKUP($E37,'A-1 Site Habitat Baseline'!$D$1:$O$258,9,FALSE))))</f>
        <v/>
      </c>
      <c r="L37" s="520" t="str">
        <f>IF(E37="","",IF(ISNA(VLOOKUP($E37,'A-1 Site Habitat Baseline'!$D$1:$O$258,11,FALSE)),"",(VLOOKUP($E37,'A-1 Site Habitat Baseline'!$D$1:$O$258,11,FALSE))))</f>
        <v/>
      </c>
      <c r="M37" s="520" t="str">
        <f>IF(E37="","",IF(ISNA(VLOOKUP($E37,'A-1 Site Habitat Baseline'!$D$1:$O$258,12,FALSE)),"",(VLOOKUP($E37,'A-1 Site Habitat Baseline'!$D$1:$O$258,12,FALSE))))</f>
        <v/>
      </c>
      <c r="N37" s="532" t="str">
        <f>IF(E37="","",IF(ISNA(VLOOKUP($E37,'A-1 Site Habitat Baseline'!$D$1:$X$258,14,FALSE)),"",(VLOOKUP($E37,'A-1 Site Habitat Baseline'!$D$1:$X$258,14,FALSE))))</f>
        <v/>
      </c>
      <c r="O37" s="524" t="str">
        <f>IF(E37="","",IF(ISNA(VLOOKUP($E37,'A-1 Site Habitat Baseline'!$D$1:$X$258,16,FALSE)),"",(VLOOKUP($E37,'A-1 Site Habitat Baseline'!$D$1:$X$258,13,FALSE))))</f>
        <v/>
      </c>
      <c r="P37" s="237" t="str">
        <f>IFERROR(INDEX('G-1 All Habitats'!$AG$3:$AG$15,MATCH(Q37,'G-1 All Habitats'!$AF$3:$AF$15,0)),"")</f>
        <v/>
      </c>
      <c r="Q37" s="238" t="str">
        <f t="shared" si="2"/>
        <v/>
      </c>
      <c r="R37" s="238" t="str">
        <f t="shared" si="11"/>
        <v/>
      </c>
      <c r="S37" s="392" t="str">
        <f>IFERROR(INDEX('G-1 All Habitats'!$B$3:$B$129,MATCH(R37,'G-1 All Habitats'!$A$3:$A$129,0)),"")</f>
        <v/>
      </c>
      <c r="T37" s="498" t="str">
        <f t="shared" si="3"/>
        <v/>
      </c>
      <c r="U37" s="499" t="str">
        <f t="shared" si="4"/>
        <v/>
      </c>
      <c r="V37" s="537" t="str">
        <f t="shared" si="5"/>
        <v/>
      </c>
      <c r="W37" s="520" t="str">
        <f>IF(S37="","",VLOOKUP(S37,'G-1 All Habitats'!$B$2:$M$129,10,FALSE))</f>
        <v/>
      </c>
      <c r="X37" s="520" t="str">
        <f>IFERROR(VLOOKUP(W37,'G-1 All Habitats'!$V$3:$W$7,2,FALSE),"")</f>
        <v/>
      </c>
      <c r="Y37" s="79"/>
      <c r="Z37" s="524" t="str">
        <f>IFERROR(INDEX('G-8 Condition Look up'!$A$3:$H$130,MATCH(S37,'G-8 Condition Look up'!$A$3:$A$130,0),MATCH(Y37,'G-8 Condition Look up'!$A$3:$H$3,0)),"")</f>
        <v/>
      </c>
      <c r="AA37" s="71"/>
      <c r="AB37" s="520" t="str">
        <f>IF(AA37="","",IF(VLOOKUP(AA37,'G-3 Multipliers'!$L$3:$N$6,2,FALSE)=0,"Spatial Data Missing ⚠",VLOOKUP(AA37,'G-3 Multipliers'!$L$3:$N$6,2,FALSE)))</f>
        <v/>
      </c>
      <c r="AC37" s="524" t="str">
        <f>IF(AA37="","",IF(VLOOKUP(AA37,'G-3 Multipliers'!$L$3:$N$6,3,FALSE)=0,"Spatial Data Missing ⚠",VLOOKUP(AA37,'G-3 Multipliers'!$L$3:$N$6,3,FALSE)))</f>
        <v/>
      </c>
      <c r="AD37" s="539" t="str">
        <f t="shared" si="1"/>
        <v/>
      </c>
      <c r="AE37" s="82"/>
      <c r="AF37" s="82"/>
      <c r="AG37" s="507" t="str">
        <f t="shared" si="6"/>
        <v/>
      </c>
      <c r="AH37" s="521" t="str">
        <f t="shared" si="7"/>
        <v/>
      </c>
      <c r="AI37" s="522" t="str">
        <f>IF(AH37="Check Data","Check Data",IFERROR(VLOOKUP(AH37,'G-4 Temporal multipliers'!$A$4:$C$36,3,FALSE),""))</f>
        <v/>
      </c>
      <c r="AJ37" s="498" t="str">
        <f>IF(S37="","",VLOOKUP(S37,'G-3 Multipliers'!$A$2:$E$129,4,FALSE))</f>
        <v/>
      </c>
      <c r="AK37" s="507" t="str">
        <f t="shared" si="8"/>
        <v/>
      </c>
      <c r="AL37" s="507" t="str">
        <f t="shared" si="9"/>
        <v/>
      </c>
      <c r="AM37" s="540" t="str">
        <f>IFERROR(IF(F37="","",IF(AH37="Check Data ⚠","Check Data ⚠",VLOOKUP(AL37, 'G-3 Multipliers'!$P$2:$Q$6,2,FALSE))),"")</f>
        <v/>
      </c>
      <c r="AN37" s="513" t="str">
        <f t="shared" si="10"/>
        <v/>
      </c>
      <c r="AO37" s="239"/>
      <c r="AP37" s="240"/>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1" t="str">
        <f>'A-1 Site Habitat Baseline'!AL37</f>
        <v/>
      </c>
      <c r="F38" s="520" t="str">
        <f>IF(E38="","",IF(ISNA(VLOOKUP($E38,'A-1 Site Habitat Baseline'!$D$1:$O$258,4,FALSE)),"",(VLOOKUP($E38,'A-1 Site Habitat Baseline'!$D$1:$O$258,4,FALSE))))</f>
        <v/>
      </c>
      <c r="G38" s="520" t="str">
        <f>IF(E38="","",IF(ISNA(VLOOKUP($E38,'A-1 Site Habitat Baseline'!$D$1:$O$258,5,FALSE)),"",(VLOOKUP($E38,'A-1 Site Habitat Baseline'!$D$1:$O$258,5,FALSE))))</f>
        <v/>
      </c>
      <c r="H38" s="520" t="str">
        <f>IF(E38="","",IF(ISNA(VLOOKUP($E38,'A-1 Site Habitat Baseline'!$D$1:$O$258,6,FALSE)),"",(VLOOKUP($E38,'A-1 Site Habitat Baseline'!$D$1:$O$258,6,FALSE))))</f>
        <v/>
      </c>
      <c r="I38" s="520" t="str">
        <f>IF(E38="","",IF(ISNA(VLOOKUP($E38,'A-1 Site Habitat Baseline'!$D$1:$O$258,7,FALSE)),"",(VLOOKUP($E38,'A-1 Site Habitat Baseline'!$D$1:$O$258,7,FALSE))))</f>
        <v/>
      </c>
      <c r="J38" s="520" t="str">
        <f>IF(E38="","",IF(ISNA(VLOOKUP($E38,'A-1 Site Habitat Baseline'!$D$1:$O$258,8,FALSE)),"",(VLOOKUP($E38,'A-1 Site Habitat Baseline'!$D$1:$O$258,8,FALSE))))</f>
        <v/>
      </c>
      <c r="K38" s="520" t="str">
        <f>IF(E38="","",IF(ISNA(VLOOKUP($E38,'A-1 Site Habitat Baseline'!$D$1:$O$258,9,FALSE)),"",(VLOOKUP($E38,'A-1 Site Habitat Baseline'!$D$1:$O$258,9,FALSE))))</f>
        <v/>
      </c>
      <c r="L38" s="520" t="str">
        <f>IF(E38="","",IF(ISNA(VLOOKUP($E38,'A-1 Site Habitat Baseline'!$D$1:$O$258,11,FALSE)),"",(VLOOKUP($E38,'A-1 Site Habitat Baseline'!$D$1:$O$258,11,FALSE))))</f>
        <v/>
      </c>
      <c r="M38" s="520" t="str">
        <f>IF(E38="","",IF(ISNA(VLOOKUP($E38,'A-1 Site Habitat Baseline'!$D$1:$O$258,12,FALSE)),"",(VLOOKUP($E38,'A-1 Site Habitat Baseline'!$D$1:$O$258,12,FALSE))))</f>
        <v/>
      </c>
      <c r="N38" s="532" t="str">
        <f>IF(E38="","",IF(ISNA(VLOOKUP($E38,'A-1 Site Habitat Baseline'!$D$1:$X$258,14,FALSE)),"",(VLOOKUP($E38,'A-1 Site Habitat Baseline'!$D$1:$X$258,14,FALSE))))</f>
        <v/>
      </c>
      <c r="O38" s="524" t="str">
        <f>IF(E38="","",IF(ISNA(VLOOKUP($E38,'A-1 Site Habitat Baseline'!$D$1:$X$258,16,FALSE)),"",(VLOOKUP($E38,'A-1 Site Habitat Baseline'!$D$1:$X$258,13,FALSE))))</f>
        <v/>
      </c>
      <c r="P38" s="237" t="str">
        <f>IFERROR(INDEX('G-1 All Habitats'!$AG$3:$AG$15,MATCH(Q38,'G-1 All Habitats'!$AF$3:$AF$15,0)),"")</f>
        <v/>
      </c>
      <c r="Q38" s="238" t="str">
        <f t="shared" si="2"/>
        <v/>
      </c>
      <c r="R38" s="238" t="str">
        <f t="shared" si="11"/>
        <v/>
      </c>
      <c r="S38" s="392" t="str">
        <f>IFERROR(INDEX('G-1 All Habitats'!$B$3:$B$129,MATCH(R38,'G-1 All Habitats'!$A$3:$A$129,0)),"")</f>
        <v/>
      </c>
      <c r="T38" s="498" t="str">
        <f t="shared" si="3"/>
        <v/>
      </c>
      <c r="U38" s="499" t="str">
        <f t="shared" si="4"/>
        <v/>
      </c>
      <c r="V38" s="537" t="str">
        <f t="shared" si="5"/>
        <v/>
      </c>
      <c r="W38" s="520" t="str">
        <f>IF(S38="","",VLOOKUP(S38,'G-1 All Habitats'!$B$2:$M$129,10,FALSE))</f>
        <v/>
      </c>
      <c r="X38" s="520" t="str">
        <f>IFERROR(VLOOKUP(W38,'G-1 All Habitats'!$V$3:$W$7,2,FALSE),"")</f>
        <v/>
      </c>
      <c r="Y38" s="79"/>
      <c r="Z38" s="524" t="str">
        <f>IFERROR(INDEX('G-8 Condition Look up'!$A$3:$H$130,MATCH(S38,'G-8 Condition Look up'!$A$3:$A$130,0),MATCH(Y38,'G-8 Condition Look up'!$A$3:$H$3,0)),"")</f>
        <v/>
      </c>
      <c r="AA38" s="71"/>
      <c r="AB38" s="520" t="str">
        <f>IF(AA38="","",IF(VLOOKUP(AA38,'G-3 Multipliers'!$L$3:$N$6,2,FALSE)=0,"Spatial Data Missing ⚠",VLOOKUP(AA38,'G-3 Multipliers'!$L$3:$N$6,2,FALSE)))</f>
        <v/>
      </c>
      <c r="AC38" s="524" t="str">
        <f>IF(AA38="","",IF(VLOOKUP(AA38,'G-3 Multipliers'!$L$3:$N$6,3,FALSE)=0,"Spatial Data Missing ⚠",VLOOKUP(AA38,'G-3 Multipliers'!$L$3:$N$6,3,FALSE)))</f>
        <v/>
      </c>
      <c r="AD38" s="539" t="str">
        <f t="shared" si="1"/>
        <v/>
      </c>
      <c r="AE38" s="82"/>
      <c r="AF38" s="82"/>
      <c r="AG38" s="507" t="str">
        <f t="shared" si="6"/>
        <v/>
      </c>
      <c r="AH38" s="521" t="str">
        <f t="shared" si="7"/>
        <v/>
      </c>
      <c r="AI38" s="522" t="str">
        <f>IF(AH38="Check Data","Check Data",IFERROR(VLOOKUP(AH38,'G-4 Temporal multipliers'!$A$4:$C$36,3,FALSE),""))</f>
        <v/>
      </c>
      <c r="AJ38" s="498" t="str">
        <f>IF(S38="","",VLOOKUP(S38,'G-3 Multipliers'!$A$2:$E$129,4,FALSE))</f>
        <v/>
      </c>
      <c r="AK38" s="507" t="str">
        <f t="shared" si="8"/>
        <v/>
      </c>
      <c r="AL38" s="507" t="str">
        <f t="shared" si="9"/>
        <v/>
      </c>
      <c r="AM38" s="540" t="str">
        <f>IFERROR(IF(F38="","",IF(AH38="Check Data ⚠","Check Data ⚠",VLOOKUP(AL38, 'G-3 Multipliers'!$P$2:$Q$6,2,FALSE))),"")</f>
        <v/>
      </c>
      <c r="AN38" s="513" t="str">
        <f t="shared" si="10"/>
        <v/>
      </c>
      <c r="AO38" s="239"/>
      <c r="AP38" s="240"/>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1" t="str">
        <f>'A-1 Site Habitat Baseline'!AL38</f>
        <v/>
      </c>
      <c r="F39" s="520" t="str">
        <f>IF(E39="","",IF(ISNA(VLOOKUP($E39,'A-1 Site Habitat Baseline'!$D$1:$O$258,4,FALSE)),"",(VLOOKUP($E39,'A-1 Site Habitat Baseline'!$D$1:$O$258,4,FALSE))))</f>
        <v/>
      </c>
      <c r="G39" s="520" t="str">
        <f>IF(E39="","",IF(ISNA(VLOOKUP($E39,'A-1 Site Habitat Baseline'!$D$1:$O$258,5,FALSE)),"",(VLOOKUP($E39,'A-1 Site Habitat Baseline'!$D$1:$O$258,5,FALSE))))</f>
        <v/>
      </c>
      <c r="H39" s="520" t="str">
        <f>IF(E39="","",IF(ISNA(VLOOKUP($E39,'A-1 Site Habitat Baseline'!$D$1:$O$258,6,FALSE)),"",(VLOOKUP($E39,'A-1 Site Habitat Baseline'!$D$1:$O$258,6,FALSE))))</f>
        <v/>
      </c>
      <c r="I39" s="520" t="str">
        <f>IF(E39="","",IF(ISNA(VLOOKUP($E39,'A-1 Site Habitat Baseline'!$D$1:$O$258,7,FALSE)),"",(VLOOKUP($E39,'A-1 Site Habitat Baseline'!$D$1:$O$258,7,FALSE))))</f>
        <v/>
      </c>
      <c r="J39" s="520" t="str">
        <f>IF(E39="","",IF(ISNA(VLOOKUP($E39,'A-1 Site Habitat Baseline'!$D$1:$O$258,8,FALSE)),"",(VLOOKUP($E39,'A-1 Site Habitat Baseline'!$D$1:$O$258,8,FALSE))))</f>
        <v/>
      </c>
      <c r="K39" s="520" t="str">
        <f>IF(E39="","",IF(ISNA(VLOOKUP($E39,'A-1 Site Habitat Baseline'!$D$1:$O$258,9,FALSE)),"",(VLOOKUP($E39,'A-1 Site Habitat Baseline'!$D$1:$O$258,9,FALSE))))</f>
        <v/>
      </c>
      <c r="L39" s="520" t="str">
        <f>IF(E39="","",IF(ISNA(VLOOKUP($E39,'A-1 Site Habitat Baseline'!$D$1:$O$258,11,FALSE)),"",(VLOOKUP($E39,'A-1 Site Habitat Baseline'!$D$1:$O$258,11,FALSE))))</f>
        <v/>
      </c>
      <c r="M39" s="520" t="str">
        <f>IF(E39="","",IF(ISNA(VLOOKUP($E39,'A-1 Site Habitat Baseline'!$D$1:$O$258,12,FALSE)),"",(VLOOKUP($E39,'A-1 Site Habitat Baseline'!$D$1:$O$258,12,FALSE))))</f>
        <v/>
      </c>
      <c r="N39" s="532" t="str">
        <f>IF(E39="","",IF(ISNA(VLOOKUP($E39,'A-1 Site Habitat Baseline'!$D$1:$X$258,14,FALSE)),"",(VLOOKUP($E39,'A-1 Site Habitat Baseline'!$D$1:$X$258,14,FALSE))))</f>
        <v/>
      </c>
      <c r="O39" s="524" t="str">
        <f>IF(E39="","",IF(ISNA(VLOOKUP($E39,'A-1 Site Habitat Baseline'!$D$1:$X$258,16,FALSE)),"",(VLOOKUP($E39,'A-1 Site Habitat Baseline'!$D$1:$X$258,13,FALSE))))</f>
        <v/>
      </c>
      <c r="P39" s="237" t="str">
        <f>IFERROR(INDEX('G-1 All Habitats'!$AG$3:$AG$15,MATCH(Q39,'G-1 All Habitats'!$AF$3:$AF$15,0)),"")</f>
        <v/>
      </c>
      <c r="Q39" s="238" t="str">
        <f t="shared" si="2"/>
        <v/>
      </c>
      <c r="R39" s="238" t="str">
        <f t="shared" si="11"/>
        <v/>
      </c>
      <c r="S39" s="392" t="str">
        <f>IFERROR(INDEX('G-1 All Habitats'!$B$3:$B$129,MATCH(R39,'G-1 All Habitats'!$A$3:$A$129,0)),"")</f>
        <v/>
      </c>
      <c r="T39" s="498" t="str">
        <f t="shared" si="3"/>
        <v/>
      </c>
      <c r="U39" s="499" t="str">
        <f t="shared" si="4"/>
        <v/>
      </c>
      <c r="V39" s="537" t="str">
        <f t="shared" si="5"/>
        <v/>
      </c>
      <c r="W39" s="520" t="str">
        <f>IF(S39="","",VLOOKUP(S39,'G-1 All Habitats'!$B$2:$M$129,10,FALSE))</f>
        <v/>
      </c>
      <c r="X39" s="520" t="str">
        <f>IFERROR(VLOOKUP(W39,'G-1 All Habitats'!$V$3:$W$7,2,FALSE),"")</f>
        <v/>
      </c>
      <c r="Y39" s="79"/>
      <c r="Z39" s="524" t="str">
        <f>IFERROR(INDEX('G-8 Condition Look up'!$A$3:$H$130,MATCH(S39,'G-8 Condition Look up'!$A$3:$A$130,0),MATCH(Y39,'G-8 Condition Look up'!$A$3:$H$3,0)),"")</f>
        <v/>
      </c>
      <c r="AA39" s="71"/>
      <c r="AB39" s="520" t="str">
        <f>IF(AA39="","",IF(VLOOKUP(AA39,'G-3 Multipliers'!$L$3:$N$6,2,FALSE)=0,"Spatial Data Missing ⚠",VLOOKUP(AA39,'G-3 Multipliers'!$L$3:$N$6,2,FALSE)))</f>
        <v/>
      </c>
      <c r="AC39" s="524" t="str">
        <f>IF(AA39="","",IF(VLOOKUP(AA39,'G-3 Multipliers'!$L$3:$N$6,3,FALSE)=0,"Spatial Data Missing ⚠",VLOOKUP(AA39,'G-3 Multipliers'!$L$3:$N$6,3,FALSE)))</f>
        <v/>
      </c>
      <c r="AD39" s="539" t="str">
        <f t="shared" si="1"/>
        <v/>
      </c>
      <c r="AE39" s="82"/>
      <c r="AF39" s="82"/>
      <c r="AG39" s="507" t="str">
        <f t="shared" si="6"/>
        <v/>
      </c>
      <c r="AH39" s="521" t="str">
        <f t="shared" si="7"/>
        <v/>
      </c>
      <c r="AI39" s="522" t="str">
        <f>IF(AH39="Check Data","Check Data",IFERROR(VLOOKUP(AH39,'G-4 Temporal multipliers'!$A$4:$C$36,3,FALSE),""))</f>
        <v/>
      </c>
      <c r="AJ39" s="498" t="str">
        <f>IF(S39="","",VLOOKUP(S39,'G-3 Multipliers'!$A$2:$E$129,4,FALSE))</f>
        <v/>
      </c>
      <c r="AK39" s="507" t="str">
        <f t="shared" si="8"/>
        <v/>
      </c>
      <c r="AL39" s="507" t="str">
        <f t="shared" si="9"/>
        <v/>
      </c>
      <c r="AM39" s="540" t="str">
        <f>IFERROR(IF(F39="","",IF(AH39="Check Data ⚠","Check Data ⚠",VLOOKUP(AL39, 'G-3 Multipliers'!$P$2:$Q$6,2,FALSE))),"")</f>
        <v/>
      </c>
      <c r="AN39" s="513" t="str">
        <f t="shared" si="10"/>
        <v/>
      </c>
      <c r="AO39" s="239"/>
      <c r="AP39" s="240"/>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1" t="str">
        <f>'A-1 Site Habitat Baseline'!AL39</f>
        <v/>
      </c>
      <c r="F40" s="520" t="str">
        <f>IF(E40="","",IF(ISNA(VLOOKUP($E40,'A-1 Site Habitat Baseline'!$D$1:$O$258,4,FALSE)),"",(VLOOKUP($E40,'A-1 Site Habitat Baseline'!$D$1:$O$258,4,FALSE))))</f>
        <v/>
      </c>
      <c r="G40" s="520" t="str">
        <f>IF(E40="","",IF(ISNA(VLOOKUP($E40,'A-1 Site Habitat Baseline'!$D$1:$O$258,5,FALSE)),"",(VLOOKUP($E40,'A-1 Site Habitat Baseline'!$D$1:$O$258,5,FALSE))))</f>
        <v/>
      </c>
      <c r="H40" s="520" t="str">
        <f>IF(E40="","",IF(ISNA(VLOOKUP($E40,'A-1 Site Habitat Baseline'!$D$1:$O$258,6,FALSE)),"",(VLOOKUP($E40,'A-1 Site Habitat Baseline'!$D$1:$O$258,6,FALSE))))</f>
        <v/>
      </c>
      <c r="I40" s="520" t="str">
        <f>IF(E40="","",IF(ISNA(VLOOKUP($E40,'A-1 Site Habitat Baseline'!$D$1:$O$258,7,FALSE)),"",(VLOOKUP($E40,'A-1 Site Habitat Baseline'!$D$1:$O$258,7,FALSE))))</f>
        <v/>
      </c>
      <c r="J40" s="520" t="str">
        <f>IF(E40="","",IF(ISNA(VLOOKUP($E40,'A-1 Site Habitat Baseline'!$D$1:$O$258,8,FALSE)),"",(VLOOKUP($E40,'A-1 Site Habitat Baseline'!$D$1:$O$258,8,FALSE))))</f>
        <v/>
      </c>
      <c r="K40" s="520" t="str">
        <f>IF(E40="","",IF(ISNA(VLOOKUP($E40,'A-1 Site Habitat Baseline'!$D$1:$O$258,9,FALSE)),"",(VLOOKUP($E40,'A-1 Site Habitat Baseline'!$D$1:$O$258,9,FALSE))))</f>
        <v/>
      </c>
      <c r="L40" s="520" t="str">
        <f>IF(E40="","",IF(ISNA(VLOOKUP($E40,'A-1 Site Habitat Baseline'!$D$1:$O$258,11,FALSE)),"",(VLOOKUP($E40,'A-1 Site Habitat Baseline'!$D$1:$O$258,11,FALSE))))</f>
        <v/>
      </c>
      <c r="M40" s="520" t="str">
        <f>IF(E40="","",IF(ISNA(VLOOKUP($E40,'A-1 Site Habitat Baseline'!$D$1:$O$258,12,FALSE)),"",(VLOOKUP($E40,'A-1 Site Habitat Baseline'!$D$1:$O$258,12,FALSE))))</f>
        <v/>
      </c>
      <c r="N40" s="532" t="str">
        <f>IF(E40="","",IF(ISNA(VLOOKUP($E40,'A-1 Site Habitat Baseline'!$D$1:$X$258,14,FALSE)),"",(VLOOKUP($E40,'A-1 Site Habitat Baseline'!$D$1:$X$258,14,FALSE))))</f>
        <v/>
      </c>
      <c r="O40" s="524" t="str">
        <f>IF(E40="","",IF(ISNA(VLOOKUP($E40,'A-1 Site Habitat Baseline'!$D$1:$X$258,16,FALSE)),"",(VLOOKUP($E40,'A-1 Site Habitat Baseline'!$D$1:$X$258,13,FALSE))))</f>
        <v/>
      </c>
      <c r="P40" s="237" t="str">
        <f>IFERROR(INDEX('G-1 All Habitats'!$AG$3:$AG$15,MATCH(Q40,'G-1 All Habitats'!$AF$3:$AF$15,0)),"")</f>
        <v/>
      </c>
      <c r="Q40" s="238" t="str">
        <f t="shared" si="2"/>
        <v/>
      </c>
      <c r="R40" s="238" t="str">
        <f t="shared" si="11"/>
        <v/>
      </c>
      <c r="S40" s="392" t="str">
        <f>IFERROR(INDEX('G-1 All Habitats'!$B$3:$B$129,MATCH(R40,'G-1 All Habitats'!$A$3:$A$129,0)),"")</f>
        <v/>
      </c>
      <c r="T40" s="498" t="str">
        <f t="shared" si="3"/>
        <v/>
      </c>
      <c r="U40" s="499" t="str">
        <f t="shared" si="4"/>
        <v/>
      </c>
      <c r="V40" s="537" t="str">
        <f t="shared" si="5"/>
        <v/>
      </c>
      <c r="W40" s="520" t="str">
        <f>IF(S40="","",VLOOKUP(S40,'G-1 All Habitats'!$B$2:$M$129,10,FALSE))</f>
        <v/>
      </c>
      <c r="X40" s="520" t="str">
        <f>IFERROR(VLOOKUP(W40,'G-1 All Habitats'!$V$3:$W$7,2,FALSE),"")</f>
        <v/>
      </c>
      <c r="Y40" s="79"/>
      <c r="Z40" s="524" t="str">
        <f>IFERROR(INDEX('G-8 Condition Look up'!$A$3:$H$130,MATCH(S40,'G-8 Condition Look up'!$A$3:$A$130,0),MATCH(Y40,'G-8 Condition Look up'!$A$3:$H$3,0)),"")</f>
        <v/>
      </c>
      <c r="AA40" s="71"/>
      <c r="AB40" s="520" t="str">
        <f>IF(AA40="","",IF(VLOOKUP(AA40,'G-3 Multipliers'!$L$3:$N$6,2,FALSE)=0,"Spatial Data Missing ⚠",VLOOKUP(AA40,'G-3 Multipliers'!$L$3:$N$6,2,FALSE)))</f>
        <v/>
      </c>
      <c r="AC40" s="524" t="str">
        <f>IF(AA40="","",IF(VLOOKUP(AA40,'G-3 Multipliers'!$L$3:$N$6,3,FALSE)=0,"Spatial Data Missing ⚠",VLOOKUP(AA40,'G-3 Multipliers'!$L$3:$N$6,3,FALSE)))</f>
        <v/>
      </c>
      <c r="AD40" s="539" t="str">
        <f t="shared" si="1"/>
        <v/>
      </c>
      <c r="AE40" s="82"/>
      <c r="AF40" s="82"/>
      <c r="AG40" s="507" t="str">
        <f t="shared" si="6"/>
        <v/>
      </c>
      <c r="AH40" s="521" t="str">
        <f t="shared" si="7"/>
        <v/>
      </c>
      <c r="AI40" s="522" t="str">
        <f>IF(AH40="Check Data","Check Data",IFERROR(VLOOKUP(AH40,'G-4 Temporal multipliers'!$A$4:$C$36,3,FALSE),""))</f>
        <v/>
      </c>
      <c r="AJ40" s="498" t="str">
        <f>IF(S40="","",VLOOKUP(S40,'G-3 Multipliers'!$A$2:$E$129,4,FALSE))</f>
        <v/>
      </c>
      <c r="AK40" s="507" t="str">
        <f t="shared" si="8"/>
        <v/>
      </c>
      <c r="AL40" s="507" t="str">
        <f t="shared" si="9"/>
        <v/>
      </c>
      <c r="AM40" s="540" t="str">
        <f>IFERROR(IF(F40="","",IF(AH40="Check Data ⚠","Check Data ⚠",VLOOKUP(AL40, 'G-3 Multipliers'!$P$2:$Q$6,2,FALSE))),"")</f>
        <v/>
      </c>
      <c r="AN40" s="513" t="str">
        <f t="shared" si="10"/>
        <v/>
      </c>
      <c r="AO40" s="239"/>
      <c r="AP40" s="240"/>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1" t="str">
        <f>'A-1 Site Habitat Baseline'!AL40</f>
        <v/>
      </c>
      <c r="F41" s="520" t="str">
        <f>IF(E41="","",IF(ISNA(VLOOKUP($E41,'A-1 Site Habitat Baseline'!$D$1:$O$258,4,FALSE)),"",(VLOOKUP($E41,'A-1 Site Habitat Baseline'!$D$1:$O$258,4,FALSE))))</f>
        <v/>
      </c>
      <c r="G41" s="520" t="str">
        <f>IF(E41="","",IF(ISNA(VLOOKUP($E41,'A-1 Site Habitat Baseline'!$D$1:$O$258,5,FALSE)),"",(VLOOKUP($E41,'A-1 Site Habitat Baseline'!$D$1:$O$258,5,FALSE))))</f>
        <v/>
      </c>
      <c r="H41" s="520" t="str">
        <f>IF(E41="","",IF(ISNA(VLOOKUP($E41,'A-1 Site Habitat Baseline'!$D$1:$O$258,6,FALSE)),"",(VLOOKUP($E41,'A-1 Site Habitat Baseline'!$D$1:$O$258,6,FALSE))))</f>
        <v/>
      </c>
      <c r="I41" s="520" t="str">
        <f>IF(E41="","",IF(ISNA(VLOOKUP($E41,'A-1 Site Habitat Baseline'!$D$1:$O$258,7,FALSE)),"",(VLOOKUP($E41,'A-1 Site Habitat Baseline'!$D$1:$O$258,7,FALSE))))</f>
        <v/>
      </c>
      <c r="J41" s="520" t="str">
        <f>IF(E41="","",IF(ISNA(VLOOKUP($E41,'A-1 Site Habitat Baseline'!$D$1:$O$258,8,FALSE)),"",(VLOOKUP($E41,'A-1 Site Habitat Baseline'!$D$1:$O$258,8,FALSE))))</f>
        <v/>
      </c>
      <c r="K41" s="520" t="str">
        <f>IF(E41="","",IF(ISNA(VLOOKUP($E41,'A-1 Site Habitat Baseline'!$D$1:$O$258,9,FALSE)),"",(VLOOKUP($E41,'A-1 Site Habitat Baseline'!$D$1:$O$258,9,FALSE))))</f>
        <v/>
      </c>
      <c r="L41" s="520" t="str">
        <f>IF(E41="","",IF(ISNA(VLOOKUP($E41,'A-1 Site Habitat Baseline'!$D$1:$O$258,11,FALSE)),"",(VLOOKUP($E41,'A-1 Site Habitat Baseline'!$D$1:$O$258,11,FALSE))))</f>
        <v/>
      </c>
      <c r="M41" s="520" t="str">
        <f>IF(E41="","",IF(ISNA(VLOOKUP($E41,'A-1 Site Habitat Baseline'!$D$1:$O$258,12,FALSE)),"",(VLOOKUP($E41,'A-1 Site Habitat Baseline'!$D$1:$O$258,12,FALSE))))</f>
        <v/>
      </c>
      <c r="N41" s="532" t="str">
        <f>IF(E41="","",IF(ISNA(VLOOKUP($E41,'A-1 Site Habitat Baseline'!$D$1:$X$258,14,FALSE)),"",(VLOOKUP($E41,'A-1 Site Habitat Baseline'!$D$1:$X$258,14,FALSE))))</f>
        <v/>
      </c>
      <c r="O41" s="524" t="str">
        <f>IF(E41="","",IF(ISNA(VLOOKUP($E41,'A-1 Site Habitat Baseline'!$D$1:$X$258,16,FALSE)),"",(VLOOKUP($E41,'A-1 Site Habitat Baseline'!$D$1:$X$258,13,FALSE))))</f>
        <v/>
      </c>
      <c r="P41" s="237" t="str">
        <f>IFERROR(INDEX('G-1 All Habitats'!$AG$3:$AG$15,MATCH(Q41,'G-1 All Habitats'!$AF$3:$AF$15,0)),"")</f>
        <v/>
      </c>
      <c r="Q41" s="238" t="str">
        <f t="shared" si="2"/>
        <v/>
      </c>
      <c r="R41" s="238" t="str">
        <f t="shared" si="11"/>
        <v/>
      </c>
      <c r="S41" s="392" t="str">
        <f>IFERROR(INDEX('G-1 All Habitats'!$B$3:$B$129,MATCH(R41,'G-1 All Habitats'!$A$3:$A$129,0)),"")</f>
        <v/>
      </c>
      <c r="T41" s="498" t="str">
        <f t="shared" si="3"/>
        <v/>
      </c>
      <c r="U41" s="499" t="str">
        <f t="shared" si="4"/>
        <v/>
      </c>
      <c r="V41" s="537" t="str">
        <f t="shared" si="5"/>
        <v/>
      </c>
      <c r="W41" s="520" t="str">
        <f>IF(S41="","",VLOOKUP(S41,'G-1 All Habitats'!$B$2:$M$129,10,FALSE))</f>
        <v/>
      </c>
      <c r="X41" s="520" t="str">
        <f>IFERROR(VLOOKUP(W41,'G-1 All Habitats'!$V$3:$W$7,2,FALSE),"")</f>
        <v/>
      </c>
      <c r="Y41" s="79"/>
      <c r="Z41" s="524" t="str">
        <f>IFERROR(INDEX('G-8 Condition Look up'!$A$3:$H$130,MATCH(S41,'G-8 Condition Look up'!$A$3:$A$130,0),MATCH(Y41,'G-8 Condition Look up'!$A$3:$H$3,0)),"")</f>
        <v/>
      </c>
      <c r="AA41" s="71"/>
      <c r="AB41" s="520" t="str">
        <f>IF(AA41="","",IF(VLOOKUP(AA41,'G-3 Multipliers'!$L$3:$N$6,2,FALSE)=0,"Spatial Data Missing ⚠",VLOOKUP(AA41,'G-3 Multipliers'!$L$3:$N$6,2,FALSE)))</f>
        <v/>
      </c>
      <c r="AC41" s="524" t="str">
        <f>IF(AA41="","",IF(VLOOKUP(AA41,'G-3 Multipliers'!$L$3:$N$6,3,FALSE)=0,"Spatial Data Missing ⚠",VLOOKUP(AA41,'G-3 Multipliers'!$L$3:$N$6,3,FALSE)))</f>
        <v/>
      </c>
      <c r="AD41" s="539" t="str">
        <f t="shared" si="1"/>
        <v/>
      </c>
      <c r="AE41" s="82"/>
      <c r="AF41" s="82"/>
      <c r="AG41" s="507" t="str">
        <f t="shared" si="6"/>
        <v/>
      </c>
      <c r="AH41" s="521" t="str">
        <f t="shared" si="7"/>
        <v/>
      </c>
      <c r="AI41" s="522" t="str">
        <f>IF(AH41="Check Data","Check Data",IFERROR(VLOOKUP(AH41,'G-4 Temporal multipliers'!$A$4:$C$36,3,FALSE),""))</f>
        <v/>
      </c>
      <c r="AJ41" s="498" t="str">
        <f>IF(S41="","",VLOOKUP(S41,'G-3 Multipliers'!$A$2:$E$129,4,FALSE))</f>
        <v/>
      </c>
      <c r="AK41" s="507" t="str">
        <f t="shared" si="8"/>
        <v/>
      </c>
      <c r="AL41" s="507" t="str">
        <f t="shared" si="9"/>
        <v/>
      </c>
      <c r="AM41" s="540" t="str">
        <f>IFERROR(IF(F41="","",IF(AH41="Check Data ⚠","Check Data ⚠",VLOOKUP(AL41, 'G-3 Multipliers'!$P$2:$Q$6,2,FALSE))),"")</f>
        <v/>
      </c>
      <c r="AN41" s="513" t="str">
        <f t="shared" si="10"/>
        <v/>
      </c>
      <c r="AO41" s="239"/>
      <c r="AP41" s="240"/>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1" t="str">
        <f>'A-1 Site Habitat Baseline'!AL41</f>
        <v/>
      </c>
      <c r="F42" s="520" t="str">
        <f>IF(E42="","",IF(ISNA(VLOOKUP($E42,'A-1 Site Habitat Baseline'!$D$1:$O$258,4,FALSE)),"",(VLOOKUP($E42,'A-1 Site Habitat Baseline'!$D$1:$O$258,4,FALSE))))</f>
        <v/>
      </c>
      <c r="G42" s="520" t="str">
        <f>IF(E42="","",IF(ISNA(VLOOKUP($E42,'A-1 Site Habitat Baseline'!$D$1:$O$258,5,FALSE)),"",(VLOOKUP($E42,'A-1 Site Habitat Baseline'!$D$1:$O$258,5,FALSE))))</f>
        <v/>
      </c>
      <c r="H42" s="520" t="str">
        <f>IF(E42="","",IF(ISNA(VLOOKUP($E42,'A-1 Site Habitat Baseline'!$D$1:$O$258,6,FALSE)),"",(VLOOKUP($E42,'A-1 Site Habitat Baseline'!$D$1:$O$258,6,FALSE))))</f>
        <v/>
      </c>
      <c r="I42" s="520" t="str">
        <f>IF(E42="","",IF(ISNA(VLOOKUP($E42,'A-1 Site Habitat Baseline'!$D$1:$O$258,7,FALSE)),"",(VLOOKUP($E42,'A-1 Site Habitat Baseline'!$D$1:$O$258,7,FALSE))))</f>
        <v/>
      </c>
      <c r="J42" s="520" t="str">
        <f>IF(E42="","",IF(ISNA(VLOOKUP($E42,'A-1 Site Habitat Baseline'!$D$1:$O$258,8,FALSE)),"",(VLOOKUP($E42,'A-1 Site Habitat Baseline'!$D$1:$O$258,8,FALSE))))</f>
        <v/>
      </c>
      <c r="K42" s="520" t="str">
        <f>IF(E42="","",IF(ISNA(VLOOKUP($E42,'A-1 Site Habitat Baseline'!$D$1:$O$258,9,FALSE)),"",(VLOOKUP($E42,'A-1 Site Habitat Baseline'!$D$1:$O$258,9,FALSE))))</f>
        <v/>
      </c>
      <c r="L42" s="520" t="str">
        <f>IF(E42="","",IF(ISNA(VLOOKUP($E42,'A-1 Site Habitat Baseline'!$D$1:$O$258,11,FALSE)),"",(VLOOKUP($E42,'A-1 Site Habitat Baseline'!$D$1:$O$258,11,FALSE))))</f>
        <v/>
      </c>
      <c r="M42" s="520" t="str">
        <f>IF(E42="","",IF(ISNA(VLOOKUP($E42,'A-1 Site Habitat Baseline'!$D$1:$O$258,12,FALSE)),"",(VLOOKUP($E42,'A-1 Site Habitat Baseline'!$D$1:$O$258,12,FALSE))))</f>
        <v/>
      </c>
      <c r="N42" s="532" t="str">
        <f>IF(E42="","",IF(ISNA(VLOOKUP($E42,'A-1 Site Habitat Baseline'!$D$1:$X$258,14,FALSE)),"",(VLOOKUP($E42,'A-1 Site Habitat Baseline'!$D$1:$X$258,14,FALSE))))</f>
        <v/>
      </c>
      <c r="O42" s="524" t="str">
        <f>IF(E42="","",IF(ISNA(VLOOKUP($E42,'A-1 Site Habitat Baseline'!$D$1:$X$258,16,FALSE)),"",(VLOOKUP($E42,'A-1 Site Habitat Baseline'!$D$1:$X$258,13,FALSE))))</f>
        <v/>
      </c>
      <c r="P42" s="237" t="str">
        <f>IFERROR(INDEX('G-1 All Habitats'!$AG$3:$AG$15,MATCH(Q42,'G-1 All Habitats'!$AF$3:$AF$15,0)),"")</f>
        <v/>
      </c>
      <c r="Q42" s="238" t="str">
        <f t="shared" si="2"/>
        <v/>
      </c>
      <c r="R42" s="238" t="str">
        <f t="shared" si="11"/>
        <v/>
      </c>
      <c r="S42" s="392" t="str">
        <f>IFERROR(INDEX('G-1 All Habitats'!$B$3:$B$129,MATCH(R42,'G-1 All Habitats'!$A$3:$A$129,0)),"")</f>
        <v/>
      </c>
      <c r="T42" s="498" t="str">
        <f t="shared" si="3"/>
        <v/>
      </c>
      <c r="U42" s="499" t="str">
        <f t="shared" si="4"/>
        <v/>
      </c>
      <c r="V42" s="537" t="str">
        <f t="shared" si="5"/>
        <v/>
      </c>
      <c r="W42" s="520" t="str">
        <f>IF(S42="","",VLOOKUP(S42,'G-1 All Habitats'!$B$2:$M$129,10,FALSE))</f>
        <v/>
      </c>
      <c r="X42" s="520" t="str">
        <f>IFERROR(VLOOKUP(W42,'G-1 All Habitats'!$V$3:$W$7,2,FALSE),"")</f>
        <v/>
      </c>
      <c r="Y42" s="79"/>
      <c r="Z42" s="524" t="str">
        <f>IFERROR(INDEX('G-8 Condition Look up'!$A$3:$H$130,MATCH(S42,'G-8 Condition Look up'!$A$3:$A$130,0),MATCH(Y42,'G-8 Condition Look up'!$A$3:$H$3,0)),"")</f>
        <v/>
      </c>
      <c r="AA42" s="71"/>
      <c r="AB42" s="520" t="str">
        <f>IF(AA42="","",IF(VLOOKUP(AA42,'G-3 Multipliers'!$L$3:$N$6,2,FALSE)=0,"Spatial Data Missing ⚠",VLOOKUP(AA42,'G-3 Multipliers'!$L$3:$N$6,2,FALSE)))</f>
        <v/>
      </c>
      <c r="AC42" s="524" t="str">
        <f>IF(AA42="","",IF(VLOOKUP(AA42,'G-3 Multipliers'!$L$3:$N$6,3,FALSE)=0,"Spatial Data Missing ⚠",VLOOKUP(AA42,'G-3 Multipliers'!$L$3:$N$6,3,FALSE)))</f>
        <v/>
      </c>
      <c r="AD42" s="539" t="str">
        <f t="shared" si="1"/>
        <v/>
      </c>
      <c r="AE42" s="82"/>
      <c r="AF42" s="82"/>
      <c r="AG42" s="507" t="str">
        <f t="shared" si="6"/>
        <v/>
      </c>
      <c r="AH42" s="521" t="str">
        <f t="shared" si="7"/>
        <v/>
      </c>
      <c r="AI42" s="522" t="str">
        <f>IF(AH42="Check Data","Check Data",IFERROR(VLOOKUP(AH42,'G-4 Temporal multipliers'!$A$4:$C$36,3,FALSE),""))</f>
        <v/>
      </c>
      <c r="AJ42" s="498" t="str">
        <f>IF(S42="","",VLOOKUP(S42,'G-3 Multipliers'!$A$2:$E$129,4,FALSE))</f>
        <v/>
      </c>
      <c r="AK42" s="507" t="str">
        <f t="shared" si="8"/>
        <v/>
      </c>
      <c r="AL42" s="507" t="str">
        <f t="shared" si="9"/>
        <v/>
      </c>
      <c r="AM42" s="540" t="str">
        <f>IFERROR(IF(F42="","",IF(AH42="Check Data ⚠","Check Data ⚠",VLOOKUP(AL42, 'G-3 Multipliers'!$P$2:$Q$6,2,FALSE))),"")</f>
        <v/>
      </c>
      <c r="AN42" s="513" t="str">
        <f t="shared" si="10"/>
        <v/>
      </c>
      <c r="AO42" s="239"/>
      <c r="AP42" s="240"/>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1" t="str">
        <f>'A-1 Site Habitat Baseline'!AL42</f>
        <v/>
      </c>
      <c r="F43" s="520" t="str">
        <f>IF(E43="","",IF(ISNA(VLOOKUP($E43,'A-1 Site Habitat Baseline'!$D$1:$O$258,4,FALSE)),"",(VLOOKUP($E43,'A-1 Site Habitat Baseline'!$D$1:$O$258,4,FALSE))))</f>
        <v/>
      </c>
      <c r="G43" s="520" t="str">
        <f>IF(E43="","",IF(ISNA(VLOOKUP($E43,'A-1 Site Habitat Baseline'!$D$1:$O$258,5,FALSE)),"",(VLOOKUP($E43,'A-1 Site Habitat Baseline'!$D$1:$O$258,5,FALSE))))</f>
        <v/>
      </c>
      <c r="H43" s="520" t="str">
        <f>IF(E43="","",IF(ISNA(VLOOKUP($E43,'A-1 Site Habitat Baseline'!$D$1:$O$258,6,FALSE)),"",(VLOOKUP($E43,'A-1 Site Habitat Baseline'!$D$1:$O$258,6,FALSE))))</f>
        <v/>
      </c>
      <c r="I43" s="520" t="str">
        <f>IF(E43="","",IF(ISNA(VLOOKUP($E43,'A-1 Site Habitat Baseline'!$D$1:$O$258,7,FALSE)),"",(VLOOKUP($E43,'A-1 Site Habitat Baseline'!$D$1:$O$258,7,FALSE))))</f>
        <v/>
      </c>
      <c r="J43" s="520" t="str">
        <f>IF(E43="","",IF(ISNA(VLOOKUP($E43,'A-1 Site Habitat Baseline'!$D$1:$O$258,8,FALSE)),"",(VLOOKUP($E43,'A-1 Site Habitat Baseline'!$D$1:$O$258,8,FALSE))))</f>
        <v/>
      </c>
      <c r="K43" s="520" t="str">
        <f>IF(E43="","",IF(ISNA(VLOOKUP($E43,'A-1 Site Habitat Baseline'!$D$1:$O$258,9,FALSE)),"",(VLOOKUP($E43,'A-1 Site Habitat Baseline'!$D$1:$O$258,9,FALSE))))</f>
        <v/>
      </c>
      <c r="L43" s="520" t="str">
        <f>IF(E43="","",IF(ISNA(VLOOKUP($E43,'A-1 Site Habitat Baseline'!$D$1:$O$258,11,FALSE)),"",(VLOOKUP($E43,'A-1 Site Habitat Baseline'!$D$1:$O$258,11,FALSE))))</f>
        <v/>
      </c>
      <c r="M43" s="520" t="str">
        <f>IF(E43="","",IF(ISNA(VLOOKUP($E43,'A-1 Site Habitat Baseline'!$D$1:$O$258,12,FALSE)),"",(VLOOKUP($E43,'A-1 Site Habitat Baseline'!$D$1:$O$258,12,FALSE))))</f>
        <v/>
      </c>
      <c r="N43" s="532" t="str">
        <f>IF(E43="","",IF(ISNA(VLOOKUP($E43,'A-1 Site Habitat Baseline'!$D$1:$X$258,14,FALSE)),"",(VLOOKUP($E43,'A-1 Site Habitat Baseline'!$D$1:$X$258,14,FALSE))))</f>
        <v/>
      </c>
      <c r="O43" s="524" t="str">
        <f>IF(E43="","",IF(ISNA(VLOOKUP($E43,'A-1 Site Habitat Baseline'!$D$1:$X$258,16,FALSE)),"",(VLOOKUP($E43,'A-1 Site Habitat Baseline'!$D$1:$X$258,13,FALSE))))</f>
        <v/>
      </c>
      <c r="P43" s="237" t="str">
        <f>IFERROR(INDEX('G-1 All Habitats'!$AG$3:$AG$15,MATCH(Q43,'G-1 All Habitats'!$AF$3:$AF$15,0)),"")</f>
        <v/>
      </c>
      <c r="Q43" s="238" t="str">
        <f t="shared" si="2"/>
        <v/>
      </c>
      <c r="R43" s="238" t="str">
        <f t="shared" si="11"/>
        <v/>
      </c>
      <c r="S43" s="392" t="str">
        <f>IFERROR(INDEX('G-1 All Habitats'!$B$3:$B$129,MATCH(R43,'G-1 All Habitats'!$A$3:$A$129,0)),"")</f>
        <v/>
      </c>
      <c r="T43" s="498" t="str">
        <f t="shared" si="3"/>
        <v/>
      </c>
      <c r="U43" s="499" t="str">
        <f t="shared" si="4"/>
        <v/>
      </c>
      <c r="V43" s="537" t="str">
        <f t="shared" si="5"/>
        <v/>
      </c>
      <c r="W43" s="520" t="str">
        <f>IF(S43="","",VLOOKUP(S43,'G-1 All Habitats'!$B$2:$M$129,10,FALSE))</f>
        <v/>
      </c>
      <c r="X43" s="520" t="str">
        <f>IFERROR(VLOOKUP(W43,'G-1 All Habitats'!$V$3:$W$7,2,FALSE),"")</f>
        <v/>
      </c>
      <c r="Y43" s="79"/>
      <c r="Z43" s="524" t="str">
        <f>IFERROR(INDEX('G-8 Condition Look up'!$A$3:$H$130,MATCH(S43,'G-8 Condition Look up'!$A$3:$A$130,0),MATCH(Y43,'G-8 Condition Look up'!$A$3:$H$3,0)),"")</f>
        <v/>
      </c>
      <c r="AA43" s="71"/>
      <c r="AB43" s="520" t="str">
        <f>IF(AA43="","",IF(VLOOKUP(AA43,'G-3 Multipliers'!$L$3:$N$6,2,FALSE)=0,"Spatial Data Missing ⚠",VLOOKUP(AA43,'G-3 Multipliers'!$L$3:$N$6,2,FALSE)))</f>
        <v/>
      </c>
      <c r="AC43" s="524" t="str">
        <f>IF(AA43="","",IF(VLOOKUP(AA43,'G-3 Multipliers'!$L$3:$N$6,3,FALSE)=0,"Spatial Data Missing ⚠",VLOOKUP(AA43,'G-3 Multipliers'!$L$3:$N$6,3,FALSE)))</f>
        <v/>
      </c>
      <c r="AD43" s="539" t="str">
        <f t="shared" si="1"/>
        <v/>
      </c>
      <c r="AE43" s="82"/>
      <c r="AF43" s="82"/>
      <c r="AG43" s="507" t="str">
        <f t="shared" si="6"/>
        <v/>
      </c>
      <c r="AH43" s="521" t="str">
        <f t="shared" si="7"/>
        <v/>
      </c>
      <c r="AI43" s="522" t="str">
        <f>IF(AH43="Check Data","Check Data",IFERROR(VLOOKUP(AH43,'G-4 Temporal multipliers'!$A$4:$C$36,3,FALSE),""))</f>
        <v/>
      </c>
      <c r="AJ43" s="498" t="str">
        <f>IF(S43="","",VLOOKUP(S43,'G-3 Multipliers'!$A$2:$E$129,4,FALSE))</f>
        <v/>
      </c>
      <c r="AK43" s="507" t="str">
        <f t="shared" si="8"/>
        <v/>
      </c>
      <c r="AL43" s="507" t="str">
        <f t="shared" si="9"/>
        <v/>
      </c>
      <c r="AM43" s="540" t="str">
        <f>IFERROR(IF(F43="","",IF(AH43="Check Data ⚠","Check Data ⚠",VLOOKUP(AL43, 'G-3 Multipliers'!$P$2:$Q$6,2,FALSE))),"")</f>
        <v/>
      </c>
      <c r="AN43" s="513" t="str">
        <f t="shared" si="10"/>
        <v/>
      </c>
      <c r="AO43" s="239"/>
      <c r="AP43" s="240"/>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1" t="str">
        <f>'A-1 Site Habitat Baseline'!AL43</f>
        <v/>
      </c>
      <c r="F44" s="520" t="str">
        <f>IF(E44="","",IF(ISNA(VLOOKUP($E44,'A-1 Site Habitat Baseline'!$D$1:$O$258,4,FALSE)),"",(VLOOKUP($E44,'A-1 Site Habitat Baseline'!$D$1:$O$258,4,FALSE))))</f>
        <v/>
      </c>
      <c r="G44" s="520" t="str">
        <f>IF(E44="","",IF(ISNA(VLOOKUP($E44,'A-1 Site Habitat Baseline'!$D$1:$O$258,5,FALSE)),"",(VLOOKUP($E44,'A-1 Site Habitat Baseline'!$D$1:$O$258,5,FALSE))))</f>
        <v/>
      </c>
      <c r="H44" s="520" t="str">
        <f>IF(E44="","",IF(ISNA(VLOOKUP($E44,'A-1 Site Habitat Baseline'!$D$1:$O$258,6,FALSE)),"",(VLOOKUP($E44,'A-1 Site Habitat Baseline'!$D$1:$O$258,6,FALSE))))</f>
        <v/>
      </c>
      <c r="I44" s="520" t="str">
        <f>IF(E44="","",IF(ISNA(VLOOKUP($E44,'A-1 Site Habitat Baseline'!$D$1:$O$258,7,FALSE)),"",(VLOOKUP($E44,'A-1 Site Habitat Baseline'!$D$1:$O$258,7,FALSE))))</f>
        <v/>
      </c>
      <c r="J44" s="520" t="str">
        <f>IF(E44="","",IF(ISNA(VLOOKUP($E44,'A-1 Site Habitat Baseline'!$D$1:$O$258,8,FALSE)),"",(VLOOKUP($E44,'A-1 Site Habitat Baseline'!$D$1:$O$258,8,FALSE))))</f>
        <v/>
      </c>
      <c r="K44" s="520" t="str">
        <f>IF(E44="","",IF(ISNA(VLOOKUP($E44,'A-1 Site Habitat Baseline'!$D$1:$O$258,9,FALSE)),"",(VLOOKUP($E44,'A-1 Site Habitat Baseline'!$D$1:$O$258,9,FALSE))))</f>
        <v/>
      </c>
      <c r="L44" s="520" t="str">
        <f>IF(E44="","",IF(ISNA(VLOOKUP($E44,'A-1 Site Habitat Baseline'!$D$1:$O$258,11,FALSE)),"",(VLOOKUP($E44,'A-1 Site Habitat Baseline'!$D$1:$O$258,11,FALSE))))</f>
        <v/>
      </c>
      <c r="M44" s="520" t="str">
        <f>IF(E44="","",IF(ISNA(VLOOKUP($E44,'A-1 Site Habitat Baseline'!$D$1:$O$258,12,FALSE)),"",(VLOOKUP($E44,'A-1 Site Habitat Baseline'!$D$1:$O$258,12,FALSE))))</f>
        <v/>
      </c>
      <c r="N44" s="532" t="str">
        <f>IF(E44="","",IF(ISNA(VLOOKUP($E44,'A-1 Site Habitat Baseline'!$D$1:$X$258,14,FALSE)),"",(VLOOKUP($E44,'A-1 Site Habitat Baseline'!$D$1:$X$258,14,FALSE))))</f>
        <v/>
      </c>
      <c r="O44" s="524" t="str">
        <f>IF(E44="","",IF(ISNA(VLOOKUP($E44,'A-1 Site Habitat Baseline'!$D$1:$X$258,16,FALSE)),"",(VLOOKUP($E44,'A-1 Site Habitat Baseline'!$D$1:$X$258,13,FALSE))))</f>
        <v/>
      </c>
      <c r="P44" s="237" t="str">
        <f>IFERROR(INDEX('G-1 All Habitats'!$AG$3:$AG$15,MATCH(Q44,'G-1 All Habitats'!$AF$3:$AF$15,0)),"")</f>
        <v/>
      </c>
      <c r="Q44" s="238" t="str">
        <f t="shared" si="2"/>
        <v/>
      </c>
      <c r="R44" s="238" t="str">
        <f t="shared" si="11"/>
        <v/>
      </c>
      <c r="S44" s="392" t="str">
        <f>IFERROR(INDEX('G-1 All Habitats'!$B$3:$B$129,MATCH(R44,'G-1 All Habitats'!$A$3:$A$129,0)),"")</f>
        <v/>
      </c>
      <c r="T44" s="498" t="str">
        <f t="shared" si="3"/>
        <v/>
      </c>
      <c r="U44" s="499" t="str">
        <f t="shared" si="4"/>
        <v/>
      </c>
      <c r="V44" s="537" t="str">
        <f t="shared" si="5"/>
        <v/>
      </c>
      <c r="W44" s="520" t="str">
        <f>IF(S44="","",VLOOKUP(S44,'G-1 All Habitats'!$B$2:$M$129,10,FALSE))</f>
        <v/>
      </c>
      <c r="X44" s="520" t="str">
        <f>IFERROR(VLOOKUP(W44,'G-1 All Habitats'!$V$3:$W$7,2,FALSE),"")</f>
        <v/>
      </c>
      <c r="Y44" s="79"/>
      <c r="Z44" s="524" t="str">
        <f>IFERROR(INDEX('G-8 Condition Look up'!$A$3:$H$130,MATCH(S44,'G-8 Condition Look up'!$A$3:$A$130,0),MATCH(Y44,'G-8 Condition Look up'!$A$3:$H$3,0)),"")</f>
        <v/>
      </c>
      <c r="AA44" s="71"/>
      <c r="AB44" s="520" t="str">
        <f>IF(AA44="","",IF(VLOOKUP(AA44,'G-3 Multipliers'!$L$3:$N$6,2,FALSE)=0,"Spatial Data Missing ⚠",VLOOKUP(AA44,'G-3 Multipliers'!$L$3:$N$6,2,FALSE)))</f>
        <v/>
      </c>
      <c r="AC44" s="524" t="str">
        <f>IF(AA44="","",IF(VLOOKUP(AA44,'G-3 Multipliers'!$L$3:$N$6,3,FALSE)=0,"Spatial Data Missing ⚠",VLOOKUP(AA44,'G-3 Multipliers'!$L$3:$N$6,3,FALSE)))</f>
        <v/>
      </c>
      <c r="AD44" s="539" t="str">
        <f t="shared" si="1"/>
        <v/>
      </c>
      <c r="AE44" s="82"/>
      <c r="AF44" s="82"/>
      <c r="AG44" s="507" t="str">
        <f t="shared" si="6"/>
        <v/>
      </c>
      <c r="AH44" s="521" t="str">
        <f t="shared" si="7"/>
        <v/>
      </c>
      <c r="AI44" s="522" t="str">
        <f>IF(AH44="Check Data","Check Data",IFERROR(VLOOKUP(AH44,'G-4 Temporal multipliers'!$A$4:$C$36,3,FALSE),""))</f>
        <v/>
      </c>
      <c r="AJ44" s="498" t="str">
        <f>IF(S44="","",VLOOKUP(S44,'G-3 Multipliers'!$A$2:$E$129,4,FALSE))</f>
        <v/>
      </c>
      <c r="AK44" s="507" t="str">
        <f t="shared" si="8"/>
        <v/>
      </c>
      <c r="AL44" s="507" t="str">
        <f t="shared" si="9"/>
        <v/>
      </c>
      <c r="AM44" s="540" t="str">
        <f>IFERROR(IF(F44="","",IF(AH44="Check Data ⚠","Check Data ⚠",VLOOKUP(AL44, 'G-3 Multipliers'!$P$2:$Q$6,2,FALSE))),"")</f>
        <v/>
      </c>
      <c r="AN44" s="513" t="str">
        <f t="shared" si="10"/>
        <v/>
      </c>
      <c r="AO44" s="239"/>
      <c r="AP44" s="240"/>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1" t="str">
        <f>'A-1 Site Habitat Baseline'!AL44</f>
        <v/>
      </c>
      <c r="F45" s="520" t="str">
        <f>IF(E45="","",IF(ISNA(VLOOKUP($E45,'A-1 Site Habitat Baseline'!$D$1:$O$258,4,FALSE)),"",(VLOOKUP($E45,'A-1 Site Habitat Baseline'!$D$1:$O$258,4,FALSE))))</f>
        <v/>
      </c>
      <c r="G45" s="520" t="str">
        <f>IF(E45="","",IF(ISNA(VLOOKUP($E45,'A-1 Site Habitat Baseline'!$D$1:$O$258,5,FALSE)),"",(VLOOKUP($E45,'A-1 Site Habitat Baseline'!$D$1:$O$258,5,FALSE))))</f>
        <v/>
      </c>
      <c r="H45" s="520" t="str">
        <f>IF(E45="","",IF(ISNA(VLOOKUP($E45,'A-1 Site Habitat Baseline'!$D$1:$O$258,6,FALSE)),"",(VLOOKUP($E45,'A-1 Site Habitat Baseline'!$D$1:$O$258,6,FALSE))))</f>
        <v/>
      </c>
      <c r="I45" s="520" t="str">
        <f>IF(E45="","",IF(ISNA(VLOOKUP($E45,'A-1 Site Habitat Baseline'!$D$1:$O$258,7,FALSE)),"",(VLOOKUP($E45,'A-1 Site Habitat Baseline'!$D$1:$O$258,7,FALSE))))</f>
        <v/>
      </c>
      <c r="J45" s="520" t="str">
        <f>IF(E45="","",IF(ISNA(VLOOKUP($E45,'A-1 Site Habitat Baseline'!$D$1:$O$258,8,FALSE)),"",(VLOOKUP($E45,'A-1 Site Habitat Baseline'!$D$1:$O$258,8,FALSE))))</f>
        <v/>
      </c>
      <c r="K45" s="520" t="str">
        <f>IF(E45="","",IF(ISNA(VLOOKUP($E45,'A-1 Site Habitat Baseline'!$D$1:$O$258,9,FALSE)),"",(VLOOKUP($E45,'A-1 Site Habitat Baseline'!$D$1:$O$258,9,FALSE))))</f>
        <v/>
      </c>
      <c r="L45" s="520" t="str">
        <f>IF(E45="","",IF(ISNA(VLOOKUP($E45,'A-1 Site Habitat Baseline'!$D$1:$O$258,11,FALSE)),"",(VLOOKUP($E45,'A-1 Site Habitat Baseline'!$D$1:$O$258,11,FALSE))))</f>
        <v/>
      </c>
      <c r="M45" s="520" t="str">
        <f>IF(E45="","",IF(ISNA(VLOOKUP($E45,'A-1 Site Habitat Baseline'!$D$1:$O$258,12,FALSE)),"",(VLOOKUP($E45,'A-1 Site Habitat Baseline'!$D$1:$O$258,12,FALSE))))</f>
        <v/>
      </c>
      <c r="N45" s="532" t="str">
        <f>IF(E45="","",IF(ISNA(VLOOKUP($E45,'A-1 Site Habitat Baseline'!$D$1:$X$258,14,FALSE)),"",(VLOOKUP($E45,'A-1 Site Habitat Baseline'!$D$1:$X$258,14,FALSE))))</f>
        <v/>
      </c>
      <c r="O45" s="524" t="str">
        <f>IF(E45="","",IF(ISNA(VLOOKUP($E45,'A-1 Site Habitat Baseline'!$D$1:$X$258,16,FALSE)),"",(VLOOKUP($E45,'A-1 Site Habitat Baseline'!$D$1:$X$258,13,FALSE))))</f>
        <v/>
      </c>
      <c r="P45" s="237" t="str">
        <f>IFERROR(INDEX('G-1 All Habitats'!$AG$3:$AG$15,MATCH(Q45,'G-1 All Habitats'!$AF$3:$AF$15,0)),"")</f>
        <v/>
      </c>
      <c r="Q45" s="238" t="str">
        <f t="shared" si="2"/>
        <v/>
      </c>
      <c r="R45" s="238" t="str">
        <f t="shared" si="11"/>
        <v/>
      </c>
      <c r="S45" s="392" t="str">
        <f>IFERROR(INDEX('G-1 All Habitats'!$B$3:$B$129,MATCH(R45,'G-1 All Habitats'!$A$3:$A$129,0)),"")</f>
        <v/>
      </c>
      <c r="T45" s="498" t="str">
        <f t="shared" si="3"/>
        <v/>
      </c>
      <c r="U45" s="499" t="str">
        <f t="shared" si="4"/>
        <v/>
      </c>
      <c r="V45" s="537" t="str">
        <f t="shared" si="5"/>
        <v/>
      </c>
      <c r="W45" s="520" t="str">
        <f>IF(S45="","",VLOOKUP(S45,'G-1 All Habitats'!$B$2:$M$129,10,FALSE))</f>
        <v/>
      </c>
      <c r="X45" s="520" t="str">
        <f>IFERROR(VLOOKUP(W45,'G-1 All Habitats'!$V$3:$W$7,2,FALSE),"")</f>
        <v/>
      </c>
      <c r="Y45" s="79"/>
      <c r="Z45" s="524" t="str">
        <f>IFERROR(INDEX('G-8 Condition Look up'!$A$3:$H$130,MATCH(S45,'G-8 Condition Look up'!$A$3:$A$130,0),MATCH(Y45,'G-8 Condition Look up'!$A$3:$H$3,0)),"")</f>
        <v/>
      </c>
      <c r="AA45" s="71"/>
      <c r="AB45" s="520" t="str">
        <f>IF(AA45="","",IF(VLOOKUP(AA45,'G-3 Multipliers'!$L$3:$N$6,2,FALSE)=0,"Spatial Data Missing ⚠",VLOOKUP(AA45,'G-3 Multipliers'!$L$3:$N$6,2,FALSE)))</f>
        <v/>
      </c>
      <c r="AC45" s="524" t="str">
        <f>IF(AA45="","",IF(VLOOKUP(AA45,'G-3 Multipliers'!$L$3:$N$6,3,FALSE)=0,"Spatial Data Missing ⚠",VLOOKUP(AA45,'G-3 Multipliers'!$L$3:$N$6,3,FALSE)))</f>
        <v/>
      </c>
      <c r="AD45" s="539" t="str">
        <f t="shared" si="1"/>
        <v/>
      </c>
      <c r="AE45" s="82"/>
      <c r="AF45" s="82"/>
      <c r="AG45" s="507" t="str">
        <f t="shared" si="6"/>
        <v/>
      </c>
      <c r="AH45" s="521" t="str">
        <f t="shared" si="7"/>
        <v/>
      </c>
      <c r="AI45" s="522" t="str">
        <f>IF(AH45="Check Data","Check Data",IFERROR(VLOOKUP(AH45,'G-4 Temporal multipliers'!$A$4:$C$36,3,FALSE),""))</f>
        <v/>
      </c>
      <c r="AJ45" s="498" t="str">
        <f>IF(S45="","",VLOOKUP(S45,'G-3 Multipliers'!$A$2:$E$129,4,FALSE))</f>
        <v/>
      </c>
      <c r="AK45" s="507" t="str">
        <f t="shared" si="8"/>
        <v/>
      </c>
      <c r="AL45" s="507" t="str">
        <f t="shared" si="9"/>
        <v/>
      </c>
      <c r="AM45" s="540" t="str">
        <f>IFERROR(IF(F45="","",IF(AH45="Check Data ⚠","Check Data ⚠",VLOOKUP(AL45, 'G-3 Multipliers'!$P$2:$Q$6,2,FALSE))),"")</f>
        <v/>
      </c>
      <c r="AN45" s="513" t="str">
        <f t="shared" si="10"/>
        <v/>
      </c>
      <c r="AO45" s="239"/>
      <c r="AP45" s="240"/>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1" t="str">
        <f>'A-1 Site Habitat Baseline'!AL45</f>
        <v/>
      </c>
      <c r="F46" s="520" t="str">
        <f>IF(E46="","",IF(ISNA(VLOOKUP($E46,'A-1 Site Habitat Baseline'!$D$1:$O$258,4,FALSE)),"",(VLOOKUP($E46,'A-1 Site Habitat Baseline'!$D$1:$O$258,4,FALSE))))</f>
        <v/>
      </c>
      <c r="G46" s="520" t="str">
        <f>IF(E46="","",IF(ISNA(VLOOKUP($E46,'A-1 Site Habitat Baseline'!$D$1:$O$258,5,FALSE)),"",(VLOOKUP($E46,'A-1 Site Habitat Baseline'!$D$1:$O$258,5,FALSE))))</f>
        <v/>
      </c>
      <c r="H46" s="520" t="str">
        <f>IF(E46="","",IF(ISNA(VLOOKUP($E46,'A-1 Site Habitat Baseline'!$D$1:$O$258,6,FALSE)),"",(VLOOKUP($E46,'A-1 Site Habitat Baseline'!$D$1:$O$258,6,FALSE))))</f>
        <v/>
      </c>
      <c r="I46" s="520" t="str">
        <f>IF(E46="","",IF(ISNA(VLOOKUP($E46,'A-1 Site Habitat Baseline'!$D$1:$O$258,7,FALSE)),"",(VLOOKUP($E46,'A-1 Site Habitat Baseline'!$D$1:$O$258,7,FALSE))))</f>
        <v/>
      </c>
      <c r="J46" s="520" t="str">
        <f>IF(E46="","",IF(ISNA(VLOOKUP($E46,'A-1 Site Habitat Baseline'!$D$1:$O$258,8,FALSE)),"",(VLOOKUP($E46,'A-1 Site Habitat Baseline'!$D$1:$O$258,8,FALSE))))</f>
        <v/>
      </c>
      <c r="K46" s="520" t="str">
        <f>IF(E46="","",IF(ISNA(VLOOKUP($E46,'A-1 Site Habitat Baseline'!$D$1:$O$258,9,FALSE)),"",(VLOOKUP($E46,'A-1 Site Habitat Baseline'!$D$1:$O$258,9,FALSE))))</f>
        <v/>
      </c>
      <c r="L46" s="520" t="str">
        <f>IF(E46="","",IF(ISNA(VLOOKUP($E46,'A-1 Site Habitat Baseline'!$D$1:$O$258,11,FALSE)),"",(VLOOKUP($E46,'A-1 Site Habitat Baseline'!$D$1:$O$258,11,FALSE))))</f>
        <v/>
      </c>
      <c r="M46" s="520" t="str">
        <f>IF(E46="","",IF(ISNA(VLOOKUP($E46,'A-1 Site Habitat Baseline'!$D$1:$O$258,12,FALSE)),"",(VLOOKUP($E46,'A-1 Site Habitat Baseline'!$D$1:$O$258,12,FALSE))))</f>
        <v/>
      </c>
      <c r="N46" s="532" t="str">
        <f>IF(E46="","",IF(ISNA(VLOOKUP($E46,'A-1 Site Habitat Baseline'!$D$1:$X$258,14,FALSE)),"",(VLOOKUP($E46,'A-1 Site Habitat Baseline'!$D$1:$X$258,14,FALSE))))</f>
        <v/>
      </c>
      <c r="O46" s="524" t="str">
        <f>IF(E46="","",IF(ISNA(VLOOKUP($E46,'A-1 Site Habitat Baseline'!$D$1:$X$258,16,FALSE)),"",(VLOOKUP($E46,'A-1 Site Habitat Baseline'!$D$1:$X$258,13,FALSE))))</f>
        <v/>
      </c>
      <c r="P46" s="237" t="str">
        <f>IFERROR(INDEX('G-1 All Habitats'!$AG$3:$AG$15,MATCH(Q46,'G-1 All Habitats'!$AF$3:$AF$15,0)),"")</f>
        <v/>
      </c>
      <c r="Q46" s="238" t="str">
        <f t="shared" si="2"/>
        <v/>
      </c>
      <c r="R46" s="238" t="str">
        <f t="shared" si="11"/>
        <v/>
      </c>
      <c r="S46" s="392" t="str">
        <f>IFERROR(INDEX('G-1 All Habitats'!$B$3:$B$129,MATCH(R46,'G-1 All Habitats'!$A$3:$A$129,0)),"")</f>
        <v/>
      </c>
      <c r="T46" s="498" t="str">
        <f t="shared" si="3"/>
        <v/>
      </c>
      <c r="U46" s="499" t="str">
        <f t="shared" si="4"/>
        <v/>
      </c>
      <c r="V46" s="537" t="str">
        <f t="shared" si="5"/>
        <v/>
      </c>
      <c r="W46" s="520" t="str">
        <f>IF(S46="","",VLOOKUP(S46,'G-1 All Habitats'!$B$2:$M$129,10,FALSE))</f>
        <v/>
      </c>
      <c r="X46" s="520" t="str">
        <f>IFERROR(VLOOKUP(W46,'G-1 All Habitats'!$V$3:$W$7,2,FALSE),"")</f>
        <v/>
      </c>
      <c r="Y46" s="79"/>
      <c r="Z46" s="524" t="str">
        <f>IFERROR(INDEX('G-8 Condition Look up'!$A$3:$H$130,MATCH(S46,'G-8 Condition Look up'!$A$3:$A$130,0),MATCH(Y46,'G-8 Condition Look up'!$A$3:$H$3,0)),"")</f>
        <v/>
      </c>
      <c r="AA46" s="71"/>
      <c r="AB46" s="520" t="str">
        <f>IF(AA46="","",IF(VLOOKUP(AA46,'G-3 Multipliers'!$L$3:$N$6,2,FALSE)=0,"Spatial Data Missing ⚠",VLOOKUP(AA46,'G-3 Multipliers'!$L$3:$N$6,2,FALSE)))</f>
        <v/>
      </c>
      <c r="AC46" s="524" t="str">
        <f>IF(AA46="","",IF(VLOOKUP(AA46,'G-3 Multipliers'!$L$3:$N$6,3,FALSE)=0,"Spatial Data Missing ⚠",VLOOKUP(AA46,'G-3 Multipliers'!$L$3:$N$6,3,FALSE)))</f>
        <v/>
      </c>
      <c r="AD46" s="539" t="str">
        <f t="shared" si="1"/>
        <v/>
      </c>
      <c r="AE46" s="82"/>
      <c r="AF46" s="82"/>
      <c r="AG46" s="507" t="str">
        <f t="shared" si="6"/>
        <v/>
      </c>
      <c r="AH46" s="521" t="str">
        <f t="shared" si="7"/>
        <v/>
      </c>
      <c r="AI46" s="522" t="str">
        <f>IF(AH46="Check Data","Check Data",IFERROR(VLOOKUP(AH46,'G-4 Temporal multipliers'!$A$4:$C$36,3,FALSE),""))</f>
        <v/>
      </c>
      <c r="AJ46" s="498" t="str">
        <f>IF(S46="","",VLOOKUP(S46,'G-3 Multipliers'!$A$2:$E$129,4,FALSE))</f>
        <v/>
      </c>
      <c r="AK46" s="507" t="str">
        <f t="shared" si="8"/>
        <v/>
      </c>
      <c r="AL46" s="507" t="str">
        <f t="shared" si="9"/>
        <v/>
      </c>
      <c r="AM46" s="540" t="str">
        <f>IFERROR(IF(F46="","",IF(AH46="Check Data ⚠","Check Data ⚠",VLOOKUP(AL46, 'G-3 Multipliers'!$P$2:$Q$6,2,FALSE))),"")</f>
        <v/>
      </c>
      <c r="AN46" s="513" t="str">
        <f t="shared" si="10"/>
        <v/>
      </c>
      <c r="AO46" s="239"/>
      <c r="AP46" s="240"/>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1" t="str">
        <f>'A-1 Site Habitat Baseline'!AL46</f>
        <v/>
      </c>
      <c r="F47" s="520" t="str">
        <f>IF(E47="","",IF(ISNA(VLOOKUP($E47,'A-1 Site Habitat Baseline'!$D$1:$O$258,4,FALSE)),"",(VLOOKUP($E47,'A-1 Site Habitat Baseline'!$D$1:$O$258,4,FALSE))))</f>
        <v/>
      </c>
      <c r="G47" s="520" t="str">
        <f>IF(E47="","",IF(ISNA(VLOOKUP($E47,'A-1 Site Habitat Baseline'!$D$1:$O$258,5,FALSE)),"",(VLOOKUP($E47,'A-1 Site Habitat Baseline'!$D$1:$O$258,5,FALSE))))</f>
        <v/>
      </c>
      <c r="H47" s="520" t="str">
        <f>IF(E47="","",IF(ISNA(VLOOKUP($E47,'A-1 Site Habitat Baseline'!$D$1:$O$258,6,FALSE)),"",(VLOOKUP($E47,'A-1 Site Habitat Baseline'!$D$1:$O$258,6,FALSE))))</f>
        <v/>
      </c>
      <c r="I47" s="520" t="str">
        <f>IF(E47="","",IF(ISNA(VLOOKUP($E47,'A-1 Site Habitat Baseline'!$D$1:$O$258,7,FALSE)),"",(VLOOKUP($E47,'A-1 Site Habitat Baseline'!$D$1:$O$258,7,FALSE))))</f>
        <v/>
      </c>
      <c r="J47" s="520" t="str">
        <f>IF(E47="","",IF(ISNA(VLOOKUP($E47,'A-1 Site Habitat Baseline'!$D$1:$O$258,8,FALSE)),"",(VLOOKUP($E47,'A-1 Site Habitat Baseline'!$D$1:$O$258,8,FALSE))))</f>
        <v/>
      </c>
      <c r="K47" s="520" t="str">
        <f>IF(E47="","",IF(ISNA(VLOOKUP($E47,'A-1 Site Habitat Baseline'!$D$1:$O$258,9,FALSE)),"",(VLOOKUP($E47,'A-1 Site Habitat Baseline'!$D$1:$O$258,9,FALSE))))</f>
        <v/>
      </c>
      <c r="L47" s="520" t="str">
        <f>IF(E47="","",IF(ISNA(VLOOKUP($E47,'A-1 Site Habitat Baseline'!$D$1:$O$258,11,FALSE)),"",(VLOOKUP($E47,'A-1 Site Habitat Baseline'!$D$1:$O$258,11,FALSE))))</f>
        <v/>
      </c>
      <c r="M47" s="520" t="str">
        <f>IF(E47="","",IF(ISNA(VLOOKUP($E47,'A-1 Site Habitat Baseline'!$D$1:$O$258,12,FALSE)),"",(VLOOKUP($E47,'A-1 Site Habitat Baseline'!$D$1:$O$258,12,FALSE))))</f>
        <v/>
      </c>
      <c r="N47" s="532" t="str">
        <f>IF(E47="","",IF(ISNA(VLOOKUP($E47,'A-1 Site Habitat Baseline'!$D$1:$X$258,14,FALSE)),"",(VLOOKUP($E47,'A-1 Site Habitat Baseline'!$D$1:$X$258,14,FALSE))))</f>
        <v/>
      </c>
      <c r="O47" s="524" t="str">
        <f>IF(E47="","",IF(ISNA(VLOOKUP($E47,'A-1 Site Habitat Baseline'!$D$1:$X$258,16,FALSE)),"",(VLOOKUP($E47,'A-1 Site Habitat Baseline'!$D$1:$X$258,13,FALSE))))</f>
        <v/>
      </c>
      <c r="P47" s="237" t="str">
        <f>IFERROR(INDEX('G-1 All Habitats'!$AG$3:$AG$15,MATCH(Q47,'G-1 All Habitats'!$AF$3:$AF$15,0)),"")</f>
        <v/>
      </c>
      <c r="Q47" s="238" t="str">
        <f t="shared" si="2"/>
        <v/>
      </c>
      <c r="R47" s="238" t="str">
        <f t="shared" si="11"/>
        <v/>
      </c>
      <c r="S47" s="392" t="str">
        <f>IFERROR(INDEX('G-1 All Habitats'!$B$3:$B$129,MATCH(R47,'G-1 All Habitats'!$A$3:$A$129,0)),"")</f>
        <v/>
      </c>
      <c r="T47" s="498" t="str">
        <f t="shared" si="3"/>
        <v/>
      </c>
      <c r="U47" s="499" t="str">
        <f t="shared" si="4"/>
        <v/>
      </c>
      <c r="V47" s="537" t="str">
        <f t="shared" si="5"/>
        <v/>
      </c>
      <c r="W47" s="520" t="str">
        <f>IF(S47="","",VLOOKUP(S47,'G-1 All Habitats'!$B$2:$M$129,10,FALSE))</f>
        <v/>
      </c>
      <c r="X47" s="520" t="str">
        <f>IFERROR(VLOOKUP(W47,'G-1 All Habitats'!$V$3:$W$7,2,FALSE),"")</f>
        <v/>
      </c>
      <c r="Y47" s="79"/>
      <c r="Z47" s="524" t="str">
        <f>IFERROR(INDEX('G-8 Condition Look up'!$A$3:$H$130,MATCH(S47,'G-8 Condition Look up'!$A$3:$A$130,0),MATCH(Y47,'G-8 Condition Look up'!$A$3:$H$3,0)),"")</f>
        <v/>
      </c>
      <c r="AA47" s="71"/>
      <c r="AB47" s="520" t="str">
        <f>IF(AA47="","",IF(VLOOKUP(AA47,'G-3 Multipliers'!$L$3:$N$6,2,FALSE)=0,"Spatial Data Missing ⚠",VLOOKUP(AA47,'G-3 Multipliers'!$L$3:$N$6,2,FALSE)))</f>
        <v/>
      </c>
      <c r="AC47" s="524" t="str">
        <f>IF(AA47="","",IF(VLOOKUP(AA47,'G-3 Multipliers'!$L$3:$N$6,3,FALSE)=0,"Spatial Data Missing ⚠",VLOOKUP(AA47,'G-3 Multipliers'!$L$3:$N$6,3,FALSE)))</f>
        <v/>
      </c>
      <c r="AD47" s="539" t="str">
        <f t="shared" si="1"/>
        <v/>
      </c>
      <c r="AE47" s="82"/>
      <c r="AF47" s="82"/>
      <c r="AG47" s="507" t="str">
        <f t="shared" si="6"/>
        <v/>
      </c>
      <c r="AH47" s="521" t="str">
        <f t="shared" si="7"/>
        <v/>
      </c>
      <c r="AI47" s="522" t="str">
        <f>IF(AH47="Check Data","Check Data",IFERROR(VLOOKUP(AH47,'G-4 Temporal multipliers'!$A$4:$C$36,3,FALSE),""))</f>
        <v/>
      </c>
      <c r="AJ47" s="498" t="str">
        <f>IF(S47="","",VLOOKUP(S47,'G-3 Multipliers'!$A$2:$E$129,4,FALSE))</f>
        <v/>
      </c>
      <c r="AK47" s="507" t="str">
        <f t="shared" si="8"/>
        <v/>
      </c>
      <c r="AL47" s="507" t="str">
        <f t="shared" si="9"/>
        <v/>
      </c>
      <c r="AM47" s="540" t="str">
        <f>IFERROR(IF(F47="","",IF(AH47="Check Data ⚠","Check Data ⚠",VLOOKUP(AL47, 'G-3 Multipliers'!$P$2:$Q$6,2,FALSE))),"")</f>
        <v/>
      </c>
      <c r="AN47" s="513" t="str">
        <f t="shared" si="10"/>
        <v/>
      </c>
      <c r="AO47" s="239"/>
      <c r="AP47" s="240"/>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1" t="str">
        <f>'A-1 Site Habitat Baseline'!AL47</f>
        <v/>
      </c>
      <c r="F48" s="520" t="str">
        <f>IF(E48="","",IF(ISNA(VLOOKUP($E48,'A-1 Site Habitat Baseline'!$D$1:$O$258,4,FALSE)),"",(VLOOKUP($E48,'A-1 Site Habitat Baseline'!$D$1:$O$258,4,FALSE))))</f>
        <v/>
      </c>
      <c r="G48" s="520" t="str">
        <f>IF(E48="","",IF(ISNA(VLOOKUP($E48,'A-1 Site Habitat Baseline'!$D$1:$O$258,5,FALSE)),"",(VLOOKUP($E48,'A-1 Site Habitat Baseline'!$D$1:$O$258,5,FALSE))))</f>
        <v/>
      </c>
      <c r="H48" s="520" t="str">
        <f>IF(E48="","",IF(ISNA(VLOOKUP($E48,'A-1 Site Habitat Baseline'!$D$1:$O$258,6,FALSE)),"",(VLOOKUP($E48,'A-1 Site Habitat Baseline'!$D$1:$O$258,6,FALSE))))</f>
        <v/>
      </c>
      <c r="I48" s="520" t="str">
        <f>IF(E48="","",IF(ISNA(VLOOKUP($E48,'A-1 Site Habitat Baseline'!$D$1:$O$258,7,FALSE)),"",(VLOOKUP($E48,'A-1 Site Habitat Baseline'!$D$1:$O$258,7,FALSE))))</f>
        <v/>
      </c>
      <c r="J48" s="520" t="str">
        <f>IF(E48="","",IF(ISNA(VLOOKUP($E48,'A-1 Site Habitat Baseline'!$D$1:$O$258,8,FALSE)),"",(VLOOKUP($E48,'A-1 Site Habitat Baseline'!$D$1:$O$258,8,FALSE))))</f>
        <v/>
      </c>
      <c r="K48" s="520" t="str">
        <f>IF(E48="","",IF(ISNA(VLOOKUP($E48,'A-1 Site Habitat Baseline'!$D$1:$O$258,9,FALSE)),"",(VLOOKUP($E48,'A-1 Site Habitat Baseline'!$D$1:$O$258,9,FALSE))))</f>
        <v/>
      </c>
      <c r="L48" s="520" t="str">
        <f>IF(E48="","",IF(ISNA(VLOOKUP($E48,'A-1 Site Habitat Baseline'!$D$1:$O$258,11,FALSE)),"",(VLOOKUP($E48,'A-1 Site Habitat Baseline'!$D$1:$O$258,11,FALSE))))</f>
        <v/>
      </c>
      <c r="M48" s="520" t="str">
        <f>IF(E48="","",IF(ISNA(VLOOKUP($E48,'A-1 Site Habitat Baseline'!$D$1:$O$258,12,FALSE)),"",(VLOOKUP($E48,'A-1 Site Habitat Baseline'!$D$1:$O$258,12,FALSE))))</f>
        <v/>
      </c>
      <c r="N48" s="532" t="str">
        <f>IF(E48="","",IF(ISNA(VLOOKUP($E48,'A-1 Site Habitat Baseline'!$D$1:$X$258,14,FALSE)),"",(VLOOKUP($E48,'A-1 Site Habitat Baseline'!$D$1:$X$258,14,FALSE))))</f>
        <v/>
      </c>
      <c r="O48" s="524" t="str">
        <f>IF(E48="","",IF(ISNA(VLOOKUP($E48,'A-1 Site Habitat Baseline'!$D$1:$X$258,16,FALSE)),"",(VLOOKUP($E48,'A-1 Site Habitat Baseline'!$D$1:$X$258,13,FALSE))))</f>
        <v/>
      </c>
      <c r="P48" s="237" t="str">
        <f>IFERROR(INDEX('G-1 All Habitats'!$AG$3:$AG$15,MATCH(Q48,'G-1 All Habitats'!$AF$3:$AF$15,0)),"")</f>
        <v/>
      </c>
      <c r="Q48" s="238" t="str">
        <f t="shared" si="2"/>
        <v/>
      </c>
      <c r="R48" s="238" t="str">
        <f t="shared" si="11"/>
        <v/>
      </c>
      <c r="S48" s="392" t="str">
        <f>IFERROR(INDEX('G-1 All Habitats'!$B$3:$B$129,MATCH(R48,'G-1 All Habitats'!$A$3:$A$129,0)),"")</f>
        <v/>
      </c>
      <c r="T48" s="498" t="str">
        <f t="shared" si="3"/>
        <v/>
      </c>
      <c r="U48" s="499" t="str">
        <f t="shared" si="4"/>
        <v/>
      </c>
      <c r="V48" s="537" t="str">
        <f t="shared" si="5"/>
        <v/>
      </c>
      <c r="W48" s="520" t="str">
        <f>IF(S48="","",VLOOKUP(S48,'G-1 All Habitats'!$B$2:$M$129,10,FALSE))</f>
        <v/>
      </c>
      <c r="X48" s="520" t="str">
        <f>IFERROR(VLOOKUP(W48,'G-1 All Habitats'!$V$3:$W$7,2,FALSE),"")</f>
        <v/>
      </c>
      <c r="Y48" s="79"/>
      <c r="Z48" s="524" t="str">
        <f>IFERROR(INDEX('G-8 Condition Look up'!$A$3:$H$130,MATCH(S48,'G-8 Condition Look up'!$A$3:$A$130,0),MATCH(Y48,'G-8 Condition Look up'!$A$3:$H$3,0)),"")</f>
        <v/>
      </c>
      <c r="AA48" s="71"/>
      <c r="AB48" s="520" t="str">
        <f>IF(AA48="","",IF(VLOOKUP(AA48,'G-3 Multipliers'!$L$3:$N$6,2,FALSE)=0,"Spatial Data Missing ⚠",VLOOKUP(AA48,'G-3 Multipliers'!$L$3:$N$6,2,FALSE)))</f>
        <v/>
      </c>
      <c r="AC48" s="524" t="str">
        <f>IF(AA48="","",IF(VLOOKUP(AA48,'G-3 Multipliers'!$L$3:$N$6,3,FALSE)=0,"Spatial Data Missing ⚠",VLOOKUP(AA48,'G-3 Multipliers'!$L$3:$N$6,3,FALSE)))</f>
        <v/>
      </c>
      <c r="AD48" s="539" t="str">
        <f t="shared" si="1"/>
        <v/>
      </c>
      <c r="AE48" s="82"/>
      <c r="AF48" s="82"/>
      <c r="AG48" s="507" t="str">
        <f t="shared" si="6"/>
        <v/>
      </c>
      <c r="AH48" s="521" t="str">
        <f t="shared" si="7"/>
        <v/>
      </c>
      <c r="AI48" s="522" t="str">
        <f>IF(AH48="Check Data","Check Data",IFERROR(VLOOKUP(AH48,'G-4 Temporal multipliers'!$A$4:$C$36,3,FALSE),""))</f>
        <v/>
      </c>
      <c r="AJ48" s="498" t="str">
        <f>IF(S48="","",VLOOKUP(S48,'G-3 Multipliers'!$A$2:$E$129,4,FALSE))</f>
        <v/>
      </c>
      <c r="AK48" s="507" t="str">
        <f t="shared" si="8"/>
        <v/>
      </c>
      <c r="AL48" s="507" t="str">
        <f t="shared" si="9"/>
        <v/>
      </c>
      <c r="AM48" s="540" t="str">
        <f>IFERROR(IF(F48="","",IF(AH48="Check Data ⚠","Check Data ⚠",VLOOKUP(AL48, 'G-3 Multipliers'!$P$2:$Q$6,2,FALSE))),"")</f>
        <v/>
      </c>
      <c r="AN48" s="513" t="str">
        <f t="shared" si="10"/>
        <v/>
      </c>
      <c r="AO48" s="239"/>
      <c r="AP48" s="240"/>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1" t="str">
        <f>'A-1 Site Habitat Baseline'!AL48</f>
        <v/>
      </c>
      <c r="F49" s="520" t="str">
        <f>IF(E49="","",IF(ISNA(VLOOKUP($E49,'A-1 Site Habitat Baseline'!$D$1:$O$258,4,FALSE)),"",(VLOOKUP($E49,'A-1 Site Habitat Baseline'!$D$1:$O$258,4,FALSE))))</f>
        <v/>
      </c>
      <c r="G49" s="520" t="str">
        <f>IF(E49="","",IF(ISNA(VLOOKUP($E49,'A-1 Site Habitat Baseline'!$D$1:$O$258,5,FALSE)),"",(VLOOKUP($E49,'A-1 Site Habitat Baseline'!$D$1:$O$258,5,FALSE))))</f>
        <v/>
      </c>
      <c r="H49" s="520" t="str">
        <f>IF(E49="","",IF(ISNA(VLOOKUP($E49,'A-1 Site Habitat Baseline'!$D$1:$O$258,6,FALSE)),"",(VLOOKUP($E49,'A-1 Site Habitat Baseline'!$D$1:$O$258,6,FALSE))))</f>
        <v/>
      </c>
      <c r="I49" s="520" t="str">
        <f>IF(E49="","",IF(ISNA(VLOOKUP($E49,'A-1 Site Habitat Baseline'!$D$1:$O$258,7,FALSE)),"",(VLOOKUP($E49,'A-1 Site Habitat Baseline'!$D$1:$O$258,7,FALSE))))</f>
        <v/>
      </c>
      <c r="J49" s="520" t="str">
        <f>IF(E49="","",IF(ISNA(VLOOKUP($E49,'A-1 Site Habitat Baseline'!$D$1:$O$258,8,FALSE)),"",(VLOOKUP($E49,'A-1 Site Habitat Baseline'!$D$1:$O$258,8,FALSE))))</f>
        <v/>
      </c>
      <c r="K49" s="520" t="str">
        <f>IF(E49="","",IF(ISNA(VLOOKUP($E49,'A-1 Site Habitat Baseline'!$D$1:$O$258,9,FALSE)),"",(VLOOKUP($E49,'A-1 Site Habitat Baseline'!$D$1:$O$258,9,FALSE))))</f>
        <v/>
      </c>
      <c r="L49" s="520" t="str">
        <f>IF(E49="","",IF(ISNA(VLOOKUP($E49,'A-1 Site Habitat Baseline'!$D$1:$O$258,11,FALSE)),"",(VLOOKUP($E49,'A-1 Site Habitat Baseline'!$D$1:$O$258,11,FALSE))))</f>
        <v/>
      </c>
      <c r="M49" s="520" t="str">
        <f>IF(E49="","",IF(ISNA(VLOOKUP($E49,'A-1 Site Habitat Baseline'!$D$1:$O$258,12,FALSE)),"",(VLOOKUP($E49,'A-1 Site Habitat Baseline'!$D$1:$O$258,12,FALSE))))</f>
        <v/>
      </c>
      <c r="N49" s="532" t="str">
        <f>IF(E49="","",IF(ISNA(VLOOKUP($E49,'A-1 Site Habitat Baseline'!$D$1:$X$258,14,FALSE)),"",(VLOOKUP($E49,'A-1 Site Habitat Baseline'!$D$1:$X$258,14,FALSE))))</f>
        <v/>
      </c>
      <c r="O49" s="524" t="str">
        <f>IF(E49="","",IF(ISNA(VLOOKUP($E49,'A-1 Site Habitat Baseline'!$D$1:$X$258,16,FALSE)),"",(VLOOKUP($E49,'A-1 Site Habitat Baseline'!$D$1:$X$258,13,FALSE))))</f>
        <v/>
      </c>
      <c r="P49" s="237" t="str">
        <f>IFERROR(INDEX('G-1 All Habitats'!$AG$3:$AG$15,MATCH(Q49,'G-1 All Habitats'!$AF$3:$AF$15,0)),"")</f>
        <v/>
      </c>
      <c r="Q49" s="238" t="str">
        <f t="shared" si="2"/>
        <v/>
      </c>
      <c r="R49" s="238" t="str">
        <f t="shared" si="11"/>
        <v/>
      </c>
      <c r="S49" s="392" t="str">
        <f>IFERROR(INDEX('G-1 All Habitats'!$B$3:$B$129,MATCH(R49,'G-1 All Habitats'!$A$3:$A$129,0)),"")</f>
        <v/>
      </c>
      <c r="T49" s="498" t="str">
        <f t="shared" si="3"/>
        <v/>
      </c>
      <c r="U49" s="499" t="str">
        <f t="shared" si="4"/>
        <v/>
      </c>
      <c r="V49" s="537" t="str">
        <f t="shared" si="5"/>
        <v/>
      </c>
      <c r="W49" s="520" t="str">
        <f>IF(S49="","",VLOOKUP(S49,'G-1 All Habitats'!$B$2:$M$129,10,FALSE))</f>
        <v/>
      </c>
      <c r="X49" s="520" t="str">
        <f>IFERROR(VLOOKUP(W49,'G-1 All Habitats'!$V$3:$W$7,2,FALSE),"")</f>
        <v/>
      </c>
      <c r="Y49" s="79"/>
      <c r="Z49" s="524" t="str">
        <f>IFERROR(INDEX('G-8 Condition Look up'!$A$3:$H$130,MATCH(S49,'G-8 Condition Look up'!$A$3:$A$130,0),MATCH(Y49,'G-8 Condition Look up'!$A$3:$H$3,0)),"")</f>
        <v/>
      </c>
      <c r="AA49" s="71"/>
      <c r="AB49" s="520" t="str">
        <f>IF(AA49="","",IF(VLOOKUP(AA49,'G-3 Multipliers'!$L$3:$N$6,2,FALSE)=0,"Spatial Data Missing ⚠",VLOOKUP(AA49,'G-3 Multipliers'!$L$3:$N$6,2,FALSE)))</f>
        <v/>
      </c>
      <c r="AC49" s="524" t="str">
        <f>IF(AA49="","",IF(VLOOKUP(AA49,'G-3 Multipliers'!$L$3:$N$6,3,FALSE)=0,"Spatial Data Missing ⚠",VLOOKUP(AA49,'G-3 Multipliers'!$L$3:$N$6,3,FALSE)))</f>
        <v/>
      </c>
      <c r="AD49" s="539" t="str">
        <f t="shared" si="1"/>
        <v/>
      </c>
      <c r="AE49" s="82"/>
      <c r="AF49" s="82"/>
      <c r="AG49" s="507" t="str">
        <f t="shared" si="6"/>
        <v/>
      </c>
      <c r="AH49" s="521" t="str">
        <f t="shared" si="7"/>
        <v/>
      </c>
      <c r="AI49" s="522" t="str">
        <f>IF(AH49="Check Data","Check Data",IFERROR(VLOOKUP(AH49,'G-4 Temporal multipliers'!$A$4:$C$36,3,FALSE),""))</f>
        <v/>
      </c>
      <c r="AJ49" s="498" t="str">
        <f>IF(S49="","",VLOOKUP(S49,'G-3 Multipliers'!$A$2:$E$129,4,FALSE))</f>
        <v/>
      </c>
      <c r="AK49" s="507" t="str">
        <f t="shared" si="8"/>
        <v/>
      </c>
      <c r="AL49" s="507" t="str">
        <f t="shared" si="9"/>
        <v/>
      </c>
      <c r="AM49" s="540" t="str">
        <f>IFERROR(IF(F49="","",IF(AH49="Check Data ⚠","Check Data ⚠",VLOOKUP(AL49, 'G-3 Multipliers'!$P$2:$Q$6,2,FALSE))),"")</f>
        <v/>
      </c>
      <c r="AN49" s="513" t="str">
        <f t="shared" si="10"/>
        <v/>
      </c>
      <c r="AO49" s="239"/>
      <c r="AP49" s="240"/>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1" t="str">
        <f>'A-1 Site Habitat Baseline'!AL49</f>
        <v/>
      </c>
      <c r="F50" s="520" t="str">
        <f>IF(E50="","",IF(ISNA(VLOOKUP($E50,'A-1 Site Habitat Baseline'!$D$1:$O$258,4,FALSE)),"",(VLOOKUP($E50,'A-1 Site Habitat Baseline'!$D$1:$O$258,4,FALSE))))</f>
        <v/>
      </c>
      <c r="G50" s="520" t="str">
        <f>IF(E50="","",IF(ISNA(VLOOKUP($E50,'A-1 Site Habitat Baseline'!$D$1:$O$258,5,FALSE)),"",(VLOOKUP($E50,'A-1 Site Habitat Baseline'!$D$1:$O$258,5,FALSE))))</f>
        <v/>
      </c>
      <c r="H50" s="520" t="str">
        <f>IF(E50="","",IF(ISNA(VLOOKUP($E50,'A-1 Site Habitat Baseline'!$D$1:$O$258,6,FALSE)),"",(VLOOKUP($E50,'A-1 Site Habitat Baseline'!$D$1:$O$258,6,FALSE))))</f>
        <v/>
      </c>
      <c r="I50" s="520" t="str">
        <f>IF(E50="","",IF(ISNA(VLOOKUP($E50,'A-1 Site Habitat Baseline'!$D$1:$O$258,7,FALSE)),"",(VLOOKUP($E50,'A-1 Site Habitat Baseline'!$D$1:$O$258,7,FALSE))))</f>
        <v/>
      </c>
      <c r="J50" s="520" t="str">
        <f>IF(E50="","",IF(ISNA(VLOOKUP($E50,'A-1 Site Habitat Baseline'!$D$1:$O$258,8,FALSE)),"",(VLOOKUP($E50,'A-1 Site Habitat Baseline'!$D$1:$O$258,8,FALSE))))</f>
        <v/>
      </c>
      <c r="K50" s="520" t="str">
        <f>IF(E50="","",IF(ISNA(VLOOKUP($E50,'A-1 Site Habitat Baseline'!$D$1:$O$258,9,FALSE)),"",(VLOOKUP($E50,'A-1 Site Habitat Baseline'!$D$1:$O$258,9,FALSE))))</f>
        <v/>
      </c>
      <c r="L50" s="520" t="str">
        <f>IF(E50="","",IF(ISNA(VLOOKUP($E50,'A-1 Site Habitat Baseline'!$D$1:$O$258,11,FALSE)),"",(VLOOKUP($E50,'A-1 Site Habitat Baseline'!$D$1:$O$258,11,FALSE))))</f>
        <v/>
      </c>
      <c r="M50" s="520" t="str">
        <f>IF(E50="","",IF(ISNA(VLOOKUP($E50,'A-1 Site Habitat Baseline'!$D$1:$O$258,12,FALSE)),"",(VLOOKUP($E50,'A-1 Site Habitat Baseline'!$D$1:$O$258,12,FALSE))))</f>
        <v/>
      </c>
      <c r="N50" s="532" t="str">
        <f>IF(E50="","",IF(ISNA(VLOOKUP($E50,'A-1 Site Habitat Baseline'!$D$1:$X$258,14,FALSE)),"",(VLOOKUP($E50,'A-1 Site Habitat Baseline'!$D$1:$X$258,14,FALSE))))</f>
        <v/>
      </c>
      <c r="O50" s="524" t="str">
        <f>IF(E50="","",IF(ISNA(VLOOKUP($E50,'A-1 Site Habitat Baseline'!$D$1:$X$258,16,FALSE)),"",(VLOOKUP($E50,'A-1 Site Habitat Baseline'!$D$1:$X$258,13,FALSE))))</f>
        <v/>
      </c>
      <c r="P50" s="237" t="str">
        <f>IFERROR(INDEX('G-1 All Habitats'!$AG$3:$AG$15,MATCH(Q50,'G-1 All Habitats'!$AF$3:$AF$15,0)),"")</f>
        <v/>
      </c>
      <c r="Q50" s="238" t="str">
        <f t="shared" si="2"/>
        <v/>
      </c>
      <c r="R50" s="238" t="str">
        <f t="shared" si="11"/>
        <v/>
      </c>
      <c r="S50" s="392" t="str">
        <f>IFERROR(INDEX('G-1 All Habitats'!$B$3:$B$129,MATCH(R50,'G-1 All Habitats'!$A$3:$A$129,0)),"")</f>
        <v/>
      </c>
      <c r="T50" s="498" t="str">
        <f t="shared" si="3"/>
        <v/>
      </c>
      <c r="U50" s="499" t="str">
        <f t="shared" si="4"/>
        <v/>
      </c>
      <c r="V50" s="537" t="str">
        <f t="shared" si="5"/>
        <v/>
      </c>
      <c r="W50" s="520" t="str">
        <f>IF(S50="","",VLOOKUP(S50,'G-1 All Habitats'!$B$2:$M$129,10,FALSE))</f>
        <v/>
      </c>
      <c r="X50" s="520" t="str">
        <f>IFERROR(VLOOKUP(W50,'G-1 All Habitats'!$V$3:$W$7,2,FALSE),"")</f>
        <v/>
      </c>
      <c r="Y50" s="79"/>
      <c r="Z50" s="524" t="str">
        <f>IFERROR(INDEX('G-8 Condition Look up'!$A$3:$H$130,MATCH(S50,'G-8 Condition Look up'!$A$3:$A$130,0),MATCH(Y50,'G-8 Condition Look up'!$A$3:$H$3,0)),"")</f>
        <v/>
      </c>
      <c r="AA50" s="71"/>
      <c r="AB50" s="520" t="str">
        <f>IF(AA50="","",IF(VLOOKUP(AA50,'G-3 Multipliers'!$L$3:$N$6,2,FALSE)=0,"Spatial Data Missing ⚠",VLOOKUP(AA50,'G-3 Multipliers'!$L$3:$N$6,2,FALSE)))</f>
        <v/>
      </c>
      <c r="AC50" s="524" t="str">
        <f>IF(AA50="","",IF(VLOOKUP(AA50,'G-3 Multipliers'!$L$3:$N$6,3,FALSE)=0,"Spatial Data Missing ⚠",VLOOKUP(AA50,'G-3 Multipliers'!$L$3:$N$6,3,FALSE)))</f>
        <v/>
      </c>
      <c r="AD50" s="539" t="str">
        <f t="shared" si="1"/>
        <v/>
      </c>
      <c r="AE50" s="82"/>
      <c r="AF50" s="82"/>
      <c r="AG50" s="507" t="str">
        <f t="shared" si="6"/>
        <v/>
      </c>
      <c r="AH50" s="521" t="str">
        <f t="shared" si="7"/>
        <v/>
      </c>
      <c r="AI50" s="522" t="str">
        <f>IF(AH50="Check Data","Check Data",IFERROR(VLOOKUP(AH50,'G-4 Temporal multipliers'!$A$4:$C$36,3,FALSE),""))</f>
        <v/>
      </c>
      <c r="AJ50" s="498" t="str">
        <f>IF(S50="","",VLOOKUP(S50,'G-3 Multipliers'!$A$2:$E$129,4,FALSE))</f>
        <v/>
      </c>
      <c r="AK50" s="507" t="str">
        <f t="shared" si="8"/>
        <v/>
      </c>
      <c r="AL50" s="507" t="str">
        <f t="shared" si="9"/>
        <v/>
      </c>
      <c r="AM50" s="540" t="str">
        <f>IFERROR(IF(F50="","",IF(AH50="Check Data ⚠","Check Data ⚠",VLOOKUP(AL50, 'G-3 Multipliers'!$P$2:$Q$6,2,FALSE))),"")</f>
        <v/>
      </c>
      <c r="AN50" s="513" t="str">
        <f t="shared" si="10"/>
        <v/>
      </c>
      <c r="AO50" s="239"/>
      <c r="AP50" s="240"/>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1" t="str">
        <f>'A-1 Site Habitat Baseline'!AL50</f>
        <v/>
      </c>
      <c r="F51" s="520" t="str">
        <f>IF(E51="","",IF(ISNA(VLOOKUP($E51,'A-1 Site Habitat Baseline'!$D$1:$O$258,4,FALSE)),"",(VLOOKUP($E51,'A-1 Site Habitat Baseline'!$D$1:$O$258,4,FALSE))))</f>
        <v/>
      </c>
      <c r="G51" s="520" t="str">
        <f>IF(E51="","",IF(ISNA(VLOOKUP($E51,'A-1 Site Habitat Baseline'!$D$1:$O$258,5,FALSE)),"",(VLOOKUP($E51,'A-1 Site Habitat Baseline'!$D$1:$O$258,5,FALSE))))</f>
        <v/>
      </c>
      <c r="H51" s="520" t="str">
        <f>IF(E51="","",IF(ISNA(VLOOKUP($E51,'A-1 Site Habitat Baseline'!$D$1:$O$258,6,FALSE)),"",(VLOOKUP($E51,'A-1 Site Habitat Baseline'!$D$1:$O$258,6,FALSE))))</f>
        <v/>
      </c>
      <c r="I51" s="520" t="str">
        <f>IF(E51="","",IF(ISNA(VLOOKUP($E51,'A-1 Site Habitat Baseline'!$D$1:$O$258,7,FALSE)),"",(VLOOKUP($E51,'A-1 Site Habitat Baseline'!$D$1:$O$258,7,FALSE))))</f>
        <v/>
      </c>
      <c r="J51" s="520" t="str">
        <f>IF(E51="","",IF(ISNA(VLOOKUP($E51,'A-1 Site Habitat Baseline'!$D$1:$O$258,8,FALSE)),"",(VLOOKUP($E51,'A-1 Site Habitat Baseline'!$D$1:$O$258,8,FALSE))))</f>
        <v/>
      </c>
      <c r="K51" s="520" t="str">
        <f>IF(E51="","",IF(ISNA(VLOOKUP($E51,'A-1 Site Habitat Baseline'!$D$1:$O$258,9,FALSE)),"",(VLOOKUP($E51,'A-1 Site Habitat Baseline'!$D$1:$O$258,9,FALSE))))</f>
        <v/>
      </c>
      <c r="L51" s="520" t="str">
        <f>IF(E51="","",IF(ISNA(VLOOKUP($E51,'A-1 Site Habitat Baseline'!$D$1:$O$258,11,FALSE)),"",(VLOOKUP($E51,'A-1 Site Habitat Baseline'!$D$1:$O$258,11,FALSE))))</f>
        <v/>
      </c>
      <c r="M51" s="520" t="str">
        <f>IF(E51="","",IF(ISNA(VLOOKUP($E51,'A-1 Site Habitat Baseline'!$D$1:$O$258,12,FALSE)),"",(VLOOKUP($E51,'A-1 Site Habitat Baseline'!$D$1:$O$258,12,FALSE))))</f>
        <v/>
      </c>
      <c r="N51" s="532" t="str">
        <f>IF(E51="","",IF(ISNA(VLOOKUP($E51,'A-1 Site Habitat Baseline'!$D$1:$X$258,14,FALSE)),"",(VLOOKUP($E51,'A-1 Site Habitat Baseline'!$D$1:$X$258,14,FALSE))))</f>
        <v/>
      </c>
      <c r="O51" s="524" t="str">
        <f>IF(E51="","",IF(ISNA(VLOOKUP($E51,'A-1 Site Habitat Baseline'!$D$1:$X$258,16,FALSE)),"",(VLOOKUP($E51,'A-1 Site Habitat Baseline'!$D$1:$X$258,13,FALSE))))</f>
        <v/>
      </c>
      <c r="P51" s="237" t="str">
        <f>IFERROR(INDEX('G-1 All Habitats'!$AG$3:$AG$15,MATCH(Q51,'G-1 All Habitats'!$AF$3:$AF$15,0)),"")</f>
        <v/>
      </c>
      <c r="Q51" s="238" t="str">
        <f t="shared" si="2"/>
        <v/>
      </c>
      <c r="R51" s="238" t="str">
        <f t="shared" si="11"/>
        <v/>
      </c>
      <c r="S51" s="392" t="str">
        <f>IFERROR(INDEX('G-1 All Habitats'!$B$3:$B$129,MATCH(R51,'G-1 All Habitats'!$A$3:$A$129,0)),"")</f>
        <v/>
      </c>
      <c r="T51" s="498" t="str">
        <f t="shared" si="3"/>
        <v/>
      </c>
      <c r="U51" s="499" t="str">
        <f t="shared" si="4"/>
        <v/>
      </c>
      <c r="V51" s="537" t="str">
        <f t="shared" si="5"/>
        <v/>
      </c>
      <c r="W51" s="520" t="str">
        <f>IF(S51="","",VLOOKUP(S51,'G-1 All Habitats'!$B$2:$M$129,10,FALSE))</f>
        <v/>
      </c>
      <c r="X51" s="520" t="str">
        <f>IFERROR(VLOOKUP(W51,'G-1 All Habitats'!$V$3:$W$7,2,FALSE),"")</f>
        <v/>
      </c>
      <c r="Y51" s="79"/>
      <c r="Z51" s="524" t="str">
        <f>IFERROR(INDEX('G-8 Condition Look up'!$A$3:$H$130,MATCH(S51,'G-8 Condition Look up'!$A$3:$A$130,0),MATCH(Y51,'G-8 Condition Look up'!$A$3:$H$3,0)),"")</f>
        <v/>
      </c>
      <c r="AA51" s="71"/>
      <c r="AB51" s="520" t="str">
        <f>IF(AA51="","",IF(VLOOKUP(AA51,'G-3 Multipliers'!$L$3:$N$6,2,FALSE)=0,"Spatial Data Missing ⚠",VLOOKUP(AA51,'G-3 Multipliers'!$L$3:$N$6,2,FALSE)))</f>
        <v/>
      </c>
      <c r="AC51" s="524" t="str">
        <f>IF(AA51="","",IF(VLOOKUP(AA51,'G-3 Multipliers'!$L$3:$N$6,3,FALSE)=0,"Spatial Data Missing ⚠",VLOOKUP(AA51,'G-3 Multipliers'!$L$3:$N$6,3,FALSE)))</f>
        <v/>
      </c>
      <c r="AD51" s="539" t="str">
        <f t="shared" si="1"/>
        <v/>
      </c>
      <c r="AE51" s="82"/>
      <c r="AF51" s="82"/>
      <c r="AG51" s="507" t="str">
        <f t="shared" si="6"/>
        <v/>
      </c>
      <c r="AH51" s="521" t="str">
        <f t="shared" si="7"/>
        <v/>
      </c>
      <c r="AI51" s="522" t="str">
        <f>IF(AH51="Check Data","Check Data",IFERROR(VLOOKUP(AH51,'G-4 Temporal multipliers'!$A$4:$C$36,3,FALSE),""))</f>
        <v/>
      </c>
      <c r="AJ51" s="498" t="str">
        <f>IF(S51="","",VLOOKUP(S51,'G-3 Multipliers'!$A$2:$E$129,4,FALSE))</f>
        <v/>
      </c>
      <c r="AK51" s="507" t="str">
        <f t="shared" si="8"/>
        <v/>
      </c>
      <c r="AL51" s="507" t="str">
        <f t="shared" si="9"/>
        <v/>
      </c>
      <c r="AM51" s="540" t="str">
        <f>IFERROR(IF(F51="","",IF(AH51="Check Data ⚠","Check Data ⚠",VLOOKUP(AL51, 'G-3 Multipliers'!$P$2:$Q$6,2,FALSE))),"")</f>
        <v/>
      </c>
      <c r="AN51" s="513" t="str">
        <f t="shared" si="10"/>
        <v/>
      </c>
      <c r="AO51" s="239"/>
      <c r="AP51" s="240"/>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1" t="str">
        <f>'A-1 Site Habitat Baseline'!AL51</f>
        <v/>
      </c>
      <c r="F52" s="520" t="str">
        <f>IF(E52="","",IF(ISNA(VLOOKUP($E52,'A-1 Site Habitat Baseline'!$D$1:$O$258,4,FALSE)),"",(VLOOKUP($E52,'A-1 Site Habitat Baseline'!$D$1:$O$258,4,FALSE))))</f>
        <v/>
      </c>
      <c r="G52" s="520" t="str">
        <f>IF(E52="","",IF(ISNA(VLOOKUP($E52,'A-1 Site Habitat Baseline'!$D$1:$O$258,5,FALSE)),"",(VLOOKUP($E52,'A-1 Site Habitat Baseline'!$D$1:$O$258,5,FALSE))))</f>
        <v/>
      </c>
      <c r="H52" s="520" t="str">
        <f>IF(E52="","",IF(ISNA(VLOOKUP($E52,'A-1 Site Habitat Baseline'!$D$1:$O$258,6,FALSE)),"",(VLOOKUP($E52,'A-1 Site Habitat Baseline'!$D$1:$O$258,6,FALSE))))</f>
        <v/>
      </c>
      <c r="I52" s="520" t="str">
        <f>IF(E52="","",IF(ISNA(VLOOKUP($E52,'A-1 Site Habitat Baseline'!$D$1:$O$258,7,FALSE)),"",(VLOOKUP($E52,'A-1 Site Habitat Baseline'!$D$1:$O$258,7,FALSE))))</f>
        <v/>
      </c>
      <c r="J52" s="520" t="str">
        <f>IF(E52="","",IF(ISNA(VLOOKUP($E52,'A-1 Site Habitat Baseline'!$D$1:$O$258,8,FALSE)),"",(VLOOKUP($E52,'A-1 Site Habitat Baseline'!$D$1:$O$258,8,FALSE))))</f>
        <v/>
      </c>
      <c r="K52" s="520" t="str">
        <f>IF(E52="","",IF(ISNA(VLOOKUP($E52,'A-1 Site Habitat Baseline'!$D$1:$O$258,9,FALSE)),"",(VLOOKUP($E52,'A-1 Site Habitat Baseline'!$D$1:$O$258,9,FALSE))))</f>
        <v/>
      </c>
      <c r="L52" s="520" t="str">
        <f>IF(E52="","",IF(ISNA(VLOOKUP($E52,'A-1 Site Habitat Baseline'!$D$1:$O$258,11,FALSE)),"",(VLOOKUP($E52,'A-1 Site Habitat Baseline'!$D$1:$O$258,11,FALSE))))</f>
        <v/>
      </c>
      <c r="M52" s="520" t="str">
        <f>IF(E52="","",IF(ISNA(VLOOKUP($E52,'A-1 Site Habitat Baseline'!$D$1:$O$258,12,FALSE)),"",(VLOOKUP($E52,'A-1 Site Habitat Baseline'!$D$1:$O$258,12,FALSE))))</f>
        <v/>
      </c>
      <c r="N52" s="532" t="str">
        <f>IF(E52="","",IF(ISNA(VLOOKUP($E52,'A-1 Site Habitat Baseline'!$D$1:$X$258,14,FALSE)),"",(VLOOKUP($E52,'A-1 Site Habitat Baseline'!$D$1:$X$258,14,FALSE))))</f>
        <v/>
      </c>
      <c r="O52" s="524" t="str">
        <f>IF(E52="","",IF(ISNA(VLOOKUP($E52,'A-1 Site Habitat Baseline'!$D$1:$X$258,16,FALSE)),"",(VLOOKUP($E52,'A-1 Site Habitat Baseline'!$D$1:$X$258,13,FALSE))))</f>
        <v/>
      </c>
      <c r="P52" s="237" t="str">
        <f>IFERROR(INDEX('G-1 All Habitats'!$AG$3:$AG$15,MATCH(Q52,'G-1 All Habitats'!$AF$3:$AF$15,0)),"")</f>
        <v/>
      </c>
      <c r="Q52" s="238" t="str">
        <f t="shared" si="2"/>
        <v/>
      </c>
      <c r="R52" s="238" t="str">
        <f t="shared" si="11"/>
        <v/>
      </c>
      <c r="S52" s="392" t="str">
        <f>IFERROR(INDEX('G-1 All Habitats'!$B$3:$B$129,MATCH(R52,'G-1 All Habitats'!$A$3:$A$129,0)),"")</f>
        <v/>
      </c>
      <c r="T52" s="498" t="str">
        <f t="shared" si="3"/>
        <v/>
      </c>
      <c r="U52" s="499" t="str">
        <f t="shared" si="4"/>
        <v/>
      </c>
      <c r="V52" s="537" t="str">
        <f t="shared" si="5"/>
        <v/>
      </c>
      <c r="W52" s="520" t="str">
        <f>IF(S52="","",VLOOKUP(S52,'G-1 All Habitats'!$B$2:$M$129,10,FALSE))</f>
        <v/>
      </c>
      <c r="X52" s="520" t="str">
        <f>IFERROR(VLOOKUP(W52,'G-1 All Habitats'!$V$3:$W$7,2,FALSE),"")</f>
        <v/>
      </c>
      <c r="Y52" s="79"/>
      <c r="Z52" s="524" t="str">
        <f>IFERROR(INDEX('G-8 Condition Look up'!$A$3:$H$130,MATCH(S52,'G-8 Condition Look up'!$A$3:$A$130,0),MATCH(Y52,'G-8 Condition Look up'!$A$3:$H$3,0)),"")</f>
        <v/>
      </c>
      <c r="AA52" s="71"/>
      <c r="AB52" s="520" t="str">
        <f>IF(AA52="","",IF(VLOOKUP(AA52,'G-3 Multipliers'!$L$3:$N$6,2,FALSE)=0,"Spatial Data Missing ⚠",VLOOKUP(AA52,'G-3 Multipliers'!$L$3:$N$6,2,FALSE)))</f>
        <v/>
      </c>
      <c r="AC52" s="524" t="str">
        <f>IF(AA52="","",IF(VLOOKUP(AA52,'G-3 Multipliers'!$L$3:$N$6,3,FALSE)=0,"Spatial Data Missing ⚠",VLOOKUP(AA52,'G-3 Multipliers'!$L$3:$N$6,3,FALSE)))</f>
        <v/>
      </c>
      <c r="AD52" s="539" t="str">
        <f t="shared" si="1"/>
        <v/>
      </c>
      <c r="AE52" s="82"/>
      <c r="AF52" s="82"/>
      <c r="AG52" s="507" t="str">
        <f t="shared" si="6"/>
        <v/>
      </c>
      <c r="AH52" s="521" t="str">
        <f t="shared" si="7"/>
        <v/>
      </c>
      <c r="AI52" s="522" t="str">
        <f>IF(AH52="Check Data","Check Data",IFERROR(VLOOKUP(AH52,'G-4 Temporal multipliers'!$A$4:$C$36,3,FALSE),""))</f>
        <v/>
      </c>
      <c r="AJ52" s="498" t="str">
        <f>IF(S52="","",VLOOKUP(S52,'G-3 Multipliers'!$A$2:$E$129,4,FALSE))</f>
        <v/>
      </c>
      <c r="AK52" s="507" t="str">
        <f t="shared" si="8"/>
        <v/>
      </c>
      <c r="AL52" s="507" t="str">
        <f t="shared" si="9"/>
        <v/>
      </c>
      <c r="AM52" s="540" t="str">
        <f>IFERROR(IF(F52="","",IF(AH52="Check Data ⚠","Check Data ⚠",VLOOKUP(AL52, 'G-3 Multipliers'!$P$2:$Q$6,2,FALSE))),"")</f>
        <v/>
      </c>
      <c r="AN52" s="513" t="str">
        <f t="shared" si="10"/>
        <v/>
      </c>
      <c r="AO52" s="239"/>
      <c r="AP52" s="240"/>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1" t="str">
        <f>'A-1 Site Habitat Baseline'!AL52</f>
        <v/>
      </c>
      <c r="F53" s="520" t="str">
        <f>IF(E53="","",IF(ISNA(VLOOKUP($E53,'A-1 Site Habitat Baseline'!$D$1:$O$258,4,FALSE)),"",(VLOOKUP($E53,'A-1 Site Habitat Baseline'!$D$1:$O$258,4,FALSE))))</f>
        <v/>
      </c>
      <c r="G53" s="520" t="str">
        <f>IF(E53="","",IF(ISNA(VLOOKUP($E53,'A-1 Site Habitat Baseline'!$D$1:$O$258,5,FALSE)),"",(VLOOKUP($E53,'A-1 Site Habitat Baseline'!$D$1:$O$258,5,FALSE))))</f>
        <v/>
      </c>
      <c r="H53" s="520" t="str">
        <f>IF(E53="","",IF(ISNA(VLOOKUP($E53,'A-1 Site Habitat Baseline'!$D$1:$O$258,6,FALSE)),"",(VLOOKUP($E53,'A-1 Site Habitat Baseline'!$D$1:$O$258,6,FALSE))))</f>
        <v/>
      </c>
      <c r="I53" s="520" t="str">
        <f>IF(E53="","",IF(ISNA(VLOOKUP($E53,'A-1 Site Habitat Baseline'!$D$1:$O$258,7,FALSE)),"",(VLOOKUP($E53,'A-1 Site Habitat Baseline'!$D$1:$O$258,7,FALSE))))</f>
        <v/>
      </c>
      <c r="J53" s="520" t="str">
        <f>IF(E53="","",IF(ISNA(VLOOKUP($E53,'A-1 Site Habitat Baseline'!$D$1:$O$258,8,FALSE)),"",(VLOOKUP($E53,'A-1 Site Habitat Baseline'!$D$1:$O$258,8,FALSE))))</f>
        <v/>
      </c>
      <c r="K53" s="520" t="str">
        <f>IF(E53="","",IF(ISNA(VLOOKUP($E53,'A-1 Site Habitat Baseline'!$D$1:$O$258,9,FALSE)),"",(VLOOKUP($E53,'A-1 Site Habitat Baseline'!$D$1:$O$258,9,FALSE))))</f>
        <v/>
      </c>
      <c r="L53" s="520" t="str">
        <f>IF(E53="","",IF(ISNA(VLOOKUP($E53,'A-1 Site Habitat Baseline'!$D$1:$O$258,11,FALSE)),"",(VLOOKUP($E53,'A-1 Site Habitat Baseline'!$D$1:$O$258,11,FALSE))))</f>
        <v/>
      </c>
      <c r="M53" s="520" t="str">
        <f>IF(E53="","",IF(ISNA(VLOOKUP($E53,'A-1 Site Habitat Baseline'!$D$1:$O$258,12,FALSE)),"",(VLOOKUP($E53,'A-1 Site Habitat Baseline'!$D$1:$O$258,12,FALSE))))</f>
        <v/>
      </c>
      <c r="N53" s="532" t="str">
        <f>IF(E53="","",IF(ISNA(VLOOKUP($E53,'A-1 Site Habitat Baseline'!$D$1:$X$258,14,FALSE)),"",(VLOOKUP($E53,'A-1 Site Habitat Baseline'!$D$1:$X$258,14,FALSE))))</f>
        <v/>
      </c>
      <c r="O53" s="524" t="str">
        <f>IF(E53="","",IF(ISNA(VLOOKUP($E53,'A-1 Site Habitat Baseline'!$D$1:$X$258,16,FALSE)),"",(VLOOKUP($E53,'A-1 Site Habitat Baseline'!$D$1:$X$258,13,FALSE))))</f>
        <v/>
      </c>
      <c r="P53" s="237" t="str">
        <f>IFERROR(INDEX('G-1 All Habitats'!$AG$3:$AG$15,MATCH(Q53,'G-1 All Habitats'!$AF$3:$AF$15,0)),"")</f>
        <v/>
      </c>
      <c r="Q53" s="238" t="str">
        <f t="shared" si="2"/>
        <v/>
      </c>
      <c r="R53" s="238" t="str">
        <f t="shared" si="11"/>
        <v/>
      </c>
      <c r="S53" s="392" t="str">
        <f>IFERROR(INDEX('G-1 All Habitats'!$B$3:$B$129,MATCH(R53,'G-1 All Habitats'!$A$3:$A$129,0)),"")</f>
        <v/>
      </c>
      <c r="T53" s="498" t="str">
        <f t="shared" si="3"/>
        <v/>
      </c>
      <c r="U53" s="499" t="str">
        <f t="shared" si="4"/>
        <v/>
      </c>
      <c r="V53" s="537" t="str">
        <f t="shared" si="5"/>
        <v/>
      </c>
      <c r="W53" s="520" t="str">
        <f>IF(S53="","",VLOOKUP(S53,'G-1 All Habitats'!$B$2:$M$129,10,FALSE))</f>
        <v/>
      </c>
      <c r="X53" s="520" t="str">
        <f>IFERROR(VLOOKUP(W53,'G-1 All Habitats'!$V$3:$W$7,2,FALSE),"")</f>
        <v/>
      </c>
      <c r="Y53" s="79"/>
      <c r="Z53" s="524" t="str">
        <f>IFERROR(INDEX('G-8 Condition Look up'!$A$3:$H$130,MATCH(S53,'G-8 Condition Look up'!$A$3:$A$130,0),MATCH(Y53,'G-8 Condition Look up'!$A$3:$H$3,0)),"")</f>
        <v/>
      </c>
      <c r="AA53" s="71"/>
      <c r="AB53" s="520" t="str">
        <f>IF(AA53="","",IF(VLOOKUP(AA53,'G-3 Multipliers'!$L$3:$N$6,2,FALSE)=0,"Spatial Data Missing ⚠",VLOOKUP(AA53,'G-3 Multipliers'!$L$3:$N$6,2,FALSE)))</f>
        <v/>
      </c>
      <c r="AC53" s="524" t="str">
        <f>IF(AA53="","",IF(VLOOKUP(AA53,'G-3 Multipliers'!$L$3:$N$6,3,FALSE)=0,"Spatial Data Missing ⚠",VLOOKUP(AA53,'G-3 Multipliers'!$L$3:$N$6,3,FALSE)))</f>
        <v/>
      </c>
      <c r="AD53" s="539" t="str">
        <f t="shared" si="1"/>
        <v/>
      </c>
      <c r="AE53" s="82"/>
      <c r="AF53" s="82"/>
      <c r="AG53" s="507" t="str">
        <f t="shared" si="6"/>
        <v/>
      </c>
      <c r="AH53" s="521" t="str">
        <f t="shared" si="7"/>
        <v/>
      </c>
      <c r="AI53" s="522" t="str">
        <f>IF(AH53="Check Data","Check Data",IFERROR(VLOOKUP(AH53,'G-4 Temporal multipliers'!$A$4:$C$36,3,FALSE),""))</f>
        <v/>
      </c>
      <c r="AJ53" s="498" t="str">
        <f>IF(S53="","",VLOOKUP(S53,'G-3 Multipliers'!$A$2:$E$129,4,FALSE))</f>
        <v/>
      </c>
      <c r="AK53" s="507" t="str">
        <f t="shared" si="8"/>
        <v/>
      </c>
      <c r="AL53" s="507" t="str">
        <f t="shared" si="9"/>
        <v/>
      </c>
      <c r="AM53" s="540" t="str">
        <f>IFERROR(IF(F53="","",IF(AH53="Check Data ⚠","Check Data ⚠",VLOOKUP(AL53, 'G-3 Multipliers'!$P$2:$Q$6,2,FALSE))),"")</f>
        <v/>
      </c>
      <c r="AN53" s="513" t="str">
        <f t="shared" si="10"/>
        <v/>
      </c>
      <c r="AO53" s="239"/>
      <c r="AP53" s="240"/>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1" t="str">
        <f>'A-1 Site Habitat Baseline'!AL53</f>
        <v/>
      </c>
      <c r="F54" s="520" t="str">
        <f>IF(E54="","",IF(ISNA(VLOOKUP($E54,'A-1 Site Habitat Baseline'!$D$1:$O$258,4,FALSE)),"",(VLOOKUP($E54,'A-1 Site Habitat Baseline'!$D$1:$O$258,4,FALSE))))</f>
        <v/>
      </c>
      <c r="G54" s="520" t="str">
        <f>IF(E54="","",IF(ISNA(VLOOKUP($E54,'A-1 Site Habitat Baseline'!$D$1:$O$258,5,FALSE)),"",(VLOOKUP($E54,'A-1 Site Habitat Baseline'!$D$1:$O$258,5,FALSE))))</f>
        <v/>
      </c>
      <c r="H54" s="520" t="str">
        <f>IF(E54="","",IF(ISNA(VLOOKUP($E54,'A-1 Site Habitat Baseline'!$D$1:$O$258,6,FALSE)),"",(VLOOKUP($E54,'A-1 Site Habitat Baseline'!$D$1:$O$258,6,FALSE))))</f>
        <v/>
      </c>
      <c r="I54" s="520" t="str">
        <f>IF(E54="","",IF(ISNA(VLOOKUP($E54,'A-1 Site Habitat Baseline'!$D$1:$O$258,7,FALSE)),"",(VLOOKUP($E54,'A-1 Site Habitat Baseline'!$D$1:$O$258,7,FALSE))))</f>
        <v/>
      </c>
      <c r="J54" s="520" t="str">
        <f>IF(E54="","",IF(ISNA(VLOOKUP($E54,'A-1 Site Habitat Baseline'!$D$1:$O$258,8,FALSE)),"",(VLOOKUP($E54,'A-1 Site Habitat Baseline'!$D$1:$O$258,8,FALSE))))</f>
        <v/>
      </c>
      <c r="K54" s="520" t="str">
        <f>IF(E54="","",IF(ISNA(VLOOKUP($E54,'A-1 Site Habitat Baseline'!$D$1:$O$258,9,FALSE)),"",(VLOOKUP($E54,'A-1 Site Habitat Baseline'!$D$1:$O$258,9,FALSE))))</f>
        <v/>
      </c>
      <c r="L54" s="520" t="str">
        <f>IF(E54="","",IF(ISNA(VLOOKUP($E54,'A-1 Site Habitat Baseline'!$D$1:$O$258,11,FALSE)),"",(VLOOKUP($E54,'A-1 Site Habitat Baseline'!$D$1:$O$258,11,FALSE))))</f>
        <v/>
      </c>
      <c r="M54" s="520" t="str">
        <f>IF(E54="","",IF(ISNA(VLOOKUP($E54,'A-1 Site Habitat Baseline'!$D$1:$O$258,12,FALSE)),"",(VLOOKUP($E54,'A-1 Site Habitat Baseline'!$D$1:$O$258,12,FALSE))))</f>
        <v/>
      </c>
      <c r="N54" s="532" t="str">
        <f>IF(E54="","",IF(ISNA(VLOOKUP($E54,'A-1 Site Habitat Baseline'!$D$1:$X$258,14,FALSE)),"",(VLOOKUP($E54,'A-1 Site Habitat Baseline'!$D$1:$X$258,14,FALSE))))</f>
        <v/>
      </c>
      <c r="O54" s="524" t="str">
        <f>IF(E54="","",IF(ISNA(VLOOKUP($E54,'A-1 Site Habitat Baseline'!$D$1:$X$258,16,FALSE)),"",(VLOOKUP($E54,'A-1 Site Habitat Baseline'!$D$1:$X$258,13,FALSE))))</f>
        <v/>
      </c>
      <c r="P54" s="237" t="str">
        <f>IFERROR(INDEX('G-1 All Habitats'!$AG$3:$AG$15,MATCH(Q54,'G-1 All Habitats'!$AF$3:$AF$15,0)),"")</f>
        <v/>
      </c>
      <c r="Q54" s="238" t="str">
        <f t="shared" si="2"/>
        <v/>
      </c>
      <c r="R54" s="238" t="str">
        <f t="shared" si="11"/>
        <v/>
      </c>
      <c r="S54" s="392" t="str">
        <f>IFERROR(INDEX('G-1 All Habitats'!$B$3:$B$129,MATCH(R54,'G-1 All Habitats'!$A$3:$A$129,0)),"")</f>
        <v/>
      </c>
      <c r="T54" s="498" t="str">
        <f t="shared" si="3"/>
        <v/>
      </c>
      <c r="U54" s="499" t="str">
        <f t="shared" si="4"/>
        <v/>
      </c>
      <c r="V54" s="537" t="str">
        <f t="shared" si="5"/>
        <v/>
      </c>
      <c r="W54" s="520" t="str">
        <f>IF(S54="","",VLOOKUP(S54,'G-1 All Habitats'!$B$2:$M$129,10,FALSE))</f>
        <v/>
      </c>
      <c r="X54" s="520" t="str">
        <f>IFERROR(VLOOKUP(W54,'G-1 All Habitats'!$V$3:$W$7,2,FALSE),"")</f>
        <v/>
      </c>
      <c r="Y54" s="79"/>
      <c r="Z54" s="524" t="str">
        <f>IFERROR(INDEX('G-8 Condition Look up'!$A$3:$H$130,MATCH(S54,'G-8 Condition Look up'!$A$3:$A$130,0),MATCH(Y54,'G-8 Condition Look up'!$A$3:$H$3,0)),"")</f>
        <v/>
      </c>
      <c r="AA54" s="71"/>
      <c r="AB54" s="520" t="str">
        <f>IF(AA54="","",IF(VLOOKUP(AA54,'G-3 Multipliers'!$L$3:$N$6,2,FALSE)=0,"Spatial Data Missing ⚠",VLOOKUP(AA54,'G-3 Multipliers'!$L$3:$N$6,2,FALSE)))</f>
        <v/>
      </c>
      <c r="AC54" s="524" t="str">
        <f>IF(AA54="","",IF(VLOOKUP(AA54,'G-3 Multipliers'!$L$3:$N$6,3,FALSE)=0,"Spatial Data Missing ⚠",VLOOKUP(AA54,'G-3 Multipliers'!$L$3:$N$6,3,FALSE)))</f>
        <v/>
      </c>
      <c r="AD54" s="539" t="str">
        <f t="shared" si="1"/>
        <v/>
      </c>
      <c r="AE54" s="82"/>
      <c r="AF54" s="82"/>
      <c r="AG54" s="507" t="str">
        <f t="shared" si="6"/>
        <v/>
      </c>
      <c r="AH54" s="521" t="str">
        <f t="shared" si="7"/>
        <v/>
      </c>
      <c r="AI54" s="522" t="str">
        <f>IF(AH54="Check Data","Check Data",IFERROR(VLOOKUP(AH54,'G-4 Temporal multipliers'!$A$4:$C$36,3,FALSE),""))</f>
        <v/>
      </c>
      <c r="AJ54" s="498" t="str">
        <f>IF(S54="","",VLOOKUP(S54,'G-3 Multipliers'!$A$2:$E$129,4,FALSE))</f>
        <v/>
      </c>
      <c r="AK54" s="507" t="str">
        <f t="shared" si="8"/>
        <v/>
      </c>
      <c r="AL54" s="507" t="str">
        <f t="shared" si="9"/>
        <v/>
      </c>
      <c r="AM54" s="540" t="str">
        <f>IFERROR(IF(F54="","",IF(AH54="Check Data ⚠","Check Data ⚠",VLOOKUP(AL54, 'G-3 Multipliers'!$P$2:$Q$6,2,FALSE))),"")</f>
        <v/>
      </c>
      <c r="AN54" s="513" t="str">
        <f t="shared" si="10"/>
        <v/>
      </c>
      <c r="AO54" s="239"/>
      <c r="AP54" s="240"/>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1" t="str">
        <f>'A-1 Site Habitat Baseline'!AL54</f>
        <v/>
      </c>
      <c r="F55" s="520" t="str">
        <f>IF(E55="","",IF(ISNA(VLOOKUP($E55,'A-1 Site Habitat Baseline'!$D$1:$O$258,4,FALSE)),"",(VLOOKUP($E55,'A-1 Site Habitat Baseline'!$D$1:$O$258,4,FALSE))))</f>
        <v/>
      </c>
      <c r="G55" s="520" t="str">
        <f>IF(E55="","",IF(ISNA(VLOOKUP($E55,'A-1 Site Habitat Baseline'!$D$1:$O$258,5,FALSE)),"",(VLOOKUP($E55,'A-1 Site Habitat Baseline'!$D$1:$O$258,5,FALSE))))</f>
        <v/>
      </c>
      <c r="H55" s="520" t="str">
        <f>IF(E55="","",IF(ISNA(VLOOKUP($E55,'A-1 Site Habitat Baseline'!$D$1:$O$258,6,FALSE)),"",(VLOOKUP($E55,'A-1 Site Habitat Baseline'!$D$1:$O$258,6,FALSE))))</f>
        <v/>
      </c>
      <c r="I55" s="520" t="str">
        <f>IF(E55="","",IF(ISNA(VLOOKUP($E55,'A-1 Site Habitat Baseline'!$D$1:$O$258,7,FALSE)),"",(VLOOKUP($E55,'A-1 Site Habitat Baseline'!$D$1:$O$258,7,FALSE))))</f>
        <v/>
      </c>
      <c r="J55" s="520" t="str">
        <f>IF(E55="","",IF(ISNA(VLOOKUP($E55,'A-1 Site Habitat Baseline'!$D$1:$O$258,8,FALSE)),"",(VLOOKUP($E55,'A-1 Site Habitat Baseline'!$D$1:$O$258,8,FALSE))))</f>
        <v/>
      </c>
      <c r="K55" s="520" t="str">
        <f>IF(E55="","",IF(ISNA(VLOOKUP($E55,'A-1 Site Habitat Baseline'!$D$1:$O$258,9,FALSE)),"",(VLOOKUP($E55,'A-1 Site Habitat Baseline'!$D$1:$O$258,9,FALSE))))</f>
        <v/>
      </c>
      <c r="L55" s="520" t="str">
        <f>IF(E55="","",IF(ISNA(VLOOKUP($E55,'A-1 Site Habitat Baseline'!$D$1:$O$258,11,FALSE)),"",(VLOOKUP($E55,'A-1 Site Habitat Baseline'!$D$1:$O$258,11,FALSE))))</f>
        <v/>
      </c>
      <c r="M55" s="520" t="str">
        <f>IF(E55="","",IF(ISNA(VLOOKUP($E55,'A-1 Site Habitat Baseline'!$D$1:$O$258,12,FALSE)),"",(VLOOKUP($E55,'A-1 Site Habitat Baseline'!$D$1:$O$258,12,FALSE))))</f>
        <v/>
      </c>
      <c r="N55" s="532" t="str">
        <f>IF(E55="","",IF(ISNA(VLOOKUP($E55,'A-1 Site Habitat Baseline'!$D$1:$X$258,14,FALSE)),"",(VLOOKUP($E55,'A-1 Site Habitat Baseline'!$D$1:$X$258,14,FALSE))))</f>
        <v/>
      </c>
      <c r="O55" s="524" t="str">
        <f>IF(E55="","",IF(ISNA(VLOOKUP($E55,'A-1 Site Habitat Baseline'!$D$1:$X$258,16,FALSE)),"",(VLOOKUP($E55,'A-1 Site Habitat Baseline'!$D$1:$X$258,13,FALSE))))</f>
        <v/>
      </c>
      <c r="P55" s="237" t="str">
        <f>IFERROR(INDEX('G-1 All Habitats'!$AG$3:$AG$15,MATCH(Q55,'G-1 All Habitats'!$AF$3:$AF$15,0)),"")</f>
        <v/>
      </c>
      <c r="Q55" s="238" t="str">
        <f t="shared" si="2"/>
        <v/>
      </c>
      <c r="R55" s="238" t="str">
        <f t="shared" si="11"/>
        <v/>
      </c>
      <c r="S55" s="392" t="str">
        <f>IFERROR(INDEX('G-1 All Habitats'!$B$3:$B$129,MATCH(R55,'G-1 All Habitats'!$A$3:$A$129,0)),"")</f>
        <v/>
      </c>
      <c r="T55" s="498" t="str">
        <f t="shared" si="3"/>
        <v/>
      </c>
      <c r="U55" s="499" t="str">
        <f t="shared" si="4"/>
        <v/>
      </c>
      <c r="V55" s="537" t="str">
        <f t="shared" si="5"/>
        <v/>
      </c>
      <c r="W55" s="520" t="str">
        <f>IF(S55="","",VLOOKUP(S55,'G-1 All Habitats'!$B$2:$M$129,10,FALSE))</f>
        <v/>
      </c>
      <c r="X55" s="520" t="str">
        <f>IFERROR(VLOOKUP(W55,'G-1 All Habitats'!$V$3:$W$7,2,FALSE),"")</f>
        <v/>
      </c>
      <c r="Y55" s="79"/>
      <c r="Z55" s="524" t="str">
        <f>IFERROR(INDEX('G-8 Condition Look up'!$A$3:$H$130,MATCH(S55,'G-8 Condition Look up'!$A$3:$A$130,0),MATCH(Y55,'G-8 Condition Look up'!$A$3:$H$3,0)),"")</f>
        <v/>
      </c>
      <c r="AA55" s="71"/>
      <c r="AB55" s="520" t="str">
        <f>IF(AA55="","",IF(VLOOKUP(AA55,'G-3 Multipliers'!$L$3:$N$6,2,FALSE)=0,"Spatial Data Missing ⚠",VLOOKUP(AA55,'G-3 Multipliers'!$L$3:$N$6,2,FALSE)))</f>
        <v/>
      </c>
      <c r="AC55" s="524" t="str">
        <f>IF(AA55="","",IF(VLOOKUP(AA55,'G-3 Multipliers'!$L$3:$N$6,3,FALSE)=0,"Spatial Data Missing ⚠",VLOOKUP(AA55,'G-3 Multipliers'!$L$3:$N$6,3,FALSE)))</f>
        <v/>
      </c>
      <c r="AD55" s="539" t="str">
        <f t="shared" si="1"/>
        <v/>
      </c>
      <c r="AE55" s="82"/>
      <c r="AF55" s="82"/>
      <c r="AG55" s="507" t="str">
        <f t="shared" si="6"/>
        <v/>
      </c>
      <c r="AH55" s="521" t="str">
        <f t="shared" si="7"/>
        <v/>
      </c>
      <c r="AI55" s="522" t="str">
        <f>IF(AH55="Check Data","Check Data",IFERROR(VLOOKUP(AH55,'G-4 Temporal multipliers'!$A$4:$C$36,3,FALSE),""))</f>
        <v/>
      </c>
      <c r="AJ55" s="498" t="str">
        <f>IF(S55="","",VLOOKUP(S55,'G-3 Multipliers'!$A$2:$E$129,4,FALSE))</f>
        <v/>
      </c>
      <c r="AK55" s="507" t="str">
        <f t="shared" si="8"/>
        <v/>
      </c>
      <c r="AL55" s="507" t="str">
        <f t="shared" si="9"/>
        <v/>
      </c>
      <c r="AM55" s="540" t="str">
        <f>IFERROR(IF(F55="","",IF(AH55="Check Data ⚠","Check Data ⚠",VLOOKUP(AL55, 'G-3 Multipliers'!$P$2:$Q$6,2,FALSE))),"")</f>
        <v/>
      </c>
      <c r="AN55" s="513" t="str">
        <f t="shared" si="10"/>
        <v/>
      </c>
      <c r="AO55" s="239"/>
      <c r="AP55" s="240"/>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1" t="str">
        <f>'A-1 Site Habitat Baseline'!AL55</f>
        <v/>
      </c>
      <c r="F56" s="520" t="str">
        <f>IF(E56="","",IF(ISNA(VLOOKUP($E56,'A-1 Site Habitat Baseline'!$D$1:$O$258,4,FALSE)),"",(VLOOKUP($E56,'A-1 Site Habitat Baseline'!$D$1:$O$258,4,FALSE))))</f>
        <v/>
      </c>
      <c r="G56" s="520" t="str">
        <f>IF(E56="","",IF(ISNA(VLOOKUP($E56,'A-1 Site Habitat Baseline'!$D$1:$O$258,5,FALSE)),"",(VLOOKUP($E56,'A-1 Site Habitat Baseline'!$D$1:$O$258,5,FALSE))))</f>
        <v/>
      </c>
      <c r="H56" s="520" t="str">
        <f>IF(E56="","",IF(ISNA(VLOOKUP($E56,'A-1 Site Habitat Baseline'!$D$1:$O$258,6,FALSE)),"",(VLOOKUP($E56,'A-1 Site Habitat Baseline'!$D$1:$O$258,6,FALSE))))</f>
        <v/>
      </c>
      <c r="I56" s="520" t="str">
        <f>IF(E56="","",IF(ISNA(VLOOKUP($E56,'A-1 Site Habitat Baseline'!$D$1:$O$258,7,FALSE)),"",(VLOOKUP($E56,'A-1 Site Habitat Baseline'!$D$1:$O$258,7,FALSE))))</f>
        <v/>
      </c>
      <c r="J56" s="520" t="str">
        <f>IF(E56="","",IF(ISNA(VLOOKUP($E56,'A-1 Site Habitat Baseline'!$D$1:$O$258,8,FALSE)),"",(VLOOKUP($E56,'A-1 Site Habitat Baseline'!$D$1:$O$258,8,FALSE))))</f>
        <v/>
      </c>
      <c r="K56" s="520" t="str">
        <f>IF(E56="","",IF(ISNA(VLOOKUP($E56,'A-1 Site Habitat Baseline'!$D$1:$O$258,9,FALSE)),"",(VLOOKUP($E56,'A-1 Site Habitat Baseline'!$D$1:$O$258,9,FALSE))))</f>
        <v/>
      </c>
      <c r="L56" s="520" t="str">
        <f>IF(E56="","",IF(ISNA(VLOOKUP($E56,'A-1 Site Habitat Baseline'!$D$1:$O$258,11,FALSE)),"",(VLOOKUP($E56,'A-1 Site Habitat Baseline'!$D$1:$O$258,11,FALSE))))</f>
        <v/>
      </c>
      <c r="M56" s="520" t="str">
        <f>IF(E56="","",IF(ISNA(VLOOKUP($E56,'A-1 Site Habitat Baseline'!$D$1:$O$258,12,FALSE)),"",(VLOOKUP($E56,'A-1 Site Habitat Baseline'!$D$1:$O$258,12,FALSE))))</f>
        <v/>
      </c>
      <c r="N56" s="532" t="str">
        <f>IF(E56="","",IF(ISNA(VLOOKUP($E56,'A-1 Site Habitat Baseline'!$D$1:$X$258,14,FALSE)),"",(VLOOKUP($E56,'A-1 Site Habitat Baseline'!$D$1:$X$258,14,FALSE))))</f>
        <v/>
      </c>
      <c r="O56" s="524" t="str">
        <f>IF(E56="","",IF(ISNA(VLOOKUP($E56,'A-1 Site Habitat Baseline'!$D$1:$X$258,16,FALSE)),"",(VLOOKUP($E56,'A-1 Site Habitat Baseline'!$D$1:$X$258,13,FALSE))))</f>
        <v/>
      </c>
      <c r="P56" s="237" t="str">
        <f>IFERROR(INDEX('G-1 All Habitats'!$AG$3:$AG$15,MATCH(Q56,'G-1 All Habitats'!$AF$3:$AF$15,0)),"")</f>
        <v/>
      </c>
      <c r="Q56" s="238" t="str">
        <f t="shared" si="2"/>
        <v/>
      </c>
      <c r="R56" s="238" t="str">
        <f t="shared" si="11"/>
        <v/>
      </c>
      <c r="S56" s="392" t="str">
        <f>IFERROR(INDEX('G-1 All Habitats'!$B$3:$B$129,MATCH(R56,'G-1 All Habitats'!$A$3:$A$129,0)),"")</f>
        <v/>
      </c>
      <c r="T56" s="498" t="str">
        <f t="shared" si="3"/>
        <v/>
      </c>
      <c r="U56" s="499" t="str">
        <f t="shared" si="4"/>
        <v/>
      </c>
      <c r="V56" s="537" t="str">
        <f t="shared" si="5"/>
        <v/>
      </c>
      <c r="W56" s="520" t="str">
        <f>IF(S56="","",VLOOKUP(S56,'G-1 All Habitats'!$B$2:$M$129,10,FALSE))</f>
        <v/>
      </c>
      <c r="X56" s="520" t="str">
        <f>IFERROR(VLOOKUP(W56,'G-1 All Habitats'!$V$3:$W$7,2,FALSE),"")</f>
        <v/>
      </c>
      <c r="Y56" s="79"/>
      <c r="Z56" s="524" t="str">
        <f>IFERROR(INDEX('G-8 Condition Look up'!$A$3:$H$130,MATCH(S56,'G-8 Condition Look up'!$A$3:$A$130,0),MATCH(Y56,'G-8 Condition Look up'!$A$3:$H$3,0)),"")</f>
        <v/>
      </c>
      <c r="AA56" s="71"/>
      <c r="AB56" s="520" t="str">
        <f>IF(AA56="","",IF(VLOOKUP(AA56,'G-3 Multipliers'!$L$3:$N$6,2,FALSE)=0,"Spatial Data Missing ⚠",VLOOKUP(AA56,'G-3 Multipliers'!$L$3:$N$6,2,FALSE)))</f>
        <v/>
      </c>
      <c r="AC56" s="524" t="str">
        <f>IF(AA56="","",IF(VLOOKUP(AA56,'G-3 Multipliers'!$L$3:$N$6,3,FALSE)=0,"Spatial Data Missing ⚠",VLOOKUP(AA56,'G-3 Multipliers'!$L$3:$N$6,3,FALSE)))</f>
        <v/>
      </c>
      <c r="AD56" s="539" t="str">
        <f t="shared" si="1"/>
        <v/>
      </c>
      <c r="AE56" s="82"/>
      <c r="AF56" s="82"/>
      <c r="AG56" s="507" t="str">
        <f t="shared" si="6"/>
        <v/>
      </c>
      <c r="AH56" s="521" t="str">
        <f t="shared" si="7"/>
        <v/>
      </c>
      <c r="AI56" s="522" t="str">
        <f>IF(AH56="Check Data","Check Data",IFERROR(VLOOKUP(AH56,'G-4 Temporal multipliers'!$A$4:$C$36,3,FALSE),""))</f>
        <v/>
      </c>
      <c r="AJ56" s="498" t="str">
        <f>IF(S56="","",VLOOKUP(S56,'G-3 Multipliers'!$A$2:$E$129,4,FALSE))</f>
        <v/>
      </c>
      <c r="AK56" s="507" t="str">
        <f t="shared" si="8"/>
        <v/>
      </c>
      <c r="AL56" s="507" t="str">
        <f t="shared" si="9"/>
        <v/>
      </c>
      <c r="AM56" s="540" t="str">
        <f>IFERROR(IF(F56="","",IF(AH56="Check Data ⚠","Check Data ⚠",VLOOKUP(AL56, 'G-3 Multipliers'!$P$2:$Q$6,2,FALSE))),"")</f>
        <v/>
      </c>
      <c r="AN56" s="513" t="str">
        <f t="shared" si="10"/>
        <v/>
      </c>
      <c r="AO56" s="239"/>
      <c r="AP56" s="240"/>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1" t="str">
        <f>'A-1 Site Habitat Baseline'!AL56</f>
        <v/>
      </c>
      <c r="F57" s="520" t="str">
        <f>IF(E57="","",IF(ISNA(VLOOKUP($E57,'A-1 Site Habitat Baseline'!$D$1:$O$258,4,FALSE)),"",(VLOOKUP($E57,'A-1 Site Habitat Baseline'!$D$1:$O$258,4,FALSE))))</f>
        <v/>
      </c>
      <c r="G57" s="520" t="str">
        <f>IF(E57="","",IF(ISNA(VLOOKUP($E57,'A-1 Site Habitat Baseline'!$D$1:$O$258,5,FALSE)),"",(VLOOKUP($E57,'A-1 Site Habitat Baseline'!$D$1:$O$258,5,FALSE))))</f>
        <v/>
      </c>
      <c r="H57" s="520" t="str">
        <f>IF(E57="","",IF(ISNA(VLOOKUP($E57,'A-1 Site Habitat Baseline'!$D$1:$O$258,6,FALSE)),"",(VLOOKUP($E57,'A-1 Site Habitat Baseline'!$D$1:$O$258,6,FALSE))))</f>
        <v/>
      </c>
      <c r="I57" s="520" t="str">
        <f>IF(E57="","",IF(ISNA(VLOOKUP($E57,'A-1 Site Habitat Baseline'!$D$1:$O$258,7,FALSE)),"",(VLOOKUP($E57,'A-1 Site Habitat Baseline'!$D$1:$O$258,7,FALSE))))</f>
        <v/>
      </c>
      <c r="J57" s="520" t="str">
        <f>IF(E57="","",IF(ISNA(VLOOKUP($E57,'A-1 Site Habitat Baseline'!$D$1:$O$258,8,FALSE)),"",(VLOOKUP($E57,'A-1 Site Habitat Baseline'!$D$1:$O$258,8,FALSE))))</f>
        <v/>
      </c>
      <c r="K57" s="520" t="str">
        <f>IF(E57="","",IF(ISNA(VLOOKUP($E57,'A-1 Site Habitat Baseline'!$D$1:$O$258,9,FALSE)),"",(VLOOKUP($E57,'A-1 Site Habitat Baseline'!$D$1:$O$258,9,FALSE))))</f>
        <v/>
      </c>
      <c r="L57" s="520" t="str">
        <f>IF(E57="","",IF(ISNA(VLOOKUP($E57,'A-1 Site Habitat Baseline'!$D$1:$O$258,11,FALSE)),"",(VLOOKUP($E57,'A-1 Site Habitat Baseline'!$D$1:$O$258,11,FALSE))))</f>
        <v/>
      </c>
      <c r="M57" s="520" t="str">
        <f>IF(E57="","",IF(ISNA(VLOOKUP($E57,'A-1 Site Habitat Baseline'!$D$1:$O$258,12,FALSE)),"",(VLOOKUP($E57,'A-1 Site Habitat Baseline'!$D$1:$O$258,12,FALSE))))</f>
        <v/>
      </c>
      <c r="N57" s="532" t="str">
        <f>IF(E57="","",IF(ISNA(VLOOKUP($E57,'A-1 Site Habitat Baseline'!$D$1:$X$258,14,FALSE)),"",(VLOOKUP($E57,'A-1 Site Habitat Baseline'!$D$1:$X$258,14,FALSE))))</f>
        <v/>
      </c>
      <c r="O57" s="524" t="str">
        <f>IF(E57="","",IF(ISNA(VLOOKUP($E57,'A-1 Site Habitat Baseline'!$D$1:$X$258,16,FALSE)),"",(VLOOKUP($E57,'A-1 Site Habitat Baseline'!$D$1:$X$258,13,FALSE))))</f>
        <v/>
      </c>
      <c r="P57" s="237" t="str">
        <f>IFERROR(INDEX('G-1 All Habitats'!$AG$3:$AG$15,MATCH(Q57,'G-1 All Habitats'!$AF$3:$AF$15,0)),"")</f>
        <v/>
      </c>
      <c r="Q57" s="238" t="str">
        <f t="shared" si="2"/>
        <v/>
      </c>
      <c r="R57" s="238" t="str">
        <f t="shared" si="11"/>
        <v/>
      </c>
      <c r="S57" s="392" t="str">
        <f>IFERROR(INDEX('G-1 All Habitats'!$B$3:$B$129,MATCH(R57,'G-1 All Habitats'!$A$3:$A$129,0)),"")</f>
        <v/>
      </c>
      <c r="T57" s="498" t="str">
        <f t="shared" si="3"/>
        <v/>
      </c>
      <c r="U57" s="499" t="str">
        <f t="shared" si="4"/>
        <v/>
      </c>
      <c r="V57" s="537" t="str">
        <f t="shared" si="5"/>
        <v/>
      </c>
      <c r="W57" s="520" t="str">
        <f>IF(S57="","",VLOOKUP(S57,'G-1 All Habitats'!$B$2:$M$129,10,FALSE))</f>
        <v/>
      </c>
      <c r="X57" s="520" t="str">
        <f>IFERROR(VLOOKUP(W57,'G-1 All Habitats'!$V$3:$W$7,2,FALSE),"")</f>
        <v/>
      </c>
      <c r="Y57" s="79"/>
      <c r="Z57" s="524" t="str">
        <f>IFERROR(INDEX('G-8 Condition Look up'!$A$3:$H$130,MATCH(S57,'G-8 Condition Look up'!$A$3:$A$130,0),MATCH(Y57,'G-8 Condition Look up'!$A$3:$H$3,0)),"")</f>
        <v/>
      </c>
      <c r="AA57" s="71"/>
      <c r="AB57" s="520" t="str">
        <f>IF(AA57="","",IF(VLOOKUP(AA57,'G-3 Multipliers'!$L$3:$N$6,2,FALSE)=0,"Spatial Data Missing ⚠",VLOOKUP(AA57,'G-3 Multipliers'!$L$3:$N$6,2,FALSE)))</f>
        <v/>
      </c>
      <c r="AC57" s="524" t="str">
        <f>IF(AA57="","",IF(VLOOKUP(AA57,'G-3 Multipliers'!$L$3:$N$6,3,FALSE)=0,"Spatial Data Missing ⚠",VLOOKUP(AA57,'G-3 Multipliers'!$L$3:$N$6,3,FALSE)))</f>
        <v/>
      </c>
      <c r="AD57" s="539" t="str">
        <f t="shared" si="1"/>
        <v/>
      </c>
      <c r="AE57" s="82"/>
      <c r="AF57" s="82"/>
      <c r="AG57" s="507" t="str">
        <f t="shared" si="6"/>
        <v/>
      </c>
      <c r="AH57" s="521" t="str">
        <f t="shared" si="7"/>
        <v/>
      </c>
      <c r="AI57" s="522" t="str">
        <f>IF(AH57="Check Data","Check Data",IFERROR(VLOOKUP(AH57,'G-4 Temporal multipliers'!$A$4:$C$36,3,FALSE),""))</f>
        <v/>
      </c>
      <c r="AJ57" s="498" t="str">
        <f>IF(S57="","",VLOOKUP(S57,'G-3 Multipliers'!$A$2:$E$129,4,FALSE))</f>
        <v/>
      </c>
      <c r="AK57" s="507" t="str">
        <f t="shared" si="8"/>
        <v/>
      </c>
      <c r="AL57" s="507" t="str">
        <f t="shared" si="9"/>
        <v/>
      </c>
      <c r="AM57" s="540" t="str">
        <f>IFERROR(IF(F57="","",IF(AH57="Check Data ⚠","Check Data ⚠",VLOOKUP(AL57, 'G-3 Multipliers'!$P$2:$Q$6,2,FALSE))),"")</f>
        <v/>
      </c>
      <c r="AN57" s="513" t="str">
        <f t="shared" si="10"/>
        <v/>
      </c>
      <c r="AO57" s="239"/>
      <c r="AP57" s="240"/>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1" t="str">
        <f>'A-1 Site Habitat Baseline'!AL57</f>
        <v/>
      </c>
      <c r="F58" s="520" t="str">
        <f>IF(E58="","",IF(ISNA(VLOOKUP($E58,'A-1 Site Habitat Baseline'!$D$1:$O$258,4,FALSE)),"",(VLOOKUP($E58,'A-1 Site Habitat Baseline'!$D$1:$O$258,4,FALSE))))</f>
        <v/>
      </c>
      <c r="G58" s="520" t="str">
        <f>IF(E58="","",IF(ISNA(VLOOKUP($E58,'A-1 Site Habitat Baseline'!$D$1:$O$258,5,FALSE)),"",(VLOOKUP($E58,'A-1 Site Habitat Baseline'!$D$1:$O$258,5,FALSE))))</f>
        <v/>
      </c>
      <c r="H58" s="520" t="str">
        <f>IF(E58="","",IF(ISNA(VLOOKUP($E58,'A-1 Site Habitat Baseline'!$D$1:$O$258,6,FALSE)),"",(VLOOKUP($E58,'A-1 Site Habitat Baseline'!$D$1:$O$258,6,FALSE))))</f>
        <v/>
      </c>
      <c r="I58" s="520" t="str">
        <f>IF(E58="","",IF(ISNA(VLOOKUP($E58,'A-1 Site Habitat Baseline'!$D$1:$O$258,7,FALSE)),"",(VLOOKUP($E58,'A-1 Site Habitat Baseline'!$D$1:$O$258,7,FALSE))))</f>
        <v/>
      </c>
      <c r="J58" s="520" t="str">
        <f>IF(E58="","",IF(ISNA(VLOOKUP($E58,'A-1 Site Habitat Baseline'!$D$1:$O$258,8,FALSE)),"",(VLOOKUP($E58,'A-1 Site Habitat Baseline'!$D$1:$O$258,8,FALSE))))</f>
        <v/>
      </c>
      <c r="K58" s="520" t="str">
        <f>IF(E58="","",IF(ISNA(VLOOKUP($E58,'A-1 Site Habitat Baseline'!$D$1:$O$258,9,FALSE)),"",(VLOOKUP($E58,'A-1 Site Habitat Baseline'!$D$1:$O$258,9,FALSE))))</f>
        <v/>
      </c>
      <c r="L58" s="520" t="str">
        <f>IF(E58="","",IF(ISNA(VLOOKUP($E58,'A-1 Site Habitat Baseline'!$D$1:$O$258,11,FALSE)),"",(VLOOKUP($E58,'A-1 Site Habitat Baseline'!$D$1:$O$258,11,FALSE))))</f>
        <v/>
      </c>
      <c r="M58" s="520" t="str">
        <f>IF(E58="","",IF(ISNA(VLOOKUP($E58,'A-1 Site Habitat Baseline'!$D$1:$O$258,12,FALSE)),"",(VLOOKUP($E58,'A-1 Site Habitat Baseline'!$D$1:$O$258,12,FALSE))))</f>
        <v/>
      </c>
      <c r="N58" s="532" t="str">
        <f>IF(E58="","",IF(ISNA(VLOOKUP($E58,'A-1 Site Habitat Baseline'!$D$1:$X$258,14,FALSE)),"",(VLOOKUP($E58,'A-1 Site Habitat Baseline'!$D$1:$X$258,14,FALSE))))</f>
        <v/>
      </c>
      <c r="O58" s="524" t="str">
        <f>IF(E58="","",IF(ISNA(VLOOKUP($E58,'A-1 Site Habitat Baseline'!$D$1:$X$258,16,FALSE)),"",(VLOOKUP($E58,'A-1 Site Habitat Baseline'!$D$1:$X$258,13,FALSE))))</f>
        <v/>
      </c>
      <c r="P58" s="237" t="str">
        <f>IFERROR(INDEX('G-1 All Habitats'!$AG$3:$AG$15,MATCH(Q58,'G-1 All Habitats'!$AF$3:$AF$15,0)),"")</f>
        <v/>
      </c>
      <c r="Q58" s="238" t="str">
        <f t="shared" si="2"/>
        <v/>
      </c>
      <c r="R58" s="238" t="str">
        <f t="shared" si="11"/>
        <v/>
      </c>
      <c r="S58" s="392" t="str">
        <f>IFERROR(INDEX('G-1 All Habitats'!$B$3:$B$129,MATCH(R58,'G-1 All Habitats'!$A$3:$A$129,0)),"")</f>
        <v/>
      </c>
      <c r="T58" s="498" t="str">
        <f t="shared" si="3"/>
        <v/>
      </c>
      <c r="U58" s="499" t="str">
        <f t="shared" si="4"/>
        <v/>
      </c>
      <c r="V58" s="537" t="str">
        <f t="shared" si="5"/>
        <v/>
      </c>
      <c r="W58" s="520" t="str">
        <f>IF(S58="","",VLOOKUP(S58,'G-1 All Habitats'!$B$2:$M$129,10,FALSE))</f>
        <v/>
      </c>
      <c r="X58" s="520" t="str">
        <f>IFERROR(VLOOKUP(W58,'G-1 All Habitats'!$V$3:$W$7,2,FALSE),"")</f>
        <v/>
      </c>
      <c r="Y58" s="79"/>
      <c r="Z58" s="524" t="str">
        <f>IFERROR(INDEX('G-8 Condition Look up'!$A$3:$H$130,MATCH(S58,'G-8 Condition Look up'!$A$3:$A$130,0),MATCH(Y58,'G-8 Condition Look up'!$A$3:$H$3,0)),"")</f>
        <v/>
      </c>
      <c r="AA58" s="71"/>
      <c r="AB58" s="520" t="str">
        <f>IF(AA58="","",IF(VLOOKUP(AA58,'G-3 Multipliers'!$L$3:$N$6,2,FALSE)=0,"Spatial Data Missing ⚠",VLOOKUP(AA58,'G-3 Multipliers'!$L$3:$N$6,2,FALSE)))</f>
        <v/>
      </c>
      <c r="AC58" s="524" t="str">
        <f>IF(AA58="","",IF(VLOOKUP(AA58,'G-3 Multipliers'!$L$3:$N$6,3,FALSE)=0,"Spatial Data Missing ⚠",VLOOKUP(AA58,'G-3 Multipliers'!$L$3:$N$6,3,FALSE)))</f>
        <v/>
      </c>
      <c r="AD58" s="539" t="str">
        <f t="shared" si="1"/>
        <v/>
      </c>
      <c r="AE58" s="82"/>
      <c r="AF58" s="82"/>
      <c r="AG58" s="507" t="str">
        <f t="shared" si="6"/>
        <v/>
      </c>
      <c r="AH58" s="521" t="str">
        <f t="shared" si="7"/>
        <v/>
      </c>
      <c r="AI58" s="522" t="str">
        <f>IF(AH58="Check Data","Check Data",IFERROR(VLOOKUP(AH58,'G-4 Temporal multipliers'!$A$4:$C$36,3,FALSE),""))</f>
        <v/>
      </c>
      <c r="AJ58" s="498" t="str">
        <f>IF(S58="","",VLOOKUP(S58,'G-3 Multipliers'!$A$2:$E$129,4,FALSE))</f>
        <v/>
      </c>
      <c r="AK58" s="507" t="str">
        <f t="shared" si="8"/>
        <v/>
      </c>
      <c r="AL58" s="507" t="str">
        <f t="shared" si="9"/>
        <v/>
      </c>
      <c r="AM58" s="540" t="str">
        <f>IFERROR(IF(F58="","",IF(AH58="Check Data ⚠","Check Data ⚠",VLOOKUP(AL58, 'G-3 Multipliers'!$P$2:$Q$6,2,FALSE))),"")</f>
        <v/>
      </c>
      <c r="AN58" s="513" t="str">
        <f t="shared" si="10"/>
        <v/>
      </c>
      <c r="AO58" s="239"/>
      <c r="AP58" s="240"/>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1" t="str">
        <f>'A-1 Site Habitat Baseline'!AL58</f>
        <v/>
      </c>
      <c r="F59" s="520" t="str">
        <f>IF(E59="","",IF(ISNA(VLOOKUP($E59,'A-1 Site Habitat Baseline'!$D$1:$O$258,4,FALSE)),"",(VLOOKUP($E59,'A-1 Site Habitat Baseline'!$D$1:$O$258,4,FALSE))))</f>
        <v/>
      </c>
      <c r="G59" s="520" t="str">
        <f>IF(E59="","",IF(ISNA(VLOOKUP($E59,'A-1 Site Habitat Baseline'!$D$1:$O$258,5,FALSE)),"",(VLOOKUP($E59,'A-1 Site Habitat Baseline'!$D$1:$O$258,5,FALSE))))</f>
        <v/>
      </c>
      <c r="H59" s="520" t="str">
        <f>IF(E59="","",IF(ISNA(VLOOKUP($E59,'A-1 Site Habitat Baseline'!$D$1:$O$258,6,FALSE)),"",(VLOOKUP($E59,'A-1 Site Habitat Baseline'!$D$1:$O$258,6,FALSE))))</f>
        <v/>
      </c>
      <c r="I59" s="520" t="str">
        <f>IF(E59="","",IF(ISNA(VLOOKUP($E59,'A-1 Site Habitat Baseline'!$D$1:$O$258,7,FALSE)),"",(VLOOKUP($E59,'A-1 Site Habitat Baseline'!$D$1:$O$258,7,FALSE))))</f>
        <v/>
      </c>
      <c r="J59" s="520" t="str">
        <f>IF(E59="","",IF(ISNA(VLOOKUP($E59,'A-1 Site Habitat Baseline'!$D$1:$O$258,8,FALSE)),"",(VLOOKUP($E59,'A-1 Site Habitat Baseline'!$D$1:$O$258,8,FALSE))))</f>
        <v/>
      </c>
      <c r="K59" s="520" t="str">
        <f>IF(E59="","",IF(ISNA(VLOOKUP($E59,'A-1 Site Habitat Baseline'!$D$1:$O$258,9,FALSE)),"",(VLOOKUP($E59,'A-1 Site Habitat Baseline'!$D$1:$O$258,9,FALSE))))</f>
        <v/>
      </c>
      <c r="L59" s="520" t="str">
        <f>IF(E59="","",IF(ISNA(VLOOKUP($E59,'A-1 Site Habitat Baseline'!$D$1:$O$258,11,FALSE)),"",(VLOOKUP($E59,'A-1 Site Habitat Baseline'!$D$1:$O$258,11,FALSE))))</f>
        <v/>
      </c>
      <c r="M59" s="520" t="str">
        <f>IF(E59="","",IF(ISNA(VLOOKUP($E59,'A-1 Site Habitat Baseline'!$D$1:$O$258,12,FALSE)),"",(VLOOKUP($E59,'A-1 Site Habitat Baseline'!$D$1:$O$258,12,FALSE))))</f>
        <v/>
      </c>
      <c r="N59" s="532" t="str">
        <f>IF(E59="","",IF(ISNA(VLOOKUP($E59,'A-1 Site Habitat Baseline'!$D$1:$X$258,14,FALSE)),"",(VLOOKUP($E59,'A-1 Site Habitat Baseline'!$D$1:$X$258,14,FALSE))))</f>
        <v/>
      </c>
      <c r="O59" s="524" t="str">
        <f>IF(E59="","",IF(ISNA(VLOOKUP($E59,'A-1 Site Habitat Baseline'!$D$1:$X$258,16,FALSE)),"",(VLOOKUP($E59,'A-1 Site Habitat Baseline'!$D$1:$X$258,13,FALSE))))</f>
        <v/>
      </c>
      <c r="P59" s="237" t="str">
        <f>IFERROR(INDEX('G-1 All Habitats'!$AG$3:$AG$15,MATCH(Q59,'G-1 All Habitats'!$AF$3:$AF$15,0)),"")</f>
        <v/>
      </c>
      <c r="Q59" s="238" t="str">
        <f t="shared" si="2"/>
        <v/>
      </c>
      <c r="R59" s="238" t="str">
        <f t="shared" si="11"/>
        <v/>
      </c>
      <c r="S59" s="392" t="str">
        <f>IFERROR(INDEX('G-1 All Habitats'!$B$3:$B$129,MATCH(R59,'G-1 All Habitats'!$A$3:$A$129,0)),"")</f>
        <v/>
      </c>
      <c r="T59" s="498" t="str">
        <f t="shared" si="3"/>
        <v/>
      </c>
      <c r="U59" s="499" t="str">
        <f t="shared" si="4"/>
        <v/>
      </c>
      <c r="V59" s="537" t="str">
        <f t="shared" si="5"/>
        <v/>
      </c>
      <c r="W59" s="520" t="str">
        <f>IF(S59="","",VLOOKUP(S59,'G-1 All Habitats'!$B$2:$M$129,10,FALSE))</f>
        <v/>
      </c>
      <c r="X59" s="520" t="str">
        <f>IFERROR(VLOOKUP(W59,'G-1 All Habitats'!$V$3:$W$7,2,FALSE),"")</f>
        <v/>
      </c>
      <c r="Y59" s="79"/>
      <c r="Z59" s="524" t="str">
        <f>IFERROR(INDEX('G-8 Condition Look up'!$A$3:$H$130,MATCH(S59,'G-8 Condition Look up'!$A$3:$A$130,0),MATCH(Y59,'G-8 Condition Look up'!$A$3:$H$3,0)),"")</f>
        <v/>
      </c>
      <c r="AA59" s="71"/>
      <c r="AB59" s="520" t="str">
        <f>IF(AA59="","",IF(VLOOKUP(AA59,'G-3 Multipliers'!$L$3:$N$6,2,FALSE)=0,"Spatial Data Missing ⚠",VLOOKUP(AA59,'G-3 Multipliers'!$L$3:$N$6,2,FALSE)))</f>
        <v/>
      </c>
      <c r="AC59" s="524" t="str">
        <f>IF(AA59="","",IF(VLOOKUP(AA59,'G-3 Multipliers'!$L$3:$N$6,3,FALSE)=0,"Spatial Data Missing ⚠",VLOOKUP(AA59,'G-3 Multipliers'!$L$3:$N$6,3,FALSE)))</f>
        <v/>
      </c>
      <c r="AD59" s="539" t="str">
        <f t="shared" si="1"/>
        <v/>
      </c>
      <c r="AE59" s="82"/>
      <c r="AF59" s="82"/>
      <c r="AG59" s="507" t="str">
        <f t="shared" si="6"/>
        <v/>
      </c>
      <c r="AH59" s="521" t="str">
        <f t="shared" si="7"/>
        <v/>
      </c>
      <c r="AI59" s="522" t="str">
        <f>IF(AH59="Check Data","Check Data",IFERROR(VLOOKUP(AH59,'G-4 Temporal multipliers'!$A$4:$C$36,3,FALSE),""))</f>
        <v/>
      </c>
      <c r="AJ59" s="498" t="str">
        <f>IF(S59="","",VLOOKUP(S59,'G-3 Multipliers'!$A$2:$E$129,4,FALSE))</f>
        <v/>
      </c>
      <c r="AK59" s="507" t="str">
        <f t="shared" si="8"/>
        <v/>
      </c>
      <c r="AL59" s="507" t="str">
        <f t="shared" si="9"/>
        <v/>
      </c>
      <c r="AM59" s="540" t="str">
        <f>IFERROR(IF(F59="","",IF(AH59="Check Data ⚠","Check Data ⚠",VLOOKUP(AL59, 'G-3 Multipliers'!$P$2:$Q$6,2,FALSE))),"")</f>
        <v/>
      </c>
      <c r="AN59" s="513" t="str">
        <f t="shared" si="10"/>
        <v/>
      </c>
      <c r="AO59" s="239"/>
      <c r="AP59" s="240"/>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1" t="str">
        <f>'A-1 Site Habitat Baseline'!AL59</f>
        <v/>
      </c>
      <c r="F60" s="520" t="str">
        <f>IF(E60="","",IF(ISNA(VLOOKUP($E60,'A-1 Site Habitat Baseline'!$D$1:$O$258,4,FALSE)),"",(VLOOKUP($E60,'A-1 Site Habitat Baseline'!$D$1:$O$258,4,FALSE))))</f>
        <v/>
      </c>
      <c r="G60" s="520" t="str">
        <f>IF(E60="","",IF(ISNA(VLOOKUP($E60,'A-1 Site Habitat Baseline'!$D$1:$O$258,5,FALSE)),"",(VLOOKUP($E60,'A-1 Site Habitat Baseline'!$D$1:$O$258,5,FALSE))))</f>
        <v/>
      </c>
      <c r="H60" s="520" t="str">
        <f>IF(E60="","",IF(ISNA(VLOOKUP($E60,'A-1 Site Habitat Baseline'!$D$1:$O$258,6,FALSE)),"",(VLOOKUP($E60,'A-1 Site Habitat Baseline'!$D$1:$O$258,6,FALSE))))</f>
        <v/>
      </c>
      <c r="I60" s="520" t="str">
        <f>IF(E60="","",IF(ISNA(VLOOKUP($E60,'A-1 Site Habitat Baseline'!$D$1:$O$258,7,FALSE)),"",(VLOOKUP($E60,'A-1 Site Habitat Baseline'!$D$1:$O$258,7,FALSE))))</f>
        <v/>
      </c>
      <c r="J60" s="520" t="str">
        <f>IF(E60="","",IF(ISNA(VLOOKUP($E60,'A-1 Site Habitat Baseline'!$D$1:$O$258,8,FALSE)),"",(VLOOKUP($E60,'A-1 Site Habitat Baseline'!$D$1:$O$258,8,FALSE))))</f>
        <v/>
      </c>
      <c r="K60" s="520" t="str">
        <f>IF(E60="","",IF(ISNA(VLOOKUP($E60,'A-1 Site Habitat Baseline'!$D$1:$O$258,9,FALSE)),"",(VLOOKUP($E60,'A-1 Site Habitat Baseline'!$D$1:$O$258,9,FALSE))))</f>
        <v/>
      </c>
      <c r="L60" s="520" t="str">
        <f>IF(E60="","",IF(ISNA(VLOOKUP($E60,'A-1 Site Habitat Baseline'!$D$1:$O$258,11,FALSE)),"",(VLOOKUP($E60,'A-1 Site Habitat Baseline'!$D$1:$O$258,11,FALSE))))</f>
        <v/>
      </c>
      <c r="M60" s="520" t="str">
        <f>IF(E60="","",IF(ISNA(VLOOKUP($E60,'A-1 Site Habitat Baseline'!$D$1:$O$258,12,FALSE)),"",(VLOOKUP($E60,'A-1 Site Habitat Baseline'!$D$1:$O$258,12,FALSE))))</f>
        <v/>
      </c>
      <c r="N60" s="532" t="str">
        <f>IF(E60="","",IF(ISNA(VLOOKUP($E60,'A-1 Site Habitat Baseline'!$D$1:$X$258,14,FALSE)),"",(VLOOKUP($E60,'A-1 Site Habitat Baseline'!$D$1:$X$258,14,FALSE))))</f>
        <v/>
      </c>
      <c r="O60" s="524" t="str">
        <f>IF(E60="","",IF(ISNA(VLOOKUP($E60,'A-1 Site Habitat Baseline'!$D$1:$X$258,16,FALSE)),"",(VLOOKUP($E60,'A-1 Site Habitat Baseline'!$D$1:$X$258,13,FALSE))))</f>
        <v/>
      </c>
      <c r="P60" s="237" t="str">
        <f>IFERROR(INDEX('G-1 All Habitats'!$AG$3:$AG$15,MATCH(Q60,'G-1 All Habitats'!$AF$3:$AF$15,0)),"")</f>
        <v/>
      </c>
      <c r="Q60" s="238" t="str">
        <f t="shared" si="2"/>
        <v/>
      </c>
      <c r="R60" s="238" t="str">
        <f t="shared" si="11"/>
        <v/>
      </c>
      <c r="S60" s="392" t="str">
        <f>IFERROR(INDEX('G-1 All Habitats'!$B$3:$B$129,MATCH(R60,'G-1 All Habitats'!$A$3:$A$129,0)),"")</f>
        <v/>
      </c>
      <c r="T60" s="498" t="str">
        <f t="shared" si="3"/>
        <v/>
      </c>
      <c r="U60" s="499" t="str">
        <f t="shared" si="4"/>
        <v/>
      </c>
      <c r="V60" s="537" t="str">
        <f t="shared" si="5"/>
        <v/>
      </c>
      <c r="W60" s="520" t="str">
        <f>IF(S60="","",VLOOKUP(S60,'G-1 All Habitats'!$B$2:$M$129,10,FALSE))</f>
        <v/>
      </c>
      <c r="X60" s="520" t="str">
        <f>IFERROR(VLOOKUP(W60,'G-1 All Habitats'!$V$3:$W$7,2,FALSE),"")</f>
        <v/>
      </c>
      <c r="Y60" s="79"/>
      <c r="Z60" s="524" t="str">
        <f>IFERROR(INDEX('G-8 Condition Look up'!$A$3:$H$130,MATCH(S60,'G-8 Condition Look up'!$A$3:$A$130,0),MATCH(Y60,'G-8 Condition Look up'!$A$3:$H$3,0)),"")</f>
        <v/>
      </c>
      <c r="AA60" s="71"/>
      <c r="AB60" s="520" t="str">
        <f>IF(AA60="","",IF(VLOOKUP(AA60,'G-3 Multipliers'!$L$3:$N$6,2,FALSE)=0,"Spatial Data Missing ⚠",VLOOKUP(AA60,'G-3 Multipliers'!$L$3:$N$6,2,FALSE)))</f>
        <v/>
      </c>
      <c r="AC60" s="524" t="str">
        <f>IF(AA60="","",IF(VLOOKUP(AA60,'G-3 Multipliers'!$L$3:$N$6,3,FALSE)=0,"Spatial Data Missing ⚠",VLOOKUP(AA60,'G-3 Multipliers'!$L$3:$N$6,3,FALSE)))</f>
        <v/>
      </c>
      <c r="AD60" s="539" t="str">
        <f t="shared" si="1"/>
        <v/>
      </c>
      <c r="AE60" s="82"/>
      <c r="AF60" s="82"/>
      <c r="AG60" s="507" t="str">
        <f t="shared" si="6"/>
        <v/>
      </c>
      <c r="AH60" s="521" t="str">
        <f t="shared" si="7"/>
        <v/>
      </c>
      <c r="AI60" s="522" t="str">
        <f>IF(AH60="Check Data","Check Data",IFERROR(VLOOKUP(AH60,'G-4 Temporal multipliers'!$A$4:$C$36,3,FALSE),""))</f>
        <v/>
      </c>
      <c r="AJ60" s="498" t="str">
        <f>IF(S60="","",VLOOKUP(S60,'G-3 Multipliers'!$A$2:$E$129,4,FALSE))</f>
        <v/>
      </c>
      <c r="AK60" s="507" t="str">
        <f t="shared" si="8"/>
        <v/>
      </c>
      <c r="AL60" s="507" t="str">
        <f t="shared" si="9"/>
        <v/>
      </c>
      <c r="AM60" s="540" t="str">
        <f>IFERROR(IF(F60="","",IF(AH60="Check Data ⚠","Check Data ⚠",VLOOKUP(AL60, 'G-3 Multipliers'!$P$2:$Q$6,2,FALSE))),"")</f>
        <v/>
      </c>
      <c r="AN60" s="513" t="str">
        <f t="shared" si="10"/>
        <v/>
      </c>
      <c r="AO60" s="239"/>
      <c r="AP60" s="240"/>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1" t="str">
        <f>'A-1 Site Habitat Baseline'!AL60</f>
        <v/>
      </c>
      <c r="F61" s="520" t="str">
        <f>IF(E61="","",IF(ISNA(VLOOKUP($E61,'A-1 Site Habitat Baseline'!$D$1:$O$258,4,FALSE)),"",(VLOOKUP($E61,'A-1 Site Habitat Baseline'!$D$1:$O$258,4,FALSE))))</f>
        <v/>
      </c>
      <c r="G61" s="520" t="str">
        <f>IF(E61="","",IF(ISNA(VLOOKUP($E61,'A-1 Site Habitat Baseline'!$D$1:$O$258,5,FALSE)),"",(VLOOKUP($E61,'A-1 Site Habitat Baseline'!$D$1:$O$258,5,FALSE))))</f>
        <v/>
      </c>
      <c r="H61" s="520" t="str">
        <f>IF(E61="","",IF(ISNA(VLOOKUP($E61,'A-1 Site Habitat Baseline'!$D$1:$O$258,6,FALSE)),"",(VLOOKUP($E61,'A-1 Site Habitat Baseline'!$D$1:$O$258,6,FALSE))))</f>
        <v/>
      </c>
      <c r="I61" s="520" t="str">
        <f>IF(E61="","",IF(ISNA(VLOOKUP($E61,'A-1 Site Habitat Baseline'!$D$1:$O$258,7,FALSE)),"",(VLOOKUP($E61,'A-1 Site Habitat Baseline'!$D$1:$O$258,7,FALSE))))</f>
        <v/>
      </c>
      <c r="J61" s="520" t="str">
        <f>IF(E61="","",IF(ISNA(VLOOKUP($E61,'A-1 Site Habitat Baseline'!$D$1:$O$258,8,FALSE)),"",(VLOOKUP($E61,'A-1 Site Habitat Baseline'!$D$1:$O$258,8,FALSE))))</f>
        <v/>
      </c>
      <c r="K61" s="520" t="str">
        <f>IF(E61="","",IF(ISNA(VLOOKUP($E61,'A-1 Site Habitat Baseline'!$D$1:$O$258,9,FALSE)),"",(VLOOKUP($E61,'A-1 Site Habitat Baseline'!$D$1:$O$258,9,FALSE))))</f>
        <v/>
      </c>
      <c r="L61" s="520" t="str">
        <f>IF(E61="","",IF(ISNA(VLOOKUP($E61,'A-1 Site Habitat Baseline'!$D$1:$O$258,11,FALSE)),"",(VLOOKUP($E61,'A-1 Site Habitat Baseline'!$D$1:$O$258,11,FALSE))))</f>
        <v/>
      </c>
      <c r="M61" s="520" t="str">
        <f>IF(E61="","",IF(ISNA(VLOOKUP($E61,'A-1 Site Habitat Baseline'!$D$1:$O$258,12,FALSE)),"",(VLOOKUP($E61,'A-1 Site Habitat Baseline'!$D$1:$O$258,12,FALSE))))</f>
        <v/>
      </c>
      <c r="N61" s="532" t="str">
        <f>IF(E61="","",IF(ISNA(VLOOKUP($E61,'A-1 Site Habitat Baseline'!$D$1:$X$258,14,FALSE)),"",(VLOOKUP($E61,'A-1 Site Habitat Baseline'!$D$1:$X$258,14,FALSE))))</f>
        <v/>
      </c>
      <c r="O61" s="524" t="str">
        <f>IF(E61="","",IF(ISNA(VLOOKUP($E61,'A-1 Site Habitat Baseline'!$D$1:$X$258,16,FALSE)),"",(VLOOKUP($E61,'A-1 Site Habitat Baseline'!$D$1:$X$258,13,FALSE))))</f>
        <v/>
      </c>
      <c r="P61" s="237" t="str">
        <f>IFERROR(INDEX('G-1 All Habitats'!$AG$3:$AG$15,MATCH(Q61,'G-1 All Habitats'!$AF$3:$AF$15,0)),"")</f>
        <v/>
      </c>
      <c r="Q61" s="238" t="str">
        <f t="shared" si="2"/>
        <v/>
      </c>
      <c r="R61" s="238" t="str">
        <f t="shared" si="11"/>
        <v/>
      </c>
      <c r="S61" s="392" t="str">
        <f>IFERROR(INDEX('G-1 All Habitats'!$B$3:$B$129,MATCH(R61,'G-1 All Habitats'!$A$3:$A$129,0)),"")</f>
        <v/>
      </c>
      <c r="T61" s="498" t="str">
        <f t="shared" si="3"/>
        <v/>
      </c>
      <c r="U61" s="499" t="str">
        <f t="shared" si="4"/>
        <v/>
      </c>
      <c r="V61" s="537" t="str">
        <f t="shared" si="5"/>
        <v/>
      </c>
      <c r="W61" s="520" t="str">
        <f>IF(S61="","",VLOOKUP(S61,'G-1 All Habitats'!$B$2:$M$129,10,FALSE))</f>
        <v/>
      </c>
      <c r="X61" s="520" t="str">
        <f>IFERROR(VLOOKUP(W61,'G-1 All Habitats'!$V$3:$W$7,2,FALSE),"")</f>
        <v/>
      </c>
      <c r="Y61" s="79"/>
      <c r="Z61" s="524" t="str">
        <f>IFERROR(INDEX('G-8 Condition Look up'!$A$3:$H$130,MATCH(S61,'G-8 Condition Look up'!$A$3:$A$130,0),MATCH(Y61,'G-8 Condition Look up'!$A$3:$H$3,0)),"")</f>
        <v/>
      </c>
      <c r="AA61" s="71"/>
      <c r="AB61" s="520" t="str">
        <f>IF(AA61="","",IF(VLOOKUP(AA61,'G-3 Multipliers'!$L$3:$N$6,2,FALSE)=0,"Spatial Data Missing ⚠",VLOOKUP(AA61,'G-3 Multipliers'!$L$3:$N$6,2,FALSE)))</f>
        <v/>
      </c>
      <c r="AC61" s="524" t="str">
        <f>IF(AA61="","",IF(VLOOKUP(AA61,'G-3 Multipliers'!$L$3:$N$6,3,FALSE)=0,"Spatial Data Missing ⚠",VLOOKUP(AA61,'G-3 Multipliers'!$L$3:$N$6,3,FALSE)))</f>
        <v/>
      </c>
      <c r="AD61" s="539" t="str">
        <f t="shared" si="1"/>
        <v/>
      </c>
      <c r="AE61" s="82"/>
      <c r="AF61" s="82"/>
      <c r="AG61" s="507" t="str">
        <f t="shared" si="6"/>
        <v/>
      </c>
      <c r="AH61" s="521" t="str">
        <f t="shared" si="7"/>
        <v/>
      </c>
      <c r="AI61" s="522" t="str">
        <f>IF(AH61="Check Data","Check Data",IFERROR(VLOOKUP(AH61,'G-4 Temporal multipliers'!$A$4:$C$36,3,FALSE),""))</f>
        <v/>
      </c>
      <c r="AJ61" s="498" t="str">
        <f>IF(S61="","",VLOOKUP(S61,'G-3 Multipliers'!$A$2:$E$129,4,FALSE))</f>
        <v/>
      </c>
      <c r="AK61" s="507" t="str">
        <f t="shared" si="8"/>
        <v/>
      </c>
      <c r="AL61" s="507" t="str">
        <f t="shared" si="9"/>
        <v/>
      </c>
      <c r="AM61" s="540" t="str">
        <f>IFERROR(IF(F61="","",IF(AH61="Check Data ⚠","Check Data ⚠",VLOOKUP(AL61, 'G-3 Multipliers'!$P$2:$Q$6,2,FALSE))),"")</f>
        <v/>
      </c>
      <c r="AN61" s="513" t="str">
        <f t="shared" si="10"/>
        <v/>
      </c>
      <c r="AO61" s="239"/>
      <c r="AP61" s="240"/>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1" t="str">
        <f>'A-1 Site Habitat Baseline'!AL61</f>
        <v/>
      </c>
      <c r="F62" s="520" t="str">
        <f>IF(E62="","",IF(ISNA(VLOOKUP($E62,'A-1 Site Habitat Baseline'!$D$1:$O$258,4,FALSE)),"",(VLOOKUP($E62,'A-1 Site Habitat Baseline'!$D$1:$O$258,4,FALSE))))</f>
        <v/>
      </c>
      <c r="G62" s="520" t="str">
        <f>IF(E62="","",IF(ISNA(VLOOKUP($E62,'A-1 Site Habitat Baseline'!$D$1:$O$258,5,FALSE)),"",(VLOOKUP($E62,'A-1 Site Habitat Baseline'!$D$1:$O$258,5,FALSE))))</f>
        <v/>
      </c>
      <c r="H62" s="520" t="str">
        <f>IF(E62="","",IF(ISNA(VLOOKUP($E62,'A-1 Site Habitat Baseline'!$D$1:$O$258,6,FALSE)),"",(VLOOKUP($E62,'A-1 Site Habitat Baseline'!$D$1:$O$258,6,FALSE))))</f>
        <v/>
      </c>
      <c r="I62" s="520" t="str">
        <f>IF(E62="","",IF(ISNA(VLOOKUP($E62,'A-1 Site Habitat Baseline'!$D$1:$O$258,7,FALSE)),"",(VLOOKUP($E62,'A-1 Site Habitat Baseline'!$D$1:$O$258,7,FALSE))))</f>
        <v/>
      </c>
      <c r="J62" s="520" t="str">
        <f>IF(E62="","",IF(ISNA(VLOOKUP($E62,'A-1 Site Habitat Baseline'!$D$1:$O$258,8,FALSE)),"",(VLOOKUP($E62,'A-1 Site Habitat Baseline'!$D$1:$O$258,8,FALSE))))</f>
        <v/>
      </c>
      <c r="K62" s="520" t="str">
        <f>IF(E62="","",IF(ISNA(VLOOKUP($E62,'A-1 Site Habitat Baseline'!$D$1:$O$258,9,FALSE)),"",(VLOOKUP($E62,'A-1 Site Habitat Baseline'!$D$1:$O$258,9,FALSE))))</f>
        <v/>
      </c>
      <c r="L62" s="520" t="str">
        <f>IF(E62="","",IF(ISNA(VLOOKUP($E62,'A-1 Site Habitat Baseline'!$D$1:$O$258,11,FALSE)),"",(VLOOKUP($E62,'A-1 Site Habitat Baseline'!$D$1:$O$258,11,FALSE))))</f>
        <v/>
      </c>
      <c r="M62" s="520" t="str">
        <f>IF(E62="","",IF(ISNA(VLOOKUP($E62,'A-1 Site Habitat Baseline'!$D$1:$O$258,12,FALSE)),"",(VLOOKUP($E62,'A-1 Site Habitat Baseline'!$D$1:$O$258,12,FALSE))))</f>
        <v/>
      </c>
      <c r="N62" s="532" t="str">
        <f>IF(E62="","",IF(ISNA(VLOOKUP($E62,'A-1 Site Habitat Baseline'!$D$1:$X$258,14,FALSE)),"",(VLOOKUP($E62,'A-1 Site Habitat Baseline'!$D$1:$X$258,14,FALSE))))</f>
        <v/>
      </c>
      <c r="O62" s="524" t="str">
        <f>IF(E62="","",IF(ISNA(VLOOKUP($E62,'A-1 Site Habitat Baseline'!$D$1:$X$258,16,FALSE)),"",(VLOOKUP($E62,'A-1 Site Habitat Baseline'!$D$1:$X$258,13,FALSE))))</f>
        <v/>
      </c>
      <c r="P62" s="237" t="str">
        <f>IFERROR(INDEX('G-1 All Habitats'!$AG$3:$AG$15,MATCH(Q62,'G-1 All Habitats'!$AF$3:$AF$15,0)),"")</f>
        <v/>
      </c>
      <c r="Q62" s="238" t="str">
        <f t="shared" si="2"/>
        <v/>
      </c>
      <c r="R62" s="238" t="str">
        <f t="shared" si="11"/>
        <v/>
      </c>
      <c r="S62" s="392" t="str">
        <f>IFERROR(INDEX('G-1 All Habitats'!$B$3:$B$129,MATCH(R62,'G-1 All Habitats'!$A$3:$A$129,0)),"")</f>
        <v/>
      </c>
      <c r="T62" s="498" t="str">
        <f t="shared" si="3"/>
        <v/>
      </c>
      <c r="U62" s="499" t="str">
        <f t="shared" si="4"/>
        <v/>
      </c>
      <c r="V62" s="537" t="str">
        <f t="shared" si="5"/>
        <v/>
      </c>
      <c r="W62" s="520" t="str">
        <f>IF(S62="","",VLOOKUP(S62,'G-1 All Habitats'!$B$2:$M$129,10,FALSE))</f>
        <v/>
      </c>
      <c r="X62" s="520" t="str">
        <f>IFERROR(VLOOKUP(W62,'G-1 All Habitats'!$V$3:$W$7,2,FALSE),"")</f>
        <v/>
      </c>
      <c r="Y62" s="79"/>
      <c r="Z62" s="524" t="str">
        <f>IFERROR(INDEX('G-8 Condition Look up'!$A$3:$H$130,MATCH(S62,'G-8 Condition Look up'!$A$3:$A$130,0),MATCH(Y62,'G-8 Condition Look up'!$A$3:$H$3,0)),"")</f>
        <v/>
      </c>
      <c r="AA62" s="71"/>
      <c r="AB62" s="520" t="str">
        <f>IF(AA62="","",IF(VLOOKUP(AA62,'G-3 Multipliers'!$L$3:$N$6,2,FALSE)=0,"Spatial Data Missing ⚠",VLOOKUP(AA62,'G-3 Multipliers'!$L$3:$N$6,2,FALSE)))</f>
        <v/>
      </c>
      <c r="AC62" s="524" t="str">
        <f>IF(AA62="","",IF(VLOOKUP(AA62,'G-3 Multipliers'!$L$3:$N$6,3,FALSE)=0,"Spatial Data Missing ⚠",VLOOKUP(AA62,'G-3 Multipliers'!$L$3:$N$6,3,FALSE)))</f>
        <v/>
      </c>
      <c r="AD62" s="539" t="str">
        <f t="shared" si="1"/>
        <v/>
      </c>
      <c r="AE62" s="82"/>
      <c r="AF62" s="82"/>
      <c r="AG62" s="507" t="str">
        <f t="shared" si="6"/>
        <v/>
      </c>
      <c r="AH62" s="521" t="str">
        <f t="shared" si="7"/>
        <v/>
      </c>
      <c r="AI62" s="522" t="str">
        <f>IF(AH62="Check Data","Check Data",IFERROR(VLOOKUP(AH62,'G-4 Temporal multipliers'!$A$4:$C$36,3,FALSE),""))</f>
        <v/>
      </c>
      <c r="AJ62" s="498" t="str">
        <f>IF(S62="","",VLOOKUP(S62,'G-3 Multipliers'!$A$2:$E$129,4,FALSE))</f>
        <v/>
      </c>
      <c r="AK62" s="507" t="str">
        <f t="shared" si="8"/>
        <v/>
      </c>
      <c r="AL62" s="507" t="str">
        <f t="shared" si="9"/>
        <v/>
      </c>
      <c r="AM62" s="540" t="str">
        <f>IFERROR(IF(F62="","",IF(AH62="Check Data ⚠","Check Data ⚠",VLOOKUP(AL62, 'G-3 Multipliers'!$P$2:$Q$6,2,FALSE))),"")</f>
        <v/>
      </c>
      <c r="AN62" s="513" t="str">
        <f t="shared" si="10"/>
        <v/>
      </c>
      <c r="AO62" s="239"/>
      <c r="AP62" s="240"/>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1" t="str">
        <f>'A-1 Site Habitat Baseline'!AL62</f>
        <v/>
      </c>
      <c r="F63" s="520" t="str">
        <f>IF(E63="","",IF(ISNA(VLOOKUP($E63,'A-1 Site Habitat Baseline'!$D$1:$O$258,4,FALSE)),"",(VLOOKUP($E63,'A-1 Site Habitat Baseline'!$D$1:$O$258,4,FALSE))))</f>
        <v/>
      </c>
      <c r="G63" s="520" t="str">
        <f>IF(E63="","",IF(ISNA(VLOOKUP($E63,'A-1 Site Habitat Baseline'!$D$1:$O$258,5,FALSE)),"",(VLOOKUP($E63,'A-1 Site Habitat Baseline'!$D$1:$O$258,5,FALSE))))</f>
        <v/>
      </c>
      <c r="H63" s="520" t="str">
        <f>IF(E63="","",IF(ISNA(VLOOKUP($E63,'A-1 Site Habitat Baseline'!$D$1:$O$258,6,FALSE)),"",(VLOOKUP($E63,'A-1 Site Habitat Baseline'!$D$1:$O$258,6,FALSE))))</f>
        <v/>
      </c>
      <c r="I63" s="520" t="str">
        <f>IF(E63="","",IF(ISNA(VLOOKUP($E63,'A-1 Site Habitat Baseline'!$D$1:$O$258,7,FALSE)),"",(VLOOKUP($E63,'A-1 Site Habitat Baseline'!$D$1:$O$258,7,FALSE))))</f>
        <v/>
      </c>
      <c r="J63" s="520" t="str">
        <f>IF(E63="","",IF(ISNA(VLOOKUP($E63,'A-1 Site Habitat Baseline'!$D$1:$O$258,8,FALSE)),"",(VLOOKUP($E63,'A-1 Site Habitat Baseline'!$D$1:$O$258,8,FALSE))))</f>
        <v/>
      </c>
      <c r="K63" s="520" t="str">
        <f>IF(E63="","",IF(ISNA(VLOOKUP($E63,'A-1 Site Habitat Baseline'!$D$1:$O$258,9,FALSE)),"",(VLOOKUP($E63,'A-1 Site Habitat Baseline'!$D$1:$O$258,9,FALSE))))</f>
        <v/>
      </c>
      <c r="L63" s="520" t="str">
        <f>IF(E63="","",IF(ISNA(VLOOKUP($E63,'A-1 Site Habitat Baseline'!$D$1:$O$258,11,FALSE)),"",(VLOOKUP($E63,'A-1 Site Habitat Baseline'!$D$1:$O$258,11,FALSE))))</f>
        <v/>
      </c>
      <c r="M63" s="520" t="str">
        <f>IF(E63="","",IF(ISNA(VLOOKUP($E63,'A-1 Site Habitat Baseline'!$D$1:$O$258,12,FALSE)),"",(VLOOKUP($E63,'A-1 Site Habitat Baseline'!$D$1:$O$258,12,FALSE))))</f>
        <v/>
      </c>
      <c r="N63" s="532" t="str">
        <f>IF(E63="","",IF(ISNA(VLOOKUP($E63,'A-1 Site Habitat Baseline'!$D$1:$X$258,14,FALSE)),"",(VLOOKUP($E63,'A-1 Site Habitat Baseline'!$D$1:$X$258,14,FALSE))))</f>
        <v/>
      </c>
      <c r="O63" s="524" t="str">
        <f>IF(E63="","",IF(ISNA(VLOOKUP($E63,'A-1 Site Habitat Baseline'!$D$1:$X$258,16,FALSE)),"",(VLOOKUP($E63,'A-1 Site Habitat Baseline'!$D$1:$X$258,13,FALSE))))</f>
        <v/>
      </c>
      <c r="P63" s="237" t="str">
        <f>IFERROR(INDEX('G-1 All Habitats'!$AG$3:$AG$15,MATCH(Q63,'G-1 All Habitats'!$AF$3:$AF$15,0)),"")</f>
        <v/>
      </c>
      <c r="Q63" s="238" t="str">
        <f t="shared" si="2"/>
        <v/>
      </c>
      <c r="R63" s="238" t="str">
        <f t="shared" si="11"/>
        <v/>
      </c>
      <c r="S63" s="392" t="str">
        <f>IFERROR(INDEX('G-1 All Habitats'!$B$3:$B$129,MATCH(R63,'G-1 All Habitats'!$A$3:$A$129,0)),"")</f>
        <v/>
      </c>
      <c r="T63" s="498" t="str">
        <f t="shared" si="3"/>
        <v/>
      </c>
      <c r="U63" s="499" t="str">
        <f t="shared" si="4"/>
        <v/>
      </c>
      <c r="V63" s="537" t="str">
        <f t="shared" si="5"/>
        <v/>
      </c>
      <c r="W63" s="520" t="str">
        <f>IF(S63="","",VLOOKUP(S63,'G-1 All Habitats'!$B$2:$M$129,10,FALSE))</f>
        <v/>
      </c>
      <c r="X63" s="520" t="str">
        <f>IFERROR(VLOOKUP(W63,'G-1 All Habitats'!$V$3:$W$7,2,FALSE),"")</f>
        <v/>
      </c>
      <c r="Y63" s="79"/>
      <c r="Z63" s="524" t="str">
        <f>IFERROR(INDEX('G-8 Condition Look up'!$A$3:$H$130,MATCH(S63,'G-8 Condition Look up'!$A$3:$A$130,0),MATCH(Y63,'G-8 Condition Look up'!$A$3:$H$3,0)),"")</f>
        <v/>
      </c>
      <c r="AA63" s="71"/>
      <c r="AB63" s="520" t="str">
        <f>IF(AA63="","",IF(VLOOKUP(AA63,'G-3 Multipliers'!$L$3:$N$6,2,FALSE)=0,"Spatial Data Missing ⚠",VLOOKUP(AA63,'G-3 Multipliers'!$L$3:$N$6,2,FALSE)))</f>
        <v/>
      </c>
      <c r="AC63" s="524" t="str">
        <f>IF(AA63="","",IF(VLOOKUP(AA63,'G-3 Multipliers'!$L$3:$N$6,3,FALSE)=0,"Spatial Data Missing ⚠",VLOOKUP(AA63,'G-3 Multipliers'!$L$3:$N$6,3,FALSE)))</f>
        <v/>
      </c>
      <c r="AD63" s="539" t="str">
        <f t="shared" si="1"/>
        <v/>
      </c>
      <c r="AE63" s="82"/>
      <c r="AF63" s="82"/>
      <c r="AG63" s="507" t="str">
        <f t="shared" si="6"/>
        <v/>
      </c>
      <c r="AH63" s="521" t="str">
        <f t="shared" si="7"/>
        <v/>
      </c>
      <c r="AI63" s="522" t="str">
        <f>IF(AH63="Check Data","Check Data",IFERROR(VLOOKUP(AH63,'G-4 Temporal multipliers'!$A$4:$C$36,3,FALSE),""))</f>
        <v/>
      </c>
      <c r="AJ63" s="498" t="str">
        <f>IF(S63="","",VLOOKUP(S63,'G-3 Multipliers'!$A$2:$E$129,4,FALSE))</f>
        <v/>
      </c>
      <c r="AK63" s="507" t="str">
        <f t="shared" si="8"/>
        <v/>
      </c>
      <c r="AL63" s="507" t="str">
        <f t="shared" si="9"/>
        <v/>
      </c>
      <c r="AM63" s="540" t="str">
        <f>IFERROR(IF(F63="","",IF(AH63="Check Data ⚠","Check Data ⚠",VLOOKUP(AL63, 'G-3 Multipliers'!$P$2:$Q$6,2,FALSE))),"")</f>
        <v/>
      </c>
      <c r="AN63" s="513" t="str">
        <f t="shared" si="10"/>
        <v/>
      </c>
      <c r="AO63" s="239"/>
      <c r="AP63" s="240"/>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1" t="str">
        <f>'A-1 Site Habitat Baseline'!AL63</f>
        <v/>
      </c>
      <c r="F64" s="520" t="str">
        <f>IF(E64="","",IF(ISNA(VLOOKUP($E64,'A-1 Site Habitat Baseline'!$D$1:$O$258,4,FALSE)),"",(VLOOKUP($E64,'A-1 Site Habitat Baseline'!$D$1:$O$258,4,FALSE))))</f>
        <v/>
      </c>
      <c r="G64" s="520" t="str">
        <f>IF(E64="","",IF(ISNA(VLOOKUP($E64,'A-1 Site Habitat Baseline'!$D$1:$O$258,5,FALSE)),"",(VLOOKUP($E64,'A-1 Site Habitat Baseline'!$D$1:$O$258,5,FALSE))))</f>
        <v/>
      </c>
      <c r="H64" s="520" t="str">
        <f>IF(E64="","",IF(ISNA(VLOOKUP($E64,'A-1 Site Habitat Baseline'!$D$1:$O$258,6,FALSE)),"",(VLOOKUP($E64,'A-1 Site Habitat Baseline'!$D$1:$O$258,6,FALSE))))</f>
        <v/>
      </c>
      <c r="I64" s="520" t="str">
        <f>IF(E64="","",IF(ISNA(VLOOKUP($E64,'A-1 Site Habitat Baseline'!$D$1:$O$258,7,FALSE)),"",(VLOOKUP($E64,'A-1 Site Habitat Baseline'!$D$1:$O$258,7,FALSE))))</f>
        <v/>
      </c>
      <c r="J64" s="520" t="str">
        <f>IF(E64="","",IF(ISNA(VLOOKUP($E64,'A-1 Site Habitat Baseline'!$D$1:$O$258,8,FALSE)),"",(VLOOKUP($E64,'A-1 Site Habitat Baseline'!$D$1:$O$258,8,FALSE))))</f>
        <v/>
      </c>
      <c r="K64" s="520" t="str">
        <f>IF(E64="","",IF(ISNA(VLOOKUP($E64,'A-1 Site Habitat Baseline'!$D$1:$O$258,9,FALSE)),"",(VLOOKUP($E64,'A-1 Site Habitat Baseline'!$D$1:$O$258,9,FALSE))))</f>
        <v/>
      </c>
      <c r="L64" s="520" t="str">
        <f>IF(E64="","",IF(ISNA(VLOOKUP($E64,'A-1 Site Habitat Baseline'!$D$1:$O$258,11,FALSE)),"",(VLOOKUP($E64,'A-1 Site Habitat Baseline'!$D$1:$O$258,11,FALSE))))</f>
        <v/>
      </c>
      <c r="M64" s="520" t="str">
        <f>IF(E64="","",IF(ISNA(VLOOKUP($E64,'A-1 Site Habitat Baseline'!$D$1:$O$258,12,FALSE)),"",(VLOOKUP($E64,'A-1 Site Habitat Baseline'!$D$1:$O$258,12,FALSE))))</f>
        <v/>
      </c>
      <c r="N64" s="532" t="str">
        <f>IF(E64="","",IF(ISNA(VLOOKUP($E64,'A-1 Site Habitat Baseline'!$D$1:$X$258,14,FALSE)),"",(VLOOKUP($E64,'A-1 Site Habitat Baseline'!$D$1:$X$258,14,FALSE))))</f>
        <v/>
      </c>
      <c r="O64" s="524" t="str">
        <f>IF(E64="","",IF(ISNA(VLOOKUP($E64,'A-1 Site Habitat Baseline'!$D$1:$X$258,16,FALSE)),"",(VLOOKUP($E64,'A-1 Site Habitat Baseline'!$D$1:$X$258,13,FALSE))))</f>
        <v/>
      </c>
      <c r="P64" s="237" t="str">
        <f>IFERROR(INDEX('G-1 All Habitats'!$AG$3:$AG$15,MATCH(Q64,'G-1 All Habitats'!$AF$3:$AF$15,0)),"")</f>
        <v/>
      </c>
      <c r="Q64" s="238" t="str">
        <f t="shared" si="2"/>
        <v/>
      </c>
      <c r="R64" s="238" t="str">
        <f t="shared" si="11"/>
        <v/>
      </c>
      <c r="S64" s="392" t="str">
        <f>IFERROR(INDEX('G-1 All Habitats'!$B$3:$B$129,MATCH(R64,'G-1 All Habitats'!$A$3:$A$129,0)),"")</f>
        <v/>
      </c>
      <c r="T64" s="498" t="str">
        <f t="shared" si="3"/>
        <v/>
      </c>
      <c r="U64" s="499" t="str">
        <f t="shared" si="4"/>
        <v/>
      </c>
      <c r="V64" s="537" t="str">
        <f t="shared" si="5"/>
        <v/>
      </c>
      <c r="W64" s="520" t="str">
        <f>IF(S64="","",VLOOKUP(S64,'G-1 All Habitats'!$B$2:$M$129,10,FALSE))</f>
        <v/>
      </c>
      <c r="X64" s="520" t="str">
        <f>IFERROR(VLOOKUP(W64,'G-1 All Habitats'!$V$3:$W$7,2,FALSE),"")</f>
        <v/>
      </c>
      <c r="Y64" s="79"/>
      <c r="Z64" s="524" t="str">
        <f>IFERROR(INDEX('G-8 Condition Look up'!$A$3:$H$130,MATCH(S64,'G-8 Condition Look up'!$A$3:$A$130,0),MATCH(Y64,'G-8 Condition Look up'!$A$3:$H$3,0)),"")</f>
        <v/>
      </c>
      <c r="AA64" s="71"/>
      <c r="AB64" s="520" t="str">
        <f>IF(AA64="","",IF(VLOOKUP(AA64,'G-3 Multipliers'!$L$3:$N$6,2,FALSE)=0,"Spatial Data Missing ⚠",VLOOKUP(AA64,'G-3 Multipliers'!$L$3:$N$6,2,FALSE)))</f>
        <v/>
      </c>
      <c r="AC64" s="524" t="str">
        <f>IF(AA64="","",IF(VLOOKUP(AA64,'G-3 Multipliers'!$L$3:$N$6,3,FALSE)=0,"Spatial Data Missing ⚠",VLOOKUP(AA64,'G-3 Multipliers'!$L$3:$N$6,3,FALSE)))</f>
        <v/>
      </c>
      <c r="AD64" s="539" t="str">
        <f t="shared" si="1"/>
        <v/>
      </c>
      <c r="AE64" s="82"/>
      <c r="AF64" s="82"/>
      <c r="AG64" s="507" t="str">
        <f t="shared" si="6"/>
        <v/>
      </c>
      <c r="AH64" s="521" t="str">
        <f t="shared" si="7"/>
        <v/>
      </c>
      <c r="AI64" s="522" t="str">
        <f>IF(AH64="Check Data","Check Data",IFERROR(VLOOKUP(AH64,'G-4 Temporal multipliers'!$A$4:$C$36,3,FALSE),""))</f>
        <v/>
      </c>
      <c r="AJ64" s="498" t="str">
        <f>IF(S64="","",VLOOKUP(S64,'G-3 Multipliers'!$A$2:$E$129,4,FALSE))</f>
        <v/>
      </c>
      <c r="AK64" s="507" t="str">
        <f t="shared" si="8"/>
        <v/>
      </c>
      <c r="AL64" s="507" t="str">
        <f t="shared" si="9"/>
        <v/>
      </c>
      <c r="AM64" s="540" t="str">
        <f>IFERROR(IF(F64="","",IF(AH64="Check Data ⚠","Check Data ⚠",VLOOKUP(AL64, 'G-3 Multipliers'!$P$2:$Q$6,2,FALSE))),"")</f>
        <v/>
      </c>
      <c r="AN64" s="513" t="str">
        <f t="shared" si="10"/>
        <v/>
      </c>
      <c r="AO64" s="239"/>
      <c r="AP64" s="240"/>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1" t="str">
        <f>'A-1 Site Habitat Baseline'!AL64</f>
        <v/>
      </c>
      <c r="F65" s="520" t="str">
        <f>IF(E65="","",IF(ISNA(VLOOKUP($E65,'A-1 Site Habitat Baseline'!$D$1:$O$258,4,FALSE)),"",(VLOOKUP($E65,'A-1 Site Habitat Baseline'!$D$1:$O$258,4,FALSE))))</f>
        <v/>
      </c>
      <c r="G65" s="520" t="str">
        <f>IF(E65="","",IF(ISNA(VLOOKUP($E65,'A-1 Site Habitat Baseline'!$D$1:$O$258,5,FALSE)),"",(VLOOKUP($E65,'A-1 Site Habitat Baseline'!$D$1:$O$258,5,FALSE))))</f>
        <v/>
      </c>
      <c r="H65" s="520" t="str">
        <f>IF(E65="","",IF(ISNA(VLOOKUP($E65,'A-1 Site Habitat Baseline'!$D$1:$O$258,6,FALSE)),"",(VLOOKUP($E65,'A-1 Site Habitat Baseline'!$D$1:$O$258,6,FALSE))))</f>
        <v/>
      </c>
      <c r="I65" s="520" t="str">
        <f>IF(E65="","",IF(ISNA(VLOOKUP($E65,'A-1 Site Habitat Baseline'!$D$1:$O$258,7,FALSE)),"",(VLOOKUP($E65,'A-1 Site Habitat Baseline'!$D$1:$O$258,7,FALSE))))</f>
        <v/>
      </c>
      <c r="J65" s="520" t="str">
        <f>IF(E65="","",IF(ISNA(VLOOKUP($E65,'A-1 Site Habitat Baseline'!$D$1:$O$258,8,FALSE)),"",(VLOOKUP($E65,'A-1 Site Habitat Baseline'!$D$1:$O$258,8,FALSE))))</f>
        <v/>
      </c>
      <c r="K65" s="520" t="str">
        <f>IF(E65="","",IF(ISNA(VLOOKUP($E65,'A-1 Site Habitat Baseline'!$D$1:$O$258,9,FALSE)),"",(VLOOKUP($E65,'A-1 Site Habitat Baseline'!$D$1:$O$258,9,FALSE))))</f>
        <v/>
      </c>
      <c r="L65" s="520" t="str">
        <f>IF(E65="","",IF(ISNA(VLOOKUP($E65,'A-1 Site Habitat Baseline'!$D$1:$O$258,11,FALSE)),"",(VLOOKUP($E65,'A-1 Site Habitat Baseline'!$D$1:$O$258,11,FALSE))))</f>
        <v/>
      </c>
      <c r="M65" s="520" t="str">
        <f>IF(E65="","",IF(ISNA(VLOOKUP($E65,'A-1 Site Habitat Baseline'!$D$1:$O$258,12,FALSE)),"",(VLOOKUP($E65,'A-1 Site Habitat Baseline'!$D$1:$O$258,12,FALSE))))</f>
        <v/>
      </c>
      <c r="N65" s="532" t="str">
        <f>IF(E65="","",IF(ISNA(VLOOKUP($E65,'A-1 Site Habitat Baseline'!$D$1:$X$258,14,FALSE)),"",(VLOOKUP($E65,'A-1 Site Habitat Baseline'!$D$1:$X$258,14,FALSE))))</f>
        <v/>
      </c>
      <c r="O65" s="524" t="str">
        <f>IF(E65="","",IF(ISNA(VLOOKUP($E65,'A-1 Site Habitat Baseline'!$D$1:$X$258,16,FALSE)),"",(VLOOKUP($E65,'A-1 Site Habitat Baseline'!$D$1:$X$258,13,FALSE))))</f>
        <v/>
      </c>
      <c r="P65" s="237" t="str">
        <f>IFERROR(INDEX('G-1 All Habitats'!$AG$3:$AG$15,MATCH(Q65,'G-1 All Habitats'!$AF$3:$AF$15,0)),"")</f>
        <v/>
      </c>
      <c r="Q65" s="238" t="str">
        <f t="shared" si="2"/>
        <v/>
      </c>
      <c r="R65" s="238" t="str">
        <f t="shared" si="11"/>
        <v/>
      </c>
      <c r="S65" s="392" t="str">
        <f>IFERROR(INDEX('G-1 All Habitats'!$B$3:$B$129,MATCH(R65,'G-1 All Habitats'!$A$3:$A$129,0)),"")</f>
        <v/>
      </c>
      <c r="T65" s="498" t="str">
        <f t="shared" si="3"/>
        <v/>
      </c>
      <c r="U65" s="499" t="str">
        <f t="shared" si="4"/>
        <v/>
      </c>
      <c r="V65" s="537" t="str">
        <f t="shared" si="5"/>
        <v/>
      </c>
      <c r="W65" s="520" t="str">
        <f>IF(S65="","",VLOOKUP(S65,'G-1 All Habitats'!$B$2:$M$129,10,FALSE))</f>
        <v/>
      </c>
      <c r="X65" s="520" t="str">
        <f>IFERROR(VLOOKUP(W65,'G-1 All Habitats'!$V$3:$W$7,2,FALSE),"")</f>
        <v/>
      </c>
      <c r="Y65" s="79"/>
      <c r="Z65" s="524" t="str">
        <f>IFERROR(INDEX('G-8 Condition Look up'!$A$3:$H$130,MATCH(S65,'G-8 Condition Look up'!$A$3:$A$130,0),MATCH(Y65,'G-8 Condition Look up'!$A$3:$H$3,0)),"")</f>
        <v/>
      </c>
      <c r="AA65" s="71"/>
      <c r="AB65" s="520" t="str">
        <f>IF(AA65="","",IF(VLOOKUP(AA65,'G-3 Multipliers'!$L$3:$N$6,2,FALSE)=0,"Spatial Data Missing ⚠",VLOOKUP(AA65,'G-3 Multipliers'!$L$3:$N$6,2,FALSE)))</f>
        <v/>
      </c>
      <c r="AC65" s="524" t="str">
        <f>IF(AA65="","",IF(VLOOKUP(AA65,'G-3 Multipliers'!$L$3:$N$6,3,FALSE)=0,"Spatial Data Missing ⚠",VLOOKUP(AA65,'G-3 Multipliers'!$L$3:$N$6,3,FALSE)))</f>
        <v/>
      </c>
      <c r="AD65" s="539" t="str">
        <f t="shared" si="1"/>
        <v/>
      </c>
      <c r="AE65" s="82"/>
      <c r="AF65" s="82"/>
      <c r="AG65" s="507" t="str">
        <f t="shared" si="6"/>
        <v/>
      </c>
      <c r="AH65" s="521" t="str">
        <f t="shared" si="7"/>
        <v/>
      </c>
      <c r="AI65" s="522" t="str">
        <f>IF(AH65="Check Data","Check Data",IFERROR(VLOOKUP(AH65,'G-4 Temporal multipliers'!$A$4:$C$36,3,FALSE),""))</f>
        <v/>
      </c>
      <c r="AJ65" s="498" t="str">
        <f>IF(S65="","",VLOOKUP(S65,'G-3 Multipliers'!$A$2:$E$129,4,FALSE))</f>
        <v/>
      </c>
      <c r="AK65" s="507" t="str">
        <f t="shared" si="8"/>
        <v/>
      </c>
      <c r="AL65" s="507" t="str">
        <f t="shared" si="9"/>
        <v/>
      </c>
      <c r="AM65" s="540" t="str">
        <f>IFERROR(IF(F65="","",IF(AH65="Check Data ⚠","Check Data ⚠",VLOOKUP(AL65, 'G-3 Multipliers'!$P$2:$Q$6,2,FALSE))),"")</f>
        <v/>
      </c>
      <c r="AN65" s="513" t="str">
        <f t="shared" si="10"/>
        <v/>
      </c>
      <c r="AO65" s="239"/>
      <c r="AP65" s="240"/>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1" t="str">
        <f>'A-1 Site Habitat Baseline'!AL65</f>
        <v/>
      </c>
      <c r="F66" s="520" t="str">
        <f>IF(E66="","",IF(ISNA(VLOOKUP($E66,'A-1 Site Habitat Baseline'!$D$1:$O$258,4,FALSE)),"",(VLOOKUP($E66,'A-1 Site Habitat Baseline'!$D$1:$O$258,4,FALSE))))</f>
        <v/>
      </c>
      <c r="G66" s="520" t="str">
        <f>IF(E66="","",IF(ISNA(VLOOKUP($E66,'A-1 Site Habitat Baseline'!$D$1:$O$258,5,FALSE)),"",(VLOOKUP($E66,'A-1 Site Habitat Baseline'!$D$1:$O$258,5,FALSE))))</f>
        <v/>
      </c>
      <c r="H66" s="520" t="str">
        <f>IF(E66="","",IF(ISNA(VLOOKUP($E66,'A-1 Site Habitat Baseline'!$D$1:$O$258,6,FALSE)),"",(VLOOKUP($E66,'A-1 Site Habitat Baseline'!$D$1:$O$258,6,FALSE))))</f>
        <v/>
      </c>
      <c r="I66" s="520" t="str">
        <f>IF(E66="","",IF(ISNA(VLOOKUP($E66,'A-1 Site Habitat Baseline'!$D$1:$O$258,7,FALSE)),"",(VLOOKUP($E66,'A-1 Site Habitat Baseline'!$D$1:$O$258,7,FALSE))))</f>
        <v/>
      </c>
      <c r="J66" s="520" t="str">
        <f>IF(E66="","",IF(ISNA(VLOOKUP($E66,'A-1 Site Habitat Baseline'!$D$1:$O$258,8,FALSE)),"",(VLOOKUP($E66,'A-1 Site Habitat Baseline'!$D$1:$O$258,8,FALSE))))</f>
        <v/>
      </c>
      <c r="K66" s="520" t="str">
        <f>IF(E66="","",IF(ISNA(VLOOKUP($E66,'A-1 Site Habitat Baseline'!$D$1:$O$258,9,FALSE)),"",(VLOOKUP($E66,'A-1 Site Habitat Baseline'!$D$1:$O$258,9,FALSE))))</f>
        <v/>
      </c>
      <c r="L66" s="520" t="str">
        <f>IF(E66="","",IF(ISNA(VLOOKUP($E66,'A-1 Site Habitat Baseline'!$D$1:$O$258,11,FALSE)),"",(VLOOKUP($E66,'A-1 Site Habitat Baseline'!$D$1:$O$258,11,FALSE))))</f>
        <v/>
      </c>
      <c r="M66" s="520" t="str">
        <f>IF(E66="","",IF(ISNA(VLOOKUP($E66,'A-1 Site Habitat Baseline'!$D$1:$O$258,12,FALSE)),"",(VLOOKUP($E66,'A-1 Site Habitat Baseline'!$D$1:$O$258,12,FALSE))))</f>
        <v/>
      </c>
      <c r="N66" s="532" t="str">
        <f>IF(E66="","",IF(ISNA(VLOOKUP($E66,'A-1 Site Habitat Baseline'!$D$1:$X$258,14,FALSE)),"",(VLOOKUP($E66,'A-1 Site Habitat Baseline'!$D$1:$X$258,14,FALSE))))</f>
        <v/>
      </c>
      <c r="O66" s="524" t="str">
        <f>IF(E66="","",IF(ISNA(VLOOKUP($E66,'A-1 Site Habitat Baseline'!$D$1:$X$258,16,FALSE)),"",(VLOOKUP($E66,'A-1 Site Habitat Baseline'!$D$1:$X$258,13,FALSE))))</f>
        <v/>
      </c>
      <c r="P66" s="237" t="str">
        <f>IFERROR(INDEX('G-1 All Habitats'!$AG$3:$AG$15,MATCH(Q66,'G-1 All Habitats'!$AF$3:$AF$15,0)),"")</f>
        <v/>
      </c>
      <c r="Q66" s="238" t="str">
        <f t="shared" si="2"/>
        <v/>
      </c>
      <c r="R66" s="238" t="str">
        <f t="shared" si="11"/>
        <v/>
      </c>
      <c r="S66" s="392" t="str">
        <f>IFERROR(INDEX('G-1 All Habitats'!$B$3:$B$129,MATCH(R66,'G-1 All Habitats'!$A$3:$A$129,0)),"")</f>
        <v/>
      </c>
      <c r="T66" s="498" t="str">
        <f t="shared" si="3"/>
        <v/>
      </c>
      <c r="U66" s="499" t="str">
        <f t="shared" si="4"/>
        <v/>
      </c>
      <c r="V66" s="537" t="str">
        <f t="shared" si="5"/>
        <v/>
      </c>
      <c r="W66" s="520" t="str">
        <f>IF(S66="","",VLOOKUP(S66,'G-1 All Habitats'!$B$2:$M$129,10,FALSE))</f>
        <v/>
      </c>
      <c r="X66" s="520" t="str">
        <f>IFERROR(VLOOKUP(W66,'G-1 All Habitats'!$V$3:$W$7,2,FALSE),"")</f>
        <v/>
      </c>
      <c r="Y66" s="79"/>
      <c r="Z66" s="524" t="str">
        <f>IFERROR(INDEX('G-8 Condition Look up'!$A$3:$H$130,MATCH(S66,'G-8 Condition Look up'!$A$3:$A$130,0),MATCH(Y66,'G-8 Condition Look up'!$A$3:$H$3,0)),"")</f>
        <v/>
      </c>
      <c r="AA66" s="71"/>
      <c r="AB66" s="520" t="str">
        <f>IF(AA66="","",IF(VLOOKUP(AA66,'G-3 Multipliers'!$L$3:$N$6,2,FALSE)=0,"Spatial Data Missing ⚠",VLOOKUP(AA66,'G-3 Multipliers'!$L$3:$N$6,2,FALSE)))</f>
        <v/>
      </c>
      <c r="AC66" s="524" t="str">
        <f>IF(AA66="","",IF(VLOOKUP(AA66,'G-3 Multipliers'!$L$3:$N$6,3,FALSE)=0,"Spatial Data Missing ⚠",VLOOKUP(AA66,'G-3 Multipliers'!$L$3:$N$6,3,FALSE)))</f>
        <v/>
      </c>
      <c r="AD66" s="539" t="str">
        <f t="shared" si="1"/>
        <v/>
      </c>
      <c r="AE66" s="82"/>
      <c r="AF66" s="82"/>
      <c r="AG66" s="507" t="str">
        <f t="shared" si="6"/>
        <v/>
      </c>
      <c r="AH66" s="521" t="str">
        <f t="shared" si="7"/>
        <v/>
      </c>
      <c r="AI66" s="522" t="str">
        <f>IF(AH66="Check Data","Check Data",IFERROR(VLOOKUP(AH66,'G-4 Temporal multipliers'!$A$4:$C$36,3,FALSE),""))</f>
        <v/>
      </c>
      <c r="AJ66" s="498" t="str">
        <f>IF(S66="","",VLOOKUP(S66,'G-3 Multipliers'!$A$2:$E$129,4,FALSE))</f>
        <v/>
      </c>
      <c r="AK66" s="507" t="str">
        <f t="shared" si="8"/>
        <v/>
      </c>
      <c r="AL66" s="507" t="str">
        <f t="shared" si="9"/>
        <v/>
      </c>
      <c r="AM66" s="540" t="str">
        <f>IFERROR(IF(F66="","",IF(AH66="Check Data ⚠","Check Data ⚠",VLOOKUP(AL66, 'G-3 Multipliers'!$P$2:$Q$6,2,FALSE))),"")</f>
        <v/>
      </c>
      <c r="AN66" s="513" t="str">
        <f t="shared" si="10"/>
        <v/>
      </c>
      <c r="AO66" s="239"/>
      <c r="AP66" s="240"/>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1" t="str">
        <f>'A-1 Site Habitat Baseline'!AL66</f>
        <v/>
      </c>
      <c r="F67" s="520" t="str">
        <f>IF(E67="","",IF(ISNA(VLOOKUP($E67,'A-1 Site Habitat Baseline'!$D$1:$O$258,4,FALSE)),"",(VLOOKUP($E67,'A-1 Site Habitat Baseline'!$D$1:$O$258,4,FALSE))))</f>
        <v/>
      </c>
      <c r="G67" s="520" t="str">
        <f>IF(E67="","",IF(ISNA(VLOOKUP($E67,'A-1 Site Habitat Baseline'!$D$1:$O$258,5,FALSE)),"",(VLOOKUP($E67,'A-1 Site Habitat Baseline'!$D$1:$O$258,5,FALSE))))</f>
        <v/>
      </c>
      <c r="H67" s="520" t="str">
        <f>IF(E67="","",IF(ISNA(VLOOKUP($E67,'A-1 Site Habitat Baseline'!$D$1:$O$258,6,FALSE)),"",(VLOOKUP($E67,'A-1 Site Habitat Baseline'!$D$1:$O$258,6,FALSE))))</f>
        <v/>
      </c>
      <c r="I67" s="520" t="str">
        <f>IF(E67="","",IF(ISNA(VLOOKUP($E67,'A-1 Site Habitat Baseline'!$D$1:$O$258,7,FALSE)),"",(VLOOKUP($E67,'A-1 Site Habitat Baseline'!$D$1:$O$258,7,FALSE))))</f>
        <v/>
      </c>
      <c r="J67" s="520" t="str">
        <f>IF(E67="","",IF(ISNA(VLOOKUP($E67,'A-1 Site Habitat Baseline'!$D$1:$O$258,8,FALSE)),"",(VLOOKUP($E67,'A-1 Site Habitat Baseline'!$D$1:$O$258,8,FALSE))))</f>
        <v/>
      </c>
      <c r="K67" s="520" t="str">
        <f>IF(E67="","",IF(ISNA(VLOOKUP($E67,'A-1 Site Habitat Baseline'!$D$1:$O$258,9,FALSE)),"",(VLOOKUP($E67,'A-1 Site Habitat Baseline'!$D$1:$O$258,9,FALSE))))</f>
        <v/>
      </c>
      <c r="L67" s="520" t="str">
        <f>IF(E67="","",IF(ISNA(VLOOKUP($E67,'A-1 Site Habitat Baseline'!$D$1:$O$258,11,FALSE)),"",(VLOOKUP($E67,'A-1 Site Habitat Baseline'!$D$1:$O$258,11,FALSE))))</f>
        <v/>
      </c>
      <c r="M67" s="520" t="str">
        <f>IF(E67="","",IF(ISNA(VLOOKUP($E67,'A-1 Site Habitat Baseline'!$D$1:$O$258,12,FALSE)),"",(VLOOKUP($E67,'A-1 Site Habitat Baseline'!$D$1:$O$258,12,FALSE))))</f>
        <v/>
      </c>
      <c r="N67" s="532" t="str">
        <f>IF(E67="","",IF(ISNA(VLOOKUP($E67,'A-1 Site Habitat Baseline'!$D$1:$X$258,14,FALSE)),"",(VLOOKUP($E67,'A-1 Site Habitat Baseline'!$D$1:$X$258,14,FALSE))))</f>
        <v/>
      </c>
      <c r="O67" s="524" t="str">
        <f>IF(E67="","",IF(ISNA(VLOOKUP($E67,'A-1 Site Habitat Baseline'!$D$1:$X$258,16,FALSE)),"",(VLOOKUP($E67,'A-1 Site Habitat Baseline'!$D$1:$X$258,13,FALSE))))</f>
        <v/>
      </c>
      <c r="P67" s="237" t="str">
        <f>IFERROR(INDEX('G-1 All Habitats'!$AG$3:$AG$15,MATCH(Q67,'G-1 All Habitats'!$AF$3:$AF$15,0)),"")</f>
        <v/>
      </c>
      <c r="Q67" s="238" t="str">
        <f t="shared" si="2"/>
        <v/>
      </c>
      <c r="R67" s="238" t="str">
        <f t="shared" si="11"/>
        <v/>
      </c>
      <c r="S67" s="392" t="str">
        <f>IFERROR(INDEX('G-1 All Habitats'!$B$3:$B$129,MATCH(R67,'G-1 All Habitats'!$A$3:$A$129,0)),"")</f>
        <v/>
      </c>
      <c r="T67" s="498" t="str">
        <f t="shared" si="3"/>
        <v/>
      </c>
      <c r="U67" s="499" t="str">
        <f t="shared" si="4"/>
        <v/>
      </c>
      <c r="V67" s="537" t="str">
        <f t="shared" si="5"/>
        <v/>
      </c>
      <c r="W67" s="520" t="str">
        <f>IF(S67="","",VLOOKUP(S67,'G-1 All Habitats'!$B$2:$M$129,10,FALSE))</f>
        <v/>
      </c>
      <c r="X67" s="520" t="str">
        <f>IFERROR(VLOOKUP(W67,'G-1 All Habitats'!$V$3:$W$7,2,FALSE),"")</f>
        <v/>
      </c>
      <c r="Y67" s="79"/>
      <c r="Z67" s="524" t="str">
        <f>IFERROR(INDEX('G-8 Condition Look up'!$A$3:$H$130,MATCH(S67,'G-8 Condition Look up'!$A$3:$A$130,0),MATCH(Y67,'G-8 Condition Look up'!$A$3:$H$3,0)),"")</f>
        <v/>
      </c>
      <c r="AA67" s="71"/>
      <c r="AB67" s="520" t="str">
        <f>IF(AA67="","",IF(VLOOKUP(AA67,'G-3 Multipliers'!$L$3:$N$6,2,FALSE)=0,"Spatial Data Missing ⚠",VLOOKUP(AA67,'G-3 Multipliers'!$L$3:$N$6,2,FALSE)))</f>
        <v/>
      </c>
      <c r="AC67" s="524" t="str">
        <f>IF(AA67="","",IF(VLOOKUP(AA67,'G-3 Multipliers'!$L$3:$N$6,3,FALSE)=0,"Spatial Data Missing ⚠",VLOOKUP(AA67,'G-3 Multipliers'!$L$3:$N$6,3,FALSE)))</f>
        <v/>
      </c>
      <c r="AD67" s="539" t="str">
        <f t="shared" si="1"/>
        <v/>
      </c>
      <c r="AE67" s="82"/>
      <c r="AF67" s="82"/>
      <c r="AG67" s="507" t="str">
        <f t="shared" si="6"/>
        <v/>
      </c>
      <c r="AH67" s="521" t="str">
        <f t="shared" si="7"/>
        <v/>
      </c>
      <c r="AI67" s="522" t="str">
        <f>IF(AH67="Check Data","Check Data",IFERROR(VLOOKUP(AH67,'G-4 Temporal multipliers'!$A$4:$C$36,3,FALSE),""))</f>
        <v/>
      </c>
      <c r="AJ67" s="498" t="str">
        <f>IF(S67="","",VLOOKUP(S67,'G-3 Multipliers'!$A$2:$E$129,4,FALSE))</f>
        <v/>
      </c>
      <c r="AK67" s="507" t="str">
        <f t="shared" si="8"/>
        <v/>
      </c>
      <c r="AL67" s="507" t="str">
        <f t="shared" si="9"/>
        <v/>
      </c>
      <c r="AM67" s="540" t="str">
        <f>IFERROR(IF(F67="","",IF(AH67="Check Data ⚠","Check Data ⚠",VLOOKUP(AL67, 'G-3 Multipliers'!$P$2:$Q$6,2,FALSE))),"")</f>
        <v/>
      </c>
      <c r="AN67" s="513" t="str">
        <f t="shared" si="10"/>
        <v/>
      </c>
      <c r="AO67" s="239"/>
      <c r="AP67" s="240"/>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1" t="str">
        <f>'A-1 Site Habitat Baseline'!AL67</f>
        <v/>
      </c>
      <c r="F68" s="520" t="str">
        <f>IF(E68="","",IF(ISNA(VLOOKUP($E68,'A-1 Site Habitat Baseline'!$D$1:$O$258,4,FALSE)),"",(VLOOKUP($E68,'A-1 Site Habitat Baseline'!$D$1:$O$258,4,FALSE))))</f>
        <v/>
      </c>
      <c r="G68" s="520" t="str">
        <f>IF(E68="","",IF(ISNA(VLOOKUP($E68,'A-1 Site Habitat Baseline'!$D$1:$O$258,5,FALSE)),"",(VLOOKUP($E68,'A-1 Site Habitat Baseline'!$D$1:$O$258,5,FALSE))))</f>
        <v/>
      </c>
      <c r="H68" s="520" t="str">
        <f>IF(E68="","",IF(ISNA(VLOOKUP($E68,'A-1 Site Habitat Baseline'!$D$1:$O$258,6,FALSE)),"",(VLOOKUP($E68,'A-1 Site Habitat Baseline'!$D$1:$O$258,6,FALSE))))</f>
        <v/>
      </c>
      <c r="I68" s="520" t="str">
        <f>IF(E68="","",IF(ISNA(VLOOKUP($E68,'A-1 Site Habitat Baseline'!$D$1:$O$258,7,FALSE)),"",(VLOOKUP($E68,'A-1 Site Habitat Baseline'!$D$1:$O$258,7,FALSE))))</f>
        <v/>
      </c>
      <c r="J68" s="520" t="str">
        <f>IF(E68="","",IF(ISNA(VLOOKUP($E68,'A-1 Site Habitat Baseline'!$D$1:$O$258,8,FALSE)),"",(VLOOKUP($E68,'A-1 Site Habitat Baseline'!$D$1:$O$258,8,FALSE))))</f>
        <v/>
      </c>
      <c r="K68" s="520" t="str">
        <f>IF(E68="","",IF(ISNA(VLOOKUP($E68,'A-1 Site Habitat Baseline'!$D$1:$O$258,9,FALSE)),"",(VLOOKUP($E68,'A-1 Site Habitat Baseline'!$D$1:$O$258,9,FALSE))))</f>
        <v/>
      </c>
      <c r="L68" s="520" t="str">
        <f>IF(E68="","",IF(ISNA(VLOOKUP($E68,'A-1 Site Habitat Baseline'!$D$1:$O$258,11,FALSE)),"",(VLOOKUP($E68,'A-1 Site Habitat Baseline'!$D$1:$O$258,11,FALSE))))</f>
        <v/>
      </c>
      <c r="M68" s="520" t="str">
        <f>IF(E68="","",IF(ISNA(VLOOKUP($E68,'A-1 Site Habitat Baseline'!$D$1:$O$258,12,FALSE)),"",(VLOOKUP($E68,'A-1 Site Habitat Baseline'!$D$1:$O$258,12,FALSE))))</f>
        <v/>
      </c>
      <c r="N68" s="532" t="str">
        <f>IF(E68="","",IF(ISNA(VLOOKUP($E68,'A-1 Site Habitat Baseline'!$D$1:$X$258,14,FALSE)),"",(VLOOKUP($E68,'A-1 Site Habitat Baseline'!$D$1:$X$258,14,FALSE))))</f>
        <v/>
      </c>
      <c r="O68" s="524" t="str">
        <f>IF(E68="","",IF(ISNA(VLOOKUP($E68,'A-1 Site Habitat Baseline'!$D$1:$X$258,16,FALSE)),"",(VLOOKUP($E68,'A-1 Site Habitat Baseline'!$D$1:$X$258,13,FALSE))))</f>
        <v/>
      </c>
      <c r="P68" s="237" t="str">
        <f>IFERROR(INDEX('G-1 All Habitats'!$AG$3:$AG$15,MATCH(Q68,'G-1 All Habitats'!$AF$3:$AF$15,0)),"")</f>
        <v/>
      </c>
      <c r="Q68" s="238" t="str">
        <f t="shared" si="2"/>
        <v/>
      </c>
      <c r="R68" s="238" t="str">
        <f t="shared" si="11"/>
        <v/>
      </c>
      <c r="S68" s="392" t="str">
        <f>IFERROR(INDEX('G-1 All Habitats'!$B$3:$B$129,MATCH(R68,'G-1 All Habitats'!$A$3:$A$129,0)),"")</f>
        <v/>
      </c>
      <c r="T68" s="498" t="str">
        <f t="shared" si="3"/>
        <v/>
      </c>
      <c r="U68" s="499" t="str">
        <f t="shared" si="4"/>
        <v/>
      </c>
      <c r="V68" s="537" t="str">
        <f t="shared" si="5"/>
        <v/>
      </c>
      <c r="W68" s="520" t="str">
        <f>IF(S68="","",VLOOKUP(S68,'G-1 All Habitats'!$B$2:$M$129,10,FALSE))</f>
        <v/>
      </c>
      <c r="X68" s="520" t="str">
        <f>IFERROR(VLOOKUP(W68,'G-1 All Habitats'!$V$3:$W$7,2,FALSE),"")</f>
        <v/>
      </c>
      <c r="Y68" s="79"/>
      <c r="Z68" s="524" t="str">
        <f>IFERROR(INDEX('G-8 Condition Look up'!$A$3:$H$130,MATCH(S68,'G-8 Condition Look up'!$A$3:$A$130,0),MATCH(Y68,'G-8 Condition Look up'!$A$3:$H$3,0)),"")</f>
        <v/>
      </c>
      <c r="AA68" s="71"/>
      <c r="AB68" s="520" t="str">
        <f>IF(AA68="","",IF(VLOOKUP(AA68,'G-3 Multipliers'!$L$3:$N$6,2,FALSE)=0,"Spatial Data Missing ⚠",VLOOKUP(AA68,'G-3 Multipliers'!$L$3:$N$6,2,FALSE)))</f>
        <v/>
      </c>
      <c r="AC68" s="524" t="str">
        <f>IF(AA68="","",IF(VLOOKUP(AA68,'G-3 Multipliers'!$L$3:$N$6,3,FALSE)=0,"Spatial Data Missing ⚠",VLOOKUP(AA68,'G-3 Multipliers'!$L$3:$N$6,3,FALSE)))</f>
        <v/>
      </c>
      <c r="AD68" s="539" t="str">
        <f t="shared" si="1"/>
        <v/>
      </c>
      <c r="AE68" s="82"/>
      <c r="AF68" s="82"/>
      <c r="AG68" s="507" t="str">
        <f t="shared" si="6"/>
        <v/>
      </c>
      <c r="AH68" s="521" t="str">
        <f t="shared" si="7"/>
        <v/>
      </c>
      <c r="AI68" s="522" t="str">
        <f>IF(AH68="Check Data","Check Data",IFERROR(VLOOKUP(AH68,'G-4 Temporal multipliers'!$A$4:$C$36,3,FALSE),""))</f>
        <v/>
      </c>
      <c r="AJ68" s="498" t="str">
        <f>IF(S68="","",VLOOKUP(S68,'G-3 Multipliers'!$A$2:$E$129,4,FALSE))</f>
        <v/>
      </c>
      <c r="AK68" s="507" t="str">
        <f t="shared" si="8"/>
        <v/>
      </c>
      <c r="AL68" s="507" t="str">
        <f t="shared" si="9"/>
        <v/>
      </c>
      <c r="AM68" s="540" t="str">
        <f>IFERROR(IF(F68="","",IF(AH68="Check Data ⚠","Check Data ⚠",VLOOKUP(AL68, 'G-3 Multipliers'!$P$2:$Q$6,2,FALSE))),"")</f>
        <v/>
      </c>
      <c r="AN68" s="513" t="str">
        <f t="shared" si="10"/>
        <v/>
      </c>
      <c r="AO68" s="239"/>
      <c r="AP68" s="240"/>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1" t="str">
        <f>'A-1 Site Habitat Baseline'!AL68</f>
        <v/>
      </c>
      <c r="F69" s="520" t="str">
        <f>IF(E69="","",IF(ISNA(VLOOKUP($E69,'A-1 Site Habitat Baseline'!$D$1:$O$258,4,FALSE)),"",(VLOOKUP($E69,'A-1 Site Habitat Baseline'!$D$1:$O$258,4,FALSE))))</f>
        <v/>
      </c>
      <c r="G69" s="520" t="str">
        <f>IF(E69="","",IF(ISNA(VLOOKUP($E69,'A-1 Site Habitat Baseline'!$D$1:$O$258,5,FALSE)),"",(VLOOKUP($E69,'A-1 Site Habitat Baseline'!$D$1:$O$258,5,FALSE))))</f>
        <v/>
      </c>
      <c r="H69" s="520" t="str">
        <f>IF(E69="","",IF(ISNA(VLOOKUP($E69,'A-1 Site Habitat Baseline'!$D$1:$O$258,6,FALSE)),"",(VLOOKUP($E69,'A-1 Site Habitat Baseline'!$D$1:$O$258,6,FALSE))))</f>
        <v/>
      </c>
      <c r="I69" s="520" t="str">
        <f>IF(E69="","",IF(ISNA(VLOOKUP($E69,'A-1 Site Habitat Baseline'!$D$1:$O$258,7,FALSE)),"",(VLOOKUP($E69,'A-1 Site Habitat Baseline'!$D$1:$O$258,7,FALSE))))</f>
        <v/>
      </c>
      <c r="J69" s="520" t="str">
        <f>IF(E69="","",IF(ISNA(VLOOKUP($E69,'A-1 Site Habitat Baseline'!$D$1:$O$258,8,FALSE)),"",(VLOOKUP($E69,'A-1 Site Habitat Baseline'!$D$1:$O$258,8,FALSE))))</f>
        <v/>
      </c>
      <c r="K69" s="520" t="str">
        <f>IF(E69="","",IF(ISNA(VLOOKUP($E69,'A-1 Site Habitat Baseline'!$D$1:$O$258,9,FALSE)),"",(VLOOKUP($E69,'A-1 Site Habitat Baseline'!$D$1:$O$258,9,FALSE))))</f>
        <v/>
      </c>
      <c r="L69" s="520" t="str">
        <f>IF(E69="","",IF(ISNA(VLOOKUP($E69,'A-1 Site Habitat Baseline'!$D$1:$O$258,11,FALSE)),"",(VLOOKUP($E69,'A-1 Site Habitat Baseline'!$D$1:$O$258,11,FALSE))))</f>
        <v/>
      </c>
      <c r="M69" s="520" t="str">
        <f>IF(E69="","",IF(ISNA(VLOOKUP($E69,'A-1 Site Habitat Baseline'!$D$1:$O$258,12,FALSE)),"",(VLOOKUP($E69,'A-1 Site Habitat Baseline'!$D$1:$O$258,12,FALSE))))</f>
        <v/>
      </c>
      <c r="N69" s="532" t="str">
        <f>IF(E69="","",IF(ISNA(VLOOKUP($E69,'A-1 Site Habitat Baseline'!$D$1:$X$258,14,FALSE)),"",(VLOOKUP($E69,'A-1 Site Habitat Baseline'!$D$1:$X$258,14,FALSE))))</f>
        <v/>
      </c>
      <c r="O69" s="524" t="str">
        <f>IF(E69="","",IF(ISNA(VLOOKUP($E69,'A-1 Site Habitat Baseline'!$D$1:$X$258,16,FALSE)),"",(VLOOKUP($E69,'A-1 Site Habitat Baseline'!$D$1:$X$258,13,FALSE))))</f>
        <v/>
      </c>
      <c r="P69" s="237" t="str">
        <f>IFERROR(INDEX('G-1 All Habitats'!$AG$3:$AG$15,MATCH(Q69,'G-1 All Habitats'!$AF$3:$AF$15,0)),"")</f>
        <v/>
      </c>
      <c r="Q69" s="238" t="str">
        <f t="shared" si="2"/>
        <v/>
      </c>
      <c r="R69" s="238" t="str">
        <f t="shared" si="11"/>
        <v/>
      </c>
      <c r="S69" s="392" t="str">
        <f>IFERROR(INDEX('G-1 All Habitats'!$B$3:$B$129,MATCH(R69,'G-1 All Habitats'!$A$3:$A$129,0)),"")</f>
        <v/>
      </c>
      <c r="T69" s="498" t="str">
        <f t="shared" si="3"/>
        <v/>
      </c>
      <c r="U69" s="499" t="str">
        <f t="shared" si="4"/>
        <v/>
      </c>
      <c r="V69" s="537" t="str">
        <f t="shared" si="5"/>
        <v/>
      </c>
      <c r="W69" s="520" t="str">
        <f>IF(S69="","",VLOOKUP(S69,'G-1 All Habitats'!$B$2:$M$129,10,FALSE))</f>
        <v/>
      </c>
      <c r="X69" s="520" t="str">
        <f>IFERROR(VLOOKUP(W69,'G-1 All Habitats'!$V$3:$W$7,2,FALSE),"")</f>
        <v/>
      </c>
      <c r="Y69" s="79"/>
      <c r="Z69" s="524" t="str">
        <f>IFERROR(INDEX('G-8 Condition Look up'!$A$3:$H$130,MATCH(S69,'G-8 Condition Look up'!$A$3:$A$130,0),MATCH(Y69,'G-8 Condition Look up'!$A$3:$H$3,0)),"")</f>
        <v/>
      </c>
      <c r="AA69" s="71"/>
      <c r="AB69" s="520" t="str">
        <f>IF(AA69="","",IF(VLOOKUP(AA69,'G-3 Multipliers'!$L$3:$N$6,2,FALSE)=0,"Spatial Data Missing ⚠",VLOOKUP(AA69,'G-3 Multipliers'!$L$3:$N$6,2,FALSE)))</f>
        <v/>
      </c>
      <c r="AC69" s="524" t="str">
        <f>IF(AA69="","",IF(VLOOKUP(AA69,'G-3 Multipliers'!$L$3:$N$6,3,FALSE)=0,"Spatial Data Missing ⚠",VLOOKUP(AA69,'G-3 Multipliers'!$L$3:$N$6,3,FALSE)))</f>
        <v/>
      </c>
      <c r="AD69" s="539" t="str">
        <f t="shared" si="1"/>
        <v/>
      </c>
      <c r="AE69" s="82"/>
      <c r="AF69" s="82"/>
      <c r="AG69" s="507" t="str">
        <f t="shared" si="6"/>
        <v/>
      </c>
      <c r="AH69" s="521" t="str">
        <f t="shared" si="7"/>
        <v/>
      </c>
      <c r="AI69" s="522" t="str">
        <f>IF(AH69="Check Data","Check Data",IFERROR(VLOOKUP(AH69,'G-4 Temporal multipliers'!$A$4:$C$36,3,FALSE),""))</f>
        <v/>
      </c>
      <c r="AJ69" s="498" t="str">
        <f>IF(S69="","",VLOOKUP(S69,'G-3 Multipliers'!$A$2:$E$129,4,FALSE))</f>
        <v/>
      </c>
      <c r="AK69" s="507" t="str">
        <f t="shared" si="8"/>
        <v/>
      </c>
      <c r="AL69" s="507" t="str">
        <f t="shared" si="9"/>
        <v/>
      </c>
      <c r="AM69" s="540" t="str">
        <f>IFERROR(IF(F69="","",IF(AH69="Check Data ⚠","Check Data ⚠",VLOOKUP(AL69, 'G-3 Multipliers'!$P$2:$Q$6,2,FALSE))),"")</f>
        <v/>
      </c>
      <c r="AN69" s="513" t="str">
        <f t="shared" si="10"/>
        <v/>
      </c>
      <c r="AO69" s="239"/>
      <c r="AP69" s="240"/>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1" t="str">
        <f>'A-1 Site Habitat Baseline'!AL69</f>
        <v/>
      </c>
      <c r="F70" s="520" t="str">
        <f>IF(E70="","",IF(ISNA(VLOOKUP($E70,'A-1 Site Habitat Baseline'!$D$1:$O$258,4,FALSE)),"",(VLOOKUP($E70,'A-1 Site Habitat Baseline'!$D$1:$O$258,4,FALSE))))</f>
        <v/>
      </c>
      <c r="G70" s="520" t="str">
        <f>IF(E70="","",IF(ISNA(VLOOKUP($E70,'A-1 Site Habitat Baseline'!$D$1:$O$258,5,FALSE)),"",(VLOOKUP($E70,'A-1 Site Habitat Baseline'!$D$1:$O$258,5,FALSE))))</f>
        <v/>
      </c>
      <c r="H70" s="520" t="str">
        <f>IF(E70="","",IF(ISNA(VLOOKUP($E70,'A-1 Site Habitat Baseline'!$D$1:$O$258,6,FALSE)),"",(VLOOKUP($E70,'A-1 Site Habitat Baseline'!$D$1:$O$258,6,FALSE))))</f>
        <v/>
      </c>
      <c r="I70" s="520" t="str">
        <f>IF(E70="","",IF(ISNA(VLOOKUP($E70,'A-1 Site Habitat Baseline'!$D$1:$O$258,7,FALSE)),"",(VLOOKUP($E70,'A-1 Site Habitat Baseline'!$D$1:$O$258,7,FALSE))))</f>
        <v/>
      </c>
      <c r="J70" s="520" t="str">
        <f>IF(E70="","",IF(ISNA(VLOOKUP($E70,'A-1 Site Habitat Baseline'!$D$1:$O$258,8,FALSE)),"",(VLOOKUP($E70,'A-1 Site Habitat Baseline'!$D$1:$O$258,8,FALSE))))</f>
        <v/>
      </c>
      <c r="K70" s="520" t="str">
        <f>IF(E70="","",IF(ISNA(VLOOKUP($E70,'A-1 Site Habitat Baseline'!$D$1:$O$258,9,FALSE)),"",(VLOOKUP($E70,'A-1 Site Habitat Baseline'!$D$1:$O$258,9,FALSE))))</f>
        <v/>
      </c>
      <c r="L70" s="520" t="str">
        <f>IF(E70="","",IF(ISNA(VLOOKUP($E70,'A-1 Site Habitat Baseline'!$D$1:$O$258,11,FALSE)),"",(VLOOKUP($E70,'A-1 Site Habitat Baseline'!$D$1:$O$258,11,FALSE))))</f>
        <v/>
      </c>
      <c r="M70" s="520" t="str">
        <f>IF(E70="","",IF(ISNA(VLOOKUP($E70,'A-1 Site Habitat Baseline'!$D$1:$O$258,12,FALSE)),"",(VLOOKUP($E70,'A-1 Site Habitat Baseline'!$D$1:$O$258,12,FALSE))))</f>
        <v/>
      </c>
      <c r="N70" s="532" t="str">
        <f>IF(E70="","",IF(ISNA(VLOOKUP($E70,'A-1 Site Habitat Baseline'!$D$1:$X$258,14,FALSE)),"",(VLOOKUP($E70,'A-1 Site Habitat Baseline'!$D$1:$X$258,14,FALSE))))</f>
        <v/>
      </c>
      <c r="O70" s="524" t="str">
        <f>IF(E70="","",IF(ISNA(VLOOKUP($E70,'A-1 Site Habitat Baseline'!$D$1:$X$258,16,FALSE)),"",(VLOOKUP($E70,'A-1 Site Habitat Baseline'!$D$1:$X$258,13,FALSE))))</f>
        <v/>
      </c>
      <c r="P70" s="237" t="str">
        <f>IFERROR(INDEX('G-1 All Habitats'!$AG$3:$AG$15,MATCH(Q70,'G-1 All Habitats'!$AF$3:$AF$15,0)),"")</f>
        <v/>
      </c>
      <c r="Q70" s="238" t="str">
        <f t="shared" si="2"/>
        <v/>
      </c>
      <c r="R70" s="238" t="str">
        <f t="shared" si="11"/>
        <v/>
      </c>
      <c r="S70" s="392" t="str">
        <f>IFERROR(INDEX('G-1 All Habitats'!$B$3:$B$129,MATCH(R70,'G-1 All Habitats'!$A$3:$A$129,0)),"")</f>
        <v/>
      </c>
      <c r="T70" s="498" t="str">
        <f t="shared" si="3"/>
        <v/>
      </c>
      <c r="U70" s="499" t="str">
        <f t="shared" si="4"/>
        <v/>
      </c>
      <c r="V70" s="537" t="str">
        <f t="shared" si="5"/>
        <v/>
      </c>
      <c r="W70" s="520" t="str">
        <f>IF(S70="","",VLOOKUP(S70,'G-1 All Habitats'!$B$2:$M$129,10,FALSE))</f>
        <v/>
      </c>
      <c r="X70" s="520" t="str">
        <f>IFERROR(VLOOKUP(W70,'G-1 All Habitats'!$V$3:$W$7,2,FALSE),"")</f>
        <v/>
      </c>
      <c r="Y70" s="79"/>
      <c r="Z70" s="524" t="str">
        <f>IFERROR(INDEX('G-8 Condition Look up'!$A$3:$H$130,MATCH(S70,'G-8 Condition Look up'!$A$3:$A$130,0),MATCH(Y70,'G-8 Condition Look up'!$A$3:$H$3,0)),"")</f>
        <v/>
      </c>
      <c r="AA70" s="71"/>
      <c r="AB70" s="520" t="str">
        <f>IF(AA70="","",IF(VLOOKUP(AA70,'G-3 Multipliers'!$L$3:$N$6,2,FALSE)=0,"Spatial Data Missing ⚠",VLOOKUP(AA70,'G-3 Multipliers'!$L$3:$N$6,2,FALSE)))</f>
        <v/>
      </c>
      <c r="AC70" s="524" t="str">
        <f>IF(AA70="","",IF(VLOOKUP(AA70,'G-3 Multipliers'!$L$3:$N$6,3,FALSE)=0,"Spatial Data Missing ⚠",VLOOKUP(AA70,'G-3 Multipliers'!$L$3:$N$6,3,FALSE)))</f>
        <v/>
      </c>
      <c r="AD70" s="539" t="str">
        <f t="shared" si="1"/>
        <v/>
      </c>
      <c r="AE70" s="82"/>
      <c r="AF70" s="82"/>
      <c r="AG70" s="507" t="str">
        <f t="shared" si="6"/>
        <v/>
      </c>
      <c r="AH70" s="521" t="str">
        <f t="shared" si="7"/>
        <v/>
      </c>
      <c r="AI70" s="522" t="str">
        <f>IF(AH70="Check Data","Check Data",IFERROR(VLOOKUP(AH70,'G-4 Temporal multipliers'!$A$4:$C$36,3,FALSE),""))</f>
        <v/>
      </c>
      <c r="AJ70" s="498" t="str">
        <f>IF(S70="","",VLOOKUP(S70,'G-3 Multipliers'!$A$2:$E$129,4,FALSE))</f>
        <v/>
      </c>
      <c r="AK70" s="507" t="str">
        <f t="shared" si="8"/>
        <v/>
      </c>
      <c r="AL70" s="507" t="str">
        <f t="shared" si="9"/>
        <v/>
      </c>
      <c r="AM70" s="540" t="str">
        <f>IFERROR(IF(F70="","",IF(AH70="Check Data ⚠","Check Data ⚠",VLOOKUP(AL70, 'G-3 Multipliers'!$P$2:$Q$6,2,FALSE))),"")</f>
        <v/>
      </c>
      <c r="AN70" s="513" t="str">
        <f t="shared" si="10"/>
        <v/>
      </c>
      <c r="AO70" s="239"/>
      <c r="AP70" s="240"/>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1" t="str">
        <f>'A-1 Site Habitat Baseline'!AL70</f>
        <v/>
      </c>
      <c r="F71" s="520" t="str">
        <f>IF(E71="","",IF(ISNA(VLOOKUP($E71,'A-1 Site Habitat Baseline'!$D$1:$O$258,4,FALSE)),"",(VLOOKUP($E71,'A-1 Site Habitat Baseline'!$D$1:$O$258,4,FALSE))))</f>
        <v/>
      </c>
      <c r="G71" s="520" t="str">
        <f>IF(E71="","",IF(ISNA(VLOOKUP($E71,'A-1 Site Habitat Baseline'!$D$1:$O$258,5,FALSE)),"",(VLOOKUP($E71,'A-1 Site Habitat Baseline'!$D$1:$O$258,5,FALSE))))</f>
        <v/>
      </c>
      <c r="H71" s="520" t="str">
        <f>IF(E71="","",IF(ISNA(VLOOKUP($E71,'A-1 Site Habitat Baseline'!$D$1:$O$258,6,FALSE)),"",(VLOOKUP($E71,'A-1 Site Habitat Baseline'!$D$1:$O$258,6,FALSE))))</f>
        <v/>
      </c>
      <c r="I71" s="520" t="str">
        <f>IF(E71="","",IF(ISNA(VLOOKUP($E71,'A-1 Site Habitat Baseline'!$D$1:$O$258,7,FALSE)),"",(VLOOKUP($E71,'A-1 Site Habitat Baseline'!$D$1:$O$258,7,FALSE))))</f>
        <v/>
      </c>
      <c r="J71" s="520" t="str">
        <f>IF(E71="","",IF(ISNA(VLOOKUP($E71,'A-1 Site Habitat Baseline'!$D$1:$O$258,8,FALSE)),"",(VLOOKUP($E71,'A-1 Site Habitat Baseline'!$D$1:$O$258,8,FALSE))))</f>
        <v/>
      </c>
      <c r="K71" s="520" t="str">
        <f>IF(E71="","",IF(ISNA(VLOOKUP($E71,'A-1 Site Habitat Baseline'!$D$1:$O$258,9,FALSE)),"",(VLOOKUP($E71,'A-1 Site Habitat Baseline'!$D$1:$O$258,9,FALSE))))</f>
        <v/>
      </c>
      <c r="L71" s="520" t="str">
        <f>IF(E71="","",IF(ISNA(VLOOKUP($E71,'A-1 Site Habitat Baseline'!$D$1:$O$258,11,FALSE)),"",(VLOOKUP($E71,'A-1 Site Habitat Baseline'!$D$1:$O$258,11,FALSE))))</f>
        <v/>
      </c>
      <c r="M71" s="520" t="str">
        <f>IF(E71="","",IF(ISNA(VLOOKUP($E71,'A-1 Site Habitat Baseline'!$D$1:$O$258,12,FALSE)),"",(VLOOKUP($E71,'A-1 Site Habitat Baseline'!$D$1:$O$258,12,FALSE))))</f>
        <v/>
      </c>
      <c r="N71" s="532" t="str">
        <f>IF(E71="","",IF(ISNA(VLOOKUP($E71,'A-1 Site Habitat Baseline'!$D$1:$X$258,14,FALSE)),"",(VLOOKUP($E71,'A-1 Site Habitat Baseline'!$D$1:$X$258,14,FALSE))))</f>
        <v/>
      </c>
      <c r="O71" s="524" t="str">
        <f>IF(E71="","",IF(ISNA(VLOOKUP($E71,'A-1 Site Habitat Baseline'!$D$1:$X$258,16,FALSE)),"",(VLOOKUP($E71,'A-1 Site Habitat Baseline'!$D$1:$X$258,13,FALSE))))</f>
        <v/>
      </c>
      <c r="P71" s="237" t="str">
        <f>IFERROR(INDEX('G-1 All Habitats'!$AG$3:$AG$15,MATCH(Q71,'G-1 All Habitats'!$AF$3:$AF$15,0)),"")</f>
        <v/>
      </c>
      <c r="Q71" s="238" t="str">
        <f t="shared" si="2"/>
        <v/>
      </c>
      <c r="R71" s="238" t="str">
        <f t="shared" si="11"/>
        <v/>
      </c>
      <c r="S71" s="392" t="str">
        <f>IFERROR(INDEX('G-1 All Habitats'!$B$3:$B$129,MATCH(R71,'G-1 All Habitats'!$A$3:$A$129,0)),"")</f>
        <v/>
      </c>
      <c r="T71" s="498" t="str">
        <f t="shared" si="3"/>
        <v/>
      </c>
      <c r="U71" s="499" t="str">
        <f t="shared" si="4"/>
        <v/>
      </c>
      <c r="V71" s="537" t="str">
        <f t="shared" si="5"/>
        <v/>
      </c>
      <c r="W71" s="520" t="str">
        <f>IF(S71="","",VLOOKUP(S71,'G-1 All Habitats'!$B$2:$M$129,10,FALSE))</f>
        <v/>
      </c>
      <c r="X71" s="520" t="str">
        <f>IFERROR(VLOOKUP(W71,'G-1 All Habitats'!$V$3:$W$7,2,FALSE),"")</f>
        <v/>
      </c>
      <c r="Y71" s="79"/>
      <c r="Z71" s="524" t="str">
        <f>IFERROR(INDEX('G-8 Condition Look up'!$A$3:$H$130,MATCH(S71,'G-8 Condition Look up'!$A$3:$A$130,0),MATCH(Y71,'G-8 Condition Look up'!$A$3:$H$3,0)),"")</f>
        <v/>
      </c>
      <c r="AA71" s="71"/>
      <c r="AB71" s="520" t="str">
        <f>IF(AA71="","",IF(VLOOKUP(AA71,'G-3 Multipliers'!$L$3:$N$6,2,FALSE)=0,"Spatial Data Missing ⚠",VLOOKUP(AA71,'G-3 Multipliers'!$L$3:$N$6,2,FALSE)))</f>
        <v/>
      </c>
      <c r="AC71" s="524" t="str">
        <f>IF(AA71="","",IF(VLOOKUP(AA71,'G-3 Multipliers'!$L$3:$N$6,3,FALSE)=0,"Spatial Data Missing ⚠",VLOOKUP(AA71,'G-3 Multipliers'!$L$3:$N$6,3,FALSE)))</f>
        <v/>
      </c>
      <c r="AD71" s="539" t="str">
        <f t="shared" si="1"/>
        <v/>
      </c>
      <c r="AE71" s="82"/>
      <c r="AF71" s="82"/>
      <c r="AG71" s="507" t="str">
        <f t="shared" si="6"/>
        <v/>
      </c>
      <c r="AH71" s="521" t="str">
        <f t="shared" si="7"/>
        <v/>
      </c>
      <c r="AI71" s="522" t="str">
        <f>IF(AH71="Check Data","Check Data",IFERROR(VLOOKUP(AH71,'G-4 Temporal multipliers'!$A$4:$C$36,3,FALSE),""))</f>
        <v/>
      </c>
      <c r="AJ71" s="498" t="str">
        <f>IF(S71="","",VLOOKUP(S71,'G-3 Multipliers'!$A$2:$E$129,4,FALSE))</f>
        <v/>
      </c>
      <c r="AK71" s="507" t="str">
        <f t="shared" si="8"/>
        <v/>
      </c>
      <c r="AL71" s="507" t="str">
        <f t="shared" si="9"/>
        <v/>
      </c>
      <c r="AM71" s="540" t="str">
        <f>IFERROR(IF(F71="","",IF(AH71="Check Data ⚠","Check Data ⚠",VLOOKUP(AL71, 'G-3 Multipliers'!$P$2:$Q$6,2,FALSE))),"")</f>
        <v/>
      </c>
      <c r="AN71" s="513" t="str">
        <f t="shared" si="10"/>
        <v/>
      </c>
      <c r="AO71" s="239"/>
      <c r="AP71" s="240"/>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1" t="str">
        <f>'A-1 Site Habitat Baseline'!AL71</f>
        <v/>
      </c>
      <c r="F72" s="520" t="str">
        <f>IF(E72="","",IF(ISNA(VLOOKUP($E72,'A-1 Site Habitat Baseline'!$D$1:$O$258,4,FALSE)),"",(VLOOKUP($E72,'A-1 Site Habitat Baseline'!$D$1:$O$258,4,FALSE))))</f>
        <v/>
      </c>
      <c r="G72" s="520" t="str">
        <f>IF(E72="","",IF(ISNA(VLOOKUP($E72,'A-1 Site Habitat Baseline'!$D$1:$O$258,5,FALSE)),"",(VLOOKUP($E72,'A-1 Site Habitat Baseline'!$D$1:$O$258,5,FALSE))))</f>
        <v/>
      </c>
      <c r="H72" s="520" t="str">
        <f>IF(E72="","",IF(ISNA(VLOOKUP($E72,'A-1 Site Habitat Baseline'!$D$1:$O$258,6,FALSE)),"",(VLOOKUP($E72,'A-1 Site Habitat Baseline'!$D$1:$O$258,6,FALSE))))</f>
        <v/>
      </c>
      <c r="I72" s="520" t="str">
        <f>IF(E72="","",IF(ISNA(VLOOKUP($E72,'A-1 Site Habitat Baseline'!$D$1:$O$258,7,FALSE)),"",(VLOOKUP($E72,'A-1 Site Habitat Baseline'!$D$1:$O$258,7,FALSE))))</f>
        <v/>
      </c>
      <c r="J72" s="520" t="str">
        <f>IF(E72="","",IF(ISNA(VLOOKUP($E72,'A-1 Site Habitat Baseline'!$D$1:$O$258,8,FALSE)),"",(VLOOKUP($E72,'A-1 Site Habitat Baseline'!$D$1:$O$258,8,FALSE))))</f>
        <v/>
      </c>
      <c r="K72" s="520" t="str">
        <f>IF(E72="","",IF(ISNA(VLOOKUP($E72,'A-1 Site Habitat Baseline'!$D$1:$O$258,9,FALSE)),"",(VLOOKUP($E72,'A-1 Site Habitat Baseline'!$D$1:$O$258,9,FALSE))))</f>
        <v/>
      </c>
      <c r="L72" s="520" t="str">
        <f>IF(E72="","",IF(ISNA(VLOOKUP($E72,'A-1 Site Habitat Baseline'!$D$1:$O$258,11,FALSE)),"",(VLOOKUP($E72,'A-1 Site Habitat Baseline'!$D$1:$O$258,11,FALSE))))</f>
        <v/>
      </c>
      <c r="M72" s="520" t="str">
        <f>IF(E72="","",IF(ISNA(VLOOKUP($E72,'A-1 Site Habitat Baseline'!$D$1:$O$258,12,FALSE)),"",(VLOOKUP($E72,'A-1 Site Habitat Baseline'!$D$1:$O$258,12,FALSE))))</f>
        <v/>
      </c>
      <c r="N72" s="532" t="str">
        <f>IF(E72="","",IF(ISNA(VLOOKUP($E72,'A-1 Site Habitat Baseline'!$D$1:$X$258,14,FALSE)),"",(VLOOKUP($E72,'A-1 Site Habitat Baseline'!$D$1:$X$258,14,FALSE))))</f>
        <v/>
      </c>
      <c r="O72" s="524" t="str">
        <f>IF(E72="","",IF(ISNA(VLOOKUP($E72,'A-1 Site Habitat Baseline'!$D$1:$X$258,16,FALSE)),"",(VLOOKUP($E72,'A-1 Site Habitat Baseline'!$D$1:$X$258,13,FALSE))))</f>
        <v/>
      </c>
      <c r="P72" s="237" t="str">
        <f>IFERROR(INDEX('G-1 All Habitats'!$AG$3:$AG$15,MATCH(Q72,'G-1 All Habitats'!$AF$3:$AF$15,0)),"")</f>
        <v/>
      </c>
      <c r="Q72" s="238" t="str">
        <f t="shared" si="2"/>
        <v/>
      </c>
      <c r="R72" s="238" t="str">
        <f t="shared" si="11"/>
        <v/>
      </c>
      <c r="S72" s="392" t="str">
        <f>IFERROR(INDEX('G-1 All Habitats'!$B$3:$B$129,MATCH(R72,'G-1 All Habitats'!$A$3:$A$129,0)),"")</f>
        <v/>
      </c>
      <c r="T72" s="498" t="str">
        <f t="shared" si="3"/>
        <v/>
      </c>
      <c r="U72" s="499" t="str">
        <f t="shared" si="4"/>
        <v/>
      </c>
      <c r="V72" s="537" t="str">
        <f t="shared" si="5"/>
        <v/>
      </c>
      <c r="W72" s="520" t="str">
        <f>IF(S72="","",VLOOKUP(S72,'G-1 All Habitats'!$B$2:$M$129,10,FALSE))</f>
        <v/>
      </c>
      <c r="X72" s="520" t="str">
        <f>IFERROR(VLOOKUP(W72,'G-1 All Habitats'!$V$3:$W$7,2,FALSE),"")</f>
        <v/>
      </c>
      <c r="Y72" s="79"/>
      <c r="Z72" s="524" t="str">
        <f>IFERROR(INDEX('G-8 Condition Look up'!$A$3:$H$130,MATCH(S72,'G-8 Condition Look up'!$A$3:$A$130,0),MATCH(Y72,'G-8 Condition Look up'!$A$3:$H$3,0)),"")</f>
        <v/>
      </c>
      <c r="AA72" s="71"/>
      <c r="AB72" s="520" t="str">
        <f>IF(AA72="","",IF(VLOOKUP(AA72,'G-3 Multipliers'!$L$3:$N$6,2,FALSE)=0,"Spatial Data Missing ⚠",VLOOKUP(AA72,'G-3 Multipliers'!$L$3:$N$6,2,FALSE)))</f>
        <v/>
      </c>
      <c r="AC72" s="524" t="str">
        <f>IF(AA72="","",IF(VLOOKUP(AA72,'G-3 Multipliers'!$L$3:$N$6,3,FALSE)=0,"Spatial Data Missing ⚠",VLOOKUP(AA72,'G-3 Multipliers'!$L$3:$N$6,3,FALSE)))</f>
        <v/>
      </c>
      <c r="AD72" s="539" t="str">
        <f t="shared" si="1"/>
        <v/>
      </c>
      <c r="AE72" s="82"/>
      <c r="AF72" s="82"/>
      <c r="AG72" s="507" t="str">
        <f t="shared" si="6"/>
        <v/>
      </c>
      <c r="AH72" s="521" t="str">
        <f t="shared" si="7"/>
        <v/>
      </c>
      <c r="AI72" s="522" t="str">
        <f>IF(AH72="Check Data","Check Data",IFERROR(VLOOKUP(AH72,'G-4 Temporal multipliers'!$A$4:$C$36,3,FALSE),""))</f>
        <v/>
      </c>
      <c r="AJ72" s="498" t="str">
        <f>IF(S72="","",VLOOKUP(S72,'G-3 Multipliers'!$A$2:$E$129,4,FALSE))</f>
        <v/>
      </c>
      <c r="AK72" s="507" t="str">
        <f t="shared" si="8"/>
        <v/>
      </c>
      <c r="AL72" s="507" t="str">
        <f t="shared" si="9"/>
        <v/>
      </c>
      <c r="AM72" s="540" t="str">
        <f>IFERROR(IF(F72="","",IF(AH72="Check Data ⚠","Check Data ⚠",VLOOKUP(AL72, 'G-3 Multipliers'!$P$2:$Q$6,2,FALSE))),"")</f>
        <v/>
      </c>
      <c r="AN72" s="513" t="str">
        <f t="shared" si="10"/>
        <v/>
      </c>
      <c r="AO72" s="239"/>
      <c r="AP72" s="240"/>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1" t="str">
        <f>'A-1 Site Habitat Baseline'!AL72</f>
        <v/>
      </c>
      <c r="F73" s="520" t="str">
        <f>IF(E73="","",IF(ISNA(VLOOKUP($E73,'A-1 Site Habitat Baseline'!$D$1:$O$258,4,FALSE)),"",(VLOOKUP($E73,'A-1 Site Habitat Baseline'!$D$1:$O$258,4,FALSE))))</f>
        <v/>
      </c>
      <c r="G73" s="520" t="str">
        <f>IF(E73="","",IF(ISNA(VLOOKUP($E73,'A-1 Site Habitat Baseline'!$D$1:$O$258,5,FALSE)),"",(VLOOKUP($E73,'A-1 Site Habitat Baseline'!$D$1:$O$258,5,FALSE))))</f>
        <v/>
      </c>
      <c r="H73" s="520" t="str">
        <f>IF(E73="","",IF(ISNA(VLOOKUP($E73,'A-1 Site Habitat Baseline'!$D$1:$O$258,6,FALSE)),"",(VLOOKUP($E73,'A-1 Site Habitat Baseline'!$D$1:$O$258,6,FALSE))))</f>
        <v/>
      </c>
      <c r="I73" s="520" t="str">
        <f>IF(E73="","",IF(ISNA(VLOOKUP($E73,'A-1 Site Habitat Baseline'!$D$1:$O$258,7,FALSE)),"",(VLOOKUP($E73,'A-1 Site Habitat Baseline'!$D$1:$O$258,7,FALSE))))</f>
        <v/>
      </c>
      <c r="J73" s="520" t="str">
        <f>IF(E73="","",IF(ISNA(VLOOKUP($E73,'A-1 Site Habitat Baseline'!$D$1:$O$258,8,FALSE)),"",(VLOOKUP($E73,'A-1 Site Habitat Baseline'!$D$1:$O$258,8,FALSE))))</f>
        <v/>
      </c>
      <c r="K73" s="520" t="str">
        <f>IF(E73="","",IF(ISNA(VLOOKUP($E73,'A-1 Site Habitat Baseline'!$D$1:$O$258,9,FALSE)),"",(VLOOKUP($E73,'A-1 Site Habitat Baseline'!$D$1:$O$258,9,FALSE))))</f>
        <v/>
      </c>
      <c r="L73" s="520" t="str">
        <f>IF(E73="","",IF(ISNA(VLOOKUP($E73,'A-1 Site Habitat Baseline'!$D$1:$O$258,11,FALSE)),"",(VLOOKUP($E73,'A-1 Site Habitat Baseline'!$D$1:$O$258,11,FALSE))))</f>
        <v/>
      </c>
      <c r="M73" s="520" t="str">
        <f>IF(E73="","",IF(ISNA(VLOOKUP($E73,'A-1 Site Habitat Baseline'!$D$1:$O$258,12,FALSE)),"",(VLOOKUP($E73,'A-1 Site Habitat Baseline'!$D$1:$O$258,12,FALSE))))</f>
        <v/>
      </c>
      <c r="N73" s="532" t="str">
        <f>IF(E73="","",IF(ISNA(VLOOKUP($E73,'A-1 Site Habitat Baseline'!$D$1:$X$258,14,FALSE)),"",(VLOOKUP($E73,'A-1 Site Habitat Baseline'!$D$1:$X$258,14,FALSE))))</f>
        <v/>
      </c>
      <c r="O73" s="524" t="str">
        <f>IF(E73="","",IF(ISNA(VLOOKUP($E73,'A-1 Site Habitat Baseline'!$D$1:$X$258,16,FALSE)),"",(VLOOKUP($E73,'A-1 Site Habitat Baseline'!$D$1:$X$258,13,FALSE))))</f>
        <v/>
      </c>
      <c r="P73" s="237" t="str">
        <f>IFERROR(INDEX('G-1 All Habitats'!$AG$3:$AG$15,MATCH(Q73,'G-1 All Habitats'!$AF$3:$AF$15,0)),"")</f>
        <v/>
      </c>
      <c r="Q73" s="238" t="str">
        <f t="shared" si="2"/>
        <v/>
      </c>
      <c r="R73" s="238" t="str">
        <f t="shared" si="11"/>
        <v/>
      </c>
      <c r="S73" s="392" t="str">
        <f>IFERROR(INDEX('G-1 All Habitats'!$B$3:$B$129,MATCH(R73,'G-1 All Habitats'!$A$3:$A$129,0)),"")</f>
        <v/>
      </c>
      <c r="T73" s="498" t="str">
        <f t="shared" si="3"/>
        <v/>
      </c>
      <c r="U73" s="499" t="str">
        <f t="shared" si="4"/>
        <v/>
      </c>
      <c r="V73" s="537" t="str">
        <f t="shared" si="5"/>
        <v/>
      </c>
      <c r="W73" s="520" t="str">
        <f>IF(S73="","",VLOOKUP(S73,'G-1 All Habitats'!$B$2:$M$129,10,FALSE))</f>
        <v/>
      </c>
      <c r="X73" s="520" t="str">
        <f>IFERROR(VLOOKUP(W73,'G-1 All Habitats'!$V$3:$W$7,2,FALSE),"")</f>
        <v/>
      </c>
      <c r="Y73" s="79"/>
      <c r="Z73" s="524" t="str">
        <f>IFERROR(INDEX('G-8 Condition Look up'!$A$3:$H$130,MATCH(S73,'G-8 Condition Look up'!$A$3:$A$130,0),MATCH(Y73,'G-8 Condition Look up'!$A$3:$H$3,0)),"")</f>
        <v/>
      </c>
      <c r="AA73" s="71"/>
      <c r="AB73" s="520" t="str">
        <f>IF(AA73="","",IF(VLOOKUP(AA73,'G-3 Multipliers'!$L$3:$N$6,2,FALSE)=0,"Spatial Data Missing ⚠",VLOOKUP(AA73,'G-3 Multipliers'!$L$3:$N$6,2,FALSE)))</f>
        <v/>
      </c>
      <c r="AC73" s="524" t="str">
        <f>IF(AA73="","",IF(VLOOKUP(AA73,'G-3 Multipliers'!$L$3:$N$6,3,FALSE)=0,"Spatial Data Missing ⚠",VLOOKUP(AA73,'G-3 Multipliers'!$L$3:$N$6,3,FALSE)))</f>
        <v/>
      </c>
      <c r="AD73" s="539" t="str">
        <f t="shared" si="1"/>
        <v/>
      </c>
      <c r="AE73" s="82"/>
      <c r="AF73" s="82"/>
      <c r="AG73" s="507" t="str">
        <f t="shared" si="6"/>
        <v/>
      </c>
      <c r="AH73" s="521" t="str">
        <f t="shared" si="7"/>
        <v/>
      </c>
      <c r="AI73" s="522" t="str">
        <f>IF(AH73="Check Data","Check Data",IFERROR(VLOOKUP(AH73,'G-4 Temporal multipliers'!$A$4:$C$36,3,FALSE),""))</f>
        <v/>
      </c>
      <c r="AJ73" s="498" t="str">
        <f>IF(S73="","",VLOOKUP(S73,'G-3 Multipliers'!$A$2:$E$129,4,FALSE))</f>
        <v/>
      </c>
      <c r="AK73" s="507" t="str">
        <f t="shared" si="8"/>
        <v/>
      </c>
      <c r="AL73" s="507" t="str">
        <f t="shared" si="9"/>
        <v/>
      </c>
      <c r="AM73" s="540" t="str">
        <f>IFERROR(IF(F73="","",IF(AH73="Check Data ⚠","Check Data ⚠",VLOOKUP(AL73, 'G-3 Multipliers'!$P$2:$Q$6,2,FALSE))),"")</f>
        <v/>
      </c>
      <c r="AN73" s="513" t="str">
        <f t="shared" si="10"/>
        <v/>
      </c>
      <c r="AO73" s="239"/>
      <c r="AP73" s="240"/>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1" t="str">
        <f>'A-1 Site Habitat Baseline'!AL73</f>
        <v/>
      </c>
      <c r="F74" s="520" t="str">
        <f>IF(E74="","",IF(ISNA(VLOOKUP($E74,'A-1 Site Habitat Baseline'!$D$1:$O$258,4,FALSE)),"",(VLOOKUP($E74,'A-1 Site Habitat Baseline'!$D$1:$O$258,4,FALSE))))</f>
        <v/>
      </c>
      <c r="G74" s="520" t="str">
        <f>IF(E74="","",IF(ISNA(VLOOKUP($E74,'A-1 Site Habitat Baseline'!$D$1:$O$258,5,FALSE)),"",(VLOOKUP($E74,'A-1 Site Habitat Baseline'!$D$1:$O$258,5,FALSE))))</f>
        <v/>
      </c>
      <c r="H74" s="520" t="str">
        <f>IF(E74="","",IF(ISNA(VLOOKUP($E74,'A-1 Site Habitat Baseline'!$D$1:$O$258,6,FALSE)),"",(VLOOKUP($E74,'A-1 Site Habitat Baseline'!$D$1:$O$258,6,FALSE))))</f>
        <v/>
      </c>
      <c r="I74" s="520" t="str">
        <f>IF(E74="","",IF(ISNA(VLOOKUP($E74,'A-1 Site Habitat Baseline'!$D$1:$O$258,7,FALSE)),"",(VLOOKUP($E74,'A-1 Site Habitat Baseline'!$D$1:$O$258,7,FALSE))))</f>
        <v/>
      </c>
      <c r="J74" s="520" t="str">
        <f>IF(E74="","",IF(ISNA(VLOOKUP($E74,'A-1 Site Habitat Baseline'!$D$1:$O$258,8,FALSE)),"",(VLOOKUP($E74,'A-1 Site Habitat Baseline'!$D$1:$O$258,8,FALSE))))</f>
        <v/>
      </c>
      <c r="K74" s="520" t="str">
        <f>IF(E74="","",IF(ISNA(VLOOKUP($E74,'A-1 Site Habitat Baseline'!$D$1:$O$258,9,FALSE)),"",(VLOOKUP($E74,'A-1 Site Habitat Baseline'!$D$1:$O$258,9,FALSE))))</f>
        <v/>
      </c>
      <c r="L74" s="520" t="str">
        <f>IF(E74="","",IF(ISNA(VLOOKUP($E74,'A-1 Site Habitat Baseline'!$D$1:$O$258,11,FALSE)),"",(VLOOKUP($E74,'A-1 Site Habitat Baseline'!$D$1:$O$258,11,FALSE))))</f>
        <v/>
      </c>
      <c r="M74" s="520" t="str">
        <f>IF(E74="","",IF(ISNA(VLOOKUP($E74,'A-1 Site Habitat Baseline'!$D$1:$O$258,12,FALSE)),"",(VLOOKUP($E74,'A-1 Site Habitat Baseline'!$D$1:$O$258,12,FALSE))))</f>
        <v/>
      </c>
      <c r="N74" s="532" t="str">
        <f>IF(E74="","",IF(ISNA(VLOOKUP($E74,'A-1 Site Habitat Baseline'!$D$1:$X$258,14,FALSE)),"",(VLOOKUP($E74,'A-1 Site Habitat Baseline'!$D$1:$X$258,14,FALSE))))</f>
        <v/>
      </c>
      <c r="O74" s="524" t="str">
        <f>IF(E74="","",IF(ISNA(VLOOKUP($E74,'A-1 Site Habitat Baseline'!$D$1:$X$258,16,FALSE)),"",(VLOOKUP($E74,'A-1 Site Habitat Baseline'!$D$1:$X$258,13,FALSE))))</f>
        <v/>
      </c>
      <c r="P74" s="237" t="str">
        <f>IFERROR(INDEX('G-1 All Habitats'!$AG$3:$AG$15,MATCH(Q74,'G-1 All Habitats'!$AF$3:$AF$15,0)),"")</f>
        <v/>
      </c>
      <c r="Q74" s="238" t="str">
        <f t="shared" si="2"/>
        <v/>
      </c>
      <c r="R74" s="238" t="str">
        <f t="shared" si="11"/>
        <v/>
      </c>
      <c r="S74" s="392" t="str">
        <f>IFERROR(INDEX('G-1 All Habitats'!$B$3:$B$129,MATCH(R74,'G-1 All Habitats'!$A$3:$A$129,0)),"")</f>
        <v/>
      </c>
      <c r="T74" s="498" t="str">
        <f t="shared" si="3"/>
        <v/>
      </c>
      <c r="U74" s="499" t="str">
        <f t="shared" si="4"/>
        <v/>
      </c>
      <c r="V74" s="537" t="str">
        <f t="shared" si="5"/>
        <v/>
      </c>
      <c r="W74" s="520" t="str">
        <f>IF(S74="","",VLOOKUP(S74,'G-1 All Habitats'!$B$2:$M$129,10,FALSE))</f>
        <v/>
      </c>
      <c r="X74" s="520" t="str">
        <f>IFERROR(VLOOKUP(W74,'G-1 All Habitats'!$V$3:$W$7,2,FALSE),"")</f>
        <v/>
      </c>
      <c r="Y74" s="79"/>
      <c r="Z74" s="524" t="str">
        <f>IFERROR(INDEX('G-8 Condition Look up'!$A$3:$H$130,MATCH(S74,'G-8 Condition Look up'!$A$3:$A$130,0),MATCH(Y74,'G-8 Condition Look up'!$A$3:$H$3,0)),"")</f>
        <v/>
      </c>
      <c r="AA74" s="71"/>
      <c r="AB74" s="520" t="str">
        <f>IF(AA74="","",IF(VLOOKUP(AA74,'G-3 Multipliers'!$L$3:$N$6,2,FALSE)=0,"Spatial Data Missing ⚠",VLOOKUP(AA74,'G-3 Multipliers'!$L$3:$N$6,2,FALSE)))</f>
        <v/>
      </c>
      <c r="AC74" s="524" t="str">
        <f>IF(AA74="","",IF(VLOOKUP(AA74,'G-3 Multipliers'!$L$3:$N$6,3,FALSE)=0,"Spatial Data Missing ⚠",VLOOKUP(AA74,'G-3 Multipliers'!$L$3:$N$6,3,FALSE)))</f>
        <v/>
      </c>
      <c r="AD74" s="539" t="str">
        <f t="shared" si="1"/>
        <v/>
      </c>
      <c r="AE74" s="82"/>
      <c r="AF74" s="82"/>
      <c r="AG74" s="507" t="str">
        <f t="shared" si="6"/>
        <v/>
      </c>
      <c r="AH74" s="521" t="str">
        <f t="shared" si="7"/>
        <v/>
      </c>
      <c r="AI74" s="522" t="str">
        <f>IF(AH74="Check Data","Check Data",IFERROR(VLOOKUP(AH74,'G-4 Temporal multipliers'!$A$4:$C$36,3,FALSE),""))</f>
        <v/>
      </c>
      <c r="AJ74" s="498" t="str">
        <f>IF(S74="","",VLOOKUP(S74,'G-3 Multipliers'!$A$2:$E$129,4,FALSE))</f>
        <v/>
      </c>
      <c r="AK74" s="507" t="str">
        <f t="shared" si="8"/>
        <v/>
      </c>
      <c r="AL74" s="507" t="str">
        <f t="shared" si="9"/>
        <v/>
      </c>
      <c r="AM74" s="540" t="str">
        <f>IFERROR(IF(F74="","",IF(AH74="Check Data ⚠","Check Data ⚠",VLOOKUP(AL74, 'G-3 Multipliers'!$P$2:$Q$6,2,FALSE))),"")</f>
        <v/>
      </c>
      <c r="AN74" s="513" t="str">
        <f t="shared" si="10"/>
        <v/>
      </c>
      <c r="AO74" s="239"/>
      <c r="AP74" s="240"/>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1" t="str">
        <f>'A-1 Site Habitat Baseline'!AL74</f>
        <v/>
      </c>
      <c r="F75" s="520" t="str">
        <f>IF(E75="","",IF(ISNA(VLOOKUP($E75,'A-1 Site Habitat Baseline'!$D$1:$O$258,4,FALSE)),"",(VLOOKUP($E75,'A-1 Site Habitat Baseline'!$D$1:$O$258,4,FALSE))))</f>
        <v/>
      </c>
      <c r="G75" s="520" t="str">
        <f>IF(E75="","",IF(ISNA(VLOOKUP($E75,'A-1 Site Habitat Baseline'!$D$1:$O$258,5,FALSE)),"",(VLOOKUP($E75,'A-1 Site Habitat Baseline'!$D$1:$O$258,5,FALSE))))</f>
        <v/>
      </c>
      <c r="H75" s="520" t="str">
        <f>IF(E75="","",IF(ISNA(VLOOKUP($E75,'A-1 Site Habitat Baseline'!$D$1:$O$258,6,FALSE)),"",(VLOOKUP($E75,'A-1 Site Habitat Baseline'!$D$1:$O$258,6,FALSE))))</f>
        <v/>
      </c>
      <c r="I75" s="520" t="str">
        <f>IF(E75="","",IF(ISNA(VLOOKUP($E75,'A-1 Site Habitat Baseline'!$D$1:$O$258,7,FALSE)),"",(VLOOKUP($E75,'A-1 Site Habitat Baseline'!$D$1:$O$258,7,FALSE))))</f>
        <v/>
      </c>
      <c r="J75" s="520" t="str">
        <f>IF(E75="","",IF(ISNA(VLOOKUP($E75,'A-1 Site Habitat Baseline'!$D$1:$O$258,8,FALSE)),"",(VLOOKUP($E75,'A-1 Site Habitat Baseline'!$D$1:$O$258,8,FALSE))))</f>
        <v/>
      </c>
      <c r="K75" s="520" t="str">
        <f>IF(E75="","",IF(ISNA(VLOOKUP($E75,'A-1 Site Habitat Baseline'!$D$1:$O$258,9,FALSE)),"",(VLOOKUP($E75,'A-1 Site Habitat Baseline'!$D$1:$O$258,9,FALSE))))</f>
        <v/>
      </c>
      <c r="L75" s="520" t="str">
        <f>IF(E75="","",IF(ISNA(VLOOKUP($E75,'A-1 Site Habitat Baseline'!$D$1:$O$258,11,FALSE)),"",(VLOOKUP($E75,'A-1 Site Habitat Baseline'!$D$1:$O$258,11,FALSE))))</f>
        <v/>
      </c>
      <c r="M75" s="520" t="str">
        <f>IF(E75="","",IF(ISNA(VLOOKUP($E75,'A-1 Site Habitat Baseline'!$D$1:$O$258,12,FALSE)),"",(VLOOKUP($E75,'A-1 Site Habitat Baseline'!$D$1:$O$258,12,FALSE))))</f>
        <v/>
      </c>
      <c r="N75" s="532" t="str">
        <f>IF(E75="","",IF(ISNA(VLOOKUP($E75,'A-1 Site Habitat Baseline'!$D$1:$X$258,14,FALSE)),"",(VLOOKUP($E75,'A-1 Site Habitat Baseline'!$D$1:$X$258,14,FALSE))))</f>
        <v/>
      </c>
      <c r="O75" s="524" t="str">
        <f>IF(E75="","",IF(ISNA(VLOOKUP($E75,'A-1 Site Habitat Baseline'!$D$1:$X$258,16,FALSE)),"",(VLOOKUP($E75,'A-1 Site Habitat Baseline'!$D$1:$X$258,13,FALSE))))</f>
        <v/>
      </c>
      <c r="P75" s="237" t="str">
        <f>IFERROR(INDEX('G-1 All Habitats'!$AG$3:$AG$15,MATCH(Q75,'G-1 All Habitats'!$AF$3:$AF$15,0)),"")</f>
        <v/>
      </c>
      <c r="Q75" s="238" t="str">
        <f t="shared" si="2"/>
        <v/>
      </c>
      <c r="R75" s="238" t="str">
        <f t="shared" si="11"/>
        <v/>
      </c>
      <c r="S75" s="392" t="str">
        <f>IFERROR(INDEX('G-1 All Habitats'!$B$3:$B$129,MATCH(R75,'G-1 All Habitats'!$A$3:$A$129,0)),"")</f>
        <v/>
      </c>
      <c r="T75" s="498" t="str">
        <f t="shared" si="3"/>
        <v/>
      </c>
      <c r="U75" s="499" t="str">
        <f t="shared" si="4"/>
        <v/>
      </c>
      <c r="V75" s="537" t="str">
        <f t="shared" si="5"/>
        <v/>
      </c>
      <c r="W75" s="520" t="str">
        <f>IF(S75="","",VLOOKUP(S75,'G-1 All Habitats'!$B$2:$M$129,10,FALSE))</f>
        <v/>
      </c>
      <c r="X75" s="520" t="str">
        <f>IFERROR(VLOOKUP(W75,'G-1 All Habitats'!$V$3:$W$7,2,FALSE),"")</f>
        <v/>
      </c>
      <c r="Y75" s="79"/>
      <c r="Z75" s="524" t="str">
        <f>IFERROR(INDEX('G-8 Condition Look up'!$A$3:$H$130,MATCH(S75,'G-8 Condition Look up'!$A$3:$A$130,0),MATCH(Y75,'G-8 Condition Look up'!$A$3:$H$3,0)),"")</f>
        <v/>
      </c>
      <c r="AA75" s="71"/>
      <c r="AB75" s="520" t="str">
        <f>IF(AA75="","",IF(VLOOKUP(AA75,'G-3 Multipliers'!$L$3:$N$6,2,FALSE)=0,"Spatial Data Missing ⚠",VLOOKUP(AA75,'G-3 Multipliers'!$L$3:$N$6,2,FALSE)))</f>
        <v/>
      </c>
      <c r="AC75" s="524" t="str">
        <f>IF(AA75="","",IF(VLOOKUP(AA75,'G-3 Multipliers'!$L$3:$N$6,3,FALSE)=0,"Spatial Data Missing ⚠",VLOOKUP(AA75,'G-3 Multipliers'!$L$3:$N$6,3,FALSE)))</f>
        <v/>
      </c>
      <c r="AD75" s="539" t="str">
        <f t="shared" si="1"/>
        <v/>
      </c>
      <c r="AE75" s="82"/>
      <c r="AF75" s="82"/>
      <c r="AG75" s="507" t="str">
        <f t="shared" si="6"/>
        <v/>
      </c>
      <c r="AH75" s="521" t="str">
        <f t="shared" si="7"/>
        <v/>
      </c>
      <c r="AI75" s="522" t="str">
        <f>IF(AH75="Check Data","Check Data",IFERROR(VLOOKUP(AH75,'G-4 Temporal multipliers'!$A$4:$C$36,3,FALSE),""))</f>
        <v/>
      </c>
      <c r="AJ75" s="498" t="str">
        <f>IF(S75="","",VLOOKUP(S75,'G-3 Multipliers'!$A$2:$E$129,4,FALSE))</f>
        <v/>
      </c>
      <c r="AK75" s="507" t="str">
        <f t="shared" si="8"/>
        <v/>
      </c>
      <c r="AL75" s="507" t="str">
        <f t="shared" si="9"/>
        <v/>
      </c>
      <c r="AM75" s="540" t="str">
        <f>IFERROR(IF(F75="","",IF(AH75="Check Data ⚠","Check Data ⚠",VLOOKUP(AL75, 'G-3 Multipliers'!$P$2:$Q$6,2,FALSE))),"")</f>
        <v/>
      </c>
      <c r="AN75" s="513" t="str">
        <f t="shared" si="10"/>
        <v/>
      </c>
      <c r="AO75" s="239"/>
      <c r="AP75" s="240"/>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1" t="str">
        <f>'A-1 Site Habitat Baseline'!AL75</f>
        <v/>
      </c>
      <c r="F76" s="520" t="str">
        <f>IF(E76="","",IF(ISNA(VLOOKUP($E76,'A-1 Site Habitat Baseline'!$D$1:$O$258,4,FALSE)),"",(VLOOKUP($E76,'A-1 Site Habitat Baseline'!$D$1:$O$258,4,FALSE))))</f>
        <v/>
      </c>
      <c r="G76" s="520" t="str">
        <f>IF(E76="","",IF(ISNA(VLOOKUP($E76,'A-1 Site Habitat Baseline'!$D$1:$O$258,5,FALSE)),"",(VLOOKUP($E76,'A-1 Site Habitat Baseline'!$D$1:$O$258,5,FALSE))))</f>
        <v/>
      </c>
      <c r="H76" s="520" t="str">
        <f>IF(E76="","",IF(ISNA(VLOOKUP($E76,'A-1 Site Habitat Baseline'!$D$1:$O$258,6,FALSE)),"",(VLOOKUP($E76,'A-1 Site Habitat Baseline'!$D$1:$O$258,6,FALSE))))</f>
        <v/>
      </c>
      <c r="I76" s="520" t="str">
        <f>IF(E76="","",IF(ISNA(VLOOKUP($E76,'A-1 Site Habitat Baseline'!$D$1:$O$258,7,FALSE)),"",(VLOOKUP($E76,'A-1 Site Habitat Baseline'!$D$1:$O$258,7,FALSE))))</f>
        <v/>
      </c>
      <c r="J76" s="520" t="str">
        <f>IF(E76="","",IF(ISNA(VLOOKUP($E76,'A-1 Site Habitat Baseline'!$D$1:$O$258,8,FALSE)),"",(VLOOKUP($E76,'A-1 Site Habitat Baseline'!$D$1:$O$258,8,FALSE))))</f>
        <v/>
      </c>
      <c r="K76" s="520" t="str">
        <f>IF(E76="","",IF(ISNA(VLOOKUP($E76,'A-1 Site Habitat Baseline'!$D$1:$O$258,9,FALSE)),"",(VLOOKUP($E76,'A-1 Site Habitat Baseline'!$D$1:$O$258,9,FALSE))))</f>
        <v/>
      </c>
      <c r="L76" s="520" t="str">
        <f>IF(E76="","",IF(ISNA(VLOOKUP($E76,'A-1 Site Habitat Baseline'!$D$1:$O$258,11,FALSE)),"",(VLOOKUP($E76,'A-1 Site Habitat Baseline'!$D$1:$O$258,11,FALSE))))</f>
        <v/>
      </c>
      <c r="M76" s="520" t="str">
        <f>IF(E76="","",IF(ISNA(VLOOKUP($E76,'A-1 Site Habitat Baseline'!$D$1:$O$258,12,FALSE)),"",(VLOOKUP($E76,'A-1 Site Habitat Baseline'!$D$1:$O$258,12,FALSE))))</f>
        <v/>
      </c>
      <c r="N76" s="532" t="str">
        <f>IF(E76="","",IF(ISNA(VLOOKUP($E76,'A-1 Site Habitat Baseline'!$D$1:$X$258,14,FALSE)),"",(VLOOKUP($E76,'A-1 Site Habitat Baseline'!$D$1:$X$258,14,FALSE))))</f>
        <v/>
      </c>
      <c r="O76" s="524" t="str">
        <f>IF(E76="","",IF(ISNA(VLOOKUP($E76,'A-1 Site Habitat Baseline'!$D$1:$X$258,16,FALSE)),"",(VLOOKUP($E76,'A-1 Site Habitat Baseline'!$D$1:$X$258,13,FALSE))))</f>
        <v/>
      </c>
      <c r="P76" s="237" t="str">
        <f>IFERROR(INDEX('G-1 All Habitats'!$AG$3:$AG$15,MATCH(Q76,'G-1 All Habitats'!$AF$3:$AF$15,0)),"")</f>
        <v/>
      </c>
      <c r="Q76" s="238" t="str">
        <f t="shared" si="2"/>
        <v/>
      </c>
      <c r="R76" s="238" t="str">
        <f t="shared" si="11"/>
        <v/>
      </c>
      <c r="S76" s="392" t="str">
        <f>IFERROR(INDEX('G-1 All Habitats'!$B$3:$B$129,MATCH(R76,'G-1 All Habitats'!$A$3:$A$129,0)),"")</f>
        <v/>
      </c>
      <c r="T76" s="498" t="str">
        <f t="shared" si="3"/>
        <v/>
      </c>
      <c r="U76" s="499" t="str">
        <f t="shared" si="4"/>
        <v/>
      </c>
      <c r="V76" s="537" t="str">
        <f t="shared" ref="V76:V139" si="12">IF(S76="","",VLOOKUP(E76,BaselineHabSite,17,FALSE))</f>
        <v/>
      </c>
      <c r="W76" s="520" t="str">
        <f>IF(S76="","",VLOOKUP(S76,'G-1 All Habitats'!$B$2:$M$129,10,FALSE))</f>
        <v/>
      </c>
      <c r="X76" s="520" t="str">
        <f>IFERROR(VLOOKUP(W76,'G-1 All Habitats'!$V$3:$W$7,2,FALSE),"")</f>
        <v/>
      </c>
      <c r="Y76" s="79"/>
      <c r="Z76" s="524" t="str">
        <f>IFERROR(INDEX('G-8 Condition Look up'!$A$3:$H$130,MATCH(S76,'G-8 Condition Look up'!$A$3:$A$130,0),MATCH(Y76,'G-8 Condition Look up'!$A$3:$H$3,0)),"")</f>
        <v/>
      </c>
      <c r="AA76" s="71"/>
      <c r="AB76" s="520" t="str">
        <f>IF(AA76="","",IF(VLOOKUP(AA76,'G-3 Multipliers'!$L$3:$N$6,2,FALSE)=0,"Spatial Data Missing ⚠",VLOOKUP(AA76,'G-3 Multipliers'!$L$3:$N$6,2,FALSE)))</f>
        <v/>
      </c>
      <c r="AC76" s="524" t="str">
        <f>IF(AA76="","",IF(VLOOKUP(AA76,'G-3 Multipliers'!$L$3:$N$6,3,FALSE)=0,"Spatial Data Missing ⚠",VLOOKUP(AA76,'G-3 Multipliers'!$L$3:$N$6,3,FALSE)))</f>
        <v/>
      </c>
      <c r="AD76" s="539" t="str">
        <f t="shared" ref="AD76:AD139" si="13">IFERROR(IF(OR(LEFT(U76,5)="Error ▲",LEFT(T76,5)="Error ▲"),"Check Data ⚠",INDEX(EnhanceTemporal,MATCH(S76,EnhanceHabitat,0),MATCH(U76,EnhanceCondition,0))),"")</f>
        <v/>
      </c>
      <c r="AE76" s="82"/>
      <c r="AF76" s="82"/>
      <c r="AG76" s="507" t="str">
        <f t="shared" si="6"/>
        <v/>
      </c>
      <c r="AH76" s="521" t="str">
        <f t="shared" si="7"/>
        <v/>
      </c>
      <c r="AI76" s="522" t="str">
        <f>IF(AH76="Check Data","Check Data",IFERROR(VLOOKUP(AH76,'G-4 Temporal multipliers'!$A$4:$C$36,3,FALSE),""))</f>
        <v/>
      </c>
      <c r="AJ76" s="498" t="str">
        <f>IF(S76="","",VLOOKUP(S76,'G-3 Multipliers'!$A$2:$E$129,4,FALSE))</f>
        <v/>
      </c>
      <c r="AK76" s="507" t="str">
        <f t="shared" si="8"/>
        <v/>
      </c>
      <c r="AL76" s="507" t="str">
        <f t="shared" si="9"/>
        <v/>
      </c>
      <c r="AM76" s="540" t="str">
        <f>IFERROR(IF(F76="","",IF(AH76="Check Data ⚠","Check Data ⚠",VLOOKUP(AL76, 'G-3 Multipliers'!$P$2:$Q$6,2,FALSE))),"")</f>
        <v/>
      </c>
      <c r="AN76" s="513" t="str">
        <f t="shared" ref="AN76:AN139" si="14">IFERROR(((((V76*X76*Z76)-(V76*I76*K76))*(AM76*AI76))+(V76*I76*K76))*(AC76),"")</f>
        <v/>
      </c>
      <c r="AO76" s="239"/>
      <c r="AP76" s="240"/>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1" t="str">
        <f>'A-1 Site Habitat Baseline'!AL76</f>
        <v/>
      </c>
      <c r="F77" s="520" t="str">
        <f>IF(E77="","",IF(ISNA(VLOOKUP($E77,'A-1 Site Habitat Baseline'!$D$1:$O$258,4,FALSE)),"",(VLOOKUP($E77,'A-1 Site Habitat Baseline'!$D$1:$O$258,4,FALSE))))</f>
        <v/>
      </c>
      <c r="G77" s="520" t="str">
        <f>IF(E77="","",IF(ISNA(VLOOKUP($E77,'A-1 Site Habitat Baseline'!$D$1:$O$258,5,FALSE)),"",(VLOOKUP($E77,'A-1 Site Habitat Baseline'!$D$1:$O$258,5,FALSE))))</f>
        <v/>
      </c>
      <c r="H77" s="520" t="str">
        <f>IF(E77="","",IF(ISNA(VLOOKUP($E77,'A-1 Site Habitat Baseline'!$D$1:$O$258,6,FALSE)),"",(VLOOKUP($E77,'A-1 Site Habitat Baseline'!$D$1:$O$258,6,FALSE))))</f>
        <v/>
      </c>
      <c r="I77" s="520" t="str">
        <f>IF(E77="","",IF(ISNA(VLOOKUP($E77,'A-1 Site Habitat Baseline'!$D$1:$O$258,7,FALSE)),"",(VLOOKUP($E77,'A-1 Site Habitat Baseline'!$D$1:$O$258,7,FALSE))))</f>
        <v/>
      </c>
      <c r="J77" s="520" t="str">
        <f>IF(E77="","",IF(ISNA(VLOOKUP($E77,'A-1 Site Habitat Baseline'!$D$1:$O$258,8,FALSE)),"",(VLOOKUP($E77,'A-1 Site Habitat Baseline'!$D$1:$O$258,8,FALSE))))</f>
        <v/>
      </c>
      <c r="K77" s="520" t="str">
        <f>IF(E77="","",IF(ISNA(VLOOKUP($E77,'A-1 Site Habitat Baseline'!$D$1:$O$258,9,FALSE)),"",(VLOOKUP($E77,'A-1 Site Habitat Baseline'!$D$1:$O$258,9,FALSE))))</f>
        <v/>
      </c>
      <c r="L77" s="520" t="str">
        <f>IF(E77="","",IF(ISNA(VLOOKUP($E77,'A-1 Site Habitat Baseline'!$D$1:$O$258,11,FALSE)),"",(VLOOKUP($E77,'A-1 Site Habitat Baseline'!$D$1:$O$258,11,FALSE))))</f>
        <v/>
      </c>
      <c r="M77" s="520" t="str">
        <f>IF(E77="","",IF(ISNA(VLOOKUP($E77,'A-1 Site Habitat Baseline'!$D$1:$O$258,12,FALSE)),"",(VLOOKUP($E77,'A-1 Site Habitat Baseline'!$D$1:$O$258,12,FALSE))))</f>
        <v/>
      </c>
      <c r="N77" s="532" t="str">
        <f>IF(E77="","",IF(ISNA(VLOOKUP($E77,'A-1 Site Habitat Baseline'!$D$1:$X$258,14,FALSE)),"",(VLOOKUP($E77,'A-1 Site Habitat Baseline'!$D$1:$X$258,14,FALSE))))</f>
        <v/>
      </c>
      <c r="O77" s="524" t="str">
        <f>IF(E77="","",IF(ISNA(VLOOKUP($E77,'A-1 Site Habitat Baseline'!$D$1:$X$258,16,FALSE)),"",(VLOOKUP($E77,'A-1 Site Habitat Baseline'!$D$1:$X$258,13,FALSE))))</f>
        <v/>
      </c>
      <c r="P77" s="237" t="str">
        <f>IFERROR(INDEX('G-1 All Habitats'!$AG$3:$AG$15,MATCH(Q77,'G-1 All Habitats'!$AF$3:$AF$15,0)),"")</f>
        <v/>
      </c>
      <c r="Q77" s="238" t="str">
        <f t="shared" ref="Q77:Q140" si="15">A77</f>
        <v/>
      </c>
      <c r="R77" s="238" t="str">
        <f t="shared" ref="R77:R140" si="16">IF(B77="","",B77)</f>
        <v/>
      </c>
      <c r="S77" s="392" t="str">
        <f>IFERROR(INDEX('G-1 All Habitats'!$B$3:$B$129,MATCH(R77,'G-1 All Habitats'!$A$3:$A$129,0)),"")</f>
        <v/>
      </c>
      <c r="T77" s="498"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9"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7" t="str">
        <f t="shared" si="12"/>
        <v/>
      </c>
      <c r="W77" s="520" t="str">
        <f>IF(S77="","",VLOOKUP(S77,'G-1 All Habitats'!$B$2:$M$129,10,FALSE))</f>
        <v/>
      </c>
      <c r="X77" s="520" t="str">
        <f>IFERROR(VLOOKUP(W77,'G-1 All Habitats'!$V$3:$W$7,2,FALSE),"")</f>
        <v/>
      </c>
      <c r="Y77" s="79"/>
      <c r="Z77" s="524" t="str">
        <f>IFERROR(INDEX('G-8 Condition Look up'!$A$3:$H$130,MATCH(S77,'G-8 Condition Look up'!$A$3:$A$130,0),MATCH(Y77,'G-8 Condition Look up'!$A$3:$H$3,0)),"")</f>
        <v/>
      </c>
      <c r="AA77" s="71"/>
      <c r="AB77" s="520" t="str">
        <f>IF(AA77="","",IF(VLOOKUP(AA77,'G-3 Multipliers'!$L$3:$N$6,2,FALSE)=0,"Spatial Data Missing ⚠",VLOOKUP(AA77,'G-3 Multipliers'!$L$3:$N$6,2,FALSE)))</f>
        <v/>
      </c>
      <c r="AC77" s="524" t="str">
        <f>IF(AA77="","",IF(VLOOKUP(AA77,'G-3 Multipliers'!$L$3:$N$6,3,FALSE)=0,"Spatial Data Missing ⚠",VLOOKUP(AA77,'G-3 Multipliers'!$L$3:$N$6,3,FALSE)))</f>
        <v/>
      </c>
      <c r="AD77" s="539" t="str">
        <f t="shared" si="13"/>
        <v/>
      </c>
      <c r="AE77" s="82"/>
      <c r="AF77" s="82"/>
      <c r="AG77" s="507"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1"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2" t="str">
        <f>IF(AH77="Check Data","Check Data",IFERROR(VLOOKUP(AH77,'G-4 Temporal multipliers'!$A$4:$C$36,3,FALSE),""))</f>
        <v/>
      </c>
      <c r="AJ77" s="498" t="str">
        <f>IF(S77="","",VLOOKUP(S77,'G-3 Multipliers'!$A$2:$E$129,4,FALSE))</f>
        <v/>
      </c>
      <c r="AK77" s="507" t="str">
        <f t="shared" ref="AK77:AK140" si="21">IF(E77="","",IF(AG77="Check details - Is there evidence that habitat has reached target condition? ⚠","Low Difficulty - only applicable if all habitat created before losses ⚠","Standard difficulty applied"))</f>
        <v/>
      </c>
      <c r="AL77" s="507" t="str">
        <f t="shared" ref="AL77:AL140" si="22">(IF(AND(AK77="Standard difficulty applied",AD77&gt;AE77),AJ77,IF(AND(AK77="Low Difficulty - only applicable if all habitat created before losses ⚠",AE77&gt;=AD77),"Low", AJ77)))</f>
        <v/>
      </c>
      <c r="AM77" s="540" t="str">
        <f>IFERROR(IF(F77="","",IF(AH77="Check Data ⚠","Check Data ⚠",VLOOKUP(AL77, 'G-3 Multipliers'!$P$2:$Q$6,2,FALSE))),"")</f>
        <v/>
      </c>
      <c r="AN77" s="513" t="str">
        <f t="shared" si="14"/>
        <v/>
      </c>
      <c r="AO77" s="239"/>
      <c r="AP77" s="240"/>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1" t="str">
        <f>'A-1 Site Habitat Baseline'!AL77</f>
        <v/>
      </c>
      <c r="F78" s="520" t="str">
        <f>IF(E78="","",IF(ISNA(VLOOKUP($E78,'A-1 Site Habitat Baseline'!$D$1:$O$258,4,FALSE)),"",(VLOOKUP($E78,'A-1 Site Habitat Baseline'!$D$1:$O$258,4,FALSE))))</f>
        <v/>
      </c>
      <c r="G78" s="520" t="str">
        <f>IF(E78="","",IF(ISNA(VLOOKUP($E78,'A-1 Site Habitat Baseline'!$D$1:$O$258,5,FALSE)),"",(VLOOKUP($E78,'A-1 Site Habitat Baseline'!$D$1:$O$258,5,FALSE))))</f>
        <v/>
      </c>
      <c r="H78" s="520" t="str">
        <f>IF(E78="","",IF(ISNA(VLOOKUP($E78,'A-1 Site Habitat Baseline'!$D$1:$O$258,6,FALSE)),"",(VLOOKUP($E78,'A-1 Site Habitat Baseline'!$D$1:$O$258,6,FALSE))))</f>
        <v/>
      </c>
      <c r="I78" s="520" t="str">
        <f>IF(E78="","",IF(ISNA(VLOOKUP($E78,'A-1 Site Habitat Baseline'!$D$1:$O$258,7,FALSE)),"",(VLOOKUP($E78,'A-1 Site Habitat Baseline'!$D$1:$O$258,7,FALSE))))</f>
        <v/>
      </c>
      <c r="J78" s="520" t="str">
        <f>IF(E78="","",IF(ISNA(VLOOKUP($E78,'A-1 Site Habitat Baseline'!$D$1:$O$258,8,FALSE)),"",(VLOOKUP($E78,'A-1 Site Habitat Baseline'!$D$1:$O$258,8,FALSE))))</f>
        <v/>
      </c>
      <c r="K78" s="520" t="str">
        <f>IF(E78="","",IF(ISNA(VLOOKUP($E78,'A-1 Site Habitat Baseline'!$D$1:$O$258,9,FALSE)),"",(VLOOKUP($E78,'A-1 Site Habitat Baseline'!$D$1:$O$258,9,FALSE))))</f>
        <v/>
      </c>
      <c r="L78" s="520" t="str">
        <f>IF(E78="","",IF(ISNA(VLOOKUP($E78,'A-1 Site Habitat Baseline'!$D$1:$O$258,11,FALSE)),"",(VLOOKUP($E78,'A-1 Site Habitat Baseline'!$D$1:$O$258,11,FALSE))))</f>
        <v/>
      </c>
      <c r="M78" s="520" t="str">
        <f>IF(E78="","",IF(ISNA(VLOOKUP($E78,'A-1 Site Habitat Baseline'!$D$1:$O$258,12,FALSE)),"",(VLOOKUP($E78,'A-1 Site Habitat Baseline'!$D$1:$O$258,12,FALSE))))</f>
        <v/>
      </c>
      <c r="N78" s="532" t="str">
        <f>IF(E78="","",IF(ISNA(VLOOKUP($E78,'A-1 Site Habitat Baseline'!$D$1:$X$258,14,FALSE)),"",(VLOOKUP($E78,'A-1 Site Habitat Baseline'!$D$1:$X$258,14,FALSE))))</f>
        <v/>
      </c>
      <c r="O78" s="524" t="str">
        <f>IF(E78="","",IF(ISNA(VLOOKUP($E78,'A-1 Site Habitat Baseline'!$D$1:$X$258,16,FALSE)),"",(VLOOKUP($E78,'A-1 Site Habitat Baseline'!$D$1:$X$258,13,FALSE))))</f>
        <v/>
      </c>
      <c r="P78" s="237" t="str">
        <f>IFERROR(INDEX('G-1 All Habitats'!$AG$3:$AG$15,MATCH(Q78,'G-1 All Habitats'!$AF$3:$AF$15,0)),"")</f>
        <v/>
      </c>
      <c r="Q78" s="238" t="str">
        <f t="shared" si="15"/>
        <v/>
      </c>
      <c r="R78" s="238" t="str">
        <f t="shared" si="16"/>
        <v/>
      </c>
      <c r="S78" s="392" t="str">
        <f>IFERROR(INDEX('G-1 All Habitats'!$B$3:$B$129,MATCH(R78,'G-1 All Habitats'!$A$3:$A$129,0)),"")</f>
        <v/>
      </c>
      <c r="T78" s="498" t="str">
        <f t="shared" si="17"/>
        <v/>
      </c>
      <c r="U78" s="499" t="str">
        <f t="shared" si="18"/>
        <v/>
      </c>
      <c r="V78" s="537" t="str">
        <f t="shared" si="12"/>
        <v/>
      </c>
      <c r="W78" s="520" t="str">
        <f>IF(S78="","",VLOOKUP(S78,'G-1 All Habitats'!$B$2:$M$129,10,FALSE))</f>
        <v/>
      </c>
      <c r="X78" s="520" t="str">
        <f>IFERROR(VLOOKUP(W78,'G-1 All Habitats'!$V$3:$W$7,2,FALSE),"")</f>
        <v/>
      </c>
      <c r="Y78" s="79"/>
      <c r="Z78" s="524" t="str">
        <f>IFERROR(INDEX('G-8 Condition Look up'!$A$3:$H$130,MATCH(S78,'G-8 Condition Look up'!$A$3:$A$130,0),MATCH(Y78,'G-8 Condition Look up'!$A$3:$H$3,0)),"")</f>
        <v/>
      </c>
      <c r="AA78" s="71"/>
      <c r="AB78" s="520" t="str">
        <f>IF(AA78="","",IF(VLOOKUP(AA78,'G-3 Multipliers'!$L$3:$N$6,2,FALSE)=0,"Spatial Data Missing ⚠",VLOOKUP(AA78,'G-3 Multipliers'!$L$3:$N$6,2,FALSE)))</f>
        <v/>
      </c>
      <c r="AC78" s="524" t="str">
        <f>IF(AA78="","",IF(VLOOKUP(AA78,'G-3 Multipliers'!$L$3:$N$6,3,FALSE)=0,"Spatial Data Missing ⚠",VLOOKUP(AA78,'G-3 Multipliers'!$L$3:$N$6,3,FALSE)))</f>
        <v/>
      </c>
      <c r="AD78" s="539" t="str">
        <f t="shared" si="13"/>
        <v/>
      </c>
      <c r="AE78" s="82"/>
      <c r="AF78" s="82"/>
      <c r="AG78" s="507" t="str">
        <f t="shared" si="19"/>
        <v/>
      </c>
      <c r="AH78" s="521" t="str">
        <f t="shared" si="20"/>
        <v/>
      </c>
      <c r="AI78" s="522" t="str">
        <f>IF(AH78="Check Data","Check Data",IFERROR(VLOOKUP(AH78,'G-4 Temporal multipliers'!$A$4:$C$36,3,FALSE),""))</f>
        <v/>
      </c>
      <c r="AJ78" s="498" t="str">
        <f>IF(S78="","",VLOOKUP(S78,'G-3 Multipliers'!$A$2:$E$129,4,FALSE))</f>
        <v/>
      </c>
      <c r="AK78" s="507" t="str">
        <f t="shared" si="21"/>
        <v/>
      </c>
      <c r="AL78" s="507" t="str">
        <f t="shared" si="22"/>
        <v/>
      </c>
      <c r="AM78" s="540" t="str">
        <f>IFERROR(IF(F78="","",IF(AH78="Check Data ⚠","Check Data ⚠",VLOOKUP(AL78, 'G-3 Multipliers'!$P$2:$Q$6,2,FALSE))),"")</f>
        <v/>
      </c>
      <c r="AN78" s="513" t="str">
        <f t="shared" si="14"/>
        <v/>
      </c>
      <c r="AO78" s="239"/>
      <c r="AP78" s="240"/>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1" t="str">
        <f>'A-1 Site Habitat Baseline'!AL78</f>
        <v/>
      </c>
      <c r="F79" s="520" t="str">
        <f>IF(E79="","",IF(ISNA(VLOOKUP($E79,'A-1 Site Habitat Baseline'!$D$1:$O$258,4,FALSE)),"",(VLOOKUP($E79,'A-1 Site Habitat Baseline'!$D$1:$O$258,4,FALSE))))</f>
        <v/>
      </c>
      <c r="G79" s="520" t="str">
        <f>IF(E79="","",IF(ISNA(VLOOKUP($E79,'A-1 Site Habitat Baseline'!$D$1:$O$258,5,FALSE)),"",(VLOOKUP($E79,'A-1 Site Habitat Baseline'!$D$1:$O$258,5,FALSE))))</f>
        <v/>
      </c>
      <c r="H79" s="520" t="str">
        <f>IF(E79="","",IF(ISNA(VLOOKUP($E79,'A-1 Site Habitat Baseline'!$D$1:$O$258,6,FALSE)),"",(VLOOKUP($E79,'A-1 Site Habitat Baseline'!$D$1:$O$258,6,FALSE))))</f>
        <v/>
      </c>
      <c r="I79" s="520" t="str">
        <f>IF(E79="","",IF(ISNA(VLOOKUP($E79,'A-1 Site Habitat Baseline'!$D$1:$O$258,7,FALSE)),"",(VLOOKUP($E79,'A-1 Site Habitat Baseline'!$D$1:$O$258,7,FALSE))))</f>
        <v/>
      </c>
      <c r="J79" s="520" t="str">
        <f>IF(E79="","",IF(ISNA(VLOOKUP($E79,'A-1 Site Habitat Baseline'!$D$1:$O$258,8,FALSE)),"",(VLOOKUP($E79,'A-1 Site Habitat Baseline'!$D$1:$O$258,8,FALSE))))</f>
        <v/>
      </c>
      <c r="K79" s="520" t="str">
        <f>IF(E79="","",IF(ISNA(VLOOKUP($E79,'A-1 Site Habitat Baseline'!$D$1:$O$258,9,FALSE)),"",(VLOOKUP($E79,'A-1 Site Habitat Baseline'!$D$1:$O$258,9,FALSE))))</f>
        <v/>
      </c>
      <c r="L79" s="520" t="str">
        <f>IF(E79="","",IF(ISNA(VLOOKUP($E79,'A-1 Site Habitat Baseline'!$D$1:$O$258,11,FALSE)),"",(VLOOKUP($E79,'A-1 Site Habitat Baseline'!$D$1:$O$258,11,FALSE))))</f>
        <v/>
      </c>
      <c r="M79" s="520" t="str">
        <f>IF(E79="","",IF(ISNA(VLOOKUP($E79,'A-1 Site Habitat Baseline'!$D$1:$O$258,12,FALSE)),"",(VLOOKUP($E79,'A-1 Site Habitat Baseline'!$D$1:$O$258,12,FALSE))))</f>
        <v/>
      </c>
      <c r="N79" s="532" t="str">
        <f>IF(E79="","",IF(ISNA(VLOOKUP($E79,'A-1 Site Habitat Baseline'!$D$1:$X$258,14,FALSE)),"",(VLOOKUP($E79,'A-1 Site Habitat Baseline'!$D$1:$X$258,14,FALSE))))</f>
        <v/>
      </c>
      <c r="O79" s="524" t="str">
        <f>IF(E79="","",IF(ISNA(VLOOKUP($E79,'A-1 Site Habitat Baseline'!$D$1:$X$258,16,FALSE)),"",(VLOOKUP($E79,'A-1 Site Habitat Baseline'!$D$1:$X$258,13,FALSE))))</f>
        <v/>
      </c>
      <c r="P79" s="237" t="str">
        <f>IFERROR(INDEX('G-1 All Habitats'!$AG$3:$AG$15,MATCH(Q79,'G-1 All Habitats'!$AF$3:$AF$15,0)),"")</f>
        <v/>
      </c>
      <c r="Q79" s="238" t="str">
        <f t="shared" si="15"/>
        <v/>
      </c>
      <c r="R79" s="238" t="str">
        <f t="shared" si="16"/>
        <v/>
      </c>
      <c r="S79" s="392" t="str">
        <f>IFERROR(INDEX('G-1 All Habitats'!$B$3:$B$129,MATCH(R79,'G-1 All Habitats'!$A$3:$A$129,0)),"")</f>
        <v/>
      </c>
      <c r="T79" s="498" t="str">
        <f t="shared" si="17"/>
        <v/>
      </c>
      <c r="U79" s="499" t="str">
        <f t="shared" si="18"/>
        <v/>
      </c>
      <c r="V79" s="537" t="str">
        <f t="shared" si="12"/>
        <v/>
      </c>
      <c r="W79" s="520" t="str">
        <f>IF(S79="","",VLOOKUP(S79,'G-1 All Habitats'!$B$2:$M$129,10,FALSE))</f>
        <v/>
      </c>
      <c r="X79" s="520" t="str">
        <f>IFERROR(VLOOKUP(W79,'G-1 All Habitats'!$V$3:$W$7,2,FALSE),"")</f>
        <v/>
      </c>
      <c r="Y79" s="79"/>
      <c r="Z79" s="524" t="str">
        <f>IFERROR(INDEX('G-8 Condition Look up'!$A$3:$H$130,MATCH(S79,'G-8 Condition Look up'!$A$3:$A$130,0),MATCH(Y79,'G-8 Condition Look up'!$A$3:$H$3,0)),"")</f>
        <v/>
      </c>
      <c r="AA79" s="71"/>
      <c r="AB79" s="520" t="str">
        <f>IF(AA79="","",IF(VLOOKUP(AA79,'G-3 Multipliers'!$L$3:$N$6,2,FALSE)=0,"Spatial Data Missing ⚠",VLOOKUP(AA79,'G-3 Multipliers'!$L$3:$N$6,2,FALSE)))</f>
        <v/>
      </c>
      <c r="AC79" s="524" t="str">
        <f>IF(AA79="","",IF(VLOOKUP(AA79,'G-3 Multipliers'!$L$3:$N$6,3,FALSE)=0,"Spatial Data Missing ⚠",VLOOKUP(AA79,'G-3 Multipliers'!$L$3:$N$6,3,FALSE)))</f>
        <v/>
      </c>
      <c r="AD79" s="539" t="str">
        <f t="shared" si="13"/>
        <v/>
      </c>
      <c r="AE79" s="82"/>
      <c r="AF79" s="82"/>
      <c r="AG79" s="507" t="str">
        <f t="shared" si="19"/>
        <v/>
      </c>
      <c r="AH79" s="521" t="str">
        <f t="shared" si="20"/>
        <v/>
      </c>
      <c r="AI79" s="522" t="str">
        <f>IF(AH79="Check Data","Check Data",IFERROR(VLOOKUP(AH79,'G-4 Temporal multipliers'!$A$4:$C$36,3,FALSE),""))</f>
        <v/>
      </c>
      <c r="AJ79" s="498" t="str">
        <f>IF(S79="","",VLOOKUP(S79,'G-3 Multipliers'!$A$2:$E$129,4,FALSE))</f>
        <v/>
      </c>
      <c r="AK79" s="507" t="str">
        <f t="shared" si="21"/>
        <v/>
      </c>
      <c r="AL79" s="507" t="str">
        <f t="shared" si="22"/>
        <v/>
      </c>
      <c r="AM79" s="540" t="str">
        <f>IFERROR(IF(F79="","",IF(AH79="Check Data ⚠","Check Data ⚠",VLOOKUP(AL79, 'G-3 Multipliers'!$P$2:$Q$6,2,FALSE))),"")</f>
        <v/>
      </c>
      <c r="AN79" s="513" t="str">
        <f t="shared" si="14"/>
        <v/>
      </c>
      <c r="AO79" s="239"/>
      <c r="AP79" s="240"/>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1" t="str">
        <f>'A-1 Site Habitat Baseline'!AL79</f>
        <v/>
      </c>
      <c r="F80" s="520" t="str">
        <f>IF(E80="","",IF(ISNA(VLOOKUP($E80,'A-1 Site Habitat Baseline'!$D$1:$O$258,4,FALSE)),"",(VLOOKUP($E80,'A-1 Site Habitat Baseline'!$D$1:$O$258,4,FALSE))))</f>
        <v/>
      </c>
      <c r="G80" s="520" t="str">
        <f>IF(E80="","",IF(ISNA(VLOOKUP($E80,'A-1 Site Habitat Baseline'!$D$1:$O$258,5,FALSE)),"",(VLOOKUP($E80,'A-1 Site Habitat Baseline'!$D$1:$O$258,5,FALSE))))</f>
        <v/>
      </c>
      <c r="H80" s="520" t="str">
        <f>IF(E80="","",IF(ISNA(VLOOKUP($E80,'A-1 Site Habitat Baseline'!$D$1:$O$258,6,FALSE)),"",(VLOOKUP($E80,'A-1 Site Habitat Baseline'!$D$1:$O$258,6,FALSE))))</f>
        <v/>
      </c>
      <c r="I80" s="520" t="str">
        <f>IF(E80="","",IF(ISNA(VLOOKUP($E80,'A-1 Site Habitat Baseline'!$D$1:$O$258,7,FALSE)),"",(VLOOKUP($E80,'A-1 Site Habitat Baseline'!$D$1:$O$258,7,FALSE))))</f>
        <v/>
      </c>
      <c r="J80" s="520" t="str">
        <f>IF(E80="","",IF(ISNA(VLOOKUP($E80,'A-1 Site Habitat Baseline'!$D$1:$O$258,8,FALSE)),"",(VLOOKUP($E80,'A-1 Site Habitat Baseline'!$D$1:$O$258,8,FALSE))))</f>
        <v/>
      </c>
      <c r="K80" s="520" t="str">
        <f>IF(E80="","",IF(ISNA(VLOOKUP($E80,'A-1 Site Habitat Baseline'!$D$1:$O$258,9,FALSE)),"",(VLOOKUP($E80,'A-1 Site Habitat Baseline'!$D$1:$O$258,9,FALSE))))</f>
        <v/>
      </c>
      <c r="L80" s="520" t="str">
        <f>IF(E80="","",IF(ISNA(VLOOKUP($E80,'A-1 Site Habitat Baseline'!$D$1:$O$258,11,FALSE)),"",(VLOOKUP($E80,'A-1 Site Habitat Baseline'!$D$1:$O$258,11,FALSE))))</f>
        <v/>
      </c>
      <c r="M80" s="520" t="str">
        <f>IF(E80="","",IF(ISNA(VLOOKUP($E80,'A-1 Site Habitat Baseline'!$D$1:$O$258,12,FALSE)),"",(VLOOKUP($E80,'A-1 Site Habitat Baseline'!$D$1:$O$258,12,FALSE))))</f>
        <v/>
      </c>
      <c r="N80" s="532" t="str">
        <f>IF(E80="","",IF(ISNA(VLOOKUP($E80,'A-1 Site Habitat Baseline'!$D$1:$X$258,14,FALSE)),"",(VLOOKUP($E80,'A-1 Site Habitat Baseline'!$D$1:$X$258,14,FALSE))))</f>
        <v/>
      </c>
      <c r="O80" s="524" t="str">
        <f>IF(E80="","",IF(ISNA(VLOOKUP($E80,'A-1 Site Habitat Baseline'!$D$1:$X$258,16,FALSE)),"",(VLOOKUP($E80,'A-1 Site Habitat Baseline'!$D$1:$X$258,13,FALSE))))</f>
        <v/>
      </c>
      <c r="P80" s="237" t="str">
        <f>IFERROR(INDEX('G-1 All Habitats'!$AG$3:$AG$15,MATCH(Q80,'G-1 All Habitats'!$AF$3:$AF$15,0)),"")</f>
        <v/>
      </c>
      <c r="Q80" s="238" t="str">
        <f t="shared" si="15"/>
        <v/>
      </c>
      <c r="R80" s="238" t="str">
        <f t="shared" si="16"/>
        <v/>
      </c>
      <c r="S80" s="392" t="str">
        <f>IFERROR(INDEX('G-1 All Habitats'!$B$3:$B$129,MATCH(R80,'G-1 All Habitats'!$A$3:$A$129,0)),"")</f>
        <v/>
      </c>
      <c r="T80" s="498" t="str">
        <f t="shared" si="17"/>
        <v/>
      </c>
      <c r="U80" s="499" t="str">
        <f t="shared" si="18"/>
        <v/>
      </c>
      <c r="V80" s="537" t="str">
        <f t="shared" si="12"/>
        <v/>
      </c>
      <c r="W80" s="520" t="str">
        <f>IF(S80="","",VLOOKUP(S80,'G-1 All Habitats'!$B$2:$M$129,10,FALSE))</f>
        <v/>
      </c>
      <c r="X80" s="520" t="str">
        <f>IFERROR(VLOOKUP(W80,'G-1 All Habitats'!$V$3:$W$7,2,FALSE),"")</f>
        <v/>
      </c>
      <c r="Y80" s="79"/>
      <c r="Z80" s="524" t="str">
        <f>IFERROR(INDEX('G-8 Condition Look up'!$A$3:$H$130,MATCH(S80,'G-8 Condition Look up'!$A$3:$A$130,0),MATCH(Y80,'G-8 Condition Look up'!$A$3:$H$3,0)),"")</f>
        <v/>
      </c>
      <c r="AA80" s="71"/>
      <c r="AB80" s="520" t="str">
        <f>IF(AA80="","",IF(VLOOKUP(AA80,'G-3 Multipliers'!$L$3:$N$6,2,FALSE)=0,"Spatial Data Missing ⚠",VLOOKUP(AA80,'G-3 Multipliers'!$L$3:$N$6,2,FALSE)))</f>
        <v/>
      </c>
      <c r="AC80" s="524" t="str">
        <f>IF(AA80="","",IF(VLOOKUP(AA80,'G-3 Multipliers'!$L$3:$N$6,3,FALSE)=0,"Spatial Data Missing ⚠",VLOOKUP(AA80,'G-3 Multipliers'!$L$3:$N$6,3,FALSE)))</f>
        <v/>
      </c>
      <c r="AD80" s="539" t="str">
        <f t="shared" si="13"/>
        <v/>
      </c>
      <c r="AE80" s="82"/>
      <c r="AF80" s="82"/>
      <c r="AG80" s="507" t="str">
        <f t="shared" si="19"/>
        <v/>
      </c>
      <c r="AH80" s="521" t="str">
        <f t="shared" si="20"/>
        <v/>
      </c>
      <c r="AI80" s="522" t="str">
        <f>IF(AH80="Check Data","Check Data",IFERROR(VLOOKUP(AH80,'G-4 Temporal multipliers'!$A$4:$C$36,3,FALSE),""))</f>
        <v/>
      </c>
      <c r="AJ80" s="498" t="str">
        <f>IF(S80="","",VLOOKUP(S80,'G-3 Multipliers'!$A$2:$E$129,4,FALSE))</f>
        <v/>
      </c>
      <c r="AK80" s="507" t="str">
        <f t="shared" si="21"/>
        <v/>
      </c>
      <c r="AL80" s="507" t="str">
        <f t="shared" si="22"/>
        <v/>
      </c>
      <c r="AM80" s="540" t="str">
        <f>IFERROR(IF(F80="","",IF(AH80="Check Data ⚠","Check Data ⚠",VLOOKUP(AL80, 'G-3 Multipliers'!$P$2:$Q$6,2,FALSE))),"")</f>
        <v/>
      </c>
      <c r="AN80" s="513" t="str">
        <f t="shared" si="14"/>
        <v/>
      </c>
      <c r="AO80" s="239"/>
      <c r="AP80" s="240"/>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1" t="str">
        <f>'A-1 Site Habitat Baseline'!AL80</f>
        <v/>
      </c>
      <c r="F81" s="520" t="str">
        <f>IF(E81="","",IF(ISNA(VLOOKUP($E81,'A-1 Site Habitat Baseline'!$D$1:$O$258,4,FALSE)),"",(VLOOKUP($E81,'A-1 Site Habitat Baseline'!$D$1:$O$258,4,FALSE))))</f>
        <v/>
      </c>
      <c r="G81" s="520" t="str">
        <f>IF(E81="","",IF(ISNA(VLOOKUP($E81,'A-1 Site Habitat Baseline'!$D$1:$O$258,5,FALSE)),"",(VLOOKUP($E81,'A-1 Site Habitat Baseline'!$D$1:$O$258,5,FALSE))))</f>
        <v/>
      </c>
      <c r="H81" s="520" t="str">
        <f>IF(E81="","",IF(ISNA(VLOOKUP($E81,'A-1 Site Habitat Baseline'!$D$1:$O$258,6,FALSE)),"",(VLOOKUP($E81,'A-1 Site Habitat Baseline'!$D$1:$O$258,6,FALSE))))</f>
        <v/>
      </c>
      <c r="I81" s="520" t="str">
        <f>IF(E81="","",IF(ISNA(VLOOKUP($E81,'A-1 Site Habitat Baseline'!$D$1:$O$258,7,FALSE)),"",(VLOOKUP($E81,'A-1 Site Habitat Baseline'!$D$1:$O$258,7,FALSE))))</f>
        <v/>
      </c>
      <c r="J81" s="520" t="str">
        <f>IF(E81="","",IF(ISNA(VLOOKUP($E81,'A-1 Site Habitat Baseline'!$D$1:$O$258,8,FALSE)),"",(VLOOKUP($E81,'A-1 Site Habitat Baseline'!$D$1:$O$258,8,FALSE))))</f>
        <v/>
      </c>
      <c r="K81" s="520" t="str">
        <f>IF(E81="","",IF(ISNA(VLOOKUP($E81,'A-1 Site Habitat Baseline'!$D$1:$O$258,9,FALSE)),"",(VLOOKUP($E81,'A-1 Site Habitat Baseline'!$D$1:$O$258,9,FALSE))))</f>
        <v/>
      </c>
      <c r="L81" s="520" t="str">
        <f>IF(E81="","",IF(ISNA(VLOOKUP($E81,'A-1 Site Habitat Baseline'!$D$1:$O$258,11,FALSE)),"",(VLOOKUP($E81,'A-1 Site Habitat Baseline'!$D$1:$O$258,11,FALSE))))</f>
        <v/>
      </c>
      <c r="M81" s="520" t="str">
        <f>IF(E81="","",IF(ISNA(VLOOKUP($E81,'A-1 Site Habitat Baseline'!$D$1:$O$258,12,FALSE)),"",(VLOOKUP($E81,'A-1 Site Habitat Baseline'!$D$1:$O$258,12,FALSE))))</f>
        <v/>
      </c>
      <c r="N81" s="532" t="str">
        <f>IF(E81="","",IF(ISNA(VLOOKUP($E81,'A-1 Site Habitat Baseline'!$D$1:$X$258,14,FALSE)),"",(VLOOKUP($E81,'A-1 Site Habitat Baseline'!$D$1:$X$258,14,FALSE))))</f>
        <v/>
      </c>
      <c r="O81" s="524" t="str">
        <f>IF(E81="","",IF(ISNA(VLOOKUP($E81,'A-1 Site Habitat Baseline'!$D$1:$X$258,16,FALSE)),"",(VLOOKUP($E81,'A-1 Site Habitat Baseline'!$D$1:$X$258,13,FALSE))))</f>
        <v/>
      </c>
      <c r="P81" s="237" t="str">
        <f>IFERROR(INDEX('G-1 All Habitats'!$AG$3:$AG$15,MATCH(Q81,'G-1 All Habitats'!$AF$3:$AF$15,0)),"")</f>
        <v/>
      </c>
      <c r="Q81" s="238" t="str">
        <f t="shared" si="15"/>
        <v/>
      </c>
      <c r="R81" s="238" t="str">
        <f t="shared" si="16"/>
        <v/>
      </c>
      <c r="S81" s="392" t="str">
        <f>IFERROR(INDEX('G-1 All Habitats'!$B$3:$B$129,MATCH(R81,'G-1 All Habitats'!$A$3:$A$129,0)),"")</f>
        <v/>
      </c>
      <c r="T81" s="498" t="str">
        <f t="shared" si="17"/>
        <v/>
      </c>
      <c r="U81" s="499" t="str">
        <f t="shared" si="18"/>
        <v/>
      </c>
      <c r="V81" s="537" t="str">
        <f t="shared" si="12"/>
        <v/>
      </c>
      <c r="W81" s="520" t="str">
        <f>IF(S81="","",VLOOKUP(S81,'G-1 All Habitats'!$B$2:$M$129,10,FALSE))</f>
        <v/>
      </c>
      <c r="X81" s="520" t="str">
        <f>IFERROR(VLOOKUP(W81,'G-1 All Habitats'!$V$3:$W$7,2,FALSE),"")</f>
        <v/>
      </c>
      <c r="Y81" s="79"/>
      <c r="Z81" s="524" t="str">
        <f>IFERROR(INDEX('G-8 Condition Look up'!$A$3:$H$130,MATCH(S81,'G-8 Condition Look up'!$A$3:$A$130,0),MATCH(Y81,'G-8 Condition Look up'!$A$3:$H$3,0)),"")</f>
        <v/>
      </c>
      <c r="AA81" s="71"/>
      <c r="AB81" s="520" t="str">
        <f>IF(AA81="","",IF(VLOOKUP(AA81,'G-3 Multipliers'!$L$3:$N$6,2,FALSE)=0,"Spatial Data Missing ⚠",VLOOKUP(AA81,'G-3 Multipliers'!$L$3:$N$6,2,FALSE)))</f>
        <v/>
      </c>
      <c r="AC81" s="524" t="str">
        <f>IF(AA81="","",IF(VLOOKUP(AA81,'G-3 Multipliers'!$L$3:$N$6,3,FALSE)=0,"Spatial Data Missing ⚠",VLOOKUP(AA81,'G-3 Multipliers'!$L$3:$N$6,3,FALSE)))</f>
        <v/>
      </c>
      <c r="AD81" s="539" t="str">
        <f t="shared" si="13"/>
        <v/>
      </c>
      <c r="AE81" s="82"/>
      <c r="AF81" s="82"/>
      <c r="AG81" s="507" t="str">
        <f t="shared" si="19"/>
        <v/>
      </c>
      <c r="AH81" s="521" t="str">
        <f t="shared" si="20"/>
        <v/>
      </c>
      <c r="AI81" s="522" t="str">
        <f>IF(AH81="Check Data","Check Data",IFERROR(VLOOKUP(AH81,'G-4 Temporal multipliers'!$A$4:$C$36,3,FALSE),""))</f>
        <v/>
      </c>
      <c r="AJ81" s="498" t="str">
        <f>IF(S81="","",VLOOKUP(S81,'G-3 Multipliers'!$A$2:$E$129,4,FALSE))</f>
        <v/>
      </c>
      <c r="AK81" s="507" t="str">
        <f t="shared" si="21"/>
        <v/>
      </c>
      <c r="AL81" s="507" t="str">
        <f t="shared" si="22"/>
        <v/>
      </c>
      <c r="AM81" s="540" t="str">
        <f>IFERROR(IF(F81="","",IF(AH81="Check Data ⚠","Check Data ⚠",VLOOKUP(AL81, 'G-3 Multipliers'!$P$2:$Q$6,2,FALSE))),"")</f>
        <v/>
      </c>
      <c r="AN81" s="513" t="str">
        <f t="shared" si="14"/>
        <v/>
      </c>
      <c r="AO81" s="239"/>
      <c r="AP81" s="240"/>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1" t="str">
        <f>'A-1 Site Habitat Baseline'!AL81</f>
        <v/>
      </c>
      <c r="F82" s="520" t="str">
        <f>IF(E82="","",IF(ISNA(VLOOKUP($E82,'A-1 Site Habitat Baseline'!$D$1:$O$258,4,FALSE)),"",(VLOOKUP($E82,'A-1 Site Habitat Baseline'!$D$1:$O$258,4,FALSE))))</f>
        <v/>
      </c>
      <c r="G82" s="520" t="str">
        <f>IF(E82="","",IF(ISNA(VLOOKUP($E82,'A-1 Site Habitat Baseline'!$D$1:$O$258,5,FALSE)),"",(VLOOKUP($E82,'A-1 Site Habitat Baseline'!$D$1:$O$258,5,FALSE))))</f>
        <v/>
      </c>
      <c r="H82" s="520" t="str">
        <f>IF(E82="","",IF(ISNA(VLOOKUP($E82,'A-1 Site Habitat Baseline'!$D$1:$O$258,6,FALSE)),"",(VLOOKUP($E82,'A-1 Site Habitat Baseline'!$D$1:$O$258,6,FALSE))))</f>
        <v/>
      </c>
      <c r="I82" s="520" t="str">
        <f>IF(E82="","",IF(ISNA(VLOOKUP($E82,'A-1 Site Habitat Baseline'!$D$1:$O$258,7,FALSE)),"",(VLOOKUP($E82,'A-1 Site Habitat Baseline'!$D$1:$O$258,7,FALSE))))</f>
        <v/>
      </c>
      <c r="J82" s="520" t="str">
        <f>IF(E82="","",IF(ISNA(VLOOKUP($E82,'A-1 Site Habitat Baseline'!$D$1:$O$258,8,FALSE)),"",(VLOOKUP($E82,'A-1 Site Habitat Baseline'!$D$1:$O$258,8,FALSE))))</f>
        <v/>
      </c>
      <c r="K82" s="520" t="str">
        <f>IF(E82="","",IF(ISNA(VLOOKUP($E82,'A-1 Site Habitat Baseline'!$D$1:$O$258,9,FALSE)),"",(VLOOKUP($E82,'A-1 Site Habitat Baseline'!$D$1:$O$258,9,FALSE))))</f>
        <v/>
      </c>
      <c r="L82" s="520" t="str">
        <f>IF(E82="","",IF(ISNA(VLOOKUP($E82,'A-1 Site Habitat Baseline'!$D$1:$O$258,11,FALSE)),"",(VLOOKUP($E82,'A-1 Site Habitat Baseline'!$D$1:$O$258,11,FALSE))))</f>
        <v/>
      </c>
      <c r="M82" s="520" t="str">
        <f>IF(E82="","",IF(ISNA(VLOOKUP($E82,'A-1 Site Habitat Baseline'!$D$1:$O$258,12,FALSE)),"",(VLOOKUP($E82,'A-1 Site Habitat Baseline'!$D$1:$O$258,12,FALSE))))</f>
        <v/>
      </c>
      <c r="N82" s="532" t="str">
        <f>IF(E82="","",IF(ISNA(VLOOKUP($E82,'A-1 Site Habitat Baseline'!$D$1:$X$258,14,FALSE)),"",(VLOOKUP($E82,'A-1 Site Habitat Baseline'!$D$1:$X$258,14,FALSE))))</f>
        <v/>
      </c>
      <c r="O82" s="524" t="str">
        <f>IF(E82="","",IF(ISNA(VLOOKUP($E82,'A-1 Site Habitat Baseline'!$D$1:$X$258,16,FALSE)),"",(VLOOKUP($E82,'A-1 Site Habitat Baseline'!$D$1:$X$258,13,FALSE))))</f>
        <v/>
      </c>
      <c r="P82" s="237" t="str">
        <f>IFERROR(INDEX('G-1 All Habitats'!$AG$3:$AG$15,MATCH(Q82,'G-1 All Habitats'!$AF$3:$AF$15,0)),"")</f>
        <v/>
      </c>
      <c r="Q82" s="238" t="str">
        <f t="shared" si="15"/>
        <v/>
      </c>
      <c r="R82" s="238" t="str">
        <f t="shared" si="16"/>
        <v/>
      </c>
      <c r="S82" s="392" t="str">
        <f>IFERROR(INDEX('G-1 All Habitats'!$B$3:$B$129,MATCH(R82,'G-1 All Habitats'!$A$3:$A$129,0)),"")</f>
        <v/>
      </c>
      <c r="T82" s="498" t="str">
        <f t="shared" si="17"/>
        <v/>
      </c>
      <c r="U82" s="499" t="str">
        <f t="shared" si="18"/>
        <v/>
      </c>
      <c r="V82" s="537" t="str">
        <f t="shared" si="12"/>
        <v/>
      </c>
      <c r="W82" s="520" t="str">
        <f>IF(S82="","",VLOOKUP(S82,'G-1 All Habitats'!$B$2:$M$129,10,FALSE))</f>
        <v/>
      </c>
      <c r="X82" s="520" t="str">
        <f>IFERROR(VLOOKUP(W82,'G-1 All Habitats'!$V$3:$W$7,2,FALSE),"")</f>
        <v/>
      </c>
      <c r="Y82" s="79"/>
      <c r="Z82" s="524" t="str">
        <f>IFERROR(INDEX('G-8 Condition Look up'!$A$3:$H$130,MATCH(S82,'G-8 Condition Look up'!$A$3:$A$130,0),MATCH(Y82,'G-8 Condition Look up'!$A$3:$H$3,0)),"")</f>
        <v/>
      </c>
      <c r="AA82" s="71"/>
      <c r="AB82" s="520" t="str">
        <f>IF(AA82="","",IF(VLOOKUP(AA82,'G-3 Multipliers'!$L$3:$N$6,2,FALSE)=0,"Spatial Data Missing ⚠",VLOOKUP(AA82,'G-3 Multipliers'!$L$3:$N$6,2,FALSE)))</f>
        <v/>
      </c>
      <c r="AC82" s="524" t="str">
        <f>IF(AA82="","",IF(VLOOKUP(AA82,'G-3 Multipliers'!$L$3:$N$6,3,FALSE)=0,"Spatial Data Missing ⚠",VLOOKUP(AA82,'G-3 Multipliers'!$L$3:$N$6,3,FALSE)))</f>
        <v/>
      </c>
      <c r="AD82" s="539" t="str">
        <f t="shared" si="13"/>
        <v/>
      </c>
      <c r="AE82" s="82"/>
      <c r="AF82" s="82"/>
      <c r="AG82" s="507" t="str">
        <f t="shared" si="19"/>
        <v/>
      </c>
      <c r="AH82" s="521" t="str">
        <f t="shared" si="20"/>
        <v/>
      </c>
      <c r="AI82" s="522" t="str">
        <f>IF(AH82="Check Data","Check Data",IFERROR(VLOOKUP(AH82,'G-4 Temporal multipliers'!$A$4:$C$36,3,FALSE),""))</f>
        <v/>
      </c>
      <c r="AJ82" s="498" t="str">
        <f>IF(S82="","",VLOOKUP(S82,'G-3 Multipliers'!$A$2:$E$129,4,FALSE))</f>
        <v/>
      </c>
      <c r="AK82" s="507" t="str">
        <f t="shared" si="21"/>
        <v/>
      </c>
      <c r="AL82" s="507" t="str">
        <f t="shared" si="22"/>
        <v/>
      </c>
      <c r="AM82" s="540" t="str">
        <f>IFERROR(IF(F82="","",IF(AH82="Check Data ⚠","Check Data ⚠",VLOOKUP(AL82, 'G-3 Multipliers'!$P$2:$Q$6,2,FALSE))),"")</f>
        <v/>
      </c>
      <c r="AN82" s="513" t="str">
        <f t="shared" si="14"/>
        <v/>
      </c>
      <c r="AO82" s="239"/>
      <c r="AP82" s="240"/>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1" t="str">
        <f>'A-1 Site Habitat Baseline'!AL82</f>
        <v/>
      </c>
      <c r="F83" s="520" t="str">
        <f>IF(E83="","",IF(ISNA(VLOOKUP($E83,'A-1 Site Habitat Baseline'!$D$1:$O$258,4,FALSE)),"",(VLOOKUP($E83,'A-1 Site Habitat Baseline'!$D$1:$O$258,4,FALSE))))</f>
        <v/>
      </c>
      <c r="G83" s="520" t="str">
        <f>IF(E83="","",IF(ISNA(VLOOKUP($E83,'A-1 Site Habitat Baseline'!$D$1:$O$258,5,FALSE)),"",(VLOOKUP($E83,'A-1 Site Habitat Baseline'!$D$1:$O$258,5,FALSE))))</f>
        <v/>
      </c>
      <c r="H83" s="520" t="str">
        <f>IF(E83="","",IF(ISNA(VLOOKUP($E83,'A-1 Site Habitat Baseline'!$D$1:$O$258,6,FALSE)),"",(VLOOKUP($E83,'A-1 Site Habitat Baseline'!$D$1:$O$258,6,FALSE))))</f>
        <v/>
      </c>
      <c r="I83" s="520" t="str">
        <f>IF(E83="","",IF(ISNA(VLOOKUP($E83,'A-1 Site Habitat Baseline'!$D$1:$O$258,7,FALSE)),"",(VLOOKUP($E83,'A-1 Site Habitat Baseline'!$D$1:$O$258,7,FALSE))))</f>
        <v/>
      </c>
      <c r="J83" s="520" t="str">
        <f>IF(E83="","",IF(ISNA(VLOOKUP($E83,'A-1 Site Habitat Baseline'!$D$1:$O$258,8,FALSE)),"",(VLOOKUP($E83,'A-1 Site Habitat Baseline'!$D$1:$O$258,8,FALSE))))</f>
        <v/>
      </c>
      <c r="K83" s="520" t="str">
        <f>IF(E83="","",IF(ISNA(VLOOKUP($E83,'A-1 Site Habitat Baseline'!$D$1:$O$258,9,FALSE)),"",(VLOOKUP($E83,'A-1 Site Habitat Baseline'!$D$1:$O$258,9,FALSE))))</f>
        <v/>
      </c>
      <c r="L83" s="520" t="str">
        <f>IF(E83="","",IF(ISNA(VLOOKUP($E83,'A-1 Site Habitat Baseline'!$D$1:$O$258,11,FALSE)),"",(VLOOKUP($E83,'A-1 Site Habitat Baseline'!$D$1:$O$258,11,FALSE))))</f>
        <v/>
      </c>
      <c r="M83" s="520" t="str">
        <f>IF(E83="","",IF(ISNA(VLOOKUP($E83,'A-1 Site Habitat Baseline'!$D$1:$O$258,12,FALSE)),"",(VLOOKUP($E83,'A-1 Site Habitat Baseline'!$D$1:$O$258,12,FALSE))))</f>
        <v/>
      </c>
      <c r="N83" s="532" t="str">
        <f>IF(E83="","",IF(ISNA(VLOOKUP($E83,'A-1 Site Habitat Baseline'!$D$1:$X$258,14,FALSE)),"",(VLOOKUP($E83,'A-1 Site Habitat Baseline'!$D$1:$X$258,14,FALSE))))</f>
        <v/>
      </c>
      <c r="O83" s="524" t="str">
        <f>IF(E83="","",IF(ISNA(VLOOKUP($E83,'A-1 Site Habitat Baseline'!$D$1:$X$258,16,FALSE)),"",(VLOOKUP($E83,'A-1 Site Habitat Baseline'!$D$1:$X$258,13,FALSE))))</f>
        <v/>
      </c>
      <c r="P83" s="237" t="str">
        <f>IFERROR(INDEX('G-1 All Habitats'!$AG$3:$AG$15,MATCH(Q83,'G-1 All Habitats'!$AF$3:$AF$15,0)),"")</f>
        <v/>
      </c>
      <c r="Q83" s="238" t="str">
        <f t="shared" si="15"/>
        <v/>
      </c>
      <c r="R83" s="238" t="str">
        <f t="shared" si="16"/>
        <v/>
      </c>
      <c r="S83" s="392" t="str">
        <f>IFERROR(INDEX('G-1 All Habitats'!$B$3:$B$129,MATCH(R83,'G-1 All Habitats'!$A$3:$A$129,0)),"")</f>
        <v/>
      </c>
      <c r="T83" s="498" t="str">
        <f t="shared" si="17"/>
        <v/>
      </c>
      <c r="U83" s="499" t="str">
        <f t="shared" si="18"/>
        <v/>
      </c>
      <c r="V83" s="537" t="str">
        <f t="shared" si="12"/>
        <v/>
      </c>
      <c r="W83" s="520" t="str">
        <f>IF(S83="","",VLOOKUP(S83,'G-1 All Habitats'!$B$2:$M$129,10,FALSE))</f>
        <v/>
      </c>
      <c r="X83" s="520" t="str">
        <f>IFERROR(VLOOKUP(W83,'G-1 All Habitats'!$V$3:$W$7,2,FALSE),"")</f>
        <v/>
      </c>
      <c r="Y83" s="79"/>
      <c r="Z83" s="524" t="str">
        <f>IFERROR(INDEX('G-8 Condition Look up'!$A$3:$H$130,MATCH(S83,'G-8 Condition Look up'!$A$3:$A$130,0),MATCH(Y83,'G-8 Condition Look up'!$A$3:$H$3,0)),"")</f>
        <v/>
      </c>
      <c r="AA83" s="71"/>
      <c r="AB83" s="520" t="str">
        <f>IF(AA83="","",IF(VLOOKUP(AA83,'G-3 Multipliers'!$L$3:$N$6,2,FALSE)=0,"Spatial Data Missing ⚠",VLOOKUP(AA83,'G-3 Multipliers'!$L$3:$N$6,2,FALSE)))</f>
        <v/>
      </c>
      <c r="AC83" s="524" t="str">
        <f>IF(AA83="","",IF(VLOOKUP(AA83,'G-3 Multipliers'!$L$3:$N$6,3,FALSE)=0,"Spatial Data Missing ⚠",VLOOKUP(AA83,'G-3 Multipliers'!$L$3:$N$6,3,FALSE)))</f>
        <v/>
      </c>
      <c r="AD83" s="539" t="str">
        <f t="shared" si="13"/>
        <v/>
      </c>
      <c r="AE83" s="82"/>
      <c r="AF83" s="82"/>
      <c r="AG83" s="507" t="str">
        <f t="shared" si="19"/>
        <v/>
      </c>
      <c r="AH83" s="521" t="str">
        <f t="shared" si="20"/>
        <v/>
      </c>
      <c r="AI83" s="522" t="str">
        <f>IF(AH83="Check Data","Check Data",IFERROR(VLOOKUP(AH83,'G-4 Temporal multipliers'!$A$4:$C$36,3,FALSE),""))</f>
        <v/>
      </c>
      <c r="AJ83" s="498" t="str">
        <f>IF(S83="","",VLOOKUP(S83,'G-3 Multipliers'!$A$2:$E$129,4,FALSE))</f>
        <v/>
      </c>
      <c r="AK83" s="507" t="str">
        <f t="shared" si="21"/>
        <v/>
      </c>
      <c r="AL83" s="507" t="str">
        <f t="shared" si="22"/>
        <v/>
      </c>
      <c r="AM83" s="540" t="str">
        <f>IFERROR(IF(F83="","",IF(AH83="Check Data ⚠","Check Data ⚠",VLOOKUP(AL83, 'G-3 Multipliers'!$P$2:$Q$6,2,FALSE))),"")</f>
        <v/>
      </c>
      <c r="AN83" s="513" t="str">
        <f t="shared" si="14"/>
        <v/>
      </c>
      <c r="AO83" s="239"/>
      <c r="AP83" s="240"/>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1" t="str">
        <f>'A-1 Site Habitat Baseline'!AL83</f>
        <v/>
      </c>
      <c r="F84" s="520" t="str">
        <f>IF(E84="","",IF(ISNA(VLOOKUP($E84,'A-1 Site Habitat Baseline'!$D$1:$O$258,4,FALSE)),"",(VLOOKUP($E84,'A-1 Site Habitat Baseline'!$D$1:$O$258,4,FALSE))))</f>
        <v/>
      </c>
      <c r="G84" s="520" t="str">
        <f>IF(E84="","",IF(ISNA(VLOOKUP($E84,'A-1 Site Habitat Baseline'!$D$1:$O$258,5,FALSE)),"",(VLOOKUP($E84,'A-1 Site Habitat Baseline'!$D$1:$O$258,5,FALSE))))</f>
        <v/>
      </c>
      <c r="H84" s="520" t="str">
        <f>IF(E84="","",IF(ISNA(VLOOKUP($E84,'A-1 Site Habitat Baseline'!$D$1:$O$258,6,FALSE)),"",(VLOOKUP($E84,'A-1 Site Habitat Baseline'!$D$1:$O$258,6,FALSE))))</f>
        <v/>
      </c>
      <c r="I84" s="520" t="str">
        <f>IF(E84="","",IF(ISNA(VLOOKUP($E84,'A-1 Site Habitat Baseline'!$D$1:$O$258,7,FALSE)),"",(VLOOKUP($E84,'A-1 Site Habitat Baseline'!$D$1:$O$258,7,FALSE))))</f>
        <v/>
      </c>
      <c r="J84" s="520" t="str">
        <f>IF(E84="","",IF(ISNA(VLOOKUP($E84,'A-1 Site Habitat Baseline'!$D$1:$O$258,8,FALSE)),"",(VLOOKUP($E84,'A-1 Site Habitat Baseline'!$D$1:$O$258,8,FALSE))))</f>
        <v/>
      </c>
      <c r="K84" s="520" t="str">
        <f>IF(E84="","",IF(ISNA(VLOOKUP($E84,'A-1 Site Habitat Baseline'!$D$1:$O$258,9,FALSE)),"",(VLOOKUP($E84,'A-1 Site Habitat Baseline'!$D$1:$O$258,9,FALSE))))</f>
        <v/>
      </c>
      <c r="L84" s="520" t="str">
        <f>IF(E84="","",IF(ISNA(VLOOKUP($E84,'A-1 Site Habitat Baseline'!$D$1:$O$258,11,FALSE)),"",(VLOOKUP($E84,'A-1 Site Habitat Baseline'!$D$1:$O$258,11,FALSE))))</f>
        <v/>
      </c>
      <c r="M84" s="520" t="str">
        <f>IF(E84="","",IF(ISNA(VLOOKUP($E84,'A-1 Site Habitat Baseline'!$D$1:$O$258,12,FALSE)),"",(VLOOKUP($E84,'A-1 Site Habitat Baseline'!$D$1:$O$258,12,FALSE))))</f>
        <v/>
      </c>
      <c r="N84" s="532" t="str">
        <f>IF(E84="","",IF(ISNA(VLOOKUP($E84,'A-1 Site Habitat Baseline'!$D$1:$X$258,14,FALSE)),"",(VLOOKUP($E84,'A-1 Site Habitat Baseline'!$D$1:$X$258,14,FALSE))))</f>
        <v/>
      </c>
      <c r="O84" s="524" t="str">
        <f>IF(E84="","",IF(ISNA(VLOOKUP($E84,'A-1 Site Habitat Baseline'!$D$1:$X$258,16,FALSE)),"",(VLOOKUP($E84,'A-1 Site Habitat Baseline'!$D$1:$X$258,13,FALSE))))</f>
        <v/>
      </c>
      <c r="P84" s="237" t="str">
        <f>IFERROR(INDEX('G-1 All Habitats'!$AG$3:$AG$15,MATCH(Q84,'G-1 All Habitats'!$AF$3:$AF$15,0)),"")</f>
        <v/>
      </c>
      <c r="Q84" s="238" t="str">
        <f t="shared" si="15"/>
        <v/>
      </c>
      <c r="R84" s="238" t="str">
        <f t="shared" si="16"/>
        <v/>
      </c>
      <c r="S84" s="392" t="str">
        <f>IFERROR(INDEX('G-1 All Habitats'!$B$3:$B$129,MATCH(R84,'G-1 All Habitats'!$A$3:$A$129,0)),"")</f>
        <v/>
      </c>
      <c r="T84" s="498" t="str">
        <f t="shared" si="17"/>
        <v/>
      </c>
      <c r="U84" s="499" t="str">
        <f t="shared" si="18"/>
        <v/>
      </c>
      <c r="V84" s="537" t="str">
        <f t="shared" si="12"/>
        <v/>
      </c>
      <c r="W84" s="520" t="str">
        <f>IF(S84="","",VLOOKUP(S84,'G-1 All Habitats'!$B$2:$M$129,10,FALSE))</f>
        <v/>
      </c>
      <c r="X84" s="520" t="str">
        <f>IFERROR(VLOOKUP(W84,'G-1 All Habitats'!$V$3:$W$7,2,FALSE),"")</f>
        <v/>
      </c>
      <c r="Y84" s="79"/>
      <c r="Z84" s="524" t="str">
        <f>IFERROR(INDEX('G-8 Condition Look up'!$A$3:$H$130,MATCH(S84,'G-8 Condition Look up'!$A$3:$A$130,0),MATCH(Y84,'G-8 Condition Look up'!$A$3:$H$3,0)),"")</f>
        <v/>
      </c>
      <c r="AA84" s="71"/>
      <c r="AB84" s="520" t="str">
        <f>IF(AA84="","",IF(VLOOKUP(AA84,'G-3 Multipliers'!$L$3:$N$6,2,FALSE)=0,"Spatial Data Missing ⚠",VLOOKUP(AA84,'G-3 Multipliers'!$L$3:$N$6,2,FALSE)))</f>
        <v/>
      </c>
      <c r="AC84" s="524" t="str">
        <f>IF(AA84="","",IF(VLOOKUP(AA84,'G-3 Multipliers'!$L$3:$N$6,3,FALSE)=0,"Spatial Data Missing ⚠",VLOOKUP(AA84,'G-3 Multipliers'!$L$3:$N$6,3,FALSE)))</f>
        <v/>
      </c>
      <c r="AD84" s="539" t="str">
        <f t="shared" si="13"/>
        <v/>
      </c>
      <c r="AE84" s="82"/>
      <c r="AF84" s="82"/>
      <c r="AG84" s="507" t="str">
        <f t="shared" si="19"/>
        <v/>
      </c>
      <c r="AH84" s="521" t="str">
        <f t="shared" si="20"/>
        <v/>
      </c>
      <c r="AI84" s="522" t="str">
        <f>IF(AH84="Check Data","Check Data",IFERROR(VLOOKUP(AH84,'G-4 Temporal multipliers'!$A$4:$C$36,3,FALSE),""))</f>
        <v/>
      </c>
      <c r="AJ84" s="498" t="str">
        <f>IF(S84="","",VLOOKUP(S84,'G-3 Multipliers'!$A$2:$E$129,4,FALSE))</f>
        <v/>
      </c>
      <c r="AK84" s="507" t="str">
        <f t="shared" si="21"/>
        <v/>
      </c>
      <c r="AL84" s="507" t="str">
        <f t="shared" si="22"/>
        <v/>
      </c>
      <c r="AM84" s="540" t="str">
        <f>IFERROR(IF(F84="","",IF(AH84="Check Data ⚠","Check Data ⚠",VLOOKUP(AL84, 'G-3 Multipliers'!$P$2:$Q$6,2,FALSE))),"")</f>
        <v/>
      </c>
      <c r="AN84" s="513" t="str">
        <f t="shared" si="14"/>
        <v/>
      </c>
      <c r="AO84" s="239"/>
      <c r="AP84" s="240"/>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1" t="str">
        <f>'A-1 Site Habitat Baseline'!AL84</f>
        <v/>
      </c>
      <c r="F85" s="520" t="str">
        <f>IF(E85="","",IF(ISNA(VLOOKUP($E85,'A-1 Site Habitat Baseline'!$D$1:$O$258,4,FALSE)),"",(VLOOKUP($E85,'A-1 Site Habitat Baseline'!$D$1:$O$258,4,FALSE))))</f>
        <v/>
      </c>
      <c r="G85" s="520" t="str">
        <f>IF(E85="","",IF(ISNA(VLOOKUP($E85,'A-1 Site Habitat Baseline'!$D$1:$O$258,5,FALSE)),"",(VLOOKUP($E85,'A-1 Site Habitat Baseline'!$D$1:$O$258,5,FALSE))))</f>
        <v/>
      </c>
      <c r="H85" s="520" t="str">
        <f>IF(E85="","",IF(ISNA(VLOOKUP($E85,'A-1 Site Habitat Baseline'!$D$1:$O$258,6,FALSE)),"",(VLOOKUP($E85,'A-1 Site Habitat Baseline'!$D$1:$O$258,6,FALSE))))</f>
        <v/>
      </c>
      <c r="I85" s="520" t="str">
        <f>IF(E85="","",IF(ISNA(VLOOKUP($E85,'A-1 Site Habitat Baseline'!$D$1:$O$258,7,FALSE)),"",(VLOOKUP($E85,'A-1 Site Habitat Baseline'!$D$1:$O$258,7,FALSE))))</f>
        <v/>
      </c>
      <c r="J85" s="520" t="str">
        <f>IF(E85="","",IF(ISNA(VLOOKUP($E85,'A-1 Site Habitat Baseline'!$D$1:$O$258,8,FALSE)),"",(VLOOKUP($E85,'A-1 Site Habitat Baseline'!$D$1:$O$258,8,FALSE))))</f>
        <v/>
      </c>
      <c r="K85" s="520" t="str">
        <f>IF(E85="","",IF(ISNA(VLOOKUP($E85,'A-1 Site Habitat Baseline'!$D$1:$O$258,9,FALSE)),"",(VLOOKUP($E85,'A-1 Site Habitat Baseline'!$D$1:$O$258,9,FALSE))))</f>
        <v/>
      </c>
      <c r="L85" s="520" t="str">
        <f>IF(E85="","",IF(ISNA(VLOOKUP($E85,'A-1 Site Habitat Baseline'!$D$1:$O$258,11,FALSE)),"",(VLOOKUP($E85,'A-1 Site Habitat Baseline'!$D$1:$O$258,11,FALSE))))</f>
        <v/>
      </c>
      <c r="M85" s="520" t="str">
        <f>IF(E85="","",IF(ISNA(VLOOKUP($E85,'A-1 Site Habitat Baseline'!$D$1:$O$258,12,FALSE)),"",(VLOOKUP($E85,'A-1 Site Habitat Baseline'!$D$1:$O$258,12,FALSE))))</f>
        <v/>
      </c>
      <c r="N85" s="532" t="str">
        <f>IF(E85="","",IF(ISNA(VLOOKUP($E85,'A-1 Site Habitat Baseline'!$D$1:$X$258,14,FALSE)),"",(VLOOKUP($E85,'A-1 Site Habitat Baseline'!$D$1:$X$258,14,FALSE))))</f>
        <v/>
      </c>
      <c r="O85" s="524" t="str">
        <f>IF(E85="","",IF(ISNA(VLOOKUP($E85,'A-1 Site Habitat Baseline'!$D$1:$X$258,16,FALSE)),"",(VLOOKUP($E85,'A-1 Site Habitat Baseline'!$D$1:$X$258,13,FALSE))))</f>
        <v/>
      </c>
      <c r="P85" s="237" t="str">
        <f>IFERROR(INDEX('G-1 All Habitats'!$AG$3:$AG$15,MATCH(Q85,'G-1 All Habitats'!$AF$3:$AF$15,0)),"")</f>
        <v/>
      </c>
      <c r="Q85" s="238" t="str">
        <f t="shared" si="15"/>
        <v/>
      </c>
      <c r="R85" s="238" t="str">
        <f t="shared" si="16"/>
        <v/>
      </c>
      <c r="S85" s="392" t="str">
        <f>IFERROR(INDEX('G-1 All Habitats'!$B$3:$B$129,MATCH(R85,'G-1 All Habitats'!$A$3:$A$129,0)),"")</f>
        <v/>
      </c>
      <c r="T85" s="498" t="str">
        <f t="shared" si="17"/>
        <v/>
      </c>
      <c r="U85" s="499" t="str">
        <f t="shared" si="18"/>
        <v/>
      </c>
      <c r="V85" s="537" t="str">
        <f t="shared" si="12"/>
        <v/>
      </c>
      <c r="W85" s="520" t="str">
        <f>IF(S85="","",VLOOKUP(S85,'G-1 All Habitats'!$B$2:$M$129,10,FALSE))</f>
        <v/>
      </c>
      <c r="X85" s="520" t="str">
        <f>IFERROR(VLOOKUP(W85,'G-1 All Habitats'!$V$3:$W$7,2,FALSE),"")</f>
        <v/>
      </c>
      <c r="Y85" s="79"/>
      <c r="Z85" s="524" t="str">
        <f>IFERROR(INDEX('G-8 Condition Look up'!$A$3:$H$130,MATCH(S85,'G-8 Condition Look up'!$A$3:$A$130,0),MATCH(Y85,'G-8 Condition Look up'!$A$3:$H$3,0)),"")</f>
        <v/>
      </c>
      <c r="AA85" s="71"/>
      <c r="AB85" s="520" t="str">
        <f>IF(AA85="","",IF(VLOOKUP(AA85,'G-3 Multipliers'!$L$3:$N$6,2,FALSE)=0,"Spatial Data Missing ⚠",VLOOKUP(AA85,'G-3 Multipliers'!$L$3:$N$6,2,FALSE)))</f>
        <v/>
      </c>
      <c r="AC85" s="524" t="str">
        <f>IF(AA85="","",IF(VLOOKUP(AA85,'G-3 Multipliers'!$L$3:$N$6,3,FALSE)=0,"Spatial Data Missing ⚠",VLOOKUP(AA85,'G-3 Multipliers'!$L$3:$N$6,3,FALSE)))</f>
        <v/>
      </c>
      <c r="AD85" s="539" t="str">
        <f t="shared" si="13"/>
        <v/>
      </c>
      <c r="AE85" s="82"/>
      <c r="AF85" s="82"/>
      <c r="AG85" s="507" t="str">
        <f t="shared" si="19"/>
        <v/>
      </c>
      <c r="AH85" s="521" t="str">
        <f t="shared" si="20"/>
        <v/>
      </c>
      <c r="AI85" s="522" t="str">
        <f>IF(AH85="Check Data","Check Data",IFERROR(VLOOKUP(AH85,'G-4 Temporal multipliers'!$A$4:$C$36,3,FALSE),""))</f>
        <v/>
      </c>
      <c r="AJ85" s="498" t="str">
        <f>IF(S85="","",VLOOKUP(S85,'G-3 Multipliers'!$A$2:$E$129,4,FALSE))</f>
        <v/>
      </c>
      <c r="AK85" s="507" t="str">
        <f t="shared" si="21"/>
        <v/>
      </c>
      <c r="AL85" s="507" t="str">
        <f t="shared" si="22"/>
        <v/>
      </c>
      <c r="AM85" s="540" t="str">
        <f>IFERROR(IF(F85="","",IF(AH85="Check Data ⚠","Check Data ⚠",VLOOKUP(AL85, 'G-3 Multipliers'!$P$2:$Q$6,2,FALSE))),"")</f>
        <v/>
      </c>
      <c r="AN85" s="513" t="str">
        <f t="shared" si="14"/>
        <v/>
      </c>
      <c r="AO85" s="239"/>
      <c r="AP85" s="240"/>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1" t="str">
        <f>'A-1 Site Habitat Baseline'!AL85</f>
        <v/>
      </c>
      <c r="F86" s="520" t="str">
        <f>IF(E86="","",IF(ISNA(VLOOKUP($E86,'A-1 Site Habitat Baseline'!$D$1:$O$258,4,FALSE)),"",(VLOOKUP($E86,'A-1 Site Habitat Baseline'!$D$1:$O$258,4,FALSE))))</f>
        <v/>
      </c>
      <c r="G86" s="520" t="str">
        <f>IF(E86="","",IF(ISNA(VLOOKUP($E86,'A-1 Site Habitat Baseline'!$D$1:$O$258,5,FALSE)),"",(VLOOKUP($E86,'A-1 Site Habitat Baseline'!$D$1:$O$258,5,FALSE))))</f>
        <v/>
      </c>
      <c r="H86" s="520" t="str">
        <f>IF(E86="","",IF(ISNA(VLOOKUP($E86,'A-1 Site Habitat Baseline'!$D$1:$O$258,6,FALSE)),"",(VLOOKUP($E86,'A-1 Site Habitat Baseline'!$D$1:$O$258,6,FALSE))))</f>
        <v/>
      </c>
      <c r="I86" s="520" t="str">
        <f>IF(E86="","",IF(ISNA(VLOOKUP($E86,'A-1 Site Habitat Baseline'!$D$1:$O$258,7,FALSE)),"",(VLOOKUP($E86,'A-1 Site Habitat Baseline'!$D$1:$O$258,7,FALSE))))</f>
        <v/>
      </c>
      <c r="J86" s="520" t="str">
        <f>IF(E86="","",IF(ISNA(VLOOKUP($E86,'A-1 Site Habitat Baseline'!$D$1:$O$258,8,FALSE)),"",(VLOOKUP($E86,'A-1 Site Habitat Baseline'!$D$1:$O$258,8,FALSE))))</f>
        <v/>
      </c>
      <c r="K86" s="520" t="str">
        <f>IF(E86="","",IF(ISNA(VLOOKUP($E86,'A-1 Site Habitat Baseline'!$D$1:$O$258,9,FALSE)),"",(VLOOKUP($E86,'A-1 Site Habitat Baseline'!$D$1:$O$258,9,FALSE))))</f>
        <v/>
      </c>
      <c r="L86" s="520" t="str">
        <f>IF(E86="","",IF(ISNA(VLOOKUP($E86,'A-1 Site Habitat Baseline'!$D$1:$O$258,11,FALSE)),"",(VLOOKUP($E86,'A-1 Site Habitat Baseline'!$D$1:$O$258,11,FALSE))))</f>
        <v/>
      </c>
      <c r="M86" s="520" t="str">
        <f>IF(E86="","",IF(ISNA(VLOOKUP($E86,'A-1 Site Habitat Baseline'!$D$1:$O$258,12,FALSE)),"",(VLOOKUP($E86,'A-1 Site Habitat Baseline'!$D$1:$O$258,12,FALSE))))</f>
        <v/>
      </c>
      <c r="N86" s="532" t="str">
        <f>IF(E86="","",IF(ISNA(VLOOKUP($E86,'A-1 Site Habitat Baseline'!$D$1:$X$258,14,FALSE)),"",(VLOOKUP($E86,'A-1 Site Habitat Baseline'!$D$1:$X$258,14,FALSE))))</f>
        <v/>
      </c>
      <c r="O86" s="524" t="str">
        <f>IF(E86="","",IF(ISNA(VLOOKUP($E86,'A-1 Site Habitat Baseline'!$D$1:$X$258,16,FALSE)),"",(VLOOKUP($E86,'A-1 Site Habitat Baseline'!$D$1:$X$258,13,FALSE))))</f>
        <v/>
      </c>
      <c r="P86" s="237" t="str">
        <f>IFERROR(INDEX('G-1 All Habitats'!$AG$3:$AG$15,MATCH(Q86,'G-1 All Habitats'!$AF$3:$AF$15,0)),"")</f>
        <v/>
      </c>
      <c r="Q86" s="238" t="str">
        <f t="shared" si="15"/>
        <v/>
      </c>
      <c r="R86" s="238" t="str">
        <f t="shared" si="16"/>
        <v/>
      </c>
      <c r="S86" s="392" t="str">
        <f>IFERROR(INDEX('G-1 All Habitats'!$B$3:$B$129,MATCH(R86,'G-1 All Habitats'!$A$3:$A$129,0)),"")</f>
        <v/>
      </c>
      <c r="T86" s="498" t="str">
        <f t="shared" si="17"/>
        <v/>
      </c>
      <c r="U86" s="499" t="str">
        <f t="shared" si="18"/>
        <v/>
      </c>
      <c r="V86" s="537" t="str">
        <f t="shared" si="12"/>
        <v/>
      </c>
      <c r="W86" s="520" t="str">
        <f>IF(S86="","",VLOOKUP(S86,'G-1 All Habitats'!$B$2:$M$129,10,FALSE))</f>
        <v/>
      </c>
      <c r="X86" s="520" t="str">
        <f>IFERROR(VLOOKUP(W86,'G-1 All Habitats'!$V$3:$W$7,2,FALSE),"")</f>
        <v/>
      </c>
      <c r="Y86" s="79"/>
      <c r="Z86" s="524" t="str">
        <f>IFERROR(INDEX('G-8 Condition Look up'!$A$3:$H$130,MATCH(S86,'G-8 Condition Look up'!$A$3:$A$130,0),MATCH(Y86,'G-8 Condition Look up'!$A$3:$H$3,0)),"")</f>
        <v/>
      </c>
      <c r="AA86" s="71"/>
      <c r="AB86" s="520" t="str">
        <f>IF(AA86="","",IF(VLOOKUP(AA86,'G-3 Multipliers'!$L$3:$N$6,2,FALSE)=0,"Spatial Data Missing ⚠",VLOOKUP(AA86,'G-3 Multipliers'!$L$3:$N$6,2,FALSE)))</f>
        <v/>
      </c>
      <c r="AC86" s="524" t="str">
        <f>IF(AA86="","",IF(VLOOKUP(AA86,'G-3 Multipliers'!$L$3:$N$6,3,FALSE)=0,"Spatial Data Missing ⚠",VLOOKUP(AA86,'G-3 Multipliers'!$L$3:$N$6,3,FALSE)))</f>
        <v/>
      </c>
      <c r="AD86" s="539" t="str">
        <f t="shared" si="13"/>
        <v/>
      </c>
      <c r="AE86" s="82"/>
      <c r="AF86" s="82"/>
      <c r="AG86" s="507" t="str">
        <f t="shared" si="19"/>
        <v/>
      </c>
      <c r="AH86" s="521" t="str">
        <f t="shared" si="20"/>
        <v/>
      </c>
      <c r="AI86" s="522" t="str">
        <f>IF(AH86="Check Data","Check Data",IFERROR(VLOOKUP(AH86,'G-4 Temporal multipliers'!$A$4:$C$36,3,FALSE),""))</f>
        <v/>
      </c>
      <c r="AJ86" s="498" t="str">
        <f>IF(S86="","",VLOOKUP(S86,'G-3 Multipliers'!$A$2:$E$129,4,FALSE))</f>
        <v/>
      </c>
      <c r="AK86" s="507" t="str">
        <f t="shared" si="21"/>
        <v/>
      </c>
      <c r="AL86" s="507" t="str">
        <f t="shared" si="22"/>
        <v/>
      </c>
      <c r="AM86" s="540" t="str">
        <f>IFERROR(IF(F86="","",IF(AH86="Check Data ⚠","Check Data ⚠",VLOOKUP(AL86, 'G-3 Multipliers'!$P$2:$Q$6,2,FALSE))),"")</f>
        <v/>
      </c>
      <c r="AN86" s="513" t="str">
        <f t="shared" si="14"/>
        <v/>
      </c>
      <c r="AO86" s="239"/>
      <c r="AP86" s="240"/>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1" t="str">
        <f>'A-1 Site Habitat Baseline'!AL86</f>
        <v/>
      </c>
      <c r="F87" s="520" t="str">
        <f>IF(E87="","",IF(ISNA(VLOOKUP($E87,'A-1 Site Habitat Baseline'!$D$1:$O$258,4,FALSE)),"",(VLOOKUP($E87,'A-1 Site Habitat Baseline'!$D$1:$O$258,4,FALSE))))</f>
        <v/>
      </c>
      <c r="G87" s="520" t="str">
        <f>IF(E87="","",IF(ISNA(VLOOKUP($E87,'A-1 Site Habitat Baseline'!$D$1:$O$258,5,FALSE)),"",(VLOOKUP($E87,'A-1 Site Habitat Baseline'!$D$1:$O$258,5,FALSE))))</f>
        <v/>
      </c>
      <c r="H87" s="520" t="str">
        <f>IF(E87="","",IF(ISNA(VLOOKUP($E87,'A-1 Site Habitat Baseline'!$D$1:$O$258,6,FALSE)),"",(VLOOKUP($E87,'A-1 Site Habitat Baseline'!$D$1:$O$258,6,FALSE))))</f>
        <v/>
      </c>
      <c r="I87" s="520" t="str">
        <f>IF(E87="","",IF(ISNA(VLOOKUP($E87,'A-1 Site Habitat Baseline'!$D$1:$O$258,7,FALSE)),"",(VLOOKUP($E87,'A-1 Site Habitat Baseline'!$D$1:$O$258,7,FALSE))))</f>
        <v/>
      </c>
      <c r="J87" s="520" t="str">
        <f>IF(E87="","",IF(ISNA(VLOOKUP($E87,'A-1 Site Habitat Baseline'!$D$1:$O$258,8,FALSE)),"",(VLOOKUP($E87,'A-1 Site Habitat Baseline'!$D$1:$O$258,8,FALSE))))</f>
        <v/>
      </c>
      <c r="K87" s="520" t="str">
        <f>IF(E87="","",IF(ISNA(VLOOKUP($E87,'A-1 Site Habitat Baseline'!$D$1:$O$258,9,FALSE)),"",(VLOOKUP($E87,'A-1 Site Habitat Baseline'!$D$1:$O$258,9,FALSE))))</f>
        <v/>
      </c>
      <c r="L87" s="520" t="str">
        <f>IF(E87="","",IF(ISNA(VLOOKUP($E87,'A-1 Site Habitat Baseline'!$D$1:$O$258,11,FALSE)),"",(VLOOKUP($E87,'A-1 Site Habitat Baseline'!$D$1:$O$258,11,FALSE))))</f>
        <v/>
      </c>
      <c r="M87" s="520" t="str">
        <f>IF(E87="","",IF(ISNA(VLOOKUP($E87,'A-1 Site Habitat Baseline'!$D$1:$O$258,12,FALSE)),"",(VLOOKUP($E87,'A-1 Site Habitat Baseline'!$D$1:$O$258,12,FALSE))))</f>
        <v/>
      </c>
      <c r="N87" s="532" t="str">
        <f>IF(E87="","",IF(ISNA(VLOOKUP($E87,'A-1 Site Habitat Baseline'!$D$1:$X$258,14,FALSE)),"",(VLOOKUP($E87,'A-1 Site Habitat Baseline'!$D$1:$X$258,14,FALSE))))</f>
        <v/>
      </c>
      <c r="O87" s="524" t="str">
        <f>IF(E87="","",IF(ISNA(VLOOKUP($E87,'A-1 Site Habitat Baseline'!$D$1:$X$258,16,FALSE)),"",(VLOOKUP($E87,'A-1 Site Habitat Baseline'!$D$1:$X$258,13,FALSE))))</f>
        <v/>
      </c>
      <c r="P87" s="237" t="str">
        <f>IFERROR(INDEX('G-1 All Habitats'!$AG$3:$AG$15,MATCH(Q87,'G-1 All Habitats'!$AF$3:$AF$15,0)),"")</f>
        <v/>
      </c>
      <c r="Q87" s="238" t="str">
        <f t="shared" si="15"/>
        <v/>
      </c>
      <c r="R87" s="238" t="str">
        <f t="shared" si="16"/>
        <v/>
      </c>
      <c r="S87" s="392" t="str">
        <f>IFERROR(INDEX('G-1 All Habitats'!$B$3:$B$129,MATCH(R87,'G-1 All Habitats'!$A$3:$A$129,0)),"")</f>
        <v/>
      </c>
      <c r="T87" s="498" t="str">
        <f t="shared" si="17"/>
        <v/>
      </c>
      <c r="U87" s="499" t="str">
        <f t="shared" si="18"/>
        <v/>
      </c>
      <c r="V87" s="537" t="str">
        <f t="shared" si="12"/>
        <v/>
      </c>
      <c r="W87" s="520" t="str">
        <f>IF(S87="","",VLOOKUP(S87,'G-1 All Habitats'!$B$2:$M$129,10,FALSE))</f>
        <v/>
      </c>
      <c r="X87" s="520" t="str">
        <f>IFERROR(VLOOKUP(W87,'G-1 All Habitats'!$V$3:$W$7,2,FALSE),"")</f>
        <v/>
      </c>
      <c r="Y87" s="79"/>
      <c r="Z87" s="524" t="str">
        <f>IFERROR(INDEX('G-8 Condition Look up'!$A$3:$H$130,MATCH(S87,'G-8 Condition Look up'!$A$3:$A$130,0),MATCH(Y87,'G-8 Condition Look up'!$A$3:$H$3,0)),"")</f>
        <v/>
      </c>
      <c r="AA87" s="71"/>
      <c r="AB87" s="520" t="str">
        <f>IF(AA87="","",IF(VLOOKUP(AA87,'G-3 Multipliers'!$L$3:$N$6,2,FALSE)=0,"Spatial Data Missing ⚠",VLOOKUP(AA87,'G-3 Multipliers'!$L$3:$N$6,2,FALSE)))</f>
        <v/>
      </c>
      <c r="AC87" s="524" t="str">
        <f>IF(AA87="","",IF(VLOOKUP(AA87,'G-3 Multipliers'!$L$3:$N$6,3,FALSE)=0,"Spatial Data Missing ⚠",VLOOKUP(AA87,'G-3 Multipliers'!$L$3:$N$6,3,FALSE)))</f>
        <v/>
      </c>
      <c r="AD87" s="539" t="str">
        <f t="shared" si="13"/>
        <v/>
      </c>
      <c r="AE87" s="82"/>
      <c r="AF87" s="82"/>
      <c r="AG87" s="507" t="str">
        <f t="shared" si="19"/>
        <v/>
      </c>
      <c r="AH87" s="521" t="str">
        <f t="shared" si="20"/>
        <v/>
      </c>
      <c r="AI87" s="522" t="str">
        <f>IF(AH87="Check Data","Check Data",IFERROR(VLOOKUP(AH87,'G-4 Temporal multipliers'!$A$4:$C$36,3,FALSE),""))</f>
        <v/>
      </c>
      <c r="AJ87" s="498" t="str">
        <f>IF(S87="","",VLOOKUP(S87,'G-3 Multipliers'!$A$2:$E$129,4,FALSE))</f>
        <v/>
      </c>
      <c r="AK87" s="507" t="str">
        <f t="shared" si="21"/>
        <v/>
      </c>
      <c r="AL87" s="507" t="str">
        <f t="shared" si="22"/>
        <v/>
      </c>
      <c r="AM87" s="540" t="str">
        <f>IFERROR(IF(F87="","",IF(AH87="Check Data ⚠","Check Data ⚠",VLOOKUP(AL87, 'G-3 Multipliers'!$P$2:$Q$6,2,FALSE))),"")</f>
        <v/>
      </c>
      <c r="AN87" s="513" t="str">
        <f t="shared" si="14"/>
        <v/>
      </c>
      <c r="AO87" s="239"/>
      <c r="AP87" s="240"/>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1" t="str">
        <f>'A-1 Site Habitat Baseline'!AL87</f>
        <v/>
      </c>
      <c r="F88" s="520" t="str">
        <f>IF(E88="","",IF(ISNA(VLOOKUP($E88,'A-1 Site Habitat Baseline'!$D$1:$O$258,4,FALSE)),"",(VLOOKUP($E88,'A-1 Site Habitat Baseline'!$D$1:$O$258,4,FALSE))))</f>
        <v/>
      </c>
      <c r="G88" s="520" t="str">
        <f>IF(E88="","",IF(ISNA(VLOOKUP($E88,'A-1 Site Habitat Baseline'!$D$1:$O$258,5,FALSE)),"",(VLOOKUP($E88,'A-1 Site Habitat Baseline'!$D$1:$O$258,5,FALSE))))</f>
        <v/>
      </c>
      <c r="H88" s="520" t="str">
        <f>IF(E88="","",IF(ISNA(VLOOKUP($E88,'A-1 Site Habitat Baseline'!$D$1:$O$258,6,FALSE)),"",(VLOOKUP($E88,'A-1 Site Habitat Baseline'!$D$1:$O$258,6,FALSE))))</f>
        <v/>
      </c>
      <c r="I88" s="520" t="str">
        <f>IF(E88="","",IF(ISNA(VLOOKUP($E88,'A-1 Site Habitat Baseline'!$D$1:$O$258,7,FALSE)),"",(VLOOKUP($E88,'A-1 Site Habitat Baseline'!$D$1:$O$258,7,FALSE))))</f>
        <v/>
      </c>
      <c r="J88" s="520" t="str">
        <f>IF(E88="","",IF(ISNA(VLOOKUP($E88,'A-1 Site Habitat Baseline'!$D$1:$O$258,8,FALSE)),"",(VLOOKUP($E88,'A-1 Site Habitat Baseline'!$D$1:$O$258,8,FALSE))))</f>
        <v/>
      </c>
      <c r="K88" s="520" t="str">
        <f>IF(E88="","",IF(ISNA(VLOOKUP($E88,'A-1 Site Habitat Baseline'!$D$1:$O$258,9,FALSE)),"",(VLOOKUP($E88,'A-1 Site Habitat Baseline'!$D$1:$O$258,9,FALSE))))</f>
        <v/>
      </c>
      <c r="L88" s="520" t="str">
        <f>IF(E88="","",IF(ISNA(VLOOKUP($E88,'A-1 Site Habitat Baseline'!$D$1:$O$258,11,FALSE)),"",(VLOOKUP($E88,'A-1 Site Habitat Baseline'!$D$1:$O$258,11,FALSE))))</f>
        <v/>
      </c>
      <c r="M88" s="520" t="str">
        <f>IF(E88="","",IF(ISNA(VLOOKUP($E88,'A-1 Site Habitat Baseline'!$D$1:$O$258,12,FALSE)),"",(VLOOKUP($E88,'A-1 Site Habitat Baseline'!$D$1:$O$258,12,FALSE))))</f>
        <v/>
      </c>
      <c r="N88" s="532" t="str">
        <f>IF(E88="","",IF(ISNA(VLOOKUP($E88,'A-1 Site Habitat Baseline'!$D$1:$X$258,14,FALSE)),"",(VLOOKUP($E88,'A-1 Site Habitat Baseline'!$D$1:$X$258,14,FALSE))))</f>
        <v/>
      </c>
      <c r="O88" s="524" t="str">
        <f>IF(E88="","",IF(ISNA(VLOOKUP($E88,'A-1 Site Habitat Baseline'!$D$1:$X$258,16,FALSE)),"",(VLOOKUP($E88,'A-1 Site Habitat Baseline'!$D$1:$X$258,13,FALSE))))</f>
        <v/>
      </c>
      <c r="P88" s="237" t="str">
        <f>IFERROR(INDEX('G-1 All Habitats'!$AG$3:$AG$15,MATCH(Q88,'G-1 All Habitats'!$AF$3:$AF$15,0)),"")</f>
        <v/>
      </c>
      <c r="Q88" s="238" t="str">
        <f t="shared" si="15"/>
        <v/>
      </c>
      <c r="R88" s="238" t="str">
        <f t="shared" si="16"/>
        <v/>
      </c>
      <c r="S88" s="392" t="str">
        <f>IFERROR(INDEX('G-1 All Habitats'!$B$3:$B$129,MATCH(R88,'G-1 All Habitats'!$A$3:$A$129,0)),"")</f>
        <v/>
      </c>
      <c r="T88" s="498" t="str">
        <f t="shared" si="17"/>
        <v/>
      </c>
      <c r="U88" s="499" t="str">
        <f t="shared" si="18"/>
        <v/>
      </c>
      <c r="V88" s="537" t="str">
        <f t="shared" si="12"/>
        <v/>
      </c>
      <c r="W88" s="520" t="str">
        <f>IF(S88="","",VLOOKUP(S88,'G-1 All Habitats'!$B$2:$M$129,10,FALSE))</f>
        <v/>
      </c>
      <c r="X88" s="520" t="str">
        <f>IFERROR(VLOOKUP(W88,'G-1 All Habitats'!$V$3:$W$7,2,FALSE),"")</f>
        <v/>
      </c>
      <c r="Y88" s="79"/>
      <c r="Z88" s="524" t="str">
        <f>IFERROR(INDEX('G-8 Condition Look up'!$A$3:$H$130,MATCH(S88,'G-8 Condition Look up'!$A$3:$A$130,0),MATCH(Y88,'G-8 Condition Look up'!$A$3:$H$3,0)),"")</f>
        <v/>
      </c>
      <c r="AA88" s="71"/>
      <c r="AB88" s="520" t="str">
        <f>IF(AA88="","",IF(VLOOKUP(AA88,'G-3 Multipliers'!$L$3:$N$6,2,FALSE)=0,"Spatial Data Missing ⚠",VLOOKUP(AA88,'G-3 Multipliers'!$L$3:$N$6,2,FALSE)))</f>
        <v/>
      </c>
      <c r="AC88" s="524" t="str">
        <f>IF(AA88="","",IF(VLOOKUP(AA88,'G-3 Multipliers'!$L$3:$N$6,3,FALSE)=0,"Spatial Data Missing ⚠",VLOOKUP(AA88,'G-3 Multipliers'!$L$3:$N$6,3,FALSE)))</f>
        <v/>
      </c>
      <c r="AD88" s="539" t="str">
        <f t="shared" si="13"/>
        <v/>
      </c>
      <c r="AE88" s="82"/>
      <c r="AF88" s="82"/>
      <c r="AG88" s="507" t="str">
        <f t="shared" si="19"/>
        <v/>
      </c>
      <c r="AH88" s="521" t="str">
        <f t="shared" si="20"/>
        <v/>
      </c>
      <c r="AI88" s="522" t="str">
        <f>IF(AH88="Check Data","Check Data",IFERROR(VLOOKUP(AH88,'G-4 Temporal multipliers'!$A$4:$C$36,3,FALSE),""))</f>
        <v/>
      </c>
      <c r="AJ88" s="498" t="str">
        <f>IF(S88="","",VLOOKUP(S88,'G-3 Multipliers'!$A$2:$E$129,4,FALSE))</f>
        <v/>
      </c>
      <c r="AK88" s="507" t="str">
        <f t="shared" si="21"/>
        <v/>
      </c>
      <c r="AL88" s="507" t="str">
        <f t="shared" si="22"/>
        <v/>
      </c>
      <c r="AM88" s="540" t="str">
        <f>IFERROR(IF(F88="","",IF(AH88="Check Data ⚠","Check Data ⚠",VLOOKUP(AL88, 'G-3 Multipliers'!$P$2:$Q$6,2,FALSE))),"")</f>
        <v/>
      </c>
      <c r="AN88" s="513" t="str">
        <f t="shared" si="14"/>
        <v/>
      </c>
      <c r="AO88" s="239"/>
      <c r="AP88" s="240"/>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1" t="str">
        <f>'A-1 Site Habitat Baseline'!AL88</f>
        <v/>
      </c>
      <c r="F89" s="520" t="str">
        <f>IF(E89="","",IF(ISNA(VLOOKUP($E89,'A-1 Site Habitat Baseline'!$D$1:$O$258,4,FALSE)),"",(VLOOKUP($E89,'A-1 Site Habitat Baseline'!$D$1:$O$258,4,FALSE))))</f>
        <v/>
      </c>
      <c r="G89" s="520" t="str">
        <f>IF(E89="","",IF(ISNA(VLOOKUP($E89,'A-1 Site Habitat Baseline'!$D$1:$O$258,5,FALSE)),"",(VLOOKUP($E89,'A-1 Site Habitat Baseline'!$D$1:$O$258,5,FALSE))))</f>
        <v/>
      </c>
      <c r="H89" s="520" t="str">
        <f>IF(E89="","",IF(ISNA(VLOOKUP($E89,'A-1 Site Habitat Baseline'!$D$1:$O$258,6,FALSE)),"",(VLOOKUP($E89,'A-1 Site Habitat Baseline'!$D$1:$O$258,6,FALSE))))</f>
        <v/>
      </c>
      <c r="I89" s="520" t="str">
        <f>IF(E89="","",IF(ISNA(VLOOKUP($E89,'A-1 Site Habitat Baseline'!$D$1:$O$258,7,FALSE)),"",(VLOOKUP($E89,'A-1 Site Habitat Baseline'!$D$1:$O$258,7,FALSE))))</f>
        <v/>
      </c>
      <c r="J89" s="520" t="str">
        <f>IF(E89="","",IF(ISNA(VLOOKUP($E89,'A-1 Site Habitat Baseline'!$D$1:$O$258,8,FALSE)),"",(VLOOKUP($E89,'A-1 Site Habitat Baseline'!$D$1:$O$258,8,FALSE))))</f>
        <v/>
      </c>
      <c r="K89" s="520" t="str">
        <f>IF(E89="","",IF(ISNA(VLOOKUP($E89,'A-1 Site Habitat Baseline'!$D$1:$O$258,9,FALSE)),"",(VLOOKUP($E89,'A-1 Site Habitat Baseline'!$D$1:$O$258,9,FALSE))))</f>
        <v/>
      </c>
      <c r="L89" s="520" t="str">
        <f>IF(E89="","",IF(ISNA(VLOOKUP($E89,'A-1 Site Habitat Baseline'!$D$1:$O$258,11,FALSE)),"",(VLOOKUP($E89,'A-1 Site Habitat Baseline'!$D$1:$O$258,11,FALSE))))</f>
        <v/>
      </c>
      <c r="M89" s="520" t="str">
        <f>IF(E89="","",IF(ISNA(VLOOKUP($E89,'A-1 Site Habitat Baseline'!$D$1:$O$258,12,FALSE)),"",(VLOOKUP($E89,'A-1 Site Habitat Baseline'!$D$1:$O$258,12,FALSE))))</f>
        <v/>
      </c>
      <c r="N89" s="532" t="str">
        <f>IF(E89="","",IF(ISNA(VLOOKUP($E89,'A-1 Site Habitat Baseline'!$D$1:$X$258,14,FALSE)),"",(VLOOKUP($E89,'A-1 Site Habitat Baseline'!$D$1:$X$258,14,FALSE))))</f>
        <v/>
      </c>
      <c r="O89" s="524" t="str">
        <f>IF(E89="","",IF(ISNA(VLOOKUP($E89,'A-1 Site Habitat Baseline'!$D$1:$X$258,16,FALSE)),"",(VLOOKUP($E89,'A-1 Site Habitat Baseline'!$D$1:$X$258,13,FALSE))))</f>
        <v/>
      </c>
      <c r="P89" s="237" t="str">
        <f>IFERROR(INDEX('G-1 All Habitats'!$AG$3:$AG$15,MATCH(Q89,'G-1 All Habitats'!$AF$3:$AF$15,0)),"")</f>
        <v/>
      </c>
      <c r="Q89" s="238" t="str">
        <f t="shared" si="15"/>
        <v/>
      </c>
      <c r="R89" s="238" t="str">
        <f t="shared" si="16"/>
        <v/>
      </c>
      <c r="S89" s="392" t="str">
        <f>IFERROR(INDEX('G-1 All Habitats'!$B$3:$B$129,MATCH(R89,'G-1 All Habitats'!$A$3:$A$129,0)),"")</f>
        <v/>
      </c>
      <c r="T89" s="498" t="str">
        <f t="shared" si="17"/>
        <v/>
      </c>
      <c r="U89" s="499" t="str">
        <f t="shared" si="18"/>
        <v/>
      </c>
      <c r="V89" s="537" t="str">
        <f t="shared" si="12"/>
        <v/>
      </c>
      <c r="W89" s="520" t="str">
        <f>IF(S89="","",VLOOKUP(S89,'G-1 All Habitats'!$B$2:$M$129,10,FALSE))</f>
        <v/>
      </c>
      <c r="X89" s="520" t="str">
        <f>IFERROR(VLOOKUP(W89,'G-1 All Habitats'!$V$3:$W$7,2,FALSE),"")</f>
        <v/>
      </c>
      <c r="Y89" s="79"/>
      <c r="Z89" s="524" t="str">
        <f>IFERROR(INDEX('G-8 Condition Look up'!$A$3:$H$130,MATCH(S89,'G-8 Condition Look up'!$A$3:$A$130,0),MATCH(Y89,'G-8 Condition Look up'!$A$3:$H$3,0)),"")</f>
        <v/>
      </c>
      <c r="AA89" s="71"/>
      <c r="AB89" s="520" t="str">
        <f>IF(AA89="","",IF(VLOOKUP(AA89,'G-3 Multipliers'!$L$3:$N$6,2,FALSE)=0,"Spatial Data Missing ⚠",VLOOKUP(AA89,'G-3 Multipliers'!$L$3:$N$6,2,FALSE)))</f>
        <v/>
      </c>
      <c r="AC89" s="524" t="str">
        <f>IF(AA89="","",IF(VLOOKUP(AA89,'G-3 Multipliers'!$L$3:$N$6,3,FALSE)=0,"Spatial Data Missing ⚠",VLOOKUP(AA89,'G-3 Multipliers'!$L$3:$N$6,3,FALSE)))</f>
        <v/>
      </c>
      <c r="AD89" s="539" t="str">
        <f t="shared" si="13"/>
        <v/>
      </c>
      <c r="AE89" s="82"/>
      <c r="AF89" s="82"/>
      <c r="AG89" s="507" t="str">
        <f t="shared" si="19"/>
        <v/>
      </c>
      <c r="AH89" s="521" t="str">
        <f t="shared" si="20"/>
        <v/>
      </c>
      <c r="AI89" s="522" t="str">
        <f>IF(AH89="Check Data","Check Data",IFERROR(VLOOKUP(AH89,'G-4 Temporal multipliers'!$A$4:$C$36,3,FALSE),""))</f>
        <v/>
      </c>
      <c r="AJ89" s="498" t="str">
        <f>IF(S89="","",VLOOKUP(S89,'G-3 Multipliers'!$A$2:$E$129,4,FALSE))</f>
        <v/>
      </c>
      <c r="AK89" s="507" t="str">
        <f t="shared" si="21"/>
        <v/>
      </c>
      <c r="AL89" s="507" t="str">
        <f t="shared" si="22"/>
        <v/>
      </c>
      <c r="AM89" s="540" t="str">
        <f>IFERROR(IF(F89="","",IF(AH89="Check Data ⚠","Check Data ⚠",VLOOKUP(AL89, 'G-3 Multipliers'!$P$2:$Q$6,2,FALSE))),"")</f>
        <v/>
      </c>
      <c r="AN89" s="513" t="str">
        <f t="shared" si="14"/>
        <v/>
      </c>
      <c r="AO89" s="239"/>
      <c r="AP89" s="240"/>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1" t="str">
        <f>'A-1 Site Habitat Baseline'!AL89</f>
        <v/>
      </c>
      <c r="F90" s="520" t="str">
        <f>IF(E90="","",IF(ISNA(VLOOKUP($E90,'A-1 Site Habitat Baseline'!$D$1:$O$258,4,FALSE)),"",(VLOOKUP($E90,'A-1 Site Habitat Baseline'!$D$1:$O$258,4,FALSE))))</f>
        <v/>
      </c>
      <c r="G90" s="520" t="str">
        <f>IF(E90="","",IF(ISNA(VLOOKUP($E90,'A-1 Site Habitat Baseline'!$D$1:$O$258,5,FALSE)),"",(VLOOKUP($E90,'A-1 Site Habitat Baseline'!$D$1:$O$258,5,FALSE))))</f>
        <v/>
      </c>
      <c r="H90" s="520" t="str">
        <f>IF(E90="","",IF(ISNA(VLOOKUP($E90,'A-1 Site Habitat Baseline'!$D$1:$O$258,6,FALSE)),"",(VLOOKUP($E90,'A-1 Site Habitat Baseline'!$D$1:$O$258,6,FALSE))))</f>
        <v/>
      </c>
      <c r="I90" s="520" t="str">
        <f>IF(E90="","",IF(ISNA(VLOOKUP($E90,'A-1 Site Habitat Baseline'!$D$1:$O$258,7,FALSE)),"",(VLOOKUP($E90,'A-1 Site Habitat Baseline'!$D$1:$O$258,7,FALSE))))</f>
        <v/>
      </c>
      <c r="J90" s="520" t="str">
        <f>IF(E90="","",IF(ISNA(VLOOKUP($E90,'A-1 Site Habitat Baseline'!$D$1:$O$258,8,FALSE)),"",(VLOOKUP($E90,'A-1 Site Habitat Baseline'!$D$1:$O$258,8,FALSE))))</f>
        <v/>
      </c>
      <c r="K90" s="520" t="str">
        <f>IF(E90="","",IF(ISNA(VLOOKUP($E90,'A-1 Site Habitat Baseline'!$D$1:$O$258,9,FALSE)),"",(VLOOKUP($E90,'A-1 Site Habitat Baseline'!$D$1:$O$258,9,FALSE))))</f>
        <v/>
      </c>
      <c r="L90" s="520" t="str">
        <f>IF(E90="","",IF(ISNA(VLOOKUP($E90,'A-1 Site Habitat Baseline'!$D$1:$O$258,11,FALSE)),"",(VLOOKUP($E90,'A-1 Site Habitat Baseline'!$D$1:$O$258,11,FALSE))))</f>
        <v/>
      </c>
      <c r="M90" s="520" t="str">
        <f>IF(E90="","",IF(ISNA(VLOOKUP($E90,'A-1 Site Habitat Baseline'!$D$1:$O$258,12,FALSE)),"",(VLOOKUP($E90,'A-1 Site Habitat Baseline'!$D$1:$O$258,12,FALSE))))</f>
        <v/>
      </c>
      <c r="N90" s="532" t="str">
        <f>IF(E90="","",IF(ISNA(VLOOKUP($E90,'A-1 Site Habitat Baseline'!$D$1:$X$258,14,FALSE)),"",(VLOOKUP($E90,'A-1 Site Habitat Baseline'!$D$1:$X$258,14,FALSE))))</f>
        <v/>
      </c>
      <c r="O90" s="524" t="str">
        <f>IF(E90="","",IF(ISNA(VLOOKUP($E90,'A-1 Site Habitat Baseline'!$D$1:$X$258,16,FALSE)),"",(VLOOKUP($E90,'A-1 Site Habitat Baseline'!$D$1:$X$258,13,FALSE))))</f>
        <v/>
      </c>
      <c r="P90" s="237" t="str">
        <f>IFERROR(INDEX('G-1 All Habitats'!$AG$3:$AG$15,MATCH(Q90,'G-1 All Habitats'!$AF$3:$AF$15,0)),"")</f>
        <v/>
      </c>
      <c r="Q90" s="238" t="str">
        <f t="shared" si="15"/>
        <v/>
      </c>
      <c r="R90" s="238" t="str">
        <f t="shared" si="16"/>
        <v/>
      </c>
      <c r="S90" s="392" t="str">
        <f>IFERROR(INDEX('G-1 All Habitats'!$B$3:$B$129,MATCH(R90,'G-1 All Habitats'!$A$3:$A$129,0)),"")</f>
        <v/>
      </c>
      <c r="T90" s="498" t="str">
        <f t="shared" si="17"/>
        <v/>
      </c>
      <c r="U90" s="499" t="str">
        <f t="shared" si="18"/>
        <v/>
      </c>
      <c r="V90" s="537" t="str">
        <f t="shared" si="12"/>
        <v/>
      </c>
      <c r="W90" s="520" t="str">
        <f>IF(S90="","",VLOOKUP(S90,'G-1 All Habitats'!$B$2:$M$129,10,FALSE))</f>
        <v/>
      </c>
      <c r="X90" s="520" t="str">
        <f>IFERROR(VLOOKUP(W90,'G-1 All Habitats'!$V$3:$W$7,2,FALSE),"")</f>
        <v/>
      </c>
      <c r="Y90" s="79"/>
      <c r="Z90" s="524" t="str">
        <f>IFERROR(INDEX('G-8 Condition Look up'!$A$3:$H$130,MATCH(S90,'G-8 Condition Look up'!$A$3:$A$130,0),MATCH(Y90,'G-8 Condition Look up'!$A$3:$H$3,0)),"")</f>
        <v/>
      </c>
      <c r="AA90" s="71"/>
      <c r="AB90" s="520" t="str">
        <f>IF(AA90="","",IF(VLOOKUP(AA90,'G-3 Multipliers'!$L$3:$N$6,2,FALSE)=0,"Spatial Data Missing ⚠",VLOOKUP(AA90,'G-3 Multipliers'!$L$3:$N$6,2,FALSE)))</f>
        <v/>
      </c>
      <c r="AC90" s="524" t="str">
        <f>IF(AA90="","",IF(VLOOKUP(AA90,'G-3 Multipliers'!$L$3:$N$6,3,FALSE)=0,"Spatial Data Missing ⚠",VLOOKUP(AA90,'G-3 Multipliers'!$L$3:$N$6,3,FALSE)))</f>
        <v/>
      </c>
      <c r="AD90" s="539" t="str">
        <f t="shared" si="13"/>
        <v/>
      </c>
      <c r="AE90" s="82"/>
      <c r="AF90" s="82"/>
      <c r="AG90" s="507" t="str">
        <f t="shared" si="19"/>
        <v/>
      </c>
      <c r="AH90" s="521" t="str">
        <f t="shared" si="20"/>
        <v/>
      </c>
      <c r="AI90" s="522" t="str">
        <f>IF(AH90="Check Data","Check Data",IFERROR(VLOOKUP(AH90,'G-4 Temporal multipliers'!$A$4:$C$36,3,FALSE),""))</f>
        <v/>
      </c>
      <c r="AJ90" s="498" t="str">
        <f>IF(S90="","",VLOOKUP(S90,'G-3 Multipliers'!$A$2:$E$129,4,FALSE))</f>
        <v/>
      </c>
      <c r="AK90" s="507" t="str">
        <f t="shared" si="21"/>
        <v/>
      </c>
      <c r="AL90" s="507" t="str">
        <f t="shared" si="22"/>
        <v/>
      </c>
      <c r="AM90" s="540" t="str">
        <f>IFERROR(IF(F90="","",IF(AH90="Check Data ⚠","Check Data ⚠",VLOOKUP(AL90, 'G-3 Multipliers'!$P$2:$Q$6,2,FALSE))),"")</f>
        <v/>
      </c>
      <c r="AN90" s="513" t="str">
        <f t="shared" si="14"/>
        <v/>
      </c>
      <c r="AO90" s="239"/>
      <c r="AP90" s="240"/>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1" t="str">
        <f>'A-1 Site Habitat Baseline'!AL90</f>
        <v/>
      </c>
      <c r="F91" s="520" t="str">
        <f>IF(E91="","",IF(ISNA(VLOOKUP($E91,'A-1 Site Habitat Baseline'!$D$1:$O$258,4,FALSE)),"",(VLOOKUP($E91,'A-1 Site Habitat Baseline'!$D$1:$O$258,4,FALSE))))</f>
        <v/>
      </c>
      <c r="G91" s="520" t="str">
        <f>IF(E91="","",IF(ISNA(VLOOKUP($E91,'A-1 Site Habitat Baseline'!$D$1:$O$258,5,FALSE)),"",(VLOOKUP($E91,'A-1 Site Habitat Baseline'!$D$1:$O$258,5,FALSE))))</f>
        <v/>
      </c>
      <c r="H91" s="520" t="str">
        <f>IF(E91="","",IF(ISNA(VLOOKUP($E91,'A-1 Site Habitat Baseline'!$D$1:$O$258,6,FALSE)),"",(VLOOKUP($E91,'A-1 Site Habitat Baseline'!$D$1:$O$258,6,FALSE))))</f>
        <v/>
      </c>
      <c r="I91" s="520" t="str">
        <f>IF(E91="","",IF(ISNA(VLOOKUP($E91,'A-1 Site Habitat Baseline'!$D$1:$O$258,7,FALSE)),"",(VLOOKUP($E91,'A-1 Site Habitat Baseline'!$D$1:$O$258,7,FALSE))))</f>
        <v/>
      </c>
      <c r="J91" s="520" t="str">
        <f>IF(E91="","",IF(ISNA(VLOOKUP($E91,'A-1 Site Habitat Baseline'!$D$1:$O$258,8,FALSE)),"",(VLOOKUP($E91,'A-1 Site Habitat Baseline'!$D$1:$O$258,8,FALSE))))</f>
        <v/>
      </c>
      <c r="K91" s="520" t="str">
        <f>IF(E91="","",IF(ISNA(VLOOKUP($E91,'A-1 Site Habitat Baseline'!$D$1:$O$258,9,FALSE)),"",(VLOOKUP($E91,'A-1 Site Habitat Baseline'!$D$1:$O$258,9,FALSE))))</f>
        <v/>
      </c>
      <c r="L91" s="520" t="str">
        <f>IF(E91="","",IF(ISNA(VLOOKUP($E91,'A-1 Site Habitat Baseline'!$D$1:$O$258,11,FALSE)),"",(VLOOKUP($E91,'A-1 Site Habitat Baseline'!$D$1:$O$258,11,FALSE))))</f>
        <v/>
      </c>
      <c r="M91" s="520" t="str">
        <f>IF(E91="","",IF(ISNA(VLOOKUP($E91,'A-1 Site Habitat Baseline'!$D$1:$O$258,12,FALSE)),"",(VLOOKUP($E91,'A-1 Site Habitat Baseline'!$D$1:$O$258,12,FALSE))))</f>
        <v/>
      </c>
      <c r="N91" s="532" t="str">
        <f>IF(E91="","",IF(ISNA(VLOOKUP($E91,'A-1 Site Habitat Baseline'!$D$1:$X$258,14,FALSE)),"",(VLOOKUP($E91,'A-1 Site Habitat Baseline'!$D$1:$X$258,14,FALSE))))</f>
        <v/>
      </c>
      <c r="O91" s="524" t="str">
        <f>IF(E91="","",IF(ISNA(VLOOKUP($E91,'A-1 Site Habitat Baseline'!$D$1:$X$258,16,FALSE)),"",(VLOOKUP($E91,'A-1 Site Habitat Baseline'!$D$1:$X$258,13,FALSE))))</f>
        <v/>
      </c>
      <c r="P91" s="237" t="str">
        <f>IFERROR(INDEX('G-1 All Habitats'!$AG$3:$AG$15,MATCH(Q91,'G-1 All Habitats'!$AF$3:$AF$15,0)),"")</f>
        <v/>
      </c>
      <c r="Q91" s="238" t="str">
        <f t="shared" si="15"/>
        <v/>
      </c>
      <c r="R91" s="238" t="str">
        <f t="shared" si="16"/>
        <v/>
      </c>
      <c r="S91" s="392" t="str">
        <f>IFERROR(INDEX('G-1 All Habitats'!$B$3:$B$129,MATCH(R91,'G-1 All Habitats'!$A$3:$A$129,0)),"")</f>
        <v/>
      </c>
      <c r="T91" s="498" t="str">
        <f t="shared" si="17"/>
        <v/>
      </c>
      <c r="U91" s="499" t="str">
        <f t="shared" si="18"/>
        <v/>
      </c>
      <c r="V91" s="537" t="str">
        <f t="shared" si="12"/>
        <v/>
      </c>
      <c r="W91" s="520" t="str">
        <f>IF(S91="","",VLOOKUP(S91,'G-1 All Habitats'!$B$2:$M$129,10,FALSE))</f>
        <v/>
      </c>
      <c r="X91" s="520" t="str">
        <f>IFERROR(VLOOKUP(W91,'G-1 All Habitats'!$V$3:$W$7,2,FALSE),"")</f>
        <v/>
      </c>
      <c r="Y91" s="79"/>
      <c r="Z91" s="524" t="str">
        <f>IFERROR(INDEX('G-8 Condition Look up'!$A$3:$H$130,MATCH(S91,'G-8 Condition Look up'!$A$3:$A$130,0),MATCH(Y91,'G-8 Condition Look up'!$A$3:$H$3,0)),"")</f>
        <v/>
      </c>
      <c r="AA91" s="71"/>
      <c r="AB91" s="520" t="str">
        <f>IF(AA91="","",IF(VLOOKUP(AA91,'G-3 Multipliers'!$L$3:$N$6,2,FALSE)=0,"Spatial Data Missing ⚠",VLOOKUP(AA91,'G-3 Multipliers'!$L$3:$N$6,2,FALSE)))</f>
        <v/>
      </c>
      <c r="AC91" s="524" t="str">
        <f>IF(AA91="","",IF(VLOOKUP(AA91,'G-3 Multipliers'!$L$3:$N$6,3,FALSE)=0,"Spatial Data Missing ⚠",VLOOKUP(AA91,'G-3 Multipliers'!$L$3:$N$6,3,FALSE)))</f>
        <v/>
      </c>
      <c r="AD91" s="539" t="str">
        <f t="shared" si="13"/>
        <v/>
      </c>
      <c r="AE91" s="82"/>
      <c r="AF91" s="82"/>
      <c r="AG91" s="507" t="str">
        <f t="shared" si="19"/>
        <v/>
      </c>
      <c r="AH91" s="521" t="str">
        <f t="shared" si="20"/>
        <v/>
      </c>
      <c r="AI91" s="522" t="str">
        <f>IF(AH91="Check Data","Check Data",IFERROR(VLOOKUP(AH91,'G-4 Temporal multipliers'!$A$4:$C$36,3,FALSE),""))</f>
        <v/>
      </c>
      <c r="AJ91" s="498" t="str">
        <f>IF(S91="","",VLOOKUP(S91,'G-3 Multipliers'!$A$2:$E$129,4,FALSE))</f>
        <v/>
      </c>
      <c r="AK91" s="507" t="str">
        <f t="shared" si="21"/>
        <v/>
      </c>
      <c r="AL91" s="507" t="str">
        <f t="shared" si="22"/>
        <v/>
      </c>
      <c r="AM91" s="540" t="str">
        <f>IFERROR(IF(F91="","",IF(AH91="Check Data ⚠","Check Data ⚠",VLOOKUP(AL91, 'G-3 Multipliers'!$P$2:$Q$6,2,FALSE))),"")</f>
        <v/>
      </c>
      <c r="AN91" s="513" t="str">
        <f t="shared" si="14"/>
        <v/>
      </c>
      <c r="AO91" s="239"/>
      <c r="AP91" s="240"/>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1" t="str">
        <f>'A-1 Site Habitat Baseline'!AL91</f>
        <v/>
      </c>
      <c r="F92" s="520" t="str">
        <f>IF(E92="","",IF(ISNA(VLOOKUP($E92,'A-1 Site Habitat Baseline'!$D$1:$O$258,4,FALSE)),"",(VLOOKUP($E92,'A-1 Site Habitat Baseline'!$D$1:$O$258,4,FALSE))))</f>
        <v/>
      </c>
      <c r="G92" s="520" t="str">
        <f>IF(E92="","",IF(ISNA(VLOOKUP($E92,'A-1 Site Habitat Baseline'!$D$1:$O$258,5,FALSE)),"",(VLOOKUP($E92,'A-1 Site Habitat Baseline'!$D$1:$O$258,5,FALSE))))</f>
        <v/>
      </c>
      <c r="H92" s="520" t="str">
        <f>IF(E92="","",IF(ISNA(VLOOKUP($E92,'A-1 Site Habitat Baseline'!$D$1:$O$258,6,FALSE)),"",(VLOOKUP($E92,'A-1 Site Habitat Baseline'!$D$1:$O$258,6,FALSE))))</f>
        <v/>
      </c>
      <c r="I92" s="520" t="str">
        <f>IF(E92="","",IF(ISNA(VLOOKUP($E92,'A-1 Site Habitat Baseline'!$D$1:$O$258,7,FALSE)),"",(VLOOKUP($E92,'A-1 Site Habitat Baseline'!$D$1:$O$258,7,FALSE))))</f>
        <v/>
      </c>
      <c r="J92" s="520" t="str">
        <f>IF(E92="","",IF(ISNA(VLOOKUP($E92,'A-1 Site Habitat Baseline'!$D$1:$O$258,8,FALSE)),"",(VLOOKUP($E92,'A-1 Site Habitat Baseline'!$D$1:$O$258,8,FALSE))))</f>
        <v/>
      </c>
      <c r="K92" s="520" t="str">
        <f>IF(E92="","",IF(ISNA(VLOOKUP($E92,'A-1 Site Habitat Baseline'!$D$1:$O$258,9,FALSE)),"",(VLOOKUP($E92,'A-1 Site Habitat Baseline'!$D$1:$O$258,9,FALSE))))</f>
        <v/>
      </c>
      <c r="L92" s="520" t="str">
        <f>IF(E92="","",IF(ISNA(VLOOKUP($E92,'A-1 Site Habitat Baseline'!$D$1:$O$258,11,FALSE)),"",(VLOOKUP($E92,'A-1 Site Habitat Baseline'!$D$1:$O$258,11,FALSE))))</f>
        <v/>
      </c>
      <c r="M92" s="520" t="str">
        <f>IF(E92="","",IF(ISNA(VLOOKUP($E92,'A-1 Site Habitat Baseline'!$D$1:$O$258,12,FALSE)),"",(VLOOKUP($E92,'A-1 Site Habitat Baseline'!$D$1:$O$258,12,FALSE))))</f>
        <v/>
      </c>
      <c r="N92" s="532" t="str">
        <f>IF(E92="","",IF(ISNA(VLOOKUP($E92,'A-1 Site Habitat Baseline'!$D$1:$X$258,14,FALSE)),"",(VLOOKUP($E92,'A-1 Site Habitat Baseline'!$D$1:$X$258,14,FALSE))))</f>
        <v/>
      </c>
      <c r="O92" s="524" t="str">
        <f>IF(E92="","",IF(ISNA(VLOOKUP($E92,'A-1 Site Habitat Baseline'!$D$1:$X$258,16,FALSE)),"",(VLOOKUP($E92,'A-1 Site Habitat Baseline'!$D$1:$X$258,13,FALSE))))</f>
        <v/>
      </c>
      <c r="P92" s="237" t="str">
        <f>IFERROR(INDEX('G-1 All Habitats'!$AG$3:$AG$15,MATCH(Q92,'G-1 All Habitats'!$AF$3:$AF$15,0)),"")</f>
        <v/>
      </c>
      <c r="Q92" s="238" t="str">
        <f t="shared" si="15"/>
        <v/>
      </c>
      <c r="R92" s="238" t="str">
        <f t="shared" si="16"/>
        <v/>
      </c>
      <c r="S92" s="392" t="str">
        <f>IFERROR(INDEX('G-1 All Habitats'!$B$3:$B$129,MATCH(R92,'G-1 All Habitats'!$A$3:$A$129,0)),"")</f>
        <v/>
      </c>
      <c r="T92" s="498" t="str">
        <f t="shared" si="17"/>
        <v/>
      </c>
      <c r="U92" s="499" t="str">
        <f t="shared" si="18"/>
        <v/>
      </c>
      <c r="V92" s="537" t="str">
        <f t="shared" si="12"/>
        <v/>
      </c>
      <c r="W92" s="520" t="str">
        <f>IF(S92="","",VLOOKUP(S92,'G-1 All Habitats'!$B$2:$M$129,10,FALSE))</f>
        <v/>
      </c>
      <c r="X92" s="520" t="str">
        <f>IFERROR(VLOOKUP(W92,'G-1 All Habitats'!$V$3:$W$7,2,FALSE),"")</f>
        <v/>
      </c>
      <c r="Y92" s="79"/>
      <c r="Z92" s="524" t="str">
        <f>IFERROR(INDEX('G-8 Condition Look up'!$A$3:$H$130,MATCH(S92,'G-8 Condition Look up'!$A$3:$A$130,0),MATCH(Y92,'G-8 Condition Look up'!$A$3:$H$3,0)),"")</f>
        <v/>
      </c>
      <c r="AA92" s="71"/>
      <c r="AB92" s="520" t="str">
        <f>IF(AA92="","",IF(VLOOKUP(AA92,'G-3 Multipliers'!$L$3:$N$6,2,FALSE)=0,"Spatial Data Missing ⚠",VLOOKUP(AA92,'G-3 Multipliers'!$L$3:$N$6,2,FALSE)))</f>
        <v/>
      </c>
      <c r="AC92" s="524" t="str">
        <f>IF(AA92="","",IF(VLOOKUP(AA92,'G-3 Multipliers'!$L$3:$N$6,3,FALSE)=0,"Spatial Data Missing ⚠",VLOOKUP(AA92,'G-3 Multipliers'!$L$3:$N$6,3,FALSE)))</f>
        <v/>
      </c>
      <c r="AD92" s="539" t="str">
        <f t="shared" si="13"/>
        <v/>
      </c>
      <c r="AE92" s="82"/>
      <c r="AF92" s="82"/>
      <c r="AG92" s="507" t="str">
        <f t="shared" si="19"/>
        <v/>
      </c>
      <c r="AH92" s="521" t="str">
        <f t="shared" si="20"/>
        <v/>
      </c>
      <c r="AI92" s="522" t="str">
        <f>IF(AH92="Check Data","Check Data",IFERROR(VLOOKUP(AH92,'G-4 Temporal multipliers'!$A$4:$C$36,3,FALSE),""))</f>
        <v/>
      </c>
      <c r="AJ92" s="498" t="str">
        <f>IF(S92="","",VLOOKUP(S92,'G-3 Multipliers'!$A$2:$E$129,4,FALSE))</f>
        <v/>
      </c>
      <c r="AK92" s="507" t="str">
        <f t="shared" si="21"/>
        <v/>
      </c>
      <c r="AL92" s="507" t="str">
        <f t="shared" si="22"/>
        <v/>
      </c>
      <c r="AM92" s="540" t="str">
        <f>IFERROR(IF(F92="","",IF(AH92="Check Data ⚠","Check Data ⚠",VLOOKUP(AL92, 'G-3 Multipliers'!$P$2:$Q$6,2,FALSE))),"")</f>
        <v/>
      </c>
      <c r="AN92" s="513" t="str">
        <f t="shared" si="14"/>
        <v/>
      </c>
      <c r="AO92" s="239"/>
      <c r="AP92" s="240"/>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1" t="str">
        <f>'A-1 Site Habitat Baseline'!AL92</f>
        <v/>
      </c>
      <c r="F93" s="520" t="str">
        <f>IF(E93="","",IF(ISNA(VLOOKUP($E93,'A-1 Site Habitat Baseline'!$D$1:$O$258,4,FALSE)),"",(VLOOKUP($E93,'A-1 Site Habitat Baseline'!$D$1:$O$258,4,FALSE))))</f>
        <v/>
      </c>
      <c r="G93" s="520" t="str">
        <f>IF(E93="","",IF(ISNA(VLOOKUP($E93,'A-1 Site Habitat Baseline'!$D$1:$O$258,5,FALSE)),"",(VLOOKUP($E93,'A-1 Site Habitat Baseline'!$D$1:$O$258,5,FALSE))))</f>
        <v/>
      </c>
      <c r="H93" s="520" t="str">
        <f>IF(E93="","",IF(ISNA(VLOOKUP($E93,'A-1 Site Habitat Baseline'!$D$1:$O$258,6,FALSE)),"",(VLOOKUP($E93,'A-1 Site Habitat Baseline'!$D$1:$O$258,6,FALSE))))</f>
        <v/>
      </c>
      <c r="I93" s="520" t="str">
        <f>IF(E93="","",IF(ISNA(VLOOKUP($E93,'A-1 Site Habitat Baseline'!$D$1:$O$258,7,FALSE)),"",(VLOOKUP($E93,'A-1 Site Habitat Baseline'!$D$1:$O$258,7,FALSE))))</f>
        <v/>
      </c>
      <c r="J93" s="520" t="str">
        <f>IF(E93="","",IF(ISNA(VLOOKUP($E93,'A-1 Site Habitat Baseline'!$D$1:$O$258,8,FALSE)),"",(VLOOKUP($E93,'A-1 Site Habitat Baseline'!$D$1:$O$258,8,FALSE))))</f>
        <v/>
      </c>
      <c r="K93" s="520" t="str">
        <f>IF(E93="","",IF(ISNA(VLOOKUP($E93,'A-1 Site Habitat Baseline'!$D$1:$O$258,9,FALSE)),"",(VLOOKUP($E93,'A-1 Site Habitat Baseline'!$D$1:$O$258,9,FALSE))))</f>
        <v/>
      </c>
      <c r="L93" s="520" t="str">
        <f>IF(E93="","",IF(ISNA(VLOOKUP($E93,'A-1 Site Habitat Baseline'!$D$1:$O$258,11,FALSE)),"",(VLOOKUP($E93,'A-1 Site Habitat Baseline'!$D$1:$O$258,11,FALSE))))</f>
        <v/>
      </c>
      <c r="M93" s="520" t="str">
        <f>IF(E93="","",IF(ISNA(VLOOKUP($E93,'A-1 Site Habitat Baseline'!$D$1:$O$258,12,FALSE)),"",(VLOOKUP($E93,'A-1 Site Habitat Baseline'!$D$1:$O$258,12,FALSE))))</f>
        <v/>
      </c>
      <c r="N93" s="532" t="str">
        <f>IF(E93="","",IF(ISNA(VLOOKUP($E93,'A-1 Site Habitat Baseline'!$D$1:$X$258,14,FALSE)),"",(VLOOKUP($E93,'A-1 Site Habitat Baseline'!$D$1:$X$258,14,FALSE))))</f>
        <v/>
      </c>
      <c r="O93" s="524" t="str">
        <f>IF(E93="","",IF(ISNA(VLOOKUP($E93,'A-1 Site Habitat Baseline'!$D$1:$X$258,16,FALSE)),"",(VLOOKUP($E93,'A-1 Site Habitat Baseline'!$D$1:$X$258,13,FALSE))))</f>
        <v/>
      </c>
      <c r="P93" s="237" t="str">
        <f>IFERROR(INDEX('G-1 All Habitats'!$AG$3:$AG$15,MATCH(Q93,'G-1 All Habitats'!$AF$3:$AF$15,0)),"")</f>
        <v/>
      </c>
      <c r="Q93" s="238" t="str">
        <f t="shared" si="15"/>
        <v/>
      </c>
      <c r="R93" s="238" t="str">
        <f t="shared" si="16"/>
        <v/>
      </c>
      <c r="S93" s="392" t="str">
        <f>IFERROR(INDEX('G-1 All Habitats'!$B$3:$B$129,MATCH(R93,'G-1 All Habitats'!$A$3:$A$129,0)),"")</f>
        <v/>
      </c>
      <c r="T93" s="498" t="str">
        <f t="shared" si="17"/>
        <v/>
      </c>
      <c r="U93" s="499" t="str">
        <f t="shared" si="18"/>
        <v/>
      </c>
      <c r="V93" s="537" t="str">
        <f t="shared" si="12"/>
        <v/>
      </c>
      <c r="W93" s="520" t="str">
        <f>IF(S93="","",VLOOKUP(S93,'G-1 All Habitats'!$B$2:$M$129,10,FALSE))</f>
        <v/>
      </c>
      <c r="X93" s="520" t="str">
        <f>IFERROR(VLOOKUP(W93,'G-1 All Habitats'!$V$3:$W$7,2,FALSE),"")</f>
        <v/>
      </c>
      <c r="Y93" s="79"/>
      <c r="Z93" s="524" t="str">
        <f>IFERROR(INDEX('G-8 Condition Look up'!$A$3:$H$130,MATCH(S93,'G-8 Condition Look up'!$A$3:$A$130,0),MATCH(Y93,'G-8 Condition Look up'!$A$3:$H$3,0)),"")</f>
        <v/>
      </c>
      <c r="AA93" s="71"/>
      <c r="AB93" s="520" t="str">
        <f>IF(AA93="","",IF(VLOOKUP(AA93,'G-3 Multipliers'!$L$3:$N$6,2,FALSE)=0,"Spatial Data Missing ⚠",VLOOKUP(AA93,'G-3 Multipliers'!$L$3:$N$6,2,FALSE)))</f>
        <v/>
      </c>
      <c r="AC93" s="524" t="str">
        <f>IF(AA93="","",IF(VLOOKUP(AA93,'G-3 Multipliers'!$L$3:$N$6,3,FALSE)=0,"Spatial Data Missing ⚠",VLOOKUP(AA93,'G-3 Multipliers'!$L$3:$N$6,3,FALSE)))</f>
        <v/>
      </c>
      <c r="AD93" s="539" t="str">
        <f t="shared" si="13"/>
        <v/>
      </c>
      <c r="AE93" s="82"/>
      <c r="AF93" s="82"/>
      <c r="AG93" s="507" t="str">
        <f t="shared" si="19"/>
        <v/>
      </c>
      <c r="AH93" s="521" t="str">
        <f t="shared" si="20"/>
        <v/>
      </c>
      <c r="AI93" s="522" t="str">
        <f>IF(AH93="Check Data","Check Data",IFERROR(VLOOKUP(AH93,'G-4 Temporal multipliers'!$A$4:$C$36,3,FALSE),""))</f>
        <v/>
      </c>
      <c r="AJ93" s="498" t="str">
        <f>IF(S93="","",VLOOKUP(S93,'G-3 Multipliers'!$A$2:$E$129,4,FALSE))</f>
        <v/>
      </c>
      <c r="AK93" s="507" t="str">
        <f t="shared" si="21"/>
        <v/>
      </c>
      <c r="AL93" s="507" t="str">
        <f t="shared" si="22"/>
        <v/>
      </c>
      <c r="AM93" s="540" t="str">
        <f>IFERROR(IF(F93="","",IF(AH93="Check Data ⚠","Check Data ⚠",VLOOKUP(AL93, 'G-3 Multipliers'!$P$2:$Q$6,2,FALSE))),"")</f>
        <v/>
      </c>
      <c r="AN93" s="513" t="str">
        <f t="shared" si="14"/>
        <v/>
      </c>
      <c r="AO93" s="239"/>
      <c r="AP93" s="240"/>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1" t="str">
        <f>'A-1 Site Habitat Baseline'!AL93</f>
        <v/>
      </c>
      <c r="F94" s="520" t="str">
        <f>IF(E94="","",IF(ISNA(VLOOKUP($E94,'A-1 Site Habitat Baseline'!$D$1:$O$258,4,FALSE)),"",(VLOOKUP($E94,'A-1 Site Habitat Baseline'!$D$1:$O$258,4,FALSE))))</f>
        <v/>
      </c>
      <c r="G94" s="520" t="str">
        <f>IF(E94="","",IF(ISNA(VLOOKUP($E94,'A-1 Site Habitat Baseline'!$D$1:$O$258,5,FALSE)),"",(VLOOKUP($E94,'A-1 Site Habitat Baseline'!$D$1:$O$258,5,FALSE))))</f>
        <v/>
      </c>
      <c r="H94" s="520" t="str">
        <f>IF(E94="","",IF(ISNA(VLOOKUP($E94,'A-1 Site Habitat Baseline'!$D$1:$O$258,6,FALSE)),"",(VLOOKUP($E94,'A-1 Site Habitat Baseline'!$D$1:$O$258,6,FALSE))))</f>
        <v/>
      </c>
      <c r="I94" s="520" t="str">
        <f>IF(E94="","",IF(ISNA(VLOOKUP($E94,'A-1 Site Habitat Baseline'!$D$1:$O$258,7,FALSE)),"",(VLOOKUP($E94,'A-1 Site Habitat Baseline'!$D$1:$O$258,7,FALSE))))</f>
        <v/>
      </c>
      <c r="J94" s="520" t="str">
        <f>IF(E94="","",IF(ISNA(VLOOKUP($E94,'A-1 Site Habitat Baseline'!$D$1:$O$258,8,FALSE)),"",(VLOOKUP($E94,'A-1 Site Habitat Baseline'!$D$1:$O$258,8,FALSE))))</f>
        <v/>
      </c>
      <c r="K94" s="520" t="str">
        <f>IF(E94="","",IF(ISNA(VLOOKUP($E94,'A-1 Site Habitat Baseline'!$D$1:$O$258,9,FALSE)),"",(VLOOKUP($E94,'A-1 Site Habitat Baseline'!$D$1:$O$258,9,FALSE))))</f>
        <v/>
      </c>
      <c r="L94" s="520" t="str">
        <f>IF(E94="","",IF(ISNA(VLOOKUP($E94,'A-1 Site Habitat Baseline'!$D$1:$O$258,11,FALSE)),"",(VLOOKUP($E94,'A-1 Site Habitat Baseline'!$D$1:$O$258,11,FALSE))))</f>
        <v/>
      </c>
      <c r="M94" s="520" t="str">
        <f>IF(E94="","",IF(ISNA(VLOOKUP($E94,'A-1 Site Habitat Baseline'!$D$1:$O$258,12,FALSE)),"",(VLOOKUP($E94,'A-1 Site Habitat Baseline'!$D$1:$O$258,12,FALSE))))</f>
        <v/>
      </c>
      <c r="N94" s="532" t="str">
        <f>IF(E94="","",IF(ISNA(VLOOKUP($E94,'A-1 Site Habitat Baseline'!$D$1:$X$258,14,FALSE)),"",(VLOOKUP($E94,'A-1 Site Habitat Baseline'!$D$1:$X$258,14,FALSE))))</f>
        <v/>
      </c>
      <c r="O94" s="524" t="str">
        <f>IF(E94="","",IF(ISNA(VLOOKUP($E94,'A-1 Site Habitat Baseline'!$D$1:$X$258,16,FALSE)),"",(VLOOKUP($E94,'A-1 Site Habitat Baseline'!$D$1:$X$258,13,FALSE))))</f>
        <v/>
      </c>
      <c r="P94" s="237" t="str">
        <f>IFERROR(INDEX('G-1 All Habitats'!$AG$3:$AG$15,MATCH(Q94,'G-1 All Habitats'!$AF$3:$AF$15,0)),"")</f>
        <v/>
      </c>
      <c r="Q94" s="238" t="str">
        <f t="shared" si="15"/>
        <v/>
      </c>
      <c r="R94" s="238" t="str">
        <f t="shared" si="16"/>
        <v/>
      </c>
      <c r="S94" s="392" t="str">
        <f>IFERROR(INDEX('G-1 All Habitats'!$B$3:$B$129,MATCH(R94,'G-1 All Habitats'!$A$3:$A$129,0)),"")</f>
        <v/>
      </c>
      <c r="T94" s="498" t="str">
        <f t="shared" si="17"/>
        <v/>
      </c>
      <c r="U94" s="499" t="str">
        <f t="shared" si="18"/>
        <v/>
      </c>
      <c r="V94" s="537" t="str">
        <f t="shared" si="12"/>
        <v/>
      </c>
      <c r="W94" s="520" t="str">
        <f>IF(S94="","",VLOOKUP(S94,'G-1 All Habitats'!$B$2:$M$129,10,FALSE))</f>
        <v/>
      </c>
      <c r="X94" s="520" t="str">
        <f>IFERROR(VLOOKUP(W94,'G-1 All Habitats'!$V$3:$W$7,2,FALSE),"")</f>
        <v/>
      </c>
      <c r="Y94" s="79"/>
      <c r="Z94" s="524" t="str">
        <f>IFERROR(INDEX('G-8 Condition Look up'!$A$3:$H$130,MATCH(S94,'G-8 Condition Look up'!$A$3:$A$130,0),MATCH(Y94,'G-8 Condition Look up'!$A$3:$H$3,0)),"")</f>
        <v/>
      </c>
      <c r="AA94" s="71"/>
      <c r="AB94" s="520" t="str">
        <f>IF(AA94="","",IF(VLOOKUP(AA94,'G-3 Multipliers'!$L$3:$N$6,2,FALSE)=0,"Spatial Data Missing ⚠",VLOOKUP(AA94,'G-3 Multipliers'!$L$3:$N$6,2,FALSE)))</f>
        <v/>
      </c>
      <c r="AC94" s="524" t="str">
        <f>IF(AA94="","",IF(VLOOKUP(AA94,'G-3 Multipliers'!$L$3:$N$6,3,FALSE)=0,"Spatial Data Missing ⚠",VLOOKUP(AA94,'G-3 Multipliers'!$L$3:$N$6,3,FALSE)))</f>
        <v/>
      </c>
      <c r="AD94" s="539" t="str">
        <f t="shared" si="13"/>
        <v/>
      </c>
      <c r="AE94" s="82"/>
      <c r="AF94" s="82"/>
      <c r="AG94" s="507" t="str">
        <f t="shared" si="19"/>
        <v/>
      </c>
      <c r="AH94" s="521" t="str">
        <f t="shared" si="20"/>
        <v/>
      </c>
      <c r="AI94" s="522" t="str">
        <f>IF(AH94="Check Data","Check Data",IFERROR(VLOOKUP(AH94,'G-4 Temporal multipliers'!$A$4:$C$36,3,FALSE),""))</f>
        <v/>
      </c>
      <c r="AJ94" s="498" t="str">
        <f>IF(S94="","",VLOOKUP(S94,'G-3 Multipliers'!$A$2:$E$129,4,FALSE))</f>
        <v/>
      </c>
      <c r="AK94" s="507" t="str">
        <f t="shared" si="21"/>
        <v/>
      </c>
      <c r="AL94" s="507" t="str">
        <f t="shared" si="22"/>
        <v/>
      </c>
      <c r="AM94" s="540" t="str">
        <f>IFERROR(IF(F94="","",IF(AH94="Check Data ⚠","Check Data ⚠",VLOOKUP(AL94, 'G-3 Multipliers'!$P$2:$Q$6,2,FALSE))),"")</f>
        <v/>
      </c>
      <c r="AN94" s="513" t="str">
        <f t="shared" si="14"/>
        <v/>
      </c>
      <c r="AO94" s="239"/>
      <c r="AP94" s="240"/>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1" t="str">
        <f>'A-1 Site Habitat Baseline'!AL94</f>
        <v/>
      </c>
      <c r="F95" s="520" t="str">
        <f>IF(E95="","",IF(ISNA(VLOOKUP($E95,'A-1 Site Habitat Baseline'!$D$1:$O$258,4,FALSE)),"",(VLOOKUP($E95,'A-1 Site Habitat Baseline'!$D$1:$O$258,4,FALSE))))</f>
        <v/>
      </c>
      <c r="G95" s="520" t="str">
        <f>IF(E95="","",IF(ISNA(VLOOKUP($E95,'A-1 Site Habitat Baseline'!$D$1:$O$258,5,FALSE)),"",(VLOOKUP($E95,'A-1 Site Habitat Baseline'!$D$1:$O$258,5,FALSE))))</f>
        <v/>
      </c>
      <c r="H95" s="520" t="str">
        <f>IF(E95="","",IF(ISNA(VLOOKUP($E95,'A-1 Site Habitat Baseline'!$D$1:$O$258,6,FALSE)),"",(VLOOKUP($E95,'A-1 Site Habitat Baseline'!$D$1:$O$258,6,FALSE))))</f>
        <v/>
      </c>
      <c r="I95" s="520" t="str">
        <f>IF(E95="","",IF(ISNA(VLOOKUP($E95,'A-1 Site Habitat Baseline'!$D$1:$O$258,7,FALSE)),"",(VLOOKUP($E95,'A-1 Site Habitat Baseline'!$D$1:$O$258,7,FALSE))))</f>
        <v/>
      </c>
      <c r="J95" s="520" t="str">
        <f>IF(E95="","",IF(ISNA(VLOOKUP($E95,'A-1 Site Habitat Baseline'!$D$1:$O$258,8,FALSE)),"",(VLOOKUP($E95,'A-1 Site Habitat Baseline'!$D$1:$O$258,8,FALSE))))</f>
        <v/>
      </c>
      <c r="K95" s="520" t="str">
        <f>IF(E95="","",IF(ISNA(VLOOKUP($E95,'A-1 Site Habitat Baseline'!$D$1:$O$258,9,FALSE)),"",(VLOOKUP($E95,'A-1 Site Habitat Baseline'!$D$1:$O$258,9,FALSE))))</f>
        <v/>
      </c>
      <c r="L95" s="520" t="str">
        <f>IF(E95="","",IF(ISNA(VLOOKUP($E95,'A-1 Site Habitat Baseline'!$D$1:$O$258,11,FALSE)),"",(VLOOKUP($E95,'A-1 Site Habitat Baseline'!$D$1:$O$258,11,FALSE))))</f>
        <v/>
      </c>
      <c r="M95" s="520" t="str">
        <f>IF(E95="","",IF(ISNA(VLOOKUP($E95,'A-1 Site Habitat Baseline'!$D$1:$O$258,12,FALSE)),"",(VLOOKUP($E95,'A-1 Site Habitat Baseline'!$D$1:$O$258,12,FALSE))))</f>
        <v/>
      </c>
      <c r="N95" s="532" t="str">
        <f>IF(E95="","",IF(ISNA(VLOOKUP($E95,'A-1 Site Habitat Baseline'!$D$1:$X$258,14,FALSE)),"",(VLOOKUP($E95,'A-1 Site Habitat Baseline'!$D$1:$X$258,14,FALSE))))</f>
        <v/>
      </c>
      <c r="O95" s="524" t="str">
        <f>IF(E95="","",IF(ISNA(VLOOKUP($E95,'A-1 Site Habitat Baseline'!$D$1:$X$258,16,FALSE)),"",(VLOOKUP($E95,'A-1 Site Habitat Baseline'!$D$1:$X$258,13,FALSE))))</f>
        <v/>
      </c>
      <c r="P95" s="237" t="str">
        <f>IFERROR(INDEX('G-1 All Habitats'!$AG$3:$AG$15,MATCH(Q95,'G-1 All Habitats'!$AF$3:$AF$15,0)),"")</f>
        <v/>
      </c>
      <c r="Q95" s="238" t="str">
        <f t="shared" si="15"/>
        <v/>
      </c>
      <c r="R95" s="238" t="str">
        <f t="shared" si="16"/>
        <v/>
      </c>
      <c r="S95" s="392" t="str">
        <f>IFERROR(INDEX('G-1 All Habitats'!$B$3:$B$129,MATCH(R95,'G-1 All Habitats'!$A$3:$A$129,0)),"")</f>
        <v/>
      </c>
      <c r="T95" s="498" t="str">
        <f t="shared" si="17"/>
        <v/>
      </c>
      <c r="U95" s="499" t="str">
        <f t="shared" si="18"/>
        <v/>
      </c>
      <c r="V95" s="537" t="str">
        <f t="shared" si="12"/>
        <v/>
      </c>
      <c r="W95" s="520" t="str">
        <f>IF(S95="","",VLOOKUP(S95,'G-1 All Habitats'!$B$2:$M$129,10,FALSE))</f>
        <v/>
      </c>
      <c r="X95" s="520" t="str">
        <f>IFERROR(VLOOKUP(W95,'G-1 All Habitats'!$V$3:$W$7,2,FALSE),"")</f>
        <v/>
      </c>
      <c r="Y95" s="79"/>
      <c r="Z95" s="524" t="str">
        <f>IFERROR(INDEX('G-8 Condition Look up'!$A$3:$H$130,MATCH(S95,'G-8 Condition Look up'!$A$3:$A$130,0),MATCH(Y95,'G-8 Condition Look up'!$A$3:$H$3,0)),"")</f>
        <v/>
      </c>
      <c r="AA95" s="71"/>
      <c r="AB95" s="520" t="str">
        <f>IF(AA95="","",IF(VLOOKUP(AA95,'G-3 Multipliers'!$L$3:$N$6,2,FALSE)=0,"Spatial Data Missing ⚠",VLOOKUP(AA95,'G-3 Multipliers'!$L$3:$N$6,2,FALSE)))</f>
        <v/>
      </c>
      <c r="AC95" s="524" t="str">
        <f>IF(AA95="","",IF(VLOOKUP(AA95,'G-3 Multipliers'!$L$3:$N$6,3,FALSE)=0,"Spatial Data Missing ⚠",VLOOKUP(AA95,'G-3 Multipliers'!$L$3:$N$6,3,FALSE)))</f>
        <v/>
      </c>
      <c r="AD95" s="539" t="str">
        <f t="shared" si="13"/>
        <v/>
      </c>
      <c r="AE95" s="82"/>
      <c r="AF95" s="82"/>
      <c r="AG95" s="507" t="str">
        <f t="shared" si="19"/>
        <v/>
      </c>
      <c r="AH95" s="521" t="str">
        <f t="shared" si="20"/>
        <v/>
      </c>
      <c r="AI95" s="522" t="str">
        <f>IF(AH95="Check Data","Check Data",IFERROR(VLOOKUP(AH95,'G-4 Temporal multipliers'!$A$4:$C$36,3,FALSE),""))</f>
        <v/>
      </c>
      <c r="AJ95" s="498" t="str">
        <f>IF(S95="","",VLOOKUP(S95,'G-3 Multipliers'!$A$2:$E$129,4,FALSE))</f>
        <v/>
      </c>
      <c r="AK95" s="507" t="str">
        <f t="shared" si="21"/>
        <v/>
      </c>
      <c r="AL95" s="507" t="str">
        <f t="shared" si="22"/>
        <v/>
      </c>
      <c r="AM95" s="540" t="str">
        <f>IFERROR(IF(F95="","",IF(AH95="Check Data ⚠","Check Data ⚠",VLOOKUP(AL95, 'G-3 Multipliers'!$P$2:$Q$6,2,FALSE))),"")</f>
        <v/>
      </c>
      <c r="AN95" s="513" t="str">
        <f t="shared" si="14"/>
        <v/>
      </c>
      <c r="AO95" s="239"/>
      <c r="AP95" s="240"/>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1" t="str">
        <f>'A-1 Site Habitat Baseline'!AL95</f>
        <v/>
      </c>
      <c r="F96" s="520" t="str">
        <f>IF(E96="","",IF(ISNA(VLOOKUP($E96,'A-1 Site Habitat Baseline'!$D$1:$O$258,4,FALSE)),"",(VLOOKUP($E96,'A-1 Site Habitat Baseline'!$D$1:$O$258,4,FALSE))))</f>
        <v/>
      </c>
      <c r="G96" s="520" t="str">
        <f>IF(E96="","",IF(ISNA(VLOOKUP($E96,'A-1 Site Habitat Baseline'!$D$1:$O$258,5,FALSE)),"",(VLOOKUP($E96,'A-1 Site Habitat Baseline'!$D$1:$O$258,5,FALSE))))</f>
        <v/>
      </c>
      <c r="H96" s="520" t="str">
        <f>IF(E96="","",IF(ISNA(VLOOKUP($E96,'A-1 Site Habitat Baseline'!$D$1:$O$258,6,FALSE)),"",(VLOOKUP($E96,'A-1 Site Habitat Baseline'!$D$1:$O$258,6,FALSE))))</f>
        <v/>
      </c>
      <c r="I96" s="520" t="str">
        <f>IF(E96="","",IF(ISNA(VLOOKUP($E96,'A-1 Site Habitat Baseline'!$D$1:$O$258,7,FALSE)),"",(VLOOKUP($E96,'A-1 Site Habitat Baseline'!$D$1:$O$258,7,FALSE))))</f>
        <v/>
      </c>
      <c r="J96" s="520" t="str">
        <f>IF(E96="","",IF(ISNA(VLOOKUP($E96,'A-1 Site Habitat Baseline'!$D$1:$O$258,8,FALSE)),"",(VLOOKUP($E96,'A-1 Site Habitat Baseline'!$D$1:$O$258,8,FALSE))))</f>
        <v/>
      </c>
      <c r="K96" s="520" t="str">
        <f>IF(E96="","",IF(ISNA(VLOOKUP($E96,'A-1 Site Habitat Baseline'!$D$1:$O$258,9,FALSE)),"",(VLOOKUP($E96,'A-1 Site Habitat Baseline'!$D$1:$O$258,9,FALSE))))</f>
        <v/>
      </c>
      <c r="L96" s="520" t="str">
        <f>IF(E96="","",IF(ISNA(VLOOKUP($E96,'A-1 Site Habitat Baseline'!$D$1:$O$258,11,FALSE)),"",(VLOOKUP($E96,'A-1 Site Habitat Baseline'!$D$1:$O$258,11,FALSE))))</f>
        <v/>
      </c>
      <c r="M96" s="520" t="str">
        <f>IF(E96="","",IF(ISNA(VLOOKUP($E96,'A-1 Site Habitat Baseline'!$D$1:$O$258,12,FALSE)),"",(VLOOKUP($E96,'A-1 Site Habitat Baseline'!$D$1:$O$258,12,FALSE))))</f>
        <v/>
      </c>
      <c r="N96" s="532" t="str">
        <f>IF(E96="","",IF(ISNA(VLOOKUP($E96,'A-1 Site Habitat Baseline'!$D$1:$X$258,14,FALSE)),"",(VLOOKUP($E96,'A-1 Site Habitat Baseline'!$D$1:$X$258,14,FALSE))))</f>
        <v/>
      </c>
      <c r="O96" s="524" t="str">
        <f>IF(E96="","",IF(ISNA(VLOOKUP($E96,'A-1 Site Habitat Baseline'!$D$1:$X$258,16,FALSE)),"",(VLOOKUP($E96,'A-1 Site Habitat Baseline'!$D$1:$X$258,13,FALSE))))</f>
        <v/>
      </c>
      <c r="P96" s="237" t="str">
        <f>IFERROR(INDEX('G-1 All Habitats'!$AG$3:$AG$15,MATCH(Q96,'G-1 All Habitats'!$AF$3:$AF$15,0)),"")</f>
        <v/>
      </c>
      <c r="Q96" s="238" t="str">
        <f t="shared" si="15"/>
        <v/>
      </c>
      <c r="R96" s="238" t="str">
        <f t="shared" si="16"/>
        <v/>
      </c>
      <c r="S96" s="392" t="str">
        <f>IFERROR(INDEX('G-1 All Habitats'!$B$3:$B$129,MATCH(R96,'G-1 All Habitats'!$A$3:$A$129,0)),"")</f>
        <v/>
      </c>
      <c r="T96" s="498" t="str">
        <f t="shared" si="17"/>
        <v/>
      </c>
      <c r="U96" s="499" t="str">
        <f t="shared" si="18"/>
        <v/>
      </c>
      <c r="V96" s="537" t="str">
        <f t="shared" si="12"/>
        <v/>
      </c>
      <c r="W96" s="520" t="str">
        <f>IF(S96="","",VLOOKUP(S96,'G-1 All Habitats'!$B$2:$M$129,10,FALSE))</f>
        <v/>
      </c>
      <c r="X96" s="520" t="str">
        <f>IFERROR(VLOOKUP(W96,'G-1 All Habitats'!$V$3:$W$7,2,FALSE),"")</f>
        <v/>
      </c>
      <c r="Y96" s="79"/>
      <c r="Z96" s="524" t="str">
        <f>IFERROR(INDEX('G-8 Condition Look up'!$A$3:$H$130,MATCH(S96,'G-8 Condition Look up'!$A$3:$A$130,0),MATCH(Y96,'G-8 Condition Look up'!$A$3:$H$3,0)),"")</f>
        <v/>
      </c>
      <c r="AA96" s="71"/>
      <c r="AB96" s="520" t="str">
        <f>IF(AA96="","",IF(VLOOKUP(AA96,'G-3 Multipliers'!$L$3:$N$6,2,FALSE)=0,"Spatial Data Missing ⚠",VLOOKUP(AA96,'G-3 Multipliers'!$L$3:$N$6,2,FALSE)))</f>
        <v/>
      </c>
      <c r="AC96" s="524" t="str">
        <f>IF(AA96="","",IF(VLOOKUP(AA96,'G-3 Multipliers'!$L$3:$N$6,3,FALSE)=0,"Spatial Data Missing ⚠",VLOOKUP(AA96,'G-3 Multipliers'!$L$3:$N$6,3,FALSE)))</f>
        <v/>
      </c>
      <c r="AD96" s="539" t="str">
        <f t="shared" si="13"/>
        <v/>
      </c>
      <c r="AE96" s="82"/>
      <c r="AF96" s="82"/>
      <c r="AG96" s="507" t="str">
        <f t="shared" si="19"/>
        <v/>
      </c>
      <c r="AH96" s="521" t="str">
        <f t="shared" si="20"/>
        <v/>
      </c>
      <c r="AI96" s="522" t="str">
        <f>IF(AH96="Check Data","Check Data",IFERROR(VLOOKUP(AH96,'G-4 Temporal multipliers'!$A$4:$C$36,3,FALSE),""))</f>
        <v/>
      </c>
      <c r="AJ96" s="498" t="str">
        <f>IF(S96="","",VLOOKUP(S96,'G-3 Multipliers'!$A$2:$E$129,4,FALSE))</f>
        <v/>
      </c>
      <c r="AK96" s="507" t="str">
        <f t="shared" si="21"/>
        <v/>
      </c>
      <c r="AL96" s="507" t="str">
        <f t="shared" si="22"/>
        <v/>
      </c>
      <c r="AM96" s="540" t="str">
        <f>IFERROR(IF(F96="","",IF(AH96="Check Data ⚠","Check Data ⚠",VLOOKUP(AL96, 'G-3 Multipliers'!$P$2:$Q$6,2,FALSE))),"")</f>
        <v/>
      </c>
      <c r="AN96" s="513" t="str">
        <f t="shared" si="14"/>
        <v/>
      </c>
      <c r="AO96" s="239"/>
      <c r="AP96" s="240"/>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1" t="str">
        <f>'A-1 Site Habitat Baseline'!AL96</f>
        <v/>
      </c>
      <c r="F97" s="520" t="str">
        <f>IF(E97="","",IF(ISNA(VLOOKUP($E97,'A-1 Site Habitat Baseline'!$D$1:$O$258,4,FALSE)),"",(VLOOKUP($E97,'A-1 Site Habitat Baseline'!$D$1:$O$258,4,FALSE))))</f>
        <v/>
      </c>
      <c r="G97" s="520" t="str">
        <f>IF(E97="","",IF(ISNA(VLOOKUP($E97,'A-1 Site Habitat Baseline'!$D$1:$O$258,5,FALSE)),"",(VLOOKUP($E97,'A-1 Site Habitat Baseline'!$D$1:$O$258,5,FALSE))))</f>
        <v/>
      </c>
      <c r="H97" s="520" t="str">
        <f>IF(E97="","",IF(ISNA(VLOOKUP($E97,'A-1 Site Habitat Baseline'!$D$1:$O$258,6,FALSE)),"",(VLOOKUP($E97,'A-1 Site Habitat Baseline'!$D$1:$O$258,6,FALSE))))</f>
        <v/>
      </c>
      <c r="I97" s="520" t="str">
        <f>IF(E97="","",IF(ISNA(VLOOKUP($E97,'A-1 Site Habitat Baseline'!$D$1:$O$258,7,FALSE)),"",(VLOOKUP($E97,'A-1 Site Habitat Baseline'!$D$1:$O$258,7,FALSE))))</f>
        <v/>
      </c>
      <c r="J97" s="520" t="str">
        <f>IF(E97="","",IF(ISNA(VLOOKUP($E97,'A-1 Site Habitat Baseline'!$D$1:$O$258,8,FALSE)),"",(VLOOKUP($E97,'A-1 Site Habitat Baseline'!$D$1:$O$258,8,FALSE))))</f>
        <v/>
      </c>
      <c r="K97" s="520" t="str">
        <f>IF(E97="","",IF(ISNA(VLOOKUP($E97,'A-1 Site Habitat Baseline'!$D$1:$O$258,9,FALSE)),"",(VLOOKUP($E97,'A-1 Site Habitat Baseline'!$D$1:$O$258,9,FALSE))))</f>
        <v/>
      </c>
      <c r="L97" s="520" t="str">
        <f>IF(E97="","",IF(ISNA(VLOOKUP($E97,'A-1 Site Habitat Baseline'!$D$1:$O$258,11,FALSE)),"",(VLOOKUP($E97,'A-1 Site Habitat Baseline'!$D$1:$O$258,11,FALSE))))</f>
        <v/>
      </c>
      <c r="M97" s="520" t="str">
        <f>IF(E97="","",IF(ISNA(VLOOKUP($E97,'A-1 Site Habitat Baseline'!$D$1:$O$258,12,FALSE)),"",(VLOOKUP($E97,'A-1 Site Habitat Baseline'!$D$1:$O$258,12,FALSE))))</f>
        <v/>
      </c>
      <c r="N97" s="532" t="str">
        <f>IF(E97="","",IF(ISNA(VLOOKUP($E97,'A-1 Site Habitat Baseline'!$D$1:$X$258,14,FALSE)),"",(VLOOKUP($E97,'A-1 Site Habitat Baseline'!$D$1:$X$258,14,FALSE))))</f>
        <v/>
      </c>
      <c r="O97" s="524" t="str">
        <f>IF(E97="","",IF(ISNA(VLOOKUP($E97,'A-1 Site Habitat Baseline'!$D$1:$X$258,16,FALSE)),"",(VLOOKUP($E97,'A-1 Site Habitat Baseline'!$D$1:$X$258,13,FALSE))))</f>
        <v/>
      </c>
      <c r="P97" s="237" t="str">
        <f>IFERROR(INDEX('G-1 All Habitats'!$AG$3:$AG$15,MATCH(Q97,'G-1 All Habitats'!$AF$3:$AF$15,0)),"")</f>
        <v/>
      </c>
      <c r="Q97" s="238" t="str">
        <f t="shared" si="15"/>
        <v/>
      </c>
      <c r="R97" s="238" t="str">
        <f t="shared" si="16"/>
        <v/>
      </c>
      <c r="S97" s="392" t="str">
        <f>IFERROR(INDEX('G-1 All Habitats'!$B$3:$B$129,MATCH(R97,'G-1 All Habitats'!$A$3:$A$129,0)),"")</f>
        <v/>
      </c>
      <c r="T97" s="498" t="str">
        <f t="shared" si="17"/>
        <v/>
      </c>
      <c r="U97" s="499" t="str">
        <f t="shared" si="18"/>
        <v/>
      </c>
      <c r="V97" s="537" t="str">
        <f t="shared" si="12"/>
        <v/>
      </c>
      <c r="W97" s="520" t="str">
        <f>IF(S97="","",VLOOKUP(S97,'G-1 All Habitats'!$B$2:$M$129,10,FALSE))</f>
        <v/>
      </c>
      <c r="X97" s="520" t="str">
        <f>IFERROR(VLOOKUP(W97,'G-1 All Habitats'!$V$3:$W$7,2,FALSE),"")</f>
        <v/>
      </c>
      <c r="Y97" s="79"/>
      <c r="Z97" s="524" t="str">
        <f>IFERROR(INDEX('G-8 Condition Look up'!$A$3:$H$130,MATCH(S97,'G-8 Condition Look up'!$A$3:$A$130,0),MATCH(Y97,'G-8 Condition Look up'!$A$3:$H$3,0)),"")</f>
        <v/>
      </c>
      <c r="AA97" s="71"/>
      <c r="AB97" s="520" t="str">
        <f>IF(AA97="","",IF(VLOOKUP(AA97,'G-3 Multipliers'!$L$3:$N$6,2,FALSE)=0,"Spatial Data Missing ⚠",VLOOKUP(AA97,'G-3 Multipliers'!$L$3:$N$6,2,FALSE)))</f>
        <v/>
      </c>
      <c r="AC97" s="524" t="str">
        <f>IF(AA97="","",IF(VLOOKUP(AA97,'G-3 Multipliers'!$L$3:$N$6,3,FALSE)=0,"Spatial Data Missing ⚠",VLOOKUP(AA97,'G-3 Multipliers'!$L$3:$N$6,3,FALSE)))</f>
        <v/>
      </c>
      <c r="AD97" s="539" t="str">
        <f t="shared" si="13"/>
        <v/>
      </c>
      <c r="AE97" s="82"/>
      <c r="AF97" s="82"/>
      <c r="AG97" s="507" t="str">
        <f t="shared" si="19"/>
        <v/>
      </c>
      <c r="AH97" s="521" t="str">
        <f t="shared" si="20"/>
        <v/>
      </c>
      <c r="AI97" s="522" t="str">
        <f>IF(AH97="Check Data","Check Data",IFERROR(VLOOKUP(AH97,'G-4 Temporal multipliers'!$A$4:$C$36,3,FALSE),""))</f>
        <v/>
      </c>
      <c r="AJ97" s="498" t="str">
        <f>IF(S97="","",VLOOKUP(S97,'G-3 Multipliers'!$A$2:$E$129,4,FALSE))</f>
        <v/>
      </c>
      <c r="AK97" s="507" t="str">
        <f t="shared" si="21"/>
        <v/>
      </c>
      <c r="AL97" s="507" t="str">
        <f t="shared" si="22"/>
        <v/>
      </c>
      <c r="AM97" s="540" t="str">
        <f>IFERROR(IF(F97="","",IF(AH97="Check Data ⚠","Check Data ⚠",VLOOKUP(AL97, 'G-3 Multipliers'!$P$2:$Q$6,2,FALSE))),"")</f>
        <v/>
      </c>
      <c r="AN97" s="513" t="str">
        <f t="shared" si="14"/>
        <v/>
      </c>
      <c r="AO97" s="239"/>
      <c r="AP97" s="240"/>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1" t="str">
        <f>'A-1 Site Habitat Baseline'!AL97</f>
        <v/>
      </c>
      <c r="F98" s="520" t="str">
        <f>IF(E98="","",IF(ISNA(VLOOKUP($E98,'A-1 Site Habitat Baseline'!$D$1:$O$258,4,FALSE)),"",(VLOOKUP($E98,'A-1 Site Habitat Baseline'!$D$1:$O$258,4,FALSE))))</f>
        <v/>
      </c>
      <c r="G98" s="520" t="str">
        <f>IF(E98="","",IF(ISNA(VLOOKUP($E98,'A-1 Site Habitat Baseline'!$D$1:$O$258,5,FALSE)),"",(VLOOKUP($E98,'A-1 Site Habitat Baseline'!$D$1:$O$258,5,FALSE))))</f>
        <v/>
      </c>
      <c r="H98" s="520" t="str">
        <f>IF(E98="","",IF(ISNA(VLOOKUP($E98,'A-1 Site Habitat Baseline'!$D$1:$O$258,6,FALSE)),"",(VLOOKUP($E98,'A-1 Site Habitat Baseline'!$D$1:$O$258,6,FALSE))))</f>
        <v/>
      </c>
      <c r="I98" s="520" t="str">
        <f>IF(E98="","",IF(ISNA(VLOOKUP($E98,'A-1 Site Habitat Baseline'!$D$1:$O$258,7,FALSE)),"",(VLOOKUP($E98,'A-1 Site Habitat Baseline'!$D$1:$O$258,7,FALSE))))</f>
        <v/>
      </c>
      <c r="J98" s="520" t="str">
        <f>IF(E98="","",IF(ISNA(VLOOKUP($E98,'A-1 Site Habitat Baseline'!$D$1:$O$258,8,FALSE)),"",(VLOOKUP($E98,'A-1 Site Habitat Baseline'!$D$1:$O$258,8,FALSE))))</f>
        <v/>
      </c>
      <c r="K98" s="520" t="str">
        <f>IF(E98="","",IF(ISNA(VLOOKUP($E98,'A-1 Site Habitat Baseline'!$D$1:$O$258,9,FALSE)),"",(VLOOKUP($E98,'A-1 Site Habitat Baseline'!$D$1:$O$258,9,FALSE))))</f>
        <v/>
      </c>
      <c r="L98" s="520" t="str">
        <f>IF(E98="","",IF(ISNA(VLOOKUP($E98,'A-1 Site Habitat Baseline'!$D$1:$O$258,11,FALSE)),"",(VLOOKUP($E98,'A-1 Site Habitat Baseline'!$D$1:$O$258,11,FALSE))))</f>
        <v/>
      </c>
      <c r="M98" s="520" t="str">
        <f>IF(E98="","",IF(ISNA(VLOOKUP($E98,'A-1 Site Habitat Baseline'!$D$1:$O$258,12,FALSE)),"",(VLOOKUP($E98,'A-1 Site Habitat Baseline'!$D$1:$O$258,12,FALSE))))</f>
        <v/>
      </c>
      <c r="N98" s="532" t="str">
        <f>IF(E98="","",IF(ISNA(VLOOKUP($E98,'A-1 Site Habitat Baseline'!$D$1:$X$258,14,FALSE)),"",(VLOOKUP($E98,'A-1 Site Habitat Baseline'!$D$1:$X$258,14,FALSE))))</f>
        <v/>
      </c>
      <c r="O98" s="524" t="str">
        <f>IF(E98="","",IF(ISNA(VLOOKUP($E98,'A-1 Site Habitat Baseline'!$D$1:$X$258,16,FALSE)),"",(VLOOKUP($E98,'A-1 Site Habitat Baseline'!$D$1:$X$258,13,FALSE))))</f>
        <v/>
      </c>
      <c r="P98" s="237" t="str">
        <f>IFERROR(INDEX('G-1 All Habitats'!$AG$3:$AG$15,MATCH(Q98,'G-1 All Habitats'!$AF$3:$AF$15,0)),"")</f>
        <v/>
      </c>
      <c r="Q98" s="238" t="str">
        <f t="shared" si="15"/>
        <v/>
      </c>
      <c r="R98" s="238" t="str">
        <f t="shared" si="16"/>
        <v/>
      </c>
      <c r="S98" s="392" t="str">
        <f>IFERROR(INDEX('G-1 All Habitats'!$B$3:$B$129,MATCH(R98,'G-1 All Habitats'!$A$3:$A$129,0)),"")</f>
        <v/>
      </c>
      <c r="T98" s="498" t="str">
        <f t="shared" si="17"/>
        <v/>
      </c>
      <c r="U98" s="499" t="str">
        <f t="shared" si="18"/>
        <v/>
      </c>
      <c r="V98" s="537" t="str">
        <f t="shared" si="12"/>
        <v/>
      </c>
      <c r="W98" s="520" t="str">
        <f>IF(S98="","",VLOOKUP(S98,'G-1 All Habitats'!$B$2:$M$129,10,FALSE))</f>
        <v/>
      </c>
      <c r="X98" s="520" t="str">
        <f>IFERROR(VLOOKUP(W98,'G-1 All Habitats'!$V$3:$W$7,2,FALSE),"")</f>
        <v/>
      </c>
      <c r="Y98" s="79"/>
      <c r="Z98" s="524" t="str">
        <f>IFERROR(INDEX('G-8 Condition Look up'!$A$3:$H$130,MATCH(S98,'G-8 Condition Look up'!$A$3:$A$130,0),MATCH(Y98,'G-8 Condition Look up'!$A$3:$H$3,0)),"")</f>
        <v/>
      </c>
      <c r="AA98" s="71"/>
      <c r="AB98" s="520" t="str">
        <f>IF(AA98="","",IF(VLOOKUP(AA98,'G-3 Multipliers'!$L$3:$N$6,2,FALSE)=0,"Spatial Data Missing ⚠",VLOOKUP(AA98,'G-3 Multipliers'!$L$3:$N$6,2,FALSE)))</f>
        <v/>
      </c>
      <c r="AC98" s="524" t="str">
        <f>IF(AA98="","",IF(VLOOKUP(AA98,'G-3 Multipliers'!$L$3:$N$6,3,FALSE)=0,"Spatial Data Missing ⚠",VLOOKUP(AA98,'G-3 Multipliers'!$L$3:$N$6,3,FALSE)))</f>
        <v/>
      </c>
      <c r="AD98" s="539" t="str">
        <f t="shared" si="13"/>
        <v/>
      </c>
      <c r="AE98" s="82"/>
      <c r="AF98" s="82"/>
      <c r="AG98" s="507" t="str">
        <f t="shared" si="19"/>
        <v/>
      </c>
      <c r="AH98" s="521" t="str">
        <f t="shared" si="20"/>
        <v/>
      </c>
      <c r="AI98" s="522" t="str">
        <f>IF(AH98="Check Data","Check Data",IFERROR(VLOOKUP(AH98,'G-4 Temporal multipliers'!$A$4:$C$36,3,FALSE),""))</f>
        <v/>
      </c>
      <c r="AJ98" s="498" t="str">
        <f>IF(S98="","",VLOOKUP(S98,'G-3 Multipliers'!$A$2:$E$129,4,FALSE))</f>
        <v/>
      </c>
      <c r="AK98" s="507" t="str">
        <f t="shared" si="21"/>
        <v/>
      </c>
      <c r="AL98" s="507" t="str">
        <f t="shared" si="22"/>
        <v/>
      </c>
      <c r="AM98" s="540" t="str">
        <f>IFERROR(IF(F98="","",IF(AH98="Check Data ⚠","Check Data ⚠",VLOOKUP(AL98, 'G-3 Multipliers'!$P$2:$Q$6,2,FALSE))),"")</f>
        <v/>
      </c>
      <c r="AN98" s="513" t="str">
        <f t="shared" si="14"/>
        <v/>
      </c>
      <c r="AO98" s="239"/>
      <c r="AP98" s="240"/>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1" t="str">
        <f>'A-1 Site Habitat Baseline'!AL98</f>
        <v/>
      </c>
      <c r="F99" s="520" t="str">
        <f>IF(E99="","",IF(ISNA(VLOOKUP($E99,'A-1 Site Habitat Baseline'!$D$1:$O$258,4,FALSE)),"",(VLOOKUP($E99,'A-1 Site Habitat Baseline'!$D$1:$O$258,4,FALSE))))</f>
        <v/>
      </c>
      <c r="G99" s="520" t="str">
        <f>IF(E99="","",IF(ISNA(VLOOKUP($E99,'A-1 Site Habitat Baseline'!$D$1:$O$258,5,FALSE)),"",(VLOOKUP($E99,'A-1 Site Habitat Baseline'!$D$1:$O$258,5,FALSE))))</f>
        <v/>
      </c>
      <c r="H99" s="520" t="str">
        <f>IF(E99="","",IF(ISNA(VLOOKUP($E99,'A-1 Site Habitat Baseline'!$D$1:$O$258,6,FALSE)),"",(VLOOKUP($E99,'A-1 Site Habitat Baseline'!$D$1:$O$258,6,FALSE))))</f>
        <v/>
      </c>
      <c r="I99" s="520" t="str">
        <f>IF(E99="","",IF(ISNA(VLOOKUP($E99,'A-1 Site Habitat Baseline'!$D$1:$O$258,7,FALSE)),"",(VLOOKUP($E99,'A-1 Site Habitat Baseline'!$D$1:$O$258,7,FALSE))))</f>
        <v/>
      </c>
      <c r="J99" s="520" t="str">
        <f>IF(E99="","",IF(ISNA(VLOOKUP($E99,'A-1 Site Habitat Baseline'!$D$1:$O$258,8,FALSE)),"",(VLOOKUP($E99,'A-1 Site Habitat Baseline'!$D$1:$O$258,8,FALSE))))</f>
        <v/>
      </c>
      <c r="K99" s="520" t="str">
        <f>IF(E99="","",IF(ISNA(VLOOKUP($E99,'A-1 Site Habitat Baseline'!$D$1:$O$258,9,FALSE)),"",(VLOOKUP($E99,'A-1 Site Habitat Baseline'!$D$1:$O$258,9,FALSE))))</f>
        <v/>
      </c>
      <c r="L99" s="520" t="str">
        <f>IF(E99="","",IF(ISNA(VLOOKUP($E99,'A-1 Site Habitat Baseline'!$D$1:$O$258,11,FALSE)),"",(VLOOKUP($E99,'A-1 Site Habitat Baseline'!$D$1:$O$258,11,FALSE))))</f>
        <v/>
      </c>
      <c r="M99" s="520" t="str">
        <f>IF(E99="","",IF(ISNA(VLOOKUP($E99,'A-1 Site Habitat Baseline'!$D$1:$O$258,12,FALSE)),"",(VLOOKUP($E99,'A-1 Site Habitat Baseline'!$D$1:$O$258,12,FALSE))))</f>
        <v/>
      </c>
      <c r="N99" s="532" t="str">
        <f>IF(E99="","",IF(ISNA(VLOOKUP($E99,'A-1 Site Habitat Baseline'!$D$1:$X$258,14,FALSE)),"",(VLOOKUP($E99,'A-1 Site Habitat Baseline'!$D$1:$X$258,14,FALSE))))</f>
        <v/>
      </c>
      <c r="O99" s="524" t="str">
        <f>IF(E99="","",IF(ISNA(VLOOKUP($E99,'A-1 Site Habitat Baseline'!$D$1:$X$258,16,FALSE)),"",(VLOOKUP($E99,'A-1 Site Habitat Baseline'!$D$1:$X$258,13,FALSE))))</f>
        <v/>
      </c>
      <c r="P99" s="237" t="str">
        <f>IFERROR(INDEX('G-1 All Habitats'!$AG$3:$AG$15,MATCH(Q99,'G-1 All Habitats'!$AF$3:$AF$15,0)),"")</f>
        <v/>
      </c>
      <c r="Q99" s="238" t="str">
        <f t="shared" si="15"/>
        <v/>
      </c>
      <c r="R99" s="238" t="str">
        <f t="shared" si="16"/>
        <v/>
      </c>
      <c r="S99" s="392" t="str">
        <f>IFERROR(INDEX('G-1 All Habitats'!$B$3:$B$129,MATCH(R99,'G-1 All Habitats'!$A$3:$A$129,0)),"")</f>
        <v/>
      </c>
      <c r="T99" s="498" t="str">
        <f t="shared" si="17"/>
        <v/>
      </c>
      <c r="U99" s="499" t="str">
        <f t="shared" si="18"/>
        <v/>
      </c>
      <c r="V99" s="537" t="str">
        <f t="shared" si="12"/>
        <v/>
      </c>
      <c r="W99" s="520" t="str">
        <f>IF(S99="","",VLOOKUP(S99,'G-1 All Habitats'!$B$2:$M$129,10,FALSE))</f>
        <v/>
      </c>
      <c r="X99" s="520" t="str">
        <f>IFERROR(VLOOKUP(W99,'G-1 All Habitats'!$V$3:$W$7,2,FALSE),"")</f>
        <v/>
      </c>
      <c r="Y99" s="79"/>
      <c r="Z99" s="524" t="str">
        <f>IFERROR(INDEX('G-8 Condition Look up'!$A$3:$H$130,MATCH(S99,'G-8 Condition Look up'!$A$3:$A$130,0),MATCH(Y99,'G-8 Condition Look up'!$A$3:$H$3,0)),"")</f>
        <v/>
      </c>
      <c r="AA99" s="71"/>
      <c r="AB99" s="520" t="str">
        <f>IF(AA99="","",IF(VLOOKUP(AA99,'G-3 Multipliers'!$L$3:$N$6,2,FALSE)=0,"Spatial Data Missing ⚠",VLOOKUP(AA99,'G-3 Multipliers'!$L$3:$N$6,2,FALSE)))</f>
        <v/>
      </c>
      <c r="AC99" s="524" t="str">
        <f>IF(AA99="","",IF(VLOOKUP(AA99,'G-3 Multipliers'!$L$3:$N$6,3,FALSE)=0,"Spatial Data Missing ⚠",VLOOKUP(AA99,'G-3 Multipliers'!$L$3:$N$6,3,FALSE)))</f>
        <v/>
      </c>
      <c r="AD99" s="539" t="str">
        <f t="shared" si="13"/>
        <v/>
      </c>
      <c r="AE99" s="82"/>
      <c r="AF99" s="82"/>
      <c r="AG99" s="507" t="str">
        <f t="shared" si="19"/>
        <v/>
      </c>
      <c r="AH99" s="521" t="str">
        <f t="shared" si="20"/>
        <v/>
      </c>
      <c r="AI99" s="522" t="str">
        <f>IF(AH99="Check Data","Check Data",IFERROR(VLOOKUP(AH99,'G-4 Temporal multipliers'!$A$4:$C$36,3,FALSE),""))</f>
        <v/>
      </c>
      <c r="AJ99" s="498" t="str">
        <f>IF(S99="","",VLOOKUP(S99,'G-3 Multipliers'!$A$2:$E$129,4,FALSE))</f>
        <v/>
      </c>
      <c r="AK99" s="507" t="str">
        <f t="shared" si="21"/>
        <v/>
      </c>
      <c r="AL99" s="507" t="str">
        <f t="shared" si="22"/>
        <v/>
      </c>
      <c r="AM99" s="540" t="str">
        <f>IFERROR(IF(F99="","",IF(AH99="Check Data ⚠","Check Data ⚠",VLOOKUP(AL99, 'G-3 Multipliers'!$P$2:$Q$6,2,FALSE))),"")</f>
        <v/>
      </c>
      <c r="AN99" s="513" t="str">
        <f t="shared" si="14"/>
        <v/>
      </c>
      <c r="AO99" s="239"/>
      <c r="AP99" s="240"/>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1" t="str">
        <f>'A-1 Site Habitat Baseline'!AL99</f>
        <v/>
      </c>
      <c r="F100" s="520" t="str">
        <f>IF(E100="","",IF(ISNA(VLOOKUP($E100,'A-1 Site Habitat Baseline'!$D$1:$O$258,4,FALSE)),"",(VLOOKUP($E100,'A-1 Site Habitat Baseline'!$D$1:$O$258,4,FALSE))))</f>
        <v/>
      </c>
      <c r="G100" s="520" t="str">
        <f>IF(E100="","",IF(ISNA(VLOOKUP($E100,'A-1 Site Habitat Baseline'!$D$1:$O$258,5,FALSE)),"",(VLOOKUP($E100,'A-1 Site Habitat Baseline'!$D$1:$O$258,5,FALSE))))</f>
        <v/>
      </c>
      <c r="H100" s="520" t="str">
        <f>IF(E100="","",IF(ISNA(VLOOKUP($E100,'A-1 Site Habitat Baseline'!$D$1:$O$258,6,FALSE)),"",(VLOOKUP($E100,'A-1 Site Habitat Baseline'!$D$1:$O$258,6,FALSE))))</f>
        <v/>
      </c>
      <c r="I100" s="520" t="str">
        <f>IF(E100="","",IF(ISNA(VLOOKUP($E100,'A-1 Site Habitat Baseline'!$D$1:$O$258,7,FALSE)),"",(VLOOKUP($E100,'A-1 Site Habitat Baseline'!$D$1:$O$258,7,FALSE))))</f>
        <v/>
      </c>
      <c r="J100" s="520" t="str">
        <f>IF(E100="","",IF(ISNA(VLOOKUP($E100,'A-1 Site Habitat Baseline'!$D$1:$O$258,8,FALSE)),"",(VLOOKUP($E100,'A-1 Site Habitat Baseline'!$D$1:$O$258,8,FALSE))))</f>
        <v/>
      </c>
      <c r="K100" s="520" t="str">
        <f>IF(E100="","",IF(ISNA(VLOOKUP($E100,'A-1 Site Habitat Baseline'!$D$1:$O$258,9,FALSE)),"",(VLOOKUP($E100,'A-1 Site Habitat Baseline'!$D$1:$O$258,9,FALSE))))</f>
        <v/>
      </c>
      <c r="L100" s="520" t="str">
        <f>IF(E100="","",IF(ISNA(VLOOKUP($E100,'A-1 Site Habitat Baseline'!$D$1:$O$258,11,FALSE)),"",(VLOOKUP($E100,'A-1 Site Habitat Baseline'!$D$1:$O$258,11,FALSE))))</f>
        <v/>
      </c>
      <c r="M100" s="520" t="str">
        <f>IF(E100="","",IF(ISNA(VLOOKUP($E100,'A-1 Site Habitat Baseline'!$D$1:$O$258,12,FALSE)),"",(VLOOKUP($E100,'A-1 Site Habitat Baseline'!$D$1:$O$258,12,FALSE))))</f>
        <v/>
      </c>
      <c r="N100" s="532" t="str">
        <f>IF(E100="","",IF(ISNA(VLOOKUP($E100,'A-1 Site Habitat Baseline'!$D$1:$X$258,14,FALSE)),"",(VLOOKUP($E100,'A-1 Site Habitat Baseline'!$D$1:$X$258,14,FALSE))))</f>
        <v/>
      </c>
      <c r="O100" s="524" t="str">
        <f>IF(E100="","",IF(ISNA(VLOOKUP($E100,'A-1 Site Habitat Baseline'!$D$1:$X$258,16,FALSE)),"",(VLOOKUP($E100,'A-1 Site Habitat Baseline'!$D$1:$X$258,13,FALSE))))</f>
        <v/>
      </c>
      <c r="P100" s="237" t="str">
        <f>IFERROR(INDEX('G-1 All Habitats'!$AG$3:$AG$15,MATCH(Q100,'G-1 All Habitats'!$AF$3:$AF$15,0)),"")</f>
        <v/>
      </c>
      <c r="Q100" s="238" t="str">
        <f t="shared" si="15"/>
        <v/>
      </c>
      <c r="R100" s="238" t="str">
        <f t="shared" si="16"/>
        <v/>
      </c>
      <c r="S100" s="392" t="str">
        <f>IFERROR(INDEX('G-1 All Habitats'!$B$3:$B$129,MATCH(R100,'G-1 All Habitats'!$A$3:$A$129,0)),"")</f>
        <v/>
      </c>
      <c r="T100" s="498" t="str">
        <f t="shared" si="17"/>
        <v/>
      </c>
      <c r="U100" s="499" t="str">
        <f t="shared" si="18"/>
        <v/>
      </c>
      <c r="V100" s="537" t="str">
        <f t="shared" si="12"/>
        <v/>
      </c>
      <c r="W100" s="520" t="str">
        <f>IF(S100="","",VLOOKUP(S100,'G-1 All Habitats'!$B$2:$M$129,10,FALSE))</f>
        <v/>
      </c>
      <c r="X100" s="520" t="str">
        <f>IFERROR(VLOOKUP(W100,'G-1 All Habitats'!$V$3:$W$7,2,FALSE),"")</f>
        <v/>
      </c>
      <c r="Y100" s="79"/>
      <c r="Z100" s="524" t="str">
        <f>IFERROR(INDEX('G-8 Condition Look up'!$A$3:$H$130,MATCH(S100,'G-8 Condition Look up'!$A$3:$A$130,0),MATCH(Y100,'G-8 Condition Look up'!$A$3:$H$3,0)),"")</f>
        <v/>
      </c>
      <c r="AA100" s="71"/>
      <c r="AB100" s="520" t="str">
        <f>IF(AA100="","",IF(VLOOKUP(AA100,'G-3 Multipliers'!$L$3:$N$6,2,FALSE)=0,"Spatial Data Missing ⚠",VLOOKUP(AA100,'G-3 Multipliers'!$L$3:$N$6,2,FALSE)))</f>
        <v/>
      </c>
      <c r="AC100" s="524" t="str">
        <f>IF(AA100="","",IF(VLOOKUP(AA100,'G-3 Multipliers'!$L$3:$N$6,3,FALSE)=0,"Spatial Data Missing ⚠",VLOOKUP(AA100,'G-3 Multipliers'!$L$3:$N$6,3,FALSE)))</f>
        <v/>
      </c>
      <c r="AD100" s="539" t="str">
        <f t="shared" si="13"/>
        <v/>
      </c>
      <c r="AE100" s="82"/>
      <c r="AF100" s="82"/>
      <c r="AG100" s="507" t="str">
        <f t="shared" si="19"/>
        <v/>
      </c>
      <c r="AH100" s="521" t="str">
        <f t="shared" si="20"/>
        <v/>
      </c>
      <c r="AI100" s="522" t="str">
        <f>IF(AH100="Check Data","Check Data",IFERROR(VLOOKUP(AH100,'G-4 Temporal multipliers'!$A$4:$C$36,3,FALSE),""))</f>
        <v/>
      </c>
      <c r="AJ100" s="498" t="str">
        <f>IF(S100="","",VLOOKUP(S100,'G-3 Multipliers'!$A$2:$E$129,4,FALSE))</f>
        <v/>
      </c>
      <c r="AK100" s="507" t="str">
        <f t="shared" si="21"/>
        <v/>
      </c>
      <c r="AL100" s="507" t="str">
        <f t="shared" si="22"/>
        <v/>
      </c>
      <c r="AM100" s="540" t="str">
        <f>IFERROR(IF(F100="","",IF(AH100="Check Data ⚠","Check Data ⚠",VLOOKUP(AL100, 'G-3 Multipliers'!$P$2:$Q$6,2,FALSE))),"")</f>
        <v/>
      </c>
      <c r="AN100" s="513" t="str">
        <f t="shared" si="14"/>
        <v/>
      </c>
      <c r="AO100" s="239"/>
      <c r="AP100" s="240"/>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1" t="str">
        <f>'A-1 Site Habitat Baseline'!AL100</f>
        <v/>
      </c>
      <c r="F101" s="520" t="str">
        <f>IF(E101="","",IF(ISNA(VLOOKUP($E101,'A-1 Site Habitat Baseline'!$D$1:$O$258,4,FALSE)),"",(VLOOKUP($E101,'A-1 Site Habitat Baseline'!$D$1:$O$258,4,FALSE))))</f>
        <v/>
      </c>
      <c r="G101" s="520" t="str">
        <f>IF(E101="","",IF(ISNA(VLOOKUP($E101,'A-1 Site Habitat Baseline'!$D$1:$O$258,5,FALSE)),"",(VLOOKUP($E101,'A-1 Site Habitat Baseline'!$D$1:$O$258,5,FALSE))))</f>
        <v/>
      </c>
      <c r="H101" s="520" t="str">
        <f>IF(E101="","",IF(ISNA(VLOOKUP($E101,'A-1 Site Habitat Baseline'!$D$1:$O$258,6,FALSE)),"",(VLOOKUP($E101,'A-1 Site Habitat Baseline'!$D$1:$O$258,6,FALSE))))</f>
        <v/>
      </c>
      <c r="I101" s="520" t="str">
        <f>IF(E101="","",IF(ISNA(VLOOKUP($E101,'A-1 Site Habitat Baseline'!$D$1:$O$258,7,FALSE)),"",(VLOOKUP($E101,'A-1 Site Habitat Baseline'!$D$1:$O$258,7,FALSE))))</f>
        <v/>
      </c>
      <c r="J101" s="520" t="str">
        <f>IF(E101="","",IF(ISNA(VLOOKUP($E101,'A-1 Site Habitat Baseline'!$D$1:$O$258,8,FALSE)),"",(VLOOKUP($E101,'A-1 Site Habitat Baseline'!$D$1:$O$258,8,FALSE))))</f>
        <v/>
      </c>
      <c r="K101" s="520" t="str">
        <f>IF(E101="","",IF(ISNA(VLOOKUP($E101,'A-1 Site Habitat Baseline'!$D$1:$O$258,9,FALSE)),"",(VLOOKUP($E101,'A-1 Site Habitat Baseline'!$D$1:$O$258,9,FALSE))))</f>
        <v/>
      </c>
      <c r="L101" s="520" t="str">
        <f>IF(E101="","",IF(ISNA(VLOOKUP($E101,'A-1 Site Habitat Baseline'!$D$1:$O$258,11,FALSE)),"",(VLOOKUP($E101,'A-1 Site Habitat Baseline'!$D$1:$O$258,11,FALSE))))</f>
        <v/>
      </c>
      <c r="M101" s="520" t="str">
        <f>IF(E101="","",IF(ISNA(VLOOKUP($E101,'A-1 Site Habitat Baseline'!$D$1:$O$258,12,FALSE)),"",(VLOOKUP($E101,'A-1 Site Habitat Baseline'!$D$1:$O$258,12,FALSE))))</f>
        <v/>
      </c>
      <c r="N101" s="532" t="str">
        <f>IF(E101="","",IF(ISNA(VLOOKUP($E101,'A-1 Site Habitat Baseline'!$D$1:$X$258,14,FALSE)),"",(VLOOKUP($E101,'A-1 Site Habitat Baseline'!$D$1:$X$258,14,FALSE))))</f>
        <v/>
      </c>
      <c r="O101" s="524" t="str">
        <f>IF(E101="","",IF(ISNA(VLOOKUP($E101,'A-1 Site Habitat Baseline'!$D$1:$X$258,16,FALSE)),"",(VLOOKUP($E101,'A-1 Site Habitat Baseline'!$D$1:$X$258,13,FALSE))))</f>
        <v/>
      </c>
      <c r="P101" s="237" t="str">
        <f>IFERROR(INDEX('G-1 All Habitats'!$AG$3:$AG$15,MATCH(Q101,'G-1 All Habitats'!$AF$3:$AF$15,0)),"")</f>
        <v/>
      </c>
      <c r="Q101" s="238" t="str">
        <f t="shared" si="15"/>
        <v/>
      </c>
      <c r="R101" s="238" t="str">
        <f t="shared" si="16"/>
        <v/>
      </c>
      <c r="S101" s="392" t="str">
        <f>IFERROR(INDEX('G-1 All Habitats'!$B$3:$B$129,MATCH(R101,'G-1 All Habitats'!$A$3:$A$129,0)),"")</f>
        <v/>
      </c>
      <c r="T101" s="498" t="str">
        <f t="shared" si="17"/>
        <v/>
      </c>
      <c r="U101" s="499" t="str">
        <f t="shared" si="18"/>
        <v/>
      </c>
      <c r="V101" s="537" t="str">
        <f t="shared" si="12"/>
        <v/>
      </c>
      <c r="W101" s="520" t="str">
        <f>IF(S101="","",VLOOKUP(S101,'G-1 All Habitats'!$B$2:$M$129,10,FALSE))</f>
        <v/>
      </c>
      <c r="X101" s="520" t="str">
        <f>IFERROR(VLOOKUP(W101,'G-1 All Habitats'!$V$3:$W$7,2,FALSE),"")</f>
        <v/>
      </c>
      <c r="Y101" s="79"/>
      <c r="Z101" s="524" t="str">
        <f>IFERROR(INDEX('G-8 Condition Look up'!$A$3:$H$130,MATCH(S101,'G-8 Condition Look up'!$A$3:$A$130,0),MATCH(Y101,'G-8 Condition Look up'!$A$3:$H$3,0)),"")</f>
        <v/>
      </c>
      <c r="AA101" s="71"/>
      <c r="AB101" s="520" t="str">
        <f>IF(AA101="","",IF(VLOOKUP(AA101,'G-3 Multipliers'!$L$3:$N$6,2,FALSE)=0,"Spatial Data Missing ⚠",VLOOKUP(AA101,'G-3 Multipliers'!$L$3:$N$6,2,FALSE)))</f>
        <v/>
      </c>
      <c r="AC101" s="524" t="str">
        <f>IF(AA101="","",IF(VLOOKUP(AA101,'G-3 Multipliers'!$L$3:$N$6,3,FALSE)=0,"Spatial Data Missing ⚠",VLOOKUP(AA101,'G-3 Multipliers'!$L$3:$N$6,3,FALSE)))</f>
        <v/>
      </c>
      <c r="AD101" s="539" t="str">
        <f t="shared" si="13"/>
        <v/>
      </c>
      <c r="AE101" s="82"/>
      <c r="AF101" s="82"/>
      <c r="AG101" s="507" t="str">
        <f t="shared" si="19"/>
        <v/>
      </c>
      <c r="AH101" s="521" t="str">
        <f t="shared" si="20"/>
        <v/>
      </c>
      <c r="AI101" s="522" t="str">
        <f>IF(AH101="Check Data","Check Data",IFERROR(VLOOKUP(AH101,'G-4 Temporal multipliers'!$A$4:$C$36,3,FALSE),""))</f>
        <v/>
      </c>
      <c r="AJ101" s="498" t="str">
        <f>IF(S101="","",VLOOKUP(S101,'G-3 Multipliers'!$A$2:$E$129,4,FALSE))</f>
        <v/>
      </c>
      <c r="AK101" s="507" t="str">
        <f t="shared" si="21"/>
        <v/>
      </c>
      <c r="AL101" s="507" t="str">
        <f t="shared" si="22"/>
        <v/>
      </c>
      <c r="AM101" s="540" t="str">
        <f>IFERROR(IF(F101="","",IF(AH101="Check Data ⚠","Check Data ⚠",VLOOKUP(AL101, 'G-3 Multipliers'!$P$2:$Q$6,2,FALSE))),"")</f>
        <v/>
      </c>
      <c r="AN101" s="513" t="str">
        <f t="shared" si="14"/>
        <v/>
      </c>
      <c r="AO101" s="239"/>
      <c r="AP101" s="240"/>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1" t="str">
        <f>'A-1 Site Habitat Baseline'!AL101</f>
        <v/>
      </c>
      <c r="F102" s="520" t="str">
        <f>IF(E102="","",IF(ISNA(VLOOKUP($E102,'A-1 Site Habitat Baseline'!$D$1:$O$258,4,FALSE)),"",(VLOOKUP($E102,'A-1 Site Habitat Baseline'!$D$1:$O$258,4,FALSE))))</f>
        <v/>
      </c>
      <c r="G102" s="520" t="str">
        <f>IF(E102="","",IF(ISNA(VLOOKUP($E102,'A-1 Site Habitat Baseline'!$D$1:$O$258,5,FALSE)),"",(VLOOKUP($E102,'A-1 Site Habitat Baseline'!$D$1:$O$258,5,FALSE))))</f>
        <v/>
      </c>
      <c r="H102" s="520" t="str">
        <f>IF(E102="","",IF(ISNA(VLOOKUP($E102,'A-1 Site Habitat Baseline'!$D$1:$O$258,6,FALSE)),"",(VLOOKUP($E102,'A-1 Site Habitat Baseline'!$D$1:$O$258,6,FALSE))))</f>
        <v/>
      </c>
      <c r="I102" s="520" t="str">
        <f>IF(E102="","",IF(ISNA(VLOOKUP($E102,'A-1 Site Habitat Baseline'!$D$1:$O$258,7,FALSE)),"",(VLOOKUP($E102,'A-1 Site Habitat Baseline'!$D$1:$O$258,7,FALSE))))</f>
        <v/>
      </c>
      <c r="J102" s="520" t="str">
        <f>IF(E102="","",IF(ISNA(VLOOKUP($E102,'A-1 Site Habitat Baseline'!$D$1:$O$258,8,FALSE)),"",(VLOOKUP($E102,'A-1 Site Habitat Baseline'!$D$1:$O$258,8,FALSE))))</f>
        <v/>
      </c>
      <c r="K102" s="520" t="str">
        <f>IF(E102="","",IF(ISNA(VLOOKUP($E102,'A-1 Site Habitat Baseline'!$D$1:$O$258,9,FALSE)),"",(VLOOKUP($E102,'A-1 Site Habitat Baseline'!$D$1:$O$258,9,FALSE))))</f>
        <v/>
      </c>
      <c r="L102" s="520" t="str">
        <f>IF(E102="","",IF(ISNA(VLOOKUP($E102,'A-1 Site Habitat Baseline'!$D$1:$O$258,11,FALSE)),"",(VLOOKUP($E102,'A-1 Site Habitat Baseline'!$D$1:$O$258,11,FALSE))))</f>
        <v/>
      </c>
      <c r="M102" s="520" t="str">
        <f>IF(E102="","",IF(ISNA(VLOOKUP($E102,'A-1 Site Habitat Baseline'!$D$1:$O$258,12,FALSE)),"",(VLOOKUP($E102,'A-1 Site Habitat Baseline'!$D$1:$O$258,12,FALSE))))</f>
        <v/>
      </c>
      <c r="N102" s="532" t="str">
        <f>IF(E102="","",IF(ISNA(VLOOKUP($E102,'A-1 Site Habitat Baseline'!$D$1:$X$258,14,FALSE)),"",(VLOOKUP($E102,'A-1 Site Habitat Baseline'!$D$1:$X$258,14,FALSE))))</f>
        <v/>
      </c>
      <c r="O102" s="524" t="str">
        <f>IF(E102="","",IF(ISNA(VLOOKUP($E102,'A-1 Site Habitat Baseline'!$D$1:$X$258,16,FALSE)),"",(VLOOKUP($E102,'A-1 Site Habitat Baseline'!$D$1:$X$258,13,FALSE))))</f>
        <v/>
      </c>
      <c r="P102" s="237" t="str">
        <f>IFERROR(INDEX('G-1 All Habitats'!$AG$3:$AG$15,MATCH(Q102,'G-1 All Habitats'!$AF$3:$AF$15,0)),"")</f>
        <v/>
      </c>
      <c r="Q102" s="238" t="str">
        <f t="shared" si="15"/>
        <v/>
      </c>
      <c r="R102" s="238" t="str">
        <f t="shared" si="16"/>
        <v/>
      </c>
      <c r="S102" s="392" t="str">
        <f>IFERROR(INDEX('G-1 All Habitats'!$B$3:$B$129,MATCH(R102,'G-1 All Habitats'!$A$3:$A$129,0)),"")</f>
        <v/>
      </c>
      <c r="T102" s="498" t="str">
        <f t="shared" si="17"/>
        <v/>
      </c>
      <c r="U102" s="499" t="str">
        <f t="shared" si="18"/>
        <v/>
      </c>
      <c r="V102" s="537" t="str">
        <f t="shared" si="12"/>
        <v/>
      </c>
      <c r="W102" s="520" t="str">
        <f>IF(S102="","",VLOOKUP(S102,'G-1 All Habitats'!$B$2:$M$129,10,FALSE))</f>
        <v/>
      </c>
      <c r="X102" s="520" t="str">
        <f>IFERROR(VLOOKUP(W102,'G-1 All Habitats'!$V$3:$W$7,2,FALSE),"")</f>
        <v/>
      </c>
      <c r="Y102" s="79"/>
      <c r="Z102" s="524" t="str">
        <f>IFERROR(INDEX('G-8 Condition Look up'!$A$3:$H$130,MATCH(S102,'G-8 Condition Look up'!$A$3:$A$130,0),MATCH(Y102,'G-8 Condition Look up'!$A$3:$H$3,0)),"")</f>
        <v/>
      </c>
      <c r="AA102" s="71"/>
      <c r="AB102" s="520" t="str">
        <f>IF(AA102="","",IF(VLOOKUP(AA102,'G-3 Multipliers'!$L$3:$N$6,2,FALSE)=0,"Spatial Data Missing ⚠",VLOOKUP(AA102,'G-3 Multipliers'!$L$3:$N$6,2,FALSE)))</f>
        <v/>
      </c>
      <c r="AC102" s="524" t="str">
        <f>IF(AA102="","",IF(VLOOKUP(AA102,'G-3 Multipliers'!$L$3:$N$6,3,FALSE)=0,"Spatial Data Missing ⚠",VLOOKUP(AA102,'G-3 Multipliers'!$L$3:$N$6,3,FALSE)))</f>
        <v/>
      </c>
      <c r="AD102" s="539" t="str">
        <f t="shared" si="13"/>
        <v/>
      </c>
      <c r="AE102" s="82"/>
      <c r="AF102" s="82"/>
      <c r="AG102" s="507" t="str">
        <f t="shared" si="19"/>
        <v/>
      </c>
      <c r="AH102" s="521" t="str">
        <f t="shared" si="20"/>
        <v/>
      </c>
      <c r="AI102" s="522" t="str">
        <f>IF(AH102="Check Data","Check Data",IFERROR(VLOOKUP(AH102,'G-4 Temporal multipliers'!$A$4:$C$36,3,FALSE),""))</f>
        <v/>
      </c>
      <c r="AJ102" s="498" t="str">
        <f>IF(S102="","",VLOOKUP(S102,'G-3 Multipliers'!$A$2:$E$129,4,FALSE))</f>
        <v/>
      </c>
      <c r="AK102" s="507" t="str">
        <f t="shared" si="21"/>
        <v/>
      </c>
      <c r="AL102" s="507" t="str">
        <f t="shared" si="22"/>
        <v/>
      </c>
      <c r="AM102" s="540" t="str">
        <f>IFERROR(IF(F102="","",IF(AH102="Check Data ⚠","Check Data ⚠",VLOOKUP(AL102, 'G-3 Multipliers'!$P$2:$Q$6,2,FALSE))),"")</f>
        <v/>
      </c>
      <c r="AN102" s="513" t="str">
        <f t="shared" si="14"/>
        <v/>
      </c>
      <c r="AO102" s="239"/>
      <c r="AP102" s="240"/>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1" t="str">
        <f>'A-1 Site Habitat Baseline'!AL102</f>
        <v/>
      </c>
      <c r="F103" s="520" t="str">
        <f>IF(E103="","",IF(ISNA(VLOOKUP($E103,'A-1 Site Habitat Baseline'!$D$1:$O$258,4,FALSE)),"",(VLOOKUP($E103,'A-1 Site Habitat Baseline'!$D$1:$O$258,4,FALSE))))</f>
        <v/>
      </c>
      <c r="G103" s="520" t="str">
        <f>IF(E103="","",IF(ISNA(VLOOKUP($E103,'A-1 Site Habitat Baseline'!$D$1:$O$258,5,FALSE)),"",(VLOOKUP($E103,'A-1 Site Habitat Baseline'!$D$1:$O$258,5,FALSE))))</f>
        <v/>
      </c>
      <c r="H103" s="520" t="str">
        <f>IF(E103="","",IF(ISNA(VLOOKUP($E103,'A-1 Site Habitat Baseline'!$D$1:$O$258,6,FALSE)),"",(VLOOKUP($E103,'A-1 Site Habitat Baseline'!$D$1:$O$258,6,FALSE))))</f>
        <v/>
      </c>
      <c r="I103" s="520" t="str">
        <f>IF(E103="","",IF(ISNA(VLOOKUP($E103,'A-1 Site Habitat Baseline'!$D$1:$O$258,7,FALSE)),"",(VLOOKUP($E103,'A-1 Site Habitat Baseline'!$D$1:$O$258,7,FALSE))))</f>
        <v/>
      </c>
      <c r="J103" s="520" t="str">
        <f>IF(E103="","",IF(ISNA(VLOOKUP($E103,'A-1 Site Habitat Baseline'!$D$1:$O$258,8,FALSE)),"",(VLOOKUP($E103,'A-1 Site Habitat Baseline'!$D$1:$O$258,8,FALSE))))</f>
        <v/>
      </c>
      <c r="K103" s="520" t="str">
        <f>IF(E103="","",IF(ISNA(VLOOKUP($E103,'A-1 Site Habitat Baseline'!$D$1:$O$258,9,FALSE)),"",(VLOOKUP($E103,'A-1 Site Habitat Baseline'!$D$1:$O$258,9,FALSE))))</f>
        <v/>
      </c>
      <c r="L103" s="520" t="str">
        <f>IF(E103="","",IF(ISNA(VLOOKUP($E103,'A-1 Site Habitat Baseline'!$D$1:$O$258,11,FALSE)),"",(VLOOKUP($E103,'A-1 Site Habitat Baseline'!$D$1:$O$258,11,FALSE))))</f>
        <v/>
      </c>
      <c r="M103" s="520" t="str">
        <f>IF(E103="","",IF(ISNA(VLOOKUP($E103,'A-1 Site Habitat Baseline'!$D$1:$O$258,12,FALSE)),"",(VLOOKUP($E103,'A-1 Site Habitat Baseline'!$D$1:$O$258,12,FALSE))))</f>
        <v/>
      </c>
      <c r="N103" s="532" t="str">
        <f>IF(E103="","",IF(ISNA(VLOOKUP($E103,'A-1 Site Habitat Baseline'!$D$1:$X$258,14,FALSE)),"",(VLOOKUP($E103,'A-1 Site Habitat Baseline'!$D$1:$X$258,14,FALSE))))</f>
        <v/>
      </c>
      <c r="O103" s="524" t="str">
        <f>IF(E103="","",IF(ISNA(VLOOKUP($E103,'A-1 Site Habitat Baseline'!$D$1:$X$258,16,FALSE)),"",(VLOOKUP($E103,'A-1 Site Habitat Baseline'!$D$1:$X$258,13,FALSE))))</f>
        <v/>
      </c>
      <c r="P103" s="237" t="str">
        <f>IFERROR(INDEX('G-1 All Habitats'!$AG$3:$AG$15,MATCH(Q103,'G-1 All Habitats'!$AF$3:$AF$15,0)),"")</f>
        <v/>
      </c>
      <c r="Q103" s="238" t="str">
        <f t="shared" si="15"/>
        <v/>
      </c>
      <c r="R103" s="238" t="str">
        <f t="shared" si="16"/>
        <v/>
      </c>
      <c r="S103" s="392" t="str">
        <f>IFERROR(INDEX('G-1 All Habitats'!$B$3:$B$129,MATCH(R103,'G-1 All Habitats'!$A$3:$A$129,0)),"")</f>
        <v/>
      </c>
      <c r="T103" s="498" t="str">
        <f t="shared" si="17"/>
        <v/>
      </c>
      <c r="U103" s="499" t="str">
        <f t="shared" si="18"/>
        <v/>
      </c>
      <c r="V103" s="537" t="str">
        <f t="shared" si="12"/>
        <v/>
      </c>
      <c r="W103" s="520" t="str">
        <f>IF(S103="","",VLOOKUP(S103,'G-1 All Habitats'!$B$2:$M$129,10,FALSE))</f>
        <v/>
      </c>
      <c r="X103" s="520" t="str">
        <f>IFERROR(VLOOKUP(W103,'G-1 All Habitats'!$V$3:$W$7,2,FALSE),"")</f>
        <v/>
      </c>
      <c r="Y103" s="79"/>
      <c r="Z103" s="524" t="str">
        <f>IFERROR(INDEX('G-8 Condition Look up'!$A$3:$H$130,MATCH(S103,'G-8 Condition Look up'!$A$3:$A$130,0),MATCH(Y103,'G-8 Condition Look up'!$A$3:$H$3,0)),"")</f>
        <v/>
      </c>
      <c r="AA103" s="71"/>
      <c r="AB103" s="520" t="str">
        <f>IF(AA103="","",IF(VLOOKUP(AA103,'G-3 Multipliers'!$L$3:$N$6,2,FALSE)=0,"Spatial Data Missing ⚠",VLOOKUP(AA103,'G-3 Multipliers'!$L$3:$N$6,2,FALSE)))</f>
        <v/>
      </c>
      <c r="AC103" s="524" t="str">
        <f>IF(AA103="","",IF(VLOOKUP(AA103,'G-3 Multipliers'!$L$3:$N$6,3,FALSE)=0,"Spatial Data Missing ⚠",VLOOKUP(AA103,'G-3 Multipliers'!$L$3:$N$6,3,FALSE)))</f>
        <v/>
      </c>
      <c r="AD103" s="539" t="str">
        <f t="shared" si="13"/>
        <v/>
      </c>
      <c r="AE103" s="82"/>
      <c r="AF103" s="82"/>
      <c r="AG103" s="507" t="str">
        <f t="shared" si="19"/>
        <v/>
      </c>
      <c r="AH103" s="521" t="str">
        <f t="shared" si="20"/>
        <v/>
      </c>
      <c r="AI103" s="522" t="str">
        <f>IF(AH103="Check Data","Check Data",IFERROR(VLOOKUP(AH103,'G-4 Temporal multipliers'!$A$4:$C$36,3,FALSE),""))</f>
        <v/>
      </c>
      <c r="AJ103" s="498" t="str">
        <f>IF(S103="","",VLOOKUP(S103,'G-3 Multipliers'!$A$2:$E$129,4,FALSE))</f>
        <v/>
      </c>
      <c r="AK103" s="507" t="str">
        <f t="shared" si="21"/>
        <v/>
      </c>
      <c r="AL103" s="507" t="str">
        <f t="shared" si="22"/>
        <v/>
      </c>
      <c r="AM103" s="540" t="str">
        <f>IFERROR(IF(F103="","",IF(AH103="Check Data ⚠","Check Data ⚠",VLOOKUP(AL103, 'G-3 Multipliers'!$P$2:$Q$6,2,FALSE))),"")</f>
        <v/>
      </c>
      <c r="AN103" s="513" t="str">
        <f t="shared" si="14"/>
        <v/>
      </c>
      <c r="AO103" s="239"/>
      <c r="AP103" s="240"/>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1" t="str">
        <f>'A-1 Site Habitat Baseline'!AL103</f>
        <v/>
      </c>
      <c r="F104" s="520" t="str">
        <f>IF(E104="","",IF(ISNA(VLOOKUP($E104,'A-1 Site Habitat Baseline'!$D$1:$O$258,4,FALSE)),"",(VLOOKUP($E104,'A-1 Site Habitat Baseline'!$D$1:$O$258,4,FALSE))))</f>
        <v/>
      </c>
      <c r="G104" s="520" t="str">
        <f>IF(E104="","",IF(ISNA(VLOOKUP($E104,'A-1 Site Habitat Baseline'!$D$1:$O$258,5,FALSE)),"",(VLOOKUP($E104,'A-1 Site Habitat Baseline'!$D$1:$O$258,5,FALSE))))</f>
        <v/>
      </c>
      <c r="H104" s="520" t="str">
        <f>IF(E104="","",IF(ISNA(VLOOKUP($E104,'A-1 Site Habitat Baseline'!$D$1:$O$258,6,FALSE)),"",(VLOOKUP($E104,'A-1 Site Habitat Baseline'!$D$1:$O$258,6,FALSE))))</f>
        <v/>
      </c>
      <c r="I104" s="520" t="str">
        <f>IF(E104="","",IF(ISNA(VLOOKUP($E104,'A-1 Site Habitat Baseline'!$D$1:$O$258,7,FALSE)),"",(VLOOKUP($E104,'A-1 Site Habitat Baseline'!$D$1:$O$258,7,FALSE))))</f>
        <v/>
      </c>
      <c r="J104" s="520" t="str">
        <f>IF(E104="","",IF(ISNA(VLOOKUP($E104,'A-1 Site Habitat Baseline'!$D$1:$O$258,8,FALSE)),"",(VLOOKUP($E104,'A-1 Site Habitat Baseline'!$D$1:$O$258,8,FALSE))))</f>
        <v/>
      </c>
      <c r="K104" s="520" t="str">
        <f>IF(E104="","",IF(ISNA(VLOOKUP($E104,'A-1 Site Habitat Baseline'!$D$1:$O$258,9,FALSE)),"",(VLOOKUP($E104,'A-1 Site Habitat Baseline'!$D$1:$O$258,9,FALSE))))</f>
        <v/>
      </c>
      <c r="L104" s="520" t="str">
        <f>IF(E104="","",IF(ISNA(VLOOKUP($E104,'A-1 Site Habitat Baseline'!$D$1:$O$258,11,FALSE)),"",(VLOOKUP($E104,'A-1 Site Habitat Baseline'!$D$1:$O$258,11,FALSE))))</f>
        <v/>
      </c>
      <c r="M104" s="520" t="str">
        <f>IF(E104="","",IF(ISNA(VLOOKUP($E104,'A-1 Site Habitat Baseline'!$D$1:$O$258,12,FALSE)),"",(VLOOKUP($E104,'A-1 Site Habitat Baseline'!$D$1:$O$258,12,FALSE))))</f>
        <v/>
      </c>
      <c r="N104" s="532" t="str">
        <f>IF(E104="","",IF(ISNA(VLOOKUP($E104,'A-1 Site Habitat Baseline'!$D$1:$X$258,14,FALSE)),"",(VLOOKUP($E104,'A-1 Site Habitat Baseline'!$D$1:$X$258,14,FALSE))))</f>
        <v/>
      </c>
      <c r="O104" s="524" t="str">
        <f>IF(E104="","",IF(ISNA(VLOOKUP($E104,'A-1 Site Habitat Baseline'!$D$1:$X$258,16,FALSE)),"",(VLOOKUP($E104,'A-1 Site Habitat Baseline'!$D$1:$X$258,13,FALSE))))</f>
        <v/>
      </c>
      <c r="P104" s="237" t="str">
        <f>IFERROR(INDEX('G-1 All Habitats'!$AG$3:$AG$15,MATCH(Q104,'G-1 All Habitats'!$AF$3:$AF$15,0)),"")</f>
        <v/>
      </c>
      <c r="Q104" s="238" t="str">
        <f t="shared" si="15"/>
        <v/>
      </c>
      <c r="R104" s="238" t="str">
        <f t="shared" si="16"/>
        <v/>
      </c>
      <c r="S104" s="392" t="str">
        <f>IFERROR(INDEX('G-1 All Habitats'!$B$3:$B$129,MATCH(R104,'G-1 All Habitats'!$A$3:$A$129,0)),"")</f>
        <v/>
      </c>
      <c r="T104" s="498" t="str">
        <f t="shared" si="17"/>
        <v/>
      </c>
      <c r="U104" s="499" t="str">
        <f t="shared" si="18"/>
        <v/>
      </c>
      <c r="V104" s="537" t="str">
        <f t="shared" si="12"/>
        <v/>
      </c>
      <c r="W104" s="520" t="str">
        <f>IF(S104="","",VLOOKUP(S104,'G-1 All Habitats'!$B$2:$M$129,10,FALSE))</f>
        <v/>
      </c>
      <c r="X104" s="520" t="str">
        <f>IFERROR(VLOOKUP(W104,'G-1 All Habitats'!$V$3:$W$7,2,FALSE),"")</f>
        <v/>
      </c>
      <c r="Y104" s="79"/>
      <c r="Z104" s="524" t="str">
        <f>IFERROR(INDEX('G-8 Condition Look up'!$A$3:$H$130,MATCH(S104,'G-8 Condition Look up'!$A$3:$A$130,0),MATCH(Y104,'G-8 Condition Look up'!$A$3:$H$3,0)),"")</f>
        <v/>
      </c>
      <c r="AA104" s="71"/>
      <c r="AB104" s="520" t="str">
        <f>IF(AA104="","",IF(VLOOKUP(AA104,'G-3 Multipliers'!$L$3:$N$6,2,FALSE)=0,"Spatial Data Missing ⚠",VLOOKUP(AA104,'G-3 Multipliers'!$L$3:$N$6,2,FALSE)))</f>
        <v/>
      </c>
      <c r="AC104" s="524" t="str">
        <f>IF(AA104="","",IF(VLOOKUP(AA104,'G-3 Multipliers'!$L$3:$N$6,3,FALSE)=0,"Spatial Data Missing ⚠",VLOOKUP(AA104,'G-3 Multipliers'!$L$3:$N$6,3,FALSE)))</f>
        <v/>
      </c>
      <c r="AD104" s="539" t="str">
        <f t="shared" si="13"/>
        <v/>
      </c>
      <c r="AE104" s="82"/>
      <c r="AF104" s="82"/>
      <c r="AG104" s="507" t="str">
        <f t="shared" si="19"/>
        <v/>
      </c>
      <c r="AH104" s="521" t="str">
        <f t="shared" si="20"/>
        <v/>
      </c>
      <c r="AI104" s="522" t="str">
        <f>IF(AH104="Check Data","Check Data",IFERROR(VLOOKUP(AH104,'G-4 Temporal multipliers'!$A$4:$C$36,3,FALSE),""))</f>
        <v/>
      </c>
      <c r="AJ104" s="498" t="str">
        <f>IF(S104="","",VLOOKUP(S104,'G-3 Multipliers'!$A$2:$E$129,4,FALSE))</f>
        <v/>
      </c>
      <c r="AK104" s="507" t="str">
        <f t="shared" si="21"/>
        <v/>
      </c>
      <c r="AL104" s="507" t="str">
        <f t="shared" si="22"/>
        <v/>
      </c>
      <c r="AM104" s="540" t="str">
        <f>IFERROR(IF(F104="","",IF(AH104="Check Data ⚠","Check Data ⚠",VLOOKUP(AL104, 'G-3 Multipliers'!$P$2:$Q$6,2,FALSE))),"")</f>
        <v/>
      </c>
      <c r="AN104" s="513" t="str">
        <f t="shared" si="14"/>
        <v/>
      </c>
      <c r="AO104" s="239"/>
      <c r="AP104" s="240"/>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1" t="str">
        <f>'A-1 Site Habitat Baseline'!AL104</f>
        <v/>
      </c>
      <c r="F105" s="520" t="str">
        <f>IF(E105="","",IF(ISNA(VLOOKUP($E105,'A-1 Site Habitat Baseline'!$D$1:$O$258,4,FALSE)),"",(VLOOKUP($E105,'A-1 Site Habitat Baseline'!$D$1:$O$258,4,FALSE))))</f>
        <v/>
      </c>
      <c r="G105" s="520" t="str">
        <f>IF(E105="","",IF(ISNA(VLOOKUP($E105,'A-1 Site Habitat Baseline'!$D$1:$O$258,5,FALSE)),"",(VLOOKUP($E105,'A-1 Site Habitat Baseline'!$D$1:$O$258,5,FALSE))))</f>
        <v/>
      </c>
      <c r="H105" s="520" t="str">
        <f>IF(E105="","",IF(ISNA(VLOOKUP($E105,'A-1 Site Habitat Baseline'!$D$1:$O$258,6,FALSE)),"",(VLOOKUP($E105,'A-1 Site Habitat Baseline'!$D$1:$O$258,6,FALSE))))</f>
        <v/>
      </c>
      <c r="I105" s="520" t="str">
        <f>IF(E105="","",IF(ISNA(VLOOKUP($E105,'A-1 Site Habitat Baseline'!$D$1:$O$258,7,FALSE)),"",(VLOOKUP($E105,'A-1 Site Habitat Baseline'!$D$1:$O$258,7,FALSE))))</f>
        <v/>
      </c>
      <c r="J105" s="520" t="str">
        <f>IF(E105="","",IF(ISNA(VLOOKUP($E105,'A-1 Site Habitat Baseline'!$D$1:$O$258,8,FALSE)),"",(VLOOKUP($E105,'A-1 Site Habitat Baseline'!$D$1:$O$258,8,FALSE))))</f>
        <v/>
      </c>
      <c r="K105" s="520" t="str">
        <f>IF(E105="","",IF(ISNA(VLOOKUP($E105,'A-1 Site Habitat Baseline'!$D$1:$O$258,9,FALSE)),"",(VLOOKUP($E105,'A-1 Site Habitat Baseline'!$D$1:$O$258,9,FALSE))))</f>
        <v/>
      </c>
      <c r="L105" s="520" t="str">
        <f>IF(E105="","",IF(ISNA(VLOOKUP($E105,'A-1 Site Habitat Baseline'!$D$1:$O$258,11,FALSE)),"",(VLOOKUP($E105,'A-1 Site Habitat Baseline'!$D$1:$O$258,11,FALSE))))</f>
        <v/>
      </c>
      <c r="M105" s="520" t="str">
        <f>IF(E105="","",IF(ISNA(VLOOKUP($E105,'A-1 Site Habitat Baseline'!$D$1:$O$258,12,FALSE)),"",(VLOOKUP($E105,'A-1 Site Habitat Baseline'!$D$1:$O$258,12,FALSE))))</f>
        <v/>
      </c>
      <c r="N105" s="532" t="str">
        <f>IF(E105="","",IF(ISNA(VLOOKUP($E105,'A-1 Site Habitat Baseline'!$D$1:$X$258,14,FALSE)),"",(VLOOKUP($E105,'A-1 Site Habitat Baseline'!$D$1:$X$258,14,FALSE))))</f>
        <v/>
      </c>
      <c r="O105" s="524" t="str">
        <f>IF(E105="","",IF(ISNA(VLOOKUP($E105,'A-1 Site Habitat Baseline'!$D$1:$X$258,16,FALSE)),"",(VLOOKUP($E105,'A-1 Site Habitat Baseline'!$D$1:$X$258,13,FALSE))))</f>
        <v/>
      </c>
      <c r="P105" s="237" t="str">
        <f>IFERROR(INDEX('G-1 All Habitats'!$AG$3:$AG$15,MATCH(Q105,'G-1 All Habitats'!$AF$3:$AF$15,0)),"")</f>
        <v/>
      </c>
      <c r="Q105" s="238" t="str">
        <f t="shared" si="15"/>
        <v/>
      </c>
      <c r="R105" s="238" t="str">
        <f t="shared" si="16"/>
        <v/>
      </c>
      <c r="S105" s="392" t="str">
        <f>IFERROR(INDEX('G-1 All Habitats'!$B$3:$B$129,MATCH(R105,'G-1 All Habitats'!$A$3:$A$129,0)),"")</f>
        <v/>
      </c>
      <c r="T105" s="498" t="str">
        <f t="shared" si="17"/>
        <v/>
      </c>
      <c r="U105" s="499" t="str">
        <f t="shared" si="18"/>
        <v/>
      </c>
      <c r="V105" s="537" t="str">
        <f t="shared" si="12"/>
        <v/>
      </c>
      <c r="W105" s="520" t="str">
        <f>IF(S105="","",VLOOKUP(S105,'G-1 All Habitats'!$B$2:$M$129,10,FALSE))</f>
        <v/>
      </c>
      <c r="X105" s="520" t="str">
        <f>IFERROR(VLOOKUP(W105,'G-1 All Habitats'!$V$3:$W$7,2,FALSE),"")</f>
        <v/>
      </c>
      <c r="Y105" s="79"/>
      <c r="Z105" s="524" t="str">
        <f>IFERROR(INDEX('G-8 Condition Look up'!$A$3:$H$130,MATCH(S105,'G-8 Condition Look up'!$A$3:$A$130,0),MATCH(Y105,'G-8 Condition Look up'!$A$3:$H$3,0)),"")</f>
        <v/>
      </c>
      <c r="AA105" s="71"/>
      <c r="AB105" s="520" t="str">
        <f>IF(AA105="","",IF(VLOOKUP(AA105,'G-3 Multipliers'!$L$3:$N$6,2,FALSE)=0,"Spatial Data Missing ⚠",VLOOKUP(AA105,'G-3 Multipliers'!$L$3:$N$6,2,FALSE)))</f>
        <v/>
      </c>
      <c r="AC105" s="524" t="str">
        <f>IF(AA105="","",IF(VLOOKUP(AA105,'G-3 Multipliers'!$L$3:$N$6,3,FALSE)=0,"Spatial Data Missing ⚠",VLOOKUP(AA105,'G-3 Multipliers'!$L$3:$N$6,3,FALSE)))</f>
        <v/>
      </c>
      <c r="AD105" s="539" t="str">
        <f t="shared" si="13"/>
        <v/>
      </c>
      <c r="AE105" s="82"/>
      <c r="AF105" s="82"/>
      <c r="AG105" s="507" t="str">
        <f t="shared" si="19"/>
        <v/>
      </c>
      <c r="AH105" s="521" t="str">
        <f t="shared" si="20"/>
        <v/>
      </c>
      <c r="AI105" s="522" t="str">
        <f>IF(AH105="Check Data","Check Data",IFERROR(VLOOKUP(AH105,'G-4 Temporal multipliers'!$A$4:$C$36,3,FALSE),""))</f>
        <v/>
      </c>
      <c r="AJ105" s="498" t="str">
        <f>IF(S105="","",VLOOKUP(S105,'G-3 Multipliers'!$A$2:$E$129,4,FALSE))</f>
        <v/>
      </c>
      <c r="AK105" s="507" t="str">
        <f t="shared" si="21"/>
        <v/>
      </c>
      <c r="AL105" s="507" t="str">
        <f t="shared" si="22"/>
        <v/>
      </c>
      <c r="AM105" s="540" t="str">
        <f>IFERROR(IF(F105="","",IF(AH105="Check Data ⚠","Check Data ⚠",VLOOKUP(AL105, 'G-3 Multipliers'!$P$2:$Q$6,2,FALSE))),"")</f>
        <v/>
      </c>
      <c r="AN105" s="513" t="str">
        <f t="shared" si="14"/>
        <v/>
      </c>
      <c r="AO105" s="239"/>
      <c r="AP105" s="240"/>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1" t="str">
        <f>'A-1 Site Habitat Baseline'!AL105</f>
        <v/>
      </c>
      <c r="F106" s="520" t="str">
        <f>IF(E106="","",IF(ISNA(VLOOKUP($E106,'A-1 Site Habitat Baseline'!$D$1:$O$258,4,FALSE)),"",(VLOOKUP($E106,'A-1 Site Habitat Baseline'!$D$1:$O$258,4,FALSE))))</f>
        <v/>
      </c>
      <c r="G106" s="520" t="str">
        <f>IF(E106="","",IF(ISNA(VLOOKUP($E106,'A-1 Site Habitat Baseline'!$D$1:$O$258,5,FALSE)),"",(VLOOKUP($E106,'A-1 Site Habitat Baseline'!$D$1:$O$258,5,FALSE))))</f>
        <v/>
      </c>
      <c r="H106" s="520" t="str">
        <f>IF(E106="","",IF(ISNA(VLOOKUP($E106,'A-1 Site Habitat Baseline'!$D$1:$O$258,6,FALSE)),"",(VLOOKUP($E106,'A-1 Site Habitat Baseline'!$D$1:$O$258,6,FALSE))))</f>
        <v/>
      </c>
      <c r="I106" s="520" t="str">
        <f>IF(E106="","",IF(ISNA(VLOOKUP($E106,'A-1 Site Habitat Baseline'!$D$1:$O$258,7,FALSE)),"",(VLOOKUP($E106,'A-1 Site Habitat Baseline'!$D$1:$O$258,7,FALSE))))</f>
        <v/>
      </c>
      <c r="J106" s="520" t="str">
        <f>IF(E106="","",IF(ISNA(VLOOKUP($E106,'A-1 Site Habitat Baseline'!$D$1:$O$258,8,FALSE)),"",(VLOOKUP($E106,'A-1 Site Habitat Baseline'!$D$1:$O$258,8,FALSE))))</f>
        <v/>
      </c>
      <c r="K106" s="520" t="str">
        <f>IF(E106="","",IF(ISNA(VLOOKUP($E106,'A-1 Site Habitat Baseline'!$D$1:$O$258,9,FALSE)),"",(VLOOKUP($E106,'A-1 Site Habitat Baseline'!$D$1:$O$258,9,FALSE))))</f>
        <v/>
      </c>
      <c r="L106" s="520" t="str">
        <f>IF(E106="","",IF(ISNA(VLOOKUP($E106,'A-1 Site Habitat Baseline'!$D$1:$O$258,11,FALSE)),"",(VLOOKUP($E106,'A-1 Site Habitat Baseline'!$D$1:$O$258,11,FALSE))))</f>
        <v/>
      </c>
      <c r="M106" s="520" t="str">
        <f>IF(E106="","",IF(ISNA(VLOOKUP($E106,'A-1 Site Habitat Baseline'!$D$1:$O$258,12,FALSE)),"",(VLOOKUP($E106,'A-1 Site Habitat Baseline'!$D$1:$O$258,12,FALSE))))</f>
        <v/>
      </c>
      <c r="N106" s="532" t="str">
        <f>IF(E106="","",IF(ISNA(VLOOKUP($E106,'A-1 Site Habitat Baseline'!$D$1:$X$258,14,FALSE)),"",(VLOOKUP($E106,'A-1 Site Habitat Baseline'!$D$1:$X$258,14,FALSE))))</f>
        <v/>
      </c>
      <c r="O106" s="524" t="str">
        <f>IF(E106="","",IF(ISNA(VLOOKUP($E106,'A-1 Site Habitat Baseline'!$D$1:$X$258,16,FALSE)),"",(VLOOKUP($E106,'A-1 Site Habitat Baseline'!$D$1:$X$258,13,FALSE))))</f>
        <v/>
      </c>
      <c r="P106" s="237" t="str">
        <f>IFERROR(INDEX('G-1 All Habitats'!$AG$3:$AG$15,MATCH(Q106,'G-1 All Habitats'!$AF$3:$AF$15,0)),"")</f>
        <v/>
      </c>
      <c r="Q106" s="238" t="str">
        <f t="shared" si="15"/>
        <v/>
      </c>
      <c r="R106" s="238" t="str">
        <f t="shared" si="16"/>
        <v/>
      </c>
      <c r="S106" s="392" t="str">
        <f>IFERROR(INDEX('G-1 All Habitats'!$B$3:$B$129,MATCH(R106,'G-1 All Habitats'!$A$3:$A$129,0)),"")</f>
        <v/>
      </c>
      <c r="T106" s="498" t="str">
        <f t="shared" si="17"/>
        <v/>
      </c>
      <c r="U106" s="499" t="str">
        <f t="shared" si="18"/>
        <v/>
      </c>
      <c r="V106" s="537" t="str">
        <f t="shared" si="12"/>
        <v/>
      </c>
      <c r="W106" s="520" t="str">
        <f>IF(S106="","",VLOOKUP(S106,'G-1 All Habitats'!$B$2:$M$129,10,FALSE))</f>
        <v/>
      </c>
      <c r="X106" s="520" t="str">
        <f>IFERROR(VLOOKUP(W106,'G-1 All Habitats'!$V$3:$W$7,2,FALSE),"")</f>
        <v/>
      </c>
      <c r="Y106" s="79"/>
      <c r="Z106" s="524" t="str">
        <f>IFERROR(INDEX('G-8 Condition Look up'!$A$3:$H$130,MATCH(S106,'G-8 Condition Look up'!$A$3:$A$130,0),MATCH(Y106,'G-8 Condition Look up'!$A$3:$H$3,0)),"")</f>
        <v/>
      </c>
      <c r="AA106" s="71"/>
      <c r="AB106" s="520" t="str">
        <f>IF(AA106="","",IF(VLOOKUP(AA106,'G-3 Multipliers'!$L$3:$N$6,2,FALSE)=0,"Spatial Data Missing ⚠",VLOOKUP(AA106,'G-3 Multipliers'!$L$3:$N$6,2,FALSE)))</f>
        <v/>
      </c>
      <c r="AC106" s="524" t="str">
        <f>IF(AA106="","",IF(VLOOKUP(AA106,'G-3 Multipliers'!$L$3:$N$6,3,FALSE)=0,"Spatial Data Missing ⚠",VLOOKUP(AA106,'G-3 Multipliers'!$L$3:$N$6,3,FALSE)))</f>
        <v/>
      </c>
      <c r="AD106" s="539" t="str">
        <f t="shared" si="13"/>
        <v/>
      </c>
      <c r="AE106" s="82"/>
      <c r="AF106" s="82"/>
      <c r="AG106" s="507" t="str">
        <f t="shared" si="19"/>
        <v/>
      </c>
      <c r="AH106" s="521" t="str">
        <f t="shared" si="20"/>
        <v/>
      </c>
      <c r="AI106" s="522" t="str">
        <f>IF(AH106="Check Data","Check Data",IFERROR(VLOOKUP(AH106,'G-4 Temporal multipliers'!$A$4:$C$36,3,FALSE),""))</f>
        <v/>
      </c>
      <c r="AJ106" s="498" t="str">
        <f>IF(S106="","",VLOOKUP(S106,'G-3 Multipliers'!$A$2:$E$129,4,FALSE))</f>
        <v/>
      </c>
      <c r="AK106" s="507" t="str">
        <f t="shared" si="21"/>
        <v/>
      </c>
      <c r="AL106" s="507" t="str">
        <f t="shared" si="22"/>
        <v/>
      </c>
      <c r="AM106" s="540" t="str">
        <f>IFERROR(IF(F106="","",IF(AH106="Check Data ⚠","Check Data ⚠",VLOOKUP(AL106, 'G-3 Multipliers'!$P$2:$Q$6,2,FALSE))),"")</f>
        <v/>
      </c>
      <c r="AN106" s="513" t="str">
        <f t="shared" si="14"/>
        <v/>
      </c>
      <c r="AO106" s="239"/>
      <c r="AP106" s="240"/>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1" t="str">
        <f>'A-1 Site Habitat Baseline'!AL106</f>
        <v/>
      </c>
      <c r="F107" s="520" t="str">
        <f>IF(E107="","",IF(ISNA(VLOOKUP($E107,'A-1 Site Habitat Baseline'!$D$1:$O$258,4,FALSE)),"",(VLOOKUP($E107,'A-1 Site Habitat Baseline'!$D$1:$O$258,4,FALSE))))</f>
        <v/>
      </c>
      <c r="G107" s="520" t="str">
        <f>IF(E107="","",IF(ISNA(VLOOKUP($E107,'A-1 Site Habitat Baseline'!$D$1:$O$258,5,FALSE)),"",(VLOOKUP($E107,'A-1 Site Habitat Baseline'!$D$1:$O$258,5,FALSE))))</f>
        <v/>
      </c>
      <c r="H107" s="520" t="str">
        <f>IF(E107="","",IF(ISNA(VLOOKUP($E107,'A-1 Site Habitat Baseline'!$D$1:$O$258,6,FALSE)),"",(VLOOKUP($E107,'A-1 Site Habitat Baseline'!$D$1:$O$258,6,FALSE))))</f>
        <v/>
      </c>
      <c r="I107" s="520" t="str">
        <f>IF(E107="","",IF(ISNA(VLOOKUP($E107,'A-1 Site Habitat Baseline'!$D$1:$O$258,7,FALSE)),"",(VLOOKUP($E107,'A-1 Site Habitat Baseline'!$D$1:$O$258,7,FALSE))))</f>
        <v/>
      </c>
      <c r="J107" s="520" t="str">
        <f>IF(E107="","",IF(ISNA(VLOOKUP($E107,'A-1 Site Habitat Baseline'!$D$1:$O$258,8,FALSE)),"",(VLOOKUP($E107,'A-1 Site Habitat Baseline'!$D$1:$O$258,8,FALSE))))</f>
        <v/>
      </c>
      <c r="K107" s="520" t="str">
        <f>IF(E107="","",IF(ISNA(VLOOKUP($E107,'A-1 Site Habitat Baseline'!$D$1:$O$258,9,FALSE)),"",(VLOOKUP($E107,'A-1 Site Habitat Baseline'!$D$1:$O$258,9,FALSE))))</f>
        <v/>
      </c>
      <c r="L107" s="520" t="str">
        <f>IF(E107="","",IF(ISNA(VLOOKUP($E107,'A-1 Site Habitat Baseline'!$D$1:$O$258,11,FALSE)),"",(VLOOKUP($E107,'A-1 Site Habitat Baseline'!$D$1:$O$258,11,FALSE))))</f>
        <v/>
      </c>
      <c r="M107" s="520" t="str">
        <f>IF(E107="","",IF(ISNA(VLOOKUP($E107,'A-1 Site Habitat Baseline'!$D$1:$O$258,12,FALSE)),"",(VLOOKUP($E107,'A-1 Site Habitat Baseline'!$D$1:$O$258,12,FALSE))))</f>
        <v/>
      </c>
      <c r="N107" s="532" t="str">
        <f>IF(E107="","",IF(ISNA(VLOOKUP($E107,'A-1 Site Habitat Baseline'!$D$1:$X$258,14,FALSE)),"",(VLOOKUP($E107,'A-1 Site Habitat Baseline'!$D$1:$X$258,14,FALSE))))</f>
        <v/>
      </c>
      <c r="O107" s="524" t="str">
        <f>IF(E107="","",IF(ISNA(VLOOKUP($E107,'A-1 Site Habitat Baseline'!$D$1:$X$258,16,FALSE)),"",(VLOOKUP($E107,'A-1 Site Habitat Baseline'!$D$1:$X$258,13,FALSE))))</f>
        <v/>
      </c>
      <c r="P107" s="237" t="str">
        <f>IFERROR(INDEX('G-1 All Habitats'!$AG$3:$AG$15,MATCH(Q107,'G-1 All Habitats'!$AF$3:$AF$15,0)),"")</f>
        <v/>
      </c>
      <c r="Q107" s="238" t="str">
        <f t="shared" si="15"/>
        <v/>
      </c>
      <c r="R107" s="238" t="str">
        <f t="shared" si="16"/>
        <v/>
      </c>
      <c r="S107" s="392" t="str">
        <f>IFERROR(INDEX('G-1 All Habitats'!$B$3:$B$129,MATCH(R107,'G-1 All Habitats'!$A$3:$A$129,0)),"")</f>
        <v/>
      </c>
      <c r="T107" s="498" t="str">
        <f t="shared" si="17"/>
        <v/>
      </c>
      <c r="U107" s="499" t="str">
        <f t="shared" si="18"/>
        <v/>
      </c>
      <c r="V107" s="537" t="str">
        <f t="shared" si="12"/>
        <v/>
      </c>
      <c r="W107" s="520" t="str">
        <f>IF(S107="","",VLOOKUP(S107,'G-1 All Habitats'!$B$2:$M$129,10,FALSE))</f>
        <v/>
      </c>
      <c r="X107" s="520" t="str">
        <f>IFERROR(VLOOKUP(W107,'G-1 All Habitats'!$V$3:$W$7,2,FALSE),"")</f>
        <v/>
      </c>
      <c r="Y107" s="79"/>
      <c r="Z107" s="524" t="str">
        <f>IFERROR(INDEX('G-8 Condition Look up'!$A$3:$H$130,MATCH(S107,'G-8 Condition Look up'!$A$3:$A$130,0),MATCH(Y107,'G-8 Condition Look up'!$A$3:$H$3,0)),"")</f>
        <v/>
      </c>
      <c r="AA107" s="71"/>
      <c r="AB107" s="520" t="str">
        <f>IF(AA107="","",IF(VLOOKUP(AA107,'G-3 Multipliers'!$L$3:$N$6,2,FALSE)=0,"Spatial Data Missing ⚠",VLOOKUP(AA107,'G-3 Multipliers'!$L$3:$N$6,2,FALSE)))</f>
        <v/>
      </c>
      <c r="AC107" s="524" t="str">
        <f>IF(AA107="","",IF(VLOOKUP(AA107,'G-3 Multipliers'!$L$3:$N$6,3,FALSE)=0,"Spatial Data Missing ⚠",VLOOKUP(AA107,'G-3 Multipliers'!$L$3:$N$6,3,FALSE)))</f>
        <v/>
      </c>
      <c r="AD107" s="539" t="str">
        <f t="shared" si="13"/>
        <v/>
      </c>
      <c r="AE107" s="82"/>
      <c r="AF107" s="82"/>
      <c r="AG107" s="507" t="str">
        <f t="shared" si="19"/>
        <v/>
      </c>
      <c r="AH107" s="521" t="str">
        <f t="shared" si="20"/>
        <v/>
      </c>
      <c r="AI107" s="522" t="str">
        <f>IF(AH107="Check Data","Check Data",IFERROR(VLOOKUP(AH107,'G-4 Temporal multipliers'!$A$4:$C$36,3,FALSE),""))</f>
        <v/>
      </c>
      <c r="AJ107" s="498" t="str">
        <f>IF(S107="","",VLOOKUP(S107,'G-3 Multipliers'!$A$2:$E$129,4,FALSE))</f>
        <v/>
      </c>
      <c r="AK107" s="507" t="str">
        <f t="shared" si="21"/>
        <v/>
      </c>
      <c r="AL107" s="507" t="str">
        <f t="shared" si="22"/>
        <v/>
      </c>
      <c r="AM107" s="540" t="str">
        <f>IFERROR(IF(F107="","",IF(AH107="Check Data ⚠","Check Data ⚠",VLOOKUP(AL107, 'G-3 Multipliers'!$P$2:$Q$6,2,FALSE))),"")</f>
        <v/>
      </c>
      <c r="AN107" s="513" t="str">
        <f t="shared" si="14"/>
        <v/>
      </c>
      <c r="AO107" s="239"/>
      <c r="AP107" s="240"/>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1" t="str">
        <f>'A-1 Site Habitat Baseline'!AL107</f>
        <v/>
      </c>
      <c r="F108" s="520" t="str">
        <f>IF(E108="","",IF(ISNA(VLOOKUP($E108,'A-1 Site Habitat Baseline'!$D$1:$O$258,4,FALSE)),"",(VLOOKUP($E108,'A-1 Site Habitat Baseline'!$D$1:$O$258,4,FALSE))))</f>
        <v/>
      </c>
      <c r="G108" s="520" t="str">
        <f>IF(E108="","",IF(ISNA(VLOOKUP($E108,'A-1 Site Habitat Baseline'!$D$1:$O$258,5,FALSE)),"",(VLOOKUP($E108,'A-1 Site Habitat Baseline'!$D$1:$O$258,5,FALSE))))</f>
        <v/>
      </c>
      <c r="H108" s="520" t="str">
        <f>IF(E108="","",IF(ISNA(VLOOKUP($E108,'A-1 Site Habitat Baseline'!$D$1:$O$258,6,FALSE)),"",(VLOOKUP($E108,'A-1 Site Habitat Baseline'!$D$1:$O$258,6,FALSE))))</f>
        <v/>
      </c>
      <c r="I108" s="520" t="str">
        <f>IF(E108="","",IF(ISNA(VLOOKUP($E108,'A-1 Site Habitat Baseline'!$D$1:$O$258,7,FALSE)),"",(VLOOKUP($E108,'A-1 Site Habitat Baseline'!$D$1:$O$258,7,FALSE))))</f>
        <v/>
      </c>
      <c r="J108" s="520" t="str">
        <f>IF(E108="","",IF(ISNA(VLOOKUP($E108,'A-1 Site Habitat Baseline'!$D$1:$O$258,8,FALSE)),"",(VLOOKUP($E108,'A-1 Site Habitat Baseline'!$D$1:$O$258,8,FALSE))))</f>
        <v/>
      </c>
      <c r="K108" s="520" t="str">
        <f>IF(E108="","",IF(ISNA(VLOOKUP($E108,'A-1 Site Habitat Baseline'!$D$1:$O$258,9,FALSE)),"",(VLOOKUP($E108,'A-1 Site Habitat Baseline'!$D$1:$O$258,9,FALSE))))</f>
        <v/>
      </c>
      <c r="L108" s="520" t="str">
        <f>IF(E108="","",IF(ISNA(VLOOKUP($E108,'A-1 Site Habitat Baseline'!$D$1:$O$258,11,FALSE)),"",(VLOOKUP($E108,'A-1 Site Habitat Baseline'!$D$1:$O$258,11,FALSE))))</f>
        <v/>
      </c>
      <c r="M108" s="520" t="str">
        <f>IF(E108="","",IF(ISNA(VLOOKUP($E108,'A-1 Site Habitat Baseline'!$D$1:$O$258,12,FALSE)),"",(VLOOKUP($E108,'A-1 Site Habitat Baseline'!$D$1:$O$258,12,FALSE))))</f>
        <v/>
      </c>
      <c r="N108" s="532" t="str">
        <f>IF(E108="","",IF(ISNA(VLOOKUP($E108,'A-1 Site Habitat Baseline'!$D$1:$X$258,14,FALSE)),"",(VLOOKUP($E108,'A-1 Site Habitat Baseline'!$D$1:$X$258,14,FALSE))))</f>
        <v/>
      </c>
      <c r="O108" s="524" t="str">
        <f>IF(E108="","",IF(ISNA(VLOOKUP($E108,'A-1 Site Habitat Baseline'!$D$1:$X$258,16,FALSE)),"",(VLOOKUP($E108,'A-1 Site Habitat Baseline'!$D$1:$X$258,13,FALSE))))</f>
        <v/>
      </c>
      <c r="P108" s="237" t="str">
        <f>IFERROR(INDEX('G-1 All Habitats'!$AG$3:$AG$15,MATCH(Q108,'G-1 All Habitats'!$AF$3:$AF$15,0)),"")</f>
        <v/>
      </c>
      <c r="Q108" s="238" t="str">
        <f t="shared" si="15"/>
        <v/>
      </c>
      <c r="R108" s="238" t="str">
        <f t="shared" si="16"/>
        <v/>
      </c>
      <c r="S108" s="392" t="str">
        <f>IFERROR(INDEX('G-1 All Habitats'!$B$3:$B$129,MATCH(R108,'G-1 All Habitats'!$A$3:$A$129,0)),"")</f>
        <v/>
      </c>
      <c r="T108" s="498" t="str">
        <f t="shared" si="17"/>
        <v/>
      </c>
      <c r="U108" s="499" t="str">
        <f t="shared" si="18"/>
        <v/>
      </c>
      <c r="V108" s="537" t="str">
        <f t="shared" si="12"/>
        <v/>
      </c>
      <c r="W108" s="520" t="str">
        <f>IF(S108="","",VLOOKUP(S108,'G-1 All Habitats'!$B$2:$M$129,10,FALSE))</f>
        <v/>
      </c>
      <c r="X108" s="520" t="str">
        <f>IFERROR(VLOOKUP(W108,'G-1 All Habitats'!$V$3:$W$7,2,FALSE),"")</f>
        <v/>
      </c>
      <c r="Y108" s="79"/>
      <c r="Z108" s="524" t="str">
        <f>IFERROR(INDEX('G-8 Condition Look up'!$A$3:$H$130,MATCH(S108,'G-8 Condition Look up'!$A$3:$A$130,0),MATCH(Y108,'G-8 Condition Look up'!$A$3:$H$3,0)),"")</f>
        <v/>
      </c>
      <c r="AA108" s="71"/>
      <c r="AB108" s="520" t="str">
        <f>IF(AA108="","",IF(VLOOKUP(AA108,'G-3 Multipliers'!$L$3:$N$6,2,FALSE)=0,"Spatial Data Missing ⚠",VLOOKUP(AA108,'G-3 Multipliers'!$L$3:$N$6,2,FALSE)))</f>
        <v/>
      </c>
      <c r="AC108" s="524" t="str">
        <f>IF(AA108="","",IF(VLOOKUP(AA108,'G-3 Multipliers'!$L$3:$N$6,3,FALSE)=0,"Spatial Data Missing ⚠",VLOOKUP(AA108,'G-3 Multipliers'!$L$3:$N$6,3,FALSE)))</f>
        <v/>
      </c>
      <c r="AD108" s="539" t="str">
        <f t="shared" si="13"/>
        <v/>
      </c>
      <c r="AE108" s="82"/>
      <c r="AF108" s="82"/>
      <c r="AG108" s="507" t="str">
        <f t="shared" si="19"/>
        <v/>
      </c>
      <c r="AH108" s="521" t="str">
        <f t="shared" si="20"/>
        <v/>
      </c>
      <c r="AI108" s="522" t="str">
        <f>IF(AH108="Check Data","Check Data",IFERROR(VLOOKUP(AH108,'G-4 Temporal multipliers'!$A$4:$C$36,3,FALSE),""))</f>
        <v/>
      </c>
      <c r="AJ108" s="498" t="str">
        <f>IF(S108="","",VLOOKUP(S108,'G-3 Multipliers'!$A$2:$E$129,4,FALSE))</f>
        <v/>
      </c>
      <c r="AK108" s="507" t="str">
        <f t="shared" si="21"/>
        <v/>
      </c>
      <c r="AL108" s="507" t="str">
        <f t="shared" si="22"/>
        <v/>
      </c>
      <c r="AM108" s="540" t="str">
        <f>IFERROR(IF(F108="","",IF(AH108="Check Data ⚠","Check Data ⚠",VLOOKUP(AL108, 'G-3 Multipliers'!$P$2:$Q$6,2,FALSE))),"")</f>
        <v/>
      </c>
      <c r="AN108" s="513" t="str">
        <f t="shared" si="14"/>
        <v/>
      </c>
      <c r="AO108" s="239"/>
      <c r="AP108" s="240"/>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1" t="str">
        <f>'A-1 Site Habitat Baseline'!AL108</f>
        <v/>
      </c>
      <c r="F109" s="520" t="str">
        <f>IF(E109="","",IF(ISNA(VLOOKUP($E109,'A-1 Site Habitat Baseline'!$D$1:$O$258,4,FALSE)),"",(VLOOKUP($E109,'A-1 Site Habitat Baseline'!$D$1:$O$258,4,FALSE))))</f>
        <v/>
      </c>
      <c r="G109" s="520" t="str">
        <f>IF(E109="","",IF(ISNA(VLOOKUP($E109,'A-1 Site Habitat Baseline'!$D$1:$O$258,5,FALSE)),"",(VLOOKUP($E109,'A-1 Site Habitat Baseline'!$D$1:$O$258,5,FALSE))))</f>
        <v/>
      </c>
      <c r="H109" s="520" t="str">
        <f>IF(E109="","",IF(ISNA(VLOOKUP($E109,'A-1 Site Habitat Baseline'!$D$1:$O$258,6,FALSE)),"",(VLOOKUP($E109,'A-1 Site Habitat Baseline'!$D$1:$O$258,6,FALSE))))</f>
        <v/>
      </c>
      <c r="I109" s="520" t="str">
        <f>IF(E109="","",IF(ISNA(VLOOKUP($E109,'A-1 Site Habitat Baseline'!$D$1:$O$258,7,FALSE)),"",(VLOOKUP($E109,'A-1 Site Habitat Baseline'!$D$1:$O$258,7,FALSE))))</f>
        <v/>
      </c>
      <c r="J109" s="520" t="str">
        <f>IF(E109="","",IF(ISNA(VLOOKUP($E109,'A-1 Site Habitat Baseline'!$D$1:$O$258,8,FALSE)),"",(VLOOKUP($E109,'A-1 Site Habitat Baseline'!$D$1:$O$258,8,FALSE))))</f>
        <v/>
      </c>
      <c r="K109" s="520" t="str">
        <f>IF(E109="","",IF(ISNA(VLOOKUP($E109,'A-1 Site Habitat Baseline'!$D$1:$O$258,9,FALSE)),"",(VLOOKUP($E109,'A-1 Site Habitat Baseline'!$D$1:$O$258,9,FALSE))))</f>
        <v/>
      </c>
      <c r="L109" s="520" t="str">
        <f>IF(E109="","",IF(ISNA(VLOOKUP($E109,'A-1 Site Habitat Baseline'!$D$1:$O$258,11,FALSE)),"",(VLOOKUP($E109,'A-1 Site Habitat Baseline'!$D$1:$O$258,11,FALSE))))</f>
        <v/>
      </c>
      <c r="M109" s="520" t="str">
        <f>IF(E109="","",IF(ISNA(VLOOKUP($E109,'A-1 Site Habitat Baseline'!$D$1:$O$258,12,FALSE)),"",(VLOOKUP($E109,'A-1 Site Habitat Baseline'!$D$1:$O$258,12,FALSE))))</f>
        <v/>
      </c>
      <c r="N109" s="532" t="str">
        <f>IF(E109="","",IF(ISNA(VLOOKUP($E109,'A-1 Site Habitat Baseline'!$D$1:$X$258,14,FALSE)),"",(VLOOKUP($E109,'A-1 Site Habitat Baseline'!$D$1:$X$258,14,FALSE))))</f>
        <v/>
      </c>
      <c r="O109" s="524" t="str">
        <f>IF(E109="","",IF(ISNA(VLOOKUP($E109,'A-1 Site Habitat Baseline'!$D$1:$X$258,16,FALSE)),"",(VLOOKUP($E109,'A-1 Site Habitat Baseline'!$D$1:$X$258,13,FALSE))))</f>
        <v/>
      </c>
      <c r="P109" s="237" t="str">
        <f>IFERROR(INDEX('G-1 All Habitats'!$AG$3:$AG$15,MATCH(Q109,'G-1 All Habitats'!$AF$3:$AF$15,0)),"")</f>
        <v/>
      </c>
      <c r="Q109" s="238" t="str">
        <f t="shared" si="15"/>
        <v/>
      </c>
      <c r="R109" s="238" t="str">
        <f t="shared" si="16"/>
        <v/>
      </c>
      <c r="S109" s="392" t="str">
        <f>IFERROR(INDEX('G-1 All Habitats'!$B$3:$B$129,MATCH(R109,'G-1 All Habitats'!$A$3:$A$129,0)),"")</f>
        <v/>
      </c>
      <c r="T109" s="498" t="str">
        <f t="shared" si="17"/>
        <v/>
      </c>
      <c r="U109" s="499" t="str">
        <f t="shared" si="18"/>
        <v/>
      </c>
      <c r="V109" s="537" t="str">
        <f t="shared" si="12"/>
        <v/>
      </c>
      <c r="W109" s="520" t="str">
        <f>IF(S109="","",VLOOKUP(S109,'G-1 All Habitats'!$B$2:$M$129,10,FALSE))</f>
        <v/>
      </c>
      <c r="X109" s="520" t="str">
        <f>IFERROR(VLOOKUP(W109,'G-1 All Habitats'!$V$3:$W$7,2,FALSE),"")</f>
        <v/>
      </c>
      <c r="Y109" s="79"/>
      <c r="Z109" s="524" t="str">
        <f>IFERROR(INDEX('G-8 Condition Look up'!$A$3:$H$130,MATCH(S109,'G-8 Condition Look up'!$A$3:$A$130,0),MATCH(Y109,'G-8 Condition Look up'!$A$3:$H$3,0)),"")</f>
        <v/>
      </c>
      <c r="AA109" s="71"/>
      <c r="AB109" s="520" t="str">
        <f>IF(AA109="","",IF(VLOOKUP(AA109,'G-3 Multipliers'!$L$3:$N$6,2,FALSE)=0,"Spatial Data Missing ⚠",VLOOKUP(AA109,'G-3 Multipliers'!$L$3:$N$6,2,FALSE)))</f>
        <v/>
      </c>
      <c r="AC109" s="524" t="str">
        <f>IF(AA109="","",IF(VLOOKUP(AA109,'G-3 Multipliers'!$L$3:$N$6,3,FALSE)=0,"Spatial Data Missing ⚠",VLOOKUP(AA109,'G-3 Multipliers'!$L$3:$N$6,3,FALSE)))</f>
        <v/>
      </c>
      <c r="AD109" s="539" t="str">
        <f t="shared" si="13"/>
        <v/>
      </c>
      <c r="AE109" s="82"/>
      <c r="AF109" s="82"/>
      <c r="AG109" s="507" t="str">
        <f t="shared" si="19"/>
        <v/>
      </c>
      <c r="AH109" s="521" t="str">
        <f t="shared" si="20"/>
        <v/>
      </c>
      <c r="AI109" s="522" t="str">
        <f>IF(AH109="Check Data","Check Data",IFERROR(VLOOKUP(AH109,'G-4 Temporal multipliers'!$A$4:$C$36,3,FALSE),""))</f>
        <v/>
      </c>
      <c r="AJ109" s="498" t="str">
        <f>IF(S109="","",VLOOKUP(S109,'G-3 Multipliers'!$A$2:$E$129,4,FALSE))</f>
        <v/>
      </c>
      <c r="AK109" s="507" t="str">
        <f t="shared" si="21"/>
        <v/>
      </c>
      <c r="AL109" s="507" t="str">
        <f t="shared" si="22"/>
        <v/>
      </c>
      <c r="AM109" s="540" t="str">
        <f>IFERROR(IF(F109="","",IF(AH109="Check Data ⚠","Check Data ⚠",VLOOKUP(AL109, 'G-3 Multipliers'!$P$2:$Q$6,2,FALSE))),"")</f>
        <v/>
      </c>
      <c r="AN109" s="513" t="str">
        <f t="shared" si="14"/>
        <v/>
      </c>
      <c r="AO109" s="239"/>
      <c r="AP109" s="240"/>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1" t="str">
        <f>'A-1 Site Habitat Baseline'!AL109</f>
        <v/>
      </c>
      <c r="F110" s="520" t="str">
        <f>IF(E110="","",IF(ISNA(VLOOKUP($E110,'A-1 Site Habitat Baseline'!$D$1:$O$258,4,FALSE)),"",(VLOOKUP($E110,'A-1 Site Habitat Baseline'!$D$1:$O$258,4,FALSE))))</f>
        <v/>
      </c>
      <c r="G110" s="520" t="str">
        <f>IF(E110="","",IF(ISNA(VLOOKUP($E110,'A-1 Site Habitat Baseline'!$D$1:$O$258,5,FALSE)),"",(VLOOKUP($E110,'A-1 Site Habitat Baseline'!$D$1:$O$258,5,FALSE))))</f>
        <v/>
      </c>
      <c r="H110" s="520" t="str">
        <f>IF(E110="","",IF(ISNA(VLOOKUP($E110,'A-1 Site Habitat Baseline'!$D$1:$O$258,6,FALSE)),"",(VLOOKUP($E110,'A-1 Site Habitat Baseline'!$D$1:$O$258,6,FALSE))))</f>
        <v/>
      </c>
      <c r="I110" s="520" t="str">
        <f>IF(E110="","",IF(ISNA(VLOOKUP($E110,'A-1 Site Habitat Baseline'!$D$1:$O$258,7,FALSE)),"",(VLOOKUP($E110,'A-1 Site Habitat Baseline'!$D$1:$O$258,7,FALSE))))</f>
        <v/>
      </c>
      <c r="J110" s="520" t="str">
        <f>IF(E110="","",IF(ISNA(VLOOKUP($E110,'A-1 Site Habitat Baseline'!$D$1:$O$258,8,FALSE)),"",(VLOOKUP($E110,'A-1 Site Habitat Baseline'!$D$1:$O$258,8,FALSE))))</f>
        <v/>
      </c>
      <c r="K110" s="520" t="str">
        <f>IF(E110="","",IF(ISNA(VLOOKUP($E110,'A-1 Site Habitat Baseline'!$D$1:$O$258,9,FALSE)),"",(VLOOKUP($E110,'A-1 Site Habitat Baseline'!$D$1:$O$258,9,FALSE))))</f>
        <v/>
      </c>
      <c r="L110" s="520" t="str">
        <f>IF(E110="","",IF(ISNA(VLOOKUP($E110,'A-1 Site Habitat Baseline'!$D$1:$O$258,11,FALSE)),"",(VLOOKUP($E110,'A-1 Site Habitat Baseline'!$D$1:$O$258,11,FALSE))))</f>
        <v/>
      </c>
      <c r="M110" s="520" t="str">
        <f>IF(E110="","",IF(ISNA(VLOOKUP($E110,'A-1 Site Habitat Baseline'!$D$1:$O$258,12,FALSE)),"",(VLOOKUP($E110,'A-1 Site Habitat Baseline'!$D$1:$O$258,12,FALSE))))</f>
        <v/>
      </c>
      <c r="N110" s="532" t="str">
        <f>IF(E110="","",IF(ISNA(VLOOKUP($E110,'A-1 Site Habitat Baseline'!$D$1:$X$258,14,FALSE)),"",(VLOOKUP($E110,'A-1 Site Habitat Baseline'!$D$1:$X$258,14,FALSE))))</f>
        <v/>
      </c>
      <c r="O110" s="524" t="str">
        <f>IF(E110="","",IF(ISNA(VLOOKUP($E110,'A-1 Site Habitat Baseline'!$D$1:$X$258,16,FALSE)),"",(VLOOKUP($E110,'A-1 Site Habitat Baseline'!$D$1:$X$258,13,FALSE))))</f>
        <v/>
      </c>
      <c r="P110" s="237" t="str">
        <f>IFERROR(INDEX('G-1 All Habitats'!$AG$3:$AG$15,MATCH(Q110,'G-1 All Habitats'!$AF$3:$AF$15,0)),"")</f>
        <v/>
      </c>
      <c r="Q110" s="238" t="str">
        <f t="shared" si="15"/>
        <v/>
      </c>
      <c r="R110" s="238" t="str">
        <f t="shared" si="16"/>
        <v/>
      </c>
      <c r="S110" s="392" t="str">
        <f>IFERROR(INDEX('G-1 All Habitats'!$B$3:$B$129,MATCH(R110,'G-1 All Habitats'!$A$3:$A$129,0)),"")</f>
        <v/>
      </c>
      <c r="T110" s="498" t="str">
        <f t="shared" si="17"/>
        <v/>
      </c>
      <c r="U110" s="499" t="str">
        <f t="shared" si="18"/>
        <v/>
      </c>
      <c r="V110" s="537" t="str">
        <f t="shared" si="12"/>
        <v/>
      </c>
      <c r="W110" s="520" t="str">
        <f>IF(S110="","",VLOOKUP(S110,'G-1 All Habitats'!$B$2:$M$129,10,FALSE))</f>
        <v/>
      </c>
      <c r="X110" s="520" t="str">
        <f>IFERROR(VLOOKUP(W110,'G-1 All Habitats'!$V$3:$W$7,2,FALSE),"")</f>
        <v/>
      </c>
      <c r="Y110" s="79"/>
      <c r="Z110" s="524" t="str">
        <f>IFERROR(INDEX('G-8 Condition Look up'!$A$3:$H$130,MATCH(S110,'G-8 Condition Look up'!$A$3:$A$130,0),MATCH(Y110,'G-8 Condition Look up'!$A$3:$H$3,0)),"")</f>
        <v/>
      </c>
      <c r="AA110" s="71"/>
      <c r="AB110" s="520" t="str">
        <f>IF(AA110="","",IF(VLOOKUP(AA110,'G-3 Multipliers'!$L$3:$N$6,2,FALSE)=0,"Spatial Data Missing ⚠",VLOOKUP(AA110,'G-3 Multipliers'!$L$3:$N$6,2,FALSE)))</f>
        <v/>
      </c>
      <c r="AC110" s="524" t="str">
        <f>IF(AA110="","",IF(VLOOKUP(AA110,'G-3 Multipliers'!$L$3:$N$6,3,FALSE)=0,"Spatial Data Missing ⚠",VLOOKUP(AA110,'G-3 Multipliers'!$L$3:$N$6,3,FALSE)))</f>
        <v/>
      </c>
      <c r="AD110" s="539" t="str">
        <f t="shared" si="13"/>
        <v/>
      </c>
      <c r="AE110" s="82"/>
      <c r="AF110" s="82"/>
      <c r="AG110" s="507" t="str">
        <f t="shared" si="19"/>
        <v/>
      </c>
      <c r="AH110" s="521" t="str">
        <f t="shared" si="20"/>
        <v/>
      </c>
      <c r="AI110" s="522" t="str">
        <f>IF(AH110="Check Data","Check Data",IFERROR(VLOOKUP(AH110,'G-4 Temporal multipliers'!$A$4:$C$36,3,FALSE),""))</f>
        <v/>
      </c>
      <c r="AJ110" s="498" t="str">
        <f>IF(S110="","",VLOOKUP(S110,'G-3 Multipliers'!$A$2:$E$129,4,FALSE))</f>
        <v/>
      </c>
      <c r="AK110" s="507" t="str">
        <f t="shared" si="21"/>
        <v/>
      </c>
      <c r="AL110" s="507" t="str">
        <f t="shared" si="22"/>
        <v/>
      </c>
      <c r="AM110" s="540" t="str">
        <f>IFERROR(IF(F110="","",IF(AH110="Check Data ⚠","Check Data ⚠",VLOOKUP(AL110, 'G-3 Multipliers'!$P$2:$Q$6,2,FALSE))),"")</f>
        <v/>
      </c>
      <c r="AN110" s="513" t="str">
        <f t="shared" si="14"/>
        <v/>
      </c>
      <c r="AO110" s="239"/>
      <c r="AP110" s="240"/>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1" t="str">
        <f>'A-1 Site Habitat Baseline'!AL110</f>
        <v/>
      </c>
      <c r="F111" s="520" t="str">
        <f>IF(E111="","",IF(ISNA(VLOOKUP($E111,'A-1 Site Habitat Baseline'!$D$1:$O$258,4,FALSE)),"",(VLOOKUP($E111,'A-1 Site Habitat Baseline'!$D$1:$O$258,4,FALSE))))</f>
        <v/>
      </c>
      <c r="G111" s="520" t="str">
        <f>IF(E111="","",IF(ISNA(VLOOKUP($E111,'A-1 Site Habitat Baseline'!$D$1:$O$258,5,FALSE)),"",(VLOOKUP($E111,'A-1 Site Habitat Baseline'!$D$1:$O$258,5,FALSE))))</f>
        <v/>
      </c>
      <c r="H111" s="520" t="str">
        <f>IF(E111="","",IF(ISNA(VLOOKUP($E111,'A-1 Site Habitat Baseline'!$D$1:$O$258,6,FALSE)),"",(VLOOKUP($E111,'A-1 Site Habitat Baseline'!$D$1:$O$258,6,FALSE))))</f>
        <v/>
      </c>
      <c r="I111" s="520" t="str">
        <f>IF(E111="","",IF(ISNA(VLOOKUP($E111,'A-1 Site Habitat Baseline'!$D$1:$O$258,7,FALSE)),"",(VLOOKUP($E111,'A-1 Site Habitat Baseline'!$D$1:$O$258,7,FALSE))))</f>
        <v/>
      </c>
      <c r="J111" s="520" t="str">
        <f>IF(E111="","",IF(ISNA(VLOOKUP($E111,'A-1 Site Habitat Baseline'!$D$1:$O$258,8,FALSE)),"",(VLOOKUP($E111,'A-1 Site Habitat Baseline'!$D$1:$O$258,8,FALSE))))</f>
        <v/>
      </c>
      <c r="K111" s="520" t="str">
        <f>IF(E111="","",IF(ISNA(VLOOKUP($E111,'A-1 Site Habitat Baseline'!$D$1:$O$258,9,FALSE)),"",(VLOOKUP($E111,'A-1 Site Habitat Baseline'!$D$1:$O$258,9,FALSE))))</f>
        <v/>
      </c>
      <c r="L111" s="520" t="str">
        <f>IF(E111="","",IF(ISNA(VLOOKUP($E111,'A-1 Site Habitat Baseline'!$D$1:$O$258,11,FALSE)),"",(VLOOKUP($E111,'A-1 Site Habitat Baseline'!$D$1:$O$258,11,FALSE))))</f>
        <v/>
      </c>
      <c r="M111" s="520" t="str">
        <f>IF(E111="","",IF(ISNA(VLOOKUP($E111,'A-1 Site Habitat Baseline'!$D$1:$O$258,12,FALSE)),"",(VLOOKUP($E111,'A-1 Site Habitat Baseline'!$D$1:$O$258,12,FALSE))))</f>
        <v/>
      </c>
      <c r="N111" s="532" t="str">
        <f>IF(E111="","",IF(ISNA(VLOOKUP($E111,'A-1 Site Habitat Baseline'!$D$1:$X$258,14,FALSE)),"",(VLOOKUP($E111,'A-1 Site Habitat Baseline'!$D$1:$X$258,14,FALSE))))</f>
        <v/>
      </c>
      <c r="O111" s="524" t="str">
        <f>IF(E111="","",IF(ISNA(VLOOKUP($E111,'A-1 Site Habitat Baseline'!$D$1:$X$258,16,FALSE)),"",(VLOOKUP($E111,'A-1 Site Habitat Baseline'!$D$1:$X$258,13,FALSE))))</f>
        <v/>
      </c>
      <c r="P111" s="237" t="str">
        <f>IFERROR(INDEX('G-1 All Habitats'!$AG$3:$AG$15,MATCH(Q111,'G-1 All Habitats'!$AF$3:$AF$15,0)),"")</f>
        <v/>
      </c>
      <c r="Q111" s="238" t="str">
        <f t="shared" si="15"/>
        <v/>
      </c>
      <c r="R111" s="238" t="str">
        <f t="shared" si="16"/>
        <v/>
      </c>
      <c r="S111" s="392" t="str">
        <f>IFERROR(INDEX('G-1 All Habitats'!$B$3:$B$129,MATCH(R111,'G-1 All Habitats'!$A$3:$A$129,0)),"")</f>
        <v/>
      </c>
      <c r="T111" s="498" t="str">
        <f t="shared" si="17"/>
        <v/>
      </c>
      <c r="U111" s="499" t="str">
        <f t="shared" si="18"/>
        <v/>
      </c>
      <c r="V111" s="537" t="str">
        <f t="shared" si="12"/>
        <v/>
      </c>
      <c r="W111" s="520" t="str">
        <f>IF(S111="","",VLOOKUP(S111,'G-1 All Habitats'!$B$2:$M$129,10,FALSE))</f>
        <v/>
      </c>
      <c r="X111" s="520" t="str">
        <f>IFERROR(VLOOKUP(W111,'G-1 All Habitats'!$V$3:$W$7,2,FALSE),"")</f>
        <v/>
      </c>
      <c r="Y111" s="79"/>
      <c r="Z111" s="524" t="str">
        <f>IFERROR(INDEX('G-8 Condition Look up'!$A$3:$H$130,MATCH(S111,'G-8 Condition Look up'!$A$3:$A$130,0),MATCH(Y111,'G-8 Condition Look up'!$A$3:$H$3,0)),"")</f>
        <v/>
      </c>
      <c r="AA111" s="71"/>
      <c r="AB111" s="520" t="str">
        <f>IF(AA111="","",IF(VLOOKUP(AA111,'G-3 Multipliers'!$L$3:$N$6,2,FALSE)=0,"Spatial Data Missing ⚠",VLOOKUP(AA111,'G-3 Multipliers'!$L$3:$N$6,2,FALSE)))</f>
        <v/>
      </c>
      <c r="AC111" s="524" t="str">
        <f>IF(AA111="","",IF(VLOOKUP(AA111,'G-3 Multipliers'!$L$3:$N$6,3,FALSE)=0,"Spatial Data Missing ⚠",VLOOKUP(AA111,'G-3 Multipliers'!$L$3:$N$6,3,FALSE)))</f>
        <v/>
      </c>
      <c r="AD111" s="539" t="str">
        <f t="shared" si="13"/>
        <v/>
      </c>
      <c r="AE111" s="82"/>
      <c r="AF111" s="82"/>
      <c r="AG111" s="507" t="str">
        <f t="shared" si="19"/>
        <v/>
      </c>
      <c r="AH111" s="521" t="str">
        <f t="shared" si="20"/>
        <v/>
      </c>
      <c r="AI111" s="522" t="str">
        <f>IF(AH111="Check Data","Check Data",IFERROR(VLOOKUP(AH111,'G-4 Temporal multipliers'!$A$4:$C$36,3,FALSE),""))</f>
        <v/>
      </c>
      <c r="AJ111" s="498" t="str">
        <f>IF(S111="","",VLOOKUP(S111,'G-3 Multipliers'!$A$2:$E$129,4,FALSE))</f>
        <v/>
      </c>
      <c r="AK111" s="507" t="str">
        <f t="shared" si="21"/>
        <v/>
      </c>
      <c r="AL111" s="507" t="str">
        <f t="shared" si="22"/>
        <v/>
      </c>
      <c r="AM111" s="540" t="str">
        <f>IFERROR(IF(F111="","",IF(AH111="Check Data ⚠","Check Data ⚠",VLOOKUP(AL111, 'G-3 Multipliers'!$P$2:$Q$6,2,FALSE))),"")</f>
        <v/>
      </c>
      <c r="AN111" s="513" t="str">
        <f t="shared" si="14"/>
        <v/>
      </c>
      <c r="AO111" s="239"/>
      <c r="AP111" s="240"/>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1" t="str">
        <f>'A-1 Site Habitat Baseline'!AL111</f>
        <v/>
      </c>
      <c r="F112" s="520" t="str">
        <f>IF(E112="","",IF(ISNA(VLOOKUP($E112,'A-1 Site Habitat Baseline'!$D$1:$O$258,4,FALSE)),"",(VLOOKUP($E112,'A-1 Site Habitat Baseline'!$D$1:$O$258,4,FALSE))))</f>
        <v/>
      </c>
      <c r="G112" s="520" t="str">
        <f>IF(E112="","",IF(ISNA(VLOOKUP($E112,'A-1 Site Habitat Baseline'!$D$1:$O$258,5,FALSE)),"",(VLOOKUP($E112,'A-1 Site Habitat Baseline'!$D$1:$O$258,5,FALSE))))</f>
        <v/>
      </c>
      <c r="H112" s="520" t="str">
        <f>IF(E112="","",IF(ISNA(VLOOKUP($E112,'A-1 Site Habitat Baseline'!$D$1:$O$258,6,FALSE)),"",(VLOOKUP($E112,'A-1 Site Habitat Baseline'!$D$1:$O$258,6,FALSE))))</f>
        <v/>
      </c>
      <c r="I112" s="520" t="str">
        <f>IF(E112="","",IF(ISNA(VLOOKUP($E112,'A-1 Site Habitat Baseline'!$D$1:$O$258,7,FALSE)),"",(VLOOKUP($E112,'A-1 Site Habitat Baseline'!$D$1:$O$258,7,FALSE))))</f>
        <v/>
      </c>
      <c r="J112" s="520" t="str">
        <f>IF(E112="","",IF(ISNA(VLOOKUP($E112,'A-1 Site Habitat Baseline'!$D$1:$O$258,8,FALSE)),"",(VLOOKUP($E112,'A-1 Site Habitat Baseline'!$D$1:$O$258,8,FALSE))))</f>
        <v/>
      </c>
      <c r="K112" s="520" t="str">
        <f>IF(E112="","",IF(ISNA(VLOOKUP($E112,'A-1 Site Habitat Baseline'!$D$1:$O$258,9,FALSE)),"",(VLOOKUP($E112,'A-1 Site Habitat Baseline'!$D$1:$O$258,9,FALSE))))</f>
        <v/>
      </c>
      <c r="L112" s="520" t="str">
        <f>IF(E112="","",IF(ISNA(VLOOKUP($E112,'A-1 Site Habitat Baseline'!$D$1:$O$258,11,FALSE)),"",(VLOOKUP($E112,'A-1 Site Habitat Baseline'!$D$1:$O$258,11,FALSE))))</f>
        <v/>
      </c>
      <c r="M112" s="520" t="str">
        <f>IF(E112="","",IF(ISNA(VLOOKUP($E112,'A-1 Site Habitat Baseline'!$D$1:$O$258,12,FALSE)),"",(VLOOKUP($E112,'A-1 Site Habitat Baseline'!$D$1:$O$258,12,FALSE))))</f>
        <v/>
      </c>
      <c r="N112" s="532" t="str">
        <f>IF(E112="","",IF(ISNA(VLOOKUP($E112,'A-1 Site Habitat Baseline'!$D$1:$X$258,14,FALSE)),"",(VLOOKUP($E112,'A-1 Site Habitat Baseline'!$D$1:$X$258,14,FALSE))))</f>
        <v/>
      </c>
      <c r="O112" s="524" t="str">
        <f>IF(E112="","",IF(ISNA(VLOOKUP($E112,'A-1 Site Habitat Baseline'!$D$1:$X$258,16,FALSE)),"",(VLOOKUP($E112,'A-1 Site Habitat Baseline'!$D$1:$X$258,13,FALSE))))</f>
        <v/>
      </c>
      <c r="P112" s="237" t="str">
        <f>IFERROR(INDEX('G-1 All Habitats'!$AG$3:$AG$15,MATCH(Q112,'G-1 All Habitats'!$AF$3:$AF$15,0)),"")</f>
        <v/>
      </c>
      <c r="Q112" s="238" t="str">
        <f t="shared" si="15"/>
        <v/>
      </c>
      <c r="R112" s="238" t="str">
        <f t="shared" si="16"/>
        <v/>
      </c>
      <c r="S112" s="392" t="str">
        <f>IFERROR(INDEX('G-1 All Habitats'!$B$3:$B$129,MATCH(R112,'G-1 All Habitats'!$A$3:$A$129,0)),"")</f>
        <v/>
      </c>
      <c r="T112" s="498" t="str">
        <f t="shared" si="17"/>
        <v/>
      </c>
      <c r="U112" s="499" t="str">
        <f t="shared" si="18"/>
        <v/>
      </c>
      <c r="V112" s="537" t="str">
        <f t="shared" si="12"/>
        <v/>
      </c>
      <c r="W112" s="520" t="str">
        <f>IF(S112="","",VLOOKUP(S112,'G-1 All Habitats'!$B$2:$M$129,10,FALSE))</f>
        <v/>
      </c>
      <c r="X112" s="520" t="str">
        <f>IFERROR(VLOOKUP(W112,'G-1 All Habitats'!$V$3:$W$7,2,FALSE),"")</f>
        <v/>
      </c>
      <c r="Y112" s="79"/>
      <c r="Z112" s="524" t="str">
        <f>IFERROR(INDEX('G-8 Condition Look up'!$A$3:$H$130,MATCH(S112,'G-8 Condition Look up'!$A$3:$A$130,0),MATCH(Y112,'G-8 Condition Look up'!$A$3:$H$3,0)),"")</f>
        <v/>
      </c>
      <c r="AA112" s="71"/>
      <c r="AB112" s="520" t="str">
        <f>IF(AA112="","",IF(VLOOKUP(AA112,'G-3 Multipliers'!$L$3:$N$6,2,FALSE)=0,"Spatial Data Missing ⚠",VLOOKUP(AA112,'G-3 Multipliers'!$L$3:$N$6,2,FALSE)))</f>
        <v/>
      </c>
      <c r="AC112" s="524" t="str">
        <f>IF(AA112="","",IF(VLOOKUP(AA112,'G-3 Multipliers'!$L$3:$N$6,3,FALSE)=0,"Spatial Data Missing ⚠",VLOOKUP(AA112,'G-3 Multipliers'!$L$3:$N$6,3,FALSE)))</f>
        <v/>
      </c>
      <c r="AD112" s="539" t="str">
        <f t="shared" si="13"/>
        <v/>
      </c>
      <c r="AE112" s="82"/>
      <c r="AF112" s="82"/>
      <c r="AG112" s="507" t="str">
        <f t="shared" si="19"/>
        <v/>
      </c>
      <c r="AH112" s="521" t="str">
        <f t="shared" si="20"/>
        <v/>
      </c>
      <c r="AI112" s="522" t="str">
        <f>IF(AH112="Check Data","Check Data",IFERROR(VLOOKUP(AH112,'G-4 Temporal multipliers'!$A$4:$C$36,3,FALSE),""))</f>
        <v/>
      </c>
      <c r="AJ112" s="498" t="str">
        <f>IF(S112="","",VLOOKUP(S112,'G-3 Multipliers'!$A$2:$E$129,4,FALSE))</f>
        <v/>
      </c>
      <c r="AK112" s="507" t="str">
        <f t="shared" si="21"/>
        <v/>
      </c>
      <c r="AL112" s="507" t="str">
        <f t="shared" si="22"/>
        <v/>
      </c>
      <c r="AM112" s="540" t="str">
        <f>IFERROR(IF(F112="","",IF(AH112="Check Data ⚠","Check Data ⚠",VLOOKUP(AL112, 'G-3 Multipliers'!$P$2:$Q$6,2,FALSE))),"")</f>
        <v/>
      </c>
      <c r="AN112" s="513" t="str">
        <f t="shared" si="14"/>
        <v/>
      </c>
      <c r="AO112" s="239"/>
      <c r="AP112" s="240"/>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1" t="str">
        <f>'A-1 Site Habitat Baseline'!AL112</f>
        <v/>
      </c>
      <c r="F113" s="520" t="str">
        <f>IF(E113="","",IF(ISNA(VLOOKUP($E113,'A-1 Site Habitat Baseline'!$D$1:$O$258,4,FALSE)),"",(VLOOKUP($E113,'A-1 Site Habitat Baseline'!$D$1:$O$258,4,FALSE))))</f>
        <v/>
      </c>
      <c r="G113" s="520" t="str">
        <f>IF(E113="","",IF(ISNA(VLOOKUP($E113,'A-1 Site Habitat Baseline'!$D$1:$O$258,5,FALSE)),"",(VLOOKUP($E113,'A-1 Site Habitat Baseline'!$D$1:$O$258,5,FALSE))))</f>
        <v/>
      </c>
      <c r="H113" s="520" t="str">
        <f>IF(E113="","",IF(ISNA(VLOOKUP($E113,'A-1 Site Habitat Baseline'!$D$1:$O$258,6,FALSE)),"",(VLOOKUP($E113,'A-1 Site Habitat Baseline'!$D$1:$O$258,6,FALSE))))</f>
        <v/>
      </c>
      <c r="I113" s="520" t="str">
        <f>IF(E113="","",IF(ISNA(VLOOKUP($E113,'A-1 Site Habitat Baseline'!$D$1:$O$258,7,FALSE)),"",(VLOOKUP($E113,'A-1 Site Habitat Baseline'!$D$1:$O$258,7,FALSE))))</f>
        <v/>
      </c>
      <c r="J113" s="520" t="str">
        <f>IF(E113="","",IF(ISNA(VLOOKUP($E113,'A-1 Site Habitat Baseline'!$D$1:$O$258,8,FALSE)),"",(VLOOKUP($E113,'A-1 Site Habitat Baseline'!$D$1:$O$258,8,FALSE))))</f>
        <v/>
      </c>
      <c r="K113" s="520" t="str">
        <f>IF(E113="","",IF(ISNA(VLOOKUP($E113,'A-1 Site Habitat Baseline'!$D$1:$O$258,9,FALSE)),"",(VLOOKUP($E113,'A-1 Site Habitat Baseline'!$D$1:$O$258,9,FALSE))))</f>
        <v/>
      </c>
      <c r="L113" s="520" t="str">
        <f>IF(E113="","",IF(ISNA(VLOOKUP($E113,'A-1 Site Habitat Baseline'!$D$1:$O$258,11,FALSE)),"",(VLOOKUP($E113,'A-1 Site Habitat Baseline'!$D$1:$O$258,11,FALSE))))</f>
        <v/>
      </c>
      <c r="M113" s="520" t="str">
        <f>IF(E113="","",IF(ISNA(VLOOKUP($E113,'A-1 Site Habitat Baseline'!$D$1:$O$258,12,FALSE)),"",(VLOOKUP($E113,'A-1 Site Habitat Baseline'!$D$1:$O$258,12,FALSE))))</f>
        <v/>
      </c>
      <c r="N113" s="532" t="str">
        <f>IF(E113="","",IF(ISNA(VLOOKUP($E113,'A-1 Site Habitat Baseline'!$D$1:$X$258,14,FALSE)),"",(VLOOKUP($E113,'A-1 Site Habitat Baseline'!$D$1:$X$258,14,FALSE))))</f>
        <v/>
      </c>
      <c r="O113" s="524" t="str">
        <f>IF(E113="","",IF(ISNA(VLOOKUP($E113,'A-1 Site Habitat Baseline'!$D$1:$X$258,16,FALSE)),"",(VLOOKUP($E113,'A-1 Site Habitat Baseline'!$D$1:$X$258,13,FALSE))))</f>
        <v/>
      </c>
      <c r="P113" s="237" t="str">
        <f>IFERROR(INDEX('G-1 All Habitats'!$AG$3:$AG$15,MATCH(Q113,'G-1 All Habitats'!$AF$3:$AF$15,0)),"")</f>
        <v/>
      </c>
      <c r="Q113" s="238" t="str">
        <f t="shared" si="15"/>
        <v/>
      </c>
      <c r="R113" s="238" t="str">
        <f t="shared" si="16"/>
        <v/>
      </c>
      <c r="S113" s="392" t="str">
        <f>IFERROR(INDEX('G-1 All Habitats'!$B$3:$B$129,MATCH(R113,'G-1 All Habitats'!$A$3:$A$129,0)),"")</f>
        <v/>
      </c>
      <c r="T113" s="498" t="str">
        <f t="shared" si="17"/>
        <v/>
      </c>
      <c r="U113" s="499" t="str">
        <f t="shared" si="18"/>
        <v/>
      </c>
      <c r="V113" s="537" t="str">
        <f t="shared" si="12"/>
        <v/>
      </c>
      <c r="W113" s="520" t="str">
        <f>IF(S113="","",VLOOKUP(S113,'G-1 All Habitats'!$B$2:$M$129,10,FALSE))</f>
        <v/>
      </c>
      <c r="X113" s="520" t="str">
        <f>IFERROR(VLOOKUP(W113,'G-1 All Habitats'!$V$3:$W$7,2,FALSE),"")</f>
        <v/>
      </c>
      <c r="Y113" s="79"/>
      <c r="Z113" s="524" t="str">
        <f>IFERROR(INDEX('G-8 Condition Look up'!$A$3:$H$130,MATCH(S113,'G-8 Condition Look up'!$A$3:$A$130,0),MATCH(Y113,'G-8 Condition Look up'!$A$3:$H$3,0)),"")</f>
        <v/>
      </c>
      <c r="AA113" s="71"/>
      <c r="AB113" s="520" t="str">
        <f>IF(AA113="","",IF(VLOOKUP(AA113,'G-3 Multipliers'!$L$3:$N$6,2,FALSE)=0,"Spatial Data Missing ⚠",VLOOKUP(AA113,'G-3 Multipliers'!$L$3:$N$6,2,FALSE)))</f>
        <v/>
      </c>
      <c r="AC113" s="524" t="str">
        <f>IF(AA113="","",IF(VLOOKUP(AA113,'G-3 Multipliers'!$L$3:$N$6,3,FALSE)=0,"Spatial Data Missing ⚠",VLOOKUP(AA113,'G-3 Multipliers'!$L$3:$N$6,3,FALSE)))</f>
        <v/>
      </c>
      <c r="AD113" s="539" t="str">
        <f t="shared" si="13"/>
        <v/>
      </c>
      <c r="AE113" s="82"/>
      <c r="AF113" s="82"/>
      <c r="AG113" s="507" t="str">
        <f t="shared" si="19"/>
        <v/>
      </c>
      <c r="AH113" s="521" t="str">
        <f t="shared" si="20"/>
        <v/>
      </c>
      <c r="AI113" s="522" t="str">
        <f>IF(AH113="Check Data","Check Data",IFERROR(VLOOKUP(AH113,'G-4 Temporal multipliers'!$A$4:$C$36,3,FALSE),""))</f>
        <v/>
      </c>
      <c r="AJ113" s="498" t="str">
        <f>IF(S113="","",VLOOKUP(S113,'G-3 Multipliers'!$A$2:$E$129,4,FALSE))</f>
        <v/>
      </c>
      <c r="AK113" s="507" t="str">
        <f t="shared" si="21"/>
        <v/>
      </c>
      <c r="AL113" s="507" t="str">
        <f t="shared" si="22"/>
        <v/>
      </c>
      <c r="AM113" s="540" t="str">
        <f>IFERROR(IF(F113="","",IF(AH113="Check Data ⚠","Check Data ⚠",VLOOKUP(AL113, 'G-3 Multipliers'!$P$2:$Q$6,2,FALSE))),"")</f>
        <v/>
      </c>
      <c r="AN113" s="513" t="str">
        <f t="shared" si="14"/>
        <v/>
      </c>
      <c r="AO113" s="239"/>
      <c r="AP113" s="240"/>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1" t="str">
        <f>'A-1 Site Habitat Baseline'!AL113</f>
        <v/>
      </c>
      <c r="F114" s="520" t="str">
        <f>IF(E114="","",IF(ISNA(VLOOKUP($E114,'A-1 Site Habitat Baseline'!$D$1:$O$258,4,FALSE)),"",(VLOOKUP($E114,'A-1 Site Habitat Baseline'!$D$1:$O$258,4,FALSE))))</f>
        <v/>
      </c>
      <c r="G114" s="520" t="str">
        <f>IF(E114="","",IF(ISNA(VLOOKUP($E114,'A-1 Site Habitat Baseline'!$D$1:$O$258,5,FALSE)),"",(VLOOKUP($E114,'A-1 Site Habitat Baseline'!$D$1:$O$258,5,FALSE))))</f>
        <v/>
      </c>
      <c r="H114" s="520" t="str">
        <f>IF(E114="","",IF(ISNA(VLOOKUP($E114,'A-1 Site Habitat Baseline'!$D$1:$O$258,6,FALSE)),"",(VLOOKUP($E114,'A-1 Site Habitat Baseline'!$D$1:$O$258,6,FALSE))))</f>
        <v/>
      </c>
      <c r="I114" s="520" t="str">
        <f>IF(E114="","",IF(ISNA(VLOOKUP($E114,'A-1 Site Habitat Baseline'!$D$1:$O$258,7,FALSE)),"",(VLOOKUP($E114,'A-1 Site Habitat Baseline'!$D$1:$O$258,7,FALSE))))</f>
        <v/>
      </c>
      <c r="J114" s="520" t="str">
        <f>IF(E114="","",IF(ISNA(VLOOKUP($E114,'A-1 Site Habitat Baseline'!$D$1:$O$258,8,FALSE)),"",(VLOOKUP($E114,'A-1 Site Habitat Baseline'!$D$1:$O$258,8,FALSE))))</f>
        <v/>
      </c>
      <c r="K114" s="520" t="str">
        <f>IF(E114="","",IF(ISNA(VLOOKUP($E114,'A-1 Site Habitat Baseline'!$D$1:$O$258,9,FALSE)),"",(VLOOKUP($E114,'A-1 Site Habitat Baseline'!$D$1:$O$258,9,FALSE))))</f>
        <v/>
      </c>
      <c r="L114" s="520" t="str">
        <f>IF(E114="","",IF(ISNA(VLOOKUP($E114,'A-1 Site Habitat Baseline'!$D$1:$O$258,11,FALSE)),"",(VLOOKUP($E114,'A-1 Site Habitat Baseline'!$D$1:$O$258,11,FALSE))))</f>
        <v/>
      </c>
      <c r="M114" s="520" t="str">
        <f>IF(E114="","",IF(ISNA(VLOOKUP($E114,'A-1 Site Habitat Baseline'!$D$1:$O$258,12,FALSE)),"",(VLOOKUP($E114,'A-1 Site Habitat Baseline'!$D$1:$O$258,12,FALSE))))</f>
        <v/>
      </c>
      <c r="N114" s="532" t="str">
        <f>IF(E114="","",IF(ISNA(VLOOKUP($E114,'A-1 Site Habitat Baseline'!$D$1:$X$258,14,FALSE)),"",(VLOOKUP($E114,'A-1 Site Habitat Baseline'!$D$1:$X$258,14,FALSE))))</f>
        <v/>
      </c>
      <c r="O114" s="524" t="str">
        <f>IF(E114="","",IF(ISNA(VLOOKUP($E114,'A-1 Site Habitat Baseline'!$D$1:$X$258,16,FALSE)),"",(VLOOKUP($E114,'A-1 Site Habitat Baseline'!$D$1:$X$258,13,FALSE))))</f>
        <v/>
      </c>
      <c r="P114" s="237" t="str">
        <f>IFERROR(INDEX('G-1 All Habitats'!$AG$3:$AG$15,MATCH(Q114,'G-1 All Habitats'!$AF$3:$AF$15,0)),"")</f>
        <v/>
      </c>
      <c r="Q114" s="238" t="str">
        <f t="shared" si="15"/>
        <v/>
      </c>
      <c r="R114" s="238" t="str">
        <f t="shared" si="16"/>
        <v/>
      </c>
      <c r="S114" s="392" t="str">
        <f>IFERROR(INDEX('G-1 All Habitats'!$B$3:$B$129,MATCH(R114,'G-1 All Habitats'!$A$3:$A$129,0)),"")</f>
        <v/>
      </c>
      <c r="T114" s="498" t="str">
        <f t="shared" si="17"/>
        <v/>
      </c>
      <c r="U114" s="499" t="str">
        <f t="shared" si="18"/>
        <v/>
      </c>
      <c r="V114" s="537" t="str">
        <f t="shared" si="12"/>
        <v/>
      </c>
      <c r="W114" s="520" t="str">
        <f>IF(S114="","",VLOOKUP(S114,'G-1 All Habitats'!$B$2:$M$129,10,FALSE))</f>
        <v/>
      </c>
      <c r="X114" s="520" t="str">
        <f>IFERROR(VLOOKUP(W114,'G-1 All Habitats'!$V$3:$W$7,2,FALSE),"")</f>
        <v/>
      </c>
      <c r="Y114" s="79"/>
      <c r="Z114" s="524" t="str">
        <f>IFERROR(INDEX('G-8 Condition Look up'!$A$3:$H$130,MATCH(S114,'G-8 Condition Look up'!$A$3:$A$130,0),MATCH(Y114,'G-8 Condition Look up'!$A$3:$H$3,0)),"")</f>
        <v/>
      </c>
      <c r="AA114" s="71"/>
      <c r="AB114" s="520" t="str">
        <f>IF(AA114="","",IF(VLOOKUP(AA114,'G-3 Multipliers'!$L$3:$N$6,2,FALSE)=0,"Spatial Data Missing ⚠",VLOOKUP(AA114,'G-3 Multipliers'!$L$3:$N$6,2,FALSE)))</f>
        <v/>
      </c>
      <c r="AC114" s="524" t="str">
        <f>IF(AA114="","",IF(VLOOKUP(AA114,'G-3 Multipliers'!$L$3:$N$6,3,FALSE)=0,"Spatial Data Missing ⚠",VLOOKUP(AA114,'G-3 Multipliers'!$L$3:$N$6,3,FALSE)))</f>
        <v/>
      </c>
      <c r="AD114" s="539" t="str">
        <f t="shared" si="13"/>
        <v/>
      </c>
      <c r="AE114" s="82"/>
      <c r="AF114" s="82"/>
      <c r="AG114" s="507" t="str">
        <f t="shared" si="19"/>
        <v/>
      </c>
      <c r="AH114" s="521" t="str">
        <f t="shared" si="20"/>
        <v/>
      </c>
      <c r="AI114" s="522" t="str">
        <f>IF(AH114="Check Data","Check Data",IFERROR(VLOOKUP(AH114,'G-4 Temporal multipliers'!$A$4:$C$36,3,FALSE),""))</f>
        <v/>
      </c>
      <c r="AJ114" s="498" t="str">
        <f>IF(S114="","",VLOOKUP(S114,'G-3 Multipliers'!$A$2:$E$129,4,FALSE))</f>
        <v/>
      </c>
      <c r="AK114" s="507" t="str">
        <f t="shared" si="21"/>
        <v/>
      </c>
      <c r="AL114" s="507" t="str">
        <f t="shared" si="22"/>
        <v/>
      </c>
      <c r="AM114" s="540" t="str">
        <f>IFERROR(IF(F114="","",IF(AH114="Check Data ⚠","Check Data ⚠",VLOOKUP(AL114, 'G-3 Multipliers'!$P$2:$Q$6,2,FALSE))),"")</f>
        <v/>
      </c>
      <c r="AN114" s="513" t="str">
        <f t="shared" si="14"/>
        <v/>
      </c>
      <c r="AO114" s="239"/>
      <c r="AP114" s="240"/>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1" t="str">
        <f>'A-1 Site Habitat Baseline'!AL114</f>
        <v/>
      </c>
      <c r="F115" s="520" t="str">
        <f>IF(E115="","",IF(ISNA(VLOOKUP($E115,'A-1 Site Habitat Baseline'!$D$1:$O$258,4,FALSE)),"",(VLOOKUP($E115,'A-1 Site Habitat Baseline'!$D$1:$O$258,4,FALSE))))</f>
        <v/>
      </c>
      <c r="G115" s="520" t="str">
        <f>IF(E115="","",IF(ISNA(VLOOKUP($E115,'A-1 Site Habitat Baseline'!$D$1:$O$258,5,FALSE)),"",(VLOOKUP($E115,'A-1 Site Habitat Baseline'!$D$1:$O$258,5,FALSE))))</f>
        <v/>
      </c>
      <c r="H115" s="520" t="str">
        <f>IF(E115="","",IF(ISNA(VLOOKUP($E115,'A-1 Site Habitat Baseline'!$D$1:$O$258,6,FALSE)),"",(VLOOKUP($E115,'A-1 Site Habitat Baseline'!$D$1:$O$258,6,FALSE))))</f>
        <v/>
      </c>
      <c r="I115" s="520" t="str">
        <f>IF(E115="","",IF(ISNA(VLOOKUP($E115,'A-1 Site Habitat Baseline'!$D$1:$O$258,7,FALSE)),"",(VLOOKUP($E115,'A-1 Site Habitat Baseline'!$D$1:$O$258,7,FALSE))))</f>
        <v/>
      </c>
      <c r="J115" s="520" t="str">
        <f>IF(E115="","",IF(ISNA(VLOOKUP($E115,'A-1 Site Habitat Baseline'!$D$1:$O$258,8,FALSE)),"",(VLOOKUP($E115,'A-1 Site Habitat Baseline'!$D$1:$O$258,8,FALSE))))</f>
        <v/>
      </c>
      <c r="K115" s="520" t="str">
        <f>IF(E115="","",IF(ISNA(VLOOKUP($E115,'A-1 Site Habitat Baseline'!$D$1:$O$258,9,FALSE)),"",(VLOOKUP($E115,'A-1 Site Habitat Baseline'!$D$1:$O$258,9,FALSE))))</f>
        <v/>
      </c>
      <c r="L115" s="520" t="str">
        <f>IF(E115="","",IF(ISNA(VLOOKUP($E115,'A-1 Site Habitat Baseline'!$D$1:$O$258,11,FALSE)),"",(VLOOKUP($E115,'A-1 Site Habitat Baseline'!$D$1:$O$258,11,FALSE))))</f>
        <v/>
      </c>
      <c r="M115" s="520" t="str">
        <f>IF(E115="","",IF(ISNA(VLOOKUP($E115,'A-1 Site Habitat Baseline'!$D$1:$O$258,12,FALSE)),"",(VLOOKUP($E115,'A-1 Site Habitat Baseline'!$D$1:$O$258,12,FALSE))))</f>
        <v/>
      </c>
      <c r="N115" s="532" t="str">
        <f>IF(E115="","",IF(ISNA(VLOOKUP($E115,'A-1 Site Habitat Baseline'!$D$1:$X$258,14,FALSE)),"",(VLOOKUP($E115,'A-1 Site Habitat Baseline'!$D$1:$X$258,14,FALSE))))</f>
        <v/>
      </c>
      <c r="O115" s="524" t="str">
        <f>IF(E115="","",IF(ISNA(VLOOKUP($E115,'A-1 Site Habitat Baseline'!$D$1:$X$258,16,FALSE)),"",(VLOOKUP($E115,'A-1 Site Habitat Baseline'!$D$1:$X$258,13,FALSE))))</f>
        <v/>
      </c>
      <c r="P115" s="237" t="str">
        <f>IFERROR(INDEX('G-1 All Habitats'!$AG$3:$AG$15,MATCH(Q115,'G-1 All Habitats'!$AF$3:$AF$15,0)),"")</f>
        <v/>
      </c>
      <c r="Q115" s="238" t="str">
        <f t="shared" si="15"/>
        <v/>
      </c>
      <c r="R115" s="238" t="str">
        <f t="shared" si="16"/>
        <v/>
      </c>
      <c r="S115" s="392" t="str">
        <f>IFERROR(INDEX('G-1 All Habitats'!$B$3:$B$129,MATCH(R115,'G-1 All Habitats'!$A$3:$A$129,0)),"")</f>
        <v/>
      </c>
      <c r="T115" s="498" t="str">
        <f t="shared" si="17"/>
        <v/>
      </c>
      <c r="U115" s="499" t="str">
        <f t="shared" si="18"/>
        <v/>
      </c>
      <c r="V115" s="537" t="str">
        <f t="shared" si="12"/>
        <v/>
      </c>
      <c r="W115" s="520" t="str">
        <f>IF(S115="","",VLOOKUP(S115,'G-1 All Habitats'!$B$2:$M$129,10,FALSE))</f>
        <v/>
      </c>
      <c r="X115" s="520" t="str">
        <f>IFERROR(VLOOKUP(W115,'G-1 All Habitats'!$V$3:$W$7,2,FALSE),"")</f>
        <v/>
      </c>
      <c r="Y115" s="79"/>
      <c r="Z115" s="524" t="str">
        <f>IFERROR(INDEX('G-8 Condition Look up'!$A$3:$H$130,MATCH(S115,'G-8 Condition Look up'!$A$3:$A$130,0),MATCH(Y115,'G-8 Condition Look up'!$A$3:$H$3,0)),"")</f>
        <v/>
      </c>
      <c r="AA115" s="71"/>
      <c r="AB115" s="520" t="str">
        <f>IF(AA115="","",IF(VLOOKUP(AA115,'G-3 Multipliers'!$L$3:$N$6,2,FALSE)=0,"Spatial Data Missing ⚠",VLOOKUP(AA115,'G-3 Multipliers'!$L$3:$N$6,2,FALSE)))</f>
        <v/>
      </c>
      <c r="AC115" s="524" t="str">
        <f>IF(AA115="","",IF(VLOOKUP(AA115,'G-3 Multipliers'!$L$3:$N$6,3,FALSE)=0,"Spatial Data Missing ⚠",VLOOKUP(AA115,'G-3 Multipliers'!$L$3:$N$6,3,FALSE)))</f>
        <v/>
      </c>
      <c r="AD115" s="539" t="str">
        <f t="shared" si="13"/>
        <v/>
      </c>
      <c r="AE115" s="82"/>
      <c r="AF115" s="82"/>
      <c r="AG115" s="507" t="str">
        <f t="shared" si="19"/>
        <v/>
      </c>
      <c r="AH115" s="521" t="str">
        <f t="shared" si="20"/>
        <v/>
      </c>
      <c r="AI115" s="522" t="str">
        <f>IF(AH115="Check Data","Check Data",IFERROR(VLOOKUP(AH115,'G-4 Temporal multipliers'!$A$4:$C$36,3,FALSE),""))</f>
        <v/>
      </c>
      <c r="AJ115" s="498" t="str">
        <f>IF(S115="","",VLOOKUP(S115,'G-3 Multipliers'!$A$2:$E$129,4,FALSE))</f>
        <v/>
      </c>
      <c r="AK115" s="507" t="str">
        <f t="shared" si="21"/>
        <v/>
      </c>
      <c r="AL115" s="507" t="str">
        <f t="shared" si="22"/>
        <v/>
      </c>
      <c r="AM115" s="540" t="str">
        <f>IFERROR(IF(F115="","",IF(AH115="Check Data ⚠","Check Data ⚠",VLOOKUP(AL115, 'G-3 Multipliers'!$P$2:$Q$6,2,FALSE))),"")</f>
        <v/>
      </c>
      <c r="AN115" s="513" t="str">
        <f t="shared" si="14"/>
        <v/>
      </c>
      <c r="AO115" s="239"/>
      <c r="AP115" s="240"/>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1" t="str">
        <f>'A-1 Site Habitat Baseline'!AL115</f>
        <v/>
      </c>
      <c r="F116" s="520" t="str">
        <f>IF(E116="","",IF(ISNA(VLOOKUP($E116,'A-1 Site Habitat Baseline'!$D$1:$O$258,4,FALSE)),"",(VLOOKUP($E116,'A-1 Site Habitat Baseline'!$D$1:$O$258,4,FALSE))))</f>
        <v/>
      </c>
      <c r="G116" s="520" t="str">
        <f>IF(E116="","",IF(ISNA(VLOOKUP($E116,'A-1 Site Habitat Baseline'!$D$1:$O$258,5,FALSE)),"",(VLOOKUP($E116,'A-1 Site Habitat Baseline'!$D$1:$O$258,5,FALSE))))</f>
        <v/>
      </c>
      <c r="H116" s="520" t="str">
        <f>IF(E116="","",IF(ISNA(VLOOKUP($E116,'A-1 Site Habitat Baseline'!$D$1:$O$258,6,FALSE)),"",(VLOOKUP($E116,'A-1 Site Habitat Baseline'!$D$1:$O$258,6,FALSE))))</f>
        <v/>
      </c>
      <c r="I116" s="520" t="str">
        <f>IF(E116="","",IF(ISNA(VLOOKUP($E116,'A-1 Site Habitat Baseline'!$D$1:$O$258,7,FALSE)),"",(VLOOKUP($E116,'A-1 Site Habitat Baseline'!$D$1:$O$258,7,FALSE))))</f>
        <v/>
      </c>
      <c r="J116" s="520" t="str">
        <f>IF(E116="","",IF(ISNA(VLOOKUP($E116,'A-1 Site Habitat Baseline'!$D$1:$O$258,8,FALSE)),"",(VLOOKUP($E116,'A-1 Site Habitat Baseline'!$D$1:$O$258,8,FALSE))))</f>
        <v/>
      </c>
      <c r="K116" s="520" t="str">
        <f>IF(E116="","",IF(ISNA(VLOOKUP($E116,'A-1 Site Habitat Baseline'!$D$1:$O$258,9,FALSE)),"",(VLOOKUP($E116,'A-1 Site Habitat Baseline'!$D$1:$O$258,9,FALSE))))</f>
        <v/>
      </c>
      <c r="L116" s="520" t="str">
        <f>IF(E116="","",IF(ISNA(VLOOKUP($E116,'A-1 Site Habitat Baseline'!$D$1:$O$258,11,FALSE)),"",(VLOOKUP($E116,'A-1 Site Habitat Baseline'!$D$1:$O$258,11,FALSE))))</f>
        <v/>
      </c>
      <c r="M116" s="520" t="str">
        <f>IF(E116="","",IF(ISNA(VLOOKUP($E116,'A-1 Site Habitat Baseline'!$D$1:$O$258,12,FALSE)),"",(VLOOKUP($E116,'A-1 Site Habitat Baseline'!$D$1:$O$258,12,FALSE))))</f>
        <v/>
      </c>
      <c r="N116" s="532" t="str">
        <f>IF(E116="","",IF(ISNA(VLOOKUP($E116,'A-1 Site Habitat Baseline'!$D$1:$X$258,14,FALSE)),"",(VLOOKUP($E116,'A-1 Site Habitat Baseline'!$D$1:$X$258,14,FALSE))))</f>
        <v/>
      </c>
      <c r="O116" s="524" t="str">
        <f>IF(E116="","",IF(ISNA(VLOOKUP($E116,'A-1 Site Habitat Baseline'!$D$1:$X$258,16,FALSE)),"",(VLOOKUP($E116,'A-1 Site Habitat Baseline'!$D$1:$X$258,13,FALSE))))</f>
        <v/>
      </c>
      <c r="P116" s="237" t="str">
        <f>IFERROR(INDEX('G-1 All Habitats'!$AG$3:$AG$15,MATCH(Q116,'G-1 All Habitats'!$AF$3:$AF$15,0)),"")</f>
        <v/>
      </c>
      <c r="Q116" s="238" t="str">
        <f t="shared" si="15"/>
        <v/>
      </c>
      <c r="R116" s="238" t="str">
        <f t="shared" si="16"/>
        <v/>
      </c>
      <c r="S116" s="392" t="str">
        <f>IFERROR(INDEX('G-1 All Habitats'!$B$3:$B$129,MATCH(R116,'G-1 All Habitats'!$A$3:$A$129,0)),"")</f>
        <v/>
      </c>
      <c r="T116" s="498" t="str">
        <f t="shared" si="17"/>
        <v/>
      </c>
      <c r="U116" s="499" t="str">
        <f t="shared" si="18"/>
        <v/>
      </c>
      <c r="V116" s="537" t="str">
        <f t="shared" si="12"/>
        <v/>
      </c>
      <c r="W116" s="520" t="str">
        <f>IF(S116="","",VLOOKUP(S116,'G-1 All Habitats'!$B$2:$M$129,10,FALSE))</f>
        <v/>
      </c>
      <c r="X116" s="520" t="str">
        <f>IFERROR(VLOOKUP(W116,'G-1 All Habitats'!$V$3:$W$7,2,FALSE),"")</f>
        <v/>
      </c>
      <c r="Y116" s="79"/>
      <c r="Z116" s="524" t="str">
        <f>IFERROR(INDEX('G-8 Condition Look up'!$A$3:$H$130,MATCH(S116,'G-8 Condition Look up'!$A$3:$A$130,0),MATCH(Y116,'G-8 Condition Look up'!$A$3:$H$3,0)),"")</f>
        <v/>
      </c>
      <c r="AA116" s="71"/>
      <c r="AB116" s="520" t="str">
        <f>IF(AA116="","",IF(VLOOKUP(AA116,'G-3 Multipliers'!$L$3:$N$6,2,FALSE)=0,"Spatial Data Missing ⚠",VLOOKUP(AA116,'G-3 Multipliers'!$L$3:$N$6,2,FALSE)))</f>
        <v/>
      </c>
      <c r="AC116" s="524" t="str">
        <f>IF(AA116="","",IF(VLOOKUP(AA116,'G-3 Multipliers'!$L$3:$N$6,3,FALSE)=0,"Spatial Data Missing ⚠",VLOOKUP(AA116,'G-3 Multipliers'!$L$3:$N$6,3,FALSE)))</f>
        <v/>
      </c>
      <c r="AD116" s="539" t="str">
        <f t="shared" si="13"/>
        <v/>
      </c>
      <c r="AE116" s="82"/>
      <c r="AF116" s="82"/>
      <c r="AG116" s="507" t="str">
        <f t="shared" si="19"/>
        <v/>
      </c>
      <c r="AH116" s="521" t="str">
        <f t="shared" si="20"/>
        <v/>
      </c>
      <c r="AI116" s="522" t="str">
        <f>IF(AH116="Check Data","Check Data",IFERROR(VLOOKUP(AH116,'G-4 Temporal multipliers'!$A$4:$C$36,3,FALSE),""))</f>
        <v/>
      </c>
      <c r="AJ116" s="498" t="str">
        <f>IF(S116="","",VLOOKUP(S116,'G-3 Multipliers'!$A$2:$E$129,4,FALSE))</f>
        <v/>
      </c>
      <c r="AK116" s="507" t="str">
        <f t="shared" si="21"/>
        <v/>
      </c>
      <c r="AL116" s="507" t="str">
        <f t="shared" si="22"/>
        <v/>
      </c>
      <c r="AM116" s="540" t="str">
        <f>IFERROR(IF(F116="","",IF(AH116="Check Data ⚠","Check Data ⚠",VLOOKUP(AL116, 'G-3 Multipliers'!$P$2:$Q$6,2,FALSE))),"")</f>
        <v/>
      </c>
      <c r="AN116" s="513" t="str">
        <f t="shared" si="14"/>
        <v/>
      </c>
      <c r="AO116" s="239"/>
      <c r="AP116" s="240"/>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1" t="str">
        <f>'A-1 Site Habitat Baseline'!AL116</f>
        <v/>
      </c>
      <c r="F117" s="520" t="str">
        <f>IF(E117="","",IF(ISNA(VLOOKUP($E117,'A-1 Site Habitat Baseline'!$D$1:$O$258,4,FALSE)),"",(VLOOKUP($E117,'A-1 Site Habitat Baseline'!$D$1:$O$258,4,FALSE))))</f>
        <v/>
      </c>
      <c r="G117" s="520" t="str">
        <f>IF(E117="","",IF(ISNA(VLOOKUP($E117,'A-1 Site Habitat Baseline'!$D$1:$O$258,5,FALSE)),"",(VLOOKUP($E117,'A-1 Site Habitat Baseline'!$D$1:$O$258,5,FALSE))))</f>
        <v/>
      </c>
      <c r="H117" s="520" t="str">
        <f>IF(E117="","",IF(ISNA(VLOOKUP($E117,'A-1 Site Habitat Baseline'!$D$1:$O$258,6,FALSE)),"",(VLOOKUP($E117,'A-1 Site Habitat Baseline'!$D$1:$O$258,6,FALSE))))</f>
        <v/>
      </c>
      <c r="I117" s="520" t="str">
        <f>IF(E117="","",IF(ISNA(VLOOKUP($E117,'A-1 Site Habitat Baseline'!$D$1:$O$258,7,FALSE)),"",(VLOOKUP($E117,'A-1 Site Habitat Baseline'!$D$1:$O$258,7,FALSE))))</f>
        <v/>
      </c>
      <c r="J117" s="520" t="str">
        <f>IF(E117="","",IF(ISNA(VLOOKUP($E117,'A-1 Site Habitat Baseline'!$D$1:$O$258,8,FALSE)),"",(VLOOKUP($E117,'A-1 Site Habitat Baseline'!$D$1:$O$258,8,FALSE))))</f>
        <v/>
      </c>
      <c r="K117" s="520" t="str">
        <f>IF(E117="","",IF(ISNA(VLOOKUP($E117,'A-1 Site Habitat Baseline'!$D$1:$O$258,9,FALSE)),"",(VLOOKUP($E117,'A-1 Site Habitat Baseline'!$D$1:$O$258,9,FALSE))))</f>
        <v/>
      </c>
      <c r="L117" s="520" t="str">
        <f>IF(E117="","",IF(ISNA(VLOOKUP($E117,'A-1 Site Habitat Baseline'!$D$1:$O$258,11,FALSE)),"",(VLOOKUP($E117,'A-1 Site Habitat Baseline'!$D$1:$O$258,11,FALSE))))</f>
        <v/>
      </c>
      <c r="M117" s="520" t="str">
        <f>IF(E117="","",IF(ISNA(VLOOKUP($E117,'A-1 Site Habitat Baseline'!$D$1:$O$258,12,FALSE)),"",(VLOOKUP($E117,'A-1 Site Habitat Baseline'!$D$1:$O$258,12,FALSE))))</f>
        <v/>
      </c>
      <c r="N117" s="532" t="str">
        <f>IF(E117="","",IF(ISNA(VLOOKUP($E117,'A-1 Site Habitat Baseline'!$D$1:$X$258,14,FALSE)),"",(VLOOKUP($E117,'A-1 Site Habitat Baseline'!$D$1:$X$258,14,FALSE))))</f>
        <v/>
      </c>
      <c r="O117" s="524" t="str">
        <f>IF(E117="","",IF(ISNA(VLOOKUP($E117,'A-1 Site Habitat Baseline'!$D$1:$X$258,16,FALSE)),"",(VLOOKUP($E117,'A-1 Site Habitat Baseline'!$D$1:$X$258,13,FALSE))))</f>
        <v/>
      </c>
      <c r="P117" s="237" t="str">
        <f>IFERROR(INDEX('G-1 All Habitats'!$AG$3:$AG$15,MATCH(Q117,'G-1 All Habitats'!$AF$3:$AF$15,0)),"")</f>
        <v/>
      </c>
      <c r="Q117" s="238" t="str">
        <f t="shared" si="15"/>
        <v/>
      </c>
      <c r="R117" s="238" t="str">
        <f t="shared" si="16"/>
        <v/>
      </c>
      <c r="S117" s="392" t="str">
        <f>IFERROR(INDEX('G-1 All Habitats'!$B$3:$B$129,MATCH(R117,'G-1 All Habitats'!$A$3:$A$129,0)),"")</f>
        <v/>
      </c>
      <c r="T117" s="498" t="str">
        <f t="shared" si="17"/>
        <v/>
      </c>
      <c r="U117" s="499" t="str">
        <f t="shared" si="18"/>
        <v/>
      </c>
      <c r="V117" s="537" t="str">
        <f t="shared" si="12"/>
        <v/>
      </c>
      <c r="W117" s="520" t="str">
        <f>IF(S117="","",VLOOKUP(S117,'G-1 All Habitats'!$B$2:$M$129,10,FALSE))</f>
        <v/>
      </c>
      <c r="X117" s="520" t="str">
        <f>IFERROR(VLOOKUP(W117,'G-1 All Habitats'!$V$3:$W$7,2,FALSE),"")</f>
        <v/>
      </c>
      <c r="Y117" s="79"/>
      <c r="Z117" s="524" t="str">
        <f>IFERROR(INDEX('G-8 Condition Look up'!$A$3:$H$130,MATCH(S117,'G-8 Condition Look up'!$A$3:$A$130,0),MATCH(Y117,'G-8 Condition Look up'!$A$3:$H$3,0)),"")</f>
        <v/>
      </c>
      <c r="AA117" s="71"/>
      <c r="AB117" s="520" t="str">
        <f>IF(AA117="","",IF(VLOOKUP(AA117,'G-3 Multipliers'!$L$3:$N$6,2,FALSE)=0,"Spatial Data Missing ⚠",VLOOKUP(AA117,'G-3 Multipliers'!$L$3:$N$6,2,FALSE)))</f>
        <v/>
      </c>
      <c r="AC117" s="524" t="str">
        <f>IF(AA117="","",IF(VLOOKUP(AA117,'G-3 Multipliers'!$L$3:$N$6,3,FALSE)=0,"Spatial Data Missing ⚠",VLOOKUP(AA117,'G-3 Multipliers'!$L$3:$N$6,3,FALSE)))</f>
        <v/>
      </c>
      <c r="AD117" s="539" t="str">
        <f t="shared" si="13"/>
        <v/>
      </c>
      <c r="AE117" s="82"/>
      <c r="AF117" s="82"/>
      <c r="AG117" s="507" t="str">
        <f t="shared" si="19"/>
        <v/>
      </c>
      <c r="AH117" s="521" t="str">
        <f t="shared" si="20"/>
        <v/>
      </c>
      <c r="AI117" s="522" t="str">
        <f>IF(AH117="Check Data","Check Data",IFERROR(VLOOKUP(AH117,'G-4 Temporal multipliers'!$A$4:$C$36,3,FALSE),""))</f>
        <v/>
      </c>
      <c r="AJ117" s="498" t="str">
        <f>IF(S117="","",VLOOKUP(S117,'G-3 Multipliers'!$A$2:$E$129,4,FALSE))</f>
        <v/>
      </c>
      <c r="AK117" s="507" t="str">
        <f t="shared" si="21"/>
        <v/>
      </c>
      <c r="AL117" s="507" t="str">
        <f t="shared" si="22"/>
        <v/>
      </c>
      <c r="AM117" s="540" t="str">
        <f>IFERROR(IF(F117="","",IF(AH117="Check Data ⚠","Check Data ⚠",VLOOKUP(AL117, 'G-3 Multipliers'!$P$2:$Q$6,2,FALSE))),"")</f>
        <v/>
      </c>
      <c r="AN117" s="513" t="str">
        <f t="shared" si="14"/>
        <v/>
      </c>
      <c r="AO117" s="239"/>
      <c r="AP117" s="240"/>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1" t="str">
        <f>'A-1 Site Habitat Baseline'!AL117</f>
        <v/>
      </c>
      <c r="F118" s="520" t="str">
        <f>IF(E118="","",IF(ISNA(VLOOKUP($E118,'A-1 Site Habitat Baseline'!$D$1:$O$258,4,FALSE)),"",(VLOOKUP($E118,'A-1 Site Habitat Baseline'!$D$1:$O$258,4,FALSE))))</f>
        <v/>
      </c>
      <c r="G118" s="520" t="str">
        <f>IF(E118="","",IF(ISNA(VLOOKUP($E118,'A-1 Site Habitat Baseline'!$D$1:$O$258,5,FALSE)),"",(VLOOKUP($E118,'A-1 Site Habitat Baseline'!$D$1:$O$258,5,FALSE))))</f>
        <v/>
      </c>
      <c r="H118" s="520" t="str">
        <f>IF(E118="","",IF(ISNA(VLOOKUP($E118,'A-1 Site Habitat Baseline'!$D$1:$O$258,6,FALSE)),"",(VLOOKUP($E118,'A-1 Site Habitat Baseline'!$D$1:$O$258,6,FALSE))))</f>
        <v/>
      </c>
      <c r="I118" s="520" t="str">
        <f>IF(E118="","",IF(ISNA(VLOOKUP($E118,'A-1 Site Habitat Baseline'!$D$1:$O$258,7,FALSE)),"",(VLOOKUP($E118,'A-1 Site Habitat Baseline'!$D$1:$O$258,7,FALSE))))</f>
        <v/>
      </c>
      <c r="J118" s="520" t="str">
        <f>IF(E118="","",IF(ISNA(VLOOKUP($E118,'A-1 Site Habitat Baseline'!$D$1:$O$258,8,FALSE)),"",(VLOOKUP($E118,'A-1 Site Habitat Baseline'!$D$1:$O$258,8,FALSE))))</f>
        <v/>
      </c>
      <c r="K118" s="520" t="str">
        <f>IF(E118="","",IF(ISNA(VLOOKUP($E118,'A-1 Site Habitat Baseline'!$D$1:$O$258,9,FALSE)),"",(VLOOKUP($E118,'A-1 Site Habitat Baseline'!$D$1:$O$258,9,FALSE))))</f>
        <v/>
      </c>
      <c r="L118" s="520" t="str">
        <f>IF(E118="","",IF(ISNA(VLOOKUP($E118,'A-1 Site Habitat Baseline'!$D$1:$O$258,11,FALSE)),"",(VLOOKUP($E118,'A-1 Site Habitat Baseline'!$D$1:$O$258,11,FALSE))))</f>
        <v/>
      </c>
      <c r="M118" s="520" t="str">
        <f>IF(E118="","",IF(ISNA(VLOOKUP($E118,'A-1 Site Habitat Baseline'!$D$1:$O$258,12,FALSE)),"",(VLOOKUP($E118,'A-1 Site Habitat Baseline'!$D$1:$O$258,12,FALSE))))</f>
        <v/>
      </c>
      <c r="N118" s="532" t="str">
        <f>IF(E118="","",IF(ISNA(VLOOKUP($E118,'A-1 Site Habitat Baseline'!$D$1:$X$258,14,FALSE)),"",(VLOOKUP($E118,'A-1 Site Habitat Baseline'!$D$1:$X$258,14,FALSE))))</f>
        <v/>
      </c>
      <c r="O118" s="524" t="str">
        <f>IF(E118="","",IF(ISNA(VLOOKUP($E118,'A-1 Site Habitat Baseline'!$D$1:$X$258,16,FALSE)),"",(VLOOKUP($E118,'A-1 Site Habitat Baseline'!$D$1:$X$258,13,FALSE))))</f>
        <v/>
      </c>
      <c r="P118" s="237" t="str">
        <f>IFERROR(INDEX('G-1 All Habitats'!$AG$3:$AG$15,MATCH(Q118,'G-1 All Habitats'!$AF$3:$AF$15,0)),"")</f>
        <v/>
      </c>
      <c r="Q118" s="238" t="str">
        <f t="shared" si="15"/>
        <v/>
      </c>
      <c r="R118" s="238" t="str">
        <f t="shared" si="16"/>
        <v/>
      </c>
      <c r="S118" s="392" t="str">
        <f>IFERROR(INDEX('G-1 All Habitats'!$B$3:$B$129,MATCH(R118,'G-1 All Habitats'!$A$3:$A$129,0)),"")</f>
        <v/>
      </c>
      <c r="T118" s="498" t="str">
        <f t="shared" si="17"/>
        <v/>
      </c>
      <c r="U118" s="499" t="str">
        <f t="shared" si="18"/>
        <v/>
      </c>
      <c r="V118" s="537" t="str">
        <f t="shared" si="12"/>
        <v/>
      </c>
      <c r="W118" s="520" t="str">
        <f>IF(S118="","",VLOOKUP(S118,'G-1 All Habitats'!$B$2:$M$129,10,FALSE))</f>
        <v/>
      </c>
      <c r="X118" s="520" t="str">
        <f>IFERROR(VLOOKUP(W118,'G-1 All Habitats'!$V$3:$W$7,2,FALSE),"")</f>
        <v/>
      </c>
      <c r="Y118" s="79"/>
      <c r="Z118" s="524" t="str">
        <f>IFERROR(INDEX('G-8 Condition Look up'!$A$3:$H$130,MATCH(S118,'G-8 Condition Look up'!$A$3:$A$130,0),MATCH(Y118,'G-8 Condition Look up'!$A$3:$H$3,0)),"")</f>
        <v/>
      </c>
      <c r="AA118" s="71"/>
      <c r="AB118" s="520" t="str">
        <f>IF(AA118="","",IF(VLOOKUP(AA118,'G-3 Multipliers'!$L$3:$N$6,2,FALSE)=0,"Spatial Data Missing ⚠",VLOOKUP(AA118,'G-3 Multipliers'!$L$3:$N$6,2,FALSE)))</f>
        <v/>
      </c>
      <c r="AC118" s="524" t="str">
        <f>IF(AA118="","",IF(VLOOKUP(AA118,'G-3 Multipliers'!$L$3:$N$6,3,FALSE)=0,"Spatial Data Missing ⚠",VLOOKUP(AA118,'G-3 Multipliers'!$L$3:$N$6,3,FALSE)))</f>
        <v/>
      </c>
      <c r="AD118" s="539" t="str">
        <f t="shared" si="13"/>
        <v/>
      </c>
      <c r="AE118" s="82"/>
      <c r="AF118" s="82"/>
      <c r="AG118" s="507" t="str">
        <f t="shared" si="19"/>
        <v/>
      </c>
      <c r="AH118" s="521" t="str">
        <f t="shared" si="20"/>
        <v/>
      </c>
      <c r="AI118" s="522" t="str">
        <f>IF(AH118="Check Data","Check Data",IFERROR(VLOOKUP(AH118,'G-4 Temporal multipliers'!$A$4:$C$36,3,FALSE),""))</f>
        <v/>
      </c>
      <c r="AJ118" s="498" t="str">
        <f>IF(S118="","",VLOOKUP(S118,'G-3 Multipliers'!$A$2:$E$129,4,FALSE))</f>
        <v/>
      </c>
      <c r="AK118" s="507" t="str">
        <f t="shared" si="21"/>
        <v/>
      </c>
      <c r="AL118" s="507" t="str">
        <f t="shared" si="22"/>
        <v/>
      </c>
      <c r="AM118" s="540" t="str">
        <f>IFERROR(IF(F118="","",IF(AH118="Check Data ⚠","Check Data ⚠",VLOOKUP(AL118, 'G-3 Multipliers'!$P$2:$Q$6,2,FALSE))),"")</f>
        <v/>
      </c>
      <c r="AN118" s="513" t="str">
        <f t="shared" si="14"/>
        <v/>
      </c>
      <c r="AO118" s="239"/>
      <c r="AP118" s="240"/>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1" t="str">
        <f>'A-1 Site Habitat Baseline'!AL118</f>
        <v/>
      </c>
      <c r="F119" s="520" t="str">
        <f>IF(E119="","",IF(ISNA(VLOOKUP($E119,'A-1 Site Habitat Baseline'!$D$1:$O$258,4,FALSE)),"",(VLOOKUP($E119,'A-1 Site Habitat Baseline'!$D$1:$O$258,4,FALSE))))</f>
        <v/>
      </c>
      <c r="G119" s="520" t="str">
        <f>IF(E119="","",IF(ISNA(VLOOKUP($E119,'A-1 Site Habitat Baseline'!$D$1:$O$258,5,FALSE)),"",(VLOOKUP($E119,'A-1 Site Habitat Baseline'!$D$1:$O$258,5,FALSE))))</f>
        <v/>
      </c>
      <c r="H119" s="520" t="str">
        <f>IF(E119="","",IF(ISNA(VLOOKUP($E119,'A-1 Site Habitat Baseline'!$D$1:$O$258,6,FALSE)),"",(VLOOKUP($E119,'A-1 Site Habitat Baseline'!$D$1:$O$258,6,FALSE))))</f>
        <v/>
      </c>
      <c r="I119" s="520" t="str">
        <f>IF(E119="","",IF(ISNA(VLOOKUP($E119,'A-1 Site Habitat Baseline'!$D$1:$O$258,7,FALSE)),"",(VLOOKUP($E119,'A-1 Site Habitat Baseline'!$D$1:$O$258,7,FALSE))))</f>
        <v/>
      </c>
      <c r="J119" s="520" t="str">
        <f>IF(E119="","",IF(ISNA(VLOOKUP($E119,'A-1 Site Habitat Baseline'!$D$1:$O$258,8,FALSE)),"",(VLOOKUP($E119,'A-1 Site Habitat Baseline'!$D$1:$O$258,8,FALSE))))</f>
        <v/>
      </c>
      <c r="K119" s="520" t="str">
        <f>IF(E119="","",IF(ISNA(VLOOKUP($E119,'A-1 Site Habitat Baseline'!$D$1:$O$258,9,FALSE)),"",(VLOOKUP($E119,'A-1 Site Habitat Baseline'!$D$1:$O$258,9,FALSE))))</f>
        <v/>
      </c>
      <c r="L119" s="520" t="str">
        <f>IF(E119="","",IF(ISNA(VLOOKUP($E119,'A-1 Site Habitat Baseline'!$D$1:$O$258,11,FALSE)),"",(VLOOKUP($E119,'A-1 Site Habitat Baseline'!$D$1:$O$258,11,FALSE))))</f>
        <v/>
      </c>
      <c r="M119" s="520" t="str">
        <f>IF(E119="","",IF(ISNA(VLOOKUP($E119,'A-1 Site Habitat Baseline'!$D$1:$O$258,12,FALSE)),"",(VLOOKUP($E119,'A-1 Site Habitat Baseline'!$D$1:$O$258,12,FALSE))))</f>
        <v/>
      </c>
      <c r="N119" s="532" t="str">
        <f>IF(E119="","",IF(ISNA(VLOOKUP($E119,'A-1 Site Habitat Baseline'!$D$1:$X$258,14,FALSE)),"",(VLOOKUP($E119,'A-1 Site Habitat Baseline'!$D$1:$X$258,14,FALSE))))</f>
        <v/>
      </c>
      <c r="O119" s="524" t="str">
        <f>IF(E119="","",IF(ISNA(VLOOKUP($E119,'A-1 Site Habitat Baseline'!$D$1:$X$258,16,FALSE)),"",(VLOOKUP($E119,'A-1 Site Habitat Baseline'!$D$1:$X$258,13,FALSE))))</f>
        <v/>
      </c>
      <c r="P119" s="237" t="str">
        <f>IFERROR(INDEX('G-1 All Habitats'!$AG$3:$AG$15,MATCH(Q119,'G-1 All Habitats'!$AF$3:$AF$15,0)),"")</f>
        <v/>
      </c>
      <c r="Q119" s="238" t="str">
        <f t="shared" si="15"/>
        <v/>
      </c>
      <c r="R119" s="238" t="str">
        <f t="shared" si="16"/>
        <v/>
      </c>
      <c r="S119" s="392" t="str">
        <f>IFERROR(INDEX('G-1 All Habitats'!$B$3:$B$129,MATCH(R119,'G-1 All Habitats'!$A$3:$A$129,0)),"")</f>
        <v/>
      </c>
      <c r="T119" s="498" t="str">
        <f t="shared" si="17"/>
        <v/>
      </c>
      <c r="U119" s="499" t="str">
        <f t="shared" si="18"/>
        <v/>
      </c>
      <c r="V119" s="537" t="str">
        <f t="shared" si="12"/>
        <v/>
      </c>
      <c r="W119" s="520" t="str">
        <f>IF(S119="","",VLOOKUP(S119,'G-1 All Habitats'!$B$2:$M$129,10,FALSE))</f>
        <v/>
      </c>
      <c r="X119" s="520" t="str">
        <f>IFERROR(VLOOKUP(W119,'G-1 All Habitats'!$V$3:$W$7,2,FALSE),"")</f>
        <v/>
      </c>
      <c r="Y119" s="79"/>
      <c r="Z119" s="524" t="str">
        <f>IFERROR(INDEX('G-8 Condition Look up'!$A$3:$H$130,MATCH(S119,'G-8 Condition Look up'!$A$3:$A$130,0),MATCH(Y119,'G-8 Condition Look up'!$A$3:$H$3,0)),"")</f>
        <v/>
      </c>
      <c r="AA119" s="71"/>
      <c r="AB119" s="520" t="str">
        <f>IF(AA119="","",IF(VLOOKUP(AA119,'G-3 Multipliers'!$L$3:$N$6,2,FALSE)=0,"Spatial Data Missing ⚠",VLOOKUP(AA119,'G-3 Multipliers'!$L$3:$N$6,2,FALSE)))</f>
        <v/>
      </c>
      <c r="AC119" s="524" t="str">
        <f>IF(AA119="","",IF(VLOOKUP(AA119,'G-3 Multipliers'!$L$3:$N$6,3,FALSE)=0,"Spatial Data Missing ⚠",VLOOKUP(AA119,'G-3 Multipliers'!$L$3:$N$6,3,FALSE)))</f>
        <v/>
      </c>
      <c r="AD119" s="539" t="str">
        <f t="shared" si="13"/>
        <v/>
      </c>
      <c r="AE119" s="82"/>
      <c r="AF119" s="82"/>
      <c r="AG119" s="507" t="str">
        <f t="shared" si="19"/>
        <v/>
      </c>
      <c r="AH119" s="521" t="str">
        <f t="shared" si="20"/>
        <v/>
      </c>
      <c r="AI119" s="522" t="str">
        <f>IF(AH119="Check Data","Check Data",IFERROR(VLOOKUP(AH119,'G-4 Temporal multipliers'!$A$4:$C$36,3,FALSE),""))</f>
        <v/>
      </c>
      <c r="AJ119" s="498" t="str">
        <f>IF(S119="","",VLOOKUP(S119,'G-3 Multipliers'!$A$2:$E$129,4,FALSE))</f>
        <v/>
      </c>
      <c r="AK119" s="507" t="str">
        <f t="shared" si="21"/>
        <v/>
      </c>
      <c r="AL119" s="507" t="str">
        <f t="shared" si="22"/>
        <v/>
      </c>
      <c r="AM119" s="540" t="str">
        <f>IFERROR(IF(F119="","",IF(AH119="Check Data ⚠","Check Data ⚠",VLOOKUP(AL119, 'G-3 Multipliers'!$P$2:$Q$6,2,FALSE))),"")</f>
        <v/>
      </c>
      <c r="AN119" s="513" t="str">
        <f t="shared" si="14"/>
        <v/>
      </c>
      <c r="AO119" s="239"/>
      <c r="AP119" s="240"/>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1" t="str">
        <f>'A-1 Site Habitat Baseline'!AL119</f>
        <v/>
      </c>
      <c r="F120" s="520" t="str">
        <f>IF(E120="","",IF(ISNA(VLOOKUP($E120,'A-1 Site Habitat Baseline'!$D$1:$O$258,4,FALSE)),"",(VLOOKUP($E120,'A-1 Site Habitat Baseline'!$D$1:$O$258,4,FALSE))))</f>
        <v/>
      </c>
      <c r="G120" s="520" t="str">
        <f>IF(E120="","",IF(ISNA(VLOOKUP($E120,'A-1 Site Habitat Baseline'!$D$1:$O$258,5,FALSE)),"",(VLOOKUP($E120,'A-1 Site Habitat Baseline'!$D$1:$O$258,5,FALSE))))</f>
        <v/>
      </c>
      <c r="H120" s="520" t="str">
        <f>IF(E120="","",IF(ISNA(VLOOKUP($E120,'A-1 Site Habitat Baseline'!$D$1:$O$258,6,FALSE)),"",(VLOOKUP($E120,'A-1 Site Habitat Baseline'!$D$1:$O$258,6,FALSE))))</f>
        <v/>
      </c>
      <c r="I120" s="520" t="str">
        <f>IF(E120="","",IF(ISNA(VLOOKUP($E120,'A-1 Site Habitat Baseline'!$D$1:$O$258,7,FALSE)),"",(VLOOKUP($E120,'A-1 Site Habitat Baseline'!$D$1:$O$258,7,FALSE))))</f>
        <v/>
      </c>
      <c r="J120" s="520" t="str">
        <f>IF(E120="","",IF(ISNA(VLOOKUP($E120,'A-1 Site Habitat Baseline'!$D$1:$O$258,8,FALSE)),"",(VLOOKUP($E120,'A-1 Site Habitat Baseline'!$D$1:$O$258,8,FALSE))))</f>
        <v/>
      </c>
      <c r="K120" s="520" t="str">
        <f>IF(E120="","",IF(ISNA(VLOOKUP($E120,'A-1 Site Habitat Baseline'!$D$1:$O$258,9,FALSE)),"",(VLOOKUP($E120,'A-1 Site Habitat Baseline'!$D$1:$O$258,9,FALSE))))</f>
        <v/>
      </c>
      <c r="L120" s="520" t="str">
        <f>IF(E120="","",IF(ISNA(VLOOKUP($E120,'A-1 Site Habitat Baseline'!$D$1:$O$258,11,FALSE)),"",(VLOOKUP($E120,'A-1 Site Habitat Baseline'!$D$1:$O$258,11,FALSE))))</f>
        <v/>
      </c>
      <c r="M120" s="520" t="str">
        <f>IF(E120="","",IF(ISNA(VLOOKUP($E120,'A-1 Site Habitat Baseline'!$D$1:$O$258,12,FALSE)),"",(VLOOKUP($E120,'A-1 Site Habitat Baseline'!$D$1:$O$258,12,FALSE))))</f>
        <v/>
      </c>
      <c r="N120" s="532" t="str">
        <f>IF(E120="","",IF(ISNA(VLOOKUP($E120,'A-1 Site Habitat Baseline'!$D$1:$X$258,14,FALSE)),"",(VLOOKUP($E120,'A-1 Site Habitat Baseline'!$D$1:$X$258,14,FALSE))))</f>
        <v/>
      </c>
      <c r="O120" s="524" t="str">
        <f>IF(E120="","",IF(ISNA(VLOOKUP($E120,'A-1 Site Habitat Baseline'!$D$1:$X$258,16,FALSE)),"",(VLOOKUP($E120,'A-1 Site Habitat Baseline'!$D$1:$X$258,13,FALSE))))</f>
        <v/>
      </c>
      <c r="P120" s="237" t="str">
        <f>IFERROR(INDEX('G-1 All Habitats'!$AG$3:$AG$15,MATCH(Q120,'G-1 All Habitats'!$AF$3:$AF$15,0)),"")</f>
        <v/>
      </c>
      <c r="Q120" s="238" t="str">
        <f t="shared" si="15"/>
        <v/>
      </c>
      <c r="R120" s="238" t="str">
        <f t="shared" si="16"/>
        <v/>
      </c>
      <c r="S120" s="392" t="str">
        <f>IFERROR(INDEX('G-1 All Habitats'!$B$3:$B$129,MATCH(R120,'G-1 All Habitats'!$A$3:$A$129,0)),"")</f>
        <v/>
      </c>
      <c r="T120" s="498" t="str">
        <f t="shared" si="17"/>
        <v/>
      </c>
      <c r="U120" s="499" t="str">
        <f t="shared" si="18"/>
        <v/>
      </c>
      <c r="V120" s="537" t="str">
        <f t="shared" si="12"/>
        <v/>
      </c>
      <c r="W120" s="520" t="str">
        <f>IF(S120="","",VLOOKUP(S120,'G-1 All Habitats'!$B$2:$M$129,10,FALSE))</f>
        <v/>
      </c>
      <c r="X120" s="520" t="str">
        <f>IFERROR(VLOOKUP(W120,'G-1 All Habitats'!$V$3:$W$7,2,FALSE),"")</f>
        <v/>
      </c>
      <c r="Y120" s="79"/>
      <c r="Z120" s="524" t="str">
        <f>IFERROR(INDEX('G-8 Condition Look up'!$A$3:$H$130,MATCH(S120,'G-8 Condition Look up'!$A$3:$A$130,0),MATCH(Y120,'G-8 Condition Look up'!$A$3:$H$3,0)),"")</f>
        <v/>
      </c>
      <c r="AA120" s="71"/>
      <c r="AB120" s="520" t="str">
        <f>IF(AA120="","",IF(VLOOKUP(AA120,'G-3 Multipliers'!$L$3:$N$6,2,FALSE)=0,"Spatial Data Missing ⚠",VLOOKUP(AA120,'G-3 Multipliers'!$L$3:$N$6,2,FALSE)))</f>
        <v/>
      </c>
      <c r="AC120" s="524" t="str">
        <f>IF(AA120="","",IF(VLOOKUP(AA120,'G-3 Multipliers'!$L$3:$N$6,3,FALSE)=0,"Spatial Data Missing ⚠",VLOOKUP(AA120,'G-3 Multipliers'!$L$3:$N$6,3,FALSE)))</f>
        <v/>
      </c>
      <c r="AD120" s="539" t="str">
        <f t="shared" si="13"/>
        <v/>
      </c>
      <c r="AE120" s="82"/>
      <c r="AF120" s="82"/>
      <c r="AG120" s="507" t="str">
        <f t="shared" si="19"/>
        <v/>
      </c>
      <c r="AH120" s="521" t="str">
        <f t="shared" si="20"/>
        <v/>
      </c>
      <c r="AI120" s="522" t="str">
        <f>IF(AH120="Check Data","Check Data",IFERROR(VLOOKUP(AH120,'G-4 Temporal multipliers'!$A$4:$C$36,3,FALSE),""))</f>
        <v/>
      </c>
      <c r="AJ120" s="498" t="str">
        <f>IF(S120="","",VLOOKUP(S120,'G-3 Multipliers'!$A$2:$E$129,4,FALSE))</f>
        <v/>
      </c>
      <c r="AK120" s="507" t="str">
        <f t="shared" si="21"/>
        <v/>
      </c>
      <c r="AL120" s="507" t="str">
        <f t="shared" si="22"/>
        <v/>
      </c>
      <c r="AM120" s="540" t="str">
        <f>IFERROR(IF(F120="","",IF(AH120="Check Data ⚠","Check Data ⚠",VLOOKUP(AL120, 'G-3 Multipliers'!$P$2:$Q$6,2,FALSE))),"")</f>
        <v/>
      </c>
      <c r="AN120" s="513" t="str">
        <f t="shared" si="14"/>
        <v/>
      </c>
      <c r="AO120" s="239"/>
      <c r="AP120" s="240"/>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1" t="str">
        <f>'A-1 Site Habitat Baseline'!AL120</f>
        <v/>
      </c>
      <c r="F121" s="520" t="str">
        <f>IF(E121="","",IF(ISNA(VLOOKUP($E121,'A-1 Site Habitat Baseline'!$D$1:$O$258,4,FALSE)),"",(VLOOKUP($E121,'A-1 Site Habitat Baseline'!$D$1:$O$258,4,FALSE))))</f>
        <v/>
      </c>
      <c r="G121" s="520" t="str">
        <f>IF(E121="","",IF(ISNA(VLOOKUP($E121,'A-1 Site Habitat Baseline'!$D$1:$O$258,5,FALSE)),"",(VLOOKUP($E121,'A-1 Site Habitat Baseline'!$D$1:$O$258,5,FALSE))))</f>
        <v/>
      </c>
      <c r="H121" s="520" t="str">
        <f>IF(E121="","",IF(ISNA(VLOOKUP($E121,'A-1 Site Habitat Baseline'!$D$1:$O$258,6,FALSE)),"",(VLOOKUP($E121,'A-1 Site Habitat Baseline'!$D$1:$O$258,6,FALSE))))</f>
        <v/>
      </c>
      <c r="I121" s="520" t="str">
        <f>IF(E121="","",IF(ISNA(VLOOKUP($E121,'A-1 Site Habitat Baseline'!$D$1:$O$258,7,FALSE)),"",(VLOOKUP($E121,'A-1 Site Habitat Baseline'!$D$1:$O$258,7,FALSE))))</f>
        <v/>
      </c>
      <c r="J121" s="520" t="str">
        <f>IF(E121="","",IF(ISNA(VLOOKUP($E121,'A-1 Site Habitat Baseline'!$D$1:$O$258,8,FALSE)),"",(VLOOKUP($E121,'A-1 Site Habitat Baseline'!$D$1:$O$258,8,FALSE))))</f>
        <v/>
      </c>
      <c r="K121" s="520" t="str">
        <f>IF(E121="","",IF(ISNA(VLOOKUP($E121,'A-1 Site Habitat Baseline'!$D$1:$O$258,9,FALSE)),"",(VLOOKUP($E121,'A-1 Site Habitat Baseline'!$D$1:$O$258,9,FALSE))))</f>
        <v/>
      </c>
      <c r="L121" s="520" t="str">
        <f>IF(E121="","",IF(ISNA(VLOOKUP($E121,'A-1 Site Habitat Baseline'!$D$1:$O$258,11,FALSE)),"",(VLOOKUP($E121,'A-1 Site Habitat Baseline'!$D$1:$O$258,11,FALSE))))</f>
        <v/>
      </c>
      <c r="M121" s="520" t="str">
        <f>IF(E121="","",IF(ISNA(VLOOKUP($E121,'A-1 Site Habitat Baseline'!$D$1:$O$258,12,FALSE)),"",(VLOOKUP($E121,'A-1 Site Habitat Baseline'!$D$1:$O$258,12,FALSE))))</f>
        <v/>
      </c>
      <c r="N121" s="532" t="str">
        <f>IF(E121="","",IF(ISNA(VLOOKUP($E121,'A-1 Site Habitat Baseline'!$D$1:$X$258,14,FALSE)),"",(VLOOKUP($E121,'A-1 Site Habitat Baseline'!$D$1:$X$258,14,FALSE))))</f>
        <v/>
      </c>
      <c r="O121" s="524" t="str">
        <f>IF(E121="","",IF(ISNA(VLOOKUP($E121,'A-1 Site Habitat Baseline'!$D$1:$X$258,16,FALSE)),"",(VLOOKUP($E121,'A-1 Site Habitat Baseline'!$D$1:$X$258,13,FALSE))))</f>
        <v/>
      </c>
      <c r="P121" s="237" t="str">
        <f>IFERROR(INDEX('G-1 All Habitats'!$AG$3:$AG$15,MATCH(Q121,'G-1 All Habitats'!$AF$3:$AF$15,0)),"")</f>
        <v/>
      </c>
      <c r="Q121" s="238" t="str">
        <f t="shared" si="15"/>
        <v/>
      </c>
      <c r="R121" s="238" t="str">
        <f t="shared" si="16"/>
        <v/>
      </c>
      <c r="S121" s="392" t="str">
        <f>IFERROR(INDEX('G-1 All Habitats'!$B$3:$B$129,MATCH(R121,'G-1 All Habitats'!$A$3:$A$129,0)),"")</f>
        <v/>
      </c>
      <c r="T121" s="498" t="str">
        <f t="shared" si="17"/>
        <v/>
      </c>
      <c r="U121" s="499" t="str">
        <f t="shared" si="18"/>
        <v/>
      </c>
      <c r="V121" s="537" t="str">
        <f t="shared" si="12"/>
        <v/>
      </c>
      <c r="W121" s="520" t="str">
        <f>IF(S121="","",VLOOKUP(S121,'G-1 All Habitats'!$B$2:$M$129,10,FALSE))</f>
        <v/>
      </c>
      <c r="X121" s="520" t="str">
        <f>IFERROR(VLOOKUP(W121,'G-1 All Habitats'!$V$3:$W$7,2,FALSE),"")</f>
        <v/>
      </c>
      <c r="Y121" s="79"/>
      <c r="Z121" s="524" t="str">
        <f>IFERROR(INDEX('G-8 Condition Look up'!$A$3:$H$130,MATCH(S121,'G-8 Condition Look up'!$A$3:$A$130,0),MATCH(Y121,'G-8 Condition Look up'!$A$3:$H$3,0)),"")</f>
        <v/>
      </c>
      <c r="AA121" s="71"/>
      <c r="AB121" s="520" t="str">
        <f>IF(AA121="","",IF(VLOOKUP(AA121,'G-3 Multipliers'!$L$3:$N$6,2,FALSE)=0,"Spatial Data Missing ⚠",VLOOKUP(AA121,'G-3 Multipliers'!$L$3:$N$6,2,FALSE)))</f>
        <v/>
      </c>
      <c r="AC121" s="524" t="str">
        <f>IF(AA121="","",IF(VLOOKUP(AA121,'G-3 Multipliers'!$L$3:$N$6,3,FALSE)=0,"Spatial Data Missing ⚠",VLOOKUP(AA121,'G-3 Multipliers'!$L$3:$N$6,3,FALSE)))</f>
        <v/>
      </c>
      <c r="AD121" s="539" t="str">
        <f t="shared" si="13"/>
        <v/>
      </c>
      <c r="AE121" s="82"/>
      <c r="AF121" s="82"/>
      <c r="AG121" s="507" t="str">
        <f t="shared" si="19"/>
        <v/>
      </c>
      <c r="AH121" s="521" t="str">
        <f t="shared" si="20"/>
        <v/>
      </c>
      <c r="AI121" s="522" t="str">
        <f>IF(AH121="Check Data","Check Data",IFERROR(VLOOKUP(AH121,'G-4 Temporal multipliers'!$A$4:$C$36,3,FALSE),""))</f>
        <v/>
      </c>
      <c r="AJ121" s="498" t="str">
        <f>IF(S121="","",VLOOKUP(S121,'G-3 Multipliers'!$A$2:$E$129,4,FALSE))</f>
        <v/>
      </c>
      <c r="AK121" s="507" t="str">
        <f t="shared" si="21"/>
        <v/>
      </c>
      <c r="AL121" s="507" t="str">
        <f t="shared" si="22"/>
        <v/>
      </c>
      <c r="AM121" s="540" t="str">
        <f>IFERROR(IF(F121="","",IF(AH121="Check Data ⚠","Check Data ⚠",VLOOKUP(AL121, 'G-3 Multipliers'!$P$2:$Q$6,2,FALSE))),"")</f>
        <v/>
      </c>
      <c r="AN121" s="513" t="str">
        <f t="shared" si="14"/>
        <v/>
      </c>
      <c r="AO121" s="239"/>
      <c r="AP121" s="240"/>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1" t="str">
        <f>'A-1 Site Habitat Baseline'!AL121</f>
        <v/>
      </c>
      <c r="F122" s="520" t="str">
        <f>IF(E122="","",IF(ISNA(VLOOKUP($E122,'A-1 Site Habitat Baseline'!$D$1:$O$258,4,FALSE)),"",(VLOOKUP($E122,'A-1 Site Habitat Baseline'!$D$1:$O$258,4,FALSE))))</f>
        <v/>
      </c>
      <c r="G122" s="520" t="str">
        <f>IF(E122="","",IF(ISNA(VLOOKUP($E122,'A-1 Site Habitat Baseline'!$D$1:$O$258,5,FALSE)),"",(VLOOKUP($E122,'A-1 Site Habitat Baseline'!$D$1:$O$258,5,FALSE))))</f>
        <v/>
      </c>
      <c r="H122" s="520" t="str">
        <f>IF(E122="","",IF(ISNA(VLOOKUP($E122,'A-1 Site Habitat Baseline'!$D$1:$O$258,6,FALSE)),"",(VLOOKUP($E122,'A-1 Site Habitat Baseline'!$D$1:$O$258,6,FALSE))))</f>
        <v/>
      </c>
      <c r="I122" s="520" t="str">
        <f>IF(E122="","",IF(ISNA(VLOOKUP($E122,'A-1 Site Habitat Baseline'!$D$1:$O$258,7,FALSE)),"",(VLOOKUP($E122,'A-1 Site Habitat Baseline'!$D$1:$O$258,7,FALSE))))</f>
        <v/>
      </c>
      <c r="J122" s="520" t="str">
        <f>IF(E122="","",IF(ISNA(VLOOKUP($E122,'A-1 Site Habitat Baseline'!$D$1:$O$258,8,FALSE)),"",(VLOOKUP($E122,'A-1 Site Habitat Baseline'!$D$1:$O$258,8,FALSE))))</f>
        <v/>
      </c>
      <c r="K122" s="520" t="str">
        <f>IF(E122="","",IF(ISNA(VLOOKUP($E122,'A-1 Site Habitat Baseline'!$D$1:$O$258,9,FALSE)),"",(VLOOKUP($E122,'A-1 Site Habitat Baseline'!$D$1:$O$258,9,FALSE))))</f>
        <v/>
      </c>
      <c r="L122" s="520" t="str">
        <f>IF(E122="","",IF(ISNA(VLOOKUP($E122,'A-1 Site Habitat Baseline'!$D$1:$O$258,11,FALSE)),"",(VLOOKUP($E122,'A-1 Site Habitat Baseline'!$D$1:$O$258,11,FALSE))))</f>
        <v/>
      </c>
      <c r="M122" s="520" t="str">
        <f>IF(E122="","",IF(ISNA(VLOOKUP($E122,'A-1 Site Habitat Baseline'!$D$1:$O$258,12,FALSE)),"",(VLOOKUP($E122,'A-1 Site Habitat Baseline'!$D$1:$O$258,12,FALSE))))</f>
        <v/>
      </c>
      <c r="N122" s="532" t="str">
        <f>IF(E122="","",IF(ISNA(VLOOKUP($E122,'A-1 Site Habitat Baseline'!$D$1:$X$258,14,FALSE)),"",(VLOOKUP($E122,'A-1 Site Habitat Baseline'!$D$1:$X$258,14,FALSE))))</f>
        <v/>
      </c>
      <c r="O122" s="524" t="str">
        <f>IF(E122="","",IF(ISNA(VLOOKUP($E122,'A-1 Site Habitat Baseline'!$D$1:$X$258,16,FALSE)),"",(VLOOKUP($E122,'A-1 Site Habitat Baseline'!$D$1:$X$258,13,FALSE))))</f>
        <v/>
      </c>
      <c r="P122" s="237" t="str">
        <f>IFERROR(INDEX('G-1 All Habitats'!$AG$3:$AG$15,MATCH(Q122,'G-1 All Habitats'!$AF$3:$AF$15,0)),"")</f>
        <v/>
      </c>
      <c r="Q122" s="238" t="str">
        <f t="shared" si="15"/>
        <v/>
      </c>
      <c r="R122" s="238" t="str">
        <f t="shared" si="16"/>
        <v/>
      </c>
      <c r="S122" s="392" t="str">
        <f>IFERROR(INDEX('G-1 All Habitats'!$B$3:$B$129,MATCH(R122,'G-1 All Habitats'!$A$3:$A$129,0)),"")</f>
        <v/>
      </c>
      <c r="T122" s="498" t="str">
        <f t="shared" si="17"/>
        <v/>
      </c>
      <c r="U122" s="499" t="str">
        <f t="shared" si="18"/>
        <v/>
      </c>
      <c r="V122" s="537" t="str">
        <f t="shared" si="12"/>
        <v/>
      </c>
      <c r="W122" s="520" t="str">
        <f>IF(S122="","",VLOOKUP(S122,'G-1 All Habitats'!$B$2:$M$129,10,FALSE))</f>
        <v/>
      </c>
      <c r="X122" s="520" t="str">
        <f>IFERROR(VLOOKUP(W122,'G-1 All Habitats'!$V$3:$W$7,2,FALSE),"")</f>
        <v/>
      </c>
      <c r="Y122" s="79"/>
      <c r="Z122" s="524" t="str">
        <f>IFERROR(INDEX('G-8 Condition Look up'!$A$3:$H$130,MATCH(S122,'G-8 Condition Look up'!$A$3:$A$130,0),MATCH(Y122,'G-8 Condition Look up'!$A$3:$H$3,0)),"")</f>
        <v/>
      </c>
      <c r="AA122" s="71"/>
      <c r="AB122" s="520" t="str">
        <f>IF(AA122="","",IF(VLOOKUP(AA122,'G-3 Multipliers'!$L$3:$N$6,2,FALSE)=0,"Spatial Data Missing ⚠",VLOOKUP(AA122,'G-3 Multipliers'!$L$3:$N$6,2,FALSE)))</f>
        <v/>
      </c>
      <c r="AC122" s="524" t="str">
        <f>IF(AA122="","",IF(VLOOKUP(AA122,'G-3 Multipliers'!$L$3:$N$6,3,FALSE)=0,"Spatial Data Missing ⚠",VLOOKUP(AA122,'G-3 Multipliers'!$L$3:$N$6,3,FALSE)))</f>
        <v/>
      </c>
      <c r="AD122" s="539" t="str">
        <f t="shared" si="13"/>
        <v/>
      </c>
      <c r="AE122" s="82"/>
      <c r="AF122" s="82"/>
      <c r="AG122" s="507" t="str">
        <f t="shared" si="19"/>
        <v/>
      </c>
      <c r="AH122" s="521" t="str">
        <f t="shared" si="20"/>
        <v/>
      </c>
      <c r="AI122" s="522" t="str">
        <f>IF(AH122="Check Data","Check Data",IFERROR(VLOOKUP(AH122,'G-4 Temporal multipliers'!$A$4:$C$36,3,FALSE),""))</f>
        <v/>
      </c>
      <c r="AJ122" s="498" t="str">
        <f>IF(S122="","",VLOOKUP(S122,'G-3 Multipliers'!$A$2:$E$129,4,FALSE))</f>
        <v/>
      </c>
      <c r="AK122" s="507" t="str">
        <f t="shared" si="21"/>
        <v/>
      </c>
      <c r="AL122" s="507" t="str">
        <f t="shared" si="22"/>
        <v/>
      </c>
      <c r="AM122" s="540" t="str">
        <f>IFERROR(IF(F122="","",IF(AH122="Check Data ⚠","Check Data ⚠",VLOOKUP(AL122, 'G-3 Multipliers'!$P$2:$Q$6,2,FALSE))),"")</f>
        <v/>
      </c>
      <c r="AN122" s="513" t="str">
        <f t="shared" si="14"/>
        <v/>
      </c>
      <c r="AO122" s="239"/>
      <c r="AP122" s="240"/>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1" t="str">
        <f>'A-1 Site Habitat Baseline'!AL122</f>
        <v/>
      </c>
      <c r="F123" s="520" t="str">
        <f>IF(E123="","",IF(ISNA(VLOOKUP($E123,'A-1 Site Habitat Baseline'!$D$1:$O$258,4,FALSE)),"",(VLOOKUP($E123,'A-1 Site Habitat Baseline'!$D$1:$O$258,4,FALSE))))</f>
        <v/>
      </c>
      <c r="G123" s="520" t="str">
        <f>IF(E123="","",IF(ISNA(VLOOKUP($E123,'A-1 Site Habitat Baseline'!$D$1:$O$258,5,FALSE)),"",(VLOOKUP($E123,'A-1 Site Habitat Baseline'!$D$1:$O$258,5,FALSE))))</f>
        <v/>
      </c>
      <c r="H123" s="520" t="str">
        <f>IF(E123="","",IF(ISNA(VLOOKUP($E123,'A-1 Site Habitat Baseline'!$D$1:$O$258,6,FALSE)),"",(VLOOKUP($E123,'A-1 Site Habitat Baseline'!$D$1:$O$258,6,FALSE))))</f>
        <v/>
      </c>
      <c r="I123" s="520" t="str">
        <f>IF(E123="","",IF(ISNA(VLOOKUP($E123,'A-1 Site Habitat Baseline'!$D$1:$O$258,7,FALSE)),"",(VLOOKUP($E123,'A-1 Site Habitat Baseline'!$D$1:$O$258,7,FALSE))))</f>
        <v/>
      </c>
      <c r="J123" s="520" t="str">
        <f>IF(E123="","",IF(ISNA(VLOOKUP($E123,'A-1 Site Habitat Baseline'!$D$1:$O$258,8,FALSE)),"",(VLOOKUP($E123,'A-1 Site Habitat Baseline'!$D$1:$O$258,8,FALSE))))</f>
        <v/>
      </c>
      <c r="K123" s="520" t="str">
        <f>IF(E123="","",IF(ISNA(VLOOKUP($E123,'A-1 Site Habitat Baseline'!$D$1:$O$258,9,FALSE)),"",(VLOOKUP($E123,'A-1 Site Habitat Baseline'!$D$1:$O$258,9,FALSE))))</f>
        <v/>
      </c>
      <c r="L123" s="520" t="str">
        <f>IF(E123="","",IF(ISNA(VLOOKUP($E123,'A-1 Site Habitat Baseline'!$D$1:$O$258,11,FALSE)),"",(VLOOKUP($E123,'A-1 Site Habitat Baseline'!$D$1:$O$258,11,FALSE))))</f>
        <v/>
      </c>
      <c r="M123" s="520" t="str">
        <f>IF(E123="","",IF(ISNA(VLOOKUP($E123,'A-1 Site Habitat Baseline'!$D$1:$O$258,12,FALSE)),"",(VLOOKUP($E123,'A-1 Site Habitat Baseline'!$D$1:$O$258,12,FALSE))))</f>
        <v/>
      </c>
      <c r="N123" s="532" t="str">
        <f>IF(E123="","",IF(ISNA(VLOOKUP($E123,'A-1 Site Habitat Baseline'!$D$1:$X$258,14,FALSE)),"",(VLOOKUP($E123,'A-1 Site Habitat Baseline'!$D$1:$X$258,14,FALSE))))</f>
        <v/>
      </c>
      <c r="O123" s="524" t="str">
        <f>IF(E123="","",IF(ISNA(VLOOKUP($E123,'A-1 Site Habitat Baseline'!$D$1:$X$258,16,FALSE)),"",(VLOOKUP($E123,'A-1 Site Habitat Baseline'!$D$1:$X$258,13,FALSE))))</f>
        <v/>
      </c>
      <c r="P123" s="237" t="str">
        <f>IFERROR(INDEX('G-1 All Habitats'!$AG$3:$AG$15,MATCH(Q123,'G-1 All Habitats'!$AF$3:$AF$15,0)),"")</f>
        <v/>
      </c>
      <c r="Q123" s="238" t="str">
        <f t="shared" si="15"/>
        <v/>
      </c>
      <c r="R123" s="238" t="str">
        <f t="shared" si="16"/>
        <v/>
      </c>
      <c r="S123" s="392" t="str">
        <f>IFERROR(INDEX('G-1 All Habitats'!$B$3:$B$129,MATCH(R123,'G-1 All Habitats'!$A$3:$A$129,0)),"")</f>
        <v/>
      </c>
      <c r="T123" s="498" t="str">
        <f t="shared" si="17"/>
        <v/>
      </c>
      <c r="U123" s="499" t="str">
        <f t="shared" si="18"/>
        <v/>
      </c>
      <c r="V123" s="537" t="str">
        <f t="shared" si="12"/>
        <v/>
      </c>
      <c r="W123" s="520" t="str">
        <f>IF(S123="","",VLOOKUP(S123,'G-1 All Habitats'!$B$2:$M$129,10,FALSE))</f>
        <v/>
      </c>
      <c r="X123" s="520" t="str">
        <f>IFERROR(VLOOKUP(W123,'G-1 All Habitats'!$V$3:$W$7,2,FALSE),"")</f>
        <v/>
      </c>
      <c r="Y123" s="79"/>
      <c r="Z123" s="524" t="str">
        <f>IFERROR(INDEX('G-8 Condition Look up'!$A$3:$H$130,MATCH(S123,'G-8 Condition Look up'!$A$3:$A$130,0),MATCH(Y123,'G-8 Condition Look up'!$A$3:$H$3,0)),"")</f>
        <v/>
      </c>
      <c r="AA123" s="71"/>
      <c r="AB123" s="520" t="str">
        <f>IF(AA123="","",IF(VLOOKUP(AA123,'G-3 Multipliers'!$L$3:$N$6,2,FALSE)=0,"Spatial Data Missing ⚠",VLOOKUP(AA123,'G-3 Multipliers'!$L$3:$N$6,2,FALSE)))</f>
        <v/>
      </c>
      <c r="AC123" s="524" t="str">
        <f>IF(AA123="","",IF(VLOOKUP(AA123,'G-3 Multipliers'!$L$3:$N$6,3,FALSE)=0,"Spatial Data Missing ⚠",VLOOKUP(AA123,'G-3 Multipliers'!$L$3:$N$6,3,FALSE)))</f>
        <v/>
      </c>
      <c r="AD123" s="539" t="str">
        <f t="shared" si="13"/>
        <v/>
      </c>
      <c r="AE123" s="82"/>
      <c r="AF123" s="82"/>
      <c r="AG123" s="507" t="str">
        <f t="shared" si="19"/>
        <v/>
      </c>
      <c r="AH123" s="521" t="str">
        <f t="shared" si="20"/>
        <v/>
      </c>
      <c r="AI123" s="522" t="str">
        <f>IF(AH123="Check Data","Check Data",IFERROR(VLOOKUP(AH123,'G-4 Temporal multipliers'!$A$4:$C$36,3,FALSE),""))</f>
        <v/>
      </c>
      <c r="AJ123" s="498" t="str">
        <f>IF(S123="","",VLOOKUP(S123,'G-3 Multipliers'!$A$2:$E$129,4,FALSE))</f>
        <v/>
      </c>
      <c r="AK123" s="507" t="str">
        <f t="shared" si="21"/>
        <v/>
      </c>
      <c r="AL123" s="507" t="str">
        <f t="shared" si="22"/>
        <v/>
      </c>
      <c r="AM123" s="540" t="str">
        <f>IFERROR(IF(F123="","",IF(AH123="Check Data ⚠","Check Data ⚠",VLOOKUP(AL123, 'G-3 Multipliers'!$P$2:$Q$6,2,FALSE))),"")</f>
        <v/>
      </c>
      <c r="AN123" s="513" t="str">
        <f t="shared" si="14"/>
        <v/>
      </c>
      <c r="AO123" s="239"/>
      <c r="AP123" s="240"/>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1" t="str">
        <f>'A-1 Site Habitat Baseline'!AL123</f>
        <v/>
      </c>
      <c r="F124" s="520" t="str">
        <f>IF(E124="","",IF(ISNA(VLOOKUP($E124,'A-1 Site Habitat Baseline'!$D$1:$O$258,4,FALSE)),"",(VLOOKUP($E124,'A-1 Site Habitat Baseline'!$D$1:$O$258,4,FALSE))))</f>
        <v/>
      </c>
      <c r="G124" s="520" t="str">
        <f>IF(E124="","",IF(ISNA(VLOOKUP($E124,'A-1 Site Habitat Baseline'!$D$1:$O$258,5,FALSE)),"",(VLOOKUP($E124,'A-1 Site Habitat Baseline'!$D$1:$O$258,5,FALSE))))</f>
        <v/>
      </c>
      <c r="H124" s="520" t="str">
        <f>IF(E124="","",IF(ISNA(VLOOKUP($E124,'A-1 Site Habitat Baseline'!$D$1:$O$258,6,FALSE)),"",(VLOOKUP($E124,'A-1 Site Habitat Baseline'!$D$1:$O$258,6,FALSE))))</f>
        <v/>
      </c>
      <c r="I124" s="520" t="str">
        <f>IF(E124="","",IF(ISNA(VLOOKUP($E124,'A-1 Site Habitat Baseline'!$D$1:$O$258,7,FALSE)),"",(VLOOKUP($E124,'A-1 Site Habitat Baseline'!$D$1:$O$258,7,FALSE))))</f>
        <v/>
      </c>
      <c r="J124" s="520" t="str">
        <f>IF(E124="","",IF(ISNA(VLOOKUP($E124,'A-1 Site Habitat Baseline'!$D$1:$O$258,8,FALSE)),"",(VLOOKUP($E124,'A-1 Site Habitat Baseline'!$D$1:$O$258,8,FALSE))))</f>
        <v/>
      </c>
      <c r="K124" s="520" t="str">
        <f>IF(E124="","",IF(ISNA(VLOOKUP($E124,'A-1 Site Habitat Baseline'!$D$1:$O$258,9,FALSE)),"",(VLOOKUP($E124,'A-1 Site Habitat Baseline'!$D$1:$O$258,9,FALSE))))</f>
        <v/>
      </c>
      <c r="L124" s="520" t="str">
        <f>IF(E124="","",IF(ISNA(VLOOKUP($E124,'A-1 Site Habitat Baseline'!$D$1:$O$258,11,FALSE)),"",(VLOOKUP($E124,'A-1 Site Habitat Baseline'!$D$1:$O$258,11,FALSE))))</f>
        <v/>
      </c>
      <c r="M124" s="520" t="str">
        <f>IF(E124="","",IF(ISNA(VLOOKUP($E124,'A-1 Site Habitat Baseline'!$D$1:$O$258,12,FALSE)),"",(VLOOKUP($E124,'A-1 Site Habitat Baseline'!$D$1:$O$258,12,FALSE))))</f>
        <v/>
      </c>
      <c r="N124" s="532" t="str">
        <f>IF(E124="","",IF(ISNA(VLOOKUP($E124,'A-1 Site Habitat Baseline'!$D$1:$X$258,14,FALSE)),"",(VLOOKUP($E124,'A-1 Site Habitat Baseline'!$D$1:$X$258,14,FALSE))))</f>
        <v/>
      </c>
      <c r="O124" s="524" t="str">
        <f>IF(E124="","",IF(ISNA(VLOOKUP($E124,'A-1 Site Habitat Baseline'!$D$1:$X$258,16,FALSE)),"",(VLOOKUP($E124,'A-1 Site Habitat Baseline'!$D$1:$X$258,13,FALSE))))</f>
        <v/>
      </c>
      <c r="P124" s="237" t="str">
        <f>IFERROR(INDEX('G-1 All Habitats'!$AG$3:$AG$15,MATCH(Q124,'G-1 All Habitats'!$AF$3:$AF$15,0)),"")</f>
        <v/>
      </c>
      <c r="Q124" s="238" t="str">
        <f t="shared" si="15"/>
        <v/>
      </c>
      <c r="R124" s="238" t="str">
        <f t="shared" si="16"/>
        <v/>
      </c>
      <c r="S124" s="392" t="str">
        <f>IFERROR(INDEX('G-1 All Habitats'!$B$3:$B$129,MATCH(R124,'G-1 All Habitats'!$A$3:$A$129,0)),"")</f>
        <v/>
      </c>
      <c r="T124" s="498" t="str">
        <f t="shared" si="17"/>
        <v/>
      </c>
      <c r="U124" s="499" t="str">
        <f t="shared" si="18"/>
        <v/>
      </c>
      <c r="V124" s="537" t="str">
        <f t="shared" si="12"/>
        <v/>
      </c>
      <c r="W124" s="520" t="str">
        <f>IF(S124="","",VLOOKUP(S124,'G-1 All Habitats'!$B$2:$M$129,10,FALSE))</f>
        <v/>
      </c>
      <c r="X124" s="520" t="str">
        <f>IFERROR(VLOOKUP(W124,'G-1 All Habitats'!$V$3:$W$7,2,FALSE),"")</f>
        <v/>
      </c>
      <c r="Y124" s="79"/>
      <c r="Z124" s="524" t="str">
        <f>IFERROR(INDEX('G-8 Condition Look up'!$A$3:$H$130,MATCH(S124,'G-8 Condition Look up'!$A$3:$A$130,0),MATCH(Y124,'G-8 Condition Look up'!$A$3:$H$3,0)),"")</f>
        <v/>
      </c>
      <c r="AA124" s="71"/>
      <c r="AB124" s="520" t="str">
        <f>IF(AA124="","",IF(VLOOKUP(AA124,'G-3 Multipliers'!$L$3:$N$6,2,FALSE)=0,"Spatial Data Missing ⚠",VLOOKUP(AA124,'G-3 Multipliers'!$L$3:$N$6,2,FALSE)))</f>
        <v/>
      </c>
      <c r="AC124" s="524" t="str">
        <f>IF(AA124="","",IF(VLOOKUP(AA124,'G-3 Multipliers'!$L$3:$N$6,3,FALSE)=0,"Spatial Data Missing ⚠",VLOOKUP(AA124,'G-3 Multipliers'!$L$3:$N$6,3,FALSE)))</f>
        <v/>
      </c>
      <c r="AD124" s="539" t="str">
        <f t="shared" si="13"/>
        <v/>
      </c>
      <c r="AE124" s="82"/>
      <c r="AF124" s="82"/>
      <c r="AG124" s="507" t="str">
        <f t="shared" si="19"/>
        <v/>
      </c>
      <c r="AH124" s="521" t="str">
        <f t="shared" si="20"/>
        <v/>
      </c>
      <c r="AI124" s="522" t="str">
        <f>IF(AH124="Check Data","Check Data",IFERROR(VLOOKUP(AH124,'G-4 Temporal multipliers'!$A$4:$C$36,3,FALSE),""))</f>
        <v/>
      </c>
      <c r="AJ124" s="498" t="str">
        <f>IF(S124="","",VLOOKUP(S124,'G-3 Multipliers'!$A$2:$E$129,4,FALSE))</f>
        <v/>
      </c>
      <c r="AK124" s="507" t="str">
        <f t="shared" si="21"/>
        <v/>
      </c>
      <c r="AL124" s="507" t="str">
        <f t="shared" si="22"/>
        <v/>
      </c>
      <c r="AM124" s="540" t="str">
        <f>IFERROR(IF(F124="","",IF(AH124="Check Data ⚠","Check Data ⚠",VLOOKUP(AL124, 'G-3 Multipliers'!$P$2:$Q$6,2,FALSE))),"")</f>
        <v/>
      </c>
      <c r="AN124" s="513" t="str">
        <f t="shared" si="14"/>
        <v/>
      </c>
      <c r="AO124" s="239"/>
      <c r="AP124" s="240"/>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1" t="str">
        <f>'A-1 Site Habitat Baseline'!AL124</f>
        <v/>
      </c>
      <c r="F125" s="520" t="str">
        <f>IF(E125="","",IF(ISNA(VLOOKUP($E125,'A-1 Site Habitat Baseline'!$D$1:$O$258,4,FALSE)),"",(VLOOKUP($E125,'A-1 Site Habitat Baseline'!$D$1:$O$258,4,FALSE))))</f>
        <v/>
      </c>
      <c r="G125" s="520" t="str">
        <f>IF(E125="","",IF(ISNA(VLOOKUP($E125,'A-1 Site Habitat Baseline'!$D$1:$O$258,5,FALSE)),"",(VLOOKUP($E125,'A-1 Site Habitat Baseline'!$D$1:$O$258,5,FALSE))))</f>
        <v/>
      </c>
      <c r="H125" s="520" t="str">
        <f>IF(E125="","",IF(ISNA(VLOOKUP($E125,'A-1 Site Habitat Baseline'!$D$1:$O$258,6,FALSE)),"",(VLOOKUP($E125,'A-1 Site Habitat Baseline'!$D$1:$O$258,6,FALSE))))</f>
        <v/>
      </c>
      <c r="I125" s="520" t="str">
        <f>IF(E125="","",IF(ISNA(VLOOKUP($E125,'A-1 Site Habitat Baseline'!$D$1:$O$258,7,FALSE)),"",(VLOOKUP($E125,'A-1 Site Habitat Baseline'!$D$1:$O$258,7,FALSE))))</f>
        <v/>
      </c>
      <c r="J125" s="520" t="str">
        <f>IF(E125="","",IF(ISNA(VLOOKUP($E125,'A-1 Site Habitat Baseline'!$D$1:$O$258,8,FALSE)),"",(VLOOKUP($E125,'A-1 Site Habitat Baseline'!$D$1:$O$258,8,FALSE))))</f>
        <v/>
      </c>
      <c r="K125" s="520" t="str">
        <f>IF(E125="","",IF(ISNA(VLOOKUP($E125,'A-1 Site Habitat Baseline'!$D$1:$O$258,9,FALSE)),"",(VLOOKUP($E125,'A-1 Site Habitat Baseline'!$D$1:$O$258,9,FALSE))))</f>
        <v/>
      </c>
      <c r="L125" s="520" t="str">
        <f>IF(E125="","",IF(ISNA(VLOOKUP($E125,'A-1 Site Habitat Baseline'!$D$1:$O$258,11,FALSE)),"",(VLOOKUP($E125,'A-1 Site Habitat Baseline'!$D$1:$O$258,11,FALSE))))</f>
        <v/>
      </c>
      <c r="M125" s="520" t="str">
        <f>IF(E125="","",IF(ISNA(VLOOKUP($E125,'A-1 Site Habitat Baseline'!$D$1:$O$258,12,FALSE)),"",(VLOOKUP($E125,'A-1 Site Habitat Baseline'!$D$1:$O$258,12,FALSE))))</f>
        <v/>
      </c>
      <c r="N125" s="532" t="str">
        <f>IF(E125="","",IF(ISNA(VLOOKUP($E125,'A-1 Site Habitat Baseline'!$D$1:$X$258,14,FALSE)),"",(VLOOKUP($E125,'A-1 Site Habitat Baseline'!$D$1:$X$258,14,FALSE))))</f>
        <v/>
      </c>
      <c r="O125" s="524" t="str">
        <f>IF(E125="","",IF(ISNA(VLOOKUP($E125,'A-1 Site Habitat Baseline'!$D$1:$X$258,16,FALSE)),"",(VLOOKUP($E125,'A-1 Site Habitat Baseline'!$D$1:$X$258,13,FALSE))))</f>
        <v/>
      </c>
      <c r="P125" s="237" t="str">
        <f>IFERROR(INDEX('G-1 All Habitats'!$AG$3:$AG$15,MATCH(Q125,'G-1 All Habitats'!$AF$3:$AF$15,0)),"")</f>
        <v/>
      </c>
      <c r="Q125" s="238" t="str">
        <f t="shared" si="15"/>
        <v/>
      </c>
      <c r="R125" s="238" t="str">
        <f t="shared" si="16"/>
        <v/>
      </c>
      <c r="S125" s="392" t="str">
        <f>IFERROR(INDEX('G-1 All Habitats'!$B$3:$B$129,MATCH(R125,'G-1 All Habitats'!$A$3:$A$129,0)),"")</f>
        <v/>
      </c>
      <c r="T125" s="498" t="str">
        <f t="shared" si="17"/>
        <v/>
      </c>
      <c r="U125" s="499" t="str">
        <f t="shared" si="18"/>
        <v/>
      </c>
      <c r="V125" s="537" t="str">
        <f t="shared" si="12"/>
        <v/>
      </c>
      <c r="W125" s="520" t="str">
        <f>IF(S125="","",VLOOKUP(S125,'G-1 All Habitats'!$B$2:$M$129,10,FALSE))</f>
        <v/>
      </c>
      <c r="X125" s="520" t="str">
        <f>IFERROR(VLOOKUP(W125,'G-1 All Habitats'!$V$3:$W$7,2,FALSE),"")</f>
        <v/>
      </c>
      <c r="Y125" s="79"/>
      <c r="Z125" s="524" t="str">
        <f>IFERROR(INDEX('G-8 Condition Look up'!$A$3:$H$130,MATCH(S125,'G-8 Condition Look up'!$A$3:$A$130,0),MATCH(Y125,'G-8 Condition Look up'!$A$3:$H$3,0)),"")</f>
        <v/>
      </c>
      <c r="AA125" s="71"/>
      <c r="AB125" s="520" t="str">
        <f>IF(AA125="","",IF(VLOOKUP(AA125,'G-3 Multipliers'!$L$3:$N$6,2,FALSE)=0,"Spatial Data Missing ⚠",VLOOKUP(AA125,'G-3 Multipliers'!$L$3:$N$6,2,FALSE)))</f>
        <v/>
      </c>
      <c r="AC125" s="524" t="str">
        <f>IF(AA125="","",IF(VLOOKUP(AA125,'G-3 Multipliers'!$L$3:$N$6,3,FALSE)=0,"Spatial Data Missing ⚠",VLOOKUP(AA125,'G-3 Multipliers'!$L$3:$N$6,3,FALSE)))</f>
        <v/>
      </c>
      <c r="AD125" s="539" t="str">
        <f t="shared" si="13"/>
        <v/>
      </c>
      <c r="AE125" s="82"/>
      <c r="AF125" s="82"/>
      <c r="AG125" s="507" t="str">
        <f t="shared" si="19"/>
        <v/>
      </c>
      <c r="AH125" s="521" t="str">
        <f t="shared" si="20"/>
        <v/>
      </c>
      <c r="AI125" s="522" t="str">
        <f>IF(AH125="Check Data","Check Data",IFERROR(VLOOKUP(AH125,'G-4 Temporal multipliers'!$A$4:$C$36,3,FALSE),""))</f>
        <v/>
      </c>
      <c r="AJ125" s="498" t="str">
        <f>IF(S125="","",VLOOKUP(S125,'G-3 Multipliers'!$A$2:$E$129,4,FALSE))</f>
        <v/>
      </c>
      <c r="AK125" s="507" t="str">
        <f t="shared" si="21"/>
        <v/>
      </c>
      <c r="AL125" s="507" t="str">
        <f t="shared" si="22"/>
        <v/>
      </c>
      <c r="AM125" s="540" t="str">
        <f>IFERROR(IF(F125="","",IF(AH125="Check Data ⚠","Check Data ⚠",VLOOKUP(AL125, 'G-3 Multipliers'!$P$2:$Q$6,2,FALSE))),"")</f>
        <v/>
      </c>
      <c r="AN125" s="513" t="str">
        <f t="shared" si="14"/>
        <v/>
      </c>
      <c r="AO125" s="239"/>
      <c r="AP125" s="240"/>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1" t="str">
        <f>'A-1 Site Habitat Baseline'!AL125</f>
        <v/>
      </c>
      <c r="F126" s="520" t="str">
        <f>IF(E126="","",IF(ISNA(VLOOKUP($E126,'A-1 Site Habitat Baseline'!$D$1:$O$258,4,FALSE)),"",(VLOOKUP($E126,'A-1 Site Habitat Baseline'!$D$1:$O$258,4,FALSE))))</f>
        <v/>
      </c>
      <c r="G126" s="520" t="str">
        <f>IF(E126="","",IF(ISNA(VLOOKUP($E126,'A-1 Site Habitat Baseline'!$D$1:$O$258,5,FALSE)),"",(VLOOKUP($E126,'A-1 Site Habitat Baseline'!$D$1:$O$258,5,FALSE))))</f>
        <v/>
      </c>
      <c r="H126" s="520" t="str">
        <f>IF(E126="","",IF(ISNA(VLOOKUP($E126,'A-1 Site Habitat Baseline'!$D$1:$O$258,6,FALSE)),"",(VLOOKUP($E126,'A-1 Site Habitat Baseline'!$D$1:$O$258,6,FALSE))))</f>
        <v/>
      </c>
      <c r="I126" s="520" t="str">
        <f>IF(E126="","",IF(ISNA(VLOOKUP($E126,'A-1 Site Habitat Baseline'!$D$1:$O$258,7,FALSE)),"",(VLOOKUP($E126,'A-1 Site Habitat Baseline'!$D$1:$O$258,7,FALSE))))</f>
        <v/>
      </c>
      <c r="J126" s="520" t="str">
        <f>IF(E126="","",IF(ISNA(VLOOKUP($E126,'A-1 Site Habitat Baseline'!$D$1:$O$258,8,FALSE)),"",(VLOOKUP($E126,'A-1 Site Habitat Baseline'!$D$1:$O$258,8,FALSE))))</f>
        <v/>
      </c>
      <c r="K126" s="520" t="str">
        <f>IF(E126="","",IF(ISNA(VLOOKUP($E126,'A-1 Site Habitat Baseline'!$D$1:$O$258,9,FALSE)),"",(VLOOKUP($E126,'A-1 Site Habitat Baseline'!$D$1:$O$258,9,FALSE))))</f>
        <v/>
      </c>
      <c r="L126" s="520" t="str">
        <f>IF(E126="","",IF(ISNA(VLOOKUP($E126,'A-1 Site Habitat Baseline'!$D$1:$O$258,11,FALSE)),"",(VLOOKUP($E126,'A-1 Site Habitat Baseline'!$D$1:$O$258,11,FALSE))))</f>
        <v/>
      </c>
      <c r="M126" s="520" t="str">
        <f>IF(E126="","",IF(ISNA(VLOOKUP($E126,'A-1 Site Habitat Baseline'!$D$1:$O$258,12,FALSE)),"",(VLOOKUP($E126,'A-1 Site Habitat Baseline'!$D$1:$O$258,12,FALSE))))</f>
        <v/>
      </c>
      <c r="N126" s="532" t="str">
        <f>IF(E126="","",IF(ISNA(VLOOKUP($E126,'A-1 Site Habitat Baseline'!$D$1:$X$258,14,FALSE)),"",(VLOOKUP($E126,'A-1 Site Habitat Baseline'!$D$1:$X$258,14,FALSE))))</f>
        <v/>
      </c>
      <c r="O126" s="524" t="str">
        <f>IF(E126="","",IF(ISNA(VLOOKUP($E126,'A-1 Site Habitat Baseline'!$D$1:$X$258,16,FALSE)),"",(VLOOKUP($E126,'A-1 Site Habitat Baseline'!$D$1:$X$258,13,FALSE))))</f>
        <v/>
      </c>
      <c r="P126" s="237" t="str">
        <f>IFERROR(INDEX('G-1 All Habitats'!$AG$3:$AG$15,MATCH(Q126,'G-1 All Habitats'!$AF$3:$AF$15,0)),"")</f>
        <v/>
      </c>
      <c r="Q126" s="238" t="str">
        <f t="shared" si="15"/>
        <v/>
      </c>
      <c r="R126" s="238" t="str">
        <f t="shared" si="16"/>
        <v/>
      </c>
      <c r="S126" s="392" t="str">
        <f>IFERROR(INDEX('G-1 All Habitats'!$B$3:$B$129,MATCH(R126,'G-1 All Habitats'!$A$3:$A$129,0)),"")</f>
        <v/>
      </c>
      <c r="T126" s="498" t="str">
        <f t="shared" si="17"/>
        <v/>
      </c>
      <c r="U126" s="499" t="str">
        <f t="shared" si="18"/>
        <v/>
      </c>
      <c r="V126" s="537" t="str">
        <f t="shared" si="12"/>
        <v/>
      </c>
      <c r="W126" s="520" t="str">
        <f>IF(S126="","",VLOOKUP(S126,'G-1 All Habitats'!$B$2:$M$129,10,FALSE))</f>
        <v/>
      </c>
      <c r="X126" s="520" t="str">
        <f>IFERROR(VLOOKUP(W126,'G-1 All Habitats'!$V$3:$W$7,2,FALSE),"")</f>
        <v/>
      </c>
      <c r="Y126" s="79"/>
      <c r="Z126" s="524" t="str">
        <f>IFERROR(INDEX('G-8 Condition Look up'!$A$3:$H$130,MATCH(S126,'G-8 Condition Look up'!$A$3:$A$130,0),MATCH(Y126,'G-8 Condition Look up'!$A$3:$H$3,0)),"")</f>
        <v/>
      </c>
      <c r="AA126" s="71"/>
      <c r="AB126" s="520" t="str">
        <f>IF(AA126="","",IF(VLOOKUP(AA126,'G-3 Multipliers'!$L$3:$N$6,2,FALSE)=0,"Spatial Data Missing ⚠",VLOOKUP(AA126,'G-3 Multipliers'!$L$3:$N$6,2,FALSE)))</f>
        <v/>
      </c>
      <c r="AC126" s="524" t="str">
        <f>IF(AA126="","",IF(VLOOKUP(AA126,'G-3 Multipliers'!$L$3:$N$6,3,FALSE)=0,"Spatial Data Missing ⚠",VLOOKUP(AA126,'G-3 Multipliers'!$L$3:$N$6,3,FALSE)))</f>
        <v/>
      </c>
      <c r="AD126" s="539" t="str">
        <f t="shared" si="13"/>
        <v/>
      </c>
      <c r="AE126" s="82"/>
      <c r="AF126" s="82"/>
      <c r="AG126" s="507" t="str">
        <f t="shared" si="19"/>
        <v/>
      </c>
      <c r="AH126" s="521" t="str">
        <f t="shared" si="20"/>
        <v/>
      </c>
      <c r="AI126" s="522" t="str">
        <f>IF(AH126="Check Data","Check Data",IFERROR(VLOOKUP(AH126,'G-4 Temporal multipliers'!$A$4:$C$36,3,FALSE),""))</f>
        <v/>
      </c>
      <c r="AJ126" s="498" t="str">
        <f>IF(S126="","",VLOOKUP(S126,'G-3 Multipliers'!$A$2:$E$129,4,FALSE))</f>
        <v/>
      </c>
      <c r="AK126" s="507" t="str">
        <f t="shared" si="21"/>
        <v/>
      </c>
      <c r="AL126" s="507" t="str">
        <f t="shared" si="22"/>
        <v/>
      </c>
      <c r="AM126" s="540" t="str">
        <f>IFERROR(IF(F126="","",IF(AH126="Check Data ⚠","Check Data ⚠",VLOOKUP(AL126, 'G-3 Multipliers'!$P$2:$Q$6,2,FALSE))),"")</f>
        <v/>
      </c>
      <c r="AN126" s="513" t="str">
        <f t="shared" si="14"/>
        <v/>
      </c>
      <c r="AO126" s="239"/>
      <c r="AP126" s="240"/>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1" t="str">
        <f>'A-1 Site Habitat Baseline'!AL126</f>
        <v/>
      </c>
      <c r="F127" s="520" t="str">
        <f>IF(E127="","",IF(ISNA(VLOOKUP($E127,'A-1 Site Habitat Baseline'!$D$1:$O$258,4,FALSE)),"",(VLOOKUP($E127,'A-1 Site Habitat Baseline'!$D$1:$O$258,4,FALSE))))</f>
        <v/>
      </c>
      <c r="G127" s="520" t="str">
        <f>IF(E127="","",IF(ISNA(VLOOKUP($E127,'A-1 Site Habitat Baseline'!$D$1:$O$258,5,FALSE)),"",(VLOOKUP($E127,'A-1 Site Habitat Baseline'!$D$1:$O$258,5,FALSE))))</f>
        <v/>
      </c>
      <c r="H127" s="520" t="str">
        <f>IF(E127="","",IF(ISNA(VLOOKUP($E127,'A-1 Site Habitat Baseline'!$D$1:$O$258,6,FALSE)),"",(VLOOKUP($E127,'A-1 Site Habitat Baseline'!$D$1:$O$258,6,FALSE))))</f>
        <v/>
      </c>
      <c r="I127" s="520" t="str">
        <f>IF(E127="","",IF(ISNA(VLOOKUP($E127,'A-1 Site Habitat Baseline'!$D$1:$O$258,7,FALSE)),"",(VLOOKUP($E127,'A-1 Site Habitat Baseline'!$D$1:$O$258,7,FALSE))))</f>
        <v/>
      </c>
      <c r="J127" s="520" t="str">
        <f>IF(E127="","",IF(ISNA(VLOOKUP($E127,'A-1 Site Habitat Baseline'!$D$1:$O$258,8,FALSE)),"",(VLOOKUP($E127,'A-1 Site Habitat Baseline'!$D$1:$O$258,8,FALSE))))</f>
        <v/>
      </c>
      <c r="K127" s="520" t="str">
        <f>IF(E127="","",IF(ISNA(VLOOKUP($E127,'A-1 Site Habitat Baseline'!$D$1:$O$258,9,FALSE)),"",(VLOOKUP($E127,'A-1 Site Habitat Baseline'!$D$1:$O$258,9,FALSE))))</f>
        <v/>
      </c>
      <c r="L127" s="520" t="str">
        <f>IF(E127="","",IF(ISNA(VLOOKUP($E127,'A-1 Site Habitat Baseline'!$D$1:$O$258,11,FALSE)),"",(VLOOKUP($E127,'A-1 Site Habitat Baseline'!$D$1:$O$258,11,FALSE))))</f>
        <v/>
      </c>
      <c r="M127" s="520" t="str">
        <f>IF(E127="","",IF(ISNA(VLOOKUP($E127,'A-1 Site Habitat Baseline'!$D$1:$O$258,12,FALSE)),"",(VLOOKUP($E127,'A-1 Site Habitat Baseline'!$D$1:$O$258,12,FALSE))))</f>
        <v/>
      </c>
      <c r="N127" s="532" t="str">
        <f>IF(E127="","",IF(ISNA(VLOOKUP($E127,'A-1 Site Habitat Baseline'!$D$1:$X$258,14,FALSE)),"",(VLOOKUP($E127,'A-1 Site Habitat Baseline'!$D$1:$X$258,14,FALSE))))</f>
        <v/>
      </c>
      <c r="O127" s="524" t="str">
        <f>IF(E127="","",IF(ISNA(VLOOKUP($E127,'A-1 Site Habitat Baseline'!$D$1:$X$258,16,FALSE)),"",(VLOOKUP($E127,'A-1 Site Habitat Baseline'!$D$1:$X$258,13,FALSE))))</f>
        <v/>
      </c>
      <c r="P127" s="237" t="str">
        <f>IFERROR(INDEX('G-1 All Habitats'!$AG$3:$AG$15,MATCH(Q127,'G-1 All Habitats'!$AF$3:$AF$15,0)),"")</f>
        <v/>
      </c>
      <c r="Q127" s="238" t="str">
        <f t="shared" si="15"/>
        <v/>
      </c>
      <c r="R127" s="238" t="str">
        <f t="shared" si="16"/>
        <v/>
      </c>
      <c r="S127" s="392" t="str">
        <f>IFERROR(INDEX('G-1 All Habitats'!$B$3:$B$129,MATCH(R127,'G-1 All Habitats'!$A$3:$A$129,0)),"")</f>
        <v/>
      </c>
      <c r="T127" s="498" t="str">
        <f t="shared" si="17"/>
        <v/>
      </c>
      <c r="U127" s="499" t="str">
        <f t="shared" si="18"/>
        <v/>
      </c>
      <c r="V127" s="537" t="str">
        <f t="shared" si="12"/>
        <v/>
      </c>
      <c r="W127" s="520" t="str">
        <f>IF(S127="","",VLOOKUP(S127,'G-1 All Habitats'!$B$2:$M$129,10,FALSE))</f>
        <v/>
      </c>
      <c r="X127" s="520" t="str">
        <f>IFERROR(VLOOKUP(W127,'G-1 All Habitats'!$V$3:$W$7,2,FALSE),"")</f>
        <v/>
      </c>
      <c r="Y127" s="79"/>
      <c r="Z127" s="524" t="str">
        <f>IFERROR(INDEX('G-8 Condition Look up'!$A$3:$H$130,MATCH(S127,'G-8 Condition Look up'!$A$3:$A$130,0),MATCH(Y127,'G-8 Condition Look up'!$A$3:$H$3,0)),"")</f>
        <v/>
      </c>
      <c r="AA127" s="71"/>
      <c r="AB127" s="520" t="str">
        <f>IF(AA127="","",IF(VLOOKUP(AA127,'G-3 Multipliers'!$L$3:$N$6,2,FALSE)=0,"Spatial Data Missing ⚠",VLOOKUP(AA127,'G-3 Multipliers'!$L$3:$N$6,2,FALSE)))</f>
        <v/>
      </c>
      <c r="AC127" s="524" t="str">
        <f>IF(AA127="","",IF(VLOOKUP(AA127,'G-3 Multipliers'!$L$3:$N$6,3,FALSE)=0,"Spatial Data Missing ⚠",VLOOKUP(AA127,'G-3 Multipliers'!$L$3:$N$6,3,FALSE)))</f>
        <v/>
      </c>
      <c r="AD127" s="539" t="str">
        <f t="shared" si="13"/>
        <v/>
      </c>
      <c r="AE127" s="82"/>
      <c r="AF127" s="82"/>
      <c r="AG127" s="507" t="str">
        <f t="shared" si="19"/>
        <v/>
      </c>
      <c r="AH127" s="521" t="str">
        <f t="shared" si="20"/>
        <v/>
      </c>
      <c r="AI127" s="522" t="str">
        <f>IF(AH127="Check Data","Check Data",IFERROR(VLOOKUP(AH127,'G-4 Temporal multipliers'!$A$4:$C$36,3,FALSE),""))</f>
        <v/>
      </c>
      <c r="AJ127" s="498" t="str">
        <f>IF(S127="","",VLOOKUP(S127,'G-3 Multipliers'!$A$2:$E$129,4,FALSE))</f>
        <v/>
      </c>
      <c r="AK127" s="507" t="str">
        <f t="shared" si="21"/>
        <v/>
      </c>
      <c r="AL127" s="507" t="str">
        <f t="shared" si="22"/>
        <v/>
      </c>
      <c r="AM127" s="540" t="str">
        <f>IFERROR(IF(F127="","",IF(AH127="Check Data ⚠","Check Data ⚠",VLOOKUP(AL127, 'G-3 Multipliers'!$P$2:$Q$6,2,FALSE))),"")</f>
        <v/>
      </c>
      <c r="AN127" s="513" t="str">
        <f t="shared" si="14"/>
        <v/>
      </c>
      <c r="AO127" s="239"/>
      <c r="AP127" s="240"/>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1" t="str">
        <f>'A-1 Site Habitat Baseline'!AL127</f>
        <v/>
      </c>
      <c r="F128" s="520" t="str">
        <f>IF(E128="","",IF(ISNA(VLOOKUP($E128,'A-1 Site Habitat Baseline'!$D$1:$O$258,4,FALSE)),"",(VLOOKUP($E128,'A-1 Site Habitat Baseline'!$D$1:$O$258,4,FALSE))))</f>
        <v/>
      </c>
      <c r="G128" s="520" t="str">
        <f>IF(E128="","",IF(ISNA(VLOOKUP($E128,'A-1 Site Habitat Baseline'!$D$1:$O$258,5,FALSE)),"",(VLOOKUP($E128,'A-1 Site Habitat Baseline'!$D$1:$O$258,5,FALSE))))</f>
        <v/>
      </c>
      <c r="H128" s="520" t="str">
        <f>IF(E128="","",IF(ISNA(VLOOKUP($E128,'A-1 Site Habitat Baseline'!$D$1:$O$258,6,FALSE)),"",(VLOOKUP($E128,'A-1 Site Habitat Baseline'!$D$1:$O$258,6,FALSE))))</f>
        <v/>
      </c>
      <c r="I128" s="520" t="str">
        <f>IF(E128="","",IF(ISNA(VLOOKUP($E128,'A-1 Site Habitat Baseline'!$D$1:$O$258,7,FALSE)),"",(VLOOKUP($E128,'A-1 Site Habitat Baseline'!$D$1:$O$258,7,FALSE))))</f>
        <v/>
      </c>
      <c r="J128" s="520" t="str">
        <f>IF(E128="","",IF(ISNA(VLOOKUP($E128,'A-1 Site Habitat Baseline'!$D$1:$O$258,8,FALSE)),"",(VLOOKUP($E128,'A-1 Site Habitat Baseline'!$D$1:$O$258,8,FALSE))))</f>
        <v/>
      </c>
      <c r="K128" s="520" t="str">
        <f>IF(E128="","",IF(ISNA(VLOOKUP($E128,'A-1 Site Habitat Baseline'!$D$1:$O$258,9,FALSE)),"",(VLOOKUP($E128,'A-1 Site Habitat Baseline'!$D$1:$O$258,9,FALSE))))</f>
        <v/>
      </c>
      <c r="L128" s="520" t="str">
        <f>IF(E128="","",IF(ISNA(VLOOKUP($E128,'A-1 Site Habitat Baseline'!$D$1:$O$258,11,FALSE)),"",(VLOOKUP($E128,'A-1 Site Habitat Baseline'!$D$1:$O$258,11,FALSE))))</f>
        <v/>
      </c>
      <c r="M128" s="520" t="str">
        <f>IF(E128="","",IF(ISNA(VLOOKUP($E128,'A-1 Site Habitat Baseline'!$D$1:$O$258,12,FALSE)),"",(VLOOKUP($E128,'A-1 Site Habitat Baseline'!$D$1:$O$258,12,FALSE))))</f>
        <v/>
      </c>
      <c r="N128" s="532" t="str">
        <f>IF(E128="","",IF(ISNA(VLOOKUP($E128,'A-1 Site Habitat Baseline'!$D$1:$X$258,14,FALSE)),"",(VLOOKUP($E128,'A-1 Site Habitat Baseline'!$D$1:$X$258,14,FALSE))))</f>
        <v/>
      </c>
      <c r="O128" s="524" t="str">
        <f>IF(E128="","",IF(ISNA(VLOOKUP($E128,'A-1 Site Habitat Baseline'!$D$1:$X$258,16,FALSE)),"",(VLOOKUP($E128,'A-1 Site Habitat Baseline'!$D$1:$X$258,13,FALSE))))</f>
        <v/>
      </c>
      <c r="P128" s="237" t="str">
        <f>IFERROR(INDEX('G-1 All Habitats'!$AG$3:$AG$15,MATCH(Q128,'G-1 All Habitats'!$AF$3:$AF$15,0)),"")</f>
        <v/>
      </c>
      <c r="Q128" s="238" t="str">
        <f t="shared" si="15"/>
        <v/>
      </c>
      <c r="R128" s="238" t="str">
        <f t="shared" si="16"/>
        <v/>
      </c>
      <c r="S128" s="392" t="str">
        <f>IFERROR(INDEX('G-1 All Habitats'!$B$3:$B$129,MATCH(R128,'G-1 All Habitats'!$A$3:$A$129,0)),"")</f>
        <v/>
      </c>
      <c r="T128" s="498" t="str">
        <f t="shared" si="17"/>
        <v/>
      </c>
      <c r="U128" s="499" t="str">
        <f t="shared" si="18"/>
        <v/>
      </c>
      <c r="V128" s="537" t="str">
        <f t="shared" si="12"/>
        <v/>
      </c>
      <c r="W128" s="520" t="str">
        <f>IF(S128="","",VLOOKUP(S128,'G-1 All Habitats'!$B$2:$M$129,10,FALSE))</f>
        <v/>
      </c>
      <c r="X128" s="520" t="str">
        <f>IFERROR(VLOOKUP(W128,'G-1 All Habitats'!$V$3:$W$7,2,FALSE),"")</f>
        <v/>
      </c>
      <c r="Y128" s="79"/>
      <c r="Z128" s="524" t="str">
        <f>IFERROR(INDEX('G-8 Condition Look up'!$A$3:$H$130,MATCH(S128,'G-8 Condition Look up'!$A$3:$A$130,0),MATCH(Y128,'G-8 Condition Look up'!$A$3:$H$3,0)),"")</f>
        <v/>
      </c>
      <c r="AA128" s="71"/>
      <c r="AB128" s="520" t="str">
        <f>IF(AA128="","",IF(VLOOKUP(AA128,'G-3 Multipliers'!$L$3:$N$6,2,FALSE)=0,"Spatial Data Missing ⚠",VLOOKUP(AA128,'G-3 Multipliers'!$L$3:$N$6,2,FALSE)))</f>
        <v/>
      </c>
      <c r="AC128" s="524" t="str">
        <f>IF(AA128="","",IF(VLOOKUP(AA128,'G-3 Multipliers'!$L$3:$N$6,3,FALSE)=0,"Spatial Data Missing ⚠",VLOOKUP(AA128,'G-3 Multipliers'!$L$3:$N$6,3,FALSE)))</f>
        <v/>
      </c>
      <c r="AD128" s="539" t="str">
        <f t="shared" si="13"/>
        <v/>
      </c>
      <c r="AE128" s="82"/>
      <c r="AF128" s="82"/>
      <c r="AG128" s="507" t="str">
        <f t="shared" si="19"/>
        <v/>
      </c>
      <c r="AH128" s="521" t="str">
        <f t="shared" si="20"/>
        <v/>
      </c>
      <c r="AI128" s="522" t="str">
        <f>IF(AH128="Check Data","Check Data",IFERROR(VLOOKUP(AH128,'G-4 Temporal multipliers'!$A$4:$C$36,3,FALSE),""))</f>
        <v/>
      </c>
      <c r="AJ128" s="498" t="str">
        <f>IF(S128="","",VLOOKUP(S128,'G-3 Multipliers'!$A$2:$E$129,4,FALSE))</f>
        <v/>
      </c>
      <c r="AK128" s="507" t="str">
        <f t="shared" si="21"/>
        <v/>
      </c>
      <c r="AL128" s="507" t="str">
        <f t="shared" si="22"/>
        <v/>
      </c>
      <c r="AM128" s="540" t="str">
        <f>IFERROR(IF(F128="","",IF(AH128="Check Data ⚠","Check Data ⚠",VLOOKUP(AL128, 'G-3 Multipliers'!$P$2:$Q$6,2,FALSE))),"")</f>
        <v/>
      </c>
      <c r="AN128" s="513" t="str">
        <f t="shared" si="14"/>
        <v/>
      </c>
      <c r="AO128" s="239"/>
      <c r="AP128" s="240"/>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1" t="str">
        <f>'A-1 Site Habitat Baseline'!AL128</f>
        <v/>
      </c>
      <c r="F129" s="520" t="str">
        <f>IF(E129="","",IF(ISNA(VLOOKUP($E129,'A-1 Site Habitat Baseline'!$D$1:$O$258,4,FALSE)),"",(VLOOKUP($E129,'A-1 Site Habitat Baseline'!$D$1:$O$258,4,FALSE))))</f>
        <v/>
      </c>
      <c r="G129" s="520" t="str">
        <f>IF(E129="","",IF(ISNA(VLOOKUP($E129,'A-1 Site Habitat Baseline'!$D$1:$O$258,5,FALSE)),"",(VLOOKUP($E129,'A-1 Site Habitat Baseline'!$D$1:$O$258,5,FALSE))))</f>
        <v/>
      </c>
      <c r="H129" s="520" t="str">
        <f>IF(E129="","",IF(ISNA(VLOOKUP($E129,'A-1 Site Habitat Baseline'!$D$1:$O$258,6,FALSE)),"",(VLOOKUP($E129,'A-1 Site Habitat Baseline'!$D$1:$O$258,6,FALSE))))</f>
        <v/>
      </c>
      <c r="I129" s="520" t="str">
        <f>IF(E129="","",IF(ISNA(VLOOKUP($E129,'A-1 Site Habitat Baseline'!$D$1:$O$258,7,FALSE)),"",(VLOOKUP($E129,'A-1 Site Habitat Baseline'!$D$1:$O$258,7,FALSE))))</f>
        <v/>
      </c>
      <c r="J129" s="520" t="str">
        <f>IF(E129="","",IF(ISNA(VLOOKUP($E129,'A-1 Site Habitat Baseline'!$D$1:$O$258,8,FALSE)),"",(VLOOKUP($E129,'A-1 Site Habitat Baseline'!$D$1:$O$258,8,FALSE))))</f>
        <v/>
      </c>
      <c r="K129" s="520" t="str">
        <f>IF(E129="","",IF(ISNA(VLOOKUP($E129,'A-1 Site Habitat Baseline'!$D$1:$O$258,9,FALSE)),"",(VLOOKUP($E129,'A-1 Site Habitat Baseline'!$D$1:$O$258,9,FALSE))))</f>
        <v/>
      </c>
      <c r="L129" s="520" t="str">
        <f>IF(E129="","",IF(ISNA(VLOOKUP($E129,'A-1 Site Habitat Baseline'!$D$1:$O$258,11,FALSE)),"",(VLOOKUP($E129,'A-1 Site Habitat Baseline'!$D$1:$O$258,11,FALSE))))</f>
        <v/>
      </c>
      <c r="M129" s="520" t="str">
        <f>IF(E129="","",IF(ISNA(VLOOKUP($E129,'A-1 Site Habitat Baseline'!$D$1:$O$258,12,FALSE)),"",(VLOOKUP($E129,'A-1 Site Habitat Baseline'!$D$1:$O$258,12,FALSE))))</f>
        <v/>
      </c>
      <c r="N129" s="532" t="str">
        <f>IF(E129="","",IF(ISNA(VLOOKUP($E129,'A-1 Site Habitat Baseline'!$D$1:$X$258,14,FALSE)),"",(VLOOKUP($E129,'A-1 Site Habitat Baseline'!$D$1:$X$258,14,FALSE))))</f>
        <v/>
      </c>
      <c r="O129" s="524" t="str">
        <f>IF(E129="","",IF(ISNA(VLOOKUP($E129,'A-1 Site Habitat Baseline'!$D$1:$X$258,16,FALSE)),"",(VLOOKUP($E129,'A-1 Site Habitat Baseline'!$D$1:$X$258,13,FALSE))))</f>
        <v/>
      </c>
      <c r="P129" s="237" t="str">
        <f>IFERROR(INDEX('G-1 All Habitats'!$AG$3:$AG$15,MATCH(Q129,'G-1 All Habitats'!$AF$3:$AF$15,0)),"")</f>
        <v/>
      </c>
      <c r="Q129" s="238" t="str">
        <f t="shared" si="15"/>
        <v/>
      </c>
      <c r="R129" s="238" t="str">
        <f t="shared" si="16"/>
        <v/>
      </c>
      <c r="S129" s="392" t="str">
        <f>IFERROR(INDEX('G-1 All Habitats'!$B$3:$B$129,MATCH(R129,'G-1 All Habitats'!$A$3:$A$129,0)),"")</f>
        <v/>
      </c>
      <c r="T129" s="498" t="str">
        <f t="shared" si="17"/>
        <v/>
      </c>
      <c r="U129" s="499" t="str">
        <f t="shared" si="18"/>
        <v/>
      </c>
      <c r="V129" s="537" t="str">
        <f t="shared" si="12"/>
        <v/>
      </c>
      <c r="W129" s="520" t="str">
        <f>IF(S129="","",VLOOKUP(S129,'G-1 All Habitats'!$B$2:$M$129,10,FALSE))</f>
        <v/>
      </c>
      <c r="X129" s="520" t="str">
        <f>IFERROR(VLOOKUP(W129,'G-1 All Habitats'!$V$3:$W$7,2,FALSE),"")</f>
        <v/>
      </c>
      <c r="Y129" s="79"/>
      <c r="Z129" s="524" t="str">
        <f>IFERROR(INDEX('G-8 Condition Look up'!$A$3:$H$130,MATCH(S129,'G-8 Condition Look up'!$A$3:$A$130,0),MATCH(Y129,'G-8 Condition Look up'!$A$3:$H$3,0)),"")</f>
        <v/>
      </c>
      <c r="AA129" s="71"/>
      <c r="AB129" s="520" t="str">
        <f>IF(AA129="","",IF(VLOOKUP(AA129,'G-3 Multipliers'!$L$3:$N$6,2,FALSE)=0,"Spatial Data Missing ⚠",VLOOKUP(AA129,'G-3 Multipliers'!$L$3:$N$6,2,FALSE)))</f>
        <v/>
      </c>
      <c r="AC129" s="524" t="str">
        <f>IF(AA129="","",IF(VLOOKUP(AA129,'G-3 Multipliers'!$L$3:$N$6,3,FALSE)=0,"Spatial Data Missing ⚠",VLOOKUP(AA129,'G-3 Multipliers'!$L$3:$N$6,3,FALSE)))</f>
        <v/>
      </c>
      <c r="AD129" s="539" t="str">
        <f t="shared" si="13"/>
        <v/>
      </c>
      <c r="AE129" s="82"/>
      <c r="AF129" s="82"/>
      <c r="AG129" s="507" t="str">
        <f t="shared" si="19"/>
        <v/>
      </c>
      <c r="AH129" s="521" t="str">
        <f t="shared" si="20"/>
        <v/>
      </c>
      <c r="AI129" s="522" t="str">
        <f>IF(AH129="Check Data","Check Data",IFERROR(VLOOKUP(AH129,'G-4 Temporal multipliers'!$A$4:$C$36,3,FALSE),""))</f>
        <v/>
      </c>
      <c r="AJ129" s="498" t="str">
        <f>IF(S129="","",VLOOKUP(S129,'G-3 Multipliers'!$A$2:$E$129,4,FALSE))</f>
        <v/>
      </c>
      <c r="AK129" s="507" t="str">
        <f t="shared" si="21"/>
        <v/>
      </c>
      <c r="AL129" s="507" t="str">
        <f t="shared" si="22"/>
        <v/>
      </c>
      <c r="AM129" s="540" t="str">
        <f>IFERROR(IF(F129="","",IF(AH129="Check Data ⚠","Check Data ⚠",VLOOKUP(AL129, 'G-3 Multipliers'!$P$2:$Q$6,2,FALSE))),"")</f>
        <v/>
      </c>
      <c r="AN129" s="513" t="str">
        <f t="shared" si="14"/>
        <v/>
      </c>
      <c r="AO129" s="239"/>
      <c r="AP129" s="240"/>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1" t="str">
        <f>'A-1 Site Habitat Baseline'!AL129</f>
        <v/>
      </c>
      <c r="F130" s="520" t="str">
        <f>IF(E130="","",IF(ISNA(VLOOKUP($E130,'A-1 Site Habitat Baseline'!$D$1:$O$258,4,FALSE)),"",(VLOOKUP($E130,'A-1 Site Habitat Baseline'!$D$1:$O$258,4,FALSE))))</f>
        <v/>
      </c>
      <c r="G130" s="520" t="str">
        <f>IF(E130="","",IF(ISNA(VLOOKUP($E130,'A-1 Site Habitat Baseline'!$D$1:$O$258,5,FALSE)),"",(VLOOKUP($E130,'A-1 Site Habitat Baseline'!$D$1:$O$258,5,FALSE))))</f>
        <v/>
      </c>
      <c r="H130" s="520" t="str">
        <f>IF(E130="","",IF(ISNA(VLOOKUP($E130,'A-1 Site Habitat Baseline'!$D$1:$O$258,6,FALSE)),"",(VLOOKUP($E130,'A-1 Site Habitat Baseline'!$D$1:$O$258,6,FALSE))))</f>
        <v/>
      </c>
      <c r="I130" s="520" t="str">
        <f>IF(E130="","",IF(ISNA(VLOOKUP($E130,'A-1 Site Habitat Baseline'!$D$1:$O$258,7,FALSE)),"",(VLOOKUP($E130,'A-1 Site Habitat Baseline'!$D$1:$O$258,7,FALSE))))</f>
        <v/>
      </c>
      <c r="J130" s="520" t="str">
        <f>IF(E130="","",IF(ISNA(VLOOKUP($E130,'A-1 Site Habitat Baseline'!$D$1:$O$258,8,FALSE)),"",(VLOOKUP($E130,'A-1 Site Habitat Baseline'!$D$1:$O$258,8,FALSE))))</f>
        <v/>
      </c>
      <c r="K130" s="520" t="str">
        <f>IF(E130="","",IF(ISNA(VLOOKUP($E130,'A-1 Site Habitat Baseline'!$D$1:$O$258,9,FALSE)),"",(VLOOKUP($E130,'A-1 Site Habitat Baseline'!$D$1:$O$258,9,FALSE))))</f>
        <v/>
      </c>
      <c r="L130" s="520" t="str">
        <f>IF(E130="","",IF(ISNA(VLOOKUP($E130,'A-1 Site Habitat Baseline'!$D$1:$O$258,11,FALSE)),"",(VLOOKUP($E130,'A-1 Site Habitat Baseline'!$D$1:$O$258,11,FALSE))))</f>
        <v/>
      </c>
      <c r="M130" s="520" t="str">
        <f>IF(E130="","",IF(ISNA(VLOOKUP($E130,'A-1 Site Habitat Baseline'!$D$1:$O$258,12,FALSE)),"",(VLOOKUP($E130,'A-1 Site Habitat Baseline'!$D$1:$O$258,12,FALSE))))</f>
        <v/>
      </c>
      <c r="N130" s="532" t="str">
        <f>IF(E130="","",IF(ISNA(VLOOKUP($E130,'A-1 Site Habitat Baseline'!$D$1:$X$258,14,FALSE)),"",(VLOOKUP($E130,'A-1 Site Habitat Baseline'!$D$1:$X$258,14,FALSE))))</f>
        <v/>
      </c>
      <c r="O130" s="524" t="str">
        <f>IF(E130="","",IF(ISNA(VLOOKUP($E130,'A-1 Site Habitat Baseline'!$D$1:$X$258,16,FALSE)),"",(VLOOKUP($E130,'A-1 Site Habitat Baseline'!$D$1:$X$258,13,FALSE))))</f>
        <v/>
      </c>
      <c r="P130" s="237" t="str">
        <f>IFERROR(INDEX('G-1 All Habitats'!$AG$3:$AG$15,MATCH(Q130,'G-1 All Habitats'!$AF$3:$AF$15,0)),"")</f>
        <v/>
      </c>
      <c r="Q130" s="238" t="str">
        <f t="shared" si="15"/>
        <v/>
      </c>
      <c r="R130" s="238" t="str">
        <f t="shared" si="16"/>
        <v/>
      </c>
      <c r="S130" s="392" t="str">
        <f>IFERROR(INDEX('G-1 All Habitats'!$B$3:$B$129,MATCH(R130,'G-1 All Habitats'!$A$3:$A$129,0)),"")</f>
        <v/>
      </c>
      <c r="T130" s="498" t="str">
        <f t="shared" si="17"/>
        <v/>
      </c>
      <c r="U130" s="499" t="str">
        <f t="shared" si="18"/>
        <v/>
      </c>
      <c r="V130" s="537" t="str">
        <f t="shared" si="12"/>
        <v/>
      </c>
      <c r="W130" s="520" t="str">
        <f>IF(S130="","",VLOOKUP(S130,'G-1 All Habitats'!$B$2:$M$129,10,FALSE))</f>
        <v/>
      </c>
      <c r="X130" s="520" t="str">
        <f>IFERROR(VLOOKUP(W130,'G-1 All Habitats'!$V$3:$W$7,2,FALSE),"")</f>
        <v/>
      </c>
      <c r="Y130" s="79"/>
      <c r="Z130" s="524" t="str">
        <f>IFERROR(INDEX('G-8 Condition Look up'!$A$3:$H$130,MATCH(S130,'G-8 Condition Look up'!$A$3:$A$130,0),MATCH(Y130,'G-8 Condition Look up'!$A$3:$H$3,0)),"")</f>
        <v/>
      </c>
      <c r="AA130" s="71"/>
      <c r="AB130" s="520" t="str">
        <f>IF(AA130="","",IF(VLOOKUP(AA130,'G-3 Multipliers'!$L$3:$N$6,2,FALSE)=0,"Spatial Data Missing ⚠",VLOOKUP(AA130,'G-3 Multipliers'!$L$3:$N$6,2,FALSE)))</f>
        <v/>
      </c>
      <c r="AC130" s="524" t="str">
        <f>IF(AA130="","",IF(VLOOKUP(AA130,'G-3 Multipliers'!$L$3:$N$6,3,FALSE)=0,"Spatial Data Missing ⚠",VLOOKUP(AA130,'G-3 Multipliers'!$L$3:$N$6,3,FALSE)))</f>
        <v/>
      </c>
      <c r="AD130" s="539" t="str">
        <f t="shared" si="13"/>
        <v/>
      </c>
      <c r="AE130" s="82"/>
      <c r="AF130" s="82"/>
      <c r="AG130" s="507" t="str">
        <f t="shared" si="19"/>
        <v/>
      </c>
      <c r="AH130" s="521" t="str">
        <f t="shared" si="20"/>
        <v/>
      </c>
      <c r="AI130" s="522" t="str">
        <f>IF(AH130="Check Data","Check Data",IFERROR(VLOOKUP(AH130,'G-4 Temporal multipliers'!$A$4:$C$36,3,FALSE),""))</f>
        <v/>
      </c>
      <c r="AJ130" s="498" t="str">
        <f>IF(S130="","",VLOOKUP(S130,'G-3 Multipliers'!$A$2:$E$129,4,FALSE))</f>
        <v/>
      </c>
      <c r="AK130" s="507" t="str">
        <f t="shared" si="21"/>
        <v/>
      </c>
      <c r="AL130" s="507" t="str">
        <f t="shared" si="22"/>
        <v/>
      </c>
      <c r="AM130" s="540" t="str">
        <f>IFERROR(IF(F130="","",IF(AH130="Check Data ⚠","Check Data ⚠",VLOOKUP(AL130, 'G-3 Multipliers'!$P$2:$Q$6,2,FALSE))),"")</f>
        <v/>
      </c>
      <c r="AN130" s="513" t="str">
        <f t="shared" si="14"/>
        <v/>
      </c>
      <c r="AO130" s="239"/>
      <c r="AP130" s="240"/>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1" t="str">
        <f>'A-1 Site Habitat Baseline'!AL130</f>
        <v/>
      </c>
      <c r="F131" s="520" t="str">
        <f>IF(E131="","",IF(ISNA(VLOOKUP($E131,'A-1 Site Habitat Baseline'!$D$1:$O$258,4,FALSE)),"",(VLOOKUP($E131,'A-1 Site Habitat Baseline'!$D$1:$O$258,4,FALSE))))</f>
        <v/>
      </c>
      <c r="G131" s="520" t="str">
        <f>IF(E131="","",IF(ISNA(VLOOKUP($E131,'A-1 Site Habitat Baseline'!$D$1:$O$258,5,FALSE)),"",(VLOOKUP($E131,'A-1 Site Habitat Baseline'!$D$1:$O$258,5,FALSE))))</f>
        <v/>
      </c>
      <c r="H131" s="520" t="str">
        <f>IF(E131="","",IF(ISNA(VLOOKUP($E131,'A-1 Site Habitat Baseline'!$D$1:$O$258,6,FALSE)),"",(VLOOKUP($E131,'A-1 Site Habitat Baseline'!$D$1:$O$258,6,FALSE))))</f>
        <v/>
      </c>
      <c r="I131" s="520" t="str">
        <f>IF(E131="","",IF(ISNA(VLOOKUP($E131,'A-1 Site Habitat Baseline'!$D$1:$O$258,7,FALSE)),"",(VLOOKUP($E131,'A-1 Site Habitat Baseline'!$D$1:$O$258,7,FALSE))))</f>
        <v/>
      </c>
      <c r="J131" s="520" t="str">
        <f>IF(E131="","",IF(ISNA(VLOOKUP($E131,'A-1 Site Habitat Baseline'!$D$1:$O$258,8,FALSE)),"",(VLOOKUP($E131,'A-1 Site Habitat Baseline'!$D$1:$O$258,8,FALSE))))</f>
        <v/>
      </c>
      <c r="K131" s="520" t="str">
        <f>IF(E131="","",IF(ISNA(VLOOKUP($E131,'A-1 Site Habitat Baseline'!$D$1:$O$258,9,FALSE)),"",(VLOOKUP($E131,'A-1 Site Habitat Baseline'!$D$1:$O$258,9,FALSE))))</f>
        <v/>
      </c>
      <c r="L131" s="520" t="str">
        <f>IF(E131="","",IF(ISNA(VLOOKUP($E131,'A-1 Site Habitat Baseline'!$D$1:$O$258,11,FALSE)),"",(VLOOKUP($E131,'A-1 Site Habitat Baseline'!$D$1:$O$258,11,FALSE))))</f>
        <v/>
      </c>
      <c r="M131" s="520" t="str">
        <f>IF(E131="","",IF(ISNA(VLOOKUP($E131,'A-1 Site Habitat Baseline'!$D$1:$O$258,12,FALSE)),"",(VLOOKUP($E131,'A-1 Site Habitat Baseline'!$D$1:$O$258,12,FALSE))))</f>
        <v/>
      </c>
      <c r="N131" s="532" t="str">
        <f>IF(E131="","",IF(ISNA(VLOOKUP($E131,'A-1 Site Habitat Baseline'!$D$1:$X$258,14,FALSE)),"",(VLOOKUP($E131,'A-1 Site Habitat Baseline'!$D$1:$X$258,14,FALSE))))</f>
        <v/>
      </c>
      <c r="O131" s="524" t="str">
        <f>IF(E131="","",IF(ISNA(VLOOKUP($E131,'A-1 Site Habitat Baseline'!$D$1:$X$258,16,FALSE)),"",(VLOOKUP($E131,'A-1 Site Habitat Baseline'!$D$1:$X$258,13,FALSE))))</f>
        <v/>
      </c>
      <c r="P131" s="237" t="str">
        <f>IFERROR(INDEX('G-1 All Habitats'!$AG$3:$AG$15,MATCH(Q131,'G-1 All Habitats'!$AF$3:$AF$15,0)),"")</f>
        <v/>
      </c>
      <c r="Q131" s="238" t="str">
        <f t="shared" si="15"/>
        <v/>
      </c>
      <c r="R131" s="238" t="str">
        <f t="shared" si="16"/>
        <v/>
      </c>
      <c r="S131" s="392" t="str">
        <f>IFERROR(INDEX('G-1 All Habitats'!$B$3:$B$129,MATCH(R131,'G-1 All Habitats'!$A$3:$A$129,0)),"")</f>
        <v/>
      </c>
      <c r="T131" s="498" t="str">
        <f t="shared" si="17"/>
        <v/>
      </c>
      <c r="U131" s="499" t="str">
        <f t="shared" si="18"/>
        <v/>
      </c>
      <c r="V131" s="537" t="str">
        <f t="shared" si="12"/>
        <v/>
      </c>
      <c r="W131" s="520" t="str">
        <f>IF(S131="","",VLOOKUP(S131,'G-1 All Habitats'!$B$2:$M$129,10,FALSE))</f>
        <v/>
      </c>
      <c r="X131" s="520" t="str">
        <f>IFERROR(VLOOKUP(W131,'G-1 All Habitats'!$V$3:$W$7,2,FALSE),"")</f>
        <v/>
      </c>
      <c r="Y131" s="79"/>
      <c r="Z131" s="524" t="str">
        <f>IFERROR(INDEX('G-8 Condition Look up'!$A$3:$H$130,MATCH(S131,'G-8 Condition Look up'!$A$3:$A$130,0),MATCH(Y131,'G-8 Condition Look up'!$A$3:$H$3,0)),"")</f>
        <v/>
      </c>
      <c r="AA131" s="71"/>
      <c r="AB131" s="520" t="str">
        <f>IF(AA131="","",IF(VLOOKUP(AA131,'G-3 Multipliers'!$L$3:$N$6,2,FALSE)=0,"Spatial Data Missing ⚠",VLOOKUP(AA131,'G-3 Multipliers'!$L$3:$N$6,2,FALSE)))</f>
        <v/>
      </c>
      <c r="AC131" s="524" t="str">
        <f>IF(AA131="","",IF(VLOOKUP(AA131,'G-3 Multipliers'!$L$3:$N$6,3,FALSE)=0,"Spatial Data Missing ⚠",VLOOKUP(AA131,'G-3 Multipliers'!$L$3:$N$6,3,FALSE)))</f>
        <v/>
      </c>
      <c r="AD131" s="539" t="str">
        <f t="shared" si="13"/>
        <v/>
      </c>
      <c r="AE131" s="82"/>
      <c r="AF131" s="82"/>
      <c r="AG131" s="507" t="str">
        <f t="shared" si="19"/>
        <v/>
      </c>
      <c r="AH131" s="521" t="str">
        <f t="shared" si="20"/>
        <v/>
      </c>
      <c r="AI131" s="522" t="str">
        <f>IF(AH131="Check Data","Check Data",IFERROR(VLOOKUP(AH131,'G-4 Temporal multipliers'!$A$4:$C$36,3,FALSE),""))</f>
        <v/>
      </c>
      <c r="AJ131" s="498" t="str">
        <f>IF(S131="","",VLOOKUP(S131,'G-3 Multipliers'!$A$2:$E$129,4,FALSE))</f>
        <v/>
      </c>
      <c r="AK131" s="507" t="str">
        <f t="shared" si="21"/>
        <v/>
      </c>
      <c r="AL131" s="507" t="str">
        <f t="shared" si="22"/>
        <v/>
      </c>
      <c r="AM131" s="540" t="str">
        <f>IFERROR(IF(F131="","",IF(AH131="Check Data ⚠","Check Data ⚠",VLOOKUP(AL131, 'G-3 Multipliers'!$P$2:$Q$6,2,FALSE))),"")</f>
        <v/>
      </c>
      <c r="AN131" s="513" t="str">
        <f t="shared" si="14"/>
        <v/>
      </c>
      <c r="AO131" s="239"/>
      <c r="AP131" s="240"/>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1" t="str">
        <f>'A-1 Site Habitat Baseline'!AL131</f>
        <v/>
      </c>
      <c r="F132" s="520" t="str">
        <f>IF(E132="","",IF(ISNA(VLOOKUP($E132,'A-1 Site Habitat Baseline'!$D$1:$O$258,4,FALSE)),"",(VLOOKUP($E132,'A-1 Site Habitat Baseline'!$D$1:$O$258,4,FALSE))))</f>
        <v/>
      </c>
      <c r="G132" s="520" t="str">
        <f>IF(E132="","",IF(ISNA(VLOOKUP($E132,'A-1 Site Habitat Baseline'!$D$1:$O$258,5,FALSE)),"",(VLOOKUP($E132,'A-1 Site Habitat Baseline'!$D$1:$O$258,5,FALSE))))</f>
        <v/>
      </c>
      <c r="H132" s="520" t="str">
        <f>IF(E132="","",IF(ISNA(VLOOKUP($E132,'A-1 Site Habitat Baseline'!$D$1:$O$258,6,FALSE)),"",(VLOOKUP($E132,'A-1 Site Habitat Baseline'!$D$1:$O$258,6,FALSE))))</f>
        <v/>
      </c>
      <c r="I132" s="520" t="str">
        <f>IF(E132="","",IF(ISNA(VLOOKUP($E132,'A-1 Site Habitat Baseline'!$D$1:$O$258,7,FALSE)),"",(VLOOKUP($E132,'A-1 Site Habitat Baseline'!$D$1:$O$258,7,FALSE))))</f>
        <v/>
      </c>
      <c r="J132" s="520" t="str">
        <f>IF(E132="","",IF(ISNA(VLOOKUP($E132,'A-1 Site Habitat Baseline'!$D$1:$O$258,8,FALSE)),"",(VLOOKUP($E132,'A-1 Site Habitat Baseline'!$D$1:$O$258,8,FALSE))))</f>
        <v/>
      </c>
      <c r="K132" s="520" t="str">
        <f>IF(E132="","",IF(ISNA(VLOOKUP($E132,'A-1 Site Habitat Baseline'!$D$1:$O$258,9,FALSE)),"",(VLOOKUP($E132,'A-1 Site Habitat Baseline'!$D$1:$O$258,9,FALSE))))</f>
        <v/>
      </c>
      <c r="L132" s="520" t="str">
        <f>IF(E132="","",IF(ISNA(VLOOKUP($E132,'A-1 Site Habitat Baseline'!$D$1:$O$258,11,FALSE)),"",(VLOOKUP($E132,'A-1 Site Habitat Baseline'!$D$1:$O$258,11,FALSE))))</f>
        <v/>
      </c>
      <c r="M132" s="520" t="str">
        <f>IF(E132="","",IF(ISNA(VLOOKUP($E132,'A-1 Site Habitat Baseline'!$D$1:$O$258,12,FALSE)),"",(VLOOKUP($E132,'A-1 Site Habitat Baseline'!$D$1:$O$258,12,FALSE))))</f>
        <v/>
      </c>
      <c r="N132" s="532" t="str">
        <f>IF(E132="","",IF(ISNA(VLOOKUP($E132,'A-1 Site Habitat Baseline'!$D$1:$X$258,14,FALSE)),"",(VLOOKUP($E132,'A-1 Site Habitat Baseline'!$D$1:$X$258,14,FALSE))))</f>
        <v/>
      </c>
      <c r="O132" s="524" t="str">
        <f>IF(E132="","",IF(ISNA(VLOOKUP($E132,'A-1 Site Habitat Baseline'!$D$1:$X$258,16,FALSE)),"",(VLOOKUP($E132,'A-1 Site Habitat Baseline'!$D$1:$X$258,13,FALSE))))</f>
        <v/>
      </c>
      <c r="P132" s="237" t="str">
        <f>IFERROR(INDEX('G-1 All Habitats'!$AG$3:$AG$15,MATCH(Q132,'G-1 All Habitats'!$AF$3:$AF$15,0)),"")</f>
        <v/>
      </c>
      <c r="Q132" s="238" t="str">
        <f t="shared" si="15"/>
        <v/>
      </c>
      <c r="R132" s="238" t="str">
        <f t="shared" si="16"/>
        <v/>
      </c>
      <c r="S132" s="392" t="str">
        <f>IFERROR(INDEX('G-1 All Habitats'!$B$3:$B$129,MATCH(R132,'G-1 All Habitats'!$A$3:$A$129,0)),"")</f>
        <v/>
      </c>
      <c r="T132" s="498" t="str">
        <f t="shared" si="17"/>
        <v/>
      </c>
      <c r="U132" s="499" t="str">
        <f t="shared" si="18"/>
        <v/>
      </c>
      <c r="V132" s="537" t="str">
        <f t="shared" si="12"/>
        <v/>
      </c>
      <c r="W132" s="520" t="str">
        <f>IF(S132="","",VLOOKUP(S132,'G-1 All Habitats'!$B$2:$M$129,10,FALSE))</f>
        <v/>
      </c>
      <c r="X132" s="520" t="str">
        <f>IFERROR(VLOOKUP(W132,'G-1 All Habitats'!$V$3:$W$7,2,FALSE),"")</f>
        <v/>
      </c>
      <c r="Y132" s="79"/>
      <c r="Z132" s="524" t="str">
        <f>IFERROR(INDEX('G-8 Condition Look up'!$A$3:$H$130,MATCH(S132,'G-8 Condition Look up'!$A$3:$A$130,0),MATCH(Y132,'G-8 Condition Look up'!$A$3:$H$3,0)),"")</f>
        <v/>
      </c>
      <c r="AA132" s="71"/>
      <c r="AB132" s="520" t="str">
        <f>IF(AA132="","",IF(VLOOKUP(AA132,'G-3 Multipliers'!$L$3:$N$6,2,FALSE)=0,"Spatial Data Missing ⚠",VLOOKUP(AA132,'G-3 Multipliers'!$L$3:$N$6,2,FALSE)))</f>
        <v/>
      </c>
      <c r="AC132" s="524" t="str">
        <f>IF(AA132="","",IF(VLOOKUP(AA132,'G-3 Multipliers'!$L$3:$N$6,3,FALSE)=0,"Spatial Data Missing ⚠",VLOOKUP(AA132,'G-3 Multipliers'!$L$3:$N$6,3,FALSE)))</f>
        <v/>
      </c>
      <c r="AD132" s="539" t="str">
        <f t="shared" si="13"/>
        <v/>
      </c>
      <c r="AE132" s="82"/>
      <c r="AF132" s="82"/>
      <c r="AG132" s="507" t="str">
        <f t="shared" si="19"/>
        <v/>
      </c>
      <c r="AH132" s="521" t="str">
        <f t="shared" si="20"/>
        <v/>
      </c>
      <c r="AI132" s="522" t="str">
        <f>IF(AH132="Check Data","Check Data",IFERROR(VLOOKUP(AH132,'G-4 Temporal multipliers'!$A$4:$C$36,3,FALSE),""))</f>
        <v/>
      </c>
      <c r="AJ132" s="498" t="str">
        <f>IF(S132="","",VLOOKUP(S132,'G-3 Multipliers'!$A$2:$E$129,4,FALSE))</f>
        <v/>
      </c>
      <c r="AK132" s="507" t="str">
        <f t="shared" si="21"/>
        <v/>
      </c>
      <c r="AL132" s="507" t="str">
        <f t="shared" si="22"/>
        <v/>
      </c>
      <c r="AM132" s="540" t="str">
        <f>IFERROR(IF(F132="","",IF(AH132="Check Data ⚠","Check Data ⚠",VLOOKUP(AL132, 'G-3 Multipliers'!$P$2:$Q$6,2,FALSE))),"")</f>
        <v/>
      </c>
      <c r="AN132" s="513" t="str">
        <f t="shared" si="14"/>
        <v/>
      </c>
      <c r="AO132" s="239"/>
      <c r="AP132" s="240"/>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1" t="str">
        <f>'A-1 Site Habitat Baseline'!AL132</f>
        <v/>
      </c>
      <c r="F133" s="520" t="str">
        <f>IF(E133="","",IF(ISNA(VLOOKUP($E133,'A-1 Site Habitat Baseline'!$D$1:$O$258,4,FALSE)),"",(VLOOKUP($E133,'A-1 Site Habitat Baseline'!$D$1:$O$258,4,FALSE))))</f>
        <v/>
      </c>
      <c r="G133" s="520" t="str">
        <f>IF(E133="","",IF(ISNA(VLOOKUP($E133,'A-1 Site Habitat Baseline'!$D$1:$O$258,5,FALSE)),"",(VLOOKUP($E133,'A-1 Site Habitat Baseline'!$D$1:$O$258,5,FALSE))))</f>
        <v/>
      </c>
      <c r="H133" s="520" t="str">
        <f>IF(E133="","",IF(ISNA(VLOOKUP($E133,'A-1 Site Habitat Baseline'!$D$1:$O$258,6,FALSE)),"",(VLOOKUP($E133,'A-1 Site Habitat Baseline'!$D$1:$O$258,6,FALSE))))</f>
        <v/>
      </c>
      <c r="I133" s="520" t="str">
        <f>IF(E133="","",IF(ISNA(VLOOKUP($E133,'A-1 Site Habitat Baseline'!$D$1:$O$258,7,FALSE)),"",(VLOOKUP($E133,'A-1 Site Habitat Baseline'!$D$1:$O$258,7,FALSE))))</f>
        <v/>
      </c>
      <c r="J133" s="520" t="str">
        <f>IF(E133="","",IF(ISNA(VLOOKUP($E133,'A-1 Site Habitat Baseline'!$D$1:$O$258,8,FALSE)),"",(VLOOKUP($E133,'A-1 Site Habitat Baseline'!$D$1:$O$258,8,FALSE))))</f>
        <v/>
      </c>
      <c r="K133" s="520" t="str">
        <f>IF(E133="","",IF(ISNA(VLOOKUP($E133,'A-1 Site Habitat Baseline'!$D$1:$O$258,9,FALSE)),"",(VLOOKUP($E133,'A-1 Site Habitat Baseline'!$D$1:$O$258,9,FALSE))))</f>
        <v/>
      </c>
      <c r="L133" s="520" t="str">
        <f>IF(E133="","",IF(ISNA(VLOOKUP($E133,'A-1 Site Habitat Baseline'!$D$1:$O$258,11,FALSE)),"",(VLOOKUP($E133,'A-1 Site Habitat Baseline'!$D$1:$O$258,11,FALSE))))</f>
        <v/>
      </c>
      <c r="M133" s="520" t="str">
        <f>IF(E133="","",IF(ISNA(VLOOKUP($E133,'A-1 Site Habitat Baseline'!$D$1:$O$258,12,FALSE)),"",(VLOOKUP($E133,'A-1 Site Habitat Baseline'!$D$1:$O$258,12,FALSE))))</f>
        <v/>
      </c>
      <c r="N133" s="532" t="str">
        <f>IF(E133="","",IF(ISNA(VLOOKUP($E133,'A-1 Site Habitat Baseline'!$D$1:$X$258,14,FALSE)),"",(VLOOKUP($E133,'A-1 Site Habitat Baseline'!$D$1:$X$258,14,FALSE))))</f>
        <v/>
      </c>
      <c r="O133" s="524" t="str">
        <f>IF(E133="","",IF(ISNA(VLOOKUP($E133,'A-1 Site Habitat Baseline'!$D$1:$X$258,16,FALSE)),"",(VLOOKUP($E133,'A-1 Site Habitat Baseline'!$D$1:$X$258,13,FALSE))))</f>
        <v/>
      </c>
      <c r="P133" s="237" t="str">
        <f>IFERROR(INDEX('G-1 All Habitats'!$AG$3:$AG$15,MATCH(Q133,'G-1 All Habitats'!$AF$3:$AF$15,0)),"")</f>
        <v/>
      </c>
      <c r="Q133" s="238" t="str">
        <f t="shared" si="15"/>
        <v/>
      </c>
      <c r="R133" s="238" t="str">
        <f t="shared" si="16"/>
        <v/>
      </c>
      <c r="S133" s="392" t="str">
        <f>IFERROR(INDEX('G-1 All Habitats'!$B$3:$B$129,MATCH(R133,'G-1 All Habitats'!$A$3:$A$129,0)),"")</f>
        <v/>
      </c>
      <c r="T133" s="498" t="str">
        <f t="shared" si="17"/>
        <v/>
      </c>
      <c r="U133" s="499" t="str">
        <f t="shared" si="18"/>
        <v/>
      </c>
      <c r="V133" s="537" t="str">
        <f t="shared" si="12"/>
        <v/>
      </c>
      <c r="W133" s="520" t="str">
        <f>IF(S133="","",VLOOKUP(S133,'G-1 All Habitats'!$B$2:$M$129,10,FALSE))</f>
        <v/>
      </c>
      <c r="X133" s="520" t="str">
        <f>IFERROR(VLOOKUP(W133,'G-1 All Habitats'!$V$3:$W$7,2,FALSE),"")</f>
        <v/>
      </c>
      <c r="Y133" s="79"/>
      <c r="Z133" s="524" t="str">
        <f>IFERROR(INDEX('G-8 Condition Look up'!$A$3:$H$130,MATCH(S133,'G-8 Condition Look up'!$A$3:$A$130,0),MATCH(Y133,'G-8 Condition Look up'!$A$3:$H$3,0)),"")</f>
        <v/>
      </c>
      <c r="AA133" s="71"/>
      <c r="AB133" s="520" t="str">
        <f>IF(AA133="","",IF(VLOOKUP(AA133,'G-3 Multipliers'!$L$3:$N$6,2,FALSE)=0,"Spatial Data Missing ⚠",VLOOKUP(AA133,'G-3 Multipliers'!$L$3:$N$6,2,FALSE)))</f>
        <v/>
      </c>
      <c r="AC133" s="524" t="str">
        <f>IF(AA133="","",IF(VLOOKUP(AA133,'G-3 Multipliers'!$L$3:$N$6,3,FALSE)=0,"Spatial Data Missing ⚠",VLOOKUP(AA133,'G-3 Multipliers'!$L$3:$N$6,3,FALSE)))</f>
        <v/>
      </c>
      <c r="AD133" s="539" t="str">
        <f t="shared" si="13"/>
        <v/>
      </c>
      <c r="AE133" s="82"/>
      <c r="AF133" s="82"/>
      <c r="AG133" s="507" t="str">
        <f t="shared" si="19"/>
        <v/>
      </c>
      <c r="AH133" s="521" t="str">
        <f t="shared" si="20"/>
        <v/>
      </c>
      <c r="AI133" s="522" t="str">
        <f>IF(AH133="Check Data","Check Data",IFERROR(VLOOKUP(AH133,'G-4 Temporal multipliers'!$A$4:$C$36,3,FALSE),""))</f>
        <v/>
      </c>
      <c r="AJ133" s="498" t="str">
        <f>IF(S133="","",VLOOKUP(S133,'G-3 Multipliers'!$A$2:$E$129,4,FALSE))</f>
        <v/>
      </c>
      <c r="AK133" s="507" t="str">
        <f t="shared" si="21"/>
        <v/>
      </c>
      <c r="AL133" s="507" t="str">
        <f t="shared" si="22"/>
        <v/>
      </c>
      <c r="AM133" s="540" t="str">
        <f>IFERROR(IF(F133="","",IF(AH133="Check Data ⚠","Check Data ⚠",VLOOKUP(AL133, 'G-3 Multipliers'!$P$2:$Q$6,2,FALSE))),"")</f>
        <v/>
      </c>
      <c r="AN133" s="513" t="str">
        <f t="shared" si="14"/>
        <v/>
      </c>
      <c r="AO133" s="239"/>
      <c r="AP133" s="240"/>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1" t="str">
        <f>'A-1 Site Habitat Baseline'!AL133</f>
        <v/>
      </c>
      <c r="F134" s="520" t="str">
        <f>IF(E134="","",IF(ISNA(VLOOKUP($E134,'A-1 Site Habitat Baseline'!$D$1:$O$258,4,FALSE)),"",(VLOOKUP($E134,'A-1 Site Habitat Baseline'!$D$1:$O$258,4,FALSE))))</f>
        <v/>
      </c>
      <c r="G134" s="520" t="str">
        <f>IF(E134="","",IF(ISNA(VLOOKUP($E134,'A-1 Site Habitat Baseline'!$D$1:$O$258,5,FALSE)),"",(VLOOKUP($E134,'A-1 Site Habitat Baseline'!$D$1:$O$258,5,FALSE))))</f>
        <v/>
      </c>
      <c r="H134" s="520" t="str">
        <f>IF(E134="","",IF(ISNA(VLOOKUP($E134,'A-1 Site Habitat Baseline'!$D$1:$O$258,6,FALSE)),"",(VLOOKUP($E134,'A-1 Site Habitat Baseline'!$D$1:$O$258,6,FALSE))))</f>
        <v/>
      </c>
      <c r="I134" s="520" t="str">
        <f>IF(E134="","",IF(ISNA(VLOOKUP($E134,'A-1 Site Habitat Baseline'!$D$1:$O$258,7,FALSE)),"",(VLOOKUP($E134,'A-1 Site Habitat Baseline'!$D$1:$O$258,7,FALSE))))</f>
        <v/>
      </c>
      <c r="J134" s="520" t="str">
        <f>IF(E134="","",IF(ISNA(VLOOKUP($E134,'A-1 Site Habitat Baseline'!$D$1:$O$258,8,FALSE)),"",(VLOOKUP($E134,'A-1 Site Habitat Baseline'!$D$1:$O$258,8,FALSE))))</f>
        <v/>
      </c>
      <c r="K134" s="520" t="str">
        <f>IF(E134="","",IF(ISNA(VLOOKUP($E134,'A-1 Site Habitat Baseline'!$D$1:$O$258,9,FALSE)),"",(VLOOKUP($E134,'A-1 Site Habitat Baseline'!$D$1:$O$258,9,FALSE))))</f>
        <v/>
      </c>
      <c r="L134" s="520" t="str">
        <f>IF(E134="","",IF(ISNA(VLOOKUP($E134,'A-1 Site Habitat Baseline'!$D$1:$O$258,11,FALSE)),"",(VLOOKUP($E134,'A-1 Site Habitat Baseline'!$D$1:$O$258,11,FALSE))))</f>
        <v/>
      </c>
      <c r="M134" s="520" t="str">
        <f>IF(E134="","",IF(ISNA(VLOOKUP($E134,'A-1 Site Habitat Baseline'!$D$1:$O$258,12,FALSE)),"",(VLOOKUP($E134,'A-1 Site Habitat Baseline'!$D$1:$O$258,12,FALSE))))</f>
        <v/>
      </c>
      <c r="N134" s="532" t="str">
        <f>IF(E134="","",IF(ISNA(VLOOKUP($E134,'A-1 Site Habitat Baseline'!$D$1:$X$258,14,FALSE)),"",(VLOOKUP($E134,'A-1 Site Habitat Baseline'!$D$1:$X$258,14,FALSE))))</f>
        <v/>
      </c>
      <c r="O134" s="524" t="str">
        <f>IF(E134="","",IF(ISNA(VLOOKUP($E134,'A-1 Site Habitat Baseline'!$D$1:$X$258,16,FALSE)),"",(VLOOKUP($E134,'A-1 Site Habitat Baseline'!$D$1:$X$258,13,FALSE))))</f>
        <v/>
      </c>
      <c r="P134" s="237" t="str">
        <f>IFERROR(INDEX('G-1 All Habitats'!$AG$3:$AG$15,MATCH(Q134,'G-1 All Habitats'!$AF$3:$AF$15,0)),"")</f>
        <v/>
      </c>
      <c r="Q134" s="238" t="str">
        <f t="shared" si="15"/>
        <v/>
      </c>
      <c r="R134" s="238" t="str">
        <f t="shared" si="16"/>
        <v/>
      </c>
      <c r="S134" s="392" t="str">
        <f>IFERROR(INDEX('G-1 All Habitats'!$B$3:$B$129,MATCH(R134,'G-1 All Habitats'!$A$3:$A$129,0)),"")</f>
        <v/>
      </c>
      <c r="T134" s="498" t="str">
        <f t="shared" si="17"/>
        <v/>
      </c>
      <c r="U134" s="499" t="str">
        <f t="shared" si="18"/>
        <v/>
      </c>
      <c r="V134" s="537" t="str">
        <f t="shared" si="12"/>
        <v/>
      </c>
      <c r="W134" s="520" t="str">
        <f>IF(S134="","",VLOOKUP(S134,'G-1 All Habitats'!$B$2:$M$129,10,FALSE))</f>
        <v/>
      </c>
      <c r="X134" s="520" t="str">
        <f>IFERROR(VLOOKUP(W134,'G-1 All Habitats'!$V$3:$W$7,2,FALSE),"")</f>
        <v/>
      </c>
      <c r="Y134" s="79"/>
      <c r="Z134" s="524" t="str">
        <f>IFERROR(INDEX('G-8 Condition Look up'!$A$3:$H$130,MATCH(S134,'G-8 Condition Look up'!$A$3:$A$130,0),MATCH(Y134,'G-8 Condition Look up'!$A$3:$H$3,0)),"")</f>
        <v/>
      </c>
      <c r="AA134" s="71"/>
      <c r="AB134" s="520" t="str">
        <f>IF(AA134="","",IF(VLOOKUP(AA134,'G-3 Multipliers'!$L$3:$N$6,2,FALSE)=0,"Spatial Data Missing ⚠",VLOOKUP(AA134,'G-3 Multipliers'!$L$3:$N$6,2,FALSE)))</f>
        <v/>
      </c>
      <c r="AC134" s="524" t="str">
        <f>IF(AA134="","",IF(VLOOKUP(AA134,'G-3 Multipliers'!$L$3:$N$6,3,FALSE)=0,"Spatial Data Missing ⚠",VLOOKUP(AA134,'G-3 Multipliers'!$L$3:$N$6,3,FALSE)))</f>
        <v/>
      </c>
      <c r="AD134" s="539" t="str">
        <f t="shared" si="13"/>
        <v/>
      </c>
      <c r="AE134" s="82"/>
      <c r="AF134" s="82"/>
      <c r="AG134" s="507" t="str">
        <f t="shared" si="19"/>
        <v/>
      </c>
      <c r="AH134" s="521" t="str">
        <f t="shared" si="20"/>
        <v/>
      </c>
      <c r="AI134" s="522" t="str">
        <f>IF(AH134="Check Data","Check Data",IFERROR(VLOOKUP(AH134,'G-4 Temporal multipliers'!$A$4:$C$36,3,FALSE),""))</f>
        <v/>
      </c>
      <c r="AJ134" s="498" t="str">
        <f>IF(S134="","",VLOOKUP(S134,'G-3 Multipliers'!$A$2:$E$129,4,FALSE))</f>
        <v/>
      </c>
      <c r="AK134" s="507" t="str">
        <f t="shared" si="21"/>
        <v/>
      </c>
      <c r="AL134" s="507" t="str">
        <f t="shared" si="22"/>
        <v/>
      </c>
      <c r="AM134" s="540" t="str">
        <f>IFERROR(IF(F134="","",IF(AH134="Check Data ⚠","Check Data ⚠",VLOOKUP(AL134, 'G-3 Multipliers'!$P$2:$Q$6,2,FALSE))),"")</f>
        <v/>
      </c>
      <c r="AN134" s="513" t="str">
        <f t="shared" si="14"/>
        <v/>
      </c>
      <c r="AO134" s="239"/>
      <c r="AP134" s="240"/>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1" t="str">
        <f>'A-1 Site Habitat Baseline'!AL134</f>
        <v/>
      </c>
      <c r="F135" s="520" t="str">
        <f>IF(E135="","",IF(ISNA(VLOOKUP($E135,'A-1 Site Habitat Baseline'!$D$1:$O$258,4,FALSE)),"",(VLOOKUP($E135,'A-1 Site Habitat Baseline'!$D$1:$O$258,4,FALSE))))</f>
        <v/>
      </c>
      <c r="G135" s="520" t="str">
        <f>IF(E135="","",IF(ISNA(VLOOKUP($E135,'A-1 Site Habitat Baseline'!$D$1:$O$258,5,FALSE)),"",(VLOOKUP($E135,'A-1 Site Habitat Baseline'!$D$1:$O$258,5,FALSE))))</f>
        <v/>
      </c>
      <c r="H135" s="520" t="str">
        <f>IF(E135="","",IF(ISNA(VLOOKUP($E135,'A-1 Site Habitat Baseline'!$D$1:$O$258,6,FALSE)),"",(VLOOKUP($E135,'A-1 Site Habitat Baseline'!$D$1:$O$258,6,FALSE))))</f>
        <v/>
      </c>
      <c r="I135" s="520" t="str">
        <f>IF(E135="","",IF(ISNA(VLOOKUP($E135,'A-1 Site Habitat Baseline'!$D$1:$O$258,7,FALSE)),"",(VLOOKUP($E135,'A-1 Site Habitat Baseline'!$D$1:$O$258,7,FALSE))))</f>
        <v/>
      </c>
      <c r="J135" s="520" t="str">
        <f>IF(E135="","",IF(ISNA(VLOOKUP($E135,'A-1 Site Habitat Baseline'!$D$1:$O$258,8,FALSE)),"",(VLOOKUP($E135,'A-1 Site Habitat Baseline'!$D$1:$O$258,8,FALSE))))</f>
        <v/>
      </c>
      <c r="K135" s="520" t="str">
        <f>IF(E135="","",IF(ISNA(VLOOKUP($E135,'A-1 Site Habitat Baseline'!$D$1:$O$258,9,FALSE)),"",(VLOOKUP($E135,'A-1 Site Habitat Baseline'!$D$1:$O$258,9,FALSE))))</f>
        <v/>
      </c>
      <c r="L135" s="520" t="str">
        <f>IF(E135="","",IF(ISNA(VLOOKUP($E135,'A-1 Site Habitat Baseline'!$D$1:$O$258,11,FALSE)),"",(VLOOKUP($E135,'A-1 Site Habitat Baseline'!$D$1:$O$258,11,FALSE))))</f>
        <v/>
      </c>
      <c r="M135" s="520" t="str">
        <f>IF(E135="","",IF(ISNA(VLOOKUP($E135,'A-1 Site Habitat Baseline'!$D$1:$O$258,12,FALSE)),"",(VLOOKUP($E135,'A-1 Site Habitat Baseline'!$D$1:$O$258,12,FALSE))))</f>
        <v/>
      </c>
      <c r="N135" s="532" t="str">
        <f>IF(E135="","",IF(ISNA(VLOOKUP($E135,'A-1 Site Habitat Baseline'!$D$1:$X$258,14,FALSE)),"",(VLOOKUP($E135,'A-1 Site Habitat Baseline'!$D$1:$X$258,14,FALSE))))</f>
        <v/>
      </c>
      <c r="O135" s="524" t="str">
        <f>IF(E135="","",IF(ISNA(VLOOKUP($E135,'A-1 Site Habitat Baseline'!$D$1:$X$258,16,FALSE)),"",(VLOOKUP($E135,'A-1 Site Habitat Baseline'!$D$1:$X$258,13,FALSE))))</f>
        <v/>
      </c>
      <c r="P135" s="237" t="str">
        <f>IFERROR(INDEX('G-1 All Habitats'!$AG$3:$AG$15,MATCH(Q135,'G-1 All Habitats'!$AF$3:$AF$15,0)),"")</f>
        <v/>
      </c>
      <c r="Q135" s="238" t="str">
        <f t="shared" si="15"/>
        <v/>
      </c>
      <c r="R135" s="238" t="str">
        <f t="shared" si="16"/>
        <v/>
      </c>
      <c r="S135" s="392" t="str">
        <f>IFERROR(INDEX('G-1 All Habitats'!$B$3:$B$129,MATCH(R135,'G-1 All Habitats'!$A$3:$A$129,0)),"")</f>
        <v/>
      </c>
      <c r="T135" s="498" t="str">
        <f t="shared" si="17"/>
        <v/>
      </c>
      <c r="U135" s="499" t="str">
        <f t="shared" si="18"/>
        <v/>
      </c>
      <c r="V135" s="537" t="str">
        <f t="shared" si="12"/>
        <v/>
      </c>
      <c r="W135" s="520" t="str">
        <f>IF(S135="","",VLOOKUP(S135,'G-1 All Habitats'!$B$2:$M$129,10,FALSE))</f>
        <v/>
      </c>
      <c r="X135" s="520" t="str">
        <f>IFERROR(VLOOKUP(W135,'G-1 All Habitats'!$V$3:$W$7,2,FALSE),"")</f>
        <v/>
      </c>
      <c r="Y135" s="79"/>
      <c r="Z135" s="524" t="str">
        <f>IFERROR(INDEX('G-8 Condition Look up'!$A$3:$H$130,MATCH(S135,'G-8 Condition Look up'!$A$3:$A$130,0),MATCH(Y135,'G-8 Condition Look up'!$A$3:$H$3,0)),"")</f>
        <v/>
      </c>
      <c r="AA135" s="71"/>
      <c r="AB135" s="520" t="str">
        <f>IF(AA135="","",IF(VLOOKUP(AA135,'G-3 Multipliers'!$L$3:$N$6,2,FALSE)=0,"Spatial Data Missing ⚠",VLOOKUP(AA135,'G-3 Multipliers'!$L$3:$N$6,2,FALSE)))</f>
        <v/>
      </c>
      <c r="AC135" s="524" t="str">
        <f>IF(AA135="","",IF(VLOOKUP(AA135,'G-3 Multipliers'!$L$3:$N$6,3,FALSE)=0,"Spatial Data Missing ⚠",VLOOKUP(AA135,'G-3 Multipliers'!$L$3:$N$6,3,FALSE)))</f>
        <v/>
      </c>
      <c r="AD135" s="539" t="str">
        <f t="shared" si="13"/>
        <v/>
      </c>
      <c r="AE135" s="82"/>
      <c r="AF135" s="82"/>
      <c r="AG135" s="507" t="str">
        <f t="shared" si="19"/>
        <v/>
      </c>
      <c r="AH135" s="521" t="str">
        <f t="shared" si="20"/>
        <v/>
      </c>
      <c r="AI135" s="522" t="str">
        <f>IF(AH135="Check Data","Check Data",IFERROR(VLOOKUP(AH135,'G-4 Temporal multipliers'!$A$4:$C$36,3,FALSE),""))</f>
        <v/>
      </c>
      <c r="AJ135" s="498" t="str">
        <f>IF(S135="","",VLOOKUP(S135,'G-3 Multipliers'!$A$2:$E$129,4,FALSE))</f>
        <v/>
      </c>
      <c r="AK135" s="507" t="str">
        <f t="shared" si="21"/>
        <v/>
      </c>
      <c r="AL135" s="507" t="str">
        <f t="shared" si="22"/>
        <v/>
      </c>
      <c r="AM135" s="540" t="str">
        <f>IFERROR(IF(F135="","",IF(AH135="Check Data ⚠","Check Data ⚠",VLOOKUP(AL135, 'G-3 Multipliers'!$P$2:$Q$6,2,FALSE))),"")</f>
        <v/>
      </c>
      <c r="AN135" s="513" t="str">
        <f t="shared" si="14"/>
        <v/>
      </c>
      <c r="AO135" s="239"/>
      <c r="AP135" s="240"/>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1" t="str">
        <f>'A-1 Site Habitat Baseline'!AL135</f>
        <v/>
      </c>
      <c r="F136" s="520" t="str">
        <f>IF(E136="","",IF(ISNA(VLOOKUP($E136,'A-1 Site Habitat Baseline'!$D$1:$O$258,4,FALSE)),"",(VLOOKUP($E136,'A-1 Site Habitat Baseline'!$D$1:$O$258,4,FALSE))))</f>
        <v/>
      </c>
      <c r="G136" s="520" t="str">
        <f>IF(E136="","",IF(ISNA(VLOOKUP($E136,'A-1 Site Habitat Baseline'!$D$1:$O$258,5,FALSE)),"",(VLOOKUP($E136,'A-1 Site Habitat Baseline'!$D$1:$O$258,5,FALSE))))</f>
        <v/>
      </c>
      <c r="H136" s="520" t="str">
        <f>IF(E136="","",IF(ISNA(VLOOKUP($E136,'A-1 Site Habitat Baseline'!$D$1:$O$258,6,FALSE)),"",(VLOOKUP($E136,'A-1 Site Habitat Baseline'!$D$1:$O$258,6,FALSE))))</f>
        <v/>
      </c>
      <c r="I136" s="520" t="str">
        <f>IF(E136="","",IF(ISNA(VLOOKUP($E136,'A-1 Site Habitat Baseline'!$D$1:$O$258,7,FALSE)),"",(VLOOKUP($E136,'A-1 Site Habitat Baseline'!$D$1:$O$258,7,FALSE))))</f>
        <v/>
      </c>
      <c r="J136" s="520" t="str">
        <f>IF(E136="","",IF(ISNA(VLOOKUP($E136,'A-1 Site Habitat Baseline'!$D$1:$O$258,8,FALSE)),"",(VLOOKUP($E136,'A-1 Site Habitat Baseline'!$D$1:$O$258,8,FALSE))))</f>
        <v/>
      </c>
      <c r="K136" s="520" t="str">
        <f>IF(E136="","",IF(ISNA(VLOOKUP($E136,'A-1 Site Habitat Baseline'!$D$1:$O$258,9,FALSE)),"",(VLOOKUP($E136,'A-1 Site Habitat Baseline'!$D$1:$O$258,9,FALSE))))</f>
        <v/>
      </c>
      <c r="L136" s="520" t="str">
        <f>IF(E136="","",IF(ISNA(VLOOKUP($E136,'A-1 Site Habitat Baseline'!$D$1:$O$258,11,FALSE)),"",(VLOOKUP($E136,'A-1 Site Habitat Baseline'!$D$1:$O$258,11,FALSE))))</f>
        <v/>
      </c>
      <c r="M136" s="520" t="str">
        <f>IF(E136="","",IF(ISNA(VLOOKUP($E136,'A-1 Site Habitat Baseline'!$D$1:$O$258,12,FALSE)),"",(VLOOKUP($E136,'A-1 Site Habitat Baseline'!$D$1:$O$258,12,FALSE))))</f>
        <v/>
      </c>
      <c r="N136" s="532" t="str">
        <f>IF(E136="","",IF(ISNA(VLOOKUP($E136,'A-1 Site Habitat Baseline'!$D$1:$X$258,14,FALSE)),"",(VLOOKUP($E136,'A-1 Site Habitat Baseline'!$D$1:$X$258,14,FALSE))))</f>
        <v/>
      </c>
      <c r="O136" s="524" t="str">
        <f>IF(E136="","",IF(ISNA(VLOOKUP($E136,'A-1 Site Habitat Baseline'!$D$1:$X$258,16,FALSE)),"",(VLOOKUP($E136,'A-1 Site Habitat Baseline'!$D$1:$X$258,13,FALSE))))</f>
        <v/>
      </c>
      <c r="P136" s="237" t="str">
        <f>IFERROR(INDEX('G-1 All Habitats'!$AG$3:$AG$15,MATCH(Q136,'G-1 All Habitats'!$AF$3:$AF$15,0)),"")</f>
        <v/>
      </c>
      <c r="Q136" s="238" t="str">
        <f t="shared" si="15"/>
        <v/>
      </c>
      <c r="R136" s="238" t="str">
        <f t="shared" si="16"/>
        <v/>
      </c>
      <c r="S136" s="392" t="str">
        <f>IFERROR(INDEX('G-1 All Habitats'!$B$3:$B$129,MATCH(R136,'G-1 All Habitats'!$A$3:$A$129,0)),"")</f>
        <v/>
      </c>
      <c r="T136" s="498" t="str">
        <f t="shared" si="17"/>
        <v/>
      </c>
      <c r="U136" s="499" t="str">
        <f t="shared" si="18"/>
        <v/>
      </c>
      <c r="V136" s="537" t="str">
        <f t="shared" si="12"/>
        <v/>
      </c>
      <c r="W136" s="520" t="str">
        <f>IF(S136="","",VLOOKUP(S136,'G-1 All Habitats'!$B$2:$M$129,10,FALSE))</f>
        <v/>
      </c>
      <c r="X136" s="520" t="str">
        <f>IFERROR(VLOOKUP(W136,'G-1 All Habitats'!$V$3:$W$7,2,FALSE),"")</f>
        <v/>
      </c>
      <c r="Y136" s="79"/>
      <c r="Z136" s="524" t="str">
        <f>IFERROR(INDEX('G-8 Condition Look up'!$A$3:$H$130,MATCH(S136,'G-8 Condition Look up'!$A$3:$A$130,0),MATCH(Y136,'G-8 Condition Look up'!$A$3:$H$3,0)),"")</f>
        <v/>
      </c>
      <c r="AA136" s="71"/>
      <c r="AB136" s="520" t="str">
        <f>IF(AA136="","",IF(VLOOKUP(AA136,'G-3 Multipliers'!$L$3:$N$6,2,FALSE)=0,"Spatial Data Missing ⚠",VLOOKUP(AA136,'G-3 Multipliers'!$L$3:$N$6,2,FALSE)))</f>
        <v/>
      </c>
      <c r="AC136" s="524" t="str">
        <f>IF(AA136="","",IF(VLOOKUP(AA136,'G-3 Multipliers'!$L$3:$N$6,3,FALSE)=0,"Spatial Data Missing ⚠",VLOOKUP(AA136,'G-3 Multipliers'!$L$3:$N$6,3,FALSE)))</f>
        <v/>
      </c>
      <c r="AD136" s="539" t="str">
        <f t="shared" si="13"/>
        <v/>
      </c>
      <c r="AE136" s="82"/>
      <c r="AF136" s="82"/>
      <c r="AG136" s="507" t="str">
        <f t="shared" si="19"/>
        <v/>
      </c>
      <c r="AH136" s="521" t="str">
        <f t="shared" si="20"/>
        <v/>
      </c>
      <c r="AI136" s="522" t="str">
        <f>IF(AH136="Check Data","Check Data",IFERROR(VLOOKUP(AH136,'G-4 Temporal multipliers'!$A$4:$C$36,3,FALSE),""))</f>
        <v/>
      </c>
      <c r="AJ136" s="498" t="str">
        <f>IF(S136="","",VLOOKUP(S136,'G-3 Multipliers'!$A$2:$E$129,4,FALSE))</f>
        <v/>
      </c>
      <c r="AK136" s="507" t="str">
        <f t="shared" si="21"/>
        <v/>
      </c>
      <c r="AL136" s="507" t="str">
        <f t="shared" si="22"/>
        <v/>
      </c>
      <c r="AM136" s="540" t="str">
        <f>IFERROR(IF(F136="","",IF(AH136="Check Data ⚠","Check Data ⚠",VLOOKUP(AL136, 'G-3 Multipliers'!$P$2:$Q$6,2,FALSE))),"")</f>
        <v/>
      </c>
      <c r="AN136" s="513" t="str">
        <f t="shared" si="14"/>
        <v/>
      </c>
      <c r="AO136" s="239"/>
      <c r="AP136" s="240"/>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1" t="str">
        <f>'A-1 Site Habitat Baseline'!AL136</f>
        <v/>
      </c>
      <c r="F137" s="520" t="str">
        <f>IF(E137="","",IF(ISNA(VLOOKUP($E137,'A-1 Site Habitat Baseline'!$D$1:$O$258,4,FALSE)),"",(VLOOKUP($E137,'A-1 Site Habitat Baseline'!$D$1:$O$258,4,FALSE))))</f>
        <v/>
      </c>
      <c r="G137" s="520" t="str">
        <f>IF(E137="","",IF(ISNA(VLOOKUP($E137,'A-1 Site Habitat Baseline'!$D$1:$O$258,5,FALSE)),"",(VLOOKUP($E137,'A-1 Site Habitat Baseline'!$D$1:$O$258,5,FALSE))))</f>
        <v/>
      </c>
      <c r="H137" s="520" t="str">
        <f>IF(E137="","",IF(ISNA(VLOOKUP($E137,'A-1 Site Habitat Baseline'!$D$1:$O$258,6,FALSE)),"",(VLOOKUP($E137,'A-1 Site Habitat Baseline'!$D$1:$O$258,6,FALSE))))</f>
        <v/>
      </c>
      <c r="I137" s="520" t="str">
        <f>IF(E137="","",IF(ISNA(VLOOKUP($E137,'A-1 Site Habitat Baseline'!$D$1:$O$258,7,FALSE)),"",(VLOOKUP($E137,'A-1 Site Habitat Baseline'!$D$1:$O$258,7,FALSE))))</f>
        <v/>
      </c>
      <c r="J137" s="520" t="str">
        <f>IF(E137="","",IF(ISNA(VLOOKUP($E137,'A-1 Site Habitat Baseline'!$D$1:$O$258,8,FALSE)),"",(VLOOKUP($E137,'A-1 Site Habitat Baseline'!$D$1:$O$258,8,FALSE))))</f>
        <v/>
      </c>
      <c r="K137" s="520" t="str">
        <f>IF(E137="","",IF(ISNA(VLOOKUP($E137,'A-1 Site Habitat Baseline'!$D$1:$O$258,9,FALSE)),"",(VLOOKUP($E137,'A-1 Site Habitat Baseline'!$D$1:$O$258,9,FALSE))))</f>
        <v/>
      </c>
      <c r="L137" s="520" t="str">
        <f>IF(E137="","",IF(ISNA(VLOOKUP($E137,'A-1 Site Habitat Baseline'!$D$1:$O$258,11,FALSE)),"",(VLOOKUP($E137,'A-1 Site Habitat Baseline'!$D$1:$O$258,11,FALSE))))</f>
        <v/>
      </c>
      <c r="M137" s="520" t="str">
        <f>IF(E137="","",IF(ISNA(VLOOKUP($E137,'A-1 Site Habitat Baseline'!$D$1:$O$258,12,FALSE)),"",(VLOOKUP($E137,'A-1 Site Habitat Baseline'!$D$1:$O$258,12,FALSE))))</f>
        <v/>
      </c>
      <c r="N137" s="532" t="str">
        <f>IF(E137="","",IF(ISNA(VLOOKUP($E137,'A-1 Site Habitat Baseline'!$D$1:$X$258,14,FALSE)),"",(VLOOKUP($E137,'A-1 Site Habitat Baseline'!$D$1:$X$258,14,FALSE))))</f>
        <v/>
      </c>
      <c r="O137" s="524" t="str">
        <f>IF(E137="","",IF(ISNA(VLOOKUP($E137,'A-1 Site Habitat Baseline'!$D$1:$X$258,16,FALSE)),"",(VLOOKUP($E137,'A-1 Site Habitat Baseline'!$D$1:$X$258,13,FALSE))))</f>
        <v/>
      </c>
      <c r="P137" s="237" t="str">
        <f>IFERROR(INDEX('G-1 All Habitats'!$AG$3:$AG$15,MATCH(Q137,'G-1 All Habitats'!$AF$3:$AF$15,0)),"")</f>
        <v/>
      </c>
      <c r="Q137" s="238" t="str">
        <f t="shared" si="15"/>
        <v/>
      </c>
      <c r="R137" s="238" t="str">
        <f t="shared" si="16"/>
        <v/>
      </c>
      <c r="S137" s="392" t="str">
        <f>IFERROR(INDEX('G-1 All Habitats'!$B$3:$B$129,MATCH(R137,'G-1 All Habitats'!$A$3:$A$129,0)),"")</f>
        <v/>
      </c>
      <c r="T137" s="498" t="str">
        <f t="shared" si="17"/>
        <v/>
      </c>
      <c r="U137" s="499" t="str">
        <f t="shared" si="18"/>
        <v/>
      </c>
      <c r="V137" s="537" t="str">
        <f t="shared" si="12"/>
        <v/>
      </c>
      <c r="W137" s="520" t="str">
        <f>IF(S137="","",VLOOKUP(S137,'G-1 All Habitats'!$B$2:$M$129,10,FALSE))</f>
        <v/>
      </c>
      <c r="X137" s="520" t="str">
        <f>IFERROR(VLOOKUP(W137,'G-1 All Habitats'!$V$3:$W$7,2,FALSE),"")</f>
        <v/>
      </c>
      <c r="Y137" s="79"/>
      <c r="Z137" s="524" t="str">
        <f>IFERROR(INDEX('G-8 Condition Look up'!$A$3:$H$130,MATCH(S137,'G-8 Condition Look up'!$A$3:$A$130,0),MATCH(Y137,'G-8 Condition Look up'!$A$3:$H$3,0)),"")</f>
        <v/>
      </c>
      <c r="AA137" s="71"/>
      <c r="AB137" s="520" t="str">
        <f>IF(AA137="","",IF(VLOOKUP(AA137,'G-3 Multipliers'!$L$3:$N$6,2,FALSE)=0,"Spatial Data Missing ⚠",VLOOKUP(AA137,'G-3 Multipliers'!$L$3:$N$6,2,FALSE)))</f>
        <v/>
      </c>
      <c r="AC137" s="524" t="str">
        <f>IF(AA137="","",IF(VLOOKUP(AA137,'G-3 Multipliers'!$L$3:$N$6,3,FALSE)=0,"Spatial Data Missing ⚠",VLOOKUP(AA137,'G-3 Multipliers'!$L$3:$N$6,3,FALSE)))</f>
        <v/>
      </c>
      <c r="AD137" s="539" t="str">
        <f t="shared" si="13"/>
        <v/>
      </c>
      <c r="AE137" s="82"/>
      <c r="AF137" s="82"/>
      <c r="AG137" s="507" t="str">
        <f t="shared" si="19"/>
        <v/>
      </c>
      <c r="AH137" s="521" t="str">
        <f t="shared" si="20"/>
        <v/>
      </c>
      <c r="AI137" s="522" t="str">
        <f>IF(AH137="Check Data","Check Data",IFERROR(VLOOKUP(AH137,'G-4 Temporal multipliers'!$A$4:$C$36,3,FALSE),""))</f>
        <v/>
      </c>
      <c r="AJ137" s="498" t="str">
        <f>IF(S137="","",VLOOKUP(S137,'G-3 Multipliers'!$A$2:$E$129,4,FALSE))</f>
        <v/>
      </c>
      <c r="AK137" s="507" t="str">
        <f t="shared" si="21"/>
        <v/>
      </c>
      <c r="AL137" s="507" t="str">
        <f t="shared" si="22"/>
        <v/>
      </c>
      <c r="AM137" s="540" t="str">
        <f>IFERROR(IF(F137="","",IF(AH137="Check Data ⚠","Check Data ⚠",VLOOKUP(AL137, 'G-3 Multipliers'!$P$2:$Q$6,2,FALSE))),"")</f>
        <v/>
      </c>
      <c r="AN137" s="513" t="str">
        <f t="shared" si="14"/>
        <v/>
      </c>
      <c r="AO137" s="239"/>
      <c r="AP137" s="240"/>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1" t="str">
        <f>'A-1 Site Habitat Baseline'!AL137</f>
        <v/>
      </c>
      <c r="F138" s="520" t="str">
        <f>IF(E138="","",IF(ISNA(VLOOKUP($E138,'A-1 Site Habitat Baseline'!$D$1:$O$258,4,FALSE)),"",(VLOOKUP($E138,'A-1 Site Habitat Baseline'!$D$1:$O$258,4,FALSE))))</f>
        <v/>
      </c>
      <c r="G138" s="520" t="str">
        <f>IF(E138="","",IF(ISNA(VLOOKUP($E138,'A-1 Site Habitat Baseline'!$D$1:$O$258,5,FALSE)),"",(VLOOKUP($E138,'A-1 Site Habitat Baseline'!$D$1:$O$258,5,FALSE))))</f>
        <v/>
      </c>
      <c r="H138" s="520" t="str">
        <f>IF(E138="","",IF(ISNA(VLOOKUP($E138,'A-1 Site Habitat Baseline'!$D$1:$O$258,6,FALSE)),"",(VLOOKUP($E138,'A-1 Site Habitat Baseline'!$D$1:$O$258,6,FALSE))))</f>
        <v/>
      </c>
      <c r="I138" s="520" t="str">
        <f>IF(E138="","",IF(ISNA(VLOOKUP($E138,'A-1 Site Habitat Baseline'!$D$1:$O$258,7,FALSE)),"",(VLOOKUP($E138,'A-1 Site Habitat Baseline'!$D$1:$O$258,7,FALSE))))</f>
        <v/>
      </c>
      <c r="J138" s="520" t="str">
        <f>IF(E138="","",IF(ISNA(VLOOKUP($E138,'A-1 Site Habitat Baseline'!$D$1:$O$258,8,FALSE)),"",(VLOOKUP($E138,'A-1 Site Habitat Baseline'!$D$1:$O$258,8,FALSE))))</f>
        <v/>
      </c>
      <c r="K138" s="520" t="str">
        <f>IF(E138="","",IF(ISNA(VLOOKUP($E138,'A-1 Site Habitat Baseline'!$D$1:$O$258,9,FALSE)),"",(VLOOKUP($E138,'A-1 Site Habitat Baseline'!$D$1:$O$258,9,FALSE))))</f>
        <v/>
      </c>
      <c r="L138" s="520" t="str">
        <f>IF(E138="","",IF(ISNA(VLOOKUP($E138,'A-1 Site Habitat Baseline'!$D$1:$O$258,11,FALSE)),"",(VLOOKUP($E138,'A-1 Site Habitat Baseline'!$D$1:$O$258,11,FALSE))))</f>
        <v/>
      </c>
      <c r="M138" s="520" t="str">
        <f>IF(E138="","",IF(ISNA(VLOOKUP($E138,'A-1 Site Habitat Baseline'!$D$1:$O$258,12,FALSE)),"",(VLOOKUP($E138,'A-1 Site Habitat Baseline'!$D$1:$O$258,12,FALSE))))</f>
        <v/>
      </c>
      <c r="N138" s="532" t="str">
        <f>IF(E138="","",IF(ISNA(VLOOKUP($E138,'A-1 Site Habitat Baseline'!$D$1:$X$258,14,FALSE)),"",(VLOOKUP($E138,'A-1 Site Habitat Baseline'!$D$1:$X$258,14,FALSE))))</f>
        <v/>
      </c>
      <c r="O138" s="524" t="str">
        <f>IF(E138="","",IF(ISNA(VLOOKUP($E138,'A-1 Site Habitat Baseline'!$D$1:$X$258,16,FALSE)),"",(VLOOKUP($E138,'A-1 Site Habitat Baseline'!$D$1:$X$258,13,FALSE))))</f>
        <v/>
      </c>
      <c r="P138" s="237" t="str">
        <f>IFERROR(INDEX('G-1 All Habitats'!$AG$3:$AG$15,MATCH(Q138,'G-1 All Habitats'!$AF$3:$AF$15,0)),"")</f>
        <v/>
      </c>
      <c r="Q138" s="238" t="str">
        <f t="shared" si="15"/>
        <v/>
      </c>
      <c r="R138" s="238" t="str">
        <f t="shared" si="16"/>
        <v/>
      </c>
      <c r="S138" s="392" t="str">
        <f>IFERROR(INDEX('G-1 All Habitats'!$B$3:$B$129,MATCH(R138,'G-1 All Habitats'!$A$3:$A$129,0)),"")</f>
        <v/>
      </c>
      <c r="T138" s="498" t="str">
        <f t="shared" si="17"/>
        <v/>
      </c>
      <c r="U138" s="499" t="str">
        <f t="shared" si="18"/>
        <v/>
      </c>
      <c r="V138" s="537" t="str">
        <f t="shared" si="12"/>
        <v/>
      </c>
      <c r="W138" s="520" t="str">
        <f>IF(S138="","",VLOOKUP(S138,'G-1 All Habitats'!$B$2:$M$129,10,FALSE))</f>
        <v/>
      </c>
      <c r="X138" s="520" t="str">
        <f>IFERROR(VLOOKUP(W138,'G-1 All Habitats'!$V$3:$W$7,2,FALSE),"")</f>
        <v/>
      </c>
      <c r="Y138" s="79"/>
      <c r="Z138" s="524" t="str">
        <f>IFERROR(INDEX('G-8 Condition Look up'!$A$3:$H$130,MATCH(S138,'G-8 Condition Look up'!$A$3:$A$130,0),MATCH(Y138,'G-8 Condition Look up'!$A$3:$H$3,0)),"")</f>
        <v/>
      </c>
      <c r="AA138" s="71"/>
      <c r="AB138" s="520" t="str">
        <f>IF(AA138="","",IF(VLOOKUP(AA138,'G-3 Multipliers'!$L$3:$N$6,2,FALSE)=0,"Spatial Data Missing ⚠",VLOOKUP(AA138,'G-3 Multipliers'!$L$3:$N$6,2,FALSE)))</f>
        <v/>
      </c>
      <c r="AC138" s="524" t="str">
        <f>IF(AA138="","",IF(VLOOKUP(AA138,'G-3 Multipliers'!$L$3:$N$6,3,FALSE)=0,"Spatial Data Missing ⚠",VLOOKUP(AA138,'G-3 Multipliers'!$L$3:$N$6,3,FALSE)))</f>
        <v/>
      </c>
      <c r="AD138" s="539" t="str">
        <f t="shared" si="13"/>
        <v/>
      </c>
      <c r="AE138" s="82"/>
      <c r="AF138" s="82"/>
      <c r="AG138" s="507" t="str">
        <f t="shared" si="19"/>
        <v/>
      </c>
      <c r="AH138" s="521" t="str">
        <f t="shared" si="20"/>
        <v/>
      </c>
      <c r="AI138" s="522" t="str">
        <f>IF(AH138="Check Data","Check Data",IFERROR(VLOOKUP(AH138,'G-4 Temporal multipliers'!$A$4:$C$36,3,FALSE),""))</f>
        <v/>
      </c>
      <c r="AJ138" s="498" t="str">
        <f>IF(S138="","",VLOOKUP(S138,'G-3 Multipliers'!$A$2:$E$129,4,FALSE))</f>
        <v/>
      </c>
      <c r="AK138" s="507" t="str">
        <f t="shared" si="21"/>
        <v/>
      </c>
      <c r="AL138" s="507" t="str">
        <f t="shared" si="22"/>
        <v/>
      </c>
      <c r="AM138" s="540" t="str">
        <f>IFERROR(IF(F138="","",IF(AH138="Check Data ⚠","Check Data ⚠",VLOOKUP(AL138, 'G-3 Multipliers'!$P$2:$Q$6,2,FALSE))),"")</f>
        <v/>
      </c>
      <c r="AN138" s="513" t="str">
        <f t="shared" si="14"/>
        <v/>
      </c>
      <c r="AO138" s="239"/>
      <c r="AP138" s="240"/>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1" t="str">
        <f>'A-1 Site Habitat Baseline'!AL138</f>
        <v/>
      </c>
      <c r="F139" s="520" t="str">
        <f>IF(E139="","",IF(ISNA(VLOOKUP($E139,'A-1 Site Habitat Baseline'!$D$1:$O$258,4,FALSE)),"",(VLOOKUP($E139,'A-1 Site Habitat Baseline'!$D$1:$O$258,4,FALSE))))</f>
        <v/>
      </c>
      <c r="G139" s="520" t="str">
        <f>IF(E139="","",IF(ISNA(VLOOKUP($E139,'A-1 Site Habitat Baseline'!$D$1:$O$258,5,FALSE)),"",(VLOOKUP($E139,'A-1 Site Habitat Baseline'!$D$1:$O$258,5,FALSE))))</f>
        <v/>
      </c>
      <c r="H139" s="520" t="str">
        <f>IF(E139="","",IF(ISNA(VLOOKUP($E139,'A-1 Site Habitat Baseline'!$D$1:$O$258,6,FALSE)),"",(VLOOKUP($E139,'A-1 Site Habitat Baseline'!$D$1:$O$258,6,FALSE))))</f>
        <v/>
      </c>
      <c r="I139" s="520" t="str">
        <f>IF(E139="","",IF(ISNA(VLOOKUP($E139,'A-1 Site Habitat Baseline'!$D$1:$O$258,7,FALSE)),"",(VLOOKUP($E139,'A-1 Site Habitat Baseline'!$D$1:$O$258,7,FALSE))))</f>
        <v/>
      </c>
      <c r="J139" s="520" t="str">
        <f>IF(E139="","",IF(ISNA(VLOOKUP($E139,'A-1 Site Habitat Baseline'!$D$1:$O$258,8,FALSE)),"",(VLOOKUP($E139,'A-1 Site Habitat Baseline'!$D$1:$O$258,8,FALSE))))</f>
        <v/>
      </c>
      <c r="K139" s="520" t="str">
        <f>IF(E139="","",IF(ISNA(VLOOKUP($E139,'A-1 Site Habitat Baseline'!$D$1:$O$258,9,FALSE)),"",(VLOOKUP($E139,'A-1 Site Habitat Baseline'!$D$1:$O$258,9,FALSE))))</f>
        <v/>
      </c>
      <c r="L139" s="520" t="str">
        <f>IF(E139="","",IF(ISNA(VLOOKUP($E139,'A-1 Site Habitat Baseline'!$D$1:$O$258,11,FALSE)),"",(VLOOKUP($E139,'A-1 Site Habitat Baseline'!$D$1:$O$258,11,FALSE))))</f>
        <v/>
      </c>
      <c r="M139" s="520" t="str">
        <f>IF(E139="","",IF(ISNA(VLOOKUP($E139,'A-1 Site Habitat Baseline'!$D$1:$O$258,12,FALSE)),"",(VLOOKUP($E139,'A-1 Site Habitat Baseline'!$D$1:$O$258,12,FALSE))))</f>
        <v/>
      </c>
      <c r="N139" s="532" t="str">
        <f>IF(E139="","",IF(ISNA(VLOOKUP($E139,'A-1 Site Habitat Baseline'!$D$1:$X$258,14,FALSE)),"",(VLOOKUP($E139,'A-1 Site Habitat Baseline'!$D$1:$X$258,14,FALSE))))</f>
        <v/>
      </c>
      <c r="O139" s="524" t="str">
        <f>IF(E139="","",IF(ISNA(VLOOKUP($E139,'A-1 Site Habitat Baseline'!$D$1:$X$258,16,FALSE)),"",(VLOOKUP($E139,'A-1 Site Habitat Baseline'!$D$1:$X$258,13,FALSE))))</f>
        <v/>
      </c>
      <c r="P139" s="237" t="str">
        <f>IFERROR(INDEX('G-1 All Habitats'!$AG$3:$AG$15,MATCH(Q139,'G-1 All Habitats'!$AF$3:$AF$15,0)),"")</f>
        <v/>
      </c>
      <c r="Q139" s="238" t="str">
        <f t="shared" si="15"/>
        <v/>
      </c>
      <c r="R139" s="238" t="str">
        <f t="shared" si="16"/>
        <v/>
      </c>
      <c r="S139" s="392" t="str">
        <f>IFERROR(INDEX('G-1 All Habitats'!$B$3:$B$129,MATCH(R139,'G-1 All Habitats'!$A$3:$A$129,0)),"")</f>
        <v/>
      </c>
      <c r="T139" s="498" t="str">
        <f t="shared" si="17"/>
        <v/>
      </c>
      <c r="U139" s="499" t="str">
        <f t="shared" si="18"/>
        <v/>
      </c>
      <c r="V139" s="537" t="str">
        <f t="shared" si="12"/>
        <v/>
      </c>
      <c r="W139" s="520" t="str">
        <f>IF(S139="","",VLOOKUP(S139,'G-1 All Habitats'!$B$2:$M$129,10,FALSE))</f>
        <v/>
      </c>
      <c r="X139" s="520" t="str">
        <f>IFERROR(VLOOKUP(W139,'G-1 All Habitats'!$V$3:$W$7,2,FALSE),"")</f>
        <v/>
      </c>
      <c r="Y139" s="79"/>
      <c r="Z139" s="524" t="str">
        <f>IFERROR(INDEX('G-8 Condition Look up'!$A$3:$H$130,MATCH(S139,'G-8 Condition Look up'!$A$3:$A$130,0),MATCH(Y139,'G-8 Condition Look up'!$A$3:$H$3,0)),"")</f>
        <v/>
      </c>
      <c r="AA139" s="71"/>
      <c r="AB139" s="520" t="str">
        <f>IF(AA139="","",IF(VLOOKUP(AA139,'G-3 Multipliers'!$L$3:$N$6,2,FALSE)=0,"Spatial Data Missing ⚠",VLOOKUP(AA139,'G-3 Multipliers'!$L$3:$N$6,2,FALSE)))</f>
        <v/>
      </c>
      <c r="AC139" s="524" t="str">
        <f>IF(AA139="","",IF(VLOOKUP(AA139,'G-3 Multipliers'!$L$3:$N$6,3,FALSE)=0,"Spatial Data Missing ⚠",VLOOKUP(AA139,'G-3 Multipliers'!$L$3:$N$6,3,FALSE)))</f>
        <v/>
      </c>
      <c r="AD139" s="539" t="str">
        <f t="shared" si="13"/>
        <v/>
      </c>
      <c r="AE139" s="82"/>
      <c r="AF139" s="82"/>
      <c r="AG139" s="507" t="str">
        <f t="shared" si="19"/>
        <v/>
      </c>
      <c r="AH139" s="521" t="str">
        <f t="shared" si="20"/>
        <v/>
      </c>
      <c r="AI139" s="522" t="str">
        <f>IF(AH139="Check Data","Check Data",IFERROR(VLOOKUP(AH139,'G-4 Temporal multipliers'!$A$4:$C$36,3,FALSE),""))</f>
        <v/>
      </c>
      <c r="AJ139" s="498" t="str">
        <f>IF(S139="","",VLOOKUP(S139,'G-3 Multipliers'!$A$2:$E$129,4,FALSE))</f>
        <v/>
      </c>
      <c r="AK139" s="507" t="str">
        <f t="shared" si="21"/>
        <v/>
      </c>
      <c r="AL139" s="507" t="str">
        <f t="shared" si="22"/>
        <v/>
      </c>
      <c r="AM139" s="540" t="str">
        <f>IFERROR(IF(F139="","",IF(AH139="Check Data ⚠","Check Data ⚠",VLOOKUP(AL139, 'G-3 Multipliers'!$P$2:$Q$6,2,FALSE))),"")</f>
        <v/>
      </c>
      <c r="AN139" s="513" t="str">
        <f t="shared" si="14"/>
        <v/>
      </c>
      <c r="AO139" s="239"/>
      <c r="AP139" s="240"/>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1" t="str">
        <f>'A-1 Site Habitat Baseline'!AL139</f>
        <v/>
      </c>
      <c r="F140" s="520" t="str">
        <f>IF(E140="","",IF(ISNA(VLOOKUP($E140,'A-1 Site Habitat Baseline'!$D$1:$O$258,4,FALSE)),"",(VLOOKUP($E140,'A-1 Site Habitat Baseline'!$D$1:$O$258,4,FALSE))))</f>
        <v/>
      </c>
      <c r="G140" s="520" t="str">
        <f>IF(E140="","",IF(ISNA(VLOOKUP($E140,'A-1 Site Habitat Baseline'!$D$1:$O$258,5,FALSE)),"",(VLOOKUP($E140,'A-1 Site Habitat Baseline'!$D$1:$O$258,5,FALSE))))</f>
        <v/>
      </c>
      <c r="H140" s="520" t="str">
        <f>IF(E140="","",IF(ISNA(VLOOKUP($E140,'A-1 Site Habitat Baseline'!$D$1:$O$258,6,FALSE)),"",(VLOOKUP($E140,'A-1 Site Habitat Baseline'!$D$1:$O$258,6,FALSE))))</f>
        <v/>
      </c>
      <c r="I140" s="520" t="str">
        <f>IF(E140="","",IF(ISNA(VLOOKUP($E140,'A-1 Site Habitat Baseline'!$D$1:$O$258,7,FALSE)),"",(VLOOKUP($E140,'A-1 Site Habitat Baseline'!$D$1:$O$258,7,FALSE))))</f>
        <v/>
      </c>
      <c r="J140" s="520" t="str">
        <f>IF(E140="","",IF(ISNA(VLOOKUP($E140,'A-1 Site Habitat Baseline'!$D$1:$O$258,8,FALSE)),"",(VLOOKUP($E140,'A-1 Site Habitat Baseline'!$D$1:$O$258,8,FALSE))))</f>
        <v/>
      </c>
      <c r="K140" s="520" t="str">
        <f>IF(E140="","",IF(ISNA(VLOOKUP($E140,'A-1 Site Habitat Baseline'!$D$1:$O$258,9,FALSE)),"",(VLOOKUP($E140,'A-1 Site Habitat Baseline'!$D$1:$O$258,9,FALSE))))</f>
        <v/>
      </c>
      <c r="L140" s="520" t="str">
        <f>IF(E140="","",IF(ISNA(VLOOKUP($E140,'A-1 Site Habitat Baseline'!$D$1:$O$258,11,FALSE)),"",(VLOOKUP($E140,'A-1 Site Habitat Baseline'!$D$1:$O$258,11,FALSE))))</f>
        <v/>
      </c>
      <c r="M140" s="520" t="str">
        <f>IF(E140="","",IF(ISNA(VLOOKUP($E140,'A-1 Site Habitat Baseline'!$D$1:$O$258,12,FALSE)),"",(VLOOKUP($E140,'A-1 Site Habitat Baseline'!$D$1:$O$258,12,FALSE))))</f>
        <v/>
      </c>
      <c r="N140" s="532" t="str">
        <f>IF(E140="","",IF(ISNA(VLOOKUP($E140,'A-1 Site Habitat Baseline'!$D$1:$X$258,14,FALSE)),"",(VLOOKUP($E140,'A-1 Site Habitat Baseline'!$D$1:$X$258,14,FALSE))))</f>
        <v/>
      </c>
      <c r="O140" s="524" t="str">
        <f>IF(E140="","",IF(ISNA(VLOOKUP($E140,'A-1 Site Habitat Baseline'!$D$1:$X$258,16,FALSE)),"",(VLOOKUP($E140,'A-1 Site Habitat Baseline'!$D$1:$X$258,13,FALSE))))</f>
        <v/>
      </c>
      <c r="P140" s="237" t="str">
        <f>IFERROR(INDEX('G-1 All Habitats'!$AG$3:$AG$15,MATCH(Q140,'G-1 All Habitats'!$AF$3:$AF$15,0)),"")</f>
        <v/>
      </c>
      <c r="Q140" s="238" t="str">
        <f t="shared" si="15"/>
        <v/>
      </c>
      <c r="R140" s="238" t="str">
        <f t="shared" si="16"/>
        <v/>
      </c>
      <c r="S140" s="392" t="str">
        <f>IFERROR(INDEX('G-1 All Habitats'!$B$3:$B$129,MATCH(R140,'G-1 All Habitats'!$A$3:$A$129,0)),"")</f>
        <v/>
      </c>
      <c r="T140" s="498" t="str">
        <f t="shared" si="17"/>
        <v/>
      </c>
      <c r="U140" s="499" t="str">
        <f t="shared" si="18"/>
        <v/>
      </c>
      <c r="V140" s="537" t="str">
        <f t="shared" ref="V140:V203" si="23">IF(S140="","",VLOOKUP(E140,BaselineHabSite,17,FALSE))</f>
        <v/>
      </c>
      <c r="W140" s="520" t="str">
        <f>IF(S140="","",VLOOKUP(S140,'G-1 All Habitats'!$B$2:$M$129,10,FALSE))</f>
        <v/>
      </c>
      <c r="X140" s="520" t="str">
        <f>IFERROR(VLOOKUP(W140,'G-1 All Habitats'!$V$3:$W$7,2,FALSE),"")</f>
        <v/>
      </c>
      <c r="Y140" s="79"/>
      <c r="Z140" s="524" t="str">
        <f>IFERROR(INDEX('G-8 Condition Look up'!$A$3:$H$130,MATCH(S140,'G-8 Condition Look up'!$A$3:$A$130,0),MATCH(Y140,'G-8 Condition Look up'!$A$3:$H$3,0)),"")</f>
        <v/>
      </c>
      <c r="AA140" s="71"/>
      <c r="AB140" s="520" t="str">
        <f>IF(AA140="","",IF(VLOOKUP(AA140,'G-3 Multipliers'!$L$3:$N$6,2,FALSE)=0,"Spatial Data Missing ⚠",VLOOKUP(AA140,'G-3 Multipliers'!$L$3:$N$6,2,FALSE)))</f>
        <v/>
      </c>
      <c r="AC140" s="524" t="str">
        <f>IF(AA140="","",IF(VLOOKUP(AA140,'G-3 Multipliers'!$L$3:$N$6,3,FALSE)=0,"Spatial Data Missing ⚠",VLOOKUP(AA140,'G-3 Multipliers'!$L$3:$N$6,3,FALSE)))</f>
        <v/>
      </c>
      <c r="AD140" s="539" t="str">
        <f t="shared" ref="AD140:AD203" si="24">IFERROR(IF(OR(LEFT(U140,5)="Error ▲",LEFT(T140,5)="Error ▲"),"Check Data ⚠",INDEX(EnhanceTemporal,MATCH(S140,EnhanceHabitat,0),MATCH(U140,EnhanceCondition,0))),"")</f>
        <v/>
      </c>
      <c r="AE140" s="82"/>
      <c r="AF140" s="82"/>
      <c r="AG140" s="507" t="str">
        <f t="shared" si="19"/>
        <v/>
      </c>
      <c r="AH140" s="521" t="str">
        <f t="shared" si="20"/>
        <v/>
      </c>
      <c r="AI140" s="522" t="str">
        <f>IF(AH140="Check Data","Check Data",IFERROR(VLOOKUP(AH140,'G-4 Temporal multipliers'!$A$4:$C$36,3,FALSE),""))</f>
        <v/>
      </c>
      <c r="AJ140" s="498" t="str">
        <f>IF(S140="","",VLOOKUP(S140,'G-3 Multipliers'!$A$2:$E$129,4,FALSE))</f>
        <v/>
      </c>
      <c r="AK140" s="507" t="str">
        <f t="shared" si="21"/>
        <v/>
      </c>
      <c r="AL140" s="507" t="str">
        <f t="shared" si="22"/>
        <v/>
      </c>
      <c r="AM140" s="540" t="str">
        <f>IFERROR(IF(F140="","",IF(AH140="Check Data ⚠","Check Data ⚠",VLOOKUP(AL140, 'G-3 Multipliers'!$P$2:$Q$6,2,FALSE))),"")</f>
        <v/>
      </c>
      <c r="AN140" s="513" t="str">
        <f t="shared" ref="AN140:AN203" si="25">IFERROR(((((V140*X140*Z140)-(V140*I140*K140))*(AM140*AI140))+(V140*I140*K140))*(AC140),"")</f>
        <v/>
      </c>
      <c r="AO140" s="239"/>
      <c r="AP140" s="240"/>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1" t="str">
        <f>'A-1 Site Habitat Baseline'!AL140</f>
        <v/>
      </c>
      <c r="F141" s="520" t="str">
        <f>IF(E141="","",IF(ISNA(VLOOKUP($E141,'A-1 Site Habitat Baseline'!$D$1:$O$258,4,FALSE)),"",(VLOOKUP($E141,'A-1 Site Habitat Baseline'!$D$1:$O$258,4,FALSE))))</f>
        <v/>
      </c>
      <c r="G141" s="520" t="str">
        <f>IF(E141="","",IF(ISNA(VLOOKUP($E141,'A-1 Site Habitat Baseline'!$D$1:$O$258,5,FALSE)),"",(VLOOKUP($E141,'A-1 Site Habitat Baseline'!$D$1:$O$258,5,FALSE))))</f>
        <v/>
      </c>
      <c r="H141" s="520" t="str">
        <f>IF(E141="","",IF(ISNA(VLOOKUP($E141,'A-1 Site Habitat Baseline'!$D$1:$O$258,6,FALSE)),"",(VLOOKUP($E141,'A-1 Site Habitat Baseline'!$D$1:$O$258,6,FALSE))))</f>
        <v/>
      </c>
      <c r="I141" s="520" t="str">
        <f>IF(E141="","",IF(ISNA(VLOOKUP($E141,'A-1 Site Habitat Baseline'!$D$1:$O$258,7,FALSE)),"",(VLOOKUP($E141,'A-1 Site Habitat Baseline'!$D$1:$O$258,7,FALSE))))</f>
        <v/>
      </c>
      <c r="J141" s="520" t="str">
        <f>IF(E141="","",IF(ISNA(VLOOKUP($E141,'A-1 Site Habitat Baseline'!$D$1:$O$258,8,FALSE)),"",(VLOOKUP($E141,'A-1 Site Habitat Baseline'!$D$1:$O$258,8,FALSE))))</f>
        <v/>
      </c>
      <c r="K141" s="520" t="str">
        <f>IF(E141="","",IF(ISNA(VLOOKUP($E141,'A-1 Site Habitat Baseline'!$D$1:$O$258,9,FALSE)),"",(VLOOKUP($E141,'A-1 Site Habitat Baseline'!$D$1:$O$258,9,FALSE))))</f>
        <v/>
      </c>
      <c r="L141" s="520" t="str">
        <f>IF(E141="","",IF(ISNA(VLOOKUP($E141,'A-1 Site Habitat Baseline'!$D$1:$O$258,11,FALSE)),"",(VLOOKUP($E141,'A-1 Site Habitat Baseline'!$D$1:$O$258,11,FALSE))))</f>
        <v/>
      </c>
      <c r="M141" s="520" t="str">
        <f>IF(E141="","",IF(ISNA(VLOOKUP($E141,'A-1 Site Habitat Baseline'!$D$1:$O$258,12,FALSE)),"",(VLOOKUP($E141,'A-1 Site Habitat Baseline'!$D$1:$O$258,12,FALSE))))</f>
        <v/>
      </c>
      <c r="N141" s="532" t="str">
        <f>IF(E141="","",IF(ISNA(VLOOKUP($E141,'A-1 Site Habitat Baseline'!$D$1:$X$258,14,FALSE)),"",(VLOOKUP($E141,'A-1 Site Habitat Baseline'!$D$1:$X$258,14,FALSE))))</f>
        <v/>
      </c>
      <c r="O141" s="524" t="str">
        <f>IF(E141="","",IF(ISNA(VLOOKUP($E141,'A-1 Site Habitat Baseline'!$D$1:$X$258,16,FALSE)),"",(VLOOKUP($E141,'A-1 Site Habitat Baseline'!$D$1:$X$258,13,FALSE))))</f>
        <v/>
      </c>
      <c r="P141" s="237" t="str">
        <f>IFERROR(INDEX('G-1 All Habitats'!$AG$3:$AG$15,MATCH(Q141,'G-1 All Habitats'!$AF$3:$AF$15,0)),"")</f>
        <v/>
      </c>
      <c r="Q141" s="238" t="str">
        <f t="shared" ref="Q141:Q204" si="26">A141</f>
        <v/>
      </c>
      <c r="R141" s="238" t="str">
        <f t="shared" ref="R141:R204" si="27">IF(B141="","",B141)</f>
        <v/>
      </c>
      <c r="S141" s="392" t="str">
        <f>IFERROR(INDEX('G-1 All Habitats'!$B$3:$B$129,MATCH(R141,'G-1 All Habitats'!$A$3:$A$129,0)),"")</f>
        <v/>
      </c>
      <c r="T141" s="498"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9"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7" t="str">
        <f t="shared" si="23"/>
        <v/>
      </c>
      <c r="W141" s="520" t="str">
        <f>IF(S141="","",VLOOKUP(S141,'G-1 All Habitats'!$B$2:$M$129,10,FALSE))</f>
        <v/>
      </c>
      <c r="X141" s="520" t="str">
        <f>IFERROR(VLOOKUP(W141,'G-1 All Habitats'!$V$3:$W$7,2,FALSE),"")</f>
        <v/>
      </c>
      <c r="Y141" s="79"/>
      <c r="Z141" s="524" t="str">
        <f>IFERROR(INDEX('G-8 Condition Look up'!$A$3:$H$130,MATCH(S141,'G-8 Condition Look up'!$A$3:$A$130,0),MATCH(Y141,'G-8 Condition Look up'!$A$3:$H$3,0)),"")</f>
        <v/>
      </c>
      <c r="AA141" s="71"/>
      <c r="AB141" s="520" t="str">
        <f>IF(AA141="","",IF(VLOOKUP(AA141,'G-3 Multipliers'!$L$3:$N$6,2,FALSE)=0,"Spatial Data Missing ⚠",VLOOKUP(AA141,'G-3 Multipliers'!$L$3:$N$6,2,FALSE)))</f>
        <v/>
      </c>
      <c r="AC141" s="524" t="str">
        <f>IF(AA141="","",IF(VLOOKUP(AA141,'G-3 Multipliers'!$L$3:$N$6,3,FALSE)=0,"Spatial Data Missing ⚠",VLOOKUP(AA141,'G-3 Multipliers'!$L$3:$N$6,3,FALSE)))</f>
        <v/>
      </c>
      <c r="AD141" s="539" t="str">
        <f t="shared" si="24"/>
        <v/>
      </c>
      <c r="AE141" s="82"/>
      <c r="AF141" s="82"/>
      <c r="AG141" s="507"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1"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2" t="str">
        <f>IF(AH141="Check Data","Check Data",IFERROR(VLOOKUP(AH141,'G-4 Temporal multipliers'!$A$4:$C$36,3,FALSE),""))</f>
        <v/>
      </c>
      <c r="AJ141" s="498" t="str">
        <f>IF(S141="","",VLOOKUP(S141,'G-3 Multipliers'!$A$2:$E$129,4,FALSE))</f>
        <v/>
      </c>
      <c r="AK141" s="507" t="str">
        <f t="shared" ref="AK141:AK204" si="32">IF(E141="","",IF(AG141="Check details - Is there evidence that habitat has reached target condition? ⚠","Low Difficulty - only applicable if all habitat created before losses ⚠","Standard difficulty applied"))</f>
        <v/>
      </c>
      <c r="AL141" s="507" t="str">
        <f t="shared" ref="AL141:AL204" si="33">(IF(AND(AK141="Standard difficulty applied",AD141&gt;AE141),AJ141,IF(AND(AK141="Low Difficulty - only applicable if all habitat created before losses ⚠",AE141&gt;=AD141),"Low", AJ141)))</f>
        <v/>
      </c>
      <c r="AM141" s="540" t="str">
        <f>IFERROR(IF(F141="","",IF(AH141="Check Data ⚠","Check Data ⚠",VLOOKUP(AL141, 'G-3 Multipliers'!$P$2:$Q$6,2,FALSE))),"")</f>
        <v/>
      </c>
      <c r="AN141" s="513" t="str">
        <f t="shared" si="25"/>
        <v/>
      </c>
      <c r="AO141" s="239"/>
      <c r="AP141" s="240"/>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1" t="str">
        <f>'A-1 Site Habitat Baseline'!AL141</f>
        <v/>
      </c>
      <c r="F142" s="520" t="str">
        <f>IF(E142="","",IF(ISNA(VLOOKUP($E142,'A-1 Site Habitat Baseline'!$D$1:$O$258,4,FALSE)),"",(VLOOKUP($E142,'A-1 Site Habitat Baseline'!$D$1:$O$258,4,FALSE))))</f>
        <v/>
      </c>
      <c r="G142" s="520" t="str">
        <f>IF(E142="","",IF(ISNA(VLOOKUP($E142,'A-1 Site Habitat Baseline'!$D$1:$O$258,5,FALSE)),"",(VLOOKUP($E142,'A-1 Site Habitat Baseline'!$D$1:$O$258,5,FALSE))))</f>
        <v/>
      </c>
      <c r="H142" s="520" t="str">
        <f>IF(E142="","",IF(ISNA(VLOOKUP($E142,'A-1 Site Habitat Baseline'!$D$1:$O$258,6,FALSE)),"",(VLOOKUP($E142,'A-1 Site Habitat Baseline'!$D$1:$O$258,6,FALSE))))</f>
        <v/>
      </c>
      <c r="I142" s="520" t="str">
        <f>IF(E142="","",IF(ISNA(VLOOKUP($E142,'A-1 Site Habitat Baseline'!$D$1:$O$258,7,FALSE)),"",(VLOOKUP($E142,'A-1 Site Habitat Baseline'!$D$1:$O$258,7,FALSE))))</f>
        <v/>
      </c>
      <c r="J142" s="520" t="str">
        <f>IF(E142="","",IF(ISNA(VLOOKUP($E142,'A-1 Site Habitat Baseline'!$D$1:$O$258,8,FALSE)),"",(VLOOKUP($E142,'A-1 Site Habitat Baseline'!$D$1:$O$258,8,FALSE))))</f>
        <v/>
      </c>
      <c r="K142" s="520" t="str">
        <f>IF(E142="","",IF(ISNA(VLOOKUP($E142,'A-1 Site Habitat Baseline'!$D$1:$O$258,9,FALSE)),"",(VLOOKUP($E142,'A-1 Site Habitat Baseline'!$D$1:$O$258,9,FALSE))))</f>
        <v/>
      </c>
      <c r="L142" s="520" t="str">
        <f>IF(E142="","",IF(ISNA(VLOOKUP($E142,'A-1 Site Habitat Baseline'!$D$1:$O$258,11,FALSE)),"",(VLOOKUP($E142,'A-1 Site Habitat Baseline'!$D$1:$O$258,11,FALSE))))</f>
        <v/>
      </c>
      <c r="M142" s="520" t="str">
        <f>IF(E142="","",IF(ISNA(VLOOKUP($E142,'A-1 Site Habitat Baseline'!$D$1:$O$258,12,FALSE)),"",(VLOOKUP($E142,'A-1 Site Habitat Baseline'!$D$1:$O$258,12,FALSE))))</f>
        <v/>
      </c>
      <c r="N142" s="532" t="str">
        <f>IF(E142="","",IF(ISNA(VLOOKUP($E142,'A-1 Site Habitat Baseline'!$D$1:$X$258,14,FALSE)),"",(VLOOKUP($E142,'A-1 Site Habitat Baseline'!$D$1:$X$258,14,FALSE))))</f>
        <v/>
      </c>
      <c r="O142" s="524" t="str">
        <f>IF(E142="","",IF(ISNA(VLOOKUP($E142,'A-1 Site Habitat Baseline'!$D$1:$X$258,16,FALSE)),"",(VLOOKUP($E142,'A-1 Site Habitat Baseline'!$D$1:$X$258,13,FALSE))))</f>
        <v/>
      </c>
      <c r="P142" s="237" t="str">
        <f>IFERROR(INDEX('G-1 All Habitats'!$AG$3:$AG$15,MATCH(Q142,'G-1 All Habitats'!$AF$3:$AF$15,0)),"")</f>
        <v/>
      </c>
      <c r="Q142" s="238" t="str">
        <f t="shared" si="26"/>
        <v/>
      </c>
      <c r="R142" s="238" t="str">
        <f t="shared" si="27"/>
        <v/>
      </c>
      <c r="S142" s="392" t="str">
        <f>IFERROR(INDEX('G-1 All Habitats'!$B$3:$B$129,MATCH(R142,'G-1 All Habitats'!$A$3:$A$129,0)),"")</f>
        <v/>
      </c>
      <c r="T142" s="498" t="str">
        <f t="shared" si="28"/>
        <v/>
      </c>
      <c r="U142" s="499" t="str">
        <f t="shared" si="29"/>
        <v/>
      </c>
      <c r="V142" s="537" t="str">
        <f t="shared" si="23"/>
        <v/>
      </c>
      <c r="W142" s="520" t="str">
        <f>IF(S142="","",VLOOKUP(S142,'G-1 All Habitats'!$B$2:$M$129,10,FALSE))</f>
        <v/>
      </c>
      <c r="X142" s="520" t="str">
        <f>IFERROR(VLOOKUP(W142,'G-1 All Habitats'!$V$3:$W$7,2,FALSE),"")</f>
        <v/>
      </c>
      <c r="Y142" s="79"/>
      <c r="Z142" s="524" t="str">
        <f>IFERROR(INDEX('G-8 Condition Look up'!$A$3:$H$130,MATCH(S142,'G-8 Condition Look up'!$A$3:$A$130,0),MATCH(Y142,'G-8 Condition Look up'!$A$3:$H$3,0)),"")</f>
        <v/>
      </c>
      <c r="AA142" s="71"/>
      <c r="AB142" s="520" t="str">
        <f>IF(AA142="","",IF(VLOOKUP(AA142,'G-3 Multipliers'!$L$3:$N$6,2,FALSE)=0,"Spatial Data Missing ⚠",VLOOKUP(AA142,'G-3 Multipliers'!$L$3:$N$6,2,FALSE)))</f>
        <v/>
      </c>
      <c r="AC142" s="524" t="str">
        <f>IF(AA142="","",IF(VLOOKUP(AA142,'G-3 Multipliers'!$L$3:$N$6,3,FALSE)=0,"Spatial Data Missing ⚠",VLOOKUP(AA142,'G-3 Multipliers'!$L$3:$N$6,3,FALSE)))</f>
        <v/>
      </c>
      <c r="AD142" s="539" t="str">
        <f t="shared" si="24"/>
        <v/>
      </c>
      <c r="AE142" s="82"/>
      <c r="AF142" s="82"/>
      <c r="AG142" s="507" t="str">
        <f t="shared" si="30"/>
        <v/>
      </c>
      <c r="AH142" s="521" t="str">
        <f t="shared" si="31"/>
        <v/>
      </c>
      <c r="AI142" s="522" t="str">
        <f>IF(AH142="Check Data","Check Data",IFERROR(VLOOKUP(AH142,'G-4 Temporal multipliers'!$A$4:$C$36,3,FALSE),""))</f>
        <v/>
      </c>
      <c r="AJ142" s="498" t="str">
        <f>IF(S142="","",VLOOKUP(S142,'G-3 Multipliers'!$A$2:$E$129,4,FALSE))</f>
        <v/>
      </c>
      <c r="AK142" s="507" t="str">
        <f t="shared" si="32"/>
        <v/>
      </c>
      <c r="AL142" s="507" t="str">
        <f t="shared" si="33"/>
        <v/>
      </c>
      <c r="AM142" s="540" t="str">
        <f>IFERROR(IF(F142="","",IF(AH142="Check Data ⚠","Check Data ⚠",VLOOKUP(AL142, 'G-3 Multipliers'!$P$2:$Q$6,2,FALSE))),"")</f>
        <v/>
      </c>
      <c r="AN142" s="513" t="str">
        <f t="shared" si="25"/>
        <v/>
      </c>
      <c r="AO142" s="239"/>
      <c r="AP142" s="240"/>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1" t="str">
        <f>'A-1 Site Habitat Baseline'!AL142</f>
        <v/>
      </c>
      <c r="F143" s="520" t="str">
        <f>IF(E143="","",IF(ISNA(VLOOKUP($E143,'A-1 Site Habitat Baseline'!$D$1:$O$258,4,FALSE)),"",(VLOOKUP($E143,'A-1 Site Habitat Baseline'!$D$1:$O$258,4,FALSE))))</f>
        <v/>
      </c>
      <c r="G143" s="520" t="str">
        <f>IF(E143="","",IF(ISNA(VLOOKUP($E143,'A-1 Site Habitat Baseline'!$D$1:$O$258,5,FALSE)),"",(VLOOKUP($E143,'A-1 Site Habitat Baseline'!$D$1:$O$258,5,FALSE))))</f>
        <v/>
      </c>
      <c r="H143" s="520" t="str">
        <f>IF(E143="","",IF(ISNA(VLOOKUP($E143,'A-1 Site Habitat Baseline'!$D$1:$O$258,6,FALSE)),"",(VLOOKUP($E143,'A-1 Site Habitat Baseline'!$D$1:$O$258,6,FALSE))))</f>
        <v/>
      </c>
      <c r="I143" s="520" t="str">
        <f>IF(E143="","",IF(ISNA(VLOOKUP($E143,'A-1 Site Habitat Baseline'!$D$1:$O$258,7,FALSE)),"",(VLOOKUP($E143,'A-1 Site Habitat Baseline'!$D$1:$O$258,7,FALSE))))</f>
        <v/>
      </c>
      <c r="J143" s="520" t="str">
        <f>IF(E143="","",IF(ISNA(VLOOKUP($E143,'A-1 Site Habitat Baseline'!$D$1:$O$258,8,FALSE)),"",(VLOOKUP($E143,'A-1 Site Habitat Baseline'!$D$1:$O$258,8,FALSE))))</f>
        <v/>
      </c>
      <c r="K143" s="520" t="str">
        <f>IF(E143="","",IF(ISNA(VLOOKUP($E143,'A-1 Site Habitat Baseline'!$D$1:$O$258,9,FALSE)),"",(VLOOKUP($E143,'A-1 Site Habitat Baseline'!$D$1:$O$258,9,FALSE))))</f>
        <v/>
      </c>
      <c r="L143" s="520" t="str">
        <f>IF(E143="","",IF(ISNA(VLOOKUP($E143,'A-1 Site Habitat Baseline'!$D$1:$O$258,11,FALSE)),"",(VLOOKUP($E143,'A-1 Site Habitat Baseline'!$D$1:$O$258,11,FALSE))))</f>
        <v/>
      </c>
      <c r="M143" s="520" t="str">
        <f>IF(E143="","",IF(ISNA(VLOOKUP($E143,'A-1 Site Habitat Baseline'!$D$1:$O$258,12,FALSE)),"",(VLOOKUP($E143,'A-1 Site Habitat Baseline'!$D$1:$O$258,12,FALSE))))</f>
        <v/>
      </c>
      <c r="N143" s="532" t="str">
        <f>IF(E143="","",IF(ISNA(VLOOKUP($E143,'A-1 Site Habitat Baseline'!$D$1:$X$258,14,FALSE)),"",(VLOOKUP($E143,'A-1 Site Habitat Baseline'!$D$1:$X$258,14,FALSE))))</f>
        <v/>
      </c>
      <c r="O143" s="524" t="str">
        <f>IF(E143="","",IF(ISNA(VLOOKUP($E143,'A-1 Site Habitat Baseline'!$D$1:$X$258,16,FALSE)),"",(VLOOKUP($E143,'A-1 Site Habitat Baseline'!$D$1:$X$258,13,FALSE))))</f>
        <v/>
      </c>
      <c r="P143" s="237" t="str">
        <f>IFERROR(INDEX('G-1 All Habitats'!$AG$3:$AG$15,MATCH(Q143,'G-1 All Habitats'!$AF$3:$AF$15,0)),"")</f>
        <v/>
      </c>
      <c r="Q143" s="238" t="str">
        <f t="shared" si="26"/>
        <v/>
      </c>
      <c r="R143" s="238" t="str">
        <f t="shared" si="27"/>
        <v/>
      </c>
      <c r="S143" s="392" t="str">
        <f>IFERROR(INDEX('G-1 All Habitats'!$B$3:$B$129,MATCH(R143,'G-1 All Habitats'!$A$3:$A$129,0)),"")</f>
        <v/>
      </c>
      <c r="T143" s="498" t="str">
        <f t="shared" si="28"/>
        <v/>
      </c>
      <c r="U143" s="499" t="str">
        <f t="shared" si="29"/>
        <v/>
      </c>
      <c r="V143" s="537" t="str">
        <f t="shared" si="23"/>
        <v/>
      </c>
      <c r="W143" s="520" t="str">
        <f>IF(S143="","",VLOOKUP(S143,'G-1 All Habitats'!$B$2:$M$129,10,FALSE))</f>
        <v/>
      </c>
      <c r="X143" s="520" t="str">
        <f>IFERROR(VLOOKUP(W143,'G-1 All Habitats'!$V$3:$W$7,2,FALSE),"")</f>
        <v/>
      </c>
      <c r="Y143" s="79"/>
      <c r="Z143" s="524" t="str">
        <f>IFERROR(INDEX('G-8 Condition Look up'!$A$3:$H$130,MATCH(S143,'G-8 Condition Look up'!$A$3:$A$130,0),MATCH(Y143,'G-8 Condition Look up'!$A$3:$H$3,0)),"")</f>
        <v/>
      </c>
      <c r="AA143" s="71"/>
      <c r="AB143" s="520" t="str">
        <f>IF(AA143="","",IF(VLOOKUP(AA143,'G-3 Multipliers'!$L$3:$N$6,2,FALSE)=0,"Spatial Data Missing ⚠",VLOOKUP(AA143,'G-3 Multipliers'!$L$3:$N$6,2,FALSE)))</f>
        <v/>
      </c>
      <c r="AC143" s="524" t="str">
        <f>IF(AA143="","",IF(VLOOKUP(AA143,'G-3 Multipliers'!$L$3:$N$6,3,FALSE)=0,"Spatial Data Missing ⚠",VLOOKUP(AA143,'G-3 Multipliers'!$L$3:$N$6,3,FALSE)))</f>
        <v/>
      </c>
      <c r="AD143" s="539" t="str">
        <f t="shared" si="24"/>
        <v/>
      </c>
      <c r="AE143" s="82"/>
      <c r="AF143" s="82"/>
      <c r="AG143" s="507" t="str">
        <f t="shared" si="30"/>
        <v/>
      </c>
      <c r="AH143" s="521" t="str">
        <f t="shared" si="31"/>
        <v/>
      </c>
      <c r="AI143" s="522" t="str">
        <f>IF(AH143="Check Data","Check Data",IFERROR(VLOOKUP(AH143,'G-4 Temporal multipliers'!$A$4:$C$36,3,FALSE),""))</f>
        <v/>
      </c>
      <c r="AJ143" s="498" t="str">
        <f>IF(S143="","",VLOOKUP(S143,'G-3 Multipliers'!$A$2:$E$129,4,FALSE))</f>
        <v/>
      </c>
      <c r="AK143" s="507" t="str">
        <f t="shared" si="32"/>
        <v/>
      </c>
      <c r="AL143" s="507" t="str">
        <f t="shared" si="33"/>
        <v/>
      </c>
      <c r="AM143" s="540" t="str">
        <f>IFERROR(IF(F143="","",IF(AH143="Check Data ⚠","Check Data ⚠",VLOOKUP(AL143, 'G-3 Multipliers'!$P$2:$Q$6,2,FALSE))),"")</f>
        <v/>
      </c>
      <c r="AN143" s="513" t="str">
        <f t="shared" si="25"/>
        <v/>
      </c>
      <c r="AO143" s="239"/>
      <c r="AP143" s="240"/>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1" t="str">
        <f>'A-1 Site Habitat Baseline'!AL143</f>
        <v/>
      </c>
      <c r="F144" s="520" t="str">
        <f>IF(E144="","",IF(ISNA(VLOOKUP($E144,'A-1 Site Habitat Baseline'!$D$1:$O$258,4,FALSE)),"",(VLOOKUP($E144,'A-1 Site Habitat Baseline'!$D$1:$O$258,4,FALSE))))</f>
        <v/>
      </c>
      <c r="G144" s="520" t="str">
        <f>IF(E144="","",IF(ISNA(VLOOKUP($E144,'A-1 Site Habitat Baseline'!$D$1:$O$258,5,FALSE)),"",(VLOOKUP($E144,'A-1 Site Habitat Baseline'!$D$1:$O$258,5,FALSE))))</f>
        <v/>
      </c>
      <c r="H144" s="520" t="str">
        <f>IF(E144="","",IF(ISNA(VLOOKUP($E144,'A-1 Site Habitat Baseline'!$D$1:$O$258,6,FALSE)),"",(VLOOKUP($E144,'A-1 Site Habitat Baseline'!$D$1:$O$258,6,FALSE))))</f>
        <v/>
      </c>
      <c r="I144" s="520" t="str">
        <f>IF(E144="","",IF(ISNA(VLOOKUP($E144,'A-1 Site Habitat Baseline'!$D$1:$O$258,7,FALSE)),"",(VLOOKUP($E144,'A-1 Site Habitat Baseline'!$D$1:$O$258,7,FALSE))))</f>
        <v/>
      </c>
      <c r="J144" s="520" t="str">
        <f>IF(E144="","",IF(ISNA(VLOOKUP($E144,'A-1 Site Habitat Baseline'!$D$1:$O$258,8,FALSE)),"",(VLOOKUP($E144,'A-1 Site Habitat Baseline'!$D$1:$O$258,8,FALSE))))</f>
        <v/>
      </c>
      <c r="K144" s="520" t="str">
        <f>IF(E144="","",IF(ISNA(VLOOKUP($E144,'A-1 Site Habitat Baseline'!$D$1:$O$258,9,FALSE)),"",(VLOOKUP($E144,'A-1 Site Habitat Baseline'!$D$1:$O$258,9,FALSE))))</f>
        <v/>
      </c>
      <c r="L144" s="520" t="str">
        <f>IF(E144="","",IF(ISNA(VLOOKUP($E144,'A-1 Site Habitat Baseline'!$D$1:$O$258,11,FALSE)),"",(VLOOKUP($E144,'A-1 Site Habitat Baseline'!$D$1:$O$258,11,FALSE))))</f>
        <v/>
      </c>
      <c r="M144" s="520" t="str">
        <f>IF(E144="","",IF(ISNA(VLOOKUP($E144,'A-1 Site Habitat Baseline'!$D$1:$O$258,12,FALSE)),"",(VLOOKUP($E144,'A-1 Site Habitat Baseline'!$D$1:$O$258,12,FALSE))))</f>
        <v/>
      </c>
      <c r="N144" s="532" t="str">
        <f>IF(E144="","",IF(ISNA(VLOOKUP($E144,'A-1 Site Habitat Baseline'!$D$1:$X$258,14,FALSE)),"",(VLOOKUP($E144,'A-1 Site Habitat Baseline'!$D$1:$X$258,14,FALSE))))</f>
        <v/>
      </c>
      <c r="O144" s="524" t="str">
        <f>IF(E144="","",IF(ISNA(VLOOKUP($E144,'A-1 Site Habitat Baseline'!$D$1:$X$258,16,FALSE)),"",(VLOOKUP($E144,'A-1 Site Habitat Baseline'!$D$1:$X$258,13,FALSE))))</f>
        <v/>
      </c>
      <c r="P144" s="237" t="str">
        <f>IFERROR(INDEX('G-1 All Habitats'!$AG$3:$AG$15,MATCH(Q144,'G-1 All Habitats'!$AF$3:$AF$15,0)),"")</f>
        <v/>
      </c>
      <c r="Q144" s="238" t="str">
        <f t="shared" si="26"/>
        <v/>
      </c>
      <c r="R144" s="238" t="str">
        <f t="shared" si="27"/>
        <v/>
      </c>
      <c r="S144" s="392" t="str">
        <f>IFERROR(INDEX('G-1 All Habitats'!$B$3:$B$129,MATCH(R144,'G-1 All Habitats'!$A$3:$A$129,0)),"")</f>
        <v/>
      </c>
      <c r="T144" s="498" t="str">
        <f t="shared" si="28"/>
        <v/>
      </c>
      <c r="U144" s="499" t="str">
        <f t="shared" si="29"/>
        <v/>
      </c>
      <c r="V144" s="537" t="str">
        <f t="shared" si="23"/>
        <v/>
      </c>
      <c r="W144" s="520" t="str">
        <f>IF(S144="","",VLOOKUP(S144,'G-1 All Habitats'!$B$2:$M$129,10,FALSE))</f>
        <v/>
      </c>
      <c r="X144" s="520" t="str">
        <f>IFERROR(VLOOKUP(W144,'G-1 All Habitats'!$V$3:$W$7,2,FALSE),"")</f>
        <v/>
      </c>
      <c r="Y144" s="79"/>
      <c r="Z144" s="524" t="str">
        <f>IFERROR(INDEX('G-8 Condition Look up'!$A$3:$H$130,MATCH(S144,'G-8 Condition Look up'!$A$3:$A$130,0),MATCH(Y144,'G-8 Condition Look up'!$A$3:$H$3,0)),"")</f>
        <v/>
      </c>
      <c r="AA144" s="71"/>
      <c r="AB144" s="520" t="str">
        <f>IF(AA144="","",IF(VLOOKUP(AA144,'G-3 Multipliers'!$L$3:$N$6,2,FALSE)=0,"Spatial Data Missing ⚠",VLOOKUP(AA144,'G-3 Multipliers'!$L$3:$N$6,2,FALSE)))</f>
        <v/>
      </c>
      <c r="AC144" s="524" t="str">
        <f>IF(AA144="","",IF(VLOOKUP(AA144,'G-3 Multipliers'!$L$3:$N$6,3,FALSE)=0,"Spatial Data Missing ⚠",VLOOKUP(AA144,'G-3 Multipliers'!$L$3:$N$6,3,FALSE)))</f>
        <v/>
      </c>
      <c r="AD144" s="539" t="str">
        <f t="shared" si="24"/>
        <v/>
      </c>
      <c r="AE144" s="82"/>
      <c r="AF144" s="82"/>
      <c r="AG144" s="507" t="str">
        <f t="shared" si="30"/>
        <v/>
      </c>
      <c r="AH144" s="521" t="str">
        <f t="shared" si="31"/>
        <v/>
      </c>
      <c r="AI144" s="522" t="str">
        <f>IF(AH144="Check Data","Check Data",IFERROR(VLOOKUP(AH144,'G-4 Temporal multipliers'!$A$4:$C$36,3,FALSE),""))</f>
        <v/>
      </c>
      <c r="AJ144" s="498" t="str">
        <f>IF(S144="","",VLOOKUP(S144,'G-3 Multipliers'!$A$2:$E$129,4,FALSE))</f>
        <v/>
      </c>
      <c r="AK144" s="507" t="str">
        <f t="shared" si="32"/>
        <v/>
      </c>
      <c r="AL144" s="507" t="str">
        <f t="shared" si="33"/>
        <v/>
      </c>
      <c r="AM144" s="540" t="str">
        <f>IFERROR(IF(F144="","",IF(AH144="Check Data ⚠","Check Data ⚠",VLOOKUP(AL144, 'G-3 Multipliers'!$P$2:$Q$6,2,FALSE))),"")</f>
        <v/>
      </c>
      <c r="AN144" s="513" t="str">
        <f t="shared" si="25"/>
        <v/>
      </c>
      <c r="AO144" s="239"/>
      <c r="AP144" s="240"/>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1" t="str">
        <f>'A-1 Site Habitat Baseline'!AL144</f>
        <v/>
      </c>
      <c r="F145" s="520" t="str">
        <f>IF(E145="","",IF(ISNA(VLOOKUP($E145,'A-1 Site Habitat Baseline'!$D$1:$O$258,4,FALSE)),"",(VLOOKUP($E145,'A-1 Site Habitat Baseline'!$D$1:$O$258,4,FALSE))))</f>
        <v/>
      </c>
      <c r="G145" s="520" t="str">
        <f>IF(E145="","",IF(ISNA(VLOOKUP($E145,'A-1 Site Habitat Baseline'!$D$1:$O$258,5,FALSE)),"",(VLOOKUP($E145,'A-1 Site Habitat Baseline'!$D$1:$O$258,5,FALSE))))</f>
        <v/>
      </c>
      <c r="H145" s="520" t="str">
        <f>IF(E145="","",IF(ISNA(VLOOKUP($E145,'A-1 Site Habitat Baseline'!$D$1:$O$258,6,FALSE)),"",(VLOOKUP($E145,'A-1 Site Habitat Baseline'!$D$1:$O$258,6,FALSE))))</f>
        <v/>
      </c>
      <c r="I145" s="520" t="str">
        <f>IF(E145="","",IF(ISNA(VLOOKUP($E145,'A-1 Site Habitat Baseline'!$D$1:$O$258,7,FALSE)),"",(VLOOKUP($E145,'A-1 Site Habitat Baseline'!$D$1:$O$258,7,FALSE))))</f>
        <v/>
      </c>
      <c r="J145" s="520" t="str">
        <f>IF(E145="","",IF(ISNA(VLOOKUP($E145,'A-1 Site Habitat Baseline'!$D$1:$O$258,8,FALSE)),"",(VLOOKUP($E145,'A-1 Site Habitat Baseline'!$D$1:$O$258,8,FALSE))))</f>
        <v/>
      </c>
      <c r="K145" s="520" t="str">
        <f>IF(E145="","",IF(ISNA(VLOOKUP($E145,'A-1 Site Habitat Baseline'!$D$1:$O$258,9,FALSE)),"",(VLOOKUP($E145,'A-1 Site Habitat Baseline'!$D$1:$O$258,9,FALSE))))</f>
        <v/>
      </c>
      <c r="L145" s="520" t="str">
        <f>IF(E145="","",IF(ISNA(VLOOKUP($E145,'A-1 Site Habitat Baseline'!$D$1:$O$258,11,FALSE)),"",(VLOOKUP($E145,'A-1 Site Habitat Baseline'!$D$1:$O$258,11,FALSE))))</f>
        <v/>
      </c>
      <c r="M145" s="520" t="str">
        <f>IF(E145="","",IF(ISNA(VLOOKUP($E145,'A-1 Site Habitat Baseline'!$D$1:$O$258,12,FALSE)),"",(VLOOKUP($E145,'A-1 Site Habitat Baseline'!$D$1:$O$258,12,FALSE))))</f>
        <v/>
      </c>
      <c r="N145" s="532" t="str">
        <f>IF(E145="","",IF(ISNA(VLOOKUP($E145,'A-1 Site Habitat Baseline'!$D$1:$X$258,14,FALSE)),"",(VLOOKUP($E145,'A-1 Site Habitat Baseline'!$D$1:$X$258,14,FALSE))))</f>
        <v/>
      </c>
      <c r="O145" s="524" t="str">
        <f>IF(E145="","",IF(ISNA(VLOOKUP($E145,'A-1 Site Habitat Baseline'!$D$1:$X$258,16,FALSE)),"",(VLOOKUP($E145,'A-1 Site Habitat Baseline'!$D$1:$X$258,13,FALSE))))</f>
        <v/>
      </c>
      <c r="P145" s="237" t="str">
        <f>IFERROR(INDEX('G-1 All Habitats'!$AG$3:$AG$15,MATCH(Q145,'G-1 All Habitats'!$AF$3:$AF$15,0)),"")</f>
        <v/>
      </c>
      <c r="Q145" s="238" t="str">
        <f t="shared" si="26"/>
        <v/>
      </c>
      <c r="R145" s="238" t="str">
        <f t="shared" si="27"/>
        <v/>
      </c>
      <c r="S145" s="392" t="str">
        <f>IFERROR(INDEX('G-1 All Habitats'!$B$3:$B$129,MATCH(R145,'G-1 All Habitats'!$A$3:$A$129,0)),"")</f>
        <v/>
      </c>
      <c r="T145" s="498" t="str">
        <f t="shared" si="28"/>
        <v/>
      </c>
      <c r="U145" s="499" t="str">
        <f t="shared" si="29"/>
        <v/>
      </c>
      <c r="V145" s="537" t="str">
        <f t="shared" si="23"/>
        <v/>
      </c>
      <c r="W145" s="520" t="str">
        <f>IF(S145="","",VLOOKUP(S145,'G-1 All Habitats'!$B$2:$M$129,10,FALSE))</f>
        <v/>
      </c>
      <c r="X145" s="520" t="str">
        <f>IFERROR(VLOOKUP(W145,'G-1 All Habitats'!$V$3:$W$7,2,FALSE),"")</f>
        <v/>
      </c>
      <c r="Y145" s="79"/>
      <c r="Z145" s="524" t="str">
        <f>IFERROR(INDEX('G-8 Condition Look up'!$A$3:$H$130,MATCH(S145,'G-8 Condition Look up'!$A$3:$A$130,0),MATCH(Y145,'G-8 Condition Look up'!$A$3:$H$3,0)),"")</f>
        <v/>
      </c>
      <c r="AA145" s="71"/>
      <c r="AB145" s="520" t="str">
        <f>IF(AA145="","",IF(VLOOKUP(AA145,'G-3 Multipliers'!$L$3:$N$6,2,FALSE)=0,"Spatial Data Missing ⚠",VLOOKUP(AA145,'G-3 Multipliers'!$L$3:$N$6,2,FALSE)))</f>
        <v/>
      </c>
      <c r="AC145" s="524" t="str">
        <f>IF(AA145="","",IF(VLOOKUP(AA145,'G-3 Multipliers'!$L$3:$N$6,3,FALSE)=0,"Spatial Data Missing ⚠",VLOOKUP(AA145,'G-3 Multipliers'!$L$3:$N$6,3,FALSE)))</f>
        <v/>
      </c>
      <c r="AD145" s="539" t="str">
        <f t="shared" si="24"/>
        <v/>
      </c>
      <c r="AE145" s="82"/>
      <c r="AF145" s="82"/>
      <c r="AG145" s="507" t="str">
        <f t="shared" si="30"/>
        <v/>
      </c>
      <c r="AH145" s="521" t="str">
        <f t="shared" si="31"/>
        <v/>
      </c>
      <c r="AI145" s="522" t="str">
        <f>IF(AH145="Check Data","Check Data",IFERROR(VLOOKUP(AH145,'G-4 Temporal multipliers'!$A$4:$C$36,3,FALSE),""))</f>
        <v/>
      </c>
      <c r="AJ145" s="498" t="str">
        <f>IF(S145="","",VLOOKUP(S145,'G-3 Multipliers'!$A$2:$E$129,4,FALSE))</f>
        <v/>
      </c>
      <c r="AK145" s="507" t="str">
        <f t="shared" si="32"/>
        <v/>
      </c>
      <c r="AL145" s="507" t="str">
        <f t="shared" si="33"/>
        <v/>
      </c>
      <c r="AM145" s="540" t="str">
        <f>IFERROR(IF(F145="","",IF(AH145="Check Data ⚠","Check Data ⚠",VLOOKUP(AL145, 'G-3 Multipliers'!$P$2:$Q$6,2,FALSE))),"")</f>
        <v/>
      </c>
      <c r="AN145" s="513" t="str">
        <f t="shared" si="25"/>
        <v/>
      </c>
      <c r="AO145" s="239"/>
      <c r="AP145" s="240"/>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1" t="str">
        <f>'A-1 Site Habitat Baseline'!AL145</f>
        <v/>
      </c>
      <c r="F146" s="520" t="str">
        <f>IF(E146="","",IF(ISNA(VLOOKUP($E146,'A-1 Site Habitat Baseline'!$D$1:$O$258,4,FALSE)),"",(VLOOKUP($E146,'A-1 Site Habitat Baseline'!$D$1:$O$258,4,FALSE))))</f>
        <v/>
      </c>
      <c r="G146" s="520" t="str">
        <f>IF(E146="","",IF(ISNA(VLOOKUP($E146,'A-1 Site Habitat Baseline'!$D$1:$O$258,5,FALSE)),"",(VLOOKUP($E146,'A-1 Site Habitat Baseline'!$D$1:$O$258,5,FALSE))))</f>
        <v/>
      </c>
      <c r="H146" s="520" t="str">
        <f>IF(E146="","",IF(ISNA(VLOOKUP($E146,'A-1 Site Habitat Baseline'!$D$1:$O$258,6,FALSE)),"",(VLOOKUP($E146,'A-1 Site Habitat Baseline'!$D$1:$O$258,6,FALSE))))</f>
        <v/>
      </c>
      <c r="I146" s="520" t="str">
        <f>IF(E146="","",IF(ISNA(VLOOKUP($E146,'A-1 Site Habitat Baseline'!$D$1:$O$258,7,FALSE)),"",(VLOOKUP($E146,'A-1 Site Habitat Baseline'!$D$1:$O$258,7,FALSE))))</f>
        <v/>
      </c>
      <c r="J146" s="520" t="str">
        <f>IF(E146="","",IF(ISNA(VLOOKUP($E146,'A-1 Site Habitat Baseline'!$D$1:$O$258,8,FALSE)),"",(VLOOKUP($E146,'A-1 Site Habitat Baseline'!$D$1:$O$258,8,FALSE))))</f>
        <v/>
      </c>
      <c r="K146" s="520" t="str">
        <f>IF(E146="","",IF(ISNA(VLOOKUP($E146,'A-1 Site Habitat Baseline'!$D$1:$O$258,9,FALSE)),"",(VLOOKUP($E146,'A-1 Site Habitat Baseline'!$D$1:$O$258,9,FALSE))))</f>
        <v/>
      </c>
      <c r="L146" s="520" t="str">
        <f>IF(E146="","",IF(ISNA(VLOOKUP($E146,'A-1 Site Habitat Baseline'!$D$1:$O$258,11,FALSE)),"",(VLOOKUP($E146,'A-1 Site Habitat Baseline'!$D$1:$O$258,11,FALSE))))</f>
        <v/>
      </c>
      <c r="M146" s="520" t="str">
        <f>IF(E146="","",IF(ISNA(VLOOKUP($E146,'A-1 Site Habitat Baseline'!$D$1:$O$258,12,FALSE)),"",(VLOOKUP($E146,'A-1 Site Habitat Baseline'!$D$1:$O$258,12,FALSE))))</f>
        <v/>
      </c>
      <c r="N146" s="532" t="str">
        <f>IF(E146="","",IF(ISNA(VLOOKUP($E146,'A-1 Site Habitat Baseline'!$D$1:$X$258,14,FALSE)),"",(VLOOKUP($E146,'A-1 Site Habitat Baseline'!$D$1:$X$258,14,FALSE))))</f>
        <v/>
      </c>
      <c r="O146" s="524" t="str">
        <f>IF(E146="","",IF(ISNA(VLOOKUP($E146,'A-1 Site Habitat Baseline'!$D$1:$X$258,16,FALSE)),"",(VLOOKUP($E146,'A-1 Site Habitat Baseline'!$D$1:$X$258,13,FALSE))))</f>
        <v/>
      </c>
      <c r="P146" s="237" t="str">
        <f>IFERROR(INDEX('G-1 All Habitats'!$AG$3:$AG$15,MATCH(Q146,'G-1 All Habitats'!$AF$3:$AF$15,0)),"")</f>
        <v/>
      </c>
      <c r="Q146" s="238" t="str">
        <f t="shared" si="26"/>
        <v/>
      </c>
      <c r="R146" s="238" t="str">
        <f t="shared" si="27"/>
        <v/>
      </c>
      <c r="S146" s="392" t="str">
        <f>IFERROR(INDEX('G-1 All Habitats'!$B$3:$B$129,MATCH(R146,'G-1 All Habitats'!$A$3:$A$129,0)),"")</f>
        <v/>
      </c>
      <c r="T146" s="498" t="str">
        <f t="shared" si="28"/>
        <v/>
      </c>
      <c r="U146" s="499" t="str">
        <f t="shared" si="29"/>
        <v/>
      </c>
      <c r="V146" s="537" t="str">
        <f t="shared" si="23"/>
        <v/>
      </c>
      <c r="W146" s="520" t="str">
        <f>IF(S146="","",VLOOKUP(S146,'G-1 All Habitats'!$B$2:$M$129,10,FALSE))</f>
        <v/>
      </c>
      <c r="X146" s="520" t="str">
        <f>IFERROR(VLOOKUP(W146,'G-1 All Habitats'!$V$3:$W$7,2,FALSE),"")</f>
        <v/>
      </c>
      <c r="Y146" s="79"/>
      <c r="Z146" s="524" t="str">
        <f>IFERROR(INDEX('G-8 Condition Look up'!$A$3:$H$130,MATCH(S146,'G-8 Condition Look up'!$A$3:$A$130,0),MATCH(Y146,'G-8 Condition Look up'!$A$3:$H$3,0)),"")</f>
        <v/>
      </c>
      <c r="AA146" s="71"/>
      <c r="AB146" s="520" t="str">
        <f>IF(AA146="","",IF(VLOOKUP(AA146,'G-3 Multipliers'!$L$3:$N$6,2,FALSE)=0,"Spatial Data Missing ⚠",VLOOKUP(AA146,'G-3 Multipliers'!$L$3:$N$6,2,FALSE)))</f>
        <v/>
      </c>
      <c r="AC146" s="524" t="str">
        <f>IF(AA146="","",IF(VLOOKUP(AA146,'G-3 Multipliers'!$L$3:$N$6,3,FALSE)=0,"Spatial Data Missing ⚠",VLOOKUP(AA146,'G-3 Multipliers'!$L$3:$N$6,3,FALSE)))</f>
        <v/>
      </c>
      <c r="AD146" s="539" t="str">
        <f t="shared" si="24"/>
        <v/>
      </c>
      <c r="AE146" s="82"/>
      <c r="AF146" s="82"/>
      <c r="AG146" s="507" t="str">
        <f t="shared" si="30"/>
        <v/>
      </c>
      <c r="AH146" s="521" t="str">
        <f t="shared" si="31"/>
        <v/>
      </c>
      <c r="AI146" s="522" t="str">
        <f>IF(AH146="Check Data","Check Data",IFERROR(VLOOKUP(AH146,'G-4 Temporal multipliers'!$A$4:$C$36,3,FALSE),""))</f>
        <v/>
      </c>
      <c r="AJ146" s="498" t="str">
        <f>IF(S146="","",VLOOKUP(S146,'G-3 Multipliers'!$A$2:$E$129,4,FALSE))</f>
        <v/>
      </c>
      <c r="AK146" s="507" t="str">
        <f t="shared" si="32"/>
        <v/>
      </c>
      <c r="AL146" s="507" t="str">
        <f t="shared" si="33"/>
        <v/>
      </c>
      <c r="AM146" s="540" t="str">
        <f>IFERROR(IF(F146="","",IF(AH146="Check Data ⚠","Check Data ⚠",VLOOKUP(AL146, 'G-3 Multipliers'!$P$2:$Q$6,2,FALSE))),"")</f>
        <v/>
      </c>
      <c r="AN146" s="513" t="str">
        <f t="shared" si="25"/>
        <v/>
      </c>
      <c r="AO146" s="239"/>
      <c r="AP146" s="240"/>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1" t="str">
        <f>'A-1 Site Habitat Baseline'!AL146</f>
        <v/>
      </c>
      <c r="F147" s="520" t="str">
        <f>IF(E147="","",IF(ISNA(VLOOKUP($E147,'A-1 Site Habitat Baseline'!$D$1:$O$258,4,FALSE)),"",(VLOOKUP($E147,'A-1 Site Habitat Baseline'!$D$1:$O$258,4,FALSE))))</f>
        <v/>
      </c>
      <c r="G147" s="520" t="str">
        <f>IF(E147="","",IF(ISNA(VLOOKUP($E147,'A-1 Site Habitat Baseline'!$D$1:$O$258,5,FALSE)),"",(VLOOKUP($E147,'A-1 Site Habitat Baseline'!$D$1:$O$258,5,FALSE))))</f>
        <v/>
      </c>
      <c r="H147" s="520" t="str">
        <f>IF(E147="","",IF(ISNA(VLOOKUP($E147,'A-1 Site Habitat Baseline'!$D$1:$O$258,6,FALSE)),"",(VLOOKUP($E147,'A-1 Site Habitat Baseline'!$D$1:$O$258,6,FALSE))))</f>
        <v/>
      </c>
      <c r="I147" s="520" t="str">
        <f>IF(E147="","",IF(ISNA(VLOOKUP($E147,'A-1 Site Habitat Baseline'!$D$1:$O$258,7,FALSE)),"",(VLOOKUP($E147,'A-1 Site Habitat Baseline'!$D$1:$O$258,7,FALSE))))</f>
        <v/>
      </c>
      <c r="J147" s="520" t="str">
        <f>IF(E147="","",IF(ISNA(VLOOKUP($E147,'A-1 Site Habitat Baseline'!$D$1:$O$258,8,FALSE)),"",(VLOOKUP($E147,'A-1 Site Habitat Baseline'!$D$1:$O$258,8,FALSE))))</f>
        <v/>
      </c>
      <c r="K147" s="520" t="str">
        <f>IF(E147="","",IF(ISNA(VLOOKUP($E147,'A-1 Site Habitat Baseline'!$D$1:$O$258,9,FALSE)),"",(VLOOKUP($E147,'A-1 Site Habitat Baseline'!$D$1:$O$258,9,FALSE))))</f>
        <v/>
      </c>
      <c r="L147" s="520" t="str">
        <f>IF(E147="","",IF(ISNA(VLOOKUP($E147,'A-1 Site Habitat Baseline'!$D$1:$O$258,11,FALSE)),"",(VLOOKUP($E147,'A-1 Site Habitat Baseline'!$D$1:$O$258,11,FALSE))))</f>
        <v/>
      </c>
      <c r="M147" s="520" t="str">
        <f>IF(E147="","",IF(ISNA(VLOOKUP($E147,'A-1 Site Habitat Baseline'!$D$1:$O$258,12,FALSE)),"",(VLOOKUP($E147,'A-1 Site Habitat Baseline'!$D$1:$O$258,12,FALSE))))</f>
        <v/>
      </c>
      <c r="N147" s="532" t="str">
        <f>IF(E147="","",IF(ISNA(VLOOKUP($E147,'A-1 Site Habitat Baseline'!$D$1:$X$258,14,FALSE)),"",(VLOOKUP($E147,'A-1 Site Habitat Baseline'!$D$1:$X$258,14,FALSE))))</f>
        <v/>
      </c>
      <c r="O147" s="524" t="str">
        <f>IF(E147="","",IF(ISNA(VLOOKUP($E147,'A-1 Site Habitat Baseline'!$D$1:$X$258,16,FALSE)),"",(VLOOKUP($E147,'A-1 Site Habitat Baseline'!$D$1:$X$258,13,FALSE))))</f>
        <v/>
      </c>
      <c r="P147" s="237" t="str">
        <f>IFERROR(INDEX('G-1 All Habitats'!$AG$3:$AG$15,MATCH(Q147,'G-1 All Habitats'!$AF$3:$AF$15,0)),"")</f>
        <v/>
      </c>
      <c r="Q147" s="238" t="str">
        <f t="shared" si="26"/>
        <v/>
      </c>
      <c r="R147" s="238" t="str">
        <f t="shared" si="27"/>
        <v/>
      </c>
      <c r="S147" s="392" t="str">
        <f>IFERROR(INDEX('G-1 All Habitats'!$B$3:$B$129,MATCH(R147,'G-1 All Habitats'!$A$3:$A$129,0)),"")</f>
        <v/>
      </c>
      <c r="T147" s="498" t="str">
        <f t="shared" si="28"/>
        <v/>
      </c>
      <c r="U147" s="499" t="str">
        <f t="shared" si="29"/>
        <v/>
      </c>
      <c r="V147" s="537" t="str">
        <f t="shared" si="23"/>
        <v/>
      </c>
      <c r="W147" s="520" t="str">
        <f>IF(S147="","",VLOOKUP(S147,'G-1 All Habitats'!$B$2:$M$129,10,FALSE))</f>
        <v/>
      </c>
      <c r="X147" s="520" t="str">
        <f>IFERROR(VLOOKUP(W147,'G-1 All Habitats'!$V$3:$W$7,2,FALSE),"")</f>
        <v/>
      </c>
      <c r="Y147" s="79"/>
      <c r="Z147" s="524" t="str">
        <f>IFERROR(INDEX('G-8 Condition Look up'!$A$3:$H$130,MATCH(S147,'G-8 Condition Look up'!$A$3:$A$130,0),MATCH(Y147,'G-8 Condition Look up'!$A$3:$H$3,0)),"")</f>
        <v/>
      </c>
      <c r="AA147" s="71"/>
      <c r="AB147" s="520" t="str">
        <f>IF(AA147="","",IF(VLOOKUP(AA147,'G-3 Multipliers'!$L$3:$N$6,2,FALSE)=0,"Spatial Data Missing ⚠",VLOOKUP(AA147,'G-3 Multipliers'!$L$3:$N$6,2,FALSE)))</f>
        <v/>
      </c>
      <c r="AC147" s="524" t="str">
        <f>IF(AA147="","",IF(VLOOKUP(AA147,'G-3 Multipliers'!$L$3:$N$6,3,FALSE)=0,"Spatial Data Missing ⚠",VLOOKUP(AA147,'G-3 Multipliers'!$L$3:$N$6,3,FALSE)))</f>
        <v/>
      </c>
      <c r="AD147" s="539" t="str">
        <f t="shared" si="24"/>
        <v/>
      </c>
      <c r="AE147" s="82"/>
      <c r="AF147" s="82"/>
      <c r="AG147" s="507" t="str">
        <f t="shared" si="30"/>
        <v/>
      </c>
      <c r="AH147" s="521" t="str">
        <f t="shared" si="31"/>
        <v/>
      </c>
      <c r="AI147" s="522" t="str">
        <f>IF(AH147="Check Data","Check Data",IFERROR(VLOOKUP(AH147,'G-4 Temporal multipliers'!$A$4:$C$36,3,FALSE),""))</f>
        <v/>
      </c>
      <c r="AJ147" s="498" t="str">
        <f>IF(S147="","",VLOOKUP(S147,'G-3 Multipliers'!$A$2:$E$129,4,FALSE))</f>
        <v/>
      </c>
      <c r="AK147" s="507" t="str">
        <f t="shared" si="32"/>
        <v/>
      </c>
      <c r="AL147" s="507" t="str">
        <f t="shared" si="33"/>
        <v/>
      </c>
      <c r="AM147" s="540" t="str">
        <f>IFERROR(IF(F147="","",IF(AH147="Check Data ⚠","Check Data ⚠",VLOOKUP(AL147, 'G-3 Multipliers'!$P$2:$Q$6,2,FALSE))),"")</f>
        <v/>
      </c>
      <c r="AN147" s="513" t="str">
        <f t="shared" si="25"/>
        <v/>
      </c>
      <c r="AO147" s="239"/>
      <c r="AP147" s="240"/>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1" t="str">
        <f>'A-1 Site Habitat Baseline'!AL147</f>
        <v/>
      </c>
      <c r="F148" s="520" t="str">
        <f>IF(E148="","",IF(ISNA(VLOOKUP($E148,'A-1 Site Habitat Baseline'!$D$1:$O$258,4,FALSE)),"",(VLOOKUP($E148,'A-1 Site Habitat Baseline'!$D$1:$O$258,4,FALSE))))</f>
        <v/>
      </c>
      <c r="G148" s="520" t="str">
        <f>IF(E148="","",IF(ISNA(VLOOKUP($E148,'A-1 Site Habitat Baseline'!$D$1:$O$258,5,FALSE)),"",(VLOOKUP($E148,'A-1 Site Habitat Baseline'!$D$1:$O$258,5,FALSE))))</f>
        <v/>
      </c>
      <c r="H148" s="520" t="str">
        <f>IF(E148="","",IF(ISNA(VLOOKUP($E148,'A-1 Site Habitat Baseline'!$D$1:$O$258,6,FALSE)),"",(VLOOKUP($E148,'A-1 Site Habitat Baseline'!$D$1:$O$258,6,FALSE))))</f>
        <v/>
      </c>
      <c r="I148" s="520" t="str">
        <f>IF(E148="","",IF(ISNA(VLOOKUP($E148,'A-1 Site Habitat Baseline'!$D$1:$O$258,7,FALSE)),"",(VLOOKUP($E148,'A-1 Site Habitat Baseline'!$D$1:$O$258,7,FALSE))))</f>
        <v/>
      </c>
      <c r="J148" s="520" t="str">
        <f>IF(E148="","",IF(ISNA(VLOOKUP($E148,'A-1 Site Habitat Baseline'!$D$1:$O$258,8,FALSE)),"",(VLOOKUP($E148,'A-1 Site Habitat Baseline'!$D$1:$O$258,8,FALSE))))</f>
        <v/>
      </c>
      <c r="K148" s="520" t="str">
        <f>IF(E148="","",IF(ISNA(VLOOKUP($E148,'A-1 Site Habitat Baseline'!$D$1:$O$258,9,FALSE)),"",(VLOOKUP($E148,'A-1 Site Habitat Baseline'!$D$1:$O$258,9,FALSE))))</f>
        <v/>
      </c>
      <c r="L148" s="520" t="str">
        <f>IF(E148="","",IF(ISNA(VLOOKUP($E148,'A-1 Site Habitat Baseline'!$D$1:$O$258,11,FALSE)),"",(VLOOKUP($E148,'A-1 Site Habitat Baseline'!$D$1:$O$258,11,FALSE))))</f>
        <v/>
      </c>
      <c r="M148" s="520" t="str">
        <f>IF(E148="","",IF(ISNA(VLOOKUP($E148,'A-1 Site Habitat Baseline'!$D$1:$O$258,12,FALSE)),"",(VLOOKUP($E148,'A-1 Site Habitat Baseline'!$D$1:$O$258,12,FALSE))))</f>
        <v/>
      </c>
      <c r="N148" s="532" t="str">
        <f>IF(E148="","",IF(ISNA(VLOOKUP($E148,'A-1 Site Habitat Baseline'!$D$1:$X$258,14,FALSE)),"",(VLOOKUP($E148,'A-1 Site Habitat Baseline'!$D$1:$X$258,14,FALSE))))</f>
        <v/>
      </c>
      <c r="O148" s="524" t="str">
        <f>IF(E148="","",IF(ISNA(VLOOKUP($E148,'A-1 Site Habitat Baseline'!$D$1:$X$258,16,FALSE)),"",(VLOOKUP($E148,'A-1 Site Habitat Baseline'!$D$1:$X$258,13,FALSE))))</f>
        <v/>
      </c>
      <c r="P148" s="237" t="str">
        <f>IFERROR(INDEX('G-1 All Habitats'!$AG$3:$AG$15,MATCH(Q148,'G-1 All Habitats'!$AF$3:$AF$15,0)),"")</f>
        <v/>
      </c>
      <c r="Q148" s="238" t="str">
        <f t="shared" si="26"/>
        <v/>
      </c>
      <c r="R148" s="238" t="str">
        <f t="shared" si="27"/>
        <v/>
      </c>
      <c r="S148" s="392" t="str">
        <f>IFERROR(INDEX('G-1 All Habitats'!$B$3:$B$129,MATCH(R148,'G-1 All Habitats'!$A$3:$A$129,0)),"")</f>
        <v/>
      </c>
      <c r="T148" s="498" t="str">
        <f t="shared" si="28"/>
        <v/>
      </c>
      <c r="U148" s="499" t="str">
        <f t="shared" si="29"/>
        <v/>
      </c>
      <c r="V148" s="537" t="str">
        <f t="shared" si="23"/>
        <v/>
      </c>
      <c r="W148" s="520" t="str">
        <f>IF(S148="","",VLOOKUP(S148,'G-1 All Habitats'!$B$2:$M$129,10,FALSE))</f>
        <v/>
      </c>
      <c r="X148" s="520" t="str">
        <f>IFERROR(VLOOKUP(W148,'G-1 All Habitats'!$V$3:$W$7,2,FALSE),"")</f>
        <v/>
      </c>
      <c r="Y148" s="79"/>
      <c r="Z148" s="524" t="str">
        <f>IFERROR(INDEX('G-8 Condition Look up'!$A$3:$H$130,MATCH(S148,'G-8 Condition Look up'!$A$3:$A$130,0),MATCH(Y148,'G-8 Condition Look up'!$A$3:$H$3,0)),"")</f>
        <v/>
      </c>
      <c r="AA148" s="71"/>
      <c r="AB148" s="520" t="str">
        <f>IF(AA148="","",IF(VLOOKUP(AA148,'G-3 Multipliers'!$L$3:$N$6,2,FALSE)=0,"Spatial Data Missing ⚠",VLOOKUP(AA148,'G-3 Multipliers'!$L$3:$N$6,2,FALSE)))</f>
        <v/>
      </c>
      <c r="AC148" s="524" t="str">
        <f>IF(AA148="","",IF(VLOOKUP(AA148,'G-3 Multipliers'!$L$3:$N$6,3,FALSE)=0,"Spatial Data Missing ⚠",VLOOKUP(AA148,'G-3 Multipliers'!$L$3:$N$6,3,FALSE)))</f>
        <v/>
      </c>
      <c r="AD148" s="539" t="str">
        <f t="shared" si="24"/>
        <v/>
      </c>
      <c r="AE148" s="82"/>
      <c r="AF148" s="82"/>
      <c r="AG148" s="507" t="str">
        <f t="shared" si="30"/>
        <v/>
      </c>
      <c r="AH148" s="521" t="str">
        <f t="shared" si="31"/>
        <v/>
      </c>
      <c r="AI148" s="522" t="str">
        <f>IF(AH148="Check Data","Check Data",IFERROR(VLOOKUP(AH148,'G-4 Temporal multipliers'!$A$4:$C$36,3,FALSE),""))</f>
        <v/>
      </c>
      <c r="AJ148" s="498" t="str">
        <f>IF(S148="","",VLOOKUP(S148,'G-3 Multipliers'!$A$2:$E$129,4,FALSE))</f>
        <v/>
      </c>
      <c r="AK148" s="507" t="str">
        <f t="shared" si="32"/>
        <v/>
      </c>
      <c r="AL148" s="507" t="str">
        <f t="shared" si="33"/>
        <v/>
      </c>
      <c r="AM148" s="540" t="str">
        <f>IFERROR(IF(F148="","",IF(AH148="Check Data ⚠","Check Data ⚠",VLOOKUP(AL148, 'G-3 Multipliers'!$P$2:$Q$6,2,FALSE))),"")</f>
        <v/>
      </c>
      <c r="AN148" s="513" t="str">
        <f t="shared" si="25"/>
        <v/>
      </c>
      <c r="AO148" s="239"/>
      <c r="AP148" s="240"/>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1" t="str">
        <f>'A-1 Site Habitat Baseline'!AL148</f>
        <v/>
      </c>
      <c r="F149" s="520" t="str">
        <f>IF(E149="","",IF(ISNA(VLOOKUP($E149,'A-1 Site Habitat Baseline'!$D$1:$O$258,4,FALSE)),"",(VLOOKUP($E149,'A-1 Site Habitat Baseline'!$D$1:$O$258,4,FALSE))))</f>
        <v/>
      </c>
      <c r="G149" s="520" t="str">
        <f>IF(E149="","",IF(ISNA(VLOOKUP($E149,'A-1 Site Habitat Baseline'!$D$1:$O$258,5,FALSE)),"",(VLOOKUP($E149,'A-1 Site Habitat Baseline'!$D$1:$O$258,5,FALSE))))</f>
        <v/>
      </c>
      <c r="H149" s="520" t="str">
        <f>IF(E149="","",IF(ISNA(VLOOKUP($E149,'A-1 Site Habitat Baseline'!$D$1:$O$258,6,FALSE)),"",(VLOOKUP($E149,'A-1 Site Habitat Baseline'!$D$1:$O$258,6,FALSE))))</f>
        <v/>
      </c>
      <c r="I149" s="520" t="str">
        <f>IF(E149="","",IF(ISNA(VLOOKUP($E149,'A-1 Site Habitat Baseline'!$D$1:$O$258,7,FALSE)),"",(VLOOKUP($E149,'A-1 Site Habitat Baseline'!$D$1:$O$258,7,FALSE))))</f>
        <v/>
      </c>
      <c r="J149" s="520" t="str">
        <f>IF(E149="","",IF(ISNA(VLOOKUP($E149,'A-1 Site Habitat Baseline'!$D$1:$O$258,8,FALSE)),"",(VLOOKUP($E149,'A-1 Site Habitat Baseline'!$D$1:$O$258,8,FALSE))))</f>
        <v/>
      </c>
      <c r="K149" s="520" t="str">
        <f>IF(E149="","",IF(ISNA(VLOOKUP($E149,'A-1 Site Habitat Baseline'!$D$1:$O$258,9,FALSE)),"",(VLOOKUP($E149,'A-1 Site Habitat Baseline'!$D$1:$O$258,9,FALSE))))</f>
        <v/>
      </c>
      <c r="L149" s="520" t="str">
        <f>IF(E149="","",IF(ISNA(VLOOKUP($E149,'A-1 Site Habitat Baseline'!$D$1:$O$258,11,FALSE)),"",(VLOOKUP($E149,'A-1 Site Habitat Baseline'!$D$1:$O$258,11,FALSE))))</f>
        <v/>
      </c>
      <c r="M149" s="520" t="str">
        <f>IF(E149="","",IF(ISNA(VLOOKUP($E149,'A-1 Site Habitat Baseline'!$D$1:$O$258,12,FALSE)),"",(VLOOKUP($E149,'A-1 Site Habitat Baseline'!$D$1:$O$258,12,FALSE))))</f>
        <v/>
      </c>
      <c r="N149" s="532" t="str">
        <f>IF(E149="","",IF(ISNA(VLOOKUP($E149,'A-1 Site Habitat Baseline'!$D$1:$X$258,14,FALSE)),"",(VLOOKUP($E149,'A-1 Site Habitat Baseline'!$D$1:$X$258,14,FALSE))))</f>
        <v/>
      </c>
      <c r="O149" s="524" t="str">
        <f>IF(E149="","",IF(ISNA(VLOOKUP($E149,'A-1 Site Habitat Baseline'!$D$1:$X$258,16,FALSE)),"",(VLOOKUP($E149,'A-1 Site Habitat Baseline'!$D$1:$X$258,13,FALSE))))</f>
        <v/>
      </c>
      <c r="P149" s="237" t="str">
        <f>IFERROR(INDEX('G-1 All Habitats'!$AG$3:$AG$15,MATCH(Q149,'G-1 All Habitats'!$AF$3:$AF$15,0)),"")</f>
        <v/>
      </c>
      <c r="Q149" s="238" t="str">
        <f t="shared" si="26"/>
        <v/>
      </c>
      <c r="R149" s="238" t="str">
        <f t="shared" si="27"/>
        <v/>
      </c>
      <c r="S149" s="392" t="str">
        <f>IFERROR(INDEX('G-1 All Habitats'!$B$3:$B$129,MATCH(R149,'G-1 All Habitats'!$A$3:$A$129,0)),"")</f>
        <v/>
      </c>
      <c r="T149" s="498" t="str">
        <f t="shared" si="28"/>
        <v/>
      </c>
      <c r="U149" s="499" t="str">
        <f t="shared" si="29"/>
        <v/>
      </c>
      <c r="V149" s="537" t="str">
        <f t="shared" si="23"/>
        <v/>
      </c>
      <c r="W149" s="520" t="str">
        <f>IF(S149="","",VLOOKUP(S149,'G-1 All Habitats'!$B$2:$M$129,10,FALSE))</f>
        <v/>
      </c>
      <c r="X149" s="520" t="str">
        <f>IFERROR(VLOOKUP(W149,'G-1 All Habitats'!$V$3:$W$7,2,FALSE),"")</f>
        <v/>
      </c>
      <c r="Y149" s="79"/>
      <c r="Z149" s="524" t="str">
        <f>IFERROR(INDEX('G-8 Condition Look up'!$A$3:$H$130,MATCH(S149,'G-8 Condition Look up'!$A$3:$A$130,0),MATCH(Y149,'G-8 Condition Look up'!$A$3:$H$3,0)),"")</f>
        <v/>
      </c>
      <c r="AA149" s="71"/>
      <c r="AB149" s="520" t="str">
        <f>IF(AA149="","",IF(VLOOKUP(AA149,'G-3 Multipliers'!$L$3:$N$6,2,FALSE)=0,"Spatial Data Missing ⚠",VLOOKUP(AA149,'G-3 Multipliers'!$L$3:$N$6,2,FALSE)))</f>
        <v/>
      </c>
      <c r="AC149" s="524" t="str">
        <f>IF(AA149="","",IF(VLOOKUP(AA149,'G-3 Multipliers'!$L$3:$N$6,3,FALSE)=0,"Spatial Data Missing ⚠",VLOOKUP(AA149,'G-3 Multipliers'!$L$3:$N$6,3,FALSE)))</f>
        <v/>
      </c>
      <c r="AD149" s="539" t="str">
        <f t="shared" si="24"/>
        <v/>
      </c>
      <c r="AE149" s="82"/>
      <c r="AF149" s="82"/>
      <c r="AG149" s="507" t="str">
        <f t="shared" si="30"/>
        <v/>
      </c>
      <c r="AH149" s="521" t="str">
        <f t="shared" si="31"/>
        <v/>
      </c>
      <c r="AI149" s="522" t="str">
        <f>IF(AH149="Check Data","Check Data",IFERROR(VLOOKUP(AH149,'G-4 Temporal multipliers'!$A$4:$C$36,3,FALSE),""))</f>
        <v/>
      </c>
      <c r="AJ149" s="498" t="str">
        <f>IF(S149="","",VLOOKUP(S149,'G-3 Multipliers'!$A$2:$E$129,4,FALSE))</f>
        <v/>
      </c>
      <c r="AK149" s="507" t="str">
        <f t="shared" si="32"/>
        <v/>
      </c>
      <c r="AL149" s="507" t="str">
        <f t="shared" si="33"/>
        <v/>
      </c>
      <c r="AM149" s="540" t="str">
        <f>IFERROR(IF(F149="","",IF(AH149="Check Data ⚠","Check Data ⚠",VLOOKUP(AL149, 'G-3 Multipliers'!$P$2:$Q$6,2,FALSE))),"")</f>
        <v/>
      </c>
      <c r="AN149" s="513" t="str">
        <f t="shared" si="25"/>
        <v/>
      </c>
      <c r="AO149" s="239"/>
      <c r="AP149" s="240"/>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1" t="str">
        <f>'A-1 Site Habitat Baseline'!AL149</f>
        <v/>
      </c>
      <c r="F150" s="520" t="str">
        <f>IF(E150="","",IF(ISNA(VLOOKUP($E150,'A-1 Site Habitat Baseline'!$D$1:$O$258,4,FALSE)),"",(VLOOKUP($E150,'A-1 Site Habitat Baseline'!$D$1:$O$258,4,FALSE))))</f>
        <v/>
      </c>
      <c r="G150" s="520" t="str">
        <f>IF(E150="","",IF(ISNA(VLOOKUP($E150,'A-1 Site Habitat Baseline'!$D$1:$O$258,5,FALSE)),"",(VLOOKUP($E150,'A-1 Site Habitat Baseline'!$D$1:$O$258,5,FALSE))))</f>
        <v/>
      </c>
      <c r="H150" s="520" t="str">
        <f>IF(E150="","",IF(ISNA(VLOOKUP($E150,'A-1 Site Habitat Baseline'!$D$1:$O$258,6,FALSE)),"",(VLOOKUP($E150,'A-1 Site Habitat Baseline'!$D$1:$O$258,6,FALSE))))</f>
        <v/>
      </c>
      <c r="I150" s="520" t="str">
        <f>IF(E150="","",IF(ISNA(VLOOKUP($E150,'A-1 Site Habitat Baseline'!$D$1:$O$258,7,FALSE)),"",(VLOOKUP($E150,'A-1 Site Habitat Baseline'!$D$1:$O$258,7,FALSE))))</f>
        <v/>
      </c>
      <c r="J150" s="520" t="str">
        <f>IF(E150="","",IF(ISNA(VLOOKUP($E150,'A-1 Site Habitat Baseline'!$D$1:$O$258,8,FALSE)),"",(VLOOKUP($E150,'A-1 Site Habitat Baseline'!$D$1:$O$258,8,FALSE))))</f>
        <v/>
      </c>
      <c r="K150" s="520" t="str">
        <f>IF(E150="","",IF(ISNA(VLOOKUP($E150,'A-1 Site Habitat Baseline'!$D$1:$O$258,9,FALSE)),"",(VLOOKUP($E150,'A-1 Site Habitat Baseline'!$D$1:$O$258,9,FALSE))))</f>
        <v/>
      </c>
      <c r="L150" s="520" t="str">
        <f>IF(E150="","",IF(ISNA(VLOOKUP($E150,'A-1 Site Habitat Baseline'!$D$1:$O$258,11,FALSE)),"",(VLOOKUP($E150,'A-1 Site Habitat Baseline'!$D$1:$O$258,11,FALSE))))</f>
        <v/>
      </c>
      <c r="M150" s="520" t="str">
        <f>IF(E150="","",IF(ISNA(VLOOKUP($E150,'A-1 Site Habitat Baseline'!$D$1:$O$258,12,FALSE)),"",(VLOOKUP($E150,'A-1 Site Habitat Baseline'!$D$1:$O$258,12,FALSE))))</f>
        <v/>
      </c>
      <c r="N150" s="532" t="str">
        <f>IF(E150="","",IF(ISNA(VLOOKUP($E150,'A-1 Site Habitat Baseline'!$D$1:$X$258,14,FALSE)),"",(VLOOKUP($E150,'A-1 Site Habitat Baseline'!$D$1:$X$258,14,FALSE))))</f>
        <v/>
      </c>
      <c r="O150" s="524" t="str">
        <f>IF(E150="","",IF(ISNA(VLOOKUP($E150,'A-1 Site Habitat Baseline'!$D$1:$X$258,16,FALSE)),"",(VLOOKUP($E150,'A-1 Site Habitat Baseline'!$D$1:$X$258,13,FALSE))))</f>
        <v/>
      </c>
      <c r="P150" s="237" t="str">
        <f>IFERROR(INDEX('G-1 All Habitats'!$AG$3:$AG$15,MATCH(Q150,'G-1 All Habitats'!$AF$3:$AF$15,0)),"")</f>
        <v/>
      </c>
      <c r="Q150" s="238" t="str">
        <f t="shared" si="26"/>
        <v/>
      </c>
      <c r="R150" s="238" t="str">
        <f t="shared" si="27"/>
        <v/>
      </c>
      <c r="S150" s="392" t="str">
        <f>IFERROR(INDEX('G-1 All Habitats'!$B$3:$B$129,MATCH(R150,'G-1 All Habitats'!$A$3:$A$129,0)),"")</f>
        <v/>
      </c>
      <c r="T150" s="498" t="str">
        <f t="shared" si="28"/>
        <v/>
      </c>
      <c r="U150" s="499" t="str">
        <f t="shared" si="29"/>
        <v/>
      </c>
      <c r="V150" s="537" t="str">
        <f t="shared" si="23"/>
        <v/>
      </c>
      <c r="W150" s="520" t="str">
        <f>IF(S150="","",VLOOKUP(S150,'G-1 All Habitats'!$B$2:$M$129,10,FALSE))</f>
        <v/>
      </c>
      <c r="X150" s="520" t="str">
        <f>IFERROR(VLOOKUP(W150,'G-1 All Habitats'!$V$3:$W$7,2,FALSE),"")</f>
        <v/>
      </c>
      <c r="Y150" s="79"/>
      <c r="Z150" s="524" t="str">
        <f>IFERROR(INDEX('G-8 Condition Look up'!$A$3:$H$130,MATCH(S150,'G-8 Condition Look up'!$A$3:$A$130,0),MATCH(Y150,'G-8 Condition Look up'!$A$3:$H$3,0)),"")</f>
        <v/>
      </c>
      <c r="AA150" s="71"/>
      <c r="AB150" s="520" t="str">
        <f>IF(AA150="","",IF(VLOOKUP(AA150,'G-3 Multipliers'!$L$3:$N$6,2,FALSE)=0,"Spatial Data Missing ⚠",VLOOKUP(AA150,'G-3 Multipliers'!$L$3:$N$6,2,FALSE)))</f>
        <v/>
      </c>
      <c r="AC150" s="524" t="str">
        <f>IF(AA150="","",IF(VLOOKUP(AA150,'G-3 Multipliers'!$L$3:$N$6,3,FALSE)=0,"Spatial Data Missing ⚠",VLOOKUP(AA150,'G-3 Multipliers'!$L$3:$N$6,3,FALSE)))</f>
        <v/>
      </c>
      <c r="AD150" s="539" t="str">
        <f t="shared" si="24"/>
        <v/>
      </c>
      <c r="AE150" s="82"/>
      <c r="AF150" s="82"/>
      <c r="AG150" s="507" t="str">
        <f t="shared" si="30"/>
        <v/>
      </c>
      <c r="AH150" s="521" t="str">
        <f t="shared" si="31"/>
        <v/>
      </c>
      <c r="AI150" s="522" t="str">
        <f>IF(AH150="Check Data","Check Data",IFERROR(VLOOKUP(AH150,'G-4 Temporal multipliers'!$A$4:$C$36,3,FALSE),""))</f>
        <v/>
      </c>
      <c r="AJ150" s="498" t="str">
        <f>IF(S150="","",VLOOKUP(S150,'G-3 Multipliers'!$A$2:$E$129,4,FALSE))</f>
        <v/>
      </c>
      <c r="AK150" s="507" t="str">
        <f t="shared" si="32"/>
        <v/>
      </c>
      <c r="AL150" s="507" t="str">
        <f t="shared" si="33"/>
        <v/>
      </c>
      <c r="AM150" s="540" t="str">
        <f>IFERROR(IF(F150="","",IF(AH150="Check Data ⚠","Check Data ⚠",VLOOKUP(AL150, 'G-3 Multipliers'!$P$2:$Q$6,2,FALSE))),"")</f>
        <v/>
      </c>
      <c r="AN150" s="513" t="str">
        <f t="shared" si="25"/>
        <v/>
      </c>
      <c r="AO150" s="239"/>
      <c r="AP150" s="240"/>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1" t="str">
        <f>'A-1 Site Habitat Baseline'!AL150</f>
        <v/>
      </c>
      <c r="F151" s="520" t="str">
        <f>IF(E151="","",IF(ISNA(VLOOKUP($E151,'A-1 Site Habitat Baseline'!$D$1:$O$258,4,FALSE)),"",(VLOOKUP($E151,'A-1 Site Habitat Baseline'!$D$1:$O$258,4,FALSE))))</f>
        <v/>
      </c>
      <c r="G151" s="520" t="str">
        <f>IF(E151="","",IF(ISNA(VLOOKUP($E151,'A-1 Site Habitat Baseline'!$D$1:$O$258,5,FALSE)),"",(VLOOKUP($E151,'A-1 Site Habitat Baseline'!$D$1:$O$258,5,FALSE))))</f>
        <v/>
      </c>
      <c r="H151" s="520" t="str">
        <f>IF(E151="","",IF(ISNA(VLOOKUP($E151,'A-1 Site Habitat Baseline'!$D$1:$O$258,6,FALSE)),"",(VLOOKUP($E151,'A-1 Site Habitat Baseline'!$D$1:$O$258,6,FALSE))))</f>
        <v/>
      </c>
      <c r="I151" s="520" t="str">
        <f>IF(E151="","",IF(ISNA(VLOOKUP($E151,'A-1 Site Habitat Baseline'!$D$1:$O$258,7,FALSE)),"",(VLOOKUP($E151,'A-1 Site Habitat Baseline'!$D$1:$O$258,7,FALSE))))</f>
        <v/>
      </c>
      <c r="J151" s="520" t="str">
        <f>IF(E151="","",IF(ISNA(VLOOKUP($E151,'A-1 Site Habitat Baseline'!$D$1:$O$258,8,FALSE)),"",(VLOOKUP($E151,'A-1 Site Habitat Baseline'!$D$1:$O$258,8,FALSE))))</f>
        <v/>
      </c>
      <c r="K151" s="520" t="str">
        <f>IF(E151="","",IF(ISNA(VLOOKUP($E151,'A-1 Site Habitat Baseline'!$D$1:$O$258,9,FALSE)),"",(VLOOKUP($E151,'A-1 Site Habitat Baseline'!$D$1:$O$258,9,FALSE))))</f>
        <v/>
      </c>
      <c r="L151" s="520" t="str">
        <f>IF(E151="","",IF(ISNA(VLOOKUP($E151,'A-1 Site Habitat Baseline'!$D$1:$O$258,11,FALSE)),"",(VLOOKUP($E151,'A-1 Site Habitat Baseline'!$D$1:$O$258,11,FALSE))))</f>
        <v/>
      </c>
      <c r="M151" s="520" t="str">
        <f>IF(E151="","",IF(ISNA(VLOOKUP($E151,'A-1 Site Habitat Baseline'!$D$1:$O$258,12,FALSE)),"",(VLOOKUP($E151,'A-1 Site Habitat Baseline'!$D$1:$O$258,12,FALSE))))</f>
        <v/>
      </c>
      <c r="N151" s="532" t="str">
        <f>IF(E151="","",IF(ISNA(VLOOKUP($E151,'A-1 Site Habitat Baseline'!$D$1:$X$258,14,FALSE)),"",(VLOOKUP($E151,'A-1 Site Habitat Baseline'!$D$1:$X$258,14,FALSE))))</f>
        <v/>
      </c>
      <c r="O151" s="524" t="str">
        <f>IF(E151="","",IF(ISNA(VLOOKUP($E151,'A-1 Site Habitat Baseline'!$D$1:$X$258,16,FALSE)),"",(VLOOKUP($E151,'A-1 Site Habitat Baseline'!$D$1:$X$258,13,FALSE))))</f>
        <v/>
      </c>
      <c r="P151" s="237" t="str">
        <f>IFERROR(INDEX('G-1 All Habitats'!$AG$3:$AG$15,MATCH(Q151,'G-1 All Habitats'!$AF$3:$AF$15,0)),"")</f>
        <v/>
      </c>
      <c r="Q151" s="238" t="str">
        <f t="shared" si="26"/>
        <v/>
      </c>
      <c r="R151" s="238" t="str">
        <f t="shared" si="27"/>
        <v/>
      </c>
      <c r="S151" s="392" t="str">
        <f>IFERROR(INDEX('G-1 All Habitats'!$B$3:$B$129,MATCH(R151,'G-1 All Habitats'!$A$3:$A$129,0)),"")</f>
        <v/>
      </c>
      <c r="T151" s="498" t="str">
        <f t="shared" si="28"/>
        <v/>
      </c>
      <c r="U151" s="499" t="str">
        <f t="shared" si="29"/>
        <v/>
      </c>
      <c r="V151" s="537" t="str">
        <f t="shared" si="23"/>
        <v/>
      </c>
      <c r="W151" s="520" t="str">
        <f>IF(S151="","",VLOOKUP(S151,'G-1 All Habitats'!$B$2:$M$129,10,FALSE))</f>
        <v/>
      </c>
      <c r="X151" s="520" t="str">
        <f>IFERROR(VLOOKUP(W151,'G-1 All Habitats'!$V$3:$W$7,2,FALSE),"")</f>
        <v/>
      </c>
      <c r="Y151" s="79"/>
      <c r="Z151" s="524" t="str">
        <f>IFERROR(INDEX('G-8 Condition Look up'!$A$3:$H$130,MATCH(S151,'G-8 Condition Look up'!$A$3:$A$130,0),MATCH(Y151,'G-8 Condition Look up'!$A$3:$H$3,0)),"")</f>
        <v/>
      </c>
      <c r="AA151" s="71"/>
      <c r="AB151" s="520" t="str">
        <f>IF(AA151="","",IF(VLOOKUP(AA151,'G-3 Multipliers'!$L$3:$N$6,2,FALSE)=0,"Spatial Data Missing ⚠",VLOOKUP(AA151,'G-3 Multipliers'!$L$3:$N$6,2,FALSE)))</f>
        <v/>
      </c>
      <c r="AC151" s="524" t="str">
        <f>IF(AA151="","",IF(VLOOKUP(AA151,'G-3 Multipliers'!$L$3:$N$6,3,FALSE)=0,"Spatial Data Missing ⚠",VLOOKUP(AA151,'G-3 Multipliers'!$L$3:$N$6,3,FALSE)))</f>
        <v/>
      </c>
      <c r="AD151" s="539" t="str">
        <f t="shared" si="24"/>
        <v/>
      </c>
      <c r="AE151" s="82"/>
      <c r="AF151" s="82"/>
      <c r="AG151" s="507" t="str">
        <f t="shared" si="30"/>
        <v/>
      </c>
      <c r="AH151" s="521" t="str">
        <f t="shared" si="31"/>
        <v/>
      </c>
      <c r="AI151" s="522" t="str">
        <f>IF(AH151="Check Data","Check Data",IFERROR(VLOOKUP(AH151,'G-4 Temporal multipliers'!$A$4:$C$36,3,FALSE),""))</f>
        <v/>
      </c>
      <c r="AJ151" s="498" t="str">
        <f>IF(S151="","",VLOOKUP(S151,'G-3 Multipliers'!$A$2:$E$129,4,FALSE))</f>
        <v/>
      </c>
      <c r="AK151" s="507" t="str">
        <f t="shared" si="32"/>
        <v/>
      </c>
      <c r="AL151" s="507" t="str">
        <f t="shared" si="33"/>
        <v/>
      </c>
      <c r="AM151" s="540" t="str">
        <f>IFERROR(IF(F151="","",IF(AH151="Check Data ⚠","Check Data ⚠",VLOOKUP(AL151, 'G-3 Multipliers'!$P$2:$Q$6,2,FALSE))),"")</f>
        <v/>
      </c>
      <c r="AN151" s="513" t="str">
        <f t="shared" si="25"/>
        <v/>
      </c>
      <c r="AO151" s="239"/>
      <c r="AP151" s="240"/>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1" t="str">
        <f>'A-1 Site Habitat Baseline'!AL151</f>
        <v/>
      </c>
      <c r="F152" s="520" t="str">
        <f>IF(E152="","",IF(ISNA(VLOOKUP($E152,'A-1 Site Habitat Baseline'!$D$1:$O$258,4,FALSE)),"",(VLOOKUP($E152,'A-1 Site Habitat Baseline'!$D$1:$O$258,4,FALSE))))</f>
        <v/>
      </c>
      <c r="G152" s="520" t="str">
        <f>IF(E152="","",IF(ISNA(VLOOKUP($E152,'A-1 Site Habitat Baseline'!$D$1:$O$258,5,FALSE)),"",(VLOOKUP($E152,'A-1 Site Habitat Baseline'!$D$1:$O$258,5,FALSE))))</f>
        <v/>
      </c>
      <c r="H152" s="520" t="str">
        <f>IF(E152="","",IF(ISNA(VLOOKUP($E152,'A-1 Site Habitat Baseline'!$D$1:$O$258,6,FALSE)),"",(VLOOKUP($E152,'A-1 Site Habitat Baseline'!$D$1:$O$258,6,FALSE))))</f>
        <v/>
      </c>
      <c r="I152" s="520" t="str">
        <f>IF(E152="","",IF(ISNA(VLOOKUP($E152,'A-1 Site Habitat Baseline'!$D$1:$O$258,7,FALSE)),"",(VLOOKUP($E152,'A-1 Site Habitat Baseline'!$D$1:$O$258,7,FALSE))))</f>
        <v/>
      </c>
      <c r="J152" s="520" t="str">
        <f>IF(E152="","",IF(ISNA(VLOOKUP($E152,'A-1 Site Habitat Baseline'!$D$1:$O$258,8,FALSE)),"",(VLOOKUP($E152,'A-1 Site Habitat Baseline'!$D$1:$O$258,8,FALSE))))</f>
        <v/>
      </c>
      <c r="K152" s="520" t="str">
        <f>IF(E152="","",IF(ISNA(VLOOKUP($E152,'A-1 Site Habitat Baseline'!$D$1:$O$258,9,FALSE)),"",(VLOOKUP($E152,'A-1 Site Habitat Baseline'!$D$1:$O$258,9,FALSE))))</f>
        <v/>
      </c>
      <c r="L152" s="520" t="str">
        <f>IF(E152="","",IF(ISNA(VLOOKUP($E152,'A-1 Site Habitat Baseline'!$D$1:$O$258,11,FALSE)),"",(VLOOKUP($E152,'A-1 Site Habitat Baseline'!$D$1:$O$258,11,FALSE))))</f>
        <v/>
      </c>
      <c r="M152" s="520" t="str">
        <f>IF(E152="","",IF(ISNA(VLOOKUP($E152,'A-1 Site Habitat Baseline'!$D$1:$O$258,12,FALSE)),"",(VLOOKUP($E152,'A-1 Site Habitat Baseline'!$D$1:$O$258,12,FALSE))))</f>
        <v/>
      </c>
      <c r="N152" s="532" t="str">
        <f>IF(E152="","",IF(ISNA(VLOOKUP($E152,'A-1 Site Habitat Baseline'!$D$1:$X$258,14,FALSE)),"",(VLOOKUP($E152,'A-1 Site Habitat Baseline'!$D$1:$X$258,14,FALSE))))</f>
        <v/>
      </c>
      <c r="O152" s="524" t="str">
        <f>IF(E152="","",IF(ISNA(VLOOKUP($E152,'A-1 Site Habitat Baseline'!$D$1:$X$258,16,FALSE)),"",(VLOOKUP($E152,'A-1 Site Habitat Baseline'!$D$1:$X$258,13,FALSE))))</f>
        <v/>
      </c>
      <c r="P152" s="237" t="str">
        <f>IFERROR(INDEX('G-1 All Habitats'!$AG$3:$AG$15,MATCH(Q152,'G-1 All Habitats'!$AF$3:$AF$15,0)),"")</f>
        <v/>
      </c>
      <c r="Q152" s="238" t="str">
        <f t="shared" si="26"/>
        <v/>
      </c>
      <c r="R152" s="238" t="str">
        <f t="shared" si="27"/>
        <v/>
      </c>
      <c r="S152" s="392" t="str">
        <f>IFERROR(INDEX('G-1 All Habitats'!$B$3:$B$129,MATCH(R152,'G-1 All Habitats'!$A$3:$A$129,0)),"")</f>
        <v/>
      </c>
      <c r="T152" s="498" t="str">
        <f t="shared" si="28"/>
        <v/>
      </c>
      <c r="U152" s="499" t="str">
        <f t="shared" si="29"/>
        <v/>
      </c>
      <c r="V152" s="537" t="str">
        <f t="shared" si="23"/>
        <v/>
      </c>
      <c r="W152" s="520" t="str">
        <f>IF(S152="","",VLOOKUP(S152,'G-1 All Habitats'!$B$2:$M$129,10,FALSE))</f>
        <v/>
      </c>
      <c r="X152" s="520" t="str">
        <f>IFERROR(VLOOKUP(W152,'G-1 All Habitats'!$V$3:$W$7,2,FALSE),"")</f>
        <v/>
      </c>
      <c r="Y152" s="79"/>
      <c r="Z152" s="524" t="str">
        <f>IFERROR(INDEX('G-8 Condition Look up'!$A$3:$H$130,MATCH(S152,'G-8 Condition Look up'!$A$3:$A$130,0),MATCH(Y152,'G-8 Condition Look up'!$A$3:$H$3,0)),"")</f>
        <v/>
      </c>
      <c r="AA152" s="71"/>
      <c r="AB152" s="520" t="str">
        <f>IF(AA152="","",IF(VLOOKUP(AA152,'G-3 Multipliers'!$L$3:$N$6,2,FALSE)=0,"Spatial Data Missing ⚠",VLOOKUP(AA152,'G-3 Multipliers'!$L$3:$N$6,2,FALSE)))</f>
        <v/>
      </c>
      <c r="AC152" s="524" t="str">
        <f>IF(AA152="","",IF(VLOOKUP(AA152,'G-3 Multipliers'!$L$3:$N$6,3,FALSE)=0,"Spatial Data Missing ⚠",VLOOKUP(AA152,'G-3 Multipliers'!$L$3:$N$6,3,FALSE)))</f>
        <v/>
      </c>
      <c r="AD152" s="539" t="str">
        <f t="shared" si="24"/>
        <v/>
      </c>
      <c r="AE152" s="82"/>
      <c r="AF152" s="82"/>
      <c r="AG152" s="507" t="str">
        <f t="shared" si="30"/>
        <v/>
      </c>
      <c r="AH152" s="521" t="str">
        <f t="shared" si="31"/>
        <v/>
      </c>
      <c r="AI152" s="522" t="str">
        <f>IF(AH152="Check Data","Check Data",IFERROR(VLOOKUP(AH152,'G-4 Temporal multipliers'!$A$4:$C$36,3,FALSE),""))</f>
        <v/>
      </c>
      <c r="AJ152" s="498" t="str">
        <f>IF(S152="","",VLOOKUP(S152,'G-3 Multipliers'!$A$2:$E$129,4,FALSE))</f>
        <v/>
      </c>
      <c r="AK152" s="507" t="str">
        <f t="shared" si="32"/>
        <v/>
      </c>
      <c r="AL152" s="507" t="str">
        <f t="shared" si="33"/>
        <v/>
      </c>
      <c r="AM152" s="540" t="str">
        <f>IFERROR(IF(F152="","",IF(AH152="Check Data ⚠","Check Data ⚠",VLOOKUP(AL152, 'G-3 Multipliers'!$P$2:$Q$6,2,FALSE))),"")</f>
        <v/>
      </c>
      <c r="AN152" s="513" t="str">
        <f t="shared" si="25"/>
        <v/>
      </c>
      <c r="AO152" s="239"/>
      <c r="AP152" s="240"/>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1" t="str">
        <f>'A-1 Site Habitat Baseline'!AL152</f>
        <v/>
      </c>
      <c r="F153" s="520" t="str">
        <f>IF(E153="","",IF(ISNA(VLOOKUP($E153,'A-1 Site Habitat Baseline'!$D$1:$O$258,4,FALSE)),"",(VLOOKUP($E153,'A-1 Site Habitat Baseline'!$D$1:$O$258,4,FALSE))))</f>
        <v/>
      </c>
      <c r="G153" s="520" t="str">
        <f>IF(E153="","",IF(ISNA(VLOOKUP($E153,'A-1 Site Habitat Baseline'!$D$1:$O$258,5,FALSE)),"",(VLOOKUP($E153,'A-1 Site Habitat Baseline'!$D$1:$O$258,5,FALSE))))</f>
        <v/>
      </c>
      <c r="H153" s="520" t="str">
        <f>IF(E153="","",IF(ISNA(VLOOKUP($E153,'A-1 Site Habitat Baseline'!$D$1:$O$258,6,FALSE)),"",(VLOOKUP($E153,'A-1 Site Habitat Baseline'!$D$1:$O$258,6,FALSE))))</f>
        <v/>
      </c>
      <c r="I153" s="520" t="str">
        <f>IF(E153="","",IF(ISNA(VLOOKUP($E153,'A-1 Site Habitat Baseline'!$D$1:$O$258,7,FALSE)),"",(VLOOKUP($E153,'A-1 Site Habitat Baseline'!$D$1:$O$258,7,FALSE))))</f>
        <v/>
      </c>
      <c r="J153" s="520" t="str">
        <f>IF(E153="","",IF(ISNA(VLOOKUP($E153,'A-1 Site Habitat Baseline'!$D$1:$O$258,8,FALSE)),"",(VLOOKUP($E153,'A-1 Site Habitat Baseline'!$D$1:$O$258,8,FALSE))))</f>
        <v/>
      </c>
      <c r="K153" s="520" t="str">
        <f>IF(E153="","",IF(ISNA(VLOOKUP($E153,'A-1 Site Habitat Baseline'!$D$1:$O$258,9,FALSE)),"",(VLOOKUP($E153,'A-1 Site Habitat Baseline'!$D$1:$O$258,9,FALSE))))</f>
        <v/>
      </c>
      <c r="L153" s="520" t="str">
        <f>IF(E153="","",IF(ISNA(VLOOKUP($E153,'A-1 Site Habitat Baseline'!$D$1:$O$258,11,FALSE)),"",(VLOOKUP($E153,'A-1 Site Habitat Baseline'!$D$1:$O$258,11,FALSE))))</f>
        <v/>
      </c>
      <c r="M153" s="520" t="str">
        <f>IF(E153="","",IF(ISNA(VLOOKUP($E153,'A-1 Site Habitat Baseline'!$D$1:$O$258,12,FALSE)),"",(VLOOKUP($E153,'A-1 Site Habitat Baseline'!$D$1:$O$258,12,FALSE))))</f>
        <v/>
      </c>
      <c r="N153" s="532" t="str">
        <f>IF(E153="","",IF(ISNA(VLOOKUP($E153,'A-1 Site Habitat Baseline'!$D$1:$X$258,14,FALSE)),"",(VLOOKUP($E153,'A-1 Site Habitat Baseline'!$D$1:$X$258,14,FALSE))))</f>
        <v/>
      </c>
      <c r="O153" s="524" t="str">
        <f>IF(E153="","",IF(ISNA(VLOOKUP($E153,'A-1 Site Habitat Baseline'!$D$1:$X$258,16,FALSE)),"",(VLOOKUP($E153,'A-1 Site Habitat Baseline'!$D$1:$X$258,13,FALSE))))</f>
        <v/>
      </c>
      <c r="P153" s="237" t="str">
        <f>IFERROR(INDEX('G-1 All Habitats'!$AG$3:$AG$15,MATCH(Q153,'G-1 All Habitats'!$AF$3:$AF$15,0)),"")</f>
        <v/>
      </c>
      <c r="Q153" s="238" t="str">
        <f t="shared" si="26"/>
        <v/>
      </c>
      <c r="R153" s="238" t="str">
        <f t="shared" si="27"/>
        <v/>
      </c>
      <c r="S153" s="392" t="str">
        <f>IFERROR(INDEX('G-1 All Habitats'!$B$3:$B$129,MATCH(R153,'G-1 All Habitats'!$A$3:$A$129,0)),"")</f>
        <v/>
      </c>
      <c r="T153" s="498" t="str">
        <f t="shared" si="28"/>
        <v/>
      </c>
      <c r="U153" s="499" t="str">
        <f t="shared" si="29"/>
        <v/>
      </c>
      <c r="V153" s="537" t="str">
        <f t="shared" si="23"/>
        <v/>
      </c>
      <c r="W153" s="520" t="str">
        <f>IF(S153="","",VLOOKUP(S153,'G-1 All Habitats'!$B$2:$M$129,10,FALSE))</f>
        <v/>
      </c>
      <c r="X153" s="520" t="str">
        <f>IFERROR(VLOOKUP(W153,'G-1 All Habitats'!$V$3:$W$7,2,FALSE),"")</f>
        <v/>
      </c>
      <c r="Y153" s="79"/>
      <c r="Z153" s="524" t="str">
        <f>IFERROR(INDEX('G-8 Condition Look up'!$A$3:$H$130,MATCH(S153,'G-8 Condition Look up'!$A$3:$A$130,0),MATCH(Y153,'G-8 Condition Look up'!$A$3:$H$3,0)),"")</f>
        <v/>
      </c>
      <c r="AA153" s="71"/>
      <c r="AB153" s="520" t="str">
        <f>IF(AA153="","",IF(VLOOKUP(AA153,'G-3 Multipliers'!$L$3:$N$6,2,FALSE)=0,"Spatial Data Missing ⚠",VLOOKUP(AA153,'G-3 Multipliers'!$L$3:$N$6,2,FALSE)))</f>
        <v/>
      </c>
      <c r="AC153" s="524" t="str">
        <f>IF(AA153="","",IF(VLOOKUP(AA153,'G-3 Multipliers'!$L$3:$N$6,3,FALSE)=0,"Spatial Data Missing ⚠",VLOOKUP(AA153,'G-3 Multipliers'!$L$3:$N$6,3,FALSE)))</f>
        <v/>
      </c>
      <c r="AD153" s="539" t="str">
        <f t="shared" si="24"/>
        <v/>
      </c>
      <c r="AE153" s="82"/>
      <c r="AF153" s="82"/>
      <c r="AG153" s="507" t="str">
        <f t="shared" si="30"/>
        <v/>
      </c>
      <c r="AH153" s="521" t="str">
        <f t="shared" si="31"/>
        <v/>
      </c>
      <c r="AI153" s="522" t="str">
        <f>IF(AH153="Check Data","Check Data",IFERROR(VLOOKUP(AH153,'G-4 Temporal multipliers'!$A$4:$C$36,3,FALSE),""))</f>
        <v/>
      </c>
      <c r="AJ153" s="498" t="str">
        <f>IF(S153="","",VLOOKUP(S153,'G-3 Multipliers'!$A$2:$E$129,4,FALSE))</f>
        <v/>
      </c>
      <c r="AK153" s="507" t="str">
        <f t="shared" si="32"/>
        <v/>
      </c>
      <c r="AL153" s="507" t="str">
        <f t="shared" si="33"/>
        <v/>
      </c>
      <c r="AM153" s="540" t="str">
        <f>IFERROR(IF(F153="","",IF(AH153="Check Data ⚠","Check Data ⚠",VLOOKUP(AL153, 'G-3 Multipliers'!$P$2:$Q$6,2,FALSE))),"")</f>
        <v/>
      </c>
      <c r="AN153" s="513" t="str">
        <f t="shared" si="25"/>
        <v/>
      </c>
      <c r="AO153" s="239"/>
      <c r="AP153" s="240"/>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1" t="str">
        <f>'A-1 Site Habitat Baseline'!AL153</f>
        <v/>
      </c>
      <c r="F154" s="520" t="str">
        <f>IF(E154="","",IF(ISNA(VLOOKUP($E154,'A-1 Site Habitat Baseline'!$D$1:$O$258,4,FALSE)),"",(VLOOKUP($E154,'A-1 Site Habitat Baseline'!$D$1:$O$258,4,FALSE))))</f>
        <v/>
      </c>
      <c r="G154" s="520" t="str">
        <f>IF(E154="","",IF(ISNA(VLOOKUP($E154,'A-1 Site Habitat Baseline'!$D$1:$O$258,5,FALSE)),"",(VLOOKUP($E154,'A-1 Site Habitat Baseline'!$D$1:$O$258,5,FALSE))))</f>
        <v/>
      </c>
      <c r="H154" s="520" t="str">
        <f>IF(E154="","",IF(ISNA(VLOOKUP($E154,'A-1 Site Habitat Baseline'!$D$1:$O$258,6,FALSE)),"",(VLOOKUP($E154,'A-1 Site Habitat Baseline'!$D$1:$O$258,6,FALSE))))</f>
        <v/>
      </c>
      <c r="I154" s="520" t="str">
        <f>IF(E154="","",IF(ISNA(VLOOKUP($E154,'A-1 Site Habitat Baseline'!$D$1:$O$258,7,FALSE)),"",(VLOOKUP($E154,'A-1 Site Habitat Baseline'!$D$1:$O$258,7,FALSE))))</f>
        <v/>
      </c>
      <c r="J154" s="520" t="str">
        <f>IF(E154="","",IF(ISNA(VLOOKUP($E154,'A-1 Site Habitat Baseline'!$D$1:$O$258,8,FALSE)),"",(VLOOKUP($E154,'A-1 Site Habitat Baseline'!$D$1:$O$258,8,FALSE))))</f>
        <v/>
      </c>
      <c r="K154" s="520" t="str">
        <f>IF(E154="","",IF(ISNA(VLOOKUP($E154,'A-1 Site Habitat Baseline'!$D$1:$O$258,9,FALSE)),"",(VLOOKUP($E154,'A-1 Site Habitat Baseline'!$D$1:$O$258,9,FALSE))))</f>
        <v/>
      </c>
      <c r="L154" s="520" t="str">
        <f>IF(E154="","",IF(ISNA(VLOOKUP($E154,'A-1 Site Habitat Baseline'!$D$1:$O$258,11,FALSE)),"",(VLOOKUP($E154,'A-1 Site Habitat Baseline'!$D$1:$O$258,11,FALSE))))</f>
        <v/>
      </c>
      <c r="M154" s="520" t="str">
        <f>IF(E154="","",IF(ISNA(VLOOKUP($E154,'A-1 Site Habitat Baseline'!$D$1:$O$258,12,FALSE)),"",(VLOOKUP($E154,'A-1 Site Habitat Baseline'!$D$1:$O$258,12,FALSE))))</f>
        <v/>
      </c>
      <c r="N154" s="532" t="str">
        <f>IF(E154="","",IF(ISNA(VLOOKUP($E154,'A-1 Site Habitat Baseline'!$D$1:$X$258,14,FALSE)),"",(VLOOKUP($E154,'A-1 Site Habitat Baseline'!$D$1:$X$258,14,FALSE))))</f>
        <v/>
      </c>
      <c r="O154" s="524" t="str">
        <f>IF(E154="","",IF(ISNA(VLOOKUP($E154,'A-1 Site Habitat Baseline'!$D$1:$X$258,16,FALSE)),"",(VLOOKUP($E154,'A-1 Site Habitat Baseline'!$D$1:$X$258,13,FALSE))))</f>
        <v/>
      </c>
      <c r="P154" s="237" t="str">
        <f>IFERROR(INDEX('G-1 All Habitats'!$AG$3:$AG$15,MATCH(Q154,'G-1 All Habitats'!$AF$3:$AF$15,0)),"")</f>
        <v/>
      </c>
      <c r="Q154" s="238" t="str">
        <f t="shared" si="26"/>
        <v/>
      </c>
      <c r="R154" s="238" t="str">
        <f t="shared" si="27"/>
        <v/>
      </c>
      <c r="S154" s="392" t="str">
        <f>IFERROR(INDEX('G-1 All Habitats'!$B$3:$B$129,MATCH(R154,'G-1 All Habitats'!$A$3:$A$129,0)),"")</f>
        <v/>
      </c>
      <c r="T154" s="498" t="str">
        <f t="shared" si="28"/>
        <v/>
      </c>
      <c r="U154" s="499" t="str">
        <f t="shared" si="29"/>
        <v/>
      </c>
      <c r="V154" s="537" t="str">
        <f t="shared" si="23"/>
        <v/>
      </c>
      <c r="W154" s="520" t="str">
        <f>IF(S154="","",VLOOKUP(S154,'G-1 All Habitats'!$B$2:$M$129,10,FALSE))</f>
        <v/>
      </c>
      <c r="X154" s="520" t="str">
        <f>IFERROR(VLOOKUP(W154,'G-1 All Habitats'!$V$3:$W$7,2,FALSE),"")</f>
        <v/>
      </c>
      <c r="Y154" s="79"/>
      <c r="Z154" s="524" t="str">
        <f>IFERROR(INDEX('G-8 Condition Look up'!$A$3:$H$130,MATCH(S154,'G-8 Condition Look up'!$A$3:$A$130,0),MATCH(Y154,'G-8 Condition Look up'!$A$3:$H$3,0)),"")</f>
        <v/>
      </c>
      <c r="AA154" s="71"/>
      <c r="AB154" s="520" t="str">
        <f>IF(AA154="","",IF(VLOOKUP(AA154,'G-3 Multipliers'!$L$3:$N$6,2,FALSE)=0,"Spatial Data Missing ⚠",VLOOKUP(AA154,'G-3 Multipliers'!$L$3:$N$6,2,FALSE)))</f>
        <v/>
      </c>
      <c r="AC154" s="524" t="str">
        <f>IF(AA154="","",IF(VLOOKUP(AA154,'G-3 Multipliers'!$L$3:$N$6,3,FALSE)=0,"Spatial Data Missing ⚠",VLOOKUP(AA154,'G-3 Multipliers'!$L$3:$N$6,3,FALSE)))</f>
        <v/>
      </c>
      <c r="AD154" s="539" t="str">
        <f t="shared" si="24"/>
        <v/>
      </c>
      <c r="AE154" s="82"/>
      <c r="AF154" s="82"/>
      <c r="AG154" s="507" t="str">
        <f t="shared" si="30"/>
        <v/>
      </c>
      <c r="AH154" s="521" t="str">
        <f t="shared" si="31"/>
        <v/>
      </c>
      <c r="AI154" s="522" t="str">
        <f>IF(AH154="Check Data","Check Data",IFERROR(VLOOKUP(AH154,'G-4 Temporal multipliers'!$A$4:$C$36,3,FALSE),""))</f>
        <v/>
      </c>
      <c r="AJ154" s="498" t="str">
        <f>IF(S154="","",VLOOKUP(S154,'G-3 Multipliers'!$A$2:$E$129,4,FALSE))</f>
        <v/>
      </c>
      <c r="AK154" s="507" t="str">
        <f t="shared" si="32"/>
        <v/>
      </c>
      <c r="AL154" s="507" t="str">
        <f t="shared" si="33"/>
        <v/>
      </c>
      <c r="AM154" s="540" t="str">
        <f>IFERROR(IF(F154="","",IF(AH154="Check Data ⚠","Check Data ⚠",VLOOKUP(AL154, 'G-3 Multipliers'!$P$2:$Q$6,2,FALSE))),"")</f>
        <v/>
      </c>
      <c r="AN154" s="513" t="str">
        <f t="shared" si="25"/>
        <v/>
      </c>
      <c r="AO154" s="239"/>
      <c r="AP154" s="240"/>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1" t="str">
        <f>'A-1 Site Habitat Baseline'!AL154</f>
        <v/>
      </c>
      <c r="F155" s="520" t="str">
        <f>IF(E155="","",IF(ISNA(VLOOKUP($E155,'A-1 Site Habitat Baseline'!$D$1:$O$258,4,FALSE)),"",(VLOOKUP($E155,'A-1 Site Habitat Baseline'!$D$1:$O$258,4,FALSE))))</f>
        <v/>
      </c>
      <c r="G155" s="520" t="str">
        <f>IF(E155="","",IF(ISNA(VLOOKUP($E155,'A-1 Site Habitat Baseline'!$D$1:$O$258,5,FALSE)),"",(VLOOKUP($E155,'A-1 Site Habitat Baseline'!$D$1:$O$258,5,FALSE))))</f>
        <v/>
      </c>
      <c r="H155" s="520" t="str">
        <f>IF(E155="","",IF(ISNA(VLOOKUP($E155,'A-1 Site Habitat Baseline'!$D$1:$O$258,6,FALSE)),"",(VLOOKUP($E155,'A-1 Site Habitat Baseline'!$D$1:$O$258,6,FALSE))))</f>
        <v/>
      </c>
      <c r="I155" s="520" t="str">
        <f>IF(E155="","",IF(ISNA(VLOOKUP($E155,'A-1 Site Habitat Baseline'!$D$1:$O$258,7,FALSE)),"",(VLOOKUP($E155,'A-1 Site Habitat Baseline'!$D$1:$O$258,7,FALSE))))</f>
        <v/>
      </c>
      <c r="J155" s="520" t="str">
        <f>IF(E155="","",IF(ISNA(VLOOKUP($E155,'A-1 Site Habitat Baseline'!$D$1:$O$258,8,FALSE)),"",(VLOOKUP($E155,'A-1 Site Habitat Baseline'!$D$1:$O$258,8,FALSE))))</f>
        <v/>
      </c>
      <c r="K155" s="520" t="str">
        <f>IF(E155="","",IF(ISNA(VLOOKUP($E155,'A-1 Site Habitat Baseline'!$D$1:$O$258,9,FALSE)),"",(VLOOKUP($E155,'A-1 Site Habitat Baseline'!$D$1:$O$258,9,FALSE))))</f>
        <v/>
      </c>
      <c r="L155" s="520" t="str">
        <f>IF(E155="","",IF(ISNA(VLOOKUP($E155,'A-1 Site Habitat Baseline'!$D$1:$O$258,11,FALSE)),"",(VLOOKUP($E155,'A-1 Site Habitat Baseline'!$D$1:$O$258,11,FALSE))))</f>
        <v/>
      </c>
      <c r="M155" s="520" t="str">
        <f>IF(E155="","",IF(ISNA(VLOOKUP($E155,'A-1 Site Habitat Baseline'!$D$1:$O$258,12,FALSE)),"",(VLOOKUP($E155,'A-1 Site Habitat Baseline'!$D$1:$O$258,12,FALSE))))</f>
        <v/>
      </c>
      <c r="N155" s="532" t="str">
        <f>IF(E155="","",IF(ISNA(VLOOKUP($E155,'A-1 Site Habitat Baseline'!$D$1:$X$258,14,FALSE)),"",(VLOOKUP($E155,'A-1 Site Habitat Baseline'!$D$1:$X$258,14,FALSE))))</f>
        <v/>
      </c>
      <c r="O155" s="524" t="str">
        <f>IF(E155="","",IF(ISNA(VLOOKUP($E155,'A-1 Site Habitat Baseline'!$D$1:$X$258,16,FALSE)),"",(VLOOKUP($E155,'A-1 Site Habitat Baseline'!$D$1:$X$258,13,FALSE))))</f>
        <v/>
      </c>
      <c r="P155" s="237" t="str">
        <f>IFERROR(INDEX('G-1 All Habitats'!$AG$3:$AG$15,MATCH(Q155,'G-1 All Habitats'!$AF$3:$AF$15,0)),"")</f>
        <v/>
      </c>
      <c r="Q155" s="238" t="str">
        <f t="shared" si="26"/>
        <v/>
      </c>
      <c r="R155" s="238" t="str">
        <f t="shared" si="27"/>
        <v/>
      </c>
      <c r="S155" s="392" t="str">
        <f>IFERROR(INDEX('G-1 All Habitats'!$B$3:$B$129,MATCH(R155,'G-1 All Habitats'!$A$3:$A$129,0)),"")</f>
        <v/>
      </c>
      <c r="T155" s="498" t="str">
        <f t="shared" si="28"/>
        <v/>
      </c>
      <c r="U155" s="499" t="str">
        <f t="shared" si="29"/>
        <v/>
      </c>
      <c r="V155" s="537" t="str">
        <f t="shared" si="23"/>
        <v/>
      </c>
      <c r="W155" s="520" t="str">
        <f>IF(S155="","",VLOOKUP(S155,'G-1 All Habitats'!$B$2:$M$129,10,FALSE))</f>
        <v/>
      </c>
      <c r="X155" s="520" t="str">
        <f>IFERROR(VLOOKUP(W155,'G-1 All Habitats'!$V$3:$W$7,2,FALSE),"")</f>
        <v/>
      </c>
      <c r="Y155" s="79"/>
      <c r="Z155" s="524" t="str">
        <f>IFERROR(INDEX('G-8 Condition Look up'!$A$3:$H$130,MATCH(S155,'G-8 Condition Look up'!$A$3:$A$130,0),MATCH(Y155,'G-8 Condition Look up'!$A$3:$H$3,0)),"")</f>
        <v/>
      </c>
      <c r="AA155" s="71"/>
      <c r="AB155" s="520" t="str">
        <f>IF(AA155="","",IF(VLOOKUP(AA155,'G-3 Multipliers'!$L$3:$N$6,2,FALSE)=0,"Spatial Data Missing ⚠",VLOOKUP(AA155,'G-3 Multipliers'!$L$3:$N$6,2,FALSE)))</f>
        <v/>
      </c>
      <c r="AC155" s="524" t="str">
        <f>IF(AA155="","",IF(VLOOKUP(AA155,'G-3 Multipliers'!$L$3:$N$6,3,FALSE)=0,"Spatial Data Missing ⚠",VLOOKUP(AA155,'G-3 Multipliers'!$L$3:$N$6,3,FALSE)))</f>
        <v/>
      </c>
      <c r="AD155" s="539" t="str">
        <f t="shared" si="24"/>
        <v/>
      </c>
      <c r="AE155" s="82"/>
      <c r="AF155" s="82"/>
      <c r="AG155" s="507" t="str">
        <f t="shared" si="30"/>
        <v/>
      </c>
      <c r="AH155" s="521" t="str">
        <f t="shared" si="31"/>
        <v/>
      </c>
      <c r="AI155" s="522" t="str">
        <f>IF(AH155="Check Data","Check Data",IFERROR(VLOOKUP(AH155,'G-4 Temporal multipliers'!$A$4:$C$36,3,FALSE),""))</f>
        <v/>
      </c>
      <c r="AJ155" s="498" t="str">
        <f>IF(S155="","",VLOOKUP(S155,'G-3 Multipliers'!$A$2:$E$129,4,FALSE))</f>
        <v/>
      </c>
      <c r="AK155" s="507" t="str">
        <f t="shared" si="32"/>
        <v/>
      </c>
      <c r="AL155" s="507" t="str">
        <f t="shared" si="33"/>
        <v/>
      </c>
      <c r="AM155" s="540" t="str">
        <f>IFERROR(IF(F155="","",IF(AH155="Check Data ⚠","Check Data ⚠",VLOOKUP(AL155, 'G-3 Multipliers'!$P$2:$Q$6,2,FALSE))),"")</f>
        <v/>
      </c>
      <c r="AN155" s="513" t="str">
        <f t="shared" si="25"/>
        <v/>
      </c>
      <c r="AO155" s="239"/>
      <c r="AP155" s="240"/>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1" t="str">
        <f>'A-1 Site Habitat Baseline'!AL155</f>
        <v/>
      </c>
      <c r="F156" s="520" t="str">
        <f>IF(E156="","",IF(ISNA(VLOOKUP($E156,'A-1 Site Habitat Baseline'!$D$1:$O$258,4,FALSE)),"",(VLOOKUP($E156,'A-1 Site Habitat Baseline'!$D$1:$O$258,4,FALSE))))</f>
        <v/>
      </c>
      <c r="G156" s="520" t="str">
        <f>IF(E156="","",IF(ISNA(VLOOKUP($E156,'A-1 Site Habitat Baseline'!$D$1:$O$258,5,FALSE)),"",(VLOOKUP($E156,'A-1 Site Habitat Baseline'!$D$1:$O$258,5,FALSE))))</f>
        <v/>
      </c>
      <c r="H156" s="520" t="str">
        <f>IF(E156="","",IF(ISNA(VLOOKUP($E156,'A-1 Site Habitat Baseline'!$D$1:$O$258,6,FALSE)),"",(VLOOKUP($E156,'A-1 Site Habitat Baseline'!$D$1:$O$258,6,FALSE))))</f>
        <v/>
      </c>
      <c r="I156" s="520" t="str">
        <f>IF(E156="","",IF(ISNA(VLOOKUP($E156,'A-1 Site Habitat Baseline'!$D$1:$O$258,7,FALSE)),"",(VLOOKUP($E156,'A-1 Site Habitat Baseline'!$D$1:$O$258,7,FALSE))))</f>
        <v/>
      </c>
      <c r="J156" s="520" t="str">
        <f>IF(E156="","",IF(ISNA(VLOOKUP($E156,'A-1 Site Habitat Baseline'!$D$1:$O$258,8,FALSE)),"",(VLOOKUP($E156,'A-1 Site Habitat Baseline'!$D$1:$O$258,8,FALSE))))</f>
        <v/>
      </c>
      <c r="K156" s="520" t="str">
        <f>IF(E156="","",IF(ISNA(VLOOKUP($E156,'A-1 Site Habitat Baseline'!$D$1:$O$258,9,FALSE)),"",(VLOOKUP($E156,'A-1 Site Habitat Baseline'!$D$1:$O$258,9,FALSE))))</f>
        <v/>
      </c>
      <c r="L156" s="520" t="str">
        <f>IF(E156="","",IF(ISNA(VLOOKUP($E156,'A-1 Site Habitat Baseline'!$D$1:$O$258,11,FALSE)),"",(VLOOKUP($E156,'A-1 Site Habitat Baseline'!$D$1:$O$258,11,FALSE))))</f>
        <v/>
      </c>
      <c r="M156" s="520" t="str">
        <f>IF(E156="","",IF(ISNA(VLOOKUP($E156,'A-1 Site Habitat Baseline'!$D$1:$O$258,12,FALSE)),"",(VLOOKUP($E156,'A-1 Site Habitat Baseline'!$D$1:$O$258,12,FALSE))))</f>
        <v/>
      </c>
      <c r="N156" s="532" t="str">
        <f>IF(E156="","",IF(ISNA(VLOOKUP($E156,'A-1 Site Habitat Baseline'!$D$1:$X$258,14,FALSE)),"",(VLOOKUP($E156,'A-1 Site Habitat Baseline'!$D$1:$X$258,14,FALSE))))</f>
        <v/>
      </c>
      <c r="O156" s="524" t="str">
        <f>IF(E156="","",IF(ISNA(VLOOKUP($E156,'A-1 Site Habitat Baseline'!$D$1:$X$258,16,FALSE)),"",(VLOOKUP($E156,'A-1 Site Habitat Baseline'!$D$1:$X$258,13,FALSE))))</f>
        <v/>
      </c>
      <c r="P156" s="237" t="str">
        <f>IFERROR(INDEX('G-1 All Habitats'!$AG$3:$AG$15,MATCH(Q156,'G-1 All Habitats'!$AF$3:$AF$15,0)),"")</f>
        <v/>
      </c>
      <c r="Q156" s="238" t="str">
        <f t="shared" si="26"/>
        <v/>
      </c>
      <c r="R156" s="238" t="str">
        <f t="shared" si="27"/>
        <v/>
      </c>
      <c r="S156" s="392" t="str">
        <f>IFERROR(INDEX('G-1 All Habitats'!$B$3:$B$129,MATCH(R156,'G-1 All Habitats'!$A$3:$A$129,0)),"")</f>
        <v/>
      </c>
      <c r="T156" s="498" t="str">
        <f t="shared" si="28"/>
        <v/>
      </c>
      <c r="U156" s="499" t="str">
        <f t="shared" si="29"/>
        <v/>
      </c>
      <c r="V156" s="537" t="str">
        <f t="shared" si="23"/>
        <v/>
      </c>
      <c r="W156" s="520" t="str">
        <f>IF(S156="","",VLOOKUP(S156,'G-1 All Habitats'!$B$2:$M$129,10,FALSE))</f>
        <v/>
      </c>
      <c r="X156" s="520" t="str">
        <f>IFERROR(VLOOKUP(W156,'G-1 All Habitats'!$V$3:$W$7,2,FALSE),"")</f>
        <v/>
      </c>
      <c r="Y156" s="79"/>
      <c r="Z156" s="524" t="str">
        <f>IFERROR(INDEX('G-8 Condition Look up'!$A$3:$H$130,MATCH(S156,'G-8 Condition Look up'!$A$3:$A$130,0),MATCH(Y156,'G-8 Condition Look up'!$A$3:$H$3,0)),"")</f>
        <v/>
      </c>
      <c r="AA156" s="71"/>
      <c r="AB156" s="520" t="str">
        <f>IF(AA156="","",IF(VLOOKUP(AA156,'G-3 Multipliers'!$L$3:$N$6,2,FALSE)=0,"Spatial Data Missing ⚠",VLOOKUP(AA156,'G-3 Multipliers'!$L$3:$N$6,2,FALSE)))</f>
        <v/>
      </c>
      <c r="AC156" s="524" t="str">
        <f>IF(AA156="","",IF(VLOOKUP(AA156,'G-3 Multipliers'!$L$3:$N$6,3,FALSE)=0,"Spatial Data Missing ⚠",VLOOKUP(AA156,'G-3 Multipliers'!$L$3:$N$6,3,FALSE)))</f>
        <v/>
      </c>
      <c r="AD156" s="539" t="str">
        <f t="shared" si="24"/>
        <v/>
      </c>
      <c r="AE156" s="82"/>
      <c r="AF156" s="82"/>
      <c r="AG156" s="507" t="str">
        <f t="shared" si="30"/>
        <v/>
      </c>
      <c r="AH156" s="521" t="str">
        <f t="shared" si="31"/>
        <v/>
      </c>
      <c r="AI156" s="522" t="str">
        <f>IF(AH156="Check Data","Check Data",IFERROR(VLOOKUP(AH156,'G-4 Temporal multipliers'!$A$4:$C$36,3,FALSE),""))</f>
        <v/>
      </c>
      <c r="AJ156" s="498" t="str">
        <f>IF(S156="","",VLOOKUP(S156,'G-3 Multipliers'!$A$2:$E$129,4,FALSE))</f>
        <v/>
      </c>
      <c r="AK156" s="507" t="str">
        <f t="shared" si="32"/>
        <v/>
      </c>
      <c r="AL156" s="507" t="str">
        <f t="shared" si="33"/>
        <v/>
      </c>
      <c r="AM156" s="540" t="str">
        <f>IFERROR(IF(F156="","",IF(AH156="Check Data ⚠","Check Data ⚠",VLOOKUP(AL156, 'G-3 Multipliers'!$P$2:$Q$6,2,FALSE))),"")</f>
        <v/>
      </c>
      <c r="AN156" s="513" t="str">
        <f t="shared" si="25"/>
        <v/>
      </c>
      <c r="AO156" s="239"/>
      <c r="AP156" s="240"/>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1" t="str">
        <f>'A-1 Site Habitat Baseline'!AL156</f>
        <v/>
      </c>
      <c r="F157" s="520" t="str">
        <f>IF(E157="","",IF(ISNA(VLOOKUP($E157,'A-1 Site Habitat Baseline'!$D$1:$O$258,4,FALSE)),"",(VLOOKUP($E157,'A-1 Site Habitat Baseline'!$D$1:$O$258,4,FALSE))))</f>
        <v/>
      </c>
      <c r="G157" s="520" t="str">
        <f>IF(E157="","",IF(ISNA(VLOOKUP($E157,'A-1 Site Habitat Baseline'!$D$1:$O$258,5,FALSE)),"",(VLOOKUP($E157,'A-1 Site Habitat Baseline'!$D$1:$O$258,5,FALSE))))</f>
        <v/>
      </c>
      <c r="H157" s="520" t="str">
        <f>IF(E157="","",IF(ISNA(VLOOKUP($E157,'A-1 Site Habitat Baseline'!$D$1:$O$258,6,FALSE)),"",(VLOOKUP($E157,'A-1 Site Habitat Baseline'!$D$1:$O$258,6,FALSE))))</f>
        <v/>
      </c>
      <c r="I157" s="520" t="str">
        <f>IF(E157="","",IF(ISNA(VLOOKUP($E157,'A-1 Site Habitat Baseline'!$D$1:$O$258,7,FALSE)),"",(VLOOKUP($E157,'A-1 Site Habitat Baseline'!$D$1:$O$258,7,FALSE))))</f>
        <v/>
      </c>
      <c r="J157" s="520" t="str">
        <f>IF(E157="","",IF(ISNA(VLOOKUP($E157,'A-1 Site Habitat Baseline'!$D$1:$O$258,8,FALSE)),"",(VLOOKUP($E157,'A-1 Site Habitat Baseline'!$D$1:$O$258,8,FALSE))))</f>
        <v/>
      </c>
      <c r="K157" s="520" t="str">
        <f>IF(E157="","",IF(ISNA(VLOOKUP($E157,'A-1 Site Habitat Baseline'!$D$1:$O$258,9,FALSE)),"",(VLOOKUP($E157,'A-1 Site Habitat Baseline'!$D$1:$O$258,9,FALSE))))</f>
        <v/>
      </c>
      <c r="L157" s="520" t="str">
        <f>IF(E157="","",IF(ISNA(VLOOKUP($E157,'A-1 Site Habitat Baseline'!$D$1:$O$258,11,FALSE)),"",(VLOOKUP($E157,'A-1 Site Habitat Baseline'!$D$1:$O$258,11,FALSE))))</f>
        <v/>
      </c>
      <c r="M157" s="520" t="str">
        <f>IF(E157="","",IF(ISNA(VLOOKUP($E157,'A-1 Site Habitat Baseline'!$D$1:$O$258,12,FALSE)),"",(VLOOKUP($E157,'A-1 Site Habitat Baseline'!$D$1:$O$258,12,FALSE))))</f>
        <v/>
      </c>
      <c r="N157" s="532" t="str">
        <f>IF(E157="","",IF(ISNA(VLOOKUP($E157,'A-1 Site Habitat Baseline'!$D$1:$X$258,14,FALSE)),"",(VLOOKUP($E157,'A-1 Site Habitat Baseline'!$D$1:$X$258,14,FALSE))))</f>
        <v/>
      </c>
      <c r="O157" s="524" t="str">
        <f>IF(E157="","",IF(ISNA(VLOOKUP($E157,'A-1 Site Habitat Baseline'!$D$1:$X$258,16,FALSE)),"",(VLOOKUP($E157,'A-1 Site Habitat Baseline'!$D$1:$X$258,13,FALSE))))</f>
        <v/>
      </c>
      <c r="P157" s="237" t="str">
        <f>IFERROR(INDEX('G-1 All Habitats'!$AG$3:$AG$15,MATCH(Q157,'G-1 All Habitats'!$AF$3:$AF$15,0)),"")</f>
        <v/>
      </c>
      <c r="Q157" s="238" t="str">
        <f t="shared" si="26"/>
        <v/>
      </c>
      <c r="R157" s="238" t="str">
        <f t="shared" si="27"/>
        <v/>
      </c>
      <c r="S157" s="392" t="str">
        <f>IFERROR(INDEX('G-1 All Habitats'!$B$3:$B$129,MATCH(R157,'G-1 All Habitats'!$A$3:$A$129,0)),"")</f>
        <v/>
      </c>
      <c r="T157" s="498" t="str">
        <f t="shared" si="28"/>
        <v/>
      </c>
      <c r="U157" s="499" t="str">
        <f t="shared" si="29"/>
        <v/>
      </c>
      <c r="V157" s="537" t="str">
        <f t="shared" si="23"/>
        <v/>
      </c>
      <c r="W157" s="520" t="str">
        <f>IF(S157="","",VLOOKUP(S157,'G-1 All Habitats'!$B$2:$M$129,10,FALSE))</f>
        <v/>
      </c>
      <c r="X157" s="520" t="str">
        <f>IFERROR(VLOOKUP(W157,'G-1 All Habitats'!$V$3:$W$7,2,FALSE),"")</f>
        <v/>
      </c>
      <c r="Y157" s="79"/>
      <c r="Z157" s="524" t="str">
        <f>IFERROR(INDEX('G-8 Condition Look up'!$A$3:$H$130,MATCH(S157,'G-8 Condition Look up'!$A$3:$A$130,0),MATCH(Y157,'G-8 Condition Look up'!$A$3:$H$3,0)),"")</f>
        <v/>
      </c>
      <c r="AA157" s="71"/>
      <c r="AB157" s="520" t="str">
        <f>IF(AA157="","",IF(VLOOKUP(AA157,'G-3 Multipliers'!$L$3:$N$6,2,FALSE)=0,"Spatial Data Missing ⚠",VLOOKUP(AA157,'G-3 Multipliers'!$L$3:$N$6,2,FALSE)))</f>
        <v/>
      </c>
      <c r="AC157" s="524" t="str">
        <f>IF(AA157="","",IF(VLOOKUP(AA157,'G-3 Multipliers'!$L$3:$N$6,3,FALSE)=0,"Spatial Data Missing ⚠",VLOOKUP(AA157,'G-3 Multipliers'!$L$3:$N$6,3,FALSE)))</f>
        <v/>
      </c>
      <c r="AD157" s="539" t="str">
        <f t="shared" si="24"/>
        <v/>
      </c>
      <c r="AE157" s="82"/>
      <c r="AF157" s="82"/>
      <c r="AG157" s="507" t="str">
        <f t="shared" si="30"/>
        <v/>
      </c>
      <c r="AH157" s="521" t="str">
        <f t="shared" si="31"/>
        <v/>
      </c>
      <c r="AI157" s="522" t="str">
        <f>IF(AH157="Check Data","Check Data",IFERROR(VLOOKUP(AH157,'G-4 Temporal multipliers'!$A$4:$C$36,3,FALSE),""))</f>
        <v/>
      </c>
      <c r="AJ157" s="498" t="str">
        <f>IF(S157="","",VLOOKUP(S157,'G-3 Multipliers'!$A$2:$E$129,4,FALSE))</f>
        <v/>
      </c>
      <c r="AK157" s="507" t="str">
        <f t="shared" si="32"/>
        <v/>
      </c>
      <c r="AL157" s="507" t="str">
        <f t="shared" si="33"/>
        <v/>
      </c>
      <c r="AM157" s="540" t="str">
        <f>IFERROR(IF(F157="","",IF(AH157="Check Data ⚠","Check Data ⚠",VLOOKUP(AL157, 'G-3 Multipliers'!$P$2:$Q$6,2,FALSE))),"")</f>
        <v/>
      </c>
      <c r="AN157" s="513" t="str">
        <f t="shared" si="25"/>
        <v/>
      </c>
      <c r="AO157" s="239"/>
      <c r="AP157" s="240"/>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1" t="str">
        <f>'A-1 Site Habitat Baseline'!AL157</f>
        <v/>
      </c>
      <c r="F158" s="520" t="str">
        <f>IF(E158="","",IF(ISNA(VLOOKUP($E158,'A-1 Site Habitat Baseline'!$D$1:$O$258,4,FALSE)),"",(VLOOKUP($E158,'A-1 Site Habitat Baseline'!$D$1:$O$258,4,FALSE))))</f>
        <v/>
      </c>
      <c r="G158" s="520" t="str">
        <f>IF(E158="","",IF(ISNA(VLOOKUP($E158,'A-1 Site Habitat Baseline'!$D$1:$O$258,5,FALSE)),"",(VLOOKUP($E158,'A-1 Site Habitat Baseline'!$D$1:$O$258,5,FALSE))))</f>
        <v/>
      </c>
      <c r="H158" s="520" t="str">
        <f>IF(E158="","",IF(ISNA(VLOOKUP($E158,'A-1 Site Habitat Baseline'!$D$1:$O$258,6,FALSE)),"",(VLOOKUP($E158,'A-1 Site Habitat Baseline'!$D$1:$O$258,6,FALSE))))</f>
        <v/>
      </c>
      <c r="I158" s="520" t="str">
        <f>IF(E158="","",IF(ISNA(VLOOKUP($E158,'A-1 Site Habitat Baseline'!$D$1:$O$258,7,FALSE)),"",(VLOOKUP($E158,'A-1 Site Habitat Baseline'!$D$1:$O$258,7,FALSE))))</f>
        <v/>
      </c>
      <c r="J158" s="520" t="str">
        <f>IF(E158="","",IF(ISNA(VLOOKUP($E158,'A-1 Site Habitat Baseline'!$D$1:$O$258,8,FALSE)),"",(VLOOKUP($E158,'A-1 Site Habitat Baseline'!$D$1:$O$258,8,FALSE))))</f>
        <v/>
      </c>
      <c r="K158" s="520" t="str">
        <f>IF(E158="","",IF(ISNA(VLOOKUP($E158,'A-1 Site Habitat Baseline'!$D$1:$O$258,9,FALSE)),"",(VLOOKUP($E158,'A-1 Site Habitat Baseline'!$D$1:$O$258,9,FALSE))))</f>
        <v/>
      </c>
      <c r="L158" s="520" t="str">
        <f>IF(E158="","",IF(ISNA(VLOOKUP($E158,'A-1 Site Habitat Baseline'!$D$1:$O$258,11,FALSE)),"",(VLOOKUP($E158,'A-1 Site Habitat Baseline'!$D$1:$O$258,11,FALSE))))</f>
        <v/>
      </c>
      <c r="M158" s="520" t="str">
        <f>IF(E158="","",IF(ISNA(VLOOKUP($E158,'A-1 Site Habitat Baseline'!$D$1:$O$258,12,FALSE)),"",(VLOOKUP($E158,'A-1 Site Habitat Baseline'!$D$1:$O$258,12,FALSE))))</f>
        <v/>
      </c>
      <c r="N158" s="532" t="str">
        <f>IF(E158="","",IF(ISNA(VLOOKUP($E158,'A-1 Site Habitat Baseline'!$D$1:$X$258,14,FALSE)),"",(VLOOKUP($E158,'A-1 Site Habitat Baseline'!$D$1:$X$258,14,FALSE))))</f>
        <v/>
      </c>
      <c r="O158" s="524" t="str">
        <f>IF(E158="","",IF(ISNA(VLOOKUP($E158,'A-1 Site Habitat Baseline'!$D$1:$X$258,16,FALSE)),"",(VLOOKUP($E158,'A-1 Site Habitat Baseline'!$D$1:$X$258,13,FALSE))))</f>
        <v/>
      </c>
      <c r="P158" s="237" t="str">
        <f>IFERROR(INDEX('G-1 All Habitats'!$AG$3:$AG$15,MATCH(Q158,'G-1 All Habitats'!$AF$3:$AF$15,0)),"")</f>
        <v/>
      </c>
      <c r="Q158" s="238" t="str">
        <f t="shared" si="26"/>
        <v/>
      </c>
      <c r="R158" s="238" t="str">
        <f t="shared" si="27"/>
        <v/>
      </c>
      <c r="S158" s="392" t="str">
        <f>IFERROR(INDEX('G-1 All Habitats'!$B$3:$B$129,MATCH(R158,'G-1 All Habitats'!$A$3:$A$129,0)),"")</f>
        <v/>
      </c>
      <c r="T158" s="498" t="str">
        <f t="shared" si="28"/>
        <v/>
      </c>
      <c r="U158" s="499" t="str">
        <f t="shared" si="29"/>
        <v/>
      </c>
      <c r="V158" s="537" t="str">
        <f t="shared" si="23"/>
        <v/>
      </c>
      <c r="W158" s="520" t="str">
        <f>IF(S158="","",VLOOKUP(S158,'G-1 All Habitats'!$B$2:$M$129,10,FALSE))</f>
        <v/>
      </c>
      <c r="X158" s="520" t="str">
        <f>IFERROR(VLOOKUP(W158,'G-1 All Habitats'!$V$3:$W$7,2,FALSE),"")</f>
        <v/>
      </c>
      <c r="Y158" s="79"/>
      <c r="Z158" s="524" t="str">
        <f>IFERROR(INDEX('G-8 Condition Look up'!$A$3:$H$130,MATCH(S158,'G-8 Condition Look up'!$A$3:$A$130,0),MATCH(Y158,'G-8 Condition Look up'!$A$3:$H$3,0)),"")</f>
        <v/>
      </c>
      <c r="AA158" s="71"/>
      <c r="AB158" s="520" t="str">
        <f>IF(AA158="","",IF(VLOOKUP(AA158,'G-3 Multipliers'!$L$3:$N$6,2,FALSE)=0,"Spatial Data Missing ⚠",VLOOKUP(AA158,'G-3 Multipliers'!$L$3:$N$6,2,FALSE)))</f>
        <v/>
      </c>
      <c r="AC158" s="524" t="str">
        <f>IF(AA158="","",IF(VLOOKUP(AA158,'G-3 Multipliers'!$L$3:$N$6,3,FALSE)=0,"Spatial Data Missing ⚠",VLOOKUP(AA158,'G-3 Multipliers'!$L$3:$N$6,3,FALSE)))</f>
        <v/>
      </c>
      <c r="AD158" s="539" t="str">
        <f t="shared" si="24"/>
        <v/>
      </c>
      <c r="AE158" s="82"/>
      <c r="AF158" s="82"/>
      <c r="AG158" s="507" t="str">
        <f t="shared" si="30"/>
        <v/>
      </c>
      <c r="AH158" s="521" t="str">
        <f t="shared" si="31"/>
        <v/>
      </c>
      <c r="AI158" s="522" t="str">
        <f>IF(AH158="Check Data","Check Data",IFERROR(VLOOKUP(AH158,'G-4 Temporal multipliers'!$A$4:$C$36,3,FALSE),""))</f>
        <v/>
      </c>
      <c r="AJ158" s="498" t="str">
        <f>IF(S158="","",VLOOKUP(S158,'G-3 Multipliers'!$A$2:$E$129,4,FALSE))</f>
        <v/>
      </c>
      <c r="AK158" s="507" t="str">
        <f t="shared" si="32"/>
        <v/>
      </c>
      <c r="AL158" s="507" t="str">
        <f t="shared" si="33"/>
        <v/>
      </c>
      <c r="AM158" s="540" t="str">
        <f>IFERROR(IF(F158="","",IF(AH158="Check Data ⚠","Check Data ⚠",VLOOKUP(AL158, 'G-3 Multipliers'!$P$2:$Q$6,2,FALSE))),"")</f>
        <v/>
      </c>
      <c r="AN158" s="513" t="str">
        <f t="shared" si="25"/>
        <v/>
      </c>
      <c r="AO158" s="239"/>
      <c r="AP158" s="240"/>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1" t="str">
        <f>'A-1 Site Habitat Baseline'!AL158</f>
        <v/>
      </c>
      <c r="F159" s="520" t="str">
        <f>IF(E159="","",IF(ISNA(VLOOKUP($E159,'A-1 Site Habitat Baseline'!$D$1:$O$258,4,FALSE)),"",(VLOOKUP($E159,'A-1 Site Habitat Baseline'!$D$1:$O$258,4,FALSE))))</f>
        <v/>
      </c>
      <c r="G159" s="520" t="str">
        <f>IF(E159="","",IF(ISNA(VLOOKUP($E159,'A-1 Site Habitat Baseline'!$D$1:$O$258,5,FALSE)),"",(VLOOKUP($E159,'A-1 Site Habitat Baseline'!$D$1:$O$258,5,FALSE))))</f>
        <v/>
      </c>
      <c r="H159" s="520" t="str">
        <f>IF(E159="","",IF(ISNA(VLOOKUP($E159,'A-1 Site Habitat Baseline'!$D$1:$O$258,6,FALSE)),"",(VLOOKUP($E159,'A-1 Site Habitat Baseline'!$D$1:$O$258,6,FALSE))))</f>
        <v/>
      </c>
      <c r="I159" s="520" t="str">
        <f>IF(E159="","",IF(ISNA(VLOOKUP($E159,'A-1 Site Habitat Baseline'!$D$1:$O$258,7,FALSE)),"",(VLOOKUP($E159,'A-1 Site Habitat Baseline'!$D$1:$O$258,7,FALSE))))</f>
        <v/>
      </c>
      <c r="J159" s="520" t="str">
        <f>IF(E159="","",IF(ISNA(VLOOKUP($E159,'A-1 Site Habitat Baseline'!$D$1:$O$258,8,FALSE)),"",(VLOOKUP($E159,'A-1 Site Habitat Baseline'!$D$1:$O$258,8,FALSE))))</f>
        <v/>
      </c>
      <c r="K159" s="520" t="str">
        <f>IF(E159="","",IF(ISNA(VLOOKUP($E159,'A-1 Site Habitat Baseline'!$D$1:$O$258,9,FALSE)),"",(VLOOKUP($E159,'A-1 Site Habitat Baseline'!$D$1:$O$258,9,FALSE))))</f>
        <v/>
      </c>
      <c r="L159" s="520" t="str">
        <f>IF(E159="","",IF(ISNA(VLOOKUP($E159,'A-1 Site Habitat Baseline'!$D$1:$O$258,11,FALSE)),"",(VLOOKUP($E159,'A-1 Site Habitat Baseline'!$D$1:$O$258,11,FALSE))))</f>
        <v/>
      </c>
      <c r="M159" s="520" t="str">
        <f>IF(E159="","",IF(ISNA(VLOOKUP($E159,'A-1 Site Habitat Baseline'!$D$1:$O$258,12,FALSE)),"",(VLOOKUP($E159,'A-1 Site Habitat Baseline'!$D$1:$O$258,12,FALSE))))</f>
        <v/>
      </c>
      <c r="N159" s="532" t="str">
        <f>IF(E159="","",IF(ISNA(VLOOKUP($E159,'A-1 Site Habitat Baseline'!$D$1:$X$258,14,FALSE)),"",(VLOOKUP($E159,'A-1 Site Habitat Baseline'!$D$1:$X$258,14,FALSE))))</f>
        <v/>
      </c>
      <c r="O159" s="524" t="str">
        <f>IF(E159="","",IF(ISNA(VLOOKUP($E159,'A-1 Site Habitat Baseline'!$D$1:$X$258,16,FALSE)),"",(VLOOKUP($E159,'A-1 Site Habitat Baseline'!$D$1:$X$258,13,FALSE))))</f>
        <v/>
      </c>
      <c r="P159" s="237" t="str">
        <f>IFERROR(INDEX('G-1 All Habitats'!$AG$3:$AG$15,MATCH(Q159,'G-1 All Habitats'!$AF$3:$AF$15,0)),"")</f>
        <v/>
      </c>
      <c r="Q159" s="238" t="str">
        <f t="shared" si="26"/>
        <v/>
      </c>
      <c r="R159" s="238" t="str">
        <f t="shared" si="27"/>
        <v/>
      </c>
      <c r="S159" s="392" t="str">
        <f>IFERROR(INDEX('G-1 All Habitats'!$B$3:$B$129,MATCH(R159,'G-1 All Habitats'!$A$3:$A$129,0)),"")</f>
        <v/>
      </c>
      <c r="T159" s="498" t="str">
        <f t="shared" si="28"/>
        <v/>
      </c>
      <c r="U159" s="499" t="str">
        <f t="shared" si="29"/>
        <v/>
      </c>
      <c r="V159" s="537" t="str">
        <f t="shared" si="23"/>
        <v/>
      </c>
      <c r="W159" s="520" t="str">
        <f>IF(S159="","",VLOOKUP(S159,'G-1 All Habitats'!$B$2:$M$129,10,FALSE))</f>
        <v/>
      </c>
      <c r="X159" s="520" t="str">
        <f>IFERROR(VLOOKUP(W159,'G-1 All Habitats'!$V$3:$W$7,2,FALSE),"")</f>
        <v/>
      </c>
      <c r="Y159" s="79"/>
      <c r="Z159" s="524" t="str">
        <f>IFERROR(INDEX('G-8 Condition Look up'!$A$3:$H$130,MATCH(S159,'G-8 Condition Look up'!$A$3:$A$130,0),MATCH(Y159,'G-8 Condition Look up'!$A$3:$H$3,0)),"")</f>
        <v/>
      </c>
      <c r="AA159" s="71"/>
      <c r="AB159" s="520" t="str">
        <f>IF(AA159="","",IF(VLOOKUP(AA159,'G-3 Multipliers'!$L$3:$N$6,2,FALSE)=0,"Spatial Data Missing ⚠",VLOOKUP(AA159,'G-3 Multipliers'!$L$3:$N$6,2,FALSE)))</f>
        <v/>
      </c>
      <c r="AC159" s="524" t="str">
        <f>IF(AA159="","",IF(VLOOKUP(AA159,'G-3 Multipliers'!$L$3:$N$6,3,FALSE)=0,"Spatial Data Missing ⚠",VLOOKUP(AA159,'G-3 Multipliers'!$L$3:$N$6,3,FALSE)))</f>
        <v/>
      </c>
      <c r="AD159" s="539" t="str">
        <f t="shared" si="24"/>
        <v/>
      </c>
      <c r="AE159" s="82"/>
      <c r="AF159" s="82"/>
      <c r="AG159" s="507" t="str">
        <f t="shared" si="30"/>
        <v/>
      </c>
      <c r="AH159" s="521" t="str">
        <f t="shared" si="31"/>
        <v/>
      </c>
      <c r="AI159" s="522" t="str">
        <f>IF(AH159="Check Data","Check Data",IFERROR(VLOOKUP(AH159,'G-4 Temporal multipliers'!$A$4:$C$36,3,FALSE),""))</f>
        <v/>
      </c>
      <c r="AJ159" s="498" t="str">
        <f>IF(S159="","",VLOOKUP(S159,'G-3 Multipliers'!$A$2:$E$129,4,FALSE))</f>
        <v/>
      </c>
      <c r="AK159" s="507" t="str">
        <f t="shared" si="32"/>
        <v/>
      </c>
      <c r="AL159" s="507" t="str">
        <f t="shared" si="33"/>
        <v/>
      </c>
      <c r="AM159" s="540" t="str">
        <f>IFERROR(IF(F159="","",IF(AH159="Check Data ⚠","Check Data ⚠",VLOOKUP(AL159, 'G-3 Multipliers'!$P$2:$Q$6,2,FALSE))),"")</f>
        <v/>
      </c>
      <c r="AN159" s="513" t="str">
        <f t="shared" si="25"/>
        <v/>
      </c>
      <c r="AO159" s="239"/>
      <c r="AP159" s="240"/>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1" t="str">
        <f>'A-1 Site Habitat Baseline'!AL159</f>
        <v/>
      </c>
      <c r="F160" s="520" t="str">
        <f>IF(E160="","",IF(ISNA(VLOOKUP($E160,'A-1 Site Habitat Baseline'!$D$1:$O$258,4,FALSE)),"",(VLOOKUP($E160,'A-1 Site Habitat Baseline'!$D$1:$O$258,4,FALSE))))</f>
        <v/>
      </c>
      <c r="G160" s="520" t="str">
        <f>IF(E160="","",IF(ISNA(VLOOKUP($E160,'A-1 Site Habitat Baseline'!$D$1:$O$258,5,FALSE)),"",(VLOOKUP($E160,'A-1 Site Habitat Baseline'!$D$1:$O$258,5,FALSE))))</f>
        <v/>
      </c>
      <c r="H160" s="520" t="str">
        <f>IF(E160="","",IF(ISNA(VLOOKUP($E160,'A-1 Site Habitat Baseline'!$D$1:$O$258,6,FALSE)),"",(VLOOKUP($E160,'A-1 Site Habitat Baseline'!$D$1:$O$258,6,FALSE))))</f>
        <v/>
      </c>
      <c r="I160" s="520" t="str">
        <f>IF(E160="","",IF(ISNA(VLOOKUP($E160,'A-1 Site Habitat Baseline'!$D$1:$O$258,7,FALSE)),"",(VLOOKUP($E160,'A-1 Site Habitat Baseline'!$D$1:$O$258,7,FALSE))))</f>
        <v/>
      </c>
      <c r="J160" s="520" t="str">
        <f>IF(E160="","",IF(ISNA(VLOOKUP($E160,'A-1 Site Habitat Baseline'!$D$1:$O$258,8,FALSE)),"",(VLOOKUP($E160,'A-1 Site Habitat Baseline'!$D$1:$O$258,8,FALSE))))</f>
        <v/>
      </c>
      <c r="K160" s="520" t="str">
        <f>IF(E160="","",IF(ISNA(VLOOKUP($E160,'A-1 Site Habitat Baseline'!$D$1:$O$258,9,FALSE)),"",(VLOOKUP($E160,'A-1 Site Habitat Baseline'!$D$1:$O$258,9,FALSE))))</f>
        <v/>
      </c>
      <c r="L160" s="520" t="str">
        <f>IF(E160="","",IF(ISNA(VLOOKUP($E160,'A-1 Site Habitat Baseline'!$D$1:$O$258,11,FALSE)),"",(VLOOKUP($E160,'A-1 Site Habitat Baseline'!$D$1:$O$258,11,FALSE))))</f>
        <v/>
      </c>
      <c r="M160" s="520" t="str">
        <f>IF(E160="","",IF(ISNA(VLOOKUP($E160,'A-1 Site Habitat Baseline'!$D$1:$O$258,12,FALSE)),"",(VLOOKUP($E160,'A-1 Site Habitat Baseline'!$D$1:$O$258,12,FALSE))))</f>
        <v/>
      </c>
      <c r="N160" s="532" t="str">
        <f>IF(E160="","",IF(ISNA(VLOOKUP($E160,'A-1 Site Habitat Baseline'!$D$1:$X$258,14,FALSE)),"",(VLOOKUP($E160,'A-1 Site Habitat Baseline'!$D$1:$X$258,14,FALSE))))</f>
        <v/>
      </c>
      <c r="O160" s="524" t="str">
        <f>IF(E160="","",IF(ISNA(VLOOKUP($E160,'A-1 Site Habitat Baseline'!$D$1:$X$258,16,FALSE)),"",(VLOOKUP($E160,'A-1 Site Habitat Baseline'!$D$1:$X$258,13,FALSE))))</f>
        <v/>
      </c>
      <c r="P160" s="237" t="str">
        <f>IFERROR(INDEX('G-1 All Habitats'!$AG$3:$AG$15,MATCH(Q160,'G-1 All Habitats'!$AF$3:$AF$15,0)),"")</f>
        <v/>
      </c>
      <c r="Q160" s="238" t="str">
        <f t="shared" si="26"/>
        <v/>
      </c>
      <c r="R160" s="238" t="str">
        <f t="shared" si="27"/>
        <v/>
      </c>
      <c r="S160" s="392" t="str">
        <f>IFERROR(INDEX('G-1 All Habitats'!$B$3:$B$129,MATCH(R160,'G-1 All Habitats'!$A$3:$A$129,0)),"")</f>
        <v/>
      </c>
      <c r="T160" s="498" t="str">
        <f t="shared" si="28"/>
        <v/>
      </c>
      <c r="U160" s="499" t="str">
        <f t="shared" si="29"/>
        <v/>
      </c>
      <c r="V160" s="537" t="str">
        <f t="shared" si="23"/>
        <v/>
      </c>
      <c r="W160" s="520" t="str">
        <f>IF(S160="","",VLOOKUP(S160,'G-1 All Habitats'!$B$2:$M$129,10,FALSE))</f>
        <v/>
      </c>
      <c r="X160" s="520" t="str">
        <f>IFERROR(VLOOKUP(W160,'G-1 All Habitats'!$V$3:$W$7,2,FALSE),"")</f>
        <v/>
      </c>
      <c r="Y160" s="79"/>
      <c r="Z160" s="524" t="str">
        <f>IFERROR(INDEX('G-8 Condition Look up'!$A$3:$H$130,MATCH(S160,'G-8 Condition Look up'!$A$3:$A$130,0),MATCH(Y160,'G-8 Condition Look up'!$A$3:$H$3,0)),"")</f>
        <v/>
      </c>
      <c r="AA160" s="71"/>
      <c r="AB160" s="520" t="str">
        <f>IF(AA160="","",IF(VLOOKUP(AA160,'G-3 Multipliers'!$L$3:$N$6,2,FALSE)=0,"Spatial Data Missing ⚠",VLOOKUP(AA160,'G-3 Multipliers'!$L$3:$N$6,2,FALSE)))</f>
        <v/>
      </c>
      <c r="AC160" s="524" t="str">
        <f>IF(AA160="","",IF(VLOOKUP(AA160,'G-3 Multipliers'!$L$3:$N$6,3,FALSE)=0,"Spatial Data Missing ⚠",VLOOKUP(AA160,'G-3 Multipliers'!$L$3:$N$6,3,FALSE)))</f>
        <v/>
      </c>
      <c r="AD160" s="539" t="str">
        <f t="shared" si="24"/>
        <v/>
      </c>
      <c r="AE160" s="82"/>
      <c r="AF160" s="82"/>
      <c r="AG160" s="507" t="str">
        <f t="shared" si="30"/>
        <v/>
      </c>
      <c r="AH160" s="521" t="str">
        <f t="shared" si="31"/>
        <v/>
      </c>
      <c r="AI160" s="522" t="str">
        <f>IF(AH160="Check Data","Check Data",IFERROR(VLOOKUP(AH160,'G-4 Temporal multipliers'!$A$4:$C$36,3,FALSE),""))</f>
        <v/>
      </c>
      <c r="AJ160" s="498" t="str">
        <f>IF(S160="","",VLOOKUP(S160,'G-3 Multipliers'!$A$2:$E$129,4,FALSE))</f>
        <v/>
      </c>
      <c r="AK160" s="507" t="str">
        <f t="shared" si="32"/>
        <v/>
      </c>
      <c r="AL160" s="507" t="str">
        <f t="shared" si="33"/>
        <v/>
      </c>
      <c r="AM160" s="540" t="str">
        <f>IFERROR(IF(F160="","",IF(AH160="Check Data ⚠","Check Data ⚠",VLOOKUP(AL160, 'G-3 Multipliers'!$P$2:$Q$6,2,FALSE))),"")</f>
        <v/>
      </c>
      <c r="AN160" s="513" t="str">
        <f t="shared" si="25"/>
        <v/>
      </c>
      <c r="AO160" s="239"/>
      <c r="AP160" s="240"/>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1" t="str">
        <f>'A-1 Site Habitat Baseline'!AL160</f>
        <v/>
      </c>
      <c r="F161" s="520" t="str">
        <f>IF(E161="","",IF(ISNA(VLOOKUP($E161,'A-1 Site Habitat Baseline'!$D$1:$O$258,4,FALSE)),"",(VLOOKUP($E161,'A-1 Site Habitat Baseline'!$D$1:$O$258,4,FALSE))))</f>
        <v/>
      </c>
      <c r="G161" s="520" t="str">
        <f>IF(E161="","",IF(ISNA(VLOOKUP($E161,'A-1 Site Habitat Baseline'!$D$1:$O$258,5,FALSE)),"",(VLOOKUP($E161,'A-1 Site Habitat Baseline'!$D$1:$O$258,5,FALSE))))</f>
        <v/>
      </c>
      <c r="H161" s="520" t="str">
        <f>IF(E161="","",IF(ISNA(VLOOKUP($E161,'A-1 Site Habitat Baseline'!$D$1:$O$258,6,FALSE)),"",(VLOOKUP($E161,'A-1 Site Habitat Baseline'!$D$1:$O$258,6,FALSE))))</f>
        <v/>
      </c>
      <c r="I161" s="520" t="str">
        <f>IF(E161="","",IF(ISNA(VLOOKUP($E161,'A-1 Site Habitat Baseline'!$D$1:$O$258,7,FALSE)),"",(VLOOKUP($E161,'A-1 Site Habitat Baseline'!$D$1:$O$258,7,FALSE))))</f>
        <v/>
      </c>
      <c r="J161" s="520" t="str">
        <f>IF(E161="","",IF(ISNA(VLOOKUP($E161,'A-1 Site Habitat Baseline'!$D$1:$O$258,8,FALSE)),"",(VLOOKUP($E161,'A-1 Site Habitat Baseline'!$D$1:$O$258,8,FALSE))))</f>
        <v/>
      </c>
      <c r="K161" s="520" t="str">
        <f>IF(E161="","",IF(ISNA(VLOOKUP($E161,'A-1 Site Habitat Baseline'!$D$1:$O$258,9,FALSE)),"",(VLOOKUP($E161,'A-1 Site Habitat Baseline'!$D$1:$O$258,9,FALSE))))</f>
        <v/>
      </c>
      <c r="L161" s="520" t="str">
        <f>IF(E161="","",IF(ISNA(VLOOKUP($E161,'A-1 Site Habitat Baseline'!$D$1:$O$258,11,FALSE)),"",(VLOOKUP($E161,'A-1 Site Habitat Baseline'!$D$1:$O$258,11,FALSE))))</f>
        <v/>
      </c>
      <c r="M161" s="520" t="str">
        <f>IF(E161="","",IF(ISNA(VLOOKUP($E161,'A-1 Site Habitat Baseline'!$D$1:$O$258,12,FALSE)),"",(VLOOKUP($E161,'A-1 Site Habitat Baseline'!$D$1:$O$258,12,FALSE))))</f>
        <v/>
      </c>
      <c r="N161" s="532" t="str">
        <f>IF(E161="","",IF(ISNA(VLOOKUP($E161,'A-1 Site Habitat Baseline'!$D$1:$X$258,14,FALSE)),"",(VLOOKUP($E161,'A-1 Site Habitat Baseline'!$D$1:$X$258,14,FALSE))))</f>
        <v/>
      </c>
      <c r="O161" s="524" t="str">
        <f>IF(E161="","",IF(ISNA(VLOOKUP($E161,'A-1 Site Habitat Baseline'!$D$1:$X$258,16,FALSE)),"",(VLOOKUP($E161,'A-1 Site Habitat Baseline'!$D$1:$X$258,13,FALSE))))</f>
        <v/>
      </c>
      <c r="P161" s="237" t="str">
        <f>IFERROR(INDEX('G-1 All Habitats'!$AG$3:$AG$15,MATCH(Q161,'G-1 All Habitats'!$AF$3:$AF$15,0)),"")</f>
        <v/>
      </c>
      <c r="Q161" s="238" t="str">
        <f t="shared" si="26"/>
        <v/>
      </c>
      <c r="R161" s="238" t="str">
        <f t="shared" si="27"/>
        <v/>
      </c>
      <c r="S161" s="392" t="str">
        <f>IFERROR(INDEX('G-1 All Habitats'!$B$3:$B$129,MATCH(R161,'G-1 All Habitats'!$A$3:$A$129,0)),"")</f>
        <v/>
      </c>
      <c r="T161" s="498" t="str">
        <f t="shared" si="28"/>
        <v/>
      </c>
      <c r="U161" s="499" t="str">
        <f t="shared" si="29"/>
        <v/>
      </c>
      <c r="V161" s="537" t="str">
        <f t="shared" si="23"/>
        <v/>
      </c>
      <c r="W161" s="520" t="str">
        <f>IF(S161="","",VLOOKUP(S161,'G-1 All Habitats'!$B$2:$M$129,10,FALSE))</f>
        <v/>
      </c>
      <c r="X161" s="520" t="str">
        <f>IFERROR(VLOOKUP(W161,'G-1 All Habitats'!$V$3:$W$7,2,FALSE),"")</f>
        <v/>
      </c>
      <c r="Y161" s="79"/>
      <c r="Z161" s="524" t="str">
        <f>IFERROR(INDEX('G-8 Condition Look up'!$A$3:$H$130,MATCH(S161,'G-8 Condition Look up'!$A$3:$A$130,0),MATCH(Y161,'G-8 Condition Look up'!$A$3:$H$3,0)),"")</f>
        <v/>
      </c>
      <c r="AA161" s="71"/>
      <c r="AB161" s="520" t="str">
        <f>IF(AA161="","",IF(VLOOKUP(AA161,'G-3 Multipliers'!$L$3:$N$6,2,FALSE)=0,"Spatial Data Missing ⚠",VLOOKUP(AA161,'G-3 Multipliers'!$L$3:$N$6,2,FALSE)))</f>
        <v/>
      </c>
      <c r="AC161" s="524" t="str">
        <f>IF(AA161="","",IF(VLOOKUP(AA161,'G-3 Multipliers'!$L$3:$N$6,3,FALSE)=0,"Spatial Data Missing ⚠",VLOOKUP(AA161,'G-3 Multipliers'!$L$3:$N$6,3,FALSE)))</f>
        <v/>
      </c>
      <c r="AD161" s="539" t="str">
        <f t="shared" si="24"/>
        <v/>
      </c>
      <c r="AE161" s="82"/>
      <c r="AF161" s="82"/>
      <c r="AG161" s="507" t="str">
        <f t="shared" si="30"/>
        <v/>
      </c>
      <c r="AH161" s="521" t="str">
        <f t="shared" si="31"/>
        <v/>
      </c>
      <c r="AI161" s="522" t="str">
        <f>IF(AH161="Check Data","Check Data",IFERROR(VLOOKUP(AH161,'G-4 Temporal multipliers'!$A$4:$C$36,3,FALSE),""))</f>
        <v/>
      </c>
      <c r="AJ161" s="498" t="str">
        <f>IF(S161="","",VLOOKUP(S161,'G-3 Multipliers'!$A$2:$E$129,4,FALSE))</f>
        <v/>
      </c>
      <c r="AK161" s="507" t="str">
        <f t="shared" si="32"/>
        <v/>
      </c>
      <c r="AL161" s="507" t="str">
        <f t="shared" si="33"/>
        <v/>
      </c>
      <c r="AM161" s="540" t="str">
        <f>IFERROR(IF(F161="","",IF(AH161="Check Data ⚠","Check Data ⚠",VLOOKUP(AL161, 'G-3 Multipliers'!$P$2:$Q$6,2,FALSE))),"")</f>
        <v/>
      </c>
      <c r="AN161" s="513" t="str">
        <f t="shared" si="25"/>
        <v/>
      </c>
      <c r="AO161" s="239"/>
      <c r="AP161" s="240"/>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1" t="str">
        <f>'A-1 Site Habitat Baseline'!AL161</f>
        <v/>
      </c>
      <c r="F162" s="520" t="str">
        <f>IF(E162="","",IF(ISNA(VLOOKUP($E162,'A-1 Site Habitat Baseline'!$D$1:$O$258,4,FALSE)),"",(VLOOKUP($E162,'A-1 Site Habitat Baseline'!$D$1:$O$258,4,FALSE))))</f>
        <v/>
      </c>
      <c r="G162" s="520" t="str">
        <f>IF(E162="","",IF(ISNA(VLOOKUP($E162,'A-1 Site Habitat Baseline'!$D$1:$O$258,5,FALSE)),"",(VLOOKUP($E162,'A-1 Site Habitat Baseline'!$D$1:$O$258,5,FALSE))))</f>
        <v/>
      </c>
      <c r="H162" s="520" t="str">
        <f>IF(E162="","",IF(ISNA(VLOOKUP($E162,'A-1 Site Habitat Baseline'!$D$1:$O$258,6,FALSE)),"",(VLOOKUP($E162,'A-1 Site Habitat Baseline'!$D$1:$O$258,6,FALSE))))</f>
        <v/>
      </c>
      <c r="I162" s="520" t="str">
        <f>IF(E162="","",IF(ISNA(VLOOKUP($E162,'A-1 Site Habitat Baseline'!$D$1:$O$258,7,FALSE)),"",(VLOOKUP($E162,'A-1 Site Habitat Baseline'!$D$1:$O$258,7,FALSE))))</f>
        <v/>
      </c>
      <c r="J162" s="520" t="str">
        <f>IF(E162="","",IF(ISNA(VLOOKUP($E162,'A-1 Site Habitat Baseline'!$D$1:$O$258,8,FALSE)),"",(VLOOKUP($E162,'A-1 Site Habitat Baseline'!$D$1:$O$258,8,FALSE))))</f>
        <v/>
      </c>
      <c r="K162" s="520" t="str">
        <f>IF(E162="","",IF(ISNA(VLOOKUP($E162,'A-1 Site Habitat Baseline'!$D$1:$O$258,9,FALSE)),"",(VLOOKUP($E162,'A-1 Site Habitat Baseline'!$D$1:$O$258,9,FALSE))))</f>
        <v/>
      </c>
      <c r="L162" s="520" t="str">
        <f>IF(E162="","",IF(ISNA(VLOOKUP($E162,'A-1 Site Habitat Baseline'!$D$1:$O$258,11,FALSE)),"",(VLOOKUP($E162,'A-1 Site Habitat Baseline'!$D$1:$O$258,11,FALSE))))</f>
        <v/>
      </c>
      <c r="M162" s="520" t="str">
        <f>IF(E162="","",IF(ISNA(VLOOKUP($E162,'A-1 Site Habitat Baseline'!$D$1:$O$258,12,FALSE)),"",(VLOOKUP($E162,'A-1 Site Habitat Baseline'!$D$1:$O$258,12,FALSE))))</f>
        <v/>
      </c>
      <c r="N162" s="532" t="str">
        <f>IF(E162="","",IF(ISNA(VLOOKUP($E162,'A-1 Site Habitat Baseline'!$D$1:$X$258,14,FALSE)),"",(VLOOKUP($E162,'A-1 Site Habitat Baseline'!$D$1:$X$258,14,FALSE))))</f>
        <v/>
      </c>
      <c r="O162" s="524" t="str">
        <f>IF(E162="","",IF(ISNA(VLOOKUP($E162,'A-1 Site Habitat Baseline'!$D$1:$X$258,16,FALSE)),"",(VLOOKUP($E162,'A-1 Site Habitat Baseline'!$D$1:$X$258,13,FALSE))))</f>
        <v/>
      </c>
      <c r="P162" s="237" t="str">
        <f>IFERROR(INDEX('G-1 All Habitats'!$AG$3:$AG$15,MATCH(Q162,'G-1 All Habitats'!$AF$3:$AF$15,0)),"")</f>
        <v/>
      </c>
      <c r="Q162" s="238" t="str">
        <f t="shared" si="26"/>
        <v/>
      </c>
      <c r="R162" s="238" t="str">
        <f t="shared" si="27"/>
        <v/>
      </c>
      <c r="S162" s="392" t="str">
        <f>IFERROR(INDEX('G-1 All Habitats'!$B$3:$B$129,MATCH(R162,'G-1 All Habitats'!$A$3:$A$129,0)),"")</f>
        <v/>
      </c>
      <c r="T162" s="498" t="str">
        <f t="shared" si="28"/>
        <v/>
      </c>
      <c r="U162" s="499" t="str">
        <f t="shared" si="29"/>
        <v/>
      </c>
      <c r="V162" s="537" t="str">
        <f t="shared" si="23"/>
        <v/>
      </c>
      <c r="W162" s="520" t="str">
        <f>IF(S162="","",VLOOKUP(S162,'G-1 All Habitats'!$B$2:$M$129,10,FALSE))</f>
        <v/>
      </c>
      <c r="X162" s="520" t="str">
        <f>IFERROR(VLOOKUP(W162,'G-1 All Habitats'!$V$3:$W$7,2,FALSE),"")</f>
        <v/>
      </c>
      <c r="Y162" s="79"/>
      <c r="Z162" s="524" t="str">
        <f>IFERROR(INDEX('G-8 Condition Look up'!$A$3:$H$130,MATCH(S162,'G-8 Condition Look up'!$A$3:$A$130,0),MATCH(Y162,'G-8 Condition Look up'!$A$3:$H$3,0)),"")</f>
        <v/>
      </c>
      <c r="AA162" s="71"/>
      <c r="AB162" s="520" t="str">
        <f>IF(AA162="","",IF(VLOOKUP(AA162,'G-3 Multipliers'!$L$3:$N$6,2,FALSE)=0,"Spatial Data Missing ⚠",VLOOKUP(AA162,'G-3 Multipliers'!$L$3:$N$6,2,FALSE)))</f>
        <v/>
      </c>
      <c r="AC162" s="524" t="str">
        <f>IF(AA162="","",IF(VLOOKUP(AA162,'G-3 Multipliers'!$L$3:$N$6,3,FALSE)=0,"Spatial Data Missing ⚠",VLOOKUP(AA162,'G-3 Multipliers'!$L$3:$N$6,3,FALSE)))</f>
        <v/>
      </c>
      <c r="AD162" s="539" t="str">
        <f t="shared" si="24"/>
        <v/>
      </c>
      <c r="AE162" s="82"/>
      <c r="AF162" s="82"/>
      <c r="AG162" s="507" t="str">
        <f t="shared" si="30"/>
        <v/>
      </c>
      <c r="AH162" s="521" t="str">
        <f t="shared" si="31"/>
        <v/>
      </c>
      <c r="AI162" s="522" t="str">
        <f>IF(AH162="Check Data","Check Data",IFERROR(VLOOKUP(AH162,'G-4 Temporal multipliers'!$A$4:$C$36,3,FALSE),""))</f>
        <v/>
      </c>
      <c r="AJ162" s="498" t="str">
        <f>IF(S162="","",VLOOKUP(S162,'G-3 Multipliers'!$A$2:$E$129,4,FALSE))</f>
        <v/>
      </c>
      <c r="AK162" s="507" t="str">
        <f t="shared" si="32"/>
        <v/>
      </c>
      <c r="AL162" s="507" t="str">
        <f t="shared" si="33"/>
        <v/>
      </c>
      <c r="AM162" s="540" t="str">
        <f>IFERROR(IF(F162="","",IF(AH162="Check Data ⚠","Check Data ⚠",VLOOKUP(AL162, 'G-3 Multipliers'!$P$2:$Q$6,2,FALSE))),"")</f>
        <v/>
      </c>
      <c r="AN162" s="513" t="str">
        <f t="shared" si="25"/>
        <v/>
      </c>
      <c r="AO162" s="239"/>
      <c r="AP162" s="240"/>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1" t="str">
        <f>'A-1 Site Habitat Baseline'!AL162</f>
        <v/>
      </c>
      <c r="F163" s="520" t="str">
        <f>IF(E163="","",IF(ISNA(VLOOKUP($E163,'A-1 Site Habitat Baseline'!$D$1:$O$258,4,FALSE)),"",(VLOOKUP($E163,'A-1 Site Habitat Baseline'!$D$1:$O$258,4,FALSE))))</f>
        <v/>
      </c>
      <c r="G163" s="520" t="str">
        <f>IF(E163="","",IF(ISNA(VLOOKUP($E163,'A-1 Site Habitat Baseline'!$D$1:$O$258,5,FALSE)),"",(VLOOKUP($E163,'A-1 Site Habitat Baseline'!$D$1:$O$258,5,FALSE))))</f>
        <v/>
      </c>
      <c r="H163" s="520" t="str">
        <f>IF(E163="","",IF(ISNA(VLOOKUP($E163,'A-1 Site Habitat Baseline'!$D$1:$O$258,6,FALSE)),"",(VLOOKUP($E163,'A-1 Site Habitat Baseline'!$D$1:$O$258,6,FALSE))))</f>
        <v/>
      </c>
      <c r="I163" s="520" t="str">
        <f>IF(E163="","",IF(ISNA(VLOOKUP($E163,'A-1 Site Habitat Baseline'!$D$1:$O$258,7,FALSE)),"",(VLOOKUP($E163,'A-1 Site Habitat Baseline'!$D$1:$O$258,7,FALSE))))</f>
        <v/>
      </c>
      <c r="J163" s="520" t="str">
        <f>IF(E163="","",IF(ISNA(VLOOKUP($E163,'A-1 Site Habitat Baseline'!$D$1:$O$258,8,FALSE)),"",(VLOOKUP($E163,'A-1 Site Habitat Baseline'!$D$1:$O$258,8,FALSE))))</f>
        <v/>
      </c>
      <c r="K163" s="520" t="str">
        <f>IF(E163="","",IF(ISNA(VLOOKUP($E163,'A-1 Site Habitat Baseline'!$D$1:$O$258,9,FALSE)),"",(VLOOKUP($E163,'A-1 Site Habitat Baseline'!$D$1:$O$258,9,FALSE))))</f>
        <v/>
      </c>
      <c r="L163" s="520" t="str">
        <f>IF(E163="","",IF(ISNA(VLOOKUP($E163,'A-1 Site Habitat Baseline'!$D$1:$O$258,11,FALSE)),"",(VLOOKUP($E163,'A-1 Site Habitat Baseline'!$D$1:$O$258,11,FALSE))))</f>
        <v/>
      </c>
      <c r="M163" s="520" t="str">
        <f>IF(E163="","",IF(ISNA(VLOOKUP($E163,'A-1 Site Habitat Baseline'!$D$1:$O$258,12,FALSE)),"",(VLOOKUP($E163,'A-1 Site Habitat Baseline'!$D$1:$O$258,12,FALSE))))</f>
        <v/>
      </c>
      <c r="N163" s="532" t="str">
        <f>IF(E163="","",IF(ISNA(VLOOKUP($E163,'A-1 Site Habitat Baseline'!$D$1:$X$258,14,FALSE)),"",(VLOOKUP($E163,'A-1 Site Habitat Baseline'!$D$1:$X$258,14,FALSE))))</f>
        <v/>
      </c>
      <c r="O163" s="524" t="str">
        <f>IF(E163="","",IF(ISNA(VLOOKUP($E163,'A-1 Site Habitat Baseline'!$D$1:$X$258,16,FALSE)),"",(VLOOKUP($E163,'A-1 Site Habitat Baseline'!$D$1:$X$258,13,FALSE))))</f>
        <v/>
      </c>
      <c r="P163" s="237" t="str">
        <f>IFERROR(INDEX('G-1 All Habitats'!$AG$3:$AG$15,MATCH(Q163,'G-1 All Habitats'!$AF$3:$AF$15,0)),"")</f>
        <v/>
      </c>
      <c r="Q163" s="238" t="str">
        <f t="shared" si="26"/>
        <v/>
      </c>
      <c r="R163" s="238" t="str">
        <f t="shared" si="27"/>
        <v/>
      </c>
      <c r="S163" s="392" t="str">
        <f>IFERROR(INDEX('G-1 All Habitats'!$B$3:$B$129,MATCH(R163,'G-1 All Habitats'!$A$3:$A$129,0)),"")</f>
        <v/>
      </c>
      <c r="T163" s="498" t="str">
        <f t="shared" si="28"/>
        <v/>
      </c>
      <c r="U163" s="499" t="str">
        <f t="shared" si="29"/>
        <v/>
      </c>
      <c r="V163" s="537" t="str">
        <f t="shared" si="23"/>
        <v/>
      </c>
      <c r="W163" s="520" t="str">
        <f>IF(S163="","",VLOOKUP(S163,'G-1 All Habitats'!$B$2:$M$129,10,FALSE))</f>
        <v/>
      </c>
      <c r="X163" s="520" t="str">
        <f>IFERROR(VLOOKUP(W163,'G-1 All Habitats'!$V$3:$W$7,2,FALSE),"")</f>
        <v/>
      </c>
      <c r="Y163" s="79"/>
      <c r="Z163" s="524" t="str">
        <f>IFERROR(INDEX('G-8 Condition Look up'!$A$3:$H$130,MATCH(S163,'G-8 Condition Look up'!$A$3:$A$130,0),MATCH(Y163,'G-8 Condition Look up'!$A$3:$H$3,0)),"")</f>
        <v/>
      </c>
      <c r="AA163" s="71"/>
      <c r="AB163" s="520" t="str">
        <f>IF(AA163="","",IF(VLOOKUP(AA163,'G-3 Multipliers'!$L$3:$N$6,2,FALSE)=0,"Spatial Data Missing ⚠",VLOOKUP(AA163,'G-3 Multipliers'!$L$3:$N$6,2,FALSE)))</f>
        <v/>
      </c>
      <c r="AC163" s="524" t="str">
        <f>IF(AA163="","",IF(VLOOKUP(AA163,'G-3 Multipliers'!$L$3:$N$6,3,FALSE)=0,"Spatial Data Missing ⚠",VLOOKUP(AA163,'G-3 Multipliers'!$L$3:$N$6,3,FALSE)))</f>
        <v/>
      </c>
      <c r="AD163" s="539" t="str">
        <f t="shared" si="24"/>
        <v/>
      </c>
      <c r="AE163" s="82"/>
      <c r="AF163" s="82"/>
      <c r="AG163" s="507" t="str">
        <f t="shared" si="30"/>
        <v/>
      </c>
      <c r="AH163" s="521" t="str">
        <f t="shared" si="31"/>
        <v/>
      </c>
      <c r="AI163" s="522" t="str">
        <f>IF(AH163="Check Data","Check Data",IFERROR(VLOOKUP(AH163,'G-4 Temporal multipliers'!$A$4:$C$36,3,FALSE),""))</f>
        <v/>
      </c>
      <c r="AJ163" s="498" t="str">
        <f>IF(S163="","",VLOOKUP(S163,'G-3 Multipliers'!$A$2:$E$129,4,FALSE))</f>
        <v/>
      </c>
      <c r="AK163" s="507" t="str">
        <f t="shared" si="32"/>
        <v/>
      </c>
      <c r="AL163" s="507" t="str">
        <f t="shared" si="33"/>
        <v/>
      </c>
      <c r="AM163" s="540" t="str">
        <f>IFERROR(IF(F163="","",IF(AH163="Check Data ⚠","Check Data ⚠",VLOOKUP(AL163, 'G-3 Multipliers'!$P$2:$Q$6,2,FALSE))),"")</f>
        <v/>
      </c>
      <c r="AN163" s="513" t="str">
        <f t="shared" si="25"/>
        <v/>
      </c>
      <c r="AO163" s="239"/>
      <c r="AP163" s="240"/>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1" t="str">
        <f>'A-1 Site Habitat Baseline'!AL163</f>
        <v/>
      </c>
      <c r="F164" s="520" t="str">
        <f>IF(E164="","",IF(ISNA(VLOOKUP($E164,'A-1 Site Habitat Baseline'!$D$1:$O$258,4,FALSE)),"",(VLOOKUP($E164,'A-1 Site Habitat Baseline'!$D$1:$O$258,4,FALSE))))</f>
        <v/>
      </c>
      <c r="G164" s="520" t="str">
        <f>IF(E164="","",IF(ISNA(VLOOKUP($E164,'A-1 Site Habitat Baseline'!$D$1:$O$258,5,FALSE)),"",(VLOOKUP($E164,'A-1 Site Habitat Baseline'!$D$1:$O$258,5,FALSE))))</f>
        <v/>
      </c>
      <c r="H164" s="520" t="str">
        <f>IF(E164="","",IF(ISNA(VLOOKUP($E164,'A-1 Site Habitat Baseline'!$D$1:$O$258,6,FALSE)),"",(VLOOKUP($E164,'A-1 Site Habitat Baseline'!$D$1:$O$258,6,FALSE))))</f>
        <v/>
      </c>
      <c r="I164" s="520" t="str">
        <f>IF(E164="","",IF(ISNA(VLOOKUP($E164,'A-1 Site Habitat Baseline'!$D$1:$O$258,7,FALSE)),"",(VLOOKUP($E164,'A-1 Site Habitat Baseline'!$D$1:$O$258,7,FALSE))))</f>
        <v/>
      </c>
      <c r="J164" s="520" t="str">
        <f>IF(E164="","",IF(ISNA(VLOOKUP($E164,'A-1 Site Habitat Baseline'!$D$1:$O$258,8,FALSE)),"",(VLOOKUP($E164,'A-1 Site Habitat Baseline'!$D$1:$O$258,8,FALSE))))</f>
        <v/>
      </c>
      <c r="K164" s="520" t="str">
        <f>IF(E164="","",IF(ISNA(VLOOKUP($E164,'A-1 Site Habitat Baseline'!$D$1:$O$258,9,FALSE)),"",(VLOOKUP($E164,'A-1 Site Habitat Baseline'!$D$1:$O$258,9,FALSE))))</f>
        <v/>
      </c>
      <c r="L164" s="520" t="str">
        <f>IF(E164="","",IF(ISNA(VLOOKUP($E164,'A-1 Site Habitat Baseline'!$D$1:$O$258,11,FALSE)),"",(VLOOKUP($E164,'A-1 Site Habitat Baseline'!$D$1:$O$258,11,FALSE))))</f>
        <v/>
      </c>
      <c r="M164" s="520" t="str">
        <f>IF(E164="","",IF(ISNA(VLOOKUP($E164,'A-1 Site Habitat Baseline'!$D$1:$O$258,12,FALSE)),"",(VLOOKUP($E164,'A-1 Site Habitat Baseline'!$D$1:$O$258,12,FALSE))))</f>
        <v/>
      </c>
      <c r="N164" s="532" t="str">
        <f>IF(E164="","",IF(ISNA(VLOOKUP($E164,'A-1 Site Habitat Baseline'!$D$1:$X$258,14,FALSE)),"",(VLOOKUP($E164,'A-1 Site Habitat Baseline'!$D$1:$X$258,14,FALSE))))</f>
        <v/>
      </c>
      <c r="O164" s="524" t="str">
        <f>IF(E164="","",IF(ISNA(VLOOKUP($E164,'A-1 Site Habitat Baseline'!$D$1:$X$258,16,FALSE)),"",(VLOOKUP($E164,'A-1 Site Habitat Baseline'!$D$1:$X$258,13,FALSE))))</f>
        <v/>
      </c>
      <c r="P164" s="237" t="str">
        <f>IFERROR(INDEX('G-1 All Habitats'!$AG$3:$AG$15,MATCH(Q164,'G-1 All Habitats'!$AF$3:$AF$15,0)),"")</f>
        <v/>
      </c>
      <c r="Q164" s="238" t="str">
        <f t="shared" si="26"/>
        <v/>
      </c>
      <c r="R164" s="238" t="str">
        <f t="shared" si="27"/>
        <v/>
      </c>
      <c r="S164" s="392" t="str">
        <f>IFERROR(INDEX('G-1 All Habitats'!$B$3:$B$129,MATCH(R164,'G-1 All Habitats'!$A$3:$A$129,0)),"")</f>
        <v/>
      </c>
      <c r="T164" s="498" t="str">
        <f t="shared" si="28"/>
        <v/>
      </c>
      <c r="U164" s="499" t="str">
        <f t="shared" si="29"/>
        <v/>
      </c>
      <c r="V164" s="537" t="str">
        <f t="shared" si="23"/>
        <v/>
      </c>
      <c r="W164" s="520" t="str">
        <f>IF(S164="","",VLOOKUP(S164,'G-1 All Habitats'!$B$2:$M$129,10,FALSE))</f>
        <v/>
      </c>
      <c r="X164" s="520" t="str">
        <f>IFERROR(VLOOKUP(W164,'G-1 All Habitats'!$V$3:$W$7,2,FALSE),"")</f>
        <v/>
      </c>
      <c r="Y164" s="79"/>
      <c r="Z164" s="524" t="str">
        <f>IFERROR(INDEX('G-8 Condition Look up'!$A$3:$H$130,MATCH(S164,'G-8 Condition Look up'!$A$3:$A$130,0),MATCH(Y164,'G-8 Condition Look up'!$A$3:$H$3,0)),"")</f>
        <v/>
      </c>
      <c r="AA164" s="71"/>
      <c r="AB164" s="520" t="str">
        <f>IF(AA164="","",IF(VLOOKUP(AA164,'G-3 Multipliers'!$L$3:$N$6,2,FALSE)=0,"Spatial Data Missing ⚠",VLOOKUP(AA164,'G-3 Multipliers'!$L$3:$N$6,2,FALSE)))</f>
        <v/>
      </c>
      <c r="AC164" s="524" t="str">
        <f>IF(AA164="","",IF(VLOOKUP(AA164,'G-3 Multipliers'!$L$3:$N$6,3,FALSE)=0,"Spatial Data Missing ⚠",VLOOKUP(AA164,'G-3 Multipliers'!$L$3:$N$6,3,FALSE)))</f>
        <v/>
      </c>
      <c r="AD164" s="539" t="str">
        <f t="shared" si="24"/>
        <v/>
      </c>
      <c r="AE164" s="82"/>
      <c r="AF164" s="82"/>
      <c r="AG164" s="507" t="str">
        <f t="shared" si="30"/>
        <v/>
      </c>
      <c r="AH164" s="521" t="str">
        <f t="shared" si="31"/>
        <v/>
      </c>
      <c r="AI164" s="522" t="str">
        <f>IF(AH164="Check Data","Check Data",IFERROR(VLOOKUP(AH164,'G-4 Temporal multipliers'!$A$4:$C$36,3,FALSE),""))</f>
        <v/>
      </c>
      <c r="AJ164" s="498" t="str">
        <f>IF(S164="","",VLOOKUP(S164,'G-3 Multipliers'!$A$2:$E$129,4,FALSE))</f>
        <v/>
      </c>
      <c r="AK164" s="507" t="str">
        <f t="shared" si="32"/>
        <v/>
      </c>
      <c r="AL164" s="507" t="str">
        <f t="shared" si="33"/>
        <v/>
      </c>
      <c r="AM164" s="540" t="str">
        <f>IFERROR(IF(F164="","",IF(AH164="Check Data ⚠","Check Data ⚠",VLOOKUP(AL164, 'G-3 Multipliers'!$P$2:$Q$6,2,FALSE))),"")</f>
        <v/>
      </c>
      <c r="AN164" s="513" t="str">
        <f t="shared" si="25"/>
        <v/>
      </c>
      <c r="AO164" s="239"/>
      <c r="AP164" s="240"/>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1" t="str">
        <f>'A-1 Site Habitat Baseline'!AL164</f>
        <v/>
      </c>
      <c r="F165" s="520" t="str">
        <f>IF(E165="","",IF(ISNA(VLOOKUP($E165,'A-1 Site Habitat Baseline'!$D$1:$O$258,4,FALSE)),"",(VLOOKUP($E165,'A-1 Site Habitat Baseline'!$D$1:$O$258,4,FALSE))))</f>
        <v/>
      </c>
      <c r="G165" s="520" t="str">
        <f>IF(E165="","",IF(ISNA(VLOOKUP($E165,'A-1 Site Habitat Baseline'!$D$1:$O$258,5,FALSE)),"",(VLOOKUP($E165,'A-1 Site Habitat Baseline'!$D$1:$O$258,5,FALSE))))</f>
        <v/>
      </c>
      <c r="H165" s="520" t="str">
        <f>IF(E165="","",IF(ISNA(VLOOKUP($E165,'A-1 Site Habitat Baseline'!$D$1:$O$258,6,FALSE)),"",(VLOOKUP($E165,'A-1 Site Habitat Baseline'!$D$1:$O$258,6,FALSE))))</f>
        <v/>
      </c>
      <c r="I165" s="520" t="str">
        <f>IF(E165="","",IF(ISNA(VLOOKUP($E165,'A-1 Site Habitat Baseline'!$D$1:$O$258,7,FALSE)),"",(VLOOKUP($E165,'A-1 Site Habitat Baseline'!$D$1:$O$258,7,FALSE))))</f>
        <v/>
      </c>
      <c r="J165" s="520" t="str">
        <f>IF(E165="","",IF(ISNA(VLOOKUP($E165,'A-1 Site Habitat Baseline'!$D$1:$O$258,8,FALSE)),"",(VLOOKUP($E165,'A-1 Site Habitat Baseline'!$D$1:$O$258,8,FALSE))))</f>
        <v/>
      </c>
      <c r="K165" s="520" t="str">
        <f>IF(E165="","",IF(ISNA(VLOOKUP($E165,'A-1 Site Habitat Baseline'!$D$1:$O$258,9,FALSE)),"",(VLOOKUP($E165,'A-1 Site Habitat Baseline'!$D$1:$O$258,9,FALSE))))</f>
        <v/>
      </c>
      <c r="L165" s="520" t="str">
        <f>IF(E165="","",IF(ISNA(VLOOKUP($E165,'A-1 Site Habitat Baseline'!$D$1:$O$258,11,FALSE)),"",(VLOOKUP($E165,'A-1 Site Habitat Baseline'!$D$1:$O$258,11,FALSE))))</f>
        <v/>
      </c>
      <c r="M165" s="520" t="str">
        <f>IF(E165="","",IF(ISNA(VLOOKUP($E165,'A-1 Site Habitat Baseline'!$D$1:$O$258,12,FALSE)),"",(VLOOKUP($E165,'A-1 Site Habitat Baseline'!$D$1:$O$258,12,FALSE))))</f>
        <v/>
      </c>
      <c r="N165" s="532" t="str">
        <f>IF(E165="","",IF(ISNA(VLOOKUP($E165,'A-1 Site Habitat Baseline'!$D$1:$X$258,14,FALSE)),"",(VLOOKUP($E165,'A-1 Site Habitat Baseline'!$D$1:$X$258,14,FALSE))))</f>
        <v/>
      </c>
      <c r="O165" s="524" t="str">
        <f>IF(E165="","",IF(ISNA(VLOOKUP($E165,'A-1 Site Habitat Baseline'!$D$1:$X$258,16,FALSE)),"",(VLOOKUP($E165,'A-1 Site Habitat Baseline'!$D$1:$X$258,13,FALSE))))</f>
        <v/>
      </c>
      <c r="P165" s="237" t="str">
        <f>IFERROR(INDEX('G-1 All Habitats'!$AG$3:$AG$15,MATCH(Q165,'G-1 All Habitats'!$AF$3:$AF$15,0)),"")</f>
        <v/>
      </c>
      <c r="Q165" s="238" t="str">
        <f t="shared" si="26"/>
        <v/>
      </c>
      <c r="R165" s="238" t="str">
        <f t="shared" si="27"/>
        <v/>
      </c>
      <c r="S165" s="392" t="str">
        <f>IFERROR(INDEX('G-1 All Habitats'!$B$3:$B$129,MATCH(R165,'G-1 All Habitats'!$A$3:$A$129,0)),"")</f>
        <v/>
      </c>
      <c r="T165" s="498" t="str">
        <f t="shared" si="28"/>
        <v/>
      </c>
      <c r="U165" s="499" t="str">
        <f t="shared" si="29"/>
        <v/>
      </c>
      <c r="V165" s="537" t="str">
        <f t="shared" si="23"/>
        <v/>
      </c>
      <c r="W165" s="520" t="str">
        <f>IF(S165="","",VLOOKUP(S165,'G-1 All Habitats'!$B$2:$M$129,10,FALSE))</f>
        <v/>
      </c>
      <c r="X165" s="520" t="str">
        <f>IFERROR(VLOOKUP(W165,'G-1 All Habitats'!$V$3:$W$7,2,FALSE),"")</f>
        <v/>
      </c>
      <c r="Y165" s="79"/>
      <c r="Z165" s="524" t="str">
        <f>IFERROR(INDEX('G-8 Condition Look up'!$A$3:$H$130,MATCH(S165,'G-8 Condition Look up'!$A$3:$A$130,0),MATCH(Y165,'G-8 Condition Look up'!$A$3:$H$3,0)),"")</f>
        <v/>
      </c>
      <c r="AA165" s="71"/>
      <c r="AB165" s="520" t="str">
        <f>IF(AA165="","",IF(VLOOKUP(AA165,'G-3 Multipliers'!$L$3:$N$6,2,FALSE)=0,"Spatial Data Missing ⚠",VLOOKUP(AA165,'G-3 Multipliers'!$L$3:$N$6,2,FALSE)))</f>
        <v/>
      </c>
      <c r="AC165" s="524" t="str">
        <f>IF(AA165="","",IF(VLOOKUP(AA165,'G-3 Multipliers'!$L$3:$N$6,3,FALSE)=0,"Spatial Data Missing ⚠",VLOOKUP(AA165,'G-3 Multipliers'!$L$3:$N$6,3,FALSE)))</f>
        <v/>
      </c>
      <c r="AD165" s="539" t="str">
        <f t="shared" si="24"/>
        <v/>
      </c>
      <c r="AE165" s="82"/>
      <c r="AF165" s="82"/>
      <c r="AG165" s="507" t="str">
        <f t="shared" si="30"/>
        <v/>
      </c>
      <c r="AH165" s="521" t="str">
        <f t="shared" si="31"/>
        <v/>
      </c>
      <c r="AI165" s="522" t="str">
        <f>IF(AH165="Check Data","Check Data",IFERROR(VLOOKUP(AH165,'G-4 Temporal multipliers'!$A$4:$C$36,3,FALSE),""))</f>
        <v/>
      </c>
      <c r="AJ165" s="498" t="str">
        <f>IF(S165="","",VLOOKUP(S165,'G-3 Multipliers'!$A$2:$E$129,4,FALSE))</f>
        <v/>
      </c>
      <c r="AK165" s="507" t="str">
        <f t="shared" si="32"/>
        <v/>
      </c>
      <c r="AL165" s="507" t="str">
        <f t="shared" si="33"/>
        <v/>
      </c>
      <c r="AM165" s="540" t="str">
        <f>IFERROR(IF(F165="","",IF(AH165="Check Data ⚠","Check Data ⚠",VLOOKUP(AL165, 'G-3 Multipliers'!$P$2:$Q$6,2,FALSE))),"")</f>
        <v/>
      </c>
      <c r="AN165" s="513" t="str">
        <f t="shared" si="25"/>
        <v/>
      </c>
      <c r="AO165" s="239"/>
      <c r="AP165" s="240"/>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1" t="str">
        <f>'A-1 Site Habitat Baseline'!AL165</f>
        <v/>
      </c>
      <c r="F166" s="520" t="str">
        <f>IF(E166="","",IF(ISNA(VLOOKUP($E166,'A-1 Site Habitat Baseline'!$D$1:$O$258,4,FALSE)),"",(VLOOKUP($E166,'A-1 Site Habitat Baseline'!$D$1:$O$258,4,FALSE))))</f>
        <v/>
      </c>
      <c r="G166" s="520" t="str">
        <f>IF(E166="","",IF(ISNA(VLOOKUP($E166,'A-1 Site Habitat Baseline'!$D$1:$O$258,5,FALSE)),"",(VLOOKUP($E166,'A-1 Site Habitat Baseline'!$D$1:$O$258,5,FALSE))))</f>
        <v/>
      </c>
      <c r="H166" s="520" t="str">
        <f>IF(E166="","",IF(ISNA(VLOOKUP($E166,'A-1 Site Habitat Baseline'!$D$1:$O$258,6,FALSE)),"",(VLOOKUP($E166,'A-1 Site Habitat Baseline'!$D$1:$O$258,6,FALSE))))</f>
        <v/>
      </c>
      <c r="I166" s="520" t="str">
        <f>IF(E166="","",IF(ISNA(VLOOKUP($E166,'A-1 Site Habitat Baseline'!$D$1:$O$258,7,FALSE)),"",(VLOOKUP($E166,'A-1 Site Habitat Baseline'!$D$1:$O$258,7,FALSE))))</f>
        <v/>
      </c>
      <c r="J166" s="520" t="str">
        <f>IF(E166="","",IF(ISNA(VLOOKUP($E166,'A-1 Site Habitat Baseline'!$D$1:$O$258,8,FALSE)),"",(VLOOKUP($E166,'A-1 Site Habitat Baseline'!$D$1:$O$258,8,FALSE))))</f>
        <v/>
      </c>
      <c r="K166" s="520" t="str">
        <f>IF(E166="","",IF(ISNA(VLOOKUP($E166,'A-1 Site Habitat Baseline'!$D$1:$O$258,9,FALSE)),"",(VLOOKUP($E166,'A-1 Site Habitat Baseline'!$D$1:$O$258,9,FALSE))))</f>
        <v/>
      </c>
      <c r="L166" s="520" t="str">
        <f>IF(E166="","",IF(ISNA(VLOOKUP($E166,'A-1 Site Habitat Baseline'!$D$1:$O$258,11,FALSE)),"",(VLOOKUP($E166,'A-1 Site Habitat Baseline'!$D$1:$O$258,11,FALSE))))</f>
        <v/>
      </c>
      <c r="M166" s="520" t="str">
        <f>IF(E166="","",IF(ISNA(VLOOKUP($E166,'A-1 Site Habitat Baseline'!$D$1:$O$258,12,FALSE)),"",(VLOOKUP($E166,'A-1 Site Habitat Baseline'!$D$1:$O$258,12,FALSE))))</f>
        <v/>
      </c>
      <c r="N166" s="532" t="str">
        <f>IF(E166="","",IF(ISNA(VLOOKUP($E166,'A-1 Site Habitat Baseline'!$D$1:$X$258,14,FALSE)),"",(VLOOKUP($E166,'A-1 Site Habitat Baseline'!$D$1:$X$258,14,FALSE))))</f>
        <v/>
      </c>
      <c r="O166" s="524" t="str">
        <f>IF(E166="","",IF(ISNA(VLOOKUP($E166,'A-1 Site Habitat Baseline'!$D$1:$X$258,16,FALSE)),"",(VLOOKUP($E166,'A-1 Site Habitat Baseline'!$D$1:$X$258,13,FALSE))))</f>
        <v/>
      </c>
      <c r="P166" s="237" t="str">
        <f>IFERROR(INDEX('G-1 All Habitats'!$AG$3:$AG$15,MATCH(Q166,'G-1 All Habitats'!$AF$3:$AF$15,0)),"")</f>
        <v/>
      </c>
      <c r="Q166" s="238" t="str">
        <f t="shared" si="26"/>
        <v/>
      </c>
      <c r="R166" s="238" t="str">
        <f t="shared" si="27"/>
        <v/>
      </c>
      <c r="S166" s="392" t="str">
        <f>IFERROR(INDEX('G-1 All Habitats'!$B$3:$B$129,MATCH(R166,'G-1 All Habitats'!$A$3:$A$129,0)),"")</f>
        <v/>
      </c>
      <c r="T166" s="498" t="str">
        <f t="shared" si="28"/>
        <v/>
      </c>
      <c r="U166" s="499" t="str">
        <f t="shared" si="29"/>
        <v/>
      </c>
      <c r="V166" s="537" t="str">
        <f t="shared" si="23"/>
        <v/>
      </c>
      <c r="W166" s="520" t="str">
        <f>IF(S166="","",VLOOKUP(S166,'G-1 All Habitats'!$B$2:$M$129,10,FALSE))</f>
        <v/>
      </c>
      <c r="X166" s="520" t="str">
        <f>IFERROR(VLOOKUP(W166,'G-1 All Habitats'!$V$3:$W$7,2,FALSE),"")</f>
        <v/>
      </c>
      <c r="Y166" s="79"/>
      <c r="Z166" s="524" t="str">
        <f>IFERROR(INDEX('G-8 Condition Look up'!$A$3:$H$130,MATCH(S166,'G-8 Condition Look up'!$A$3:$A$130,0),MATCH(Y166,'G-8 Condition Look up'!$A$3:$H$3,0)),"")</f>
        <v/>
      </c>
      <c r="AA166" s="71"/>
      <c r="AB166" s="520" t="str">
        <f>IF(AA166="","",IF(VLOOKUP(AA166,'G-3 Multipliers'!$L$3:$N$6,2,FALSE)=0,"Spatial Data Missing ⚠",VLOOKUP(AA166,'G-3 Multipliers'!$L$3:$N$6,2,FALSE)))</f>
        <v/>
      </c>
      <c r="AC166" s="524" t="str">
        <f>IF(AA166="","",IF(VLOOKUP(AA166,'G-3 Multipliers'!$L$3:$N$6,3,FALSE)=0,"Spatial Data Missing ⚠",VLOOKUP(AA166,'G-3 Multipliers'!$L$3:$N$6,3,FALSE)))</f>
        <v/>
      </c>
      <c r="AD166" s="539" t="str">
        <f t="shared" si="24"/>
        <v/>
      </c>
      <c r="AE166" s="82"/>
      <c r="AF166" s="82"/>
      <c r="AG166" s="507" t="str">
        <f t="shared" si="30"/>
        <v/>
      </c>
      <c r="AH166" s="521" t="str">
        <f t="shared" si="31"/>
        <v/>
      </c>
      <c r="AI166" s="522" t="str">
        <f>IF(AH166="Check Data","Check Data",IFERROR(VLOOKUP(AH166,'G-4 Temporal multipliers'!$A$4:$C$36,3,FALSE),""))</f>
        <v/>
      </c>
      <c r="AJ166" s="498" t="str">
        <f>IF(S166="","",VLOOKUP(S166,'G-3 Multipliers'!$A$2:$E$129,4,FALSE))</f>
        <v/>
      </c>
      <c r="AK166" s="507" t="str">
        <f t="shared" si="32"/>
        <v/>
      </c>
      <c r="AL166" s="507" t="str">
        <f t="shared" si="33"/>
        <v/>
      </c>
      <c r="AM166" s="540" t="str">
        <f>IFERROR(IF(F166="","",IF(AH166="Check Data ⚠","Check Data ⚠",VLOOKUP(AL166, 'G-3 Multipliers'!$P$2:$Q$6,2,FALSE))),"")</f>
        <v/>
      </c>
      <c r="AN166" s="513" t="str">
        <f t="shared" si="25"/>
        <v/>
      </c>
      <c r="AO166" s="239"/>
      <c r="AP166" s="240"/>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1" t="str">
        <f>'A-1 Site Habitat Baseline'!AL166</f>
        <v/>
      </c>
      <c r="F167" s="520" t="str">
        <f>IF(E167="","",IF(ISNA(VLOOKUP($E167,'A-1 Site Habitat Baseline'!$D$1:$O$258,4,FALSE)),"",(VLOOKUP($E167,'A-1 Site Habitat Baseline'!$D$1:$O$258,4,FALSE))))</f>
        <v/>
      </c>
      <c r="G167" s="520" t="str">
        <f>IF(E167="","",IF(ISNA(VLOOKUP($E167,'A-1 Site Habitat Baseline'!$D$1:$O$258,5,FALSE)),"",(VLOOKUP($E167,'A-1 Site Habitat Baseline'!$D$1:$O$258,5,FALSE))))</f>
        <v/>
      </c>
      <c r="H167" s="520" t="str">
        <f>IF(E167="","",IF(ISNA(VLOOKUP($E167,'A-1 Site Habitat Baseline'!$D$1:$O$258,6,FALSE)),"",(VLOOKUP($E167,'A-1 Site Habitat Baseline'!$D$1:$O$258,6,FALSE))))</f>
        <v/>
      </c>
      <c r="I167" s="520" t="str">
        <f>IF(E167="","",IF(ISNA(VLOOKUP($E167,'A-1 Site Habitat Baseline'!$D$1:$O$258,7,FALSE)),"",(VLOOKUP($E167,'A-1 Site Habitat Baseline'!$D$1:$O$258,7,FALSE))))</f>
        <v/>
      </c>
      <c r="J167" s="520" t="str">
        <f>IF(E167="","",IF(ISNA(VLOOKUP($E167,'A-1 Site Habitat Baseline'!$D$1:$O$258,8,FALSE)),"",(VLOOKUP($E167,'A-1 Site Habitat Baseline'!$D$1:$O$258,8,FALSE))))</f>
        <v/>
      </c>
      <c r="K167" s="520" t="str">
        <f>IF(E167="","",IF(ISNA(VLOOKUP($E167,'A-1 Site Habitat Baseline'!$D$1:$O$258,9,FALSE)),"",(VLOOKUP($E167,'A-1 Site Habitat Baseline'!$D$1:$O$258,9,FALSE))))</f>
        <v/>
      </c>
      <c r="L167" s="520" t="str">
        <f>IF(E167="","",IF(ISNA(VLOOKUP($E167,'A-1 Site Habitat Baseline'!$D$1:$O$258,11,FALSE)),"",(VLOOKUP($E167,'A-1 Site Habitat Baseline'!$D$1:$O$258,11,FALSE))))</f>
        <v/>
      </c>
      <c r="M167" s="520" t="str">
        <f>IF(E167="","",IF(ISNA(VLOOKUP($E167,'A-1 Site Habitat Baseline'!$D$1:$O$258,12,FALSE)),"",(VLOOKUP($E167,'A-1 Site Habitat Baseline'!$D$1:$O$258,12,FALSE))))</f>
        <v/>
      </c>
      <c r="N167" s="532" t="str">
        <f>IF(E167="","",IF(ISNA(VLOOKUP($E167,'A-1 Site Habitat Baseline'!$D$1:$X$258,14,FALSE)),"",(VLOOKUP($E167,'A-1 Site Habitat Baseline'!$D$1:$X$258,14,FALSE))))</f>
        <v/>
      </c>
      <c r="O167" s="524" t="str">
        <f>IF(E167="","",IF(ISNA(VLOOKUP($E167,'A-1 Site Habitat Baseline'!$D$1:$X$258,16,FALSE)),"",(VLOOKUP($E167,'A-1 Site Habitat Baseline'!$D$1:$X$258,13,FALSE))))</f>
        <v/>
      </c>
      <c r="P167" s="237" t="str">
        <f>IFERROR(INDEX('G-1 All Habitats'!$AG$3:$AG$15,MATCH(Q167,'G-1 All Habitats'!$AF$3:$AF$15,0)),"")</f>
        <v/>
      </c>
      <c r="Q167" s="238" t="str">
        <f t="shared" si="26"/>
        <v/>
      </c>
      <c r="R167" s="238" t="str">
        <f t="shared" si="27"/>
        <v/>
      </c>
      <c r="S167" s="392" t="str">
        <f>IFERROR(INDEX('G-1 All Habitats'!$B$3:$B$129,MATCH(R167,'G-1 All Habitats'!$A$3:$A$129,0)),"")</f>
        <v/>
      </c>
      <c r="T167" s="498" t="str">
        <f t="shared" si="28"/>
        <v/>
      </c>
      <c r="U167" s="499" t="str">
        <f t="shared" si="29"/>
        <v/>
      </c>
      <c r="V167" s="537" t="str">
        <f t="shared" si="23"/>
        <v/>
      </c>
      <c r="W167" s="520" t="str">
        <f>IF(S167="","",VLOOKUP(S167,'G-1 All Habitats'!$B$2:$M$129,10,FALSE))</f>
        <v/>
      </c>
      <c r="X167" s="520" t="str">
        <f>IFERROR(VLOOKUP(W167,'G-1 All Habitats'!$V$3:$W$7,2,FALSE),"")</f>
        <v/>
      </c>
      <c r="Y167" s="79"/>
      <c r="Z167" s="524" t="str">
        <f>IFERROR(INDEX('G-8 Condition Look up'!$A$3:$H$130,MATCH(S167,'G-8 Condition Look up'!$A$3:$A$130,0),MATCH(Y167,'G-8 Condition Look up'!$A$3:$H$3,0)),"")</f>
        <v/>
      </c>
      <c r="AA167" s="71"/>
      <c r="AB167" s="520" t="str">
        <f>IF(AA167="","",IF(VLOOKUP(AA167,'G-3 Multipliers'!$L$3:$N$6,2,FALSE)=0,"Spatial Data Missing ⚠",VLOOKUP(AA167,'G-3 Multipliers'!$L$3:$N$6,2,FALSE)))</f>
        <v/>
      </c>
      <c r="AC167" s="524" t="str">
        <f>IF(AA167="","",IF(VLOOKUP(AA167,'G-3 Multipliers'!$L$3:$N$6,3,FALSE)=0,"Spatial Data Missing ⚠",VLOOKUP(AA167,'G-3 Multipliers'!$L$3:$N$6,3,FALSE)))</f>
        <v/>
      </c>
      <c r="AD167" s="539" t="str">
        <f t="shared" si="24"/>
        <v/>
      </c>
      <c r="AE167" s="82"/>
      <c r="AF167" s="82"/>
      <c r="AG167" s="507" t="str">
        <f t="shared" si="30"/>
        <v/>
      </c>
      <c r="AH167" s="521" t="str">
        <f t="shared" si="31"/>
        <v/>
      </c>
      <c r="AI167" s="522" t="str">
        <f>IF(AH167="Check Data","Check Data",IFERROR(VLOOKUP(AH167,'G-4 Temporal multipliers'!$A$4:$C$36,3,FALSE),""))</f>
        <v/>
      </c>
      <c r="AJ167" s="498" t="str">
        <f>IF(S167="","",VLOOKUP(S167,'G-3 Multipliers'!$A$2:$E$129,4,FALSE))</f>
        <v/>
      </c>
      <c r="AK167" s="507" t="str">
        <f t="shared" si="32"/>
        <v/>
      </c>
      <c r="AL167" s="507" t="str">
        <f t="shared" si="33"/>
        <v/>
      </c>
      <c r="AM167" s="540" t="str">
        <f>IFERROR(IF(F167="","",IF(AH167="Check Data ⚠","Check Data ⚠",VLOOKUP(AL167, 'G-3 Multipliers'!$P$2:$Q$6,2,FALSE))),"")</f>
        <v/>
      </c>
      <c r="AN167" s="513" t="str">
        <f t="shared" si="25"/>
        <v/>
      </c>
      <c r="AO167" s="239"/>
      <c r="AP167" s="240"/>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1" t="str">
        <f>'A-1 Site Habitat Baseline'!AL167</f>
        <v/>
      </c>
      <c r="F168" s="520" t="str">
        <f>IF(E168="","",IF(ISNA(VLOOKUP($E168,'A-1 Site Habitat Baseline'!$D$1:$O$258,4,FALSE)),"",(VLOOKUP($E168,'A-1 Site Habitat Baseline'!$D$1:$O$258,4,FALSE))))</f>
        <v/>
      </c>
      <c r="G168" s="520" t="str">
        <f>IF(E168="","",IF(ISNA(VLOOKUP($E168,'A-1 Site Habitat Baseline'!$D$1:$O$258,5,FALSE)),"",(VLOOKUP($E168,'A-1 Site Habitat Baseline'!$D$1:$O$258,5,FALSE))))</f>
        <v/>
      </c>
      <c r="H168" s="520" t="str">
        <f>IF(E168="","",IF(ISNA(VLOOKUP($E168,'A-1 Site Habitat Baseline'!$D$1:$O$258,6,FALSE)),"",(VLOOKUP($E168,'A-1 Site Habitat Baseline'!$D$1:$O$258,6,FALSE))))</f>
        <v/>
      </c>
      <c r="I168" s="520" t="str">
        <f>IF(E168="","",IF(ISNA(VLOOKUP($E168,'A-1 Site Habitat Baseline'!$D$1:$O$258,7,FALSE)),"",(VLOOKUP($E168,'A-1 Site Habitat Baseline'!$D$1:$O$258,7,FALSE))))</f>
        <v/>
      </c>
      <c r="J168" s="520" t="str">
        <f>IF(E168="","",IF(ISNA(VLOOKUP($E168,'A-1 Site Habitat Baseline'!$D$1:$O$258,8,FALSE)),"",(VLOOKUP($E168,'A-1 Site Habitat Baseline'!$D$1:$O$258,8,FALSE))))</f>
        <v/>
      </c>
      <c r="K168" s="520" t="str">
        <f>IF(E168="","",IF(ISNA(VLOOKUP($E168,'A-1 Site Habitat Baseline'!$D$1:$O$258,9,FALSE)),"",(VLOOKUP($E168,'A-1 Site Habitat Baseline'!$D$1:$O$258,9,FALSE))))</f>
        <v/>
      </c>
      <c r="L168" s="520" t="str">
        <f>IF(E168="","",IF(ISNA(VLOOKUP($E168,'A-1 Site Habitat Baseline'!$D$1:$O$258,11,FALSE)),"",(VLOOKUP($E168,'A-1 Site Habitat Baseline'!$D$1:$O$258,11,FALSE))))</f>
        <v/>
      </c>
      <c r="M168" s="520" t="str">
        <f>IF(E168="","",IF(ISNA(VLOOKUP($E168,'A-1 Site Habitat Baseline'!$D$1:$O$258,12,FALSE)),"",(VLOOKUP($E168,'A-1 Site Habitat Baseline'!$D$1:$O$258,12,FALSE))))</f>
        <v/>
      </c>
      <c r="N168" s="532" t="str">
        <f>IF(E168="","",IF(ISNA(VLOOKUP($E168,'A-1 Site Habitat Baseline'!$D$1:$X$258,14,FALSE)),"",(VLOOKUP($E168,'A-1 Site Habitat Baseline'!$D$1:$X$258,14,FALSE))))</f>
        <v/>
      </c>
      <c r="O168" s="524" t="str">
        <f>IF(E168="","",IF(ISNA(VLOOKUP($E168,'A-1 Site Habitat Baseline'!$D$1:$X$258,16,FALSE)),"",(VLOOKUP($E168,'A-1 Site Habitat Baseline'!$D$1:$X$258,13,FALSE))))</f>
        <v/>
      </c>
      <c r="P168" s="237" t="str">
        <f>IFERROR(INDEX('G-1 All Habitats'!$AG$3:$AG$15,MATCH(Q168,'G-1 All Habitats'!$AF$3:$AF$15,0)),"")</f>
        <v/>
      </c>
      <c r="Q168" s="238" t="str">
        <f t="shared" si="26"/>
        <v/>
      </c>
      <c r="R168" s="238" t="str">
        <f t="shared" si="27"/>
        <v/>
      </c>
      <c r="S168" s="392" t="str">
        <f>IFERROR(INDEX('G-1 All Habitats'!$B$3:$B$129,MATCH(R168,'G-1 All Habitats'!$A$3:$A$129,0)),"")</f>
        <v/>
      </c>
      <c r="T168" s="498" t="str">
        <f t="shared" si="28"/>
        <v/>
      </c>
      <c r="U168" s="499" t="str">
        <f t="shared" si="29"/>
        <v/>
      </c>
      <c r="V168" s="537" t="str">
        <f t="shared" si="23"/>
        <v/>
      </c>
      <c r="W168" s="520" t="str">
        <f>IF(S168="","",VLOOKUP(S168,'G-1 All Habitats'!$B$2:$M$129,10,FALSE))</f>
        <v/>
      </c>
      <c r="X168" s="520" t="str">
        <f>IFERROR(VLOOKUP(W168,'G-1 All Habitats'!$V$3:$W$7,2,FALSE),"")</f>
        <v/>
      </c>
      <c r="Y168" s="79"/>
      <c r="Z168" s="524" t="str">
        <f>IFERROR(INDEX('G-8 Condition Look up'!$A$3:$H$130,MATCH(S168,'G-8 Condition Look up'!$A$3:$A$130,0),MATCH(Y168,'G-8 Condition Look up'!$A$3:$H$3,0)),"")</f>
        <v/>
      </c>
      <c r="AA168" s="71"/>
      <c r="AB168" s="520" t="str">
        <f>IF(AA168="","",IF(VLOOKUP(AA168,'G-3 Multipliers'!$L$3:$N$6,2,FALSE)=0,"Spatial Data Missing ⚠",VLOOKUP(AA168,'G-3 Multipliers'!$L$3:$N$6,2,FALSE)))</f>
        <v/>
      </c>
      <c r="AC168" s="524" t="str">
        <f>IF(AA168="","",IF(VLOOKUP(AA168,'G-3 Multipliers'!$L$3:$N$6,3,FALSE)=0,"Spatial Data Missing ⚠",VLOOKUP(AA168,'G-3 Multipliers'!$L$3:$N$6,3,FALSE)))</f>
        <v/>
      </c>
      <c r="AD168" s="539" t="str">
        <f t="shared" si="24"/>
        <v/>
      </c>
      <c r="AE168" s="82"/>
      <c r="AF168" s="82"/>
      <c r="AG168" s="507" t="str">
        <f t="shared" si="30"/>
        <v/>
      </c>
      <c r="AH168" s="521" t="str">
        <f t="shared" si="31"/>
        <v/>
      </c>
      <c r="AI168" s="522" t="str">
        <f>IF(AH168="Check Data","Check Data",IFERROR(VLOOKUP(AH168,'G-4 Temporal multipliers'!$A$4:$C$36,3,FALSE),""))</f>
        <v/>
      </c>
      <c r="AJ168" s="498" t="str">
        <f>IF(S168="","",VLOOKUP(S168,'G-3 Multipliers'!$A$2:$E$129,4,FALSE))</f>
        <v/>
      </c>
      <c r="AK168" s="507" t="str">
        <f t="shared" si="32"/>
        <v/>
      </c>
      <c r="AL168" s="507" t="str">
        <f t="shared" si="33"/>
        <v/>
      </c>
      <c r="AM168" s="540" t="str">
        <f>IFERROR(IF(F168="","",IF(AH168="Check Data ⚠","Check Data ⚠",VLOOKUP(AL168, 'G-3 Multipliers'!$P$2:$Q$6,2,FALSE))),"")</f>
        <v/>
      </c>
      <c r="AN168" s="513" t="str">
        <f t="shared" si="25"/>
        <v/>
      </c>
      <c r="AO168" s="239"/>
      <c r="AP168" s="240"/>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1" t="str">
        <f>'A-1 Site Habitat Baseline'!AL168</f>
        <v/>
      </c>
      <c r="F169" s="520" t="str">
        <f>IF(E169="","",IF(ISNA(VLOOKUP($E169,'A-1 Site Habitat Baseline'!$D$1:$O$258,4,FALSE)),"",(VLOOKUP($E169,'A-1 Site Habitat Baseline'!$D$1:$O$258,4,FALSE))))</f>
        <v/>
      </c>
      <c r="G169" s="520" t="str">
        <f>IF(E169="","",IF(ISNA(VLOOKUP($E169,'A-1 Site Habitat Baseline'!$D$1:$O$258,5,FALSE)),"",(VLOOKUP($E169,'A-1 Site Habitat Baseline'!$D$1:$O$258,5,FALSE))))</f>
        <v/>
      </c>
      <c r="H169" s="520" t="str">
        <f>IF(E169="","",IF(ISNA(VLOOKUP($E169,'A-1 Site Habitat Baseline'!$D$1:$O$258,6,FALSE)),"",(VLOOKUP($E169,'A-1 Site Habitat Baseline'!$D$1:$O$258,6,FALSE))))</f>
        <v/>
      </c>
      <c r="I169" s="520" t="str">
        <f>IF(E169="","",IF(ISNA(VLOOKUP($E169,'A-1 Site Habitat Baseline'!$D$1:$O$258,7,FALSE)),"",(VLOOKUP($E169,'A-1 Site Habitat Baseline'!$D$1:$O$258,7,FALSE))))</f>
        <v/>
      </c>
      <c r="J169" s="520" t="str">
        <f>IF(E169="","",IF(ISNA(VLOOKUP($E169,'A-1 Site Habitat Baseline'!$D$1:$O$258,8,FALSE)),"",(VLOOKUP($E169,'A-1 Site Habitat Baseline'!$D$1:$O$258,8,FALSE))))</f>
        <v/>
      </c>
      <c r="K169" s="520" t="str">
        <f>IF(E169="","",IF(ISNA(VLOOKUP($E169,'A-1 Site Habitat Baseline'!$D$1:$O$258,9,FALSE)),"",(VLOOKUP($E169,'A-1 Site Habitat Baseline'!$D$1:$O$258,9,FALSE))))</f>
        <v/>
      </c>
      <c r="L169" s="520" t="str">
        <f>IF(E169="","",IF(ISNA(VLOOKUP($E169,'A-1 Site Habitat Baseline'!$D$1:$O$258,11,FALSE)),"",(VLOOKUP($E169,'A-1 Site Habitat Baseline'!$D$1:$O$258,11,FALSE))))</f>
        <v/>
      </c>
      <c r="M169" s="520" t="str">
        <f>IF(E169="","",IF(ISNA(VLOOKUP($E169,'A-1 Site Habitat Baseline'!$D$1:$O$258,12,FALSE)),"",(VLOOKUP($E169,'A-1 Site Habitat Baseline'!$D$1:$O$258,12,FALSE))))</f>
        <v/>
      </c>
      <c r="N169" s="532" t="str">
        <f>IF(E169="","",IF(ISNA(VLOOKUP($E169,'A-1 Site Habitat Baseline'!$D$1:$X$258,14,FALSE)),"",(VLOOKUP($E169,'A-1 Site Habitat Baseline'!$D$1:$X$258,14,FALSE))))</f>
        <v/>
      </c>
      <c r="O169" s="524" t="str">
        <f>IF(E169="","",IF(ISNA(VLOOKUP($E169,'A-1 Site Habitat Baseline'!$D$1:$X$258,16,FALSE)),"",(VLOOKUP($E169,'A-1 Site Habitat Baseline'!$D$1:$X$258,13,FALSE))))</f>
        <v/>
      </c>
      <c r="P169" s="237" t="str">
        <f>IFERROR(INDEX('G-1 All Habitats'!$AG$3:$AG$15,MATCH(Q169,'G-1 All Habitats'!$AF$3:$AF$15,0)),"")</f>
        <v/>
      </c>
      <c r="Q169" s="238" t="str">
        <f t="shared" si="26"/>
        <v/>
      </c>
      <c r="R169" s="238" t="str">
        <f t="shared" si="27"/>
        <v/>
      </c>
      <c r="S169" s="392" t="str">
        <f>IFERROR(INDEX('G-1 All Habitats'!$B$3:$B$129,MATCH(R169,'G-1 All Habitats'!$A$3:$A$129,0)),"")</f>
        <v/>
      </c>
      <c r="T169" s="498" t="str">
        <f t="shared" si="28"/>
        <v/>
      </c>
      <c r="U169" s="499" t="str">
        <f t="shared" si="29"/>
        <v/>
      </c>
      <c r="V169" s="537" t="str">
        <f t="shared" si="23"/>
        <v/>
      </c>
      <c r="W169" s="520" t="str">
        <f>IF(S169="","",VLOOKUP(S169,'G-1 All Habitats'!$B$2:$M$129,10,FALSE))</f>
        <v/>
      </c>
      <c r="X169" s="520" t="str">
        <f>IFERROR(VLOOKUP(W169,'G-1 All Habitats'!$V$3:$W$7,2,FALSE),"")</f>
        <v/>
      </c>
      <c r="Y169" s="79"/>
      <c r="Z169" s="524" t="str">
        <f>IFERROR(INDEX('G-8 Condition Look up'!$A$3:$H$130,MATCH(S169,'G-8 Condition Look up'!$A$3:$A$130,0),MATCH(Y169,'G-8 Condition Look up'!$A$3:$H$3,0)),"")</f>
        <v/>
      </c>
      <c r="AA169" s="71"/>
      <c r="AB169" s="520" t="str">
        <f>IF(AA169="","",IF(VLOOKUP(AA169,'G-3 Multipliers'!$L$3:$N$6,2,FALSE)=0,"Spatial Data Missing ⚠",VLOOKUP(AA169,'G-3 Multipliers'!$L$3:$N$6,2,FALSE)))</f>
        <v/>
      </c>
      <c r="AC169" s="524" t="str">
        <f>IF(AA169="","",IF(VLOOKUP(AA169,'G-3 Multipliers'!$L$3:$N$6,3,FALSE)=0,"Spatial Data Missing ⚠",VLOOKUP(AA169,'G-3 Multipliers'!$L$3:$N$6,3,FALSE)))</f>
        <v/>
      </c>
      <c r="AD169" s="539" t="str">
        <f t="shared" si="24"/>
        <v/>
      </c>
      <c r="AE169" s="82"/>
      <c r="AF169" s="82"/>
      <c r="AG169" s="507" t="str">
        <f t="shared" si="30"/>
        <v/>
      </c>
      <c r="AH169" s="521" t="str">
        <f t="shared" si="31"/>
        <v/>
      </c>
      <c r="AI169" s="522" t="str">
        <f>IF(AH169="Check Data","Check Data",IFERROR(VLOOKUP(AH169,'G-4 Temporal multipliers'!$A$4:$C$36,3,FALSE),""))</f>
        <v/>
      </c>
      <c r="AJ169" s="498" t="str">
        <f>IF(S169="","",VLOOKUP(S169,'G-3 Multipliers'!$A$2:$E$129,4,FALSE))</f>
        <v/>
      </c>
      <c r="AK169" s="507" t="str">
        <f t="shared" si="32"/>
        <v/>
      </c>
      <c r="AL169" s="507" t="str">
        <f t="shared" si="33"/>
        <v/>
      </c>
      <c r="AM169" s="540" t="str">
        <f>IFERROR(IF(F169="","",IF(AH169="Check Data ⚠","Check Data ⚠",VLOOKUP(AL169, 'G-3 Multipliers'!$P$2:$Q$6,2,FALSE))),"")</f>
        <v/>
      </c>
      <c r="AN169" s="513" t="str">
        <f t="shared" si="25"/>
        <v/>
      </c>
      <c r="AO169" s="239"/>
      <c r="AP169" s="240"/>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1" t="str">
        <f>'A-1 Site Habitat Baseline'!AL169</f>
        <v/>
      </c>
      <c r="F170" s="520" t="str">
        <f>IF(E170="","",IF(ISNA(VLOOKUP($E170,'A-1 Site Habitat Baseline'!$D$1:$O$258,4,FALSE)),"",(VLOOKUP($E170,'A-1 Site Habitat Baseline'!$D$1:$O$258,4,FALSE))))</f>
        <v/>
      </c>
      <c r="G170" s="520" t="str">
        <f>IF(E170="","",IF(ISNA(VLOOKUP($E170,'A-1 Site Habitat Baseline'!$D$1:$O$258,5,FALSE)),"",(VLOOKUP($E170,'A-1 Site Habitat Baseline'!$D$1:$O$258,5,FALSE))))</f>
        <v/>
      </c>
      <c r="H170" s="520" t="str">
        <f>IF(E170="","",IF(ISNA(VLOOKUP($E170,'A-1 Site Habitat Baseline'!$D$1:$O$258,6,FALSE)),"",(VLOOKUP($E170,'A-1 Site Habitat Baseline'!$D$1:$O$258,6,FALSE))))</f>
        <v/>
      </c>
      <c r="I170" s="520" t="str">
        <f>IF(E170="","",IF(ISNA(VLOOKUP($E170,'A-1 Site Habitat Baseline'!$D$1:$O$258,7,FALSE)),"",(VLOOKUP($E170,'A-1 Site Habitat Baseline'!$D$1:$O$258,7,FALSE))))</f>
        <v/>
      </c>
      <c r="J170" s="520" t="str">
        <f>IF(E170="","",IF(ISNA(VLOOKUP($E170,'A-1 Site Habitat Baseline'!$D$1:$O$258,8,FALSE)),"",(VLOOKUP($E170,'A-1 Site Habitat Baseline'!$D$1:$O$258,8,FALSE))))</f>
        <v/>
      </c>
      <c r="K170" s="520" t="str">
        <f>IF(E170="","",IF(ISNA(VLOOKUP($E170,'A-1 Site Habitat Baseline'!$D$1:$O$258,9,FALSE)),"",(VLOOKUP($E170,'A-1 Site Habitat Baseline'!$D$1:$O$258,9,FALSE))))</f>
        <v/>
      </c>
      <c r="L170" s="520" t="str">
        <f>IF(E170="","",IF(ISNA(VLOOKUP($E170,'A-1 Site Habitat Baseline'!$D$1:$O$258,11,FALSE)),"",(VLOOKUP($E170,'A-1 Site Habitat Baseline'!$D$1:$O$258,11,FALSE))))</f>
        <v/>
      </c>
      <c r="M170" s="520" t="str">
        <f>IF(E170="","",IF(ISNA(VLOOKUP($E170,'A-1 Site Habitat Baseline'!$D$1:$O$258,12,FALSE)),"",(VLOOKUP($E170,'A-1 Site Habitat Baseline'!$D$1:$O$258,12,FALSE))))</f>
        <v/>
      </c>
      <c r="N170" s="532" t="str">
        <f>IF(E170="","",IF(ISNA(VLOOKUP($E170,'A-1 Site Habitat Baseline'!$D$1:$X$258,14,FALSE)),"",(VLOOKUP($E170,'A-1 Site Habitat Baseline'!$D$1:$X$258,14,FALSE))))</f>
        <v/>
      </c>
      <c r="O170" s="524" t="str">
        <f>IF(E170="","",IF(ISNA(VLOOKUP($E170,'A-1 Site Habitat Baseline'!$D$1:$X$258,16,FALSE)),"",(VLOOKUP($E170,'A-1 Site Habitat Baseline'!$D$1:$X$258,13,FALSE))))</f>
        <v/>
      </c>
      <c r="P170" s="237" t="str">
        <f>IFERROR(INDEX('G-1 All Habitats'!$AG$3:$AG$15,MATCH(Q170,'G-1 All Habitats'!$AF$3:$AF$15,0)),"")</f>
        <v/>
      </c>
      <c r="Q170" s="238" t="str">
        <f t="shared" si="26"/>
        <v/>
      </c>
      <c r="R170" s="238" t="str">
        <f t="shared" si="27"/>
        <v/>
      </c>
      <c r="S170" s="392" t="str">
        <f>IFERROR(INDEX('G-1 All Habitats'!$B$3:$B$129,MATCH(R170,'G-1 All Habitats'!$A$3:$A$129,0)),"")</f>
        <v/>
      </c>
      <c r="T170" s="498" t="str">
        <f t="shared" si="28"/>
        <v/>
      </c>
      <c r="U170" s="499" t="str">
        <f t="shared" si="29"/>
        <v/>
      </c>
      <c r="V170" s="537" t="str">
        <f t="shared" si="23"/>
        <v/>
      </c>
      <c r="W170" s="520" t="str">
        <f>IF(S170="","",VLOOKUP(S170,'G-1 All Habitats'!$B$2:$M$129,10,FALSE))</f>
        <v/>
      </c>
      <c r="X170" s="520" t="str">
        <f>IFERROR(VLOOKUP(W170,'G-1 All Habitats'!$V$3:$W$7,2,FALSE),"")</f>
        <v/>
      </c>
      <c r="Y170" s="79"/>
      <c r="Z170" s="524" t="str">
        <f>IFERROR(INDEX('G-8 Condition Look up'!$A$3:$H$130,MATCH(S170,'G-8 Condition Look up'!$A$3:$A$130,0),MATCH(Y170,'G-8 Condition Look up'!$A$3:$H$3,0)),"")</f>
        <v/>
      </c>
      <c r="AA170" s="71"/>
      <c r="AB170" s="520" t="str">
        <f>IF(AA170="","",IF(VLOOKUP(AA170,'G-3 Multipliers'!$L$3:$N$6,2,FALSE)=0,"Spatial Data Missing ⚠",VLOOKUP(AA170,'G-3 Multipliers'!$L$3:$N$6,2,FALSE)))</f>
        <v/>
      </c>
      <c r="AC170" s="524" t="str">
        <f>IF(AA170="","",IF(VLOOKUP(AA170,'G-3 Multipliers'!$L$3:$N$6,3,FALSE)=0,"Spatial Data Missing ⚠",VLOOKUP(AA170,'G-3 Multipliers'!$L$3:$N$6,3,FALSE)))</f>
        <v/>
      </c>
      <c r="AD170" s="539" t="str">
        <f t="shared" si="24"/>
        <v/>
      </c>
      <c r="AE170" s="82"/>
      <c r="AF170" s="82"/>
      <c r="AG170" s="507" t="str">
        <f t="shared" si="30"/>
        <v/>
      </c>
      <c r="AH170" s="521" t="str">
        <f t="shared" si="31"/>
        <v/>
      </c>
      <c r="AI170" s="522" t="str">
        <f>IF(AH170="Check Data","Check Data",IFERROR(VLOOKUP(AH170,'G-4 Temporal multipliers'!$A$4:$C$36,3,FALSE),""))</f>
        <v/>
      </c>
      <c r="AJ170" s="498" t="str">
        <f>IF(S170="","",VLOOKUP(S170,'G-3 Multipliers'!$A$2:$E$129,4,FALSE))</f>
        <v/>
      </c>
      <c r="AK170" s="507" t="str">
        <f t="shared" si="32"/>
        <v/>
      </c>
      <c r="AL170" s="507" t="str">
        <f t="shared" si="33"/>
        <v/>
      </c>
      <c r="AM170" s="540" t="str">
        <f>IFERROR(IF(F170="","",IF(AH170="Check Data ⚠","Check Data ⚠",VLOOKUP(AL170, 'G-3 Multipliers'!$P$2:$Q$6,2,FALSE))),"")</f>
        <v/>
      </c>
      <c r="AN170" s="513" t="str">
        <f t="shared" si="25"/>
        <v/>
      </c>
      <c r="AO170" s="239"/>
      <c r="AP170" s="240"/>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1" t="str">
        <f>'A-1 Site Habitat Baseline'!AL170</f>
        <v/>
      </c>
      <c r="F171" s="520" t="str">
        <f>IF(E171="","",IF(ISNA(VLOOKUP($E171,'A-1 Site Habitat Baseline'!$D$1:$O$258,4,FALSE)),"",(VLOOKUP($E171,'A-1 Site Habitat Baseline'!$D$1:$O$258,4,FALSE))))</f>
        <v/>
      </c>
      <c r="G171" s="520" t="str">
        <f>IF(E171="","",IF(ISNA(VLOOKUP($E171,'A-1 Site Habitat Baseline'!$D$1:$O$258,5,FALSE)),"",(VLOOKUP($E171,'A-1 Site Habitat Baseline'!$D$1:$O$258,5,FALSE))))</f>
        <v/>
      </c>
      <c r="H171" s="520" t="str">
        <f>IF(E171="","",IF(ISNA(VLOOKUP($E171,'A-1 Site Habitat Baseline'!$D$1:$O$258,6,FALSE)),"",(VLOOKUP($E171,'A-1 Site Habitat Baseline'!$D$1:$O$258,6,FALSE))))</f>
        <v/>
      </c>
      <c r="I171" s="520" t="str">
        <f>IF(E171="","",IF(ISNA(VLOOKUP($E171,'A-1 Site Habitat Baseline'!$D$1:$O$258,7,FALSE)),"",(VLOOKUP($E171,'A-1 Site Habitat Baseline'!$D$1:$O$258,7,FALSE))))</f>
        <v/>
      </c>
      <c r="J171" s="520" t="str">
        <f>IF(E171="","",IF(ISNA(VLOOKUP($E171,'A-1 Site Habitat Baseline'!$D$1:$O$258,8,FALSE)),"",(VLOOKUP($E171,'A-1 Site Habitat Baseline'!$D$1:$O$258,8,FALSE))))</f>
        <v/>
      </c>
      <c r="K171" s="520" t="str">
        <f>IF(E171="","",IF(ISNA(VLOOKUP($E171,'A-1 Site Habitat Baseline'!$D$1:$O$258,9,FALSE)),"",(VLOOKUP($E171,'A-1 Site Habitat Baseline'!$D$1:$O$258,9,FALSE))))</f>
        <v/>
      </c>
      <c r="L171" s="520" t="str">
        <f>IF(E171="","",IF(ISNA(VLOOKUP($E171,'A-1 Site Habitat Baseline'!$D$1:$O$258,11,FALSE)),"",(VLOOKUP($E171,'A-1 Site Habitat Baseline'!$D$1:$O$258,11,FALSE))))</f>
        <v/>
      </c>
      <c r="M171" s="520" t="str">
        <f>IF(E171="","",IF(ISNA(VLOOKUP($E171,'A-1 Site Habitat Baseline'!$D$1:$O$258,12,FALSE)),"",(VLOOKUP($E171,'A-1 Site Habitat Baseline'!$D$1:$O$258,12,FALSE))))</f>
        <v/>
      </c>
      <c r="N171" s="532" t="str">
        <f>IF(E171="","",IF(ISNA(VLOOKUP($E171,'A-1 Site Habitat Baseline'!$D$1:$X$258,14,FALSE)),"",(VLOOKUP($E171,'A-1 Site Habitat Baseline'!$D$1:$X$258,14,FALSE))))</f>
        <v/>
      </c>
      <c r="O171" s="524" t="str">
        <f>IF(E171="","",IF(ISNA(VLOOKUP($E171,'A-1 Site Habitat Baseline'!$D$1:$X$258,16,FALSE)),"",(VLOOKUP($E171,'A-1 Site Habitat Baseline'!$D$1:$X$258,13,FALSE))))</f>
        <v/>
      </c>
      <c r="P171" s="237" t="str">
        <f>IFERROR(INDEX('G-1 All Habitats'!$AG$3:$AG$15,MATCH(Q171,'G-1 All Habitats'!$AF$3:$AF$15,0)),"")</f>
        <v/>
      </c>
      <c r="Q171" s="238" t="str">
        <f t="shared" si="26"/>
        <v/>
      </c>
      <c r="R171" s="238" t="str">
        <f t="shared" si="27"/>
        <v/>
      </c>
      <c r="S171" s="392" t="str">
        <f>IFERROR(INDEX('G-1 All Habitats'!$B$3:$B$129,MATCH(R171,'G-1 All Habitats'!$A$3:$A$129,0)),"")</f>
        <v/>
      </c>
      <c r="T171" s="498" t="str">
        <f t="shared" si="28"/>
        <v/>
      </c>
      <c r="U171" s="499" t="str">
        <f t="shared" si="29"/>
        <v/>
      </c>
      <c r="V171" s="537" t="str">
        <f t="shared" si="23"/>
        <v/>
      </c>
      <c r="W171" s="520" t="str">
        <f>IF(S171="","",VLOOKUP(S171,'G-1 All Habitats'!$B$2:$M$129,10,FALSE))</f>
        <v/>
      </c>
      <c r="X171" s="520" t="str">
        <f>IFERROR(VLOOKUP(W171,'G-1 All Habitats'!$V$3:$W$7,2,FALSE),"")</f>
        <v/>
      </c>
      <c r="Y171" s="79"/>
      <c r="Z171" s="524" t="str">
        <f>IFERROR(INDEX('G-8 Condition Look up'!$A$3:$H$130,MATCH(S171,'G-8 Condition Look up'!$A$3:$A$130,0),MATCH(Y171,'G-8 Condition Look up'!$A$3:$H$3,0)),"")</f>
        <v/>
      </c>
      <c r="AA171" s="71"/>
      <c r="AB171" s="520" t="str">
        <f>IF(AA171="","",IF(VLOOKUP(AA171,'G-3 Multipliers'!$L$3:$N$6,2,FALSE)=0,"Spatial Data Missing ⚠",VLOOKUP(AA171,'G-3 Multipliers'!$L$3:$N$6,2,FALSE)))</f>
        <v/>
      </c>
      <c r="AC171" s="524" t="str">
        <f>IF(AA171="","",IF(VLOOKUP(AA171,'G-3 Multipliers'!$L$3:$N$6,3,FALSE)=0,"Spatial Data Missing ⚠",VLOOKUP(AA171,'G-3 Multipliers'!$L$3:$N$6,3,FALSE)))</f>
        <v/>
      </c>
      <c r="AD171" s="539" t="str">
        <f t="shared" si="24"/>
        <v/>
      </c>
      <c r="AE171" s="82"/>
      <c r="AF171" s="82"/>
      <c r="AG171" s="507" t="str">
        <f t="shared" si="30"/>
        <v/>
      </c>
      <c r="AH171" s="521" t="str">
        <f t="shared" si="31"/>
        <v/>
      </c>
      <c r="AI171" s="522" t="str">
        <f>IF(AH171="Check Data","Check Data",IFERROR(VLOOKUP(AH171,'G-4 Temporal multipliers'!$A$4:$C$36,3,FALSE),""))</f>
        <v/>
      </c>
      <c r="AJ171" s="498" t="str">
        <f>IF(S171="","",VLOOKUP(S171,'G-3 Multipliers'!$A$2:$E$129,4,FALSE))</f>
        <v/>
      </c>
      <c r="AK171" s="507" t="str">
        <f t="shared" si="32"/>
        <v/>
      </c>
      <c r="AL171" s="507" t="str">
        <f t="shared" si="33"/>
        <v/>
      </c>
      <c r="AM171" s="540" t="str">
        <f>IFERROR(IF(F171="","",IF(AH171="Check Data ⚠","Check Data ⚠",VLOOKUP(AL171, 'G-3 Multipliers'!$P$2:$Q$6,2,FALSE))),"")</f>
        <v/>
      </c>
      <c r="AN171" s="513" t="str">
        <f t="shared" si="25"/>
        <v/>
      </c>
      <c r="AO171" s="239"/>
      <c r="AP171" s="240"/>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1" t="str">
        <f>'A-1 Site Habitat Baseline'!AL171</f>
        <v/>
      </c>
      <c r="F172" s="520" t="str">
        <f>IF(E172="","",IF(ISNA(VLOOKUP($E172,'A-1 Site Habitat Baseline'!$D$1:$O$258,4,FALSE)),"",(VLOOKUP($E172,'A-1 Site Habitat Baseline'!$D$1:$O$258,4,FALSE))))</f>
        <v/>
      </c>
      <c r="G172" s="520" t="str">
        <f>IF(E172="","",IF(ISNA(VLOOKUP($E172,'A-1 Site Habitat Baseline'!$D$1:$O$258,5,FALSE)),"",(VLOOKUP($E172,'A-1 Site Habitat Baseline'!$D$1:$O$258,5,FALSE))))</f>
        <v/>
      </c>
      <c r="H172" s="520" t="str">
        <f>IF(E172="","",IF(ISNA(VLOOKUP($E172,'A-1 Site Habitat Baseline'!$D$1:$O$258,6,FALSE)),"",(VLOOKUP($E172,'A-1 Site Habitat Baseline'!$D$1:$O$258,6,FALSE))))</f>
        <v/>
      </c>
      <c r="I172" s="520" t="str">
        <f>IF(E172="","",IF(ISNA(VLOOKUP($E172,'A-1 Site Habitat Baseline'!$D$1:$O$258,7,FALSE)),"",(VLOOKUP($E172,'A-1 Site Habitat Baseline'!$D$1:$O$258,7,FALSE))))</f>
        <v/>
      </c>
      <c r="J172" s="520" t="str">
        <f>IF(E172="","",IF(ISNA(VLOOKUP($E172,'A-1 Site Habitat Baseline'!$D$1:$O$258,8,FALSE)),"",(VLOOKUP($E172,'A-1 Site Habitat Baseline'!$D$1:$O$258,8,FALSE))))</f>
        <v/>
      </c>
      <c r="K172" s="520" t="str">
        <f>IF(E172="","",IF(ISNA(VLOOKUP($E172,'A-1 Site Habitat Baseline'!$D$1:$O$258,9,FALSE)),"",(VLOOKUP($E172,'A-1 Site Habitat Baseline'!$D$1:$O$258,9,FALSE))))</f>
        <v/>
      </c>
      <c r="L172" s="520" t="str">
        <f>IF(E172="","",IF(ISNA(VLOOKUP($E172,'A-1 Site Habitat Baseline'!$D$1:$O$258,11,FALSE)),"",(VLOOKUP($E172,'A-1 Site Habitat Baseline'!$D$1:$O$258,11,FALSE))))</f>
        <v/>
      </c>
      <c r="M172" s="520" t="str">
        <f>IF(E172="","",IF(ISNA(VLOOKUP($E172,'A-1 Site Habitat Baseline'!$D$1:$O$258,12,FALSE)),"",(VLOOKUP($E172,'A-1 Site Habitat Baseline'!$D$1:$O$258,12,FALSE))))</f>
        <v/>
      </c>
      <c r="N172" s="532" t="str">
        <f>IF(E172="","",IF(ISNA(VLOOKUP($E172,'A-1 Site Habitat Baseline'!$D$1:$X$258,14,FALSE)),"",(VLOOKUP($E172,'A-1 Site Habitat Baseline'!$D$1:$X$258,14,FALSE))))</f>
        <v/>
      </c>
      <c r="O172" s="524" t="str">
        <f>IF(E172="","",IF(ISNA(VLOOKUP($E172,'A-1 Site Habitat Baseline'!$D$1:$X$258,16,FALSE)),"",(VLOOKUP($E172,'A-1 Site Habitat Baseline'!$D$1:$X$258,13,FALSE))))</f>
        <v/>
      </c>
      <c r="P172" s="237" t="str">
        <f>IFERROR(INDEX('G-1 All Habitats'!$AG$3:$AG$15,MATCH(Q172,'G-1 All Habitats'!$AF$3:$AF$15,0)),"")</f>
        <v/>
      </c>
      <c r="Q172" s="238" t="str">
        <f t="shared" si="26"/>
        <v/>
      </c>
      <c r="R172" s="238" t="str">
        <f t="shared" si="27"/>
        <v/>
      </c>
      <c r="S172" s="392" t="str">
        <f>IFERROR(INDEX('G-1 All Habitats'!$B$3:$B$129,MATCH(R172,'G-1 All Habitats'!$A$3:$A$129,0)),"")</f>
        <v/>
      </c>
      <c r="T172" s="498" t="str">
        <f t="shared" si="28"/>
        <v/>
      </c>
      <c r="U172" s="499" t="str">
        <f t="shared" si="29"/>
        <v/>
      </c>
      <c r="V172" s="537" t="str">
        <f t="shared" si="23"/>
        <v/>
      </c>
      <c r="W172" s="520" t="str">
        <f>IF(S172="","",VLOOKUP(S172,'G-1 All Habitats'!$B$2:$M$129,10,FALSE))</f>
        <v/>
      </c>
      <c r="X172" s="520" t="str">
        <f>IFERROR(VLOOKUP(W172,'G-1 All Habitats'!$V$3:$W$7,2,FALSE),"")</f>
        <v/>
      </c>
      <c r="Y172" s="79"/>
      <c r="Z172" s="524" t="str">
        <f>IFERROR(INDEX('G-8 Condition Look up'!$A$3:$H$130,MATCH(S172,'G-8 Condition Look up'!$A$3:$A$130,0),MATCH(Y172,'G-8 Condition Look up'!$A$3:$H$3,0)),"")</f>
        <v/>
      </c>
      <c r="AA172" s="71"/>
      <c r="AB172" s="520" t="str">
        <f>IF(AA172="","",IF(VLOOKUP(AA172,'G-3 Multipliers'!$L$3:$N$6,2,FALSE)=0,"Spatial Data Missing ⚠",VLOOKUP(AA172,'G-3 Multipliers'!$L$3:$N$6,2,FALSE)))</f>
        <v/>
      </c>
      <c r="AC172" s="524" t="str">
        <f>IF(AA172="","",IF(VLOOKUP(AA172,'G-3 Multipliers'!$L$3:$N$6,3,FALSE)=0,"Spatial Data Missing ⚠",VLOOKUP(AA172,'G-3 Multipliers'!$L$3:$N$6,3,FALSE)))</f>
        <v/>
      </c>
      <c r="AD172" s="539" t="str">
        <f t="shared" si="24"/>
        <v/>
      </c>
      <c r="AE172" s="82"/>
      <c r="AF172" s="82"/>
      <c r="AG172" s="507" t="str">
        <f t="shared" si="30"/>
        <v/>
      </c>
      <c r="AH172" s="521" t="str">
        <f t="shared" si="31"/>
        <v/>
      </c>
      <c r="AI172" s="522" t="str">
        <f>IF(AH172="Check Data","Check Data",IFERROR(VLOOKUP(AH172,'G-4 Temporal multipliers'!$A$4:$C$36,3,FALSE),""))</f>
        <v/>
      </c>
      <c r="AJ172" s="498" t="str">
        <f>IF(S172="","",VLOOKUP(S172,'G-3 Multipliers'!$A$2:$E$129,4,FALSE))</f>
        <v/>
      </c>
      <c r="AK172" s="507" t="str">
        <f t="shared" si="32"/>
        <v/>
      </c>
      <c r="AL172" s="507" t="str">
        <f t="shared" si="33"/>
        <v/>
      </c>
      <c r="AM172" s="540" t="str">
        <f>IFERROR(IF(F172="","",IF(AH172="Check Data ⚠","Check Data ⚠",VLOOKUP(AL172, 'G-3 Multipliers'!$P$2:$Q$6,2,FALSE))),"")</f>
        <v/>
      </c>
      <c r="AN172" s="513" t="str">
        <f t="shared" si="25"/>
        <v/>
      </c>
      <c r="AO172" s="239"/>
      <c r="AP172" s="240"/>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1" t="str">
        <f>'A-1 Site Habitat Baseline'!AL172</f>
        <v/>
      </c>
      <c r="F173" s="520" t="str">
        <f>IF(E173="","",IF(ISNA(VLOOKUP($E173,'A-1 Site Habitat Baseline'!$D$1:$O$258,4,FALSE)),"",(VLOOKUP($E173,'A-1 Site Habitat Baseline'!$D$1:$O$258,4,FALSE))))</f>
        <v/>
      </c>
      <c r="G173" s="520" t="str">
        <f>IF(E173="","",IF(ISNA(VLOOKUP($E173,'A-1 Site Habitat Baseline'!$D$1:$O$258,5,FALSE)),"",(VLOOKUP($E173,'A-1 Site Habitat Baseline'!$D$1:$O$258,5,FALSE))))</f>
        <v/>
      </c>
      <c r="H173" s="520" t="str">
        <f>IF(E173="","",IF(ISNA(VLOOKUP($E173,'A-1 Site Habitat Baseline'!$D$1:$O$258,6,FALSE)),"",(VLOOKUP($E173,'A-1 Site Habitat Baseline'!$D$1:$O$258,6,FALSE))))</f>
        <v/>
      </c>
      <c r="I173" s="520" t="str">
        <f>IF(E173="","",IF(ISNA(VLOOKUP($E173,'A-1 Site Habitat Baseline'!$D$1:$O$258,7,FALSE)),"",(VLOOKUP($E173,'A-1 Site Habitat Baseline'!$D$1:$O$258,7,FALSE))))</f>
        <v/>
      </c>
      <c r="J173" s="520" t="str">
        <f>IF(E173="","",IF(ISNA(VLOOKUP($E173,'A-1 Site Habitat Baseline'!$D$1:$O$258,8,FALSE)),"",(VLOOKUP($E173,'A-1 Site Habitat Baseline'!$D$1:$O$258,8,FALSE))))</f>
        <v/>
      </c>
      <c r="K173" s="520" t="str">
        <f>IF(E173="","",IF(ISNA(VLOOKUP($E173,'A-1 Site Habitat Baseline'!$D$1:$O$258,9,FALSE)),"",(VLOOKUP($E173,'A-1 Site Habitat Baseline'!$D$1:$O$258,9,FALSE))))</f>
        <v/>
      </c>
      <c r="L173" s="520" t="str">
        <f>IF(E173="","",IF(ISNA(VLOOKUP($E173,'A-1 Site Habitat Baseline'!$D$1:$O$258,11,FALSE)),"",(VLOOKUP($E173,'A-1 Site Habitat Baseline'!$D$1:$O$258,11,FALSE))))</f>
        <v/>
      </c>
      <c r="M173" s="520" t="str">
        <f>IF(E173="","",IF(ISNA(VLOOKUP($E173,'A-1 Site Habitat Baseline'!$D$1:$O$258,12,FALSE)),"",(VLOOKUP($E173,'A-1 Site Habitat Baseline'!$D$1:$O$258,12,FALSE))))</f>
        <v/>
      </c>
      <c r="N173" s="532" t="str">
        <f>IF(E173="","",IF(ISNA(VLOOKUP($E173,'A-1 Site Habitat Baseline'!$D$1:$X$258,14,FALSE)),"",(VLOOKUP($E173,'A-1 Site Habitat Baseline'!$D$1:$X$258,14,FALSE))))</f>
        <v/>
      </c>
      <c r="O173" s="524" t="str">
        <f>IF(E173="","",IF(ISNA(VLOOKUP($E173,'A-1 Site Habitat Baseline'!$D$1:$X$258,16,FALSE)),"",(VLOOKUP($E173,'A-1 Site Habitat Baseline'!$D$1:$X$258,13,FALSE))))</f>
        <v/>
      </c>
      <c r="P173" s="237" t="str">
        <f>IFERROR(INDEX('G-1 All Habitats'!$AG$3:$AG$15,MATCH(Q173,'G-1 All Habitats'!$AF$3:$AF$15,0)),"")</f>
        <v/>
      </c>
      <c r="Q173" s="238" t="str">
        <f t="shared" si="26"/>
        <v/>
      </c>
      <c r="R173" s="238" t="str">
        <f t="shared" si="27"/>
        <v/>
      </c>
      <c r="S173" s="392" t="str">
        <f>IFERROR(INDEX('G-1 All Habitats'!$B$3:$B$129,MATCH(R173,'G-1 All Habitats'!$A$3:$A$129,0)),"")</f>
        <v/>
      </c>
      <c r="T173" s="498" t="str">
        <f t="shared" si="28"/>
        <v/>
      </c>
      <c r="U173" s="499" t="str">
        <f t="shared" si="29"/>
        <v/>
      </c>
      <c r="V173" s="537" t="str">
        <f t="shared" si="23"/>
        <v/>
      </c>
      <c r="W173" s="520" t="str">
        <f>IF(S173="","",VLOOKUP(S173,'G-1 All Habitats'!$B$2:$M$129,10,FALSE))</f>
        <v/>
      </c>
      <c r="X173" s="520" t="str">
        <f>IFERROR(VLOOKUP(W173,'G-1 All Habitats'!$V$3:$W$7,2,FALSE),"")</f>
        <v/>
      </c>
      <c r="Y173" s="79"/>
      <c r="Z173" s="524" t="str">
        <f>IFERROR(INDEX('G-8 Condition Look up'!$A$3:$H$130,MATCH(S173,'G-8 Condition Look up'!$A$3:$A$130,0),MATCH(Y173,'G-8 Condition Look up'!$A$3:$H$3,0)),"")</f>
        <v/>
      </c>
      <c r="AA173" s="71"/>
      <c r="AB173" s="520" t="str">
        <f>IF(AA173="","",IF(VLOOKUP(AA173,'G-3 Multipliers'!$L$3:$N$6,2,FALSE)=0,"Spatial Data Missing ⚠",VLOOKUP(AA173,'G-3 Multipliers'!$L$3:$N$6,2,FALSE)))</f>
        <v/>
      </c>
      <c r="AC173" s="524" t="str">
        <f>IF(AA173="","",IF(VLOOKUP(AA173,'G-3 Multipliers'!$L$3:$N$6,3,FALSE)=0,"Spatial Data Missing ⚠",VLOOKUP(AA173,'G-3 Multipliers'!$L$3:$N$6,3,FALSE)))</f>
        <v/>
      </c>
      <c r="AD173" s="539" t="str">
        <f t="shared" si="24"/>
        <v/>
      </c>
      <c r="AE173" s="82"/>
      <c r="AF173" s="82"/>
      <c r="AG173" s="507" t="str">
        <f t="shared" si="30"/>
        <v/>
      </c>
      <c r="AH173" s="521" t="str">
        <f t="shared" si="31"/>
        <v/>
      </c>
      <c r="AI173" s="522" t="str">
        <f>IF(AH173="Check Data","Check Data",IFERROR(VLOOKUP(AH173,'G-4 Temporal multipliers'!$A$4:$C$36,3,FALSE),""))</f>
        <v/>
      </c>
      <c r="AJ173" s="498" t="str">
        <f>IF(S173="","",VLOOKUP(S173,'G-3 Multipliers'!$A$2:$E$129,4,FALSE))</f>
        <v/>
      </c>
      <c r="AK173" s="507" t="str">
        <f t="shared" si="32"/>
        <v/>
      </c>
      <c r="AL173" s="507" t="str">
        <f t="shared" si="33"/>
        <v/>
      </c>
      <c r="AM173" s="540" t="str">
        <f>IFERROR(IF(F173="","",IF(AH173="Check Data ⚠","Check Data ⚠",VLOOKUP(AL173, 'G-3 Multipliers'!$P$2:$Q$6,2,FALSE))),"")</f>
        <v/>
      </c>
      <c r="AN173" s="513" t="str">
        <f t="shared" si="25"/>
        <v/>
      </c>
      <c r="AO173" s="239"/>
      <c r="AP173" s="240"/>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1" t="str">
        <f>'A-1 Site Habitat Baseline'!AL173</f>
        <v/>
      </c>
      <c r="F174" s="520" t="str">
        <f>IF(E174="","",IF(ISNA(VLOOKUP($E174,'A-1 Site Habitat Baseline'!$D$1:$O$258,4,FALSE)),"",(VLOOKUP($E174,'A-1 Site Habitat Baseline'!$D$1:$O$258,4,FALSE))))</f>
        <v/>
      </c>
      <c r="G174" s="520" t="str">
        <f>IF(E174="","",IF(ISNA(VLOOKUP($E174,'A-1 Site Habitat Baseline'!$D$1:$O$258,5,FALSE)),"",(VLOOKUP($E174,'A-1 Site Habitat Baseline'!$D$1:$O$258,5,FALSE))))</f>
        <v/>
      </c>
      <c r="H174" s="520" t="str">
        <f>IF(E174="","",IF(ISNA(VLOOKUP($E174,'A-1 Site Habitat Baseline'!$D$1:$O$258,6,FALSE)),"",(VLOOKUP($E174,'A-1 Site Habitat Baseline'!$D$1:$O$258,6,FALSE))))</f>
        <v/>
      </c>
      <c r="I174" s="520" t="str">
        <f>IF(E174="","",IF(ISNA(VLOOKUP($E174,'A-1 Site Habitat Baseline'!$D$1:$O$258,7,FALSE)),"",(VLOOKUP($E174,'A-1 Site Habitat Baseline'!$D$1:$O$258,7,FALSE))))</f>
        <v/>
      </c>
      <c r="J174" s="520" t="str">
        <f>IF(E174="","",IF(ISNA(VLOOKUP($E174,'A-1 Site Habitat Baseline'!$D$1:$O$258,8,FALSE)),"",(VLOOKUP($E174,'A-1 Site Habitat Baseline'!$D$1:$O$258,8,FALSE))))</f>
        <v/>
      </c>
      <c r="K174" s="520" t="str">
        <f>IF(E174="","",IF(ISNA(VLOOKUP($E174,'A-1 Site Habitat Baseline'!$D$1:$O$258,9,FALSE)),"",(VLOOKUP($E174,'A-1 Site Habitat Baseline'!$D$1:$O$258,9,FALSE))))</f>
        <v/>
      </c>
      <c r="L174" s="520" t="str">
        <f>IF(E174="","",IF(ISNA(VLOOKUP($E174,'A-1 Site Habitat Baseline'!$D$1:$O$258,11,FALSE)),"",(VLOOKUP($E174,'A-1 Site Habitat Baseline'!$D$1:$O$258,11,FALSE))))</f>
        <v/>
      </c>
      <c r="M174" s="520" t="str">
        <f>IF(E174="","",IF(ISNA(VLOOKUP($E174,'A-1 Site Habitat Baseline'!$D$1:$O$258,12,FALSE)),"",(VLOOKUP($E174,'A-1 Site Habitat Baseline'!$D$1:$O$258,12,FALSE))))</f>
        <v/>
      </c>
      <c r="N174" s="532" t="str">
        <f>IF(E174="","",IF(ISNA(VLOOKUP($E174,'A-1 Site Habitat Baseline'!$D$1:$X$258,14,FALSE)),"",(VLOOKUP($E174,'A-1 Site Habitat Baseline'!$D$1:$X$258,14,FALSE))))</f>
        <v/>
      </c>
      <c r="O174" s="524" t="str">
        <f>IF(E174="","",IF(ISNA(VLOOKUP($E174,'A-1 Site Habitat Baseline'!$D$1:$X$258,16,FALSE)),"",(VLOOKUP($E174,'A-1 Site Habitat Baseline'!$D$1:$X$258,13,FALSE))))</f>
        <v/>
      </c>
      <c r="P174" s="237" t="str">
        <f>IFERROR(INDEX('G-1 All Habitats'!$AG$3:$AG$15,MATCH(Q174,'G-1 All Habitats'!$AF$3:$AF$15,0)),"")</f>
        <v/>
      </c>
      <c r="Q174" s="238" t="str">
        <f t="shared" si="26"/>
        <v/>
      </c>
      <c r="R174" s="238" t="str">
        <f t="shared" si="27"/>
        <v/>
      </c>
      <c r="S174" s="392" t="str">
        <f>IFERROR(INDEX('G-1 All Habitats'!$B$3:$B$129,MATCH(R174,'G-1 All Habitats'!$A$3:$A$129,0)),"")</f>
        <v/>
      </c>
      <c r="T174" s="498" t="str">
        <f t="shared" si="28"/>
        <v/>
      </c>
      <c r="U174" s="499" t="str">
        <f t="shared" si="29"/>
        <v/>
      </c>
      <c r="V174" s="537" t="str">
        <f t="shared" si="23"/>
        <v/>
      </c>
      <c r="W174" s="520" t="str">
        <f>IF(S174="","",VLOOKUP(S174,'G-1 All Habitats'!$B$2:$M$129,10,FALSE))</f>
        <v/>
      </c>
      <c r="X174" s="520" t="str">
        <f>IFERROR(VLOOKUP(W174,'G-1 All Habitats'!$V$3:$W$7,2,FALSE),"")</f>
        <v/>
      </c>
      <c r="Y174" s="79"/>
      <c r="Z174" s="524" t="str">
        <f>IFERROR(INDEX('G-8 Condition Look up'!$A$3:$H$130,MATCH(S174,'G-8 Condition Look up'!$A$3:$A$130,0),MATCH(Y174,'G-8 Condition Look up'!$A$3:$H$3,0)),"")</f>
        <v/>
      </c>
      <c r="AA174" s="71"/>
      <c r="AB174" s="520" t="str">
        <f>IF(AA174="","",IF(VLOOKUP(AA174,'G-3 Multipliers'!$L$3:$N$6,2,FALSE)=0,"Spatial Data Missing ⚠",VLOOKUP(AA174,'G-3 Multipliers'!$L$3:$N$6,2,FALSE)))</f>
        <v/>
      </c>
      <c r="AC174" s="524" t="str">
        <f>IF(AA174="","",IF(VLOOKUP(AA174,'G-3 Multipliers'!$L$3:$N$6,3,FALSE)=0,"Spatial Data Missing ⚠",VLOOKUP(AA174,'G-3 Multipliers'!$L$3:$N$6,3,FALSE)))</f>
        <v/>
      </c>
      <c r="AD174" s="539" t="str">
        <f t="shared" si="24"/>
        <v/>
      </c>
      <c r="AE174" s="82"/>
      <c r="AF174" s="82"/>
      <c r="AG174" s="507" t="str">
        <f t="shared" si="30"/>
        <v/>
      </c>
      <c r="AH174" s="521" t="str">
        <f t="shared" si="31"/>
        <v/>
      </c>
      <c r="AI174" s="522" t="str">
        <f>IF(AH174="Check Data","Check Data",IFERROR(VLOOKUP(AH174,'G-4 Temporal multipliers'!$A$4:$C$36,3,FALSE),""))</f>
        <v/>
      </c>
      <c r="AJ174" s="498" t="str">
        <f>IF(S174="","",VLOOKUP(S174,'G-3 Multipliers'!$A$2:$E$129,4,FALSE))</f>
        <v/>
      </c>
      <c r="AK174" s="507" t="str">
        <f t="shared" si="32"/>
        <v/>
      </c>
      <c r="AL174" s="507" t="str">
        <f t="shared" si="33"/>
        <v/>
      </c>
      <c r="AM174" s="540" t="str">
        <f>IFERROR(IF(F174="","",IF(AH174="Check Data ⚠","Check Data ⚠",VLOOKUP(AL174, 'G-3 Multipliers'!$P$2:$Q$6,2,FALSE))),"")</f>
        <v/>
      </c>
      <c r="AN174" s="513" t="str">
        <f t="shared" si="25"/>
        <v/>
      </c>
      <c r="AO174" s="239"/>
      <c r="AP174" s="240"/>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1" t="str">
        <f>'A-1 Site Habitat Baseline'!AL174</f>
        <v/>
      </c>
      <c r="F175" s="520" t="str">
        <f>IF(E175="","",IF(ISNA(VLOOKUP($E175,'A-1 Site Habitat Baseline'!$D$1:$O$258,4,FALSE)),"",(VLOOKUP($E175,'A-1 Site Habitat Baseline'!$D$1:$O$258,4,FALSE))))</f>
        <v/>
      </c>
      <c r="G175" s="520" t="str">
        <f>IF(E175="","",IF(ISNA(VLOOKUP($E175,'A-1 Site Habitat Baseline'!$D$1:$O$258,5,FALSE)),"",(VLOOKUP($E175,'A-1 Site Habitat Baseline'!$D$1:$O$258,5,FALSE))))</f>
        <v/>
      </c>
      <c r="H175" s="520" t="str">
        <f>IF(E175="","",IF(ISNA(VLOOKUP($E175,'A-1 Site Habitat Baseline'!$D$1:$O$258,6,FALSE)),"",(VLOOKUP($E175,'A-1 Site Habitat Baseline'!$D$1:$O$258,6,FALSE))))</f>
        <v/>
      </c>
      <c r="I175" s="520" t="str">
        <f>IF(E175="","",IF(ISNA(VLOOKUP($E175,'A-1 Site Habitat Baseline'!$D$1:$O$258,7,FALSE)),"",(VLOOKUP($E175,'A-1 Site Habitat Baseline'!$D$1:$O$258,7,FALSE))))</f>
        <v/>
      </c>
      <c r="J175" s="520" t="str">
        <f>IF(E175="","",IF(ISNA(VLOOKUP($E175,'A-1 Site Habitat Baseline'!$D$1:$O$258,8,FALSE)),"",(VLOOKUP($E175,'A-1 Site Habitat Baseline'!$D$1:$O$258,8,FALSE))))</f>
        <v/>
      </c>
      <c r="K175" s="520" t="str">
        <f>IF(E175="","",IF(ISNA(VLOOKUP($E175,'A-1 Site Habitat Baseline'!$D$1:$O$258,9,FALSE)),"",(VLOOKUP($E175,'A-1 Site Habitat Baseline'!$D$1:$O$258,9,FALSE))))</f>
        <v/>
      </c>
      <c r="L175" s="520" t="str">
        <f>IF(E175="","",IF(ISNA(VLOOKUP($E175,'A-1 Site Habitat Baseline'!$D$1:$O$258,11,FALSE)),"",(VLOOKUP($E175,'A-1 Site Habitat Baseline'!$D$1:$O$258,11,FALSE))))</f>
        <v/>
      </c>
      <c r="M175" s="520" t="str">
        <f>IF(E175="","",IF(ISNA(VLOOKUP($E175,'A-1 Site Habitat Baseline'!$D$1:$O$258,12,FALSE)),"",(VLOOKUP($E175,'A-1 Site Habitat Baseline'!$D$1:$O$258,12,FALSE))))</f>
        <v/>
      </c>
      <c r="N175" s="532" t="str">
        <f>IF(E175="","",IF(ISNA(VLOOKUP($E175,'A-1 Site Habitat Baseline'!$D$1:$X$258,14,FALSE)),"",(VLOOKUP($E175,'A-1 Site Habitat Baseline'!$D$1:$X$258,14,FALSE))))</f>
        <v/>
      </c>
      <c r="O175" s="524" t="str">
        <f>IF(E175="","",IF(ISNA(VLOOKUP($E175,'A-1 Site Habitat Baseline'!$D$1:$X$258,16,FALSE)),"",(VLOOKUP($E175,'A-1 Site Habitat Baseline'!$D$1:$X$258,13,FALSE))))</f>
        <v/>
      </c>
      <c r="P175" s="237" t="str">
        <f>IFERROR(INDEX('G-1 All Habitats'!$AG$3:$AG$15,MATCH(Q175,'G-1 All Habitats'!$AF$3:$AF$15,0)),"")</f>
        <v/>
      </c>
      <c r="Q175" s="238" t="str">
        <f t="shared" si="26"/>
        <v/>
      </c>
      <c r="R175" s="238" t="str">
        <f t="shared" si="27"/>
        <v/>
      </c>
      <c r="S175" s="392" t="str">
        <f>IFERROR(INDEX('G-1 All Habitats'!$B$3:$B$129,MATCH(R175,'G-1 All Habitats'!$A$3:$A$129,0)),"")</f>
        <v/>
      </c>
      <c r="T175" s="498" t="str">
        <f t="shared" si="28"/>
        <v/>
      </c>
      <c r="U175" s="499" t="str">
        <f t="shared" si="29"/>
        <v/>
      </c>
      <c r="V175" s="537" t="str">
        <f t="shared" si="23"/>
        <v/>
      </c>
      <c r="W175" s="520" t="str">
        <f>IF(S175="","",VLOOKUP(S175,'G-1 All Habitats'!$B$2:$M$129,10,FALSE))</f>
        <v/>
      </c>
      <c r="X175" s="520" t="str">
        <f>IFERROR(VLOOKUP(W175,'G-1 All Habitats'!$V$3:$W$7,2,FALSE),"")</f>
        <v/>
      </c>
      <c r="Y175" s="79"/>
      <c r="Z175" s="524" t="str">
        <f>IFERROR(INDEX('G-8 Condition Look up'!$A$3:$H$130,MATCH(S175,'G-8 Condition Look up'!$A$3:$A$130,0),MATCH(Y175,'G-8 Condition Look up'!$A$3:$H$3,0)),"")</f>
        <v/>
      </c>
      <c r="AA175" s="71"/>
      <c r="AB175" s="520" t="str">
        <f>IF(AA175="","",IF(VLOOKUP(AA175,'G-3 Multipliers'!$L$3:$N$6,2,FALSE)=0,"Spatial Data Missing ⚠",VLOOKUP(AA175,'G-3 Multipliers'!$L$3:$N$6,2,FALSE)))</f>
        <v/>
      </c>
      <c r="AC175" s="524" t="str">
        <f>IF(AA175="","",IF(VLOOKUP(AA175,'G-3 Multipliers'!$L$3:$N$6,3,FALSE)=0,"Spatial Data Missing ⚠",VLOOKUP(AA175,'G-3 Multipliers'!$L$3:$N$6,3,FALSE)))</f>
        <v/>
      </c>
      <c r="AD175" s="539" t="str">
        <f t="shared" si="24"/>
        <v/>
      </c>
      <c r="AE175" s="82"/>
      <c r="AF175" s="82"/>
      <c r="AG175" s="507" t="str">
        <f t="shared" si="30"/>
        <v/>
      </c>
      <c r="AH175" s="521" t="str">
        <f t="shared" si="31"/>
        <v/>
      </c>
      <c r="AI175" s="522" t="str">
        <f>IF(AH175="Check Data","Check Data",IFERROR(VLOOKUP(AH175,'G-4 Temporal multipliers'!$A$4:$C$36,3,FALSE),""))</f>
        <v/>
      </c>
      <c r="AJ175" s="498" t="str">
        <f>IF(S175="","",VLOOKUP(S175,'G-3 Multipliers'!$A$2:$E$129,4,FALSE))</f>
        <v/>
      </c>
      <c r="AK175" s="507" t="str">
        <f t="shared" si="32"/>
        <v/>
      </c>
      <c r="AL175" s="507" t="str">
        <f t="shared" si="33"/>
        <v/>
      </c>
      <c r="AM175" s="540" t="str">
        <f>IFERROR(IF(F175="","",IF(AH175="Check Data ⚠","Check Data ⚠",VLOOKUP(AL175, 'G-3 Multipliers'!$P$2:$Q$6,2,FALSE))),"")</f>
        <v/>
      </c>
      <c r="AN175" s="513" t="str">
        <f t="shared" si="25"/>
        <v/>
      </c>
      <c r="AO175" s="239"/>
      <c r="AP175" s="240"/>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1" t="str">
        <f>'A-1 Site Habitat Baseline'!AL175</f>
        <v/>
      </c>
      <c r="F176" s="520" t="str">
        <f>IF(E176="","",IF(ISNA(VLOOKUP($E176,'A-1 Site Habitat Baseline'!$D$1:$O$258,4,FALSE)),"",(VLOOKUP($E176,'A-1 Site Habitat Baseline'!$D$1:$O$258,4,FALSE))))</f>
        <v/>
      </c>
      <c r="G176" s="520" t="str">
        <f>IF(E176="","",IF(ISNA(VLOOKUP($E176,'A-1 Site Habitat Baseline'!$D$1:$O$258,5,FALSE)),"",(VLOOKUP($E176,'A-1 Site Habitat Baseline'!$D$1:$O$258,5,FALSE))))</f>
        <v/>
      </c>
      <c r="H176" s="520" t="str">
        <f>IF(E176="","",IF(ISNA(VLOOKUP($E176,'A-1 Site Habitat Baseline'!$D$1:$O$258,6,FALSE)),"",(VLOOKUP($E176,'A-1 Site Habitat Baseline'!$D$1:$O$258,6,FALSE))))</f>
        <v/>
      </c>
      <c r="I176" s="520" t="str">
        <f>IF(E176="","",IF(ISNA(VLOOKUP($E176,'A-1 Site Habitat Baseline'!$D$1:$O$258,7,FALSE)),"",(VLOOKUP($E176,'A-1 Site Habitat Baseline'!$D$1:$O$258,7,FALSE))))</f>
        <v/>
      </c>
      <c r="J176" s="520" t="str">
        <f>IF(E176="","",IF(ISNA(VLOOKUP($E176,'A-1 Site Habitat Baseline'!$D$1:$O$258,8,FALSE)),"",(VLOOKUP($E176,'A-1 Site Habitat Baseline'!$D$1:$O$258,8,FALSE))))</f>
        <v/>
      </c>
      <c r="K176" s="520" t="str">
        <f>IF(E176="","",IF(ISNA(VLOOKUP($E176,'A-1 Site Habitat Baseline'!$D$1:$O$258,9,FALSE)),"",(VLOOKUP($E176,'A-1 Site Habitat Baseline'!$D$1:$O$258,9,FALSE))))</f>
        <v/>
      </c>
      <c r="L176" s="520" t="str">
        <f>IF(E176="","",IF(ISNA(VLOOKUP($E176,'A-1 Site Habitat Baseline'!$D$1:$O$258,11,FALSE)),"",(VLOOKUP($E176,'A-1 Site Habitat Baseline'!$D$1:$O$258,11,FALSE))))</f>
        <v/>
      </c>
      <c r="M176" s="520" t="str">
        <f>IF(E176="","",IF(ISNA(VLOOKUP($E176,'A-1 Site Habitat Baseline'!$D$1:$O$258,12,FALSE)),"",(VLOOKUP($E176,'A-1 Site Habitat Baseline'!$D$1:$O$258,12,FALSE))))</f>
        <v/>
      </c>
      <c r="N176" s="532" t="str">
        <f>IF(E176="","",IF(ISNA(VLOOKUP($E176,'A-1 Site Habitat Baseline'!$D$1:$X$258,14,FALSE)),"",(VLOOKUP($E176,'A-1 Site Habitat Baseline'!$D$1:$X$258,14,FALSE))))</f>
        <v/>
      </c>
      <c r="O176" s="524" t="str">
        <f>IF(E176="","",IF(ISNA(VLOOKUP($E176,'A-1 Site Habitat Baseline'!$D$1:$X$258,16,FALSE)),"",(VLOOKUP($E176,'A-1 Site Habitat Baseline'!$D$1:$X$258,13,FALSE))))</f>
        <v/>
      </c>
      <c r="P176" s="237" t="str">
        <f>IFERROR(INDEX('G-1 All Habitats'!$AG$3:$AG$15,MATCH(Q176,'G-1 All Habitats'!$AF$3:$AF$15,0)),"")</f>
        <v/>
      </c>
      <c r="Q176" s="238" t="str">
        <f t="shared" si="26"/>
        <v/>
      </c>
      <c r="R176" s="238" t="str">
        <f t="shared" si="27"/>
        <v/>
      </c>
      <c r="S176" s="392" t="str">
        <f>IFERROR(INDEX('G-1 All Habitats'!$B$3:$B$129,MATCH(R176,'G-1 All Habitats'!$A$3:$A$129,0)),"")</f>
        <v/>
      </c>
      <c r="T176" s="498" t="str">
        <f t="shared" si="28"/>
        <v/>
      </c>
      <c r="U176" s="499" t="str">
        <f t="shared" si="29"/>
        <v/>
      </c>
      <c r="V176" s="537" t="str">
        <f t="shared" si="23"/>
        <v/>
      </c>
      <c r="W176" s="520" t="str">
        <f>IF(S176="","",VLOOKUP(S176,'G-1 All Habitats'!$B$2:$M$129,10,FALSE))</f>
        <v/>
      </c>
      <c r="X176" s="520" t="str">
        <f>IFERROR(VLOOKUP(W176,'G-1 All Habitats'!$V$3:$W$7,2,FALSE),"")</f>
        <v/>
      </c>
      <c r="Y176" s="79"/>
      <c r="Z176" s="524" t="str">
        <f>IFERROR(INDEX('G-8 Condition Look up'!$A$3:$H$130,MATCH(S176,'G-8 Condition Look up'!$A$3:$A$130,0),MATCH(Y176,'G-8 Condition Look up'!$A$3:$H$3,0)),"")</f>
        <v/>
      </c>
      <c r="AA176" s="71"/>
      <c r="AB176" s="520" t="str">
        <f>IF(AA176="","",IF(VLOOKUP(AA176,'G-3 Multipliers'!$L$3:$N$6,2,FALSE)=0,"Spatial Data Missing ⚠",VLOOKUP(AA176,'G-3 Multipliers'!$L$3:$N$6,2,FALSE)))</f>
        <v/>
      </c>
      <c r="AC176" s="524" t="str">
        <f>IF(AA176="","",IF(VLOOKUP(AA176,'G-3 Multipliers'!$L$3:$N$6,3,FALSE)=0,"Spatial Data Missing ⚠",VLOOKUP(AA176,'G-3 Multipliers'!$L$3:$N$6,3,FALSE)))</f>
        <v/>
      </c>
      <c r="AD176" s="539" t="str">
        <f t="shared" si="24"/>
        <v/>
      </c>
      <c r="AE176" s="82"/>
      <c r="AF176" s="82"/>
      <c r="AG176" s="507" t="str">
        <f t="shared" si="30"/>
        <v/>
      </c>
      <c r="AH176" s="521" t="str">
        <f t="shared" si="31"/>
        <v/>
      </c>
      <c r="AI176" s="522" t="str">
        <f>IF(AH176="Check Data","Check Data",IFERROR(VLOOKUP(AH176,'G-4 Temporal multipliers'!$A$4:$C$36,3,FALSE),""))</f>
        <v/>
      </c>
      <c r="AJ176" s="498" t="str">
        <f>IF(S176="","",VLOOKUP(S176,'G-3 Multipliers'!$A$2:$E$129,4,FALSE))</f>
        <v/>
      </c>
      <c r="AK176" s="507" t="str">
        <f t="shared" si="32"/>
        <v/>
      </c>
      <c r="AL176" s="507" t="str">
        <f t="shared" si="33"/>
        <v/>
      </c>
      <c r="AM176" s="540" t="str">
        <f>IFERROR(IF(F176="","",IF(AH176="Check Data ⚠","Check Data ⚠",VLOOKUP(AL176, 'G-3 Multipliers'!$P$2:$Q$6,2,FALSE))),"")</f>
        <v/>
      </c>
      <c r="AN176" s="513" t="str">
        <f t="shared" si="25"/>
        <v/>
      </c>
      <c r="AO176" s="239"/>
      <c r="AP176" s="240"/>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1" t="str">
        <f>'A-1 Site Habitat Baseline'!AL176</f>
        <v/>
      </c>
      <c r="F177" s="520" t="str">
        <f>IF(E177="","",IF(ISNA(VLOOKUP($E177,'A-1 Site Habitat Baseline'!$D$1:$O$258,4,FALSE)),"",(VLOOKUP($E177,'A-1 Site Habitat Baseline'!$D$1:$O$258,4,FALSE))))</f>
        <v/>
      </c>
      <c r="G177" s="520" t="str">
        <f>IF(E177="","",IF(ISNA(VLOOKUP($E177,'A-1 Site Habitat Baseline'!$D$1:$O$258,5,FALSE)),"",(VLOOKUP($E177,'A-1 Site Habitat Baseline'!$D$1:$O$258,5,FALSE))))</f>
        <v/>
      </c>
      <c r="H177" s="520" t="str">
        <f>IF(E177="","",IF(ISNA(VLOOKUP($E177,'A-1 Site Habitat Baseline'!$D$1:$O$258,6,FALSE)),"",(VLOOKUP($E177,'A-1 Site Habitat Baseline'!$D$1:$O$258,6,FALSE))))</f>
        <v/>
      </c>
      <c r="I177" s="520" t="str">
        <f>IF(E177="","",IF(ISNA(VLOOKUP($E177,'A-1 Site Habitat Baseline'!$D$1:$O$258,7,FALSE)),"",(VLOOKUP($E177,'A-1 Site Habitat Baseline'!$D$1:$O$258,7,FALSE))))</f>
        <v/>
      </c>
      <c r="J177" s="520" t="str">
        <f>IF(E177="","",IF(ISNA(VLOOKUP($E177,'A-1 Site Habitat Baseline'!$D$1:$O$258,8,FALSE)),"",(VLOOKUP($E177,'A-1 Site Habitat Baseline'!$D$1:$O$258,8,FALSE))))</f>
        <v/>
      </c>
      <c r="K177" s="520" t="str">
        <f>IF(E177="","",IF(ISNA(VLOOKUP($E177,'A-1 Site Habitat Baseline'!$D$1:$O$258,9,FALSE)),"",(VLOOKUP($E177,'A-1 Site Habitat Baseline'!$D$1:$O$258,9,FALSE))))</f>
        <v/>
      </c>
      <c r="L177" s="520" t="str">
        <f>IF(E177="","",IF(ISNA(VLOOKUP($E177,'A-1 Site Habitat Baseline'!$D$1:$O$258,11,FALSE)),"",(VLOOKUP($E177,'A-1 Site Habitat Baseline'!$D$1:$O$258,11,FALSE))))</f>
        <v/>
      </c>
      <c r="M177" s="520" t="str">
        <f>IF(E177="","",IF(ISNA(VLOOKUP($E177,'A-1 Site Habitat Baseline'!$D$1:$O$258,12,FALSE)),"",(VLOOKUP($E177,'A-1 Site Habitat Baseline'!$D$1:$O$258,12,FALSE))))</f>
        <v/>
      </c>
      <c r="N177" s="532" t="str">
        <f>IF(E177="","",IF(ISNA(VLOOKUP($E177,'A-1 Site Habitat Baseline'!$D$1:$X$258,14,FALSE)),"",(VLOOKUP($E177,'A-1 Site Habitat Baseline'!$D$1:$X$258,14,FALSE))))</f>
        <v/>
      </c>
      <c r="O177" s="524" t="str">
        <f>IF(E177="","",IF(ISNA(VLOOKUP($E177,'A-1 Site Habitat Baseline'!$D$1:$X$258,16,FALSE)),"",(VLOOKUP($E177,'A-1 Site Habitat Baseline'!$D$1:$X$258,13,FALSE))))</f>
        <v/>
      </c>
      <c r="P177" s="237" t="str">
        <f>IFERROR(INDEX('G-1 All Habitats'!$AG$3:$AG$15,MATCH(Q177,'G-1 All Habitats'!$AF$3:$AF$15,0)),"")</f>
        <v/>
      </c>
      <c r="Q177" s="238" t="str">
        <f t="shared" si="26"/>
        <v/>
      </c>
      <c r="R177" s="238" t="str">
        <f t="shared" si="27"/>
        <v/>
      </c>
      <c r="S177" s="392" t="str">
        <f>IFERROR(INDEX('G-1 All Habitats'!$B$3:$B$129,MATCH(R177,'G-1 All Habitats'!$A$3:$A$129,0)),"")</f>
        <v/>
      </c>
      <c r="T177" s="498" t="str">
        <f t="shared" si="28"/>
        <v/>
      </c>
      <c r="U177" s="499" t="str">
        <f t="shared" si="29"/>
        <v/>
      </c>
      <c r="V177" s="537" t="str">
        <f t="shared" si="23"/>
        <v/>
      </c>
      <c r="W177" s="520" t="str">
        <f>IF(S177="","",VLOOKUP(S177,'G-1 All Habitats'!$B$2:$M$129,10,FALSE))</f>
        <v/>
      </c>
      <c r="X177" s="520" t="str">
        <f>IFERROR(VLOOKUP(W177,'G-1 All Habitats'!$V$3:$W$7,2,FALSE),"")</f>
        <v/>
      </c>
      <c r="Y177" s="79"/>
      <c r="Z177" s="524" t="str">
        <f>IFERROR(INDEX('G-8 Condition Look up'!$A$3:$H$130,MATCH(S177,'G-8 Condition Look up'!$A$3:$A$130,0),MATCH(Y177,'G-8 Condition Look up'!$A$3:$H$3,0)),"")</f>
        <v/>
      </c>
      <c r="AA177" s="71"/>
      <c r="AB177" s="520" t="str">
        <f>IF(AA177="","",IF(VLOOKUP(AA177,'G-3 Multipliers'!$L$3:$N$6,2,FALSE)=0,"Spatial Data Missing ⚠",VLOOKUP(AA177,'G-3 Multipliers'!$L$3:$N$6,2,FALSE)))</f>
        <v/>
      </c>
      <c r="AC177" s="524" t="str">
        <f>IF(AA177="","",IF(VLOOKUP(AA177,'G-3 Multipliers'!$L$3:$N$6,3,FALSE)=0,"Spatial Data Missing ⚠",VLOOKUP(AA177,'G-3 Multipliers'!$L$3:$N$6,3,FALSE)))</f>
        <v/>
      </c>
      <c r="AD177" s="539" t="str">
        <f t="shared" si="24"/>
        <v/>
      </c>
      <c r="AE177" s="82"/>
      <c r="AF177" s="82"/>
      <c r="AG177" s="507" t="str">
        <f t="shared" si="30"/>
        <v/>
      </c>
      <c r="AH177" s="521" t="str">
        <f t="shared" si="31"/>
        <v/>
      </c>
      <c r="AI177" s="522" t="str">
        <f>IF(AH177="Check Data","Check Data",IFERROR(VLOOKUP(AH177,'G-4 Temporal multipliers'!$A$4:$C$36,3,FALSE),""))</f>
        <v/>
      </c>
      <c r="AJ177" s="498" t="str">
        <f>IF(S177="","",VLOOKUP(S177,'G-3 Multipliers'!$A$2:$E$129,4,FALSE))</f>
        <v/>
      </c>
      <c r="AK177" s="507" t="str">
        <f t="shared" si="32"/>
        <v/>
      </c>
      <c r="AL177" s="507" t="str">
        <f t="shared" si="33"/>
        <v/>
      </c>
      <c r="AM177" s="540" t="str">
        <f>IFERROR(IF(F177="","",IF(AH177="Check Data ⚠","Check Data ⚠",VLOOKUP(AL177, 'G-3 Multipliers'!$P$2:$Q$6,2,FALSE))),"")</f>
        <v/>
      </c>
      <c r="AN177" s="513" t="str">
        <f t="shared" si="25"/>
        <v/>
      </c>
      <c r="AO177" s="239"/>
      <c r="AP177" s="240"/>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1" t="str">
        <f>'A-1 Site Habitat Baseline'!AL177</f>
        <v/>
      </c>
      <c r="F178" s="520" t="str">
        <f>IF(E178="","",IF(ISNA(VLOOKUP($E178,'A-1 Site Habitat Baseline'!$D$1:$O$258,4,FALSE)),"",(VLOOKUP($E178,'A-1 Site Habitat Baseline'!$D$1:$O$258,4,FALSE))))</f>
        <v/>
      </c>
      <c r="G178" s="520" t="str">
        <f>IF(E178="","",IF(ISNA(VLOOKUP($E178,'A-1 Site Habitat Baseline'!$D$1:$O$258,5,FALSE)),"",(VLOOKUP($E178,'A-1 Site Habitat Baseline'!$D$1:$O$258,5,FALSE))))</f>
        <v/>
      </c>
      <c r="H178" s="520" t="str">
        <f>IF(E178="","",IF(ISNA(VLOOKUP($E178,'A-1 Site Habitat Baseline'!$D$1:$O$258,6,FALSE)),"",(VLOOKUP($E178,'A-1 Site Habitat Baseline'!$D$1:$O$258,6,FALSE))))</f>
        <v/>
      </c>
      <c r="I178" s="520" t="str">
        <f>IF(E178="","",IF(ISNA(VLOOKUP($E178,'A-1 Site Habitat Baseline'!$D$1:$O$258,7,FALSE)),"",(VLOOKUP($E178,'A-1 Site Habitat Baseline'!$D$1:$O$258,7,FALSE))))</f>
        <v/>
      </c>
      <c r="J178" s="520" t="str">
        <f>IF(E178="","",IF(ISNA(VLOOKUP($E178,'A-1 Site Habitat Baseline'!$D$1:$O$258,8,FALSE)),"",(VLOOKUP($E178,'A-1 Site Habitat Baseline'!$D$1:$O$258,8,FALSE))))</f>
        <v/>
      </c>
      <c r="K178" s="520" t="str">
        <f>IF(E178="","",IF(ISNA(VLOOKUP($E178,'A-1 Site Habitat Baseline'!$D$1:$O$258,9,FALSE)),"",(VLOOKUP($E178,'A-1 Site Habitat Baseline'!$D$1:$O$258,9,FALSE))))</f>
        <v/>
      </c>
      <c r="L178" s="520" t="str">
        <f>IF(E178="","",IF(ISNA(VLOOKUP($E178,'A-1 Site Habitat Baseline'!$D$1:$O$258,11,FALSE)),"",(VLOOKUP($E178,'A-1 Site Habitat Baseline'!$D$1:$O$258,11,FALSE))))</f>
        <v/>
      </c>
      <c r="M178" s="520" t="str">
        <f>IF(E178="","",IF(ISNA(VLOOKUP($E178,'A-1 Site Habitat Baseline'!$D$1:$O$258,12,FALSE)),"",(VLOOKUP($E178,'A-1 Site Habitat Baseline'!$D$1:$O$258,12,FALSE))))</f>
        <v/>
      </c>
      <c r="N178" s="532" t="str">
        <f>IF(E178="","",IF(ISNA(VLOOKUP($E178,'A-1 Site Habitat Baseline'!$D$1:$X$258,14,FALSE)),"",(VLOOKUP($E178,'A-1 Site Habitat Baseline'!$D$1:$X$258,14,FALSE))))</f>
        <v/>
      </c>
      <c r="O178" s="524" t="str">
        <f>IF(E178="","",IF(ISNA(VLOOKUP($E178,'A-1 Site Habitat Baseline'!$D$1:$X$258,16,FALSE)),"",(VLOOKUP($E178,'A-1 Site Habitat Baseline'!$D$1:$X$258,13,FALSE))))</f>
        <v/>
      </c>
      <c r="P178" s="237" t="str">
        <f>IFERROR(INDEX('G-1 All Habitats'!$AG$3:$AG$15,MATCH(Q178,'G-1 All Habitats'!$AF$3:$AF$15,0)),"")</f>
        <v/>
      </c>
      <c r="Q178" s="238" t="str">
        <f t="shared" si="26"/>
        <v/>
      </c>
      <c r="R178" s="238" t="str">
        <f t="shared" si="27"/>
        <v/>
      </c>
      <c r="S178" s="392" t="str">
        <f>IFERROR(INDEX('G-1 All Habitats'!$B$3:$B$129,MATCH(R178,'G-1 All Habitats'!$A$3:$A$129,0)),"")</f>
        <v/>
      </c>
      <c r="T178" s="498" t="str">
        <f t="shared" si="28"/>
        <v/>
      </c>
      <c r="U178" s="499" t="str">
        <f t="shared" si="29"/>
        <v/>
      </c>
      <c r="V178" s="537" t="str">
        <f t="shared" si="23"/>
        <v/>
      </c>
      <c r="W178" s="520" t="str">
        <f>IF(S178="","",VLOOKUP(S178,'G-1 All Habitats'!$B$2:$M$129,10,FALSE))</f>
        <v/>
      </c>
      <c r="X178" s="520" t="str">
        <f>IFERROR(VLOOKUP(W178,'G-1 All Habitats'!$V$3:$W$7,2,FALSE),"")</f>
        <v/>
      </c>
      <c r="Y178" s="79"/>
      <c r="Z178" s="524" t="str">
        <f>IFERROR(INDEX('G-8 Condition Look up'!$A$3:$H$130,MATCH(S178,'G-8 Condition Look up'!$A$3:$A$130,0),MATCH(Y178,'G-8 Condition Look up'!$A$3:$H$3,0)),"")</f>
        <v/>
      </c>
      <c r="AA178" s="71"/>
      <c r="AB178" s="520" t="str">
        <f>IF(AA178="","",IF(VLOOKUP(AA178,'G-3 Multipliers'!$L$3:$N$6,2,FALSE)=0,"Spatial Data Missing ⚠",VLOOKUP(AA178,'G-3 Multipliers'!$L$3:$N$6,2,FALSE)))</f>
        <v/>
      </c>
      <c r="AC178" s="524" t="str">
        <f>IF(AA178="","",IF(VLOOKUP(AA178,'G-3 Multipliers'!$L$3:$N$6,3,FALSE)=0,"Spatial Data Missing ⚠",VLOOKUP(AA178,'G-3 Multipliers'!$L$3:$N$6,3,FALSE)))</f>
        <v/>
      </c>
      <c r="AD178" s="539" t="str">
        <f t="shared" si="24"/>
        <v/>
      </c>
      <c r="AE178" s="82"/>
      <c r="AF178" s="82"/>
      <c r="AG178" s="507" t="str">
        <f t="shared" si="30"/>
        <v/>
      </c>
      <c r="AH178" s="521" t="str">
        <f t="shared" si="31"/>
        <v/>
      </c>
      <c r="AI178" s="522" t="str">
        <f>IF(AH178="Check Data","Check Data",IFERROR(VLOOKUP(AH178,'G-4 Temporal multipliers'!$A$4:$C$36,3,FALSE),""))</f>
        <v/>
      </c>
      <c r="AJ178" s="498" t="str">
        <f>IF(S178="","",VLOOKUP(S178,'G-3 Multipliers'!$A$2:$E$129,4,FALSE))</f>
        <v/>
      </c>
      <c r="AK178" s="507" t="str">
        <f t="shared" si="32"/>
        <v/>
      </c>
      <c r="AL178" s="507" t="str">
        <f t="shared" si="33"/>
        <v/>
      </c>
      <c r="AM178" s="540" t="str">
        <f>IFERROR(IF(F178="","",IF(AH178="Check Data ⚠","Check Data ⚠",VLOOKUP(AL178, 'G-3 Multipliers'!$P$2:$Q$6,2,FALSE))),"")</f>
        <v/>
      </c>
      <c r="AN178" s="513" t="str">
        <f t="shared" si="25"/>
        <v/>
      </c>
      <c r="AO178" s="239"/>
      <c r="AP178" s="240"/>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1" t="str">
        <f>'A-1 Site Habitat Baseline'!AL178</f>
        <v/>
      </c>
      <c r="F179" s="520" t="str">
        <f>IF(E179="","",IF(ISNA(VLOOKUP($E179,'A-1 Site Habitat Baseline'!$D$1:$O$258,4,FALSE)),"",(VLOOKUP($E179,'A-1 Site Habitat Baseline'!$D$1:$O$258,4,FALSE))))</f>
        <v/>
      </c>
      <c r="G179" s="520" t="str">
        <f>IF(E179="","",IF(ISNA(VLOOKUP($E179,'A-1 Site Habitat Baseline'!$D$1:$O$258,5,FALSE)),"",(VLOOKUP($E179,'A-1 Site Habitat Baseline'!$D$1:$O$258,5,FALSE))))</f>
        <v/>
      </c>
      <c r="H179" s="520" t="str">
        <f>IF(E179="","",IF(ISNA(VLOOKUP($E179,'A-1 Site Habitat Baseline'!$D$1:$O$258,6,FALSE)),"",(VLOOKUP($E179,'A-1 Site Habitat Baseline'!$D$1:$O$258,6,FALSE))))</f>
        <v/>
      </c>
      <c r="I179" s="520" t="str">
        <f>IF(E179="","",IF(ISNA(VLOOKUP($E179,'A-1 Site Habitat Baseline'!$D$1:$O$258,7,FALSE)),"",(VLOOKUP($E179,'A-1 Site Habitat Baseline'!$D$1:$O$258,7,FALSE))))</f>
        <v/>
      </c>
      <c r="J179" s="520" t="str">
        <f>IF(E179="","",IF(ISNA(VLOOKUP($E179,'A-1 Site Habitat Baseline'!$D$1:$O$258,8,FALSE)),"",(VLOOKUP($E179,'A-1 Site Habitat Baseline'!$D$1:$O$258,8,FALSE))))</f>
        <v/>
      </c>
      <c r="K179" s="520" t="str">
        <f>IF(E179="","",IF(ISNA(VLOOKUP($E179,'A-1 Site Habitat Baseline'!$D$1:$O$258,9,FALSE)),"",(VLOOKUP($E179,'A-1 Site Habitat Baseline'!$D$1:$O$258,9,FALSE))))</f>
        <v/>
      </c>
      <c r="L179" s="520" t="str">
        <f>IF(E179="","",IF(ISNA(VLOOKUP($E179,'A-1 Site Habitat Baseline'!$D$1:$O$258,11,FALSE)),"",(VLOOKUP($E179,'A-1 Site Habitat Baseline'!$D$1:$O$258,11,FALSE))))</f>
        <v/>
      </c>
      <c r="M179" s="520" t="str">
        <f>IF(E179="","",IF(ISNA(VLOOKUP($E179,'A-1 Site Habitat Baseline'!$D$1:$O$258,12,FALSE)),"",(VLOOKUP($E179,'A-1 Site Habitat Baseline'!$D$1:$O$258,12,FALSE))))</f>
        <v/>
      </c>
      <c r="N179" s="532" t="str">
        <f>IF(E179="","",IF(ISNA(VLOOKUP($E179,'A-1 Site Habitat Baseline'!$D$1:$X$258,14,FALSE)),"",(VLOOKUP($E179,'A-1 Site Habitat Baseline'!$D$1:$X$258,14,FALSE))))</f>
        <v/>
      </c>
      <c r="O179" s="524" t="str">
        <f>IF(E179="","",IF(ISNA(VLOOKUP($E179,'A-1 Site Habitat Baseline'!$D$1:$X$258,16,FALSE)),"",(VLOOKUP($E179,'A-1 Site Habitat Baseline'!$D$1:$X$258,13,FALSE))))</f>
        <v/>
      </c>
      <c r="P179" s="237" t="str">
        <f>IFERROR(INDEX('G-1 All Habitats'!$AG$3:$AG$15,MATCH(Q179,'G-1 All Habitats'!$AF$3:$AF$15,0)),"")</f>
        <v/>
      </c>
      <c r="Q179" s="238" t="str">
        <f t="shared" si="26"/>
        <v/>
      </c>
      <c r="R179" s="238" t="str">
        <f t="shared" si="27"/>
        <v/>
      </c>
      <c r="S179" s="392" t="str">
        <f>IFERROR(INDEX('G-1 All Habitats'!$B$3:$B$129,MATCH(R179,'G-1 All Habitats'!$A$3:$A$129,0)),"")</f>
        <v/>
      </c>
      <c r="T179" s="498" t="str">
        <f t="shared" si="28"/>
        <v/>
      </c>
      <c r="U179" s="499" t="str">
        <f t="shared" si="29"/>
        <v/>
      </c>
      <c r="V179" s="537" t="str">
        <f t="shared" si="23"/>
        <v/>
      </c>
      <c r="W179" s="520" t="str">
        <f>IF(S179="","",VLOOKUP(S179,'G-1 All Habitats'!$B$2:$M$129,10,FALSE))</f>
        <v/>
      </c>
      <c r="X179" s="520" t="str">
        <f>IFERROR(VLOOKUP(W179,'G-1 All Habitats'!$V$3:$W$7,2,FALSE),"")</f>
        <v/>
      </c>
      <c r="Y179" s="79"/>
      <c r="Z179" s="524" t="str">
        <f>IFERROR(INDEX('G-8 Condition Look up'!$A$3:$H$130,MATCH(S179,'G-8 Condition Look up'!$A$3:$A$130,0),MATCH(Y179,'G-8 Condition Look up'!$A$3:$H$3,0)),"")</f>
        <v/>
      </c>
      <c r="AA179" s="71"/>
      <c r="AB179" s="520" t="str">
        <f>IF(AA179="","",IF(VLOOKUP(AA179,'G-3 Multipliers'!$L$3:$N$6,2,FALSE)=0,"Spatial Data Missing ⚠",VLOOKUP(AA179,'G-3 Multipliers'!$L$3:$N$6,2,FALSE)))</f>
        <v/>
      </c>
      <c r="AC179" s="524" t="str">
        <f>IF(AA179="","",IF(VLOOKUP(AA179,'G-3 Multipliers'!$L$3:$N$6,3,FALSE)=0,"Spatial Data Missing ⚠",VLOOKUP(AA179,'G-3 Multipliers'!$L$3:$N$6,3,FALSE)))</f>
        <v/>
      </c>
      <c r="AD179" s="539" t="str">
        <f t="shared" si="24"/>
        <v/>
      </c>
      <c r="AE179" s="82"/>
      <c r="AF179" s="82"/>
      <c r="AG179" s="507" t="str">
        <f t="shared" si="30"/>
        <v/>
      </c>
      <c r="AH179" s="521" t="str">
        <f t="shared" si="31"/>
        <v/>
      </c>
      <c r="AI179" s="522" t="str">
        <f>IF(AH179="Check Data","Check Data",IFERROR(VLOOKUP(AH179,'G-4 Temporal multipliers'!$A$4:$C$36,3,FALSE),""))</f>
        <v/>
      </c>
      <c r="AJ179" s="498" t="str">
        <f>IF(S179="","",VLOOKUP(S179,'G-3 Multipliers'!$A$2:$E$129,4,FALSE))</f>
        <v/>
      </c>
      <c r="AK179" s="507" t="str">
        <f t="shared" si="32"/>
        <v/>
      </c>
      <c r="AL179" s="507" t="str">
        <f t="shared" si="33"/>
        <v/>
      </c>
      <c r="AM179" s="540" t="str">
        <f>IFERROR(IF(F179="","",IF(AH179="Check Data ⚠","Check Data ⚠",VLOOKUP(AL179, 'G-3 Multipliers'!$P$2:$Q$6,2,FALSE))),"")</f>
        <v/>
      </c>
      <c r="AN179" s="513" t="str">
        <f t="shared" si="25"/>
        <v/>
      </c>
      <c r="AO179" s="239"/>
      <c r="AP179" s="240"/>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1" t="str">
        <f>'A-1 Site Habitat Baseline'!AL179</f>
        <v/>
      </c>
      <c r="F180" s="520" t="str">
        <f>IF(E180="","",IF(ISNA(VLOOKUP($E180,'A-1 Site Habitat Baseline'!$D$1:$O$258,4,FALSE)),"",(VLOOKUP($E180,'A-1 Site Habitat Baseline'!$D$1:$O$258,4,FALSE))))</f>
        <v/>
      </c>
      <c r="G180" s="520" t="str">
        <f>IF(E180="","",IF(ISNA(VLOOKUP($E180,'A-1 Site Habitat Baseline'!$D$1:$O$258,5,FALSE)),"",(VLOOKUP($E180,'A-1 Site Habitat Baseline'!$D$1:$O$258,5,FALSE))))</f>
        <v/>
      </c>
      <c r="H180" s="520" t="str">
        <f>IF(E180="","",IF(ISNA(VLOOKUP($E180,'A-1 Site Habitat Baseline'!$D$1:$O$258,6,FALSE)),"",(VLOOKUP($E180,'A-1 Site Habitat Baseline'!$D$1:$O$258,6,FALSE))))</f>
        <v/>
      </c>
      <c r="I180" s="520" t="str">
        <f>IF(E180="","",IF(ISNA(VLOOKUP($E180,'A-1 Site Habitat Baseline'!$D$1:$O$258,7,FALSE)),"",(VLOOKUP($E180,'A-1 Site Habitat Baseline'!$D$1:$O$258,7,FALSE))))</f>
        <v/>
      </c>
      <c r="J180" s="520" t="str">
        <f>IF(E180="","",IF(ISNA(VLOOKUP($E180,'A-1 Site Habitat Baseline'!$D$1:$O$258,8,FALSE)),"",(VLOOKUP($E180,'A-1 Site Habitat Baseline'!$D$1:$O$258,8,FALSE))))</f>
        <v/>
      </c>
      <c r="K180" s="520" t="str">
        <f>IF(E180="","",IF(ISNA(VLOOKUP($E180,'A-1 Site Habitat Baseline'!$D$1:$O$258,9,FALSE)),"",(VLOOKUP($E180,'A-1 Site Habitat Baseline'!$D$1:$O$258,9,FALSE))))</f>
        <v/>
      </c>
      <c r="L180" s="520" t="str">
        <f>IF(E180="","",IF(ISNA(VLOOKUP($E180,'A-1 Site Habitat Baseline'!$D$1:$O$258,11,FALSE)),"",(VLOOKUP($E180,'A-1 Site Habitat Baseline'!$D$1:$O$258,11,FALSE))))</f>
        <v/>
      </c>
      <c r="M180" s="520" t="str">
        <f>IF(E180="","",IF(ISNA(VLOOKUP($E180,'A-1 Site Habitat Baseline'!$D$1:$O$258,12,FALSE)),"",(VLOOKUP($E180,'A-1 Site Habitat Baseline'!$D$1:$O$258,12,FALSE))))</f>
        <v/>
      </c>
      <c r="N180" s="532" t="str">
        <f>IF(E180="","",IF(ISNA(VLOOKUP($E180,'A-1 Site Habitat Baseline'!$D$1:$X$258,14,FALSE)),"",(VLOOKUP($E180,'A-1 Site Habitat Baseline'!$D$1:$X$258,14,FALSE))))</f>
        <v/>
      </c>
      <c r="O180" s="524" t="str">
        <f>IF(E180="","",IF(ISNA(VLOOKUP($E180,'A-1 Site Habitat Baseline'!$D$1:$X$258,16,FALSE)),"",(VLOOKUP($E180,'A-1 Site Habitat Baseline'!$D$1:$X$258,13,FALSE))))</f>
        <v/>
      </c>
      <c r="P180" s="237" t="str">
        <f>IFERROR(INDEX('G-1 All Habitats'!$AG$3:$AG$15,MATCH(Q180,'G-1 All Habitats'!$AF$3:$AF$15,0)),"")</f>
        <v/>
      </c>
      <c r="Q180" s="238" t="str">
        <f t="shared" si="26"/>
        <v/>
      </c>
      <c r="R180" s="238" t="str">
        <f t="shared" si="27"/>
        <v/>
      </c>
      <c r="S180" s="392" t="str">
        <f>IFERROR(INDEX('G-1 All Habitats'!$B$3:$B$129,MATCH(R180,'G-1 All Habitats'!$A$3:$A$129,0)),"")</f>
        <v/>
      </c>
      <c r="T180" s="498" t="str">
        <f t="shared" si="28"/>
        <v/>
      </c>
      <c r="U180" s="499" t="str">
        <f t="shared" si="29"/>
        <v/>
      </c>
      <c r="V180" s="537" t="str">
        <f t="shared" si="23"/>
        <v/>
      </c>
      <c r="W180" s="520" t="str">
        <f>IF(S180="","",VLOOKUP(S180,'G-1 All Habitats'!$B$2:$M$129,10,FALSE))</f>
        <v/>
      </c>
      <c r="X180" s="520" t="str">
        <f>IFERROR(VLOOKUP(W180,'G-1 All Habitats'!$V$3:$W$7,2,FALSE),"")</f>
        <v/>
      </c>
      <c r="Y180" s="79"/>
      <c r="Z180" s="524" t="str">
        <f>IFERROR(INDEX('G-8 Condition Look up'!$A$3:$H$130,MATCH(S180,'G-8 Condition Look up'!$A$3:$A$130,0),MATCH(Y180,'G-8 Condition Look up'!$A$3:$H$3,0)),"")</f>
        <v/>
      </c>
      <c r="AA180" s="71"/>
      <c r="AB180" s="520" t="str">
        <f>IF(AA180="","",IF(VLOOKUP(AA180,'G-3 Multipliers'!$L$3:$N$6,2,FALSE)=0,"Spatial Data Missing ⚠",VLOOKUP(AA180,'G-3 Multipliers'!$L$3:$N$6,2,FALSE)))</f>
        <v/>
      </c>
      <c r="AC180" s="524" t="str">
        <f>IF(AA180="","",IF(VLOOKUP(AA180,'G-3 Multipliers'!$L$3:$N$6,3,FALSE)=0,"Spatial Data Missing ⚠",VLOOKUP(AA180,'G-3 Multipliers'!$L$3:$N$6,3,FALSE)))</f>
        <v/>
      </c>
      <c r="AD180" s="539" t="str">
        <f t="shared" si="24"/>
        <v/>
      </c>
      <c r="AE180" s="82"/>
      <c r="AF180" s="82"/>
      <c r="AG180" s="507" t="str">
        <f t="shared" si="30"/>
        <v/>
      </c>
      <c r="AH180" s="521" t="str">
        <f t="shared" si="31"/>
        <v/>
      </c>
      <c r="AI180" s="522" t="str">
        <f>IF(AH180="Check Data","Check Data",IFERROR(VLOOKUP(AH180,'G-4 Temporal multipliers'!$A$4:$C$36,3,FALSE),""))</f>
        <v/>
      </c>
      <c r="AJ180" s="498" t="str">
        <f>IF(S180="","",VLOOKUP(S180,'G-3 Multipliers'!$A$2:$E$129,4,FALSE))</f>
        <v/>
      </c>
      <c r="AK180" s="507" t="str">
        <f t="shared" si="32"/>
        <v/>
      </c>
      <c r="AL180" s="507" t="str">
        <f t="shared" si="33"/>
        <v/>
      </c>
      <c r="AM180" s="540" t="str">
        <f>IFERROR(IF(F180="","",IF(AH180="Check Data ⚠","Check Data ⚠",VLOOKUP(AL180, 'G-3 Multipliers'!$P$2:$Q$6,2,FALSE))),"")</f>
        <v/>
      </c>
      <c r="AN180" s="513" t="str">
        <f t="shared" si="25"/>
        <v/>
      </c>
      <c r="AO180" s="239"/>
      <c r="AP180" s="240"/>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1" t="str">
        <f>'A-1 Site Habitat Baseline'!AL180</f>
        <v/>
      </c>
      <c r="F181" s="520" t="str">
        <f>IF(E181="","",IF(ISNA(VLOOKUP($E181,'A-1 Site Habitat Baseline'!$D$1:$O$258,4,FALSE)),"",(VLOOKUP($E181,'A-1 Site Habitat Baseline'!$D$1:$O$258,4,FALSE))))</f>
        <v/>
      </c>
      <c r="G181" s="520" t="str">
        <f>IF(E181="","",IF(ISNA(VLOOKUP($E181,'A-1 Site Habitat Baseline'!$D$1:$O$258,5,FALSE)),"",(VLOOKUP($E181,'A-1 Site Habitat Baseline'!$D$1:$O$258,5,FALSE))))</f>
        <v/>
      </c>
      <c r="H181" s="520" t="str">
        <f>IF(E181="","",IF(ISNA(VLOOKUP($E181,'A-1 Site Habitat Baseline'!$D$1:$O$258,6,FALSE)),"",(VLOOKUP($E181,'A-1 Site Habitat Baseline'!$D$1:$O$258,6,FALSE))))</f>
        <v/>
      </c>
      <c r="I181" s="520" t="str">
        <f>IF(E181="","",IF(ISNA(VLOOKUP($E181,'A-1 Site Habitat Baseline'!$D$1:$O$258,7,FALSE)),"",(VLOOKUP($E181,'A-1 Site Habitat Baseline'!$D$1:$O$258,7,FALSE))))</f>
        <v/>
      </c>
      <c r="J181" s="520" t="str">
        <f>IF(E181="","",IF(ISNA(VLOOKUP($E181,'A-1 Site Habitat Baseline'!$D$1:$O$258,8,FALSE)),"",(VLOOKUP($E181,'A-1 Site Habitat Baseline'!$D$1:$O$258,8,FALSE))))</f>
        <v/>
      </c>
      <c r="K181" s="520" t="str">
        <f>IF(E181="","",IF(ISNA(VLOOKUP($E181,'A-1 Site Habitat Baseline'!$D$1:$O$258,9,FALSE)),"",(VLOOKUP($E181,'A-1 Site Habitat Baseline'!$D$1:$O$258,9,FALSE))))</f>
        <v/>
      </c>
      <c r="L181" s="520" t="str">
        <f>IF(E181="","",IF(ISNA(VLOOKUP($E181,'A-1 Site Habitat Baseline'!$D$1:$O$258,11,FALSE)),"",(VLOOKUP($E181,'A-1 Site Habitat Baseline'!$D$1:$O$258,11,FALSE))))</f>
        <v/>
      </c>
      <c r="M181" s="520" t="str">
        <f>IF(E181="","",IF(ISNA(VLOOKUP($E181,'A-1 Site Habitat Baseline'!$D$1:$O$258,12,FALSE)),"",(VLOOKUP($E181,'A-1 Site Habitat Baseline'!$D$1:$O$258,12,FALSE))))</f>
        <v/>
      </c>
      <c r="N181" s="532" t="str">
        <f>IF(E181="","",IF(ISNA(VLOOKUP($E181,'A-1 Site Habitat Baseline'!$D$1:$X$258,14,FALSE)),"",(VLOOKUP($E181,'A-1 Site Habitat Baseline'!$D$1:$X$258,14,FALSE))))</f>
        <v/>
      </c>
      <c r="O181" s="524" t="str">
        <f>IF(E181="","",IF(ISNA(VLOOKUP($E181,'A-1 Site Habitat Baseline'!$D$1:$X$258,16,FALSE)),"",(VLOOKUP($E181,'A-1 Site Habitat Baseline'!$D$1:$X$258,13,FALSE))))</f>
        <v/>
      </c>
      <c r="P181" s="237" t="str">
        <f>IFERROR(INDEX('G-1 All Habitats'!$AG$3:$AG$15,MATCH(Q181,'G-1 All Habitats'!$AF$3:$AF$15,0)),"")</f>
        <v/>
      </c>
      <c r="Q181" s="238" t="str">
        <f t="shared" si="26"/>
        <v/>
      </c>
      <c r="R181" s="238" t="str">
        <f t="shared" si="27"/>
        <v/>
      </c>
      <c r="S181" s="392" t="str">
        <f>IFERROR(INDEX('G-1 All Habitats'!$B$3:$B$129,MATCH(R181,'G-1 All Habitats'!$A$3:$A$129,0)),"")</f>
        <v/>
      </c>
      <c r="T181" s="498" t="str">
        <f t="shared" si="28"/>
        <v/>
      </c>
      <c r="U181" s="499" t="str">
        <f t="shared" si="29"/>
        <v/>
      </c>
      <c r="V181" s="537" t="str">
        <f t="shared" si="23"/>
        <v/>
      </c>
      <c r="W181" s="520" t="str">
        <f>IF(S181="","",VLOOKUP(S181,'G-1 All Habitats'!$B$2:$M$129,10,FALSE))</f>
        <v/>
      </c>
      <c r="X181" s="520" t="str">
        <f>IFERROR(VLOOKUP(W181,'G-1 All Habitats'!$V$3:$W$7,2,FALSE),"")</f>
        <v/>
      </c>
      <c r="Y181" s="79"/>
      <c r="Z181" s="524" t="str">
        <f>IFERROR(INDEX('G-8 Condition Look up'!$A$3:$H$130,MATCH(S181,'G-8 Condition Look up'!$A$3:$A$130,0),MATCH(Y181,'G-8 Condition Look up'!$A$3:$H$3,0)),"")</f>
        <v/>
      </c>
      <c r="AA181" s="71"/>
      <c r="AB181" s="520" t="str">
        <f>IF(AA181="","",IF(VLOOKUP(AA181,'G-3 Multipliers'!$L$3:$N$6,2,FALSE)=0,"Spatial Data Missing ⚠",VLOOKUP(AA181,'G-3 Multipliers'!$L$3:$N$6,2,FALSE)))</f>
        <v/>
      </c>
      <c r="AC181" s="524" t="str">
        <f>IF(AA181="","",IF(VLOOKUP(AA181,'G-3 Multipliers'!$L$3:$N$6,3,FALSE)=0,"Spatial Data Missing ⚠",VLOOKUP(AA181,'G-3 Multipliers'!$L$3:$N$6,3,FALSE)))</f>
        <v/>
      </c>
      <c r="AD181" s="539" t="str">
        <f t="shared" si="24"/>
        <v/>
      </c>
      <c r="AE181" s="82"/>
      <c r="AF181" s="82"/>
      <c r="AG181" s="507" t="str">
        <f t="shared" si="30"/>
        <v/>
      </c>
      <c r="AH181" s="521" t="str">
        <f t="shared" si="31"/>
        <v/>
      </c>
      <c r="AI181" s="522" t="str">
        <f>IF(AH181="Check Data","Check Data",IFERROR(VLOOKUP(AH181,'G-4 Temporal multipliers'!$A$4:$C$36,3,FALSE),""))</f>
        <v/>
      </c>
      <c r="AJ181" s="498" t="str">
        <f>IF(S181="","",VLOOKUP(S181,'G-3 Multipliers'!$A$2:$E$129,4,FALSE))</f>
        <v/>
      </c>
      <c r="AK181" s="507" t="str">
        <f t="shared" si="32"/>
        <v/>
      </c>
      <c r="AL181" s="507" t="str">
        <f t="shared" si="33"/>
        <v/>
      </c>
      <c r="AM181" s="540" t="str">
        <f>IFERROR(IF(F181="","",IF(AH181="Check Data ⚠","Check Data ⚠",VLOOKUP(AL181, 'G-3 Multipliers'!$P$2:$Q$6,2,FALSE))),"")</f>
        <v/>
      </c>
      <c r="AN181" s="513" t="str">
        <f t="shared" si="25"/>
        <v/>
      </c>
      <c r="AO181" s="239"/>
      <c r="AP181" s="240"/>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1" t="str">
        <f>'A-1 Site Habitat Baseline'!AL181</f>
        <v/>
      </c>
      <c r="F182" s="520" t="str">
        <f>IF(E182="","",IF(ISNA(VLOOKUP($E182,'A-1 Site Habitat Baseline'!$D$1:$O$258,4,FALSE)),"",(VLOOKUP($E182,'A-1 Site Habitat Baseline'!$D$1:$O$258,4,FALSE))))</f>
        <v/>
      </c>
      <c r="G182" s="520" t="str">
        <f>IF(E182="","",IF(ISNA(VLOOKUP($E182,'A-1 Site Habitat Baseline'!$D$1:$O$258,5,FALSE)),"",(VLOOKUP($E182,'A-1 Site Habitat Baseline'!$D$1:$O$258,5,FALSE))))</f>
        <v/>
      </c>
      <c r="H182" s="520" t="str">
        <f>IF(E182="","",IF(ISNA(VLOOKUP($E182,'A-1 Site Habitat Baseline'!$D$1:$O$258,6,FALSE)),"",(VLOOKUP($E182,'A-1 Site Habitat Baseline'!$D$1:$O$258,6,FALSE))))</f>
        <v/>
      </c>
      <c r="I182" s="520" t="str">
        <f>IF(E182="","",IF(ISNA(VLOOKUP($E182,'A-1 Site Habitat Baseline'!$D$1:$O$258,7,FALSE)),"",(VLOOKUP($E182,'A-1 Site Habitat Baseline'!$D$1:$O$258,7,FALSE))))</f>
        <v/>
      </c>
      <c r="J182" s="520" t="str">
        <f>IF(E182="","",IF(ISNA(VLOOKUP($E182,'A-1 Site Habitat Baseline'!$D$1:$O$258,8,FALSE)),"",(VLOOKUP($E182,'A-1 Site Habitat Baseline'!$D$1:$O$258,8,FALSE))))</f>
        <v/>
      </c>
      <c r="K182" s="520" t="str">
        <f>IF(E182="","",IF(ISNA(VLOOKUP($E182,'A-1 Site Habitat Baseline'!$D$1:$O$258,9,FALSE)),"",(VLOOKUP($E182,'A-1 Site Habitat Baseline'!$D$1:$O$258,9,FALSE))))</f>
        <v/>
      </c>
      <c r="L182" s="520" t="str">
        <f>IF(E182="","",IF(ISNA(VLOOKUP($E182,'A-1 Site Habitat Baseline'!$D$1:$O$258,11,FALSE)),"",(VLOOKUP($E182,'A-1 Site Habitat Baseline'!$D$1:$O$258,11,FALSE))))</f>
        <v/>
      </c>
      <c r="M182" s="520" t="str">
        <f>IF(E182="","",IF(ISNA(VLOOKUP($E182,'A-1 Site Habitat Baseline'!$D$1:$O$258,12,FALSE)),"",(VLOOKUP($E182,'A-1 Site Habitat Baseline'!$D$1:$O$258,12,FALSE))))</f>
        <v/>
      </c>
      <c r="N182" s="532" t="str">
        <f>IF(E182="","",IF(ISNA(VLOOKUP($E182,'A-1 Site Habitat Baseline'!$D$1:$X$258,14,FALSE)),"",(VLOOKUP($E182,'A-1 Site Habitat Baseline'!$D$1:$X$258,14,FALSE))))</f>
        <v/>
      </c>
      <c r="O182" s="524" t="str">
        <f>IF(E182="","",IF(ISNA(VLOOKUP($E182,'A-1 Site Habitat Baseline'!$D$1:$X$258,16,FALSE)),"",(VLOOKUP($E182,'A-1 Site Habitat Baseline'!$D$1:$X$258,13,FALSE))))</f>
        <v/>
      </c>
      <c r="P182" s="237" t="str">
        <f>IFERROR(INDEX('G-1 All Habitats'!$AG$3:$AG$15,MATCH(Q182,'G-1 All Habitats'!$AF$3:$AF$15,0)),"")</f>
        <v/>
      </c>
      <c r="Q182" s="238" t="str">
        <f t="shared" si="26"/>
        <v/>
      </c>
      <c r="R182" s="238" t="str">
        <f t="shared" si="27"/>
        <v/>
      </c>
      <c r="S182" s="392" t="str">
        <f>IFERROR(INDEX('G-1 All Habitats'!$B$3:$B$129,MATCH(R182,'G-1 All Habitats'!$A$3:$A$129,0)),"")</f>
        <v/>
      </c>
      <c r="T182" s="498" t="str">
        <f t="shared" si="28"/>
        <v/>
      </c>
      <c r="U182" s="499" t="str">
        <f t="shared" si="29"/>
        <v/>
      </c>
      <c r="V182" s="537" t="str">
        <f t="shared" si="23"/>
        <v/>
      </c>
      <c r="W182" s="520" t="str">
        <f>IF(S182="","",VLOOKUP(S182,'G-1 All Habitats'!$B$2:$M$129,10,FALSE))</f>
        <v/>
      </c>
      <c r="X182" s="520" t="str">
        <f>IFERROR(VLOOKUP(W182,'G-1 All Habitats'!$V$3:$W$7,2,FALSE),"")</f>
        <v/>
      </c>
      <c r="Y182" s="79"/>
      <c r="Z182" s="524" t="str">
        <f>IFERROR(INDEX('G-8 Condition Look up'!$A$3:$H$130,MATCH(S182,'G-8 Condition Look up'!$A$3:$A$130,0),MATCH(Y182,'G-8 Condition Look up'!$A$3:$H$3,0)),"")</f>
        <v/>
      </c>
      <c r="AA182" s="71"/>
      <c r="AB182" s="520" t="str">
        <f>IF(AA182="","",IF(VLOOKUP(AA182,'G-3 Multipliers'!$L$3:$N$6,2,FALSE)=0,"Spatial Data Missing ⚠",VLOOKUP(AA182,'G-3 Multipliers'!$L$3:$N$6,2,FALSE)))</f>
        <v/>
      </c>
      <c r="AC182" s="524" t="str">
        <f>IF(AA182="","",IF(VLOOKUP(AA182,'G-3 Multipliers'!$L$3:$N$6,3,FALSE)=0,"Spatial Data Missing ⚠",VLOOKUP(AA182,'G-3 Multipliers'!$L$3:$N$6,3,FALSE)))</f>
        <v/>
      </c>
      <c r="AD182" s="539" t="str">
        <f t="shared" si="24"/>
        <v/>
      </c>
      <c r="AE182" s="82"/>
      <c r="AF182" s="82"/>
      <c r="AG182" s="507" t="str">
        <f t="shared" si="30"/>
        <v/>
      </c>
      <c r="AH182" s="521" t="str">
        <f t="shared" si="31"/>
        <v/>
      </c>
      <c r="AI182" s="522" t="str">
        <f>IF(AH182="Check Data","Check Data",IFERROR(VLOOKUP(AH182,'G-4 Temporal multipliers'!$A$4:$C$36,3,FALSE),""))</f>
        <v/>
      </c>
      <c r="AJ182" s="498" t="str">
        <f>IF(S182="","",VLOOKUP(S182,'G-3 Multipliers'!$A$2:$E$129,4,FALSE))</f>
        <v/>
      </c>
      <c r="AK182" s="507" t="str">
        <f t="shared" si="32"/>
        <v/>
      </c>
      <c r="AL182" s="507" t="str">
        <f t="shared" si="33"/>
        <v/>
      </c>
      <c r="AM182" s="540" t="str">
        <f>IFERROR(IF(F182="","",IF(AH182="Check Data ⚠","Check Data ⚠",VLOOKUP(AL182, 'G-3 Multipliers'!$P$2:$Q$6,2,FALSE))),"")</f>
        <v/>
      </c>
      <c r="AN182" s="513" t="str">
        <f t="shared" si="25"/>
        <v/>
      </c>
      <c r="AO182" s="239"/>
      <c r="AP182" s="240"/>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1" t="str">
        <f>'A-1 Site Habitat Baseline'!AL182</f>
        <v/>
      </c>
      <c r="F183" s="520" t="str">
        <f>IF(E183="","",IF(ISNA(VLOOKUP($E183,'A-1 Site Habitat Baseline'!$D$1:$O$258,4,FALSE)),"",(VLOOKUP($E183,'A-1 Site Habitat Baseline'!$D$1:$O$258,4,FALSE))))</f>
        <v/>
      </c>
      <c r="G183" s="520" t="str">
        <f>IF(E183="","",IF(ISNA(VLOOKUP($E183,'A-1 Site Habitat Baseline'!$D$1:$O$258,5,FALSE)),"",(VLOOKUP($E183,'A-1 Site Habitat Baseline'!$D$1:$O$258,5,FALSE))))</f>
        <v/>
      </c>
      <c r="H183" s="520" t="str">
        <f>IF(E183="","",IF(ISNA(VLOOKUP($E183,'A-1 Site Habitat Baseline'!$D$1:$O$258,6,FALSE)),"",(VLOOKUP($E183,'A-1 Site Habitat Baseline'!$D$1:$O$258,6,FALSE))))</f>
        <v/>
      </c>
      <c r="I183" s="520" t="str">
        <f>IF(E183="","",IF(ISNA(VLOOKUP($E183,'A-1 Site Habitat Baseline'!$D$1:$O$258,7,FALSE)),"",(VLOOKUP($E183,'A-1 Site Habitat Baseline'!$D$1:$O$258,7,FALSE))))</f>
        <v/>
      </c>
      <c r="J183" s="520" t="str">
        <f>IF(E183="","",IF(ISNA(VLOOKUP($E183,'A-1 Site Habitat Baseline'!$D$1:$O$258,8,FALSE)),"",(VLOOKUP($E183,'A-1 Site Habitat Baseline'!$D$1:$O$258,8,FALSE))))</f>
        <v/>
      </c>
      <c r="K183" s="520" t="str">
        <f>IF(E183="","",IF(ISNA(VLOOKUP($E183,'A-1 Site Habitat Baseline'!$D$1:$O$258,9,FALSE)),"",(VLOOKUP($E183,'A-1 Site Habitat Baseline'!$D$1:$O$258,9,FALSE))))</f>
        <v/>
      </c>
      <c r="L183" s="520" t="str">
        <f>IF(E183="","",IF(ISNA(VLOOKUP($E183,'A-1 Site Habitat Baseline'!$D$1:$O$258,11,FALSE)),"",(VLOOKUP($E183,'A-1 Site Habitat Baseline'!$D$1:$O$258,11,FALSE))))</f>
        <v/>
      </c>
      <c r="M183" s="520" t="str">
        <f>IF(E183="","",IF(ISNA(VLOOKUP($E183,'A-1 Site Habitat Baseline'!$D$1:$O$258,12,FALSE)),"",(VLOOKUP($E183,'A-1 Site Habitat Baseline'!$D$1:$O$258,12,FALSE))))</f>
        <v/>
      </c>
      <c r="N183" s="532" t="str">
        <f>IF(E183="","",IF(ISNA(VLOOKUP($E183,'A-1 Site Habitat Baseline'!$D$1:$X$258,14,FALSE)),"",(VLOOKUP($E183,'A-1 Site Habitat Baseline'!$D$1:$X$258,14,FALSE))))</f>
        <v/>
      </c>
      <c r="O183" s="524" t="str">
        <f>IF(E183="","",IF(ISNA(VLOOKUP($E183,'A-1 Site Habitat Baseline'!$D$1:$X$258,16,FALSE)),"",(VLOOKUP($E183,'A-1 Site Habitat Baseline'!$D$1:$X$258,13,FALSE))))</f>
        <v/>
      </c>
      <c r="P183" s="237" t="str">
        <f>IFERROR(INDEX('G-1 All Habitats'!$AG$3:$AG$15,MATCH(Q183,'G-1 All Habitats'!$AF$3:$AF$15,0)),"")</f>
        <v/>
      </c>
      <c r="Q183" s="238" t="str">
        <f t="shared" si="26"/>
        <v/>
      </c>
      <c r="R183" s="238" t="str">
        <f t="shared" si="27"/>
        <v/>
      </c>
      <c r="S183" s="392" t="str">
        <f>IFERROR(INDEX('G-1 All Habitats'!$B$3:$B$129,MATCH(R183,'G-1 All Habitats'!$A$3:$A$129,0)),"")</f>
        <v/>
      </c>
      <c r="T183" s="498" t="str">
        <f t="shared" si="28"/>
        <v/>
      </c>
      <c r="U183" s="499" t="str">
        <f t="shared" si="29"/>
        <v/>
      </c>
      <c r="V183" s="537" t="str">
        <f t="shared" si="23"/>
        <v/>
      </c>
      <c r="W183" s="520" t="str">
        <f>IF(S183="","",VLOOKUP(S183,'G-1 All Habitats'!$B$2:$M$129,10,FALSE))</f>
        <v/>
      </c>
      <c r="X183" s="520" t="str">
        <f>IFERROR(VLOOKUP(W183,'G-1 All Habitats'!$V$3:$W$7,2,FALSE),"")</f>
        <v/>
      </c>
      <c r="Y183" s="79"/>
      <c r="Z183" s="524" t="str">
        <f>IFERROR(INDEX('G-8 Condition Look up'!$A$3:$H$130,MATCH(S183,'G-8 Condition Look up'!$A$3:$A$130,0),MATCH(Y183,'G-8 Condition Look up'!$A$3:$H$3,0)),"")</f>
        <v/>
      </c>
      <c r="AA183" s="71"/>
      <c r="AB183" s="520" t="str">
        <f>IF(AA183="","",IF(VLOOKUP(AA183,'G-3 Multipliers'!$L$3:$N$6,2,FALSE)=0,"Spatial Data Missing ⚠",VLOOKUP(AA183,'G-3 Multipliers'!$L$3:$N$6,2,FALSE)))</f>
        <v/>
      </c>
      <c r="AC183" s="524" t="str">
        <f>IF(AA183="","",IF(VLOOKUP(AA183,'G-3 Multipliers'!$L$3:$N$6,3,FALSE)=0,"Spatial Data Missing ⚠",VLOOKUP(AA183,'G-3 Multipliers'!$L$3:$N$6,3,FALSE)))</f>
        <v/>
      </c>
      <c r="AD183" s="539" t="str">
        <f t="shared" si="24"/>
        <v/>
      </c>
      <c r="AE183" s="82"/>
      <c r="AF183" s="82"/>
      <c r="AG183" s="507" t="str">
        <f t="shared" si="30"/>
        <v/>
      </c>
      <c r="AH183" s="521" t="str">
        <f t="shared" si="31"/>
        <v/>
      </c>
      <c r="AI183" s="522" t="str">
        <f>IF(AH183="Check Data","Check Data",IFERROR(VLOOKUP(AH183,'G-4 Temporal multipliers'!$A$4:$C$36,3,FALSE),""))</f>
        <v/>
      </c>
      <c r="AJ183" s="498" t="str">
        <f>IF(S183="","",VLOOKUP(S183,'G-3 Multipliers'!$A$2:$E$129,4,FALSE))</f>
        <v/>
      </c>
      <c r="AK183" s="507" t="str">
        <f t="shared" si="32"/>
        <v/>
      </c>
      <c r="AL183" s="507" t="str">
        <f t="shared" si="33"/>
        <v/>
      </c>
      <c r="AM183" s="540" t="str">
        <f>IFERROR(IF(F183="","",IF(AH183="Check Data ⚠","Check Data ⚠",VLOOKUP(AL183, 'G-3 Multipliers'!$P$2:$Q$6,2,FALSE))),"")</f>
        <v/>
      </c>
      <c r="AN183" s="513" t="str">
        <f t="shared" si="25"/>
        <v/>
      </c>
      <c r="AO183" s="239"/>
      <c r="AP183" s="240"/>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1" t="str">
        <f>'A-1 Site Habitat Baseline'!AL183</f>
        <v/>
      </c>
      <c r="F184" s="520" t="str">
        <f>IF(E184="","",IF(ISNA(VLOOKUP($E184,'A-1 Site Habitat Baseline'!$D$1:$O$258,4,FALSE)),"",(VLOOKUP($E184,'A-1 Site Habitat Baseline'!$D$1:$O$258,4,FALSE))))</f>
        <v/>
      </c>
      <c r="G184" s="520" t="str">
        <f>IF(E184="","",IF(ISNA(VLOOKUP($E184,'A-1 Site Habitat Baseline'!$D$1:$O$258,5,FALSE)),"",(VLOOKUP($E184,'A-1 Site Habitat Baseline'!$D$1:$O$258,5,FALSE))))</f>
        <v/>
      </c>
      <c r="H184" s="520" t="str">
        <f>IF(E184="","",IF(ISNA(VLOOKUP($E184,'A-1 Site Habitat Baseline'!$D$1:$O$258,6,FALSE)),"",(VLOOKUP($E184,'A-1 Site Habitat Baseline'!$D$1:$O$258,6,FALSE))))</f>
        <v/>
      </c>
      <c r="I184" s="520" t="str">
        <f>IF(E184="","",IF(ISNA(VLOOKUP($E184,'A-1 Site Habitat Baseline'!$D$1:$O$258,7,FALSE)),"",(VLOOKUP($E184,'A-1 Site Habitat Baseline'!$D$1:$O$258,7,FALSE))))</f>
        <v/>
      </c>
      <c r="J184" s="520" t="str">
        <f>IF(E184="","",IF(ISNA(VLOOKUP($E184,'A-1 Site Habitat Baseline'!$D$1:$O$258,8,FALSE)),"",(VLOOKUP($E184,'A-1 Site Habitat Baseline'!$D$1:$O$258,8,FALSE))))</f>
        <v/>
      </c>
      <c r="K184" s="520" t="str">
        <f>IF(E184="","",IF(ISNA(VLOOKUP($E184,'A-1 Site Habitat Baseline'!$D$1:$O$258,9,FALSE)),"",(VLOOKUP($E184,'A-1 Site Habitat Baseline'!$D$1:$O$258,9,FALSE))))</f>
        <v/>
      </c>
      <c r="L184" s="520" t="str">
        <f>IF(E184="","",IF(ISNA(VLOOKUP($E184,'A-1 Site Habitat Baseline'!$D$1:$O$258,11,FALSE)),"",(VLOOKUP($E184,'A-1 Site Habitat Baseline'!$D$1:$O$258,11,FALSE))))</f>
        <v/>
      </c>
      <c r="M184" s="520" t="str">
        <f>IF(E184="","",IF(ISNA(VLOOKUP($E184,'A-1 Site Habitat Baseline'!$D$1:$O$258,12,FALSE)),"",(VLOOKUP($E184,'A-1 Site Habitat Baseline'!$D$1:$O$258,12,FALSE))))</f>
        <v/>
      </c>
      <c r="N184" s="532" t="str">
        <f>IF(E184="","",IF(ISNA(VLOOKUP($E184,'A-1 Site Habitat Baseline'!$D$1:$X$258,14,FALSE)),"",(VLOOKUP($E184,'A-1 Site Habitat Baseline'!$D$1:$X$258,14,FALSE))))</f>
        <v/>
      </c>
      <c r="O184" s="524" t="str">
        <f>IF(E184="","",IF(ISNA(VLOOKUP($E184,'A-1 Site Habitat Baseline'!$D$1:$X$258,16,FALSE)),"",(VLOOKUP($E184,'A-1 Site Habitat Baseline'!$D$1:$X$258,13,FALSE))))</f>
        <v/>
      </c>
      <c r="P184" s="237" t="str">
        <f>IFERROR(INDEX('G-1 All Habitats'!$AG$3:$AG$15,MATCH(Q184,'G-1 All Habitats'!$AF$3:$AF$15,0)),"")</f>
        <v/>
      </c>
      <c r="Q184" s="238" t="str">
        <f t="shared" si="26"/>
        <v/>
      </c>
      <c r="R184" s="238" t="str">
        <f t="shared" si="27"/>
        <v/>
      </c>
      <c r="S184" s="392" t="str">
        <f>IFERROR(INDEX('G-1 All Habitats'!$B$3:$B$129,MATCH(R184,'G-1 All Habitats'!$A$3:$A$129,0)),"")</f>
        <v/>
      </c>
      <c r="T184" s="498" t="str">
        <f t="shared" si="28"/>
        <v/>
      </c>
      <c r="U184" s="499" t="str">
        <f t="shared" si="29"/>
        <v/>
      </c>
      <c r="V184" s="537" t="str">
        <f t="shared" si="23"/>
        <v/>
      </c>
      <c r="W184" s="520" t="str">
        <f>IF(S184="","",VLOOKUP(S184,'G-1 All Habitats'!$B$2:$M$129,10,FALSE))</f>
        <v/>
      </c>
      <c r="X184" s="520" t="str">
        <f>IFERROR(VLOOKUP(W184,'G-1 All Habitats'!$V$3:$W$7,2,FALSE),"")</f>
        <v/>
      </c>
      <c r="Y184" s="79"/>
      <c r="Z184" s="524" t="str">
        <f>IFERROR(INDEX('G-8 Condition Look up'!$A$3:$H$130,MATCH(S184,'G-8 Condition Look up'!$A$3:$A$130,0),MATCH(Y184,'G-8 Condition Look up'!$A$3:$H$3,0)),"")</f>
        <v/>
      </c>
      <c r="AA184" s="71"/>
      <c r="AB184" s="520" t="str">
        <f>IF(AA184="","",IF(VLOOKUP(AA184,'G-3 Multipliers'!$L$3:$N$6,2,FALSE)=0,"Spatial Data Missing ⚠",VLOOKUP(AA184,'G-3 Multipliers'!$L$3:$N$6,2,FALSE)))</f>
        <v/>
      </c>
      <c r="AC184" s="524" t="str">
        <f>IF(AA184="","",IF(VLOOKUP(AA184,'G-3 Multipliers'!$L$3:$N$6,3,FALSE)=0,"Spatial Data Missing ⚠",VLOOKUP(AA184,'G-3 Multipliers'!$L$3:$N$6,3,FALSE)))</f>
        <v/>
      </c>
      <c r="AD184" s="539" t="str">
        <f t="shared" si="24"/>
        <v/>
      </c>
      <c r="AE184" s="82"/>
      <c r="AF184" s="82"/>
      <c r="AG184" s="507" t="str">
        <f t="shared" si="30"/>
        <v/>
      </c>
      <c r="AH184" s="521" t="str">
        <f t="shared" si="31"/>
        <v/>
      </c>
      <c r="AI184" s="522" t="str">
        <f>IF(AH184="Check Data","Check Data",IFERROR(VLOOKUP(AH184,'G-4 Temporal multipliers'!$A$4:$C$36,3,FALSE),""))</f>
        <v/>
      </c>
      <c r="AJ184" s="498" t="str">
        <f>IF(S184="","",VLOOKUP(S184,'G-3 Multipliers'!$A$2:$E$129,4,FALSE))</f>
        <v/>
      </c>
      <c r="AK184" s="507" t="str">
        <f t="shared" si="32"/>
        <v/>
      </c>
      <c r="AL184" s="507" t="str">
        <f t="shared" si="33"/>
        <v/>
      </c>
      <c r="AM184" s="540" t="str">
        <f>IFERROR(IF(F184="","",IF(AH184="Check Data ⚠","Check Data ⚠",VLOOKUP(AL184, 'G-3 Multipliers'!$P$2:$Q$6,2,FALSE))),"")</f>
        <v/>
      </c>
      <c r="AN184" s="513" t="str">
        <f t="shared" si="25"/>
        <v/>
      </c>
      <c r="AO184" s="239"/>
      <c r="AP184" s="240"/>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1" t="str">
        <f>'A-1 Site Habitat Baseline'!AL184</f>
        <v/>
      </c>
      <c r="F185" s="520" t="str">
        <f>IF(E185="","",IF(ISNA(VLOOKUP($E185,'A-1 Site Habitat Baseline'!$D$1:$O$258,4,FALSE)),"",(VLOOKUP($E185,'A-1 Site Habitat Baseline'!$D$1:$O$258,4,FALSE))))</f>
        <v/>
      </c>
      <c r="G185" s="520" t="str">
        <f>IF(E185="","",IF(ISNA(VLOOKUP($E185,'A-1 Site Habitat Baseline'!$D$1:$O$258,5,FALSE)),"",(VLOOKUP($E185,'A-1 Site Habitat Baseline'!$D$1:$O$258,5,FALSE))))</f>
        <v/>
      </c>
      <c r="H185" s="520" t="str">
        <f>IF(E185="","",IF(ISNA(VLOOKUP($E185,'A-1 Site Habitat Baseline'!$D$1:$O$258,6,FALSE)),"",(VLOOKUP($E185,'A-1 Site Habitat Baseline'!$D$1:$O$258,6,FALSE))))</f>
        <v/>
      </c>
      <c r="I185" s="520" t="str">
        <f>IF(E185="","",IF(ISNA(VLOOKUP($E185,'A-1 Site Habitat Baseline'!$D$1:$O$258,7,FALSE)),"",(VLOOKUP($E185,'A-1 Site Habitat Baseline'!$D$1:$O$258,7,FALSE))))</f>
        <v/>
      </c>
      <c r="J185" s="520" t="str">
        <f>IF(E185="","",IF(ISNA(VLOOKUP($E185,'A-1 Site Habitat Baseline'!$D$1:$O$258,8,FALSE)),"",(VLOOKUP($E185,'A-1 Site Habitat Baseline'!$D$1:$O$258,8,FALSE))))</f>
        <v/>
      </c>
      <c r="K185" s="520" t="str">
        <f>IF(E185="","",IF(ISNA(VLOOKUP($E185,'A-1 Site Habitat Baseline'!$D$1:$O$258,9,FALSE)),"",(VLOOKUP($E185,'A-1 Site Habitat Baseline'!$D$1:$O$258,9,FALSE))))</f>
        <v/>
      </c>
      <c r="L185" s="520" t="str">
        <f>IF(E185="","",IF(ISNA(VLOOKUP($E185,'A-1 Site Habitat Baseline'!$D$1:$O$258,11,FALSE)),"",(VLOOKUP($E185,'A-1 Site Habitat Baseline'!$D$1:$O$258,11,FALSE))))</f>
        <v/>
      </c>
      <c r="M185" s="520" t="str">
        <f>IF(E185="","",IF(ISNA(VLOOKUP($E185,'A-1 Site Habitat Baseline'!$D$1:$O$258,12,FALSE)),"",(VLOOKUP($E185,'A-1 Site Habitat Baseline'!$D$1:$O$258,12,FALSE))))</f>
        <v/>
      </c>
      <c r="N185" s="532" t="str">
        <f>IF(E185="","",IF(ISNA(VLOOKUP($E185,'A-1 Site Habitat Baseline'!$D$1:$X$258,14,FALSE)),"",(VLOOKUP($E185,'A-1 Site Habitat Baseline'!$D$1:$X$258,14,FALSE))))</f>
        <v/>
      </c>
      <c r="O185" s="524" t="str">
        <f>IF(E185="","",IF(ISNA(VLOOKUP($E185,'A-1 Site Habitat Baseline'!$D$1:$X$258,16,FALSE)),"",(VLOOKUP($E185,'A-1 Site Habitat Baseline'!$D$1:$X$258,13,FALSE))))</f>
        <v/>
      </c>
      <c r="P185" s="237" t="str">
        <f>IFERROR(INDEX('G-1 All Habitats'!$AG$3:$AG$15,MATCH(Q185,'G-1 All Habitats'!$AF$3:$AF$15,0)),"")</f>
        <v/>
      </c>
      <c r="Q185" s="238" t="str">
        <f t="shared" si="26"/>
        <v/>
      </c>
      <c r="R185" s="238" t="str">
        <f t="shared" si="27"/>
        <v/>
      </c>
      <c r="S185" s="392" t="str">
        <f>IFERROR(INDEX('G-1 All Habitats'!$B$3:$B$129,MATCH(R185,'G-1 All Habitats'!$A$3:$A$129,0)),"")</f>
        <v/>
      </c>
      <c r="T185" s="498" t="str">
        <f t="shared" si="28"/>
        <v/>
      </c>
      <c r="U185" s="499" t="str">
        <f t="shared" si="29"/>
        <v/>
      </c>
      <c r="V185" s="537" t="str">
        <f t="shared" si="23"/>
        <v/>
      </c>
      <c r="W185" s="520" t="str">
        <f>IF(S185="","",VLOOKUP(S185,'G-1 All Habitats'!$B$2:$M$129,10,FALSE))</f>
        <v/>
      </c>
      <c r="X185" s="520" t="str">
        <f>IFERROR(VLOOKUP(W185,'G-1 All Habitats'!$V$3:$W$7,2,FALSE),"")</f>
        <v/>
      </c>
      <c r="Y185" s="79"/>
      <c r="Z185" s="524" t="str">
        <f>IFERROR(INDEX('G-8 Condition Look up'!$A$3:$H$130,MATCH(S185,'G-8 Condition Look up'!$A$3:$A$130,0),MATCH(Y185,'G-8 Condition Look up'!$A$3:$H$3,0)),"")</f>
        <v/>
      </c>
      <c r="AA185" s="71"/>
      <c r="AB185" s="520" t="str">
        <f>IF(AA185="","",IF(VLOOKUP(AA185,'G-3 Multipliers'!$L$3:$N$6,2,FALSE)=0,"Spatial Data Missing ⚠",VLOOKUP(AA185,'G-3 Multipliers'!$L$3:$N$6,2,FALSE)))</f>
        <v/>
      </c>
      <c r="AC185" s="524" t="str">
        <f>IF(AA185="","",IF(VLOOKUP(AA185,'G-3 Multipliers'!$L$3:$N$6,3,FALSE)=0,"Spatial Data Missing ⚠",VLOOKUP(AA185,'G-3 Multipliers'!$L$3:$N$6,3,FALSE)))</f>
        <v/>
      </c>
      <c r="AD185" s="539" t="str">
        <f t="shared" si="24"/>
        <v/>
      </c>
      <c r="AE185" s="82"/>
      <c r="AF185" s="82"/>
      <c r="AG185" s="507" t="str">
        <f t="shared" si="30"/>
        <v/>
      </c>
      <c r="AH185" s="521" t="str">
        <f t="shared" si="31"/>
        <v/>
      </c>
      <c r="AI185" s="522" t="str">
        <f>IF(AH185="Check Data","Check Data",IFERROR(VLOOKUP(AH185,'G-4 Temporal multipliers'!$A$4:$C$36,3,FALSE),""))</f>
        <v/>
      </c>
      <c r="AJ185" s="498" t="str">
        <f>IF(S185="","",VLOOKUP(S185,'G-3 Multipliers'!$A$2:$E$129,4,FALSE))</f>
        <v/>
      </c>
      <c r="AK185" s="507" t="str">
        <f t="shared" si="32"/>
        <v/>
      </c>
      <c r="AL185" s="507" t="str">
        <f t="shared" si="33"/>
        <v/>
      </c>
      <c r="AM185" s="540" t="str">
        <f>IFERROR(IF(F185="","",IF(AH185="Check Data ⚠","Check Data ⚠",VLOOKUP(AL185, 'G-3 Multipliers'!$P$2:$Q$6,2,FALSE))),"")</f>
        <v/>
      </c>
      <c r="AN185" s="513" t="str">
        <f t="shared" si="25"/>
        <v/>
      </c>
      <c r="AO185" s="239"/>
      <c r="AP185" s="240"/>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1" t="str">
        <f>'A-1 Site Habitat Baseline'!AL185</f>
        <v/>
      </c>
      <c r="F186" s="520" t="str">
        <f>IF(E186="","",IF(ISNA(VLOOKUP($E186,'A-1 Site Habitat Baseline'!$D$1:$O$258,4,FALSE)),"",(VLOOKUP($E186,'A-1 Site Habitat Baseline'!$D$1:$O$258,4,FALSE))))</f>
        <v/>
      </c>
      <c r="G186" s="520" t="str">
        <f>IF(E186="","",IF(ISNA(VLOOKUP($E186,'A-1 Site Habitat Baseline'!$D$1:$O$258,5,FALSE)),"",(VLOOKUP($E186,'A-1 Site Habitat Baseline'!$D$1:$O$258,5,FALSE))))</f>
        <v/>
      </c>
      <c r="H186" s="520" t="str">
        <f>IF(E186="","",IF(ISNA(VLOOKUP($E186,'A-1 Site Habitat Baseline'!$D$1:$O$258,6,FALSE)),"",(VLOOKUP($E186,'A-1 Site Habitat Baseline'!$D$1:$O$258,6,FALSE))))</f>
        <v/>
      </c>
      <c r="I186" s="520" t="str">
        <f>IF(E186="","",IF(ISNA(VLOOKUP($E186,'A-1 Site Habitat Baseline'!$D$1:$O$258,7,FALSE)),"",(VLOOKUP($E186,'A-1 Site Habitat Baseline'!$D$1:$O$258,7,FALSE))))</f>
        <v/>
      </c>
      <c r="J186" s="520" t="str">
        <f>IF(E186="","",IF(ISNA(VLOOKUP($E186,'A-1 Site Habitat Baseline'!$D$1:$O$258,8,FALSE)),"",(VLOOKUP($E186,'A-1 Site Habitat Baseline'!$D$1:$O$258,8,FALSE))))</f>
        <v/>
      </c>
      <c r="K186" s="520" t="str">
        <f>IF(E186="","",IF(ISNA(VLOOKUP($E186,'A-1 Site Habitat Baseline'!$D$1:$O$258,9,FALSE)),"",(VLOOKUP($E186,'A-1 Site Habitat Baseline'!$D$1:$O$258,9,FALSE))))</f>
        <v/>
      </c>
      <c r="L186" s="520" t="str">
        <f>IF(E186="","",IF(ISNA(VLOOKUP($E186,'A-1 Site Habitat Baseline'!$D$1:$O$258,11,FALSE)),"",(VLOOKUP($E186,'A-1 Site Habitat Baseline'!$D$1:$O$258,11,FALSE))))</f>
        <v/>
      </c>
      <c r="M186" s="520" t="str">
        <f>IF(E186="","",IF(ISNA(VLOOKUP($E186,'A-1 Site Habitat Baseline'!$D$1:$O$258,12,FALSE)),"",(VLOOKUP($E186,'A-1 Site Habitat Baseline'!$D$1:$O$258,12,FALSE))))</f>
        <v/>
      </c>
      <c r="N186" s="532" t="str">
        <f>IF(E186="","",IF(ISNA(VLOOKUP($E186,'A-1 Site Habitat Baseline'!$D$1:$X$258,14,FALSE)),"",(VLOOKUP($E186,'A-1 Site Habitat Baseline'!$D$1:$X$258,14,FALSE))))</f>
        <v/>
      </c>
      <c r="O186" s="524" t="str">
        <f>IF(E186="","",IF(ISNA(VLOOKUP($E186,'A-1 Site Habitat Baseline'!$D$1:$X$258,16,FALSE)),"",(VLOOKUP($E186,'A-1 Site Habitat Baseline'!$D$1:$X$258,13,FALSE))))</f>
        <v/>
      </c>
      <c r="P186" s="237" t="str">
        <f>IFERROR(INDEX('G-1 All Habitats'!$AG$3:$AG$15,MATCH(Q186,'G-1 All Habitats'!$AF$3:$AF$15,0)),"")</f>
        <v/>
      </c>
      <c r="Q186" s="238" t="str">
        <f t="shared" si="26"/>
        <v/>
      </c>
      <c r="R186" s="238" t="str">
        <f t="shared" si="27"/>
        <v/>
      </c>
      <c r="S186" s="392" t="str">
        <f>IFERROR(INDEX('G-1 All Habitats'!$B$3:$B$129,MATCH(R186,'G-1 All Habitats'!$A$3:$A$129,0)),"")</f>
        <v/>
      </c>
      <c r="T186" s="498" t="str">
        <f t="shared" si="28"/>
        <v/>
      </c>
      <c r="U186" s="499" t="str">
        <f t="shared" si="29"/>
        <v/>
      </c>
      <c r="V186" s="537" t="str">
        <f t="shared" si="23"/>
        <v/>
      </c>
      <c r="W186" s="520" t="str">
        <f>IF(S186="","",VLOOKUP(S186,'G-1 All Habitats'!$B$2:$M$129,10,FALSE))</f>
        <v/>
      </c>
      <c r="X186" s="520" t="str">
        <f>IFERROR(VLOOKUP(W186,'G-1 All Habitats'!$V$3:$W$7,2,FALSE),"")</f>
        <v/>
      </c>
      <c r="Y186" s="79"/>
      <c r="Z186" s="524" t="str">
        <f>IFERROR(INDEX('G-8 Condition Look up'!$A$3:$H$130,MATCH(S186,'G-8 Condition Look up'!$A$3:$A$130,0),MATCH(Y186,'G-8 Condition Look up'!$A$3:$H$3,0)),"")</f>
        <v/>
      </c>
      <c r="AA186" s="71"/>
      <c r="AB186" s="520" t="str">
        <f>IF(AA186="","",IF(VLOOKUP(AA186,'G-3 Multipliers'!$L$3:$N$6,2,FALSE)=0,"Spatial Data Missing ⚠",VLOOKUP(AA186,'G-3 Multipliers'!$L$3:$N$6,2,FALSE)))</f>
        <v/>
      </c>
      <c r="AC186" s="524" t="str">
        <f>IF(AA186="","",IF(VLOOKUP(AA186,'G-3 Multipliers'!$L$3:$N$6,3,FALSE)=0,"Spatial Data Missing ⚠",VLOOKUP(AA186,'G-3 Multipliers'!$L$3:$N$6,3,FALSE)))</f>
        <v/>
      </c>
      <c r="AD186" s="539" t="str">
        <f t="shared" si="24"/>
        <v/>
      </c>
      <c r="AE186" s="82"/>
      <c r="AF186" s="82"/>
      <c r="AG186" s="507" t="str">
        <f t="shared" si="30"/>
        <v/>
      </c>
      <c r="AH186" s="521" t="str">
        <f t="shared" si="31"/>
        <v/>
      </c>
      <c r="AI186" s="522" t="str">
        <f>IF(AH186="Check Data","Check Data",IFERROR(VLOOKUP(AH186,'G-4 Temporal multipliers'!$A$4:$C$36,3,FALSE),""))</f>
        <v/>
      </c>
      <c r="AJ186" s="498" t="str">
        <f>IF(S186="","",VLOOKUP(S186,'G-3 Multipliers'!$A$2:$E$129,4,FALSE))</f>
        <v/>
      </c>
      <c r="AK186" s="507" t="str">
        <f t="shared" si="32"/>
        <v/>
      </c>
      <c r="AL186" s="507" t="str">
        <f t="shared" si="33"/>
        <v/>
      </c>
      <c r="AM186" s="540" t="str">
        <f>IFERROR(IF(F186="","",IF(AH186="Check Data ⚠","Check Data ⚠",VLOOKUP(AL186, 'G-3 Multipliers'!$P$2:$Q$6,2,FALSE))),"")</f>
        <v/>
      </c>
      <c r="AN186" s="513" t="str">
        <f t="shared" si="25"/>
        <v/>
      </c>
      <c r="AO186" s="239"/>
      <c r="AP186" s="240"/>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1" t="str">
        <f>'A-1 Site Habitat Baseline'!AL186</f>
        <v/>
      </c>
      <c r="F187" s="520" t="str">
        <f>IF(E187="","",IF(ISNA(VLOOKUP($E187,'A-1 Site Habitat Baseline'!$D$1:$O$258,4,FALSE)),"",(VLOOKUP($E187,'A-1 Site Habitat Baseline'!$D$1:$O$258,4,FALSE))))</f>
        <v/>
      </c>
      <c r="G187" s="520" t="str">
        <f>IF(E187="","",IF(ISNA(VLOOKUP($E187,'A-1 Site Habitat Baseline'!$D$1:$O$258,5,FALSE)),"",(VLOOKUP($E187,'A-1 Site Habitat Baseline'!$D$1:$O$258,5,FALSE))))</f>
        <v/>
      </c>
      <c r="H187" s="520" t="str">
        <f>IF(E187="","",IF(ISNA(VLOOKUP($E187,'A-1 Site Habitat Baseline'!$D$1:$O$258,6,FALSE)),"",(VLOOKUP($E187,'A-1 Site Habitat Baseline'!$D$1:$O$258,6,FALSE))))</f>
        <v/>
      </c>
      <c r="I187" s="520" t="str">
        <f>IF(E187="","",IF(ISNA(VLOOKUP($E187,'A-1 Site Habitat Baseline'!$D$1:$O$258,7,FALSE)),"",(VLOOKUP($E187,'A-1 Site Habitat Baseline'!$D$1:$O$258,7,FALSE))))</f>
        <v/>
      </c>
      <c r="J187" s="520" t="str">
        <f>IF(E187="","",IF(ISNA(VLOOKUP($E187,'A-1 Site Habitat Baseline'!$D$1:$O$258,8,FALSE)),"",(VLOOKUP($E187,'A-1 Site Habitat Baseline'!$D$1:$O$258,8,FALSE))))</f>
        <v/>
      </c>
      <c r="K187" s="520" t="str">
        <f>IF(E187="","",IF(ISNA(VLOOKUP($E187,'A-1 Site Habitat Baseline'!$D$1:$O$258,9,FALSE)),"",(VLOOKUP($E187,'A-1 Site Habitat Baseline'!$D$1:$O$258,9,FALSE))))</f>
        <v/>
      </c>
      <c r="L187" s="520" t="str">
        <f>IF(E187="","",IF(ISNA(VLOOKUP($E187,'A-1 Site Habitat Baseline'!$D$1:$O$258,11,FALSE)),"",(VLOOKUP($E187,'A-1 Site Habitat Baseline'!$D$1:$O$258,11,FALSE))))</f>
        <v/>
      </c>
      <c r="M187" s="520" t="str">
        <f>IF(E187="","",IF(ISNA(VLOOKUP($E187,'A-1 Site Habitat Baseline'!$D$1:$O$258,12,FALSE)),"",(VLOOKUP($E187,'A-1 Site Habitat Baseline'!$D$1:$O$258,12,FALSE))))</f>
        <v/>
      </c>
      <c r="N187" s="532" t="str">
        <f>IF(E187="","",IF(ISNA(VLOOKUP($E187,'A-1 Site Habitat Baseline'!$D$1:$X$258,14,FALSE)),"",(VLOOKUP($E187,'A-1 Site Habitat Baseline'!$D$1:$X$258,14,FALSE))))</f>
        <v/>
      </c>
      <c r="O187" s="524" t="str">
        <f>IF(E187="","",IF(ISNA(VLOOKUP($E187,'A-1 Site Habitat Baseline'!$D$1:$X$258,16,FALSE)),"",(VLOOKUP($E187,'A-1 Site Habitat Baseline'!$D$1:$X$258,13,FALSE))))</f>
        <v/>
      </c>
      <c r="P187" s="237" t="str">
        <f>IFERROR(INDEX('G-1 All Habitats'!$AG$3:$AG$15,MATCH(Q187,'G-1 All Habitats'!$AF$3:$AF$15,0)),"")</f>
        <v/>
      </c>
      <c r="Q187" s="238" t="str">
        <f t="shared" si="26"/>
        <v/>
      </c>
      <c r="R187" s="238" t="str">
        <f t="shared" si="27"/>
        <v/>
      </c>
      <c r="S187" s="392" t="str">
        <f>IFERROR(INDEX('G-1 All Habitats'!$B$3:$B$129,MATCH(R187,'G-1 All Habitats'!$A$3:$A$129,0)),"")</f>
        <v/>
      </c>
      <c r="T187" s="498" t="str">
        <f t="shared" si="28"/>
        <v/>
      </c>
      <c r="U187" s="499" t="str">
        <f t="shared" si="29"/>
        <v/>
      </c>
      <c r="V187" s="537" t="str">
        <f t="shared" si="23"/>
        <v/>
      </c>
      <c r="W187" s="520" t="str">
        <f>IF(S187="","",VLOOKUP(S187,'G-1 All Habitats'!$B$2:$M$129,10,FALSE))</f>
        <v/>
      </c>
      <c r="X187" s="520" t="str">
        <f>IFERROR(VLOOKUP(W187,'G-1 All Habitats'!$V$3:$W$7,2,FALSE),"")</f>
        <v/>
      </c>
      <c r="Y187" s="79"/>
      <c r="Z187" s="524" t="str">
        <f>IFERROR(INDEX('G-8 Condition Look up'!$A$3:$H$130,MATCH(S187,'G-8 Condition Look up'!$A$3:$A$130,0),MATCH(Y187,'G-8 Condition Look up'!$A$3:$H$3,0)),"")</f>
        <v/>
      </c>
      <c r="AA187" s="71"/>
      <c r="AB187" s="520" t="str">
        <f>IF(AA187="","",IF(VLOOKUP(AA187,'G-3 Multipliers'!$L$3:$N$6,2,FALSE)=0,"Spatial Data Missing ⚠",VLOOKUP(AA187,'G-3 Multipliers'!$L$3:$N$6,2,FALSE)))</f>
        <v/>
      </c>
      <c r="AC187" s="524" t="str">
        <f>IF(AA187="","",IF(VLOOKUP(AA187,'G-3 Multipliers'!$L$3:$N$6,3,FALSE)=0,"Spatial Data Missing ⚠",VLOOKUP(AA187,'G-3 Multipliers'!$L$3:$N$6,3,FALSE)))</f>
        <v/>
      </c>
      <c r="AD187" s="539" t="str">
        <f t="shared" si="24"/>
        <v/>
      </c>
      <c r="AE187" s="82"/>
      <c r="AF187" s="82"/>
      <c r="AG187" s="507" t="str">
        <f t="shared" si="30"/>
        <v/>
      </c>
      <c r="AH187" s="521" t="str">
        <f t="shared" si="31"/>
        <v/>
      </c>
      <c r="AI187" s="522" t="str">
        <f>IF(AH187="Check Data","Check Data",IFERROR(VLOOKUP(AH187,'G-4 Temporal multipliers'!$A$4:$C$36,3,FALSE),""))</f>
        <v/>
      </c>
      <c r="AJ187" s="498" t="str">
        <f>IF(S187="","",VLOOKUP(S187,'G-3 Multipliers'!$A$2:$E$129,4,FALSE))</f>
        <v/>
      </c>
      <c r="AK187" s="507" t="str">
        <f t="shared" si="32"/>
        <v/>
      </c>
      <c r="AL187" s="507" t="str">
        <f t="shared" si="33"/>
        <v/>
      </c>
      <c r="AM187" s="540" t="str">
        <f>IFERROR(IF(F187="","",IF(AH187="Check Data ⚠","Check Data ⚠",VLOOKUP(AL187, 'G-3 Multipliers'!$P$2:$Q$6,2,FALSE))),"")</f>
        <v/>
      </c>
      <c r="AN187" s="513" t="str">
        <f t="shared" si="25"/>
        <v/>
      </c>
      <c r="AO187" s="239"/>
      <c r="AP187" s="240"/>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1" t="str">
        <f>'A-1 Site Habitat Baseline'!AL187</f>
        <v/>
      </c>
      <c r="F188" s="520" t="str">
        <f>IF(E188="","",IF(ISNA(VLOOKUP($E188,'A-1 Site Habitat Baseline'!$D$1:$O$258,4,FALSE)),"",(VLOOKUP($E188,'A-1 Site Habitat Baseline'!$D$1:$O$258,4,FALSE))))</f>
        <v/>
      </c>
      <c r="G188" s="520" t="str">
        <f>IF(E188="","",IF(ISNA(VLOOKUP($E188,'A-1 Site Habitat Baseline'!$D$1:$O$258,5,FALSE)),"",(VLOOKUP($E188,'A-1 Site Habitat Baseline'!$D$1:$O$258,5,FALSE))))</f>
        <v/>
      </c>
      <c r="H188" s="520" t="str">
        <f>IF(E188="","",IF(ISNA(VLOOKUP($E188,'A-1 Site Habitat Baseline'!$D$1:$O$258,6,FALSE)),"",(VLOOKUP($E188,'A-1 Site Habitat Baseline'!$D$1:$O$258,6,FALSE))))</f>
        <v/>
      </c>
      <c r="I188" s="520" t="str">
        <f>IF(E188="","",IF(ISNA(VLOOKUP($E188,'A-1 Site Habitat Baseline'!$D$1:$O$258,7,FALSE)),"",(VLOOKUP($E188,'A-1 Site Habitat Baseline'!$D$1:$O$258,7,FALSE))))</f>
        <v/>
      </c>
      <c r="J188" s="520" t="str">
        <f>IF(E188="","",IF(ISNA(VLOOKUP($E188,'A-1 Site Habitat Baseline'!$D$1:$O$258,8,FALSE)),"",(VLOOKUP($E188,'A-1 Site Habitat Baseline'!$D$1:$O$258,8,FALSE))))</f>
        <v/>
      </c>
      <c r="K188" s="520" t="str">
        <f>IF(E188="","",IF(ISNA(VLOOKUP($E188,'A-1 Site Habitat Baseline'!$D$1:$O$258,9,FALSE)),"",(VLOOKUP($E188,'A-1 Site Habitat Baseline'!$D$1:$O$258,9,FALSE))))</f>
        <v/>
      </c>
      <c r="L188" s="520" t="str">
        <f>IF(E188="","",IF(ISNA(VLOOKUP($E188,'A-1 Site Habitat Baseline'!$D$1:$O$258,11,FALSE)),"",(VLOOKUP($E188,'A-1 Site Habitat Baseline'!$D$1:$O$258,11,FALSE))))</f>
        <v/>
      </c>
      <c r="M188" s="520" t="str">
        <f>IF(E188="","",IF(ISNA(VLOOKUP($E188,'A-1 Site Habitat Baseline'!$D$1:$O$258,12,FALSE)),"",(VLOOKUP($E188,'A-1 Site Habitat Baseline'!$D$1:$O$258,12,FALSE))))</f>
        <v/>
      </c>
      <c r="N188" s="532" t="str">
        <f>IF(E188="","",IF(ISNA(VLOOKUP($E188,'A-1 Site Habitat Baseline'!$D$1:$X$258,14,FALSE)),"",(VLOOKUP($E188,'A-1 Site Habitat Baseline'!$D$1:$X$258,14,FALSE))))</f>
        <v/>
      </c>
      <c r="O188" s="524" t="str">
        <f>IF(E188="","",IF(ISNA(VLOOKUP($E188,'A-1 Site Habitat Baseline'!$D$1:$X$258,16,FALSE)),"",(VLOOKUP($E188,'A-1 Site Habitat Baseline'!$D$1:$X$258,13,FALSE))))</f>
        <v/>
      </c>
      <c r="P188" s="237" t="str">
        <f>IFERROR(INDEX('G-1 All Habitats'!$AG$3:$AG$15,MATCH(Q188,'G-1 All Habitats'!$AF$3:$AF$15,0)),"")</f>
        <v/>
      </c>
      <c r="Q188" s="238" t="str">
        <f t="shared" si="26"/>
        <v/>
      </c>
      <c r="R188" s="238" t="str">
        <f t="shared" si="27"/>
        <v/>
      </c>
      <c r="S188" s="392" t="str">
        <f>IFERROR(INDEX('G-1 All Habitats'!$B$3:$B$129,MATCH(R188,'G-1 All Habitats'!$A$3:$A$129,0)),"")</f>
        <v/>
      </c>
      <c r="T188" s="498" t="str">
        <f t="shared" si="28"/>
        <v/>
      </c>
      <c r="U188" s="499" t="str">
        <f t="shared" si="29"/>
        <v/>
      </c>
      <c r="V188" s="537" t="str">
        <f t="shared" si="23"/>
        <v/>
      </c>
      <c r="W188" s="520" t="str">
        <f>IF(S188="","",VLOOKUP(S188,'G-1 All Habitats'!$B$2:$M$129,10,FALSE))</f>
        <v/>
      </c>
      <c r="X188" s="520" t="str">
        <f>IFERROR(VLOOKUP(W188,'G-1 All Habitats'!$V$3:$W$7,2,FALSE),"")</f>
        <v/>
      </c>
      <c r="Y188" s="79"/>
      <c r="Z188" s="524" t="str">
        <f>IFERROR(INDEX('G-8 Condition Look up'!$A$3:$H$130,MATCH(S188,'G-8 Condition Look up'!$A$3:$A$130,0),MATCH(Y188,'G-8 Condition Look up'!$A$3:$H$3,0)),"")</f>
        <v/>
      </c>
      <c r="AA188" s="71"/>
      <c r="AB188" s="520" t="str">
        <f>IF(AA188="","",IF(VLOOKUP(AA188,'G-3 Multipliers'!$L$3:$N$6,2,FALSE)=0,"Spatial Data Missing ⚠",VLOOKUP(AA188,'G-3 Multipliers'!$L$3:$N$6,2,FALSE)))</f>
        <v/>
      </c>
      <c r="AC188" s="524" t="str">
        <f>IF(AA188="","",IF(VLOOKUP(AA188,'G-3 Multipliers'!$L$3:$N$6,3,FALSE)=0,"Spatial Data Missing ⚠",VLOOKUP(AA188,'G-3 Multipliers'!$L$3:$N$6,3,FALSE)))</f>
        <v/>
      </c>
      <c r="AD188" s="539" t="str">
        <f t="shared" si="24"/>
        <v/>
      </c>
      <c r="AE188" s="82"/>
      <c r="AF188" s="82"/>
      <c r="AG188" s="507" t="str">
        <f t="shared" si="30"/>
        <v/>
      </c>
      <c r="AH188" s="521" t="str">
        <f t="shared" si="31"/>
        <v/>
      </c>
      <c r="AI188" s="522" t="str">
        <f>IF(AH188="Check Data","Check Data",IFERROR(VLOOKUP(AH188,'G-4 Temporal multipliers'!$A$4:$C$36,3,FALSE),""))</f>
        <v/>
      </c>
      <c r="AJ188" s="498" t="str">
        <f>IF(S188="","",VLOOKUP(S188,'G-3 Multipliers'!$A$2:$E$129,4,FALSE))</f>
        <v/>
      </c>
      <c r="AK188" s="507" t="str">
        <f t="shared" si="32"/>
        <v/>
      </c>
      <c r="AL188" s="507" t="str">
        <f t="shared" si="33"/>
        <v/>
      </c>
      <c r="AM188" s="540" t="str">
        <f>IFERROR(IF(F188="","",IF(AH188="Check Data ⚠","Check Data ⚠",VLOOKUP(AL188, 'G-3 Multipliers'!$P$2:$Q$6,2,FALSE))),"")</f>
        <v/>
      </c>
      <c r="AN188" s="513" t="str">
        <f t="shared" si="25"/>
        <v/>
      </c>
      <c r="AO188" s="239"/>
      <c r="AP188" s="240"/>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1" t="str">
        <f>'A-1 Site Habitat Baseline'!AL188</f>
        <v/>
      </c>
      <c r="F189" s="520" t="str">
        <f>IF(E189="","",IF(ISNA(VLOOKUP($E189,'A-1 Site Habitat Baseline'!$D$1:$O$258,4,FALSE)),"",(VLOOKUP($E189,'A-1 Site Habitat Baseline'!$D$1:$O$258,4,FALSE))))</f>
        <v/>
      </c>
      <c r="G189" s="520" t="str">
        <f>IF(E189="","",IF(ISNA(VLOOKUP($E189,'A-1 Site Habitat Baseline'!$D$1:$O$258,5,FALSE)),"",(VLOOKUP($E189,'A-1 Site Habitat Baseline'!$D$1:$O$258,5,FALSE))))</f>
        <v/>
      </c>
      <c r="H189" s="520" t="str">
        <f>IF(E189="","",IF(ISNA(VLOOKUP($E189,'A-1 Site Habitat Baseline'!$D$1:$O$258,6,FALSE)),"",(VLOOKUP($E189,'A-1 Site Habitat Baseline'!$D$1:$O$258,6,FALSE))))</f>
        <v/>
      </c>
      <c r="I189" s="520" t="str">
        <f>IF(E189="","",IF(ISNA(VLOOKUP($E189,'A-1 Site Habitat Baseline'!$D$1:$O$258,7,FALSE)),"",(VLOOKUP($E189,'A-1 Site Habitat Baseline'!$D$1:$O$258,7,FALSE))))</f>
        <v/>
      </c>
      <c r="J189" s="520" t="str">
        <f>IF(E189="","",IF(ISNA(VLOOKUP($E189,'A-1 Site Habitat Baseline'!$D$1:$O$258,8,FALSE)),"",(VLOOKUP($E189,'A-1 Site Habitat Baseline'!$D$1:$O$258,8,FALSE))))</f>
        <v/>
      </c>
      <c r="K189" s="520" t="str">
        <f>IF(E189="","",IF(ISNA(VLOOKUP($E189,'A-1 Site Habitat Baseline'!$D$1:$O$258,9,FALSE)),"",(VLOOKUP($E189,'A-1 Site Habitat Baseline'!$D$1:$O$258,9,FALSE))))</f>
        <v/>
      </c>
      <c r="L189" s="520" t="str">
        <f>IF(E189="","",IF(ISNA(VLOOKUP($E189,'A-1 Site Habitat Baseline'!$D$1:$O$258,11,FALSE)),"",(VLOOKUP($E189,'A-1 Site Habitat Baseline'!$D$1:$O$258,11,FALSE))))</f>
        <v/>
      </c>
      <c r="M189" s="520" t="str">
        <f>IF(E189="","",IF(ISNA(VLOOKUP($E189,'A-1 Site Habitat Baseline'!$D$1:$O$258,12,FALSE)),"",(VLOOKUP($E189,'A-1 Site Habitat Baseline'!$D$1:$O$258,12,FALSE))))</f>
        <v/>
      </c>
      <c r="N189" s="532" t="str">
        <f>IF(E189="","",IF(ISNA(VLOOKUP($E189,'A-1 Site Habitat Baseline'!$D$1:$X$258,14,FALSE)),"",(VLOOKUP($E189,'A-1 Site Habitat Baseline'!$D$1:$X$258,14,FALSE))))</f>
        <v/>
      </c>
      <c r="O189" s="524" t="str">
        <f>IF(E189="","",IF(ISNA(VLOOKUP($E189,'A-1 Site Habitat Baseline'!$D$1:$X$258,16,FALSE)),"",(VLOOKUP($E189,'A-1 Site Habitat Baseline'!$D$1:$X$258,13,FALSE))))</f>
        <v/>
      </c>
      <c r="P189" s="237" t="str">
        <f>IFERROR(INDEX('G-1 All Habitats'!$AG$3:$AG$15,MATCH(Q189,'G-1 All Habitats'!$AF$3:$AF$15,0)),"")</f>
        <v/>
      </c>
      <c r="Q189" s="238" t="str">
        <f t="shared" si="26"/>
        <v/>
      </c>
      <c r="R189" s="238" t="str">
        <f t="shared" si="27"/>
        <v/>
      </c>
      <c r="S189" s="392" t="str">
        <f>IFERROR(INDEX('G-1 All Habitats'!$B$3:$B$129,MATCH(R189,'G-1 All Habitats'!$A$3:$A$129,0)),"")</f>
        <v/>
      </c>
      <c r="T189" s="498" t="str">
        <f t="shared" si="28"/>
        <v/>
      </c>
      <c r="U189" s="499" t="str">
        <f t="shared" si="29"/>
        <v/>
      </c>
      <c r="V189" s="537" t="str">
        <f t="shared" si="23"/>
        <v/>
      </c>
      <c r="W189" s="520" t="str">
        <f>IF(S189="","",VLOOKUP(S189,'G-1 All Habitats'!$B$2:$M$129,10,FALSE))</f>
        <v/>
      </c>
      <c r="X189" s="520" t="str">
        <f>IFERROR(VLOOKUP(W189,'G-1 All Habitats'!$V$3:$W$7,2,FALSE),"")</f>
        <v/>
      </c>
      <c r="Y189" s="79"/>
      <c r="Z189" s="524" t="str">
        <f>IFERROR(INDEX('G-8 Condition Look up'!$A$3:$H$130,MATCH(S189,'G-8 Condition Look up'!$A$3:$A$130,0),MATCH(Y189,'G-8 Condition Look up'!$A$3:$H$3,0)),"")</f>
        <v/>
      </c>
      <c r="AA189" s="71"/>
      <c r="AB189" s="520" t="str">
        <f>IF(AA189="","",IF(VLOOKUP(AA189,'G-3 Multipliers'!$L$3:$N$6,2,FALSE)=0,"Spatial Data Missing ⚠",VLOOKUP(AA189,'G-3 Multipliers'!$L$3:$N$6,2,FALSE)))</f>
        <v/>
      </c>
      <c r="AC189" s="524" t="str">
        <f>IF(AA189="","",IF(VLOOKUP(AA189,'G-3 Multipliers'!$L$3:$N$6,3,FALSE)=0,"Spatial Data Missing ⚠",VLOOKUP(AA189,'G-3 Multipliers'!$L$3:$N$6,3,FALSE)))</f>
        <v/>
      </c>
      <c r="AD189" s="539" t="str">
        <f t="shared" si="24"/>
        <v/>
      </c>
      <c r="AE189" s="82"/>
      <c r="AF189" s="82"/>
      <c r="AG189" s="507" t="str">
        <f t="shared" si="30"/>
        <v/>
      </c>
      <c r="AH189" s="521" t="str">
        <f t="shared" si="31"/>
        <v/>
      </c>
      <c r="AI189" s="522" t="str">
        <f>IF(AH189="Check Data","Check Data",IFERROR(VLOOKUP(AH189,'G-4 Temporal multipliers'!$A$4:$C$36,3,FALSE),""))</f>
        <v/>
      </c>
      <c r="AJ189" s="498" t="str">
        <f>IF(S189="","",VLOOKUP(S189,'G-3 Multipliers'!$A$2:$E$129,4,FALSE))</f>
        <v/>
      </c>
      <c r="AK189" s="507" t="str">
        <f t="shared" si="32"/>
        <v/>
      </c>
      <c r="AL189" s="507" t="str">
        <f t="shared" si="33"/>
        <v/>
      </c>
      <c r="AM189" s="540" t="str">
        <f>IFERROR(IF(F189="","",IF(AH189="Check Data ⚠","Check Data ⚠",VLOOKUP(AL189, 'G-3 Multipliers'!$P$2:$Q$6,2,FALSE))),"")</f>
        <v/>
      </c>
      <c r="AN189" s="513" t="str">
        <f t="shared" si="25"/>
        <v/>
      </c>
      <c r="AO189" s="239"/>
      <c r="AP189" s="240"/>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1" t="str">
        <f>'A-1 Site Habitat Baseline'!AL189</f>
        <v/>
      </c>
      <c r="F190" s="520" t="str">
        <f>IF(E190="","",IF(ISNA(VLOOKUP($E190,'A-1 Site Habitat Baseline'!$D$1:$O$258,4,FALSE)),"",(VLOOKUP($E190,'A-1 Site Habitat Baseline'!$D$1:$O$258,4,FALSE))))</f>
        <v/>
      </c>
      <c r="G190" s="520" t="str">
        <f>IF(E190="","",IF(ISNA(VLOOKUP($E190,'A-1 Site Habitat Baseline'!$D$1:$O$258,5,FALSE)),"",(VLOOKUP($E190,'A-1 Site Habitat Baseline'!$D$1:$O$258,5,FALSE))))</f>
        <v/>
      </c>
      <c r="H190" s="520" t="str">
        <f>IF(E190="","",IF(ISNA(VLOOKUP($E190,'A-1 Site Habitat Baseline'!$D$1:$O$258,6,FALSE)),"",(VLOOKUP($E190,'A-1 Site Habitat Baseline'!$D$1:$O$258,6,FALSE))))</f>
        <v/>
      </c>
      <c r="I190" s="520" t="str">
        <f>IF(E190="","",IF(ISNA(VLOOKUP($E190,'A-1 Site Habitat Baseline'!$D$1:$O$258,7,FALSE)),"",(VLOOKUP($E190,'A-1 Site Habitat Baseline'!$D$1:$O$258,7,FALSE))))</f>
        <v/>
      </c>
      <c r="J190" s="520" t="str">
        <f>IF(E190="","",IF(ISNA(VLOOKUP($E190,'A-1 Site Habitat Baseline'!$D$1:$O$258,8,FALSE)),"",(VLOOKUP($E190,'A-1 Site Habitat Baseline'!$D$1:$O$258,8,FALSE))))</f>
        <v/>
      </c>
      <c r="K190" s="520" t="str">
        <f>IF(E190="","",IF(ISNA(VLOOKUP($E190,'A-1 Site Habitat Baseline'!$D$1:$O$258,9,FALSE)),"",(VLOOKUP($E190,'A-1 Site Habitat Baseline'!$D$1:$O$258,9,FALSE))))</f>
        <v/>
      </c>
      <c r="L190" s="520" t="str">
        <f>IF(E190="","",IF(ISNA(VLOOKUP($E190,'A-1 Site Habitat Baseline'!$D$1:$O$258,11,FALSE)),"",(VLOOKUP($E190,'A-1 Site Habitat Baseline'!$D$1:$O$258,11,FALSE))))</f>
        <v/>
      </c>
      <c r="M190" s="520" t="str">
        <f>IF(E190="","",IF(ISNA(VLOOKUP($E190,'A-1 Site Habitat Baseline'!$D$1:$O$258,12,FALSE)),"",(VLOOKUP($E190,'A-1 Site Habitat Baseline'!$D$1:$O$258,12,FALSE))))</f>
        <v/>
      </c>
      <c r="N190" s="532" t="str">
        <f>IF(E190="","",IF(ISNA(VLOOKUP($E190,'A-1 Site Habitat Baseline'!$D$1:$X$258,14,FALSE)),"",(VLOOKUP($E190,'A-1 Site Habitat Baseline'!$D$1:$X$258,14,FALSE))))</f>
        <v/>
      </c>
      <c r="O190" s="524" t="str">
        <f>IF(E190="","",IF(ISNA(VLOOKUP($E190,'A-1 Site Habitat Baseline'!$D$1:$X$258,16,FALSE)),"",(VLOOKUP($E190,'A-1 Site Habitat Baseline'!$D$1:$X$258,13,FALSE))))</f>
        <v/>
      </c>
      <c r="P190" s="237" t="str">
        <f>IFERROR(INDEX('G-1 All Habitats'!$AG$3:$AG$15,MATCH(Q190,'G-1 All Habitats'!$AF$3:$AF$15,0)),"")</f>
        <v/>
      </c>
      <c r="Q190" s="238" t="str">
        <f t="shared" si="26"/>
        <v/>
      </c>
      <c r="R190" s="238" t="str">
        <f t="shared" si="27"/>
        <v/>
      </c>
      <c r="S190" s="392" t="str">
        <f>IFERROR(INDEX('G-1 All Habitats'!$B$3:$B$129,MATCH(R190,'G-1 All Habitats'!$A$3:$A$129,0)),"")</f>
        <v/>
      </c>
      <c r="T190" s="498" t="str">
        <f t="shared" si="28"/>
        <v/>
      </c>
      <c r="U190" s="499" t="str">
        <f t="shared" si="29"/>
        <v/>
      </c>
      <c r="V190" s="537" t="str">
        <f t="shared" si="23"/>
        <v/>
      </c>
      <c r="W190" s="520" t="str">
        <f>IF(S190="","",VLOOKUP(S190,'G-1 All Habitats'!$B$2:$M$129,10,FALSE))</f>
        <v/>
      </c>
      <c r="X190" s="520" t="str">
        <f>IFERROR(VLOOKUP(W190,'G-1 All Habitats'!$V$3:$W$7,2,FALSE),"")</f>
        <v/>
      </c>
      <c r="Y190" s="79"/>
      <c r="Z190" s="524" t="str">
        <f>IFERROR(INDEX('G-8 Condition Look up'!$A$3:$H$130,MATCH(S190,'G-8 Condition Look up'!$A$3:$A$130,0),MATCH(Y190,'G-8 Condition Look up'!$A$3:$H$3,0)),"")</f>
        <v/>
      </c>
      <c r="AA190" s="71"/>
      <c r="AB190" s="520" t="str">
        <f>IF(AA190="","",IF(VLOOKUP(AA190,'G-3 Multipliers'!$L$3:$N$6,2,FALSE)=0,"Spatial Data Missing ⚠",VLOOKUP(AA190,'G-3 Multipliers'!$L$3:$N$6,2,FALSE)))</f>
        <v/>
      </c>
      <c r="AC190" s="524" t="str">
        <f>IF(AA190="","",IF(VLOOKUP(AA190,'G-3 Multipliers'!$L$3:$N$6,3,FALSE)=0,"Spatial Data Missing ⚠",VLOOKUP(AA190,'G-3 Multipliers'!$L$3:$N$6,3,FALSE)))</f>
        <v/>
      </c>
      <c r="AD190" s="539" t="str">
        <f t="shared" si="24"/>
        <v/>
      </c>
      <c r="AE190" s="82"/>
      <c r="AF190" s="82"/>
      <c r="AG190" s="507" t="str">
        <f t="shared" si="30"/>
        <v/>
      </c>
      <c r="AH190" s="521" t="str">
        <f t="shared" si="31"/>
        <v/>
      </c>
      <c r="AI190" s="522" t="str">
        <f>IF(AH190="Check Data","Check Data",IFERROR(VLOOKUP(AH190,'G-4 Temporal multipliers'!$A$4:$C$36,3,FALSE),""))</f>
        <v/>
      </c>
      <c r="AJ190" s="498" t="str">
        <f>IF(S190="","",VLOOKUP(S190,'G-3 Multipliers'!$A$2:$E$129,4,FALSE))</f>
        <v/>
      </c>
      <c r="AK190" s="507" t="str">
        <f t="shared" si="32"/>
        <v/>
      </c>
      <c r="AL190" s="507" t="str">
        <f t="shared" si="33"/>
        <v/>
      </c>
      <c r="AM190" s="540" t="str">
        <f>IFERROR(IF(F190="","",IF(AH190="Check Data ⚠","Check Data ⚠",VLOOKUP(AL190, 'G-3 Multipliers'!$P$2:$Q$6,2,FALSE))),"")</f>
        <v/>
      </c>
      <c r="AN190" s="513" t="str">
        <f t="shared" si="25"/>
        <v/>
      </c>
      <c r="AO190" s="239"/>
      <c r="AP190" s="240"/>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1" t="str">
        <f>'A-1 Site Habitat Baseline'!AL190</f>
        <v/>
      </c>
      <c r="F191" s="520" t="str">
        <f>IF(E191="","",IF(ISNA(VLOOKUP($E191,'A-1 Site Habitat Baseline'!$D$1:$O$258,4,FALSE)),"",(VLOOKUP($E191,'A-1 Site Habitat Baseline'!$D$1:$O$258,4,FALSE))))</f>
        <v/>
      </c>
      <c r="G191" s="520" t="str">
        <f>IF(E191="","",IF(ISNA(VLOOKUP($E191,'A-1 Site Habitat Baseline'!$D$1:$O$258,5,FALSE)),"",(VLOOKUP($E191,'A-1 Site Habitat Baseline'!$D$1:$O$258,5,FALSE))))</f>
        <v/>
      </c>
      <c r="H191" s="520" t="str">
        <f>IF(E191="","",IF(ISNA(VLOOKUP($E191,'A-1 Site Habitat Baseline'!$D$1:$O$258,6,FALSE)),"",(VLOOKUP($E191,'A-1 Site Habitat Baseline'!$D$1:$O$258,6,FALSE))))</f>
        <v/>
      </c>
      <c r="I191" s="520" t="str">
        <f>IF(E191="","",IF(ISNA(VLOOKUP($E191,'A-1 Site Habitat Baseline'!$D$1:$O$258,7,FALSE)),"",(VLOOKUP($E191,'A-1 Site Habitat Baseline'!$D$1:$O$258,7,FALSE))))</f>
        <v/>
      </c>
      <c r="J191" s="520" t="str">
        <f>IF(E191="","",IF(ISNA(VLOOKUP($E191,'A-1 Site Habitat Baseline'!$D$1:$O$258,8,FALSE)),"",(VLOOKUP($E191,'A-1 Site Habitat Baseline'!$D$1:$O$258,8,FALSE))))</f>
        <v/>
      </c>
      <c r="K191" s="520" t="str">
        <f>IF(E191="","",IF(ISNA(VLOOKUP($E191,'A-1 Site Habitat Baseline'!$D$1:$O$258,9,FALSE)),"",(VLOOKUP($E191,'A-1 Site Habitat Baseline'!$D$1:$O$258,9,FALSE))))</f>
        <v/>
      </c>
      <c r="L191" s="520" t="str">
        <f>IF(E191="","",IF(ISNA(VLOOKUP($E191,'A-1 Site Habitat Baseline'!$D$1:$O$258,11,FALSE)),"",(VLOOKUP($E191,'A-1 Site Habitat Baseline'!$D$1:$O$258,11,FALSE))))</f>
        <v/>
      </c>
      <c r="M191" s="520" t="str">
        <f>IF(E191="","",IF(ISNA(VLOOKUP($E191,'A-1 Site Habitat Baseline'!$D$1:$O$258,12,FALSE)),"",(VLOOKUP($E191,'A-1 Site Habitat Baseline'!$D$1:$O$258,12,FALSE))))</f>
        <v/>
      </c>
      <c r="N191" s="532" t="str">
        <f>IF(E191="","",IF(ISNA(VLOOKUP($E191,'A-1 Site Habitat Baseline'!$D$1:$X$258,14,FALSE)),"",(VLOOKUP($E191,'A-1 Site Habitat Baseline'!$D$1:$X$258,14,FALSE))))</f>
        <v/>
      </c>
      <c r="O191" s="524" t="str">
        <f>IF(E191="","",IF(ISNA(VLOOKUP($E191,'A-1 Site Habitat Baseline'!$D$1:$X$258,16,FALSE)),"",(VLOOKUP($E191,'A-1 Site Habitat Baseline'!$D$1:$X$258,13,FALSE))))</f>
        <v/>
      </c>
      <c r="P191" s="237" t="str">
        <f>IFERROR(INDEX('G-1 All Habitats'!$AG$3:$AG$15,MATCH(Q191,'G-1 All Habitats'!$AF$3:$AF$15,0)),"")</f>
        <v/>
      </c>
      <c r="Q191" s="238" t="str">
        <f t="shared" si="26"/>
        <v/>
      </c>
      <c r="R191" s="238" t="str">
        <f t="shared" si="27"/>
        <v/>
      </c>
      <c r="S191" s="392" t="str">
        <f>IFERROR(INDEX('G-1 All Habitats'!$B$3:$B$129,MATCH(R191,'G-1 All Habitats'!$A$3:$A$129,0)),"")</f>
        <v/>
      </c>
      <c r="T191" s="498" t="str">
        <f t="shared" si="28"/>
        <v/>
      </c>
      <c r="U191" s="499" t="str">
        <f t="shared" si="29"/>
        <v/>
      </c>
      <c r="V191" s="537" t="str">
        <f t="shared" si="23"/>
        <v/>
      </c>
      <c r="W191" s="520" t="str">
        <f>IF(S191="","",VLOOKUP(S191,'G-1 All Habitats'!$B$2:$M$129,10,FALSE))</f>
        <v/>
      </c>
      <c r="X191" s="520" t="str">
        <f>IFERROR(VLOOKUP(W191,'G-1 All Habitats'!$V$3:$W$7,2,FALSE),"")</f>
        <v/>
      </c>
      <c r="Y191" s="79"/>
      <c r="Z191" s="524" t="str">
        <f>IFERROR(INDEX('G-8 Condition Look up'!$A$3:$H$130,MATCH(S191,'G-8 Condition Look up'!$A$3:$A$130,0),MATCH(Y191,'G-8 Condition Look up'!$A$3:$H$3,0)),"")</f>
        <v/>
      </c>
      <c r="AA191" s="71"/>
      <c r="AB191" s="520" t="str">
        <f>IF(AA191="","",IF(VLOOKUP(AA191,'G-3 Multipliers'!$L$3:$N$6,2,FALSE)=0,"Spatial Data Missing ⚠",VLOOKUP(AA191,'G-3 Multipliers'!$L$3:$N$6,2,FALSE)))</f>
        <v/>
      </c>
      <c r="AC191" s="524" t="str">
        <f>IF(AA191="","",IF(VLOOKUP(AA191,'G-3 Multipliers'!$L$3:$N$6,3,FALSE)=0,"Spatial Data Missing ⚠",VLOOKUP(AA191,'G-3 Multipliers'!$L$3:$N$6,3,FALSE)))</f>
        <v/>
      </c>
      <c r="AD191" s="539" t="str">
        <f t="shared" si="24"/>
        <v/>
      </c>
      <c r="AE191" s="82"/>
      <c r="AF191" s="82"/>
      <c r="AG191" s="507" t="str">
        <f t="shared" si="30"/>
        <v/>
      </c>
      <c r="AH191" s="521" t="str">
        <f t="shared" si="31"/>
        <v/>
      </c>
      <c r="AI191" s="522" t="str">
        <f>IF(AH191="Check Data","Check Data",IFERROR(VLOOKUP(AH191,'G-4 Temporal multipliers'!$A$4:$C$36,3,FALSE),""))</f>
        <v/>
      </c>
      <c r="AJ191" s="498" t="str">
        <f>IF(S191="","",VLOOKUP(S191,'G-3 Multipliers'!$A$2:$E$129,4,FALSE))</f>
        <v/>
      </c>
      <c r="AK191" s="507" t="str">
        <f t="shared" si="32"/>
        <v/>
      </c>
      <c r="AL191" s="507" t="str">
        <f t="shared" si="33"/>
        <v/>
      </c>
      <c r="AM191" s="540" t="str">
        <f>IFERROR(IF(F191="","",IF(AH191="Check Data ⚠","Check Data ⚠",VLOOKUP(AL191, 'G-3 Multipliers'!$P$2:$Q$6,2,FALSE))),"")</f>
        <v/>
      </c>
      <c r="AN191" s="513" t="str">
        <f t="shared" si="25"/>
        <v/>
      </c>
      <c r="AO191" s="239"/>
      <c r="AP191" s="240"/>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1" t="str">
        <f>'A-1 Site Habitat Baseline'!AL191</f>
        <v/>
      </c>
      <c r="F192" s="520" t="str">
        <f>IF(E192="","",IF(ISNA(VLOOKUP($E192,'A-1 Site Habitat Baseline'!$D$1:$O$258,4,FALSE)),"",(VLOOKUP($E192,'A-1 Site Habitat Baseline'!$D$1:$O$258,4,FALSE))))</f>
        <v/>
      </c>
      <c r="G192" s="520" t="str">
        <f>IF(E192="","",IF(ISNA(VLOOKUP($E192,'A-1 Site Habitat Baseline'!$D$1:$O$258,5,FALSE)),"",(VLOOKUP($E192,'A-1 Site Habitat Baseline'!$D$1:$O$258,5,FALSE))))</f>
        <v/>
      </c>
      <c r="H192" s="520" t="str">
        <f>IF(E192="","",IF(ISNA(VLOOKUP($E192,'A-1 Site Habitat Baseline'!$D$1:$O$258,6,FALSE)),"",(VLOOKUP($E192,'A-1 Site Habitat Baseline'!$D$1:$O$258,6,FALSE))))</f>
        <v/>
      </c>
      <c r="I192" s="520" t="str">
        <f>IF(E192="","",IF(ISNA(VLOOKUP($E192,'A-1 Site Habitat Baseline'!$D$1:$O$258,7,FALSE)),"",(VLOOKUP($E192,'A-1 Site Habitat Baseline'!$D$1:$O$258,7,FALSE))))</f>
        <v/>
      </c>
      <c r="J192" s="520" t="str">
        <f>IF(E192="","",IF(ISNA(VLOOKUP($E192,'A-1 Site Habitat Baseline'!$D$1:$O$258,8,FALSE)),"",(VLOOKUP($E192,'A-1 Site Habitat Baseline'!$D$1:$O$258,8,FALSE))))</f>
        <v/>
      </c>
      <c r="K192" s="520" t="str">
        <f>IF(E192="","",IF(ISNA(VLOOKUP($E192,'A-1 Site Habitat Baseline'!$D$1:$O$258,9,FALSE)),"",(VLOOKUP($E192,'A-1 Site Habitat Baseline'!$D$1:$O$258,9,FALSE))))</f>
        <v/>
      </c>
      <c r="L192" s="520" t="str">
        <f>IF(E192="","",IF(ISNA(VLOOKUP($E192,'A-1 Site Habitat Baseline'!$D$1:$O$258,11,FALSE)),"",(VLOOKUP($E192,'A-1 Site Habitat Baseline'!$D$1:$O$258,11,FALSE))))</f>
        <v/>
      </c>
      <c r="M192" s="520" t="str">
        <f>IF(E192="","",IF(ISNA(VLOOKUP($E192,'A-1 Site Habitat Baseline'!$D$1:$O$258,12,FALSE)),"",(VLOOKUP($E192,'A-1 Site Habitat Baseline'!$D$1:$O$258,12,FALSE))))</f>
        <v/>
      </c>
      <c r="N192" s="532" t="str">
        <f>IF(E192="","",IF(ISNA(VLOOKUP($E192,'A-1 Site Habitat Baseline'!$D$1:$X$258,14,FALSE)),"",(VLOOKUP($E192,'A-1 Site Habitat Baseline'!$D$1:$X$258,14,FALSE))))</f>
        <v/>
      </c>
      <c r="O192" s="524" t="str">
        <f>IF(E192="","",IF(ISNA(VLOOKUP($E192,'A-1 Site Habitat Baseline'!$D$1:$X$258,16,FALSE)),"",(VLOOKUP($E192,'A-1 Site Habitat Baseline'!$D$1:$X$258,13,FALSE))))</f>
        <v/>
      </c>
      <c r="P192" s="237" t="str">
        <f>IFERROR(INDEX('G-1 All Habitats'!$AG$3:$AG$15,MATCH(Q192,'G-1 All Habitats'!$AF$3:$AF$15,0)),"")</f>
        <v/>
      </c>
      <c r="Q192" s="238" t="str">
        <f t="shared" si="26"/>
        <v/>
      </c>
      <c r="R192" s="238" t="str">
        <f t="shared" si="27"/>
        <v/>
      </c>
      <c r="S192" s="392" t="str">
        <f>IFERROR(INDEX('G-1 All Habitats'!$B$3:$B$129,MATCH(R192,'G-1 All Habitats'!$A$3:$A$129,0)),"")</f>
        <v/>
      </c>
      <c r="T192" s="498" t="str">
        <f t="shared" si="28"/>
        <v/>
      </c>
      <c r="U192" s="499" t="str">
        <f t="shared" si="29"/>
        <v/>
      </c>
      <c r="V192" s="537" t="str">
        <f t="shared" si="23"/>
        <v/>
      </c>
      <c r="W192" s="520" t="str">
        <f>IF(S192="","",VLOOKUP(S192,'G-1 All Habitats'!$B$2:$M$129,10,FALSE))</f>
        <v/>
      </c>
      <c r="X192" s="520" t="str">
        <f>IFERROR(VLOOKUP(W192,'G-1 All Habitats'!$V$3:$W$7,2,FALSE),"")</f>
        <v/>
      </c>
      <c r="Y192" s="79"/>
      <c r="Z192" s="524" t="str">
        <f>IFERROR(INDEX('G-8 Condition Look up'!$A$3:$H$130,MATCH(S192,'G-8 Condition Look up'!$A$3:$A$130,0),MATCH(Y192,'G-8 Condition Look up'!$A$3:$H$3,0)),"")</f>
        <v/>
      </c>
      <c r="AA192" s="71"/>
      <c r="AB192" s="520" t="str">
        <f>IF(AA192="","",IF(VLOOKUP(AA192,'G-3 Multipliers'!$L$3:$N$6,2,FALSE)=0,"Spatial Data Missing ⚠",VLOOKUP(AA192,'G-3 Multipliers'!$L$3:$N$6,2,FALSE)))</f>
        <v/>
      </c>
      <c r="AC192" s="524" t="str">
        <f>IF(AA192="","",IF(VLOOKUP(AA192,'G-3 Multipliers'!$L$3:$N$6,3,FALSE)=0,"Spatial Data Missing ⚠",VLOOKUP(AA192,'G-3 Multipliers'!$L$3:$N$6,3,FALSE)))</f>
        <v/>
      </c>
      <c r="AD192" s="539" t="str">
        <f t="shared" si="24"/>
        <v/>
      </c>
      <c r="AE192" s="82"/>
      <c r="AF192" s="82"/>
      <c r="AG192" s="507" t="str">
        <f t="shared" si="30"/>
        <v/>
      </c>
      <c r="AH192" s="521" t="str">
        <f t="shared" si="31"/>
        <v/>
      </c>
      <c r="AI192" s="522" t="str">
        <f>IF(AH192="Check Data","Check Data",IFERROR(VLOOKUP(AH192,'G-4 Temporal multipliers'!$A$4:$C$36,3,FALSE),""))</f>
        <v/>
      </c>
      <c r="AJ192" s="498" t="str">
        <f>IF(S192="","",VLOOKUP(S192,'G-3 Multipliers'!$A$2:$E$129,4,FALSE))</f>
        <v/>
      </c>
      <c r="AK192" s="507" t="str">
        <f t="shared" si="32"/>
        <v/>
      </c>
      <c r="AL192" s="507" t="str">
        <f t="shared" si="33"/>
        <v/>
      </c>
      <c r="AM192" s="540" t="str">
        <f>IFERROR(IF(F192="","",IF(AH192="Check Data ⚠","Check Data ⚠",VLOOKUP(AL192, 'G-3 Multipliers'!$P$2:$Q$6,2,FALSE))),"")</f>
        <v/>
      </c>
      <c r="AN192" s="513" t="str">
        <f t="shared" si="25"/>
        <v/>
      </c>
      <c r="AO192" s="239"/>
      <c r="AP192" s="240"/>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1" t="str">
        <f>'A-1 Site Habitat Baseline'!AL192</f>
        <v/>
      </c>
      <c r="F193" s="520" t="str">
        <f>IF(E193="","",IF(ISNA(VLOOKUP($E193,'A-1 Site Habitat Baseline'!$D$1:$O$258,4,FALSE)),"",(VLOOKUP($E193,'A-1 Site Habitat Baseline'!$D$1:$O$258,4,FALSE))))</f>
        <v/>
      </c>
      <c r="G193" s="520" t="str">
        <f>IF(E193="","",IF(ISNA(VLOOKUP($E193,'A-1 Site Habitat Baseline'!$D$1:$O$258,5,FALSE)),"",(VLOOKUP($E193,'A-1 Site Habitat Baseline'!$D$1:$O$258,5,FALSE))))</f>
        <v/>
      </c>
      <c r="H193" s="520" t="str">
        <f>IF(E193="","",IF(ISNA(VLOOKUP($E193,'A-1 Site Habitat Baseline'!$D$1:$O$258,6,FALSE)),"",(VLOOKUP($E193,'A-1 Site Habitat Baseline'!$D$1:$O$258,6,FALSE))))</f>
        <v/>
      </c>
      <c r="I193" s="520" t="str">
        <f>IF(E193="","",IF(ISNA(VLOOKUP($E193,'A-1 Site Habitat Baseline'!$D$1:$O$258,7,FALSE)),"",(VLOOKUP($E193,'A-1 Site Habitat Baseline'!$D$1:$O$258,7,FALSE))))</f>
        <v/>
      </c>
      <c r="J193" s="520" t="str">
        <f>IF(E193="","",IF(ISNA(VLOOKUP($E193,'A-1 Site Habitat Baseline'!$D$1:$O$258,8,FALSE)),"",(VLOOKUP($E193,'A-1 Site Habitat Baseline'!$D$1:$O$258,8,FALSE))))</f>
        <v/>
      </c>
      <c r="K193" s="520" t="str">
        <f>IF(E193="","",IF(ISNA(VLOOKUP($E193,'A-1 Site Habitat Baseline'!$D$1:$O$258,9,FALSE)),"",(VLOOKUP($E193,'A-1 Site Habitat Baseline'!$D$1:$O$258,9,FALSE))))</f>
        <v/>
      </c>
      <c r="L193" s="520" t="str">
        <f>IF(E193="","",IF(ISNA(VLOOKUP($E193,'A-1 Site Habitat Baseline'!$D$1:$O$258,11,FALSE)),"",(VLOOKUP($E193,'A-1 Site Habitat Baseline'!$D$1:$O$258,11,FALSE))))</f>
        <v/>
      </c>
      <c r="M193" s="520" t="str">
        <f>IF(E193="","",IF(ISNA(VLOOKUP($E193,'A-1 Site Habitat Baseline'!$D$1:$O$258,12,FALSE)),"",(VLOOKUP($E193,'A-1 Site Habitat Baseline'!$D$1:$O$258,12,FALSE))))</f>
        <v/>
      </c>
      <c r="N193" s="532" t="str">
        <f>IF(E193="","",IF(ISNA(VLOOKUP($E193,'A-1 Site Habitat Baseline'!$D$1:$X$258,14,FALSE)),"",(VLOOKUP($E193,'A-1 Site Habitat Baseline'!$D$1:$X$258,14,FALSE))))</f>
        <v/>
      </c>
      <c r="O193" s="524" t="str">
        <f>IF(E193="","",IF(ISNA(VLOOKUP($E193,'A-1 Site Habitat Baseline'!$D$1:$X$258,16,FALSE)),"",(VLOOKUP($E193,'A-1 Site Habitat Baseline'!$D$1:$X$258,13,FALSE))))</f>
        <v/>
      </c>
      <c r="P193" s="237" t="str">
        <f>IFERROR(INDEX('G-1 All Habitats'!$AG$3:$AG$15,MATCH(Q193,'G-1 All Habitats'!$AF$3:$AF$15,0)),"")</f>
        <v/>
      </c>
      <c r="Q193" s="238" t="str">
        <f t="shared" si="26"/>
        <v/>
      </c>
      <c r="R193" s="238" t="str">
        <f t="shared" si="27"/>
        <v/>
      </c>
      <c r="S193" s="392" t="str">
        <f>IFERROR(INDEX('G-1 All Habitats'!$B$3:$B$129,MATCH(R193,'G-1 All Habitats'!$A$3:$A$129,0)),"")</f>
        <v/>
      </c>
      <c r="T193" s="498" t="str">
        <f t="shared" si="28"/>
        <v/>
      </c>
      <c r="U193" s="499" t="str">
        <f t="shared" si="29"/>
        <v/>
      </c>
      <c r="V193" s="537" t="str">
        <f t="shared" si="23"/>
        <v/>
      </c>
      <c r="W193" s="520" t="str">
        <f>IF(S193="","",VLOOKUP(S193,'G-1 All Habitats'!$B$2:$M$129,10,FALSE))</f>
        <v/>
      </c>
      <c r="X193" s="520" t="str">
        <f>IFERROR(VLOOKUP(W193,'G-1 All Habitats'!$V$3:$W$7,2,FALSE),"")</f>
        <v/>
      </c>
      <c r="Y193" s="79"/>
      <c r="Z193" s="524" t="str">
        <f>IFERROR(INDEX('G-8 Condition Look up'!$A$3:$H$130,MATCH(S193,'G-8 Condition Look up'!$A$3:$A$130,0),MATCH(Y193,'G-8 Condition Look up'!$A$3:$H$3,0)),"")</f>
        <v/>
      </c>
      <c r="AA193" s="71"/>
      <c r="AB193" s="520" t="str">
        <f>IF(AA193="","",IF(VLOOKUP(AA193,'G-3 Multipliers'!$L$3:$N$6,2,FALSE)=0,"Spatial Data Missing ⚠",VLOOKUP(AA193,'G-3 Multipliers'!$L$3:$N$6,2,FALSE)))</f>
        <v/>
      </c>
      <c r="AC193" s="524" t="str">
        <f>IF(AA193="","",IF(VLOOKUP(AA193,'G-3 Multipliers'!$L$3:$N$6,3,FALSE)=0,"Spatial Data Missing ⚠",VLOOKUP(AA193,'G-3 Multipliers'!$L$3:$N$6,3,FALSE)))</f>
        <v/>
      </c>
      <c r="AD193" s="539" t="str">
        <f t="shared" si="24"/>
        <v/>
      </c>
      <c r="AE193" s="82"/>
      <c r="AF193" s="82"/>
      <c r="AG193" s="507" t="str">
        <f t="shared" si="30"/>
        <v/>
      </c>
      <c r="AH193" s="521" t="str">
        <f t="shared" si="31"/>
        <v/>
      </c>
      <c r="AI193" s="522" t="str">
        <f>IF(AH193="Check Data","Check Data",IFERROR(VLOOKUP(AH193,'G-4 Temporal multipliers'!$A$4:$C$36,3,FALSE),""))</f>
        <v/>
      </c>
      <c r="AJ193" s="498" t="str">
        <f>IF(S193="","",VLOOKUP(S193,'G-3 Multipliers'!$A$2:$E$129,4,FALSE))</f>
        <v/>
      </c>
      <c r="AK193" s="507" t="str">
        <f t="shared" si="32"/>
        <v/>
      </c>
      <c r="AL193" s="507" t="str">
        <f t="shared" si="33"/>
        <v/>
      </c>
      <c r="AM193" s="540" t="str">
        <f>IFERROR(IF(F193="","",IF(AH193="Check Data ⚠","Check Data ⚠",VLOOKUP(AL193, 'G-3 Multipliers'!$P$2:$Q$6,2,FALSE))),"")</f>
        <v/>
      </c>
      <c r="AN193" s="513" t="str">
        <f t="shared" si="25"/>
        <v/>
      </c>
      <c r="AO193" s="239"/>
      <c r="AP193" s="240"/>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1" t="str">
        <f>'A-1 Site Habitat Baseline'!AL193</f>
        <v/>
      </c>
      <c r="F194" s="520" t="str">
        <f>IF(E194="","",IF(ISNA(VLOOKUP($E194,'A-1 Site Habitat Baseline'!$D$1:$O$258,4,FALSE)),"",(VLOOKUP($E194,'A-1 Site Habitat Baseline'!$D$1:$O$258,4,FALSE))))</f>
        <v/>
      </c>
      <c r="G194" s="520" t="str">
        <f>IF(E194="","",IF(ISNA(VLOOKUP($E194,'A-1 Site Habitat Baseline'!$D$1:$O$258,5,FALSE)),"",(VLOOKUP($E194,'A-1 Site Habitat Baseline'!$D$1:$O$258,5,FALSE))))</f>
        <v/>
      </c>
      <c r="H194" s="520" t="str">
        <f>IF(E194="","",IF(ISNA(VLOOKUP($E194,'A-1 Site Habitat Baseline'!$D$1:$O$258,6,FALSE)),"",(VLOOKUP($E194,'A-1 Site Habitat Baseline'!$D$1:$O$258,6,FALSE))))</f>
        <v/>
      </c>
      <c r="I194" s="520" t="str">
        <f>IF(E194="","",IF(ISNA(VLOOKUP($E194,'A-1 Site Habitat Baseline'!$D$1:$O$258,7,FALSE)),"",(VLOOKUP($E194,'A-1 Site Habitat Baseline'!$D$1:$O$258,7,FALSE))))</f>
        <v/>
      </c>
      <c r="J194" s="520" t="str">
        <f>IF(E194="","",IF(ISNA(VLOOKUP($E194,'A-1 Site Habitat Baseline'!$D$1:$O$258,8,FALSE)),"",(VLOOKUP($E194,'A-1 Site Habitat Baseline'!$D$1:$O$258,8,FALSE))))</f>
        <v/>
      </c>
      <c r="K194" s="520" t="str">
        <f>IF(E194="","",IF(ISNA(VLOOKUP($E194,'A-1 Site Habitat Baseline'!$D$1:$O$258,9,FALSE)),"",(VLOOKUP($E194,'A-1 Site Habitat Baseline'!$D$1:$O$258,9,FALSE))))</f>
        <v/>
      </c>
      <c r="L194" s="520" t="str">
        <f>IF(E194="","",IF(ISNA(VLOOKUP($E194,'A-1 Site Habitat Baseline'!$D$1:$O$258,11,FALSE)),"",(VLOOKUP($E194,'A-1 Site Habitat Baseline'!$D$1:$O$258,11,FALSE))))</f>
        <v/>
      </c>
      <c r="M194" s="520" t="str">
        <f>IF(E194="","",IF(ISNA(VLOOKUP($E194,'A-1 Site Habitat Baseline'!$D$1:$O$258,12,FALSE)),"",(VLOOKUP($E194,'A-1 Site Habitat Baseline'!$D$1:$O$258,12,FALSE))))</f>
        <v/>
      </c>
      <c r="N194" s="532" t="str">
        <f>IF(E194="","",IF(ISNA(VLOOKUP($E194,'A-1 Site Habitat Baseline'!$D$1:$X$258,14,FALSE)),"",(VLOOKUP($E194,'A-1 Site Habitat Baseline'!$D$1:$X$258,14,FALSE))))</f>
        <v/>
      </c>
      <c r="O194" s="524" t="str">
        <f>IF(E194="","",IF(ISNA(VLOOKUP($E194,'A-1 Site Habitat Baseline'!$D$1:$X$258,16,FALSE)),"",(VLOOKUP($E194,'A-1 Site Habitat Baseline'!$D$1:$X$258,13,FALSE))))</f>
        <v/>
      </c>
      <c r="P194" s="237" t="str">
        <f>IFERROR(INDEX('G-1 All Habitats'!$AG$3:$AG$15,MATCH(Q194,'G-1 All Habitats'!$AF$3:$AF$15,0)),"")</f>
        <v/>
      </c>
      <c r="Q194" s="238" t="str">
        <f t="shared" si="26"/>
        <v/>
      </c>
      <c r="R194" s="238" t="str">
        <f t="shared" si="27"/>
        <v/>
      </c>
      <c r="S194" s="392" t="str">
        <f>IFERROR(INDEX('G-1 All Habitats'!$B$3:$B$129,MATCH(R194,'G-1 All Habitats'!$A$3:$A$129,0)),"")</f>
        <v/>
      </c>
      <c r="T194" s="498" t="str">
        <f t="shared" si="28"/>
        <v/>
      </c>
      <c r="U194" s="499" t="str">
        <f t="shared" si="29"/>
        <v/>
      </c>
      <c r="V194" s="537" t="str">
        <f t="shared" si="23"/>
        <v/>
      </c>
      <c r="W194" s="520" t="str">
        <f>IF(S194="","",VLOOKUP(S194,'G-1 All Habitats'!$B$2:$M$129,10,FALSE))</f>
        <v/>
      </c>
      <c r="X194" s="520" t="str">
        <f>IFERROR(VLOOKUP(W194,'G-1 All Habitats'!$V$3:$W$7,2,FALSE),"")</f>
        <v/>
      </c>
      <c r="Y194" s="79"/>
      <c r="Z194" s="524" t="str">
        <f>IFERROR(INDEX('G-8 Condition Look up'!$A$3:$H$130,MATCH(S194,'G-8 Condition Look up'!$A$3:$A$130,0),MATCH(Y194,'G-8 Condition Look up'!$A$3:$H$3,0)),"")</f>
        <v/>
      </c>
      <c r="AA194" s="71"/>
      <c r="AB194" s="520" t="str">
        <f>IF(AA194="","",IF(VLOOKUP(AA194,'G-3 Multipliers'!$L$3:$N$6,2,FALSE)=0,"Spatial Data Missing ⚠",VLOOKUP(AA194,'G-3 Multipliers'!$L$3:$N$6,2,FALSE)))</f>
        <v/>
      </c>
      <c r="AC194" s="524" t="str">
        <f>IF(AA194="","",IF(VLOOKUP(AA194,'G-3 Multipliers'!$L$3:$N$6,3,FALSE)=0,"Spatial Data Missing ⚠",VLOOKUP(AA194,'G-3 Multipliers'!$L$3:$N$6,3,FALSE)))</f>
        <v/>
      </c>
      <c r="AD194" s="539" t="str">
        <f t="shared" si="24"/>
        <v/>
      </c>
      <c r="AE194" s="82"/>
      <c r="AF194" s="82"/>
      <c r="AG194" s="507" t="str">
        <f t="shared" si="30"/>
        <v/>
      </c>
      <c r="AH194" s="521" t="str">
        <f t="shared" si="31"/>
        <v/>
      </c>
      <c r="AI194" s="522" t="str">
        <f>IF(AH194="Check Data","Check Data",IFERROR(VLOOKUP(AH194,'G-4 Temporal multipliers'!$A$4:$C$36,3,FALSE),""))</f>
        <v/>
      </c>
      <c r="AJ194" s="498" t="str">
        <f>IF(S194="","",VLOOKUP(S194,'G-3 Multipliers'!$A$2:$E$129,4,FALSE))</f>
        <v/>
      </c>
      <c r="AK194" s="507" t="str">
        <f t="shared" si="32"/>
        <v/>
      </c>
      <c r="AL194" s="507" t="str">
        <f t="shared" si="33"/>
        <v/>
      </c>
      <c r="AM194" s="540" t="str">
        <f>IFERROR(IF(F194="","",IF(AH194="Check Data ⚠","Check Data ⚠",VLOOKUP(AL194, 'G-3 Multipliers'!$P$2:$Q$6,2,FALSE))),"")</f>
        <v/>
      </c>
      <c r="AN194" s="513" t="str">
        <f t="shared" si="25"/>
        <v/>
      </c>
      <c r="AO194" s="239"/>
      <c r="AP194" s="240"/>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1" t="str">
        <f>'A-1 Site Habitat Baseline'!AL194</f>
        <v/>
      </c>
      <c r="F195" s="520" t="str">
        <f>IF(E195="","",IF(ISNA(VLOOKUP($E195,'A-1 Site Habitat Baseline'!$D$1:$O$258,4,FALSE)),"",(VLOOKUP($E195,'A-1 Site Habitat Baseline'!$D$1:$O$258,4,FALSE))))</f>
        <v/>
      </c>
      <c r="G195" s="520" t="str">
        <f>IF(E195="","",IF(ISNA(VLOOKUP($E195,'A-1 Site Habitat Baseline'!$D$1:$O$258,5,FALSE)),"",(VLOOKUP($E195,'A-1 Site Habitat Baseline'!$D$1:$O$258,5,FALSE))))</f>
        <v/>
      </c>
      <c r="H195" s="520" t="str">
        <f>IF(E195="","",IF(ISNA(VLOOKUP($E195,'A-1 Site Habitat Baseline'!$D$1:$O$258,6,FALSE)),"",(VLOOKUP($E195,'A-1 Site Habitat Baseline'!$D$1:$O$258,6,FALSE))))</f>
        <v/>
      </c>
      <c r="I195" s="520" t="str">
        <f>IF(E195="","",IF(ISNA(VLOOKUP($E195,'A-1 Site Habitat Baseline'!$D$1:$O$258,7,FALSE)),"",(VLOOKUP($E195,'A-1 Site Habitat Baseline'!$D$1:$O$258,7,FALSE))))</f>
        <v/>
      </c>
      <c r="J195" s="520" t="str">
        <f>IF(E195="","",IF(ISNA(VLOOKUP($E195,'A-1 Site Habitat Baseline'!$D$1:$O$258,8,FALSE)),"",(VLOOKUP($E195,'A-1 Site Habitat Baseline'!$D$1:$O$258,8,FALSE))))</f>
        <v/>
      </c>
      <c r="K195" s="520" t="str">
        <f>IF(E195="","",IF(ISNA(VLOOKUP($E195,'A-1 Site Habitat Baseline'!$D$1:$O$258,9,FALSE)),"",(VLOOKUP($E195,'A-1 Site Habitat Baseline'!$D$1:$O$258,9,FALSE))))</f>
        <v/>
      </c>
      <c r="L195" s="520" t="str">
        <f>IF(E195="","",IF(ISNA(VLOOKUP($E195,'A-1 Site Habitat Baseline'!$D$1:$O$258,11,FALSE)),"",(VLOOKUP($E195,'A-1 Site Habitat Baseline'!$D$1:$O$258,11,FALSE))))</f>
        <v/>
      </c>
      <c r="M195" s="520" t="str">
        <f>IF(E195="","",IF(ISNA(VLOOKUP($E195,'A-1 Site Habitat Baseline'!$D$1:$O$258,12,FALSE)),"",(VLOOKUP($E195,'A-1 Site Habitat Baseline'!$D$1:$O$258,12,FALSE))))</f>
        <v/>
      </c>
      <c r="N195" s="532" t="str">
        <f>IF(E195="","",IF(ISNA(VLOOKUP($E195,'A-1 Site Habitat Baseline'!$D$1:$X$258,14,FALSE)),"",(VLOOKUP($E195,'A-1 Site Habitat Baseline'!$D$1:$X$258,14,FALSE))))</f>
        <v/>
      </c>
      <c r="O195" s="524" t="str">
        <f>IF(E195="","",IF(ISNA(VLOOKUP($E195,'A-1 Site Habitat Baseline'!$D$1:$X$258,16,FALSE)),"",(VLOOKUP($E195,'A-1 Site Habitat Baseline'!$D$1:$X$258,13,FALSE))))</f>
        <v/>
      </c>
      <c r="P195" s="237" t="str">
        <f>IFERROR(INDEX('G-1 All Habitats'!$AG$3:$AG$15,MATCH(Q195,'G-1 All Habitats'!$AF$3:$AF$15,0)),"")</f>
        <v/>
      </c>
      <c r="Q195" s="238" t="str">
        <f t="shared" si="26"/>
        <v/>
      </c>
      <c r="R195" s="238" t="str">
        <f t="shared" si="27"/>
        <v/>
      </c>
      <c r="S195" s="392" t="str">
        <f>IFERROR(INDEX('G-1 All Habitats'!$B$3:$B$129,MATCH(R195,'G-1 All Habitats'!$A$3:$A$129,0)),"")</f>
        <v/>
      </c>
      <c r="T195" s="498" t="str">
        <f t="shared" si="28"/>
        <v/>
      </c>
      <c r="U195" s="499" t="str">
        <f t="shared" si="29"/>
        <v/>
      </c>
      <c r="V195" s="537" t="str">
        <f t="shared" si="23"/>
        <v/>
      </c>
      <c r="W195" s="520" t="str">
        <f>IF(S195="","",VLOOKUP(S195,'G-1 All Habitats'!$B$2:$M$129,10,FALSE))</f>
        <v/>
      </c>
      <c r="X195" s="520" t="str">
        <f>IFERROR(VLOOKUP(W195,'G-1 All Habitats'!$V$3:$W$7,2,FALSE),"")</f>
        <v/>
      </c>
      <c r="Y195" s="79"/>
      <c r="Z195" s="524" t="str">
        <f>IFERROR(INDEX('G-8 Condition Look up'!$A$3:$H$130,MATCH(S195,'G-8 Condition Look up'!$A$3:$A$130,0),MATCH(Y195,'G-8 Condition Look up'!$A$3:$H$3,0)),"")</f>
        <v/>
      </c>
      <c r="AA195" s="71"/>
      <c r="AB195" s="520" t="str">
        <f>IF(AA195="","",IF(VLOOKUP(AA195,'G-3 Multipliers'!$L$3:$N$6,2,FALSE)=0,"Spatial Data Missing ⚠",VLOOKUP(AA195,'G-3 Multipliers'!$L$3:$N$6,2,FALSE)))</f>
        <v/>
      </c>
      <c r="AC195" s="524" t="str">
        <f>IF(AA195="","",IF(VLOOKUP(AA195,'G-3 Multipliers'!$L$3:$N$6,3,FALSE)=0,"Spatial Data Missing ⚠",VLOOKUP(AA195,'G-3 Multipliers'!$L$3:$N$6,3,FALSE)))</f>
        <v/>
      </c>
      <c r="AD195" s="539" t="str">
        <f t="shared" si="24"/>
        <v/>
      </c>
      <c r="AE195" s="82"/>
      <c r="AF195" s="82"/>
      <c r="AG195" s="507" t="str">
        <f t="shared" si="30"/>
        <v/>
      </c>
      <c r="AH195" s="521" t="str">
        <f t="shared" si="31"/>
        <v/>
      </c>
      <c r="AI195" s="522" t="str">
        <f>IF(AH195="Check Data","Check Data",IFERROR(VLOOKUP(AH195,'G-4 Temporal multipliers'!$A$4:$C$36,3,FALSE),""))</f>
        <v/>
      </c>
      <c r="AJ195" s="498" t="str">
        <f>IF(S195="","",VLOOKUP(S195,'G-3 Multipliers'!$A$2:$E$129,4,FALSE))</f>
        <v/>
      </c>
      <c r="AK195" s="507" t="str">
        <f t="shared" si="32"/>
        <v/>
      </c>
      <c r="AL195" s="507" t="str">
        <f t="shared" si="33"/>
        <v/>
      </c>
      <c r="AM195" s="540" t="str">
        <f>IFERROR(IF(F195="","",IF(AH195="Check Data ⚠","Check Data ⚠",VLOOKUP(AL195, 'G-3 Multipliers'!$P$2:$Q$6,2,FALSE))),"")</f>
        <v/>
      </c>
      <c r="AN195" s="513" t="str">
        <f t="shared" si="25"/>
        <v/>
      </c>
      <c r="AO195" s="239"/>
      <c r="AP195" s="240"/>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1" t="str">
        <f>'A-1 Site Habitat Baseline'!AL195</f>
        <v/>
      </c>
      <c r="F196" s="520" t="str">
        <f>IF(E196="","",IF(ISNA(VLOOKUP($E196,'A-1 Site Habitat Baseline'!$D$1:$O$258,4,FALSE)),"",(VLOOKUP($E196,'A-1 Site Habitat Baseline'!$D$1:$O$258,4,FALSE))))</f>
        <v/>
      </c>
      <c r="G196" s="520" t="str">
        <f>IF(E196="","",IF(ISNA(VLOOKUP($E196,'A-1 Site Habitat Baseline'!$D$1:$O$258,5,FALSE)),"",(VLOOKUP($E196,'A-1 Site Habitat Baseline'!$D$1:$O$258,5,FALSE))))</f>
        <v/>
      </c>
      <c r="H196" s="520" t="str">
        <f>IF(E196="","",IF(ISNA(VLOOKUP($E196,'A-1 Site Habitat Baseline'!$D$1:$O$258,6,FALSE)),"",(VLOOKUP($E196,'A-1 Site Habitat Baseline'!$D$1:$O$258,6,FALSE))))</f>
        <v/>
      </c>
      <c r="I196" s="520" t="str">
        <f>IF(E196="","",IF(ISNA(VLOOKUP($E196,'A-1 Site Habitat Baseline'!$D$1:$O$258,7,FALSE)),"",(VLOOKUP($E196,'A-1 Site Habitat Baseline'!$D$1:$O$258,7,FALSE))))</f>
        <v/>
      </c>
      <c r="J196" s="520" t="str">
        <f>IF(E196="","",IF(ISNA(VLOOKUP($E196,'A-1 Site Habitat Baseline'!$D$1:$O$258,8,FALSE)),"",(VLOOKUP($E196,'A-1 Site Habitat Baseline'!$D$1:$O$258,8,FALSE))))</f>
        <v/>
      </c>
      <c r="K196" s="520" t="str">
        <f>IF(E196="","",IF(ISNA(VLOOKUP($E196,'A-1 Site Habitat Baseline'!$D$1:$O$258,9,FALSE)),"",(VLOOKUP($E196,'A-1 Site Habitat Baseline'!$D$1:$O$258,9,FALSE))))</f>
        <v/>
      </c>
      <c r="L196" s="520" t="str">
        <f>IF(E196="","",IF(ISNA(VLOOKUP($E196,'A-1 Site Habitat Baseline'!$D$1:$O$258,11,FALSE)),"",(VLOOKUP($E196,'A-1 Site Habitat Baseline'!$D$1:$O$258,11,FALSE))))</f>
        <v/>
      </c>
      <c r="M196" s="520" t="str">
        <f>IF(E196="","",IF(ISNA(VLOOKUP($E196,'A-1 Site Habitat Baseline'!$D$1:$O$258,12,FALSE)),"",(VLOOKUP($E196,'A-1 Site Habitat Baseline'!$D$1:$O$258,12,FALSE))))</f>
        <v/>
      </c>
      <c r="N196" s="532" t="str">
        <f>IF(E196="","",IF(ISNA(VLOOKUP($E196,'A-1 Site Habitat Baseline'!$D$1:$X$258,14,FALSE)),"",(VLOOKUP($E196,'A-1 Site Habitat Baseline'!$D$1:$X$258,14,FALSE))))</f>
        <v/>
      </c>
      <c r="O196" s="524" t="str">
        <f>IF(E196="","",IF(ISNA(VLOOKUP($E196,'A-1 Site Habitat Baseline'!$D$1:$X$258,16,FALSE)),"",(VLOOKUP($E196,'A-1 Site Habitat Baseline'!$D$1:$X$258,13,FALSE))))</f>
        <v/>
      </c>
      <c r="P196" s="237" t="str">
        <f>IFERROR(INDEX('G-1 All Habitats'!$AG$3:$AG$15,MATCH(Q196,'G-1 All Habitats'!$AF$3:$AF$15,0)),"")</f>
        <v/>
      </c>
      <c r="Q196" s="238" t="str">
        <f t="shared" si="26"/>
        <v/>
      </c>
      <c r="R196" s="238" t="str">
        <f t="shared" si="27"/>
        <v/>
      </c>
      <c r="S196" s="392" t="str">
        <f>IFERROR(INDEX('G-1 All Habitats'!$B$3:$B$129,MATCH(R196,'G-1 All Habitats'!$A$3:$A$129,0)),"")</f>
        <v/>
      </c>
      <c r="T196" s="498" t="str">
        <f t="shared" si="28"/>
        <v/>
      </c>
      <c r="U196" s="499" t="str">
        <f t="shared" si="29"/>
        <v/>
      </c>
      <c r="V196" s="537" t="str">
        <f t="shared" si="23"/>
        <v/>
      </c>
      <c r="W196" s="520" t="str">
        <f>IF(S196="","",VLOOKUP(S196,'G-1 All Habitats'!$B$2:$M$129,10,FALSE))</f>
        <v/>
      </c>
      <c r="X196" s="520" t="str">
        <f>IFERROR(VLOOKUP(W196,'G-1 All Habitats'!$V$3:$W$7,2,FALSE),"")</f>
        <v/>
      </c>
      <c r="Y196" s="79"/>
      <c r="Z196" s="524" t="str">
        <f>IFERROR(INDEX('G-8 Condition Look up'!$A$3:$H$130,MATCH(S196,'G-8 Condition Look up'!$A$3:$A$130,0),MATCH(Y196,'G-8 Condition Look up'!$A$3:$H$3,0)),"")</f>
        <v/>
      </c>
      <c r="AA196" s="71"/>
      <c r="AB196" s="520" t="str">
        <f>IF(AA196="","",IF(VLOOKUP(AA196,'G-3 Multipliers'!$L$3:$N$6,2,FALSE)=0,"Spatial Data Missing ⚠",VLOOKUP(AA196,'G-3 Multipliers'!$L$3:$N$6,2,FALSE)))</f>
        <v/>
      </c>
      <c r="AC196" s="524" t="str">
        <f>IF(AA196="","",IF(VLOOKUP(AA196,'G-3 Multipliers'!$L$3:$N$6,3,FALSE)=0,"Spatial Data Missing ⚠",VLOOKUP(AA196,'G-3 Multipliers'!$L$3:$N$6,3,FALSE)))</f>
        <v/>
      </c>
      <c r="AD196" s="539" t="str">
        <f t="shared" si="24"/>
        <v/>
      </c>
      <c r="AE196" s="82"/>
      <c r="AF196" s="82"/>
      <c r="AG196" s="507" t="str">
        <f t="shared" si="30"/>
        <v/>
      </c>
      <c r="AH196" s="521" t="str">
        <f t="shared" si="31"/>
        <v/>
      </c>
      <c r="AI196" s="522" t="str">
        <f>IF(AH196="Check Data","Check Data",IFERROR(VLOOKUP(AH196,'G-4 Temporal multipliers'!$A$4:$C$36,3,FALSE),""))</f>
        <v/>
      </c>
      <c r="AJ196" s="498" t="str">
        <f>IF(S196="","",VLOOKUP(S196,'G-3 Multipliers'!$A$2:$E$129,4,FALSE))</f>
        <v/>
      </c>
      <c r="AK196" s="507" t="str">
        <f t="shared" si="32"/>
        <v/>
      </c>
      <c r="AL196" s="507" t="str">
        <f t="shared" si="33"/>
        <v/>
      </c>
      <c r="AM196" s="540" t="str">
        <f>IFERROR(IF(F196="","",IF(AH196="Check Data ⚠","Check Data ⚠",VLOOKUP(AL196, 'G-3 Multipliers'!$P$2:$Q$6,2,FALSE))),"")</f>
        <v/>
      </c>
      <c r="AN196" s="513" t="str">
        <f t="shared" si="25"/>
        <v/>
      </c>
      <c r="AO196" s="239"/>
      <c r="AP196" s="240"/>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1" t="str">
        <f>'A-1 Site Habitat Baseline'!AL196</f>
        <v/>
      </c>
      <c r="F197" s="520" t="str">
        <f>IF(E197="","",IF(ISNA(VLOOKUP($E197,'A-1 Site Habitat Baseline'!$D$1:$O$258,4,FALSE)),"",(VLOOKUP($E197,'A-1 Site Habitat Baseline'!$D$1:$O$258,4,FALSE))))</f>
        <v/>
      </c>
      <c r="G197" s="520" t="str">
        <f>IF(E197="","",IF(ISNA(VLOOKUP($E197,'A-1 Site Habitat Baseline'!$D$1:$O$258,5,FALSE)),"",(VLOOKUP($E197,'A-1 Site Habitat Baseline'!$D$1:$O$258,5,FALSE))))</f>
        <v/>
      </c>
      <c r="H197" s="520" t="str">
        <f>IF(E197="","",IF(ISNA(VLOOKUP($E197,'A-1 Site Habitat Baseline'!$D$1:$O$258,6,FALSE)),"",(VLOOKUP($E197,'A-1 Site Habitat Baseline'!$D$1:$O$258,6,FALSE))))</f>
        <v/>
      </c>
      <c r="I197" s="520" t="str">
        <f>IF(E197="","",IF(ISNA(VLOOKUP($E197,'A-1 Site Habitat Baseline'!$D$1:$O$258,7,FALSE)),"",(VLOOKUP($E197,'A-1 Site Habitat Baseline'!$D$1:$O$258,7,FALSE))))</f>
        <v/>
      </c>
      <c r="J197" s="520" t="str">
        <f>IF(E197="","",IF(ISNA(VLOOKUP($E197,'A-1 Site Habitat Baseline'!$D$1:$O$258,8,FALSE)),"",(VLOOKUP($E197,'A-1 Site Habitat Baseline'!$D$1:$O$258,8,FALSE))))</f>
        <v/>
      </c>
      <c r="K197" s="520" t="str">
        <f>IF(E197="","",IF(ISNA(VLOOKUP($E197,'A-1 Site Habitat Baseline'!$D$1:$O$258,9,FALSE)),"",(VLOOKUP($E197,'A-1 Site Habitat Baseline'!$D$1:$O$258,9,FALSE))))</f>
        <v/>
      </c>
      <c r="L197" s="520" t="str">
        <f>IF(E197="","",IF(ISNA(VLOOKUP($E197,'A-1 Site Habitat Baseline'!$D$1:$O$258,11,FALSE)),"",(VLOOKUP($E197,'A-1 Site Habitat Baseline'!$D$1:$O$258,11,FALSE))))</f>
        <v/>
      </c>
      <c r="M197" s="520" t="str">
        <f>IF(E197="","",IF(ISNA(VLOOKUP($E197,'A-1 Site Habitat Baseline'!$D$1:$O$258,12,FALSE)),"",(VLOOKUP($E197,'A-1 Site Habitat Baseline'!$D$1:$O$258,12,FALSE))))</f>
        <v/>
      </c>
      <c r="N197" s="532" t="str">
        <f>IF(E197="","",IF(ISNA(VLOOKUP($E197,'A-1 Site Habitat Baseline'!$D$1:$X$258,14,FALSE)),"",(VLOOKUP($E197,'A-1 Site Habitat Baseline'!$D$1:$X$258,14,FALSE))))</f>
        <v/>
      </c>
      <c r="O197" s="524" t="str">
        <f>IF(E197="","",IF(ISNA(VLOOKUP($E197,'A-1 Site Habitat Baseline'!$D$1:$X$258,16,FALSE)),"",(VLOOKUP($E197,'A-1 Site Habitat Baseline'!$D$1:$X$258,13,FALSE))))</f>
        <v/>
      </c>
      <c r="P197" s="237" t="str">
        <f>IFERROR(INDEX('G-1 All Habitats'!$AG$3:$AG$15,MATCH(Q197,'G-1 All Habitats'!$AF$3:$AF$15,0)),"")</f>
        <v/>
      </c>
      <c r="Q197" s="238" t="str">
        <f t="shared" si="26"/>
        <v/>
      </c>
      <c r="R197" s="238" t="str">
        <f t="shared" si="27"/>
        <v/>
      </c>
      <c r="S197" s="392" t="str">
        <f>IFERROR(INDEX('G-1 All Habitats'!$B$3:$B$129,MATCH(R197,'G-1 All Habitats'!$A$3:$A$129,0)),"")</f>
        <v/>
      </c>
      <c r="T197" s="498" t="str">
        <f t="shared" si="28"/>
        <v/>
      </c>
      <c r="U197" s="499" t="str">
        <f t="shared" si="29"/>
        <v/>
      </c>
      <c r="V197" s="537" t="str">
        <f t="shared" si="23"/>
        <v/>
      </c>
      <c r="W197" s="520" t="str">
        <f>IF(S197="","",VLOOKUP(S197,'G-1 All Habitats'!$B$2:$M$129,10,FALSE))</f>
        <v/>
      </c>
      <c r="X197" s="520" t="str">
        <f>IFERROR(VLOOKUP(W197,'G-1 All Habitats'!$V$3:$W$7,2,FALSE),"")</f>
        <v/>
      </c>
      <c r="Y197" s="79"/>
      <c r="Z197" s="524" t="str">
        <f>IFERROR(INDEX('G-8 Condition Look up'!$A$3:$H$130,MATCH(S197,'G-8 Condition Look up'!$A$3:$A$130,0),MATCH(Y197,'G-8 Condition Look up'!$A$3:$H$3,0)),"")</f>
        <v/>
      </c>
      <c r="AA197" s="71"/>
      <c r="AB197" s="520" t="str">
        <f>IF(AA197="","",IF(VLOOKUP(AA197,'G-3 Multipliers'!$L$3:$N$6,2,FALSE)=0,"Spatial Data Missing ⚠",VLOOKUP(AA197,'G-3 Multipliers'!$L$3:$N$6,2,FALSE)))</f>
        <v/>
      </c>
      <c r="AC197" s="524" t="str">
        <f>IF(AA197="","",IF(VLOOKUP(AA197,'G-3 Multipliers'!$L$3:$N$6,3,FALSE)=0,"Spatial Data Missing ⚠",VLOOKUP(AA197,'G-3 Multipliers'!$L$3:$N$6,3,FALSE)))</f>
        <v/>
      </c>
      <c r="AD197" s="539" t="str">
        <f t="shared" si="24"/>
        <v/>
      </c>
      <c r="AE197" s="82"/>
      <c r="AF197" s="82"/>
      <c r="AG197" s="507" t="str">
        <f t="shared" si="30"/>
        <v/>
      </c>
      <c r="AH197" s="521" t="str">
        <f t="shared" si="31"/>
        <v/>
      </c>
      <c r="AI197" s="522" t="str">
        <f>IF(AH197="Check Data","Check Data",IFERROR(VLOOKUP(AH197,'G-4 Temporal multipliers'!$A$4:$C$36,3,FALSE),""))</f>
        <v/>
      </c>
      <c r="AJ197" s="498" t="str">
        <f>IF(S197="","",VLOOKUP(S197,'G-3 Multipliers'!$A$2:$E$129,4,FALSE))</f>
        <v/>
      </c>
      <c r="AK197" s="507" t="str">
        <f t="shared" si="32"/>
        <v/>
      </c>
      <c r="AL197" s="507" t="str">
        <f t="shared" si="33"/>
        <v/>
      </c>
      <c r="AM197" s="540" t="str">
        <f>IFERROR(IF(F197="","",IF(AH197="Check Data ⚠","Check Data ⚠",VLOOKUP(AL197, 'G-3 Multipliers'!$P$2:$Q$6,2,FALSE))),"")</f>
        <v/>
      </c>
      <c r="AN197" s="513" t="str">
        <f t="shared" si="25"/>
        <v/>
      </c>
      <c r="AO197" s="239"/>
      <c r="AP197" s="240"/>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1" t="str">
        <f>'A-1 Site Habitat Baseline'!AL197</f>
        <v/>
      </c>
      <c r="F198" s="520" t="str">
        <f>IF(E198="","",IF(ISNA(VLOOKUP($E198,'A-1 Site Habitat Baseline'!$D$1:$O$258,4,FALSE)),"",(VLOOKUP($E198,'A-1 Site Habitat Baseline'!$D$1:$O$258,4,FALSE))))</f>
        <v/>
      </c>
      <c r="G198" s="520" t="str">
        <f>IF(E198="","",IF(ISNA(VLOOKUP($E198,'A-1 Site Habitat Baseline'!$D$1:$O$258,5,FALSE)),"",(VLOOKUP($E198,'A-1 Site Habitat Baseline'!$D$1:$O$258,5,FALSE))))</f>
        <v/>
      </c>
      <c r="H198" s="520" t="str">
        <f>IF(E198="","",IF(ISNA(VLOOKUP($E198,'A-1 Site Habitat Baseline'!$D$1:$O$258,6,FALSE)),"",(VLOOKUP($E198,'A-1 Site Habitat Baseline'!$D$1:$O$258,6,FALSE))))</f>
        <v/>
      </c>
      <c r="I198" s="520" t="str">
        <f>IF(E198="","",IF(ISNA(VLOOKUP($E198,'A-1 Site Habitat Baseline'!$D$1:$O$258,7,FALSE)),"",(VLOOKUP($E198,'A-1 Site Habitat Baseline'!$D$1:$O$258,7,FALSE))))</f>
        <v/>
      </c>
      <c r="J198" s="520" t="str">
        <f>IF(E198="","",IF(ISNA(VLOOKUP($E198,'A-1 Site Habitat Baseline'!$D$1:$O$258,8,FALSE)),"",(VLOOKUP($E198,'A-1 Site Habitat Baseline'!$D$1:$O$258,8,FALSE))))</f>
        <v/>
      </c>
      <c r="K198" s="520" t="str">
        <f>IF(E198="","",IF(ISNA(VLOOKUP($E198,'A-1 Site Habitat Baseline'!$D$1:$O$258,9,FALSE)),"",(VLOOKUP($E198,'A-1 Site Habitat Baseline'!$D$1:$O$258,9,FALSE))))</f>
        <v/>
      </c>
      <c r="L198" s="520" t="str">
        <f>IF(E198="","",IF(ISNA(VLOOKUP($E198,'A-1 Site Habitat Baseline'!$D$1:$O$258,11,FALSE)),"",(VLOOKUP($E198,'A-1 Site Habitat Baseline'!$D$1:$O$258,11,FALSE))))</f>
        <v/>
      </c>
      <c r="M198" s="520" t="str">
        <f>IF(E198="","",IF(ISNA(VLOOKUP($E198,'A-1 Site Habitat Baseline'!$D$1:$O$258,12,FALSE)),"",(VLOOKUP($E198,'A-1 Site Habitat Baseline'!$D$1:$O$258,12,FALSE))))</f>
        <v/>
      </c>
      <c r="N198" s="532" t="str">
        <f>IF(E198="","",IF(ISNA(VLOOKUP($E198,'A-1 Site Habitat Baseline'!$D$1:$X$258,14,FALSE)),"",(VLOOKUP($E198,'A-1 Site Habitat Baseline'!$D$1:$X$258,14,FALSE))))</f>
        <v/>
      </c>
      <c r="O198" s="524" t="str">
        <f>IF(E198="","",IF(ISNA(VLOOKUP($E198,'A-1 Site Habitat Baseline'!$D$1:$X$258,16,FALSE)),"",(VLOOKUP($E198,'A-1 Site Habitat Baseline'!$D$1:$X$258,13,FALSE))))</f>
        <v/>
      </c>
      <c r="P198" s="237" t="str">
        <f>IFERROR(INDEX('G-1 All Habitats'!$AG$3:$AG$15,MATCH(Q198,'G-1 All Habitats'!$AF$3:$AF$15,0)),"")</f>
        <v/>
      </c>
      <c r="Q198" s="238" t="str">
        <f t="shared" si="26"/>
        <v/>
      </c>
      <c r="R198" s="238" t="str">
        <f t="shared" si="27"/>
        <v/>
      </c>
      <c r="S198" s="392" t="str">
        <f>IFERROR(INDEX('G-1 All Habitats'!$B$3:$B$129,MATCH(R198,'G-1 All Habitats'!$A$3:$A$129,0)),"")</f>
        <v/>
      </c>
      <c r="T198" s="498" t="str">
        <f t="shared" si="28"/>
        <v/>
      </c>
      <c r="U198" s="499" t="str">
        <f t="shared" si="29"/>
        <v/>
      </c>
      <c r="V198" s="537" t="str">
        <f t="shared" si="23"/>
        <v/>
      </c>
      <c r="W198" s="520" t="str">
        <f>IF(S198="","",VLOOKUP(S198,'G-1 All Habitats'!$B$2:$M$129,10,FALSE))</f>
        <v/>
      </c>
      <c r="X198" s="520" t="str">
        <f>IFERROR(VLOOKUP(W198,'G-1 All Habitats'!$V$3:$W$7,2,FALSE),"")</f>
        <v/>
      </c>
      <c r="Y198" s="79"/>
      <c r="Z198" s="524" t="str">
        <f>IFERROR(INDEX('G-8 Condition Look up'!$A$3:$H$130,MATCH(S198,'G-8 Condition Look up'!$A$3:$A$130,0),MATCH(Y198,'G-8 Condition Look up'!$A$3:$H$3,0)),"")</f>
        <v/>
      </c>
      <c r="AA198" s="71"/>
      <c r="AB198" s="520" t="str">
        <f>IF(AA198="","",IF(VLOOKUP(AA198,'G-3 Multipliers'!$L$3:$N$6,2,FALSE)=0,"Spatial Data Missing ⚠",VLOOKUP(AA198,'G-3 Multipliers'!$L$3:$N$6,2,FALSE)))</f>
        <v/>
      </c>
      <c r="AC198" s="524" t="str">
        <f>IF(AA198="","",IF(VLOOKUP(AA198,'G-3 Multipliers'!$L$3:$N$6,3,FALSE)=0,"Spatial Data Missing ⚠",VLOOKUP(AA198,'G-3 Multipliers'!$L$3:$N$6,3,FALSE)))</f>
        <v/>
      </c>
      <c r="AD198" s="539" t="str">
        <f t="shared" si="24"/>
        <v/>
      </c>
      <c r="AE198" s="82"/>
      <c r="AF198" s="82"/>
      <c r="AG198" s="507" t="str">
        <f t="shared" si="30"/>
        <v/>
      </c>
      <c r="AH198" s="521" t="str">
        <f t="shared" si="31"/>
        <v/>
      </c>
      <c r="AI198" s="522" t="str">
        <f>IF(AH198="Check Data","Check Data",IFERROR(VLOOKUP(AH198,'G-4 Temporal multipliers'!$A$4:$C$36,3,FALSE),""))</f>
        <v/>
      </c>
      <c r="AJ198" s="498" t="str">
        <f>IF(S198="","",VLOOKUP(S198,'G-3 Multipliers'!$A$2:$E$129,4,FALSE))</f>
        <v/>
      </c>
      <c r="AK198" s="507" t="str">
        <f t="shared" si="32"/>
        <v/>
      </c>
      <c r="AL198" s="507" t="str">
        <f t="shared" si="33"/>
        <v/>
      </c>
      <c r="AM198" s="540" t="str">
        <f>IFERROR(IF(F198="","",IF(AH198="Check Data ⚠","Check Data ⚠",VLOOKUP(AL198, 'G-3 Multipliers'!$P$2:$Q$6,2,FALSE))),"")</f>
        <v/>
      </c>
      <c r="AN198" s="513" t="str">
        <f t="shared" si="25"/>
        <v/>
      </c>
      <c r="AO198" s="239"/>
      <c r="AP198" s="240"/>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1" t="str">
        <f>'A-1 Site Habitat Baseline'!AL198</f>
        <v/>
      </c>
      <c r="F199" s="520" t="str">
        <f>IF(E199="","",IF(ISNA(VLOOKUP($E199,'A-1 Site Habitat Baseline'!$D$1:$O$258,4,FALSE)),"",(VLOOKUP($E199,'A-1 Site Habitat Baseline'!$D$1:$O$258,4,FALSE))))</f>
        <v/>
      </c>
      <c r="G199" s="520" t="str">
        <f>IF(E199="","",IF(ISNA(VLOOKUP($E199,'A-1 Site Habitat Baseline'!$D$1:$O$258,5,FALSE)),"",(VLOOKUP($E199,'A-1 Site Habitat Baseline'!$D$1:$O$258,5,FALSE))))</f>
        <v/>
      </c>
      <c r="H199" s="520" t="str">
        <f>IF(E199="","",IF(ISNA(VLOOKUP($E199,'A-1 Site Habitat Baseline'!$D$1:$O$258,6,FALSE)),"",(VLOOKUP($E199,'A-1 Site Habitat Baseline'!$D$1:$O$258,6,FALSE))))</f>
        <v/>
      </c>
      <c r="I199" s="520" t="str">
        <f>IF(E199="","",IF(ISNA(VLOOKUP($E199,'A-1 Site Habitat Baseline'!$D$1:$O$258,7,FALSE)),"",(VLOOKUP($E199,'A-1 Site Habitat Baseline'!$D$1:$O$258,7,FALSE))))</f>
        <v/>
      </c>
      <c r="J199" s="520" t="str">
        <f>IF(E199="","",IF(ISNA(VLOOKUP($E199,'A-1 Site Habitat Baseline'!$D$1:$O$258,8,FALSE)),"",(VLOOKUP($E199,'A-1 Site Habitat Baseline'!$D$1:$O$258,8,FALSE))))</f>
        <v/>
      </c>
      <c r="K199" s="520" t="str">
        <f>IF(E199="","",IF(ISNA(VLOOKUP($E199,'A-1 Site Habitat Baseline'!$D$1:$O$258,9,FALSE)),"",(VLOOKUP($E199,'A-1 Site Habitat Baseline'!$D$1:$O$258,9,FALSE))))</f>
        <v/>
      </c>
      <c r="L199" s="520" t="str">
        <f>IF(E199="","",IF(ISNA(VLOOKUP($E199,'A-1 Site Habitat Baseline'!$D$1:$O$258,11,FALSE)),"",(VLOOKUP($E199,'A-1 Site Habitat Baseline'!$D$1:$O$258,11,FALSE))))</f>
        <v/>
      </c>
      <c r="M199" s="520" t="str">
        <f>IF(E199="","",IF(ISNA(VLOOKUP($E199,'A-1 Site Habitat Baseline'!$D$1:$O$258,12,FALSE)),"",(VLOOKUP($E199,'A-1 Site Habitat Baseline'!$D$1:$O$258,12,FALSE))))</f>
        <v/>
      </c>
      <c r="N199" s="532" t="str">
        <f>IF(E199="","",IF(ISNA(VLOOKUP($E199,'A-1 Site Habitat Baseline'!$D$1:$X$258,14,FALSE)),"",(VLOOKUP($E199,'A-1 Site Habitat Baseline'!$D$1:$X$258,14,FALSE))))</f>
        <v/>
      </c>
      <c r="O199" s="524" t="str">
        <f>IF(E199="","",IF(ISNA(VLOOKUP($E199,'A-1 Site Habitat Baseline'!$D$1:$X$258,16,FALSE)),"",(VLOOKUP($E199,'A-1 Site Habitat Baseline'!$D$1:$X$258,13,FALSE))))</f>
        <v/>
      </c>
      <c r="P199" s="237" t="str">
        <f>IFERROR(INDEX('G-1 All Habitats'!$AG$3:$AG$15,MATCH(Q199,'G-1 All Habitats'!$AF$3:$AF$15,0)),"")</f>
        <v/>
      </c>
      <c r="Q199" s="238" t="str">
        <f t="shared" si="26"/>
        <v/>
      </c>
      <c r="R199" s="238" t="str">
        <f t="shared" si="27"/>
        <v/>
      </c>
      <c r="S199" s="392" t="str">
        <f>IFERROR(INDEX('G-1 All Habitats'!$B$3:$B$129,MATCH(R199,'G-1 All Habitats'!$A$3:$A$129,0)),"")</f>
        <v/>
      </c>
      <c r="T199" s="498" t="str">
        <f t="shared" si="28"/>
        <v/>
      </c>
      <c r="U199" s="499" t="str">
        <f t="shared" si="29"/>
        <v/>
      </c>
      <c r="V199" s="537" t="str">
        <f t="shared" si="23"/>
        <v/>
      </c>
      <c r="W199" s="520" t="str">
        <f>IF(S199="","",VLOOKUP(S199,'G-1 All Habitats'!$B$2:$M$129,10,FALSE))</f>
        <v/>
      </c>
      <c r="X199" s="520" t="str">
        <f>IFERROR(VLOOKUP(W199,'G-1 All Habitats'!$V$3:$W$7,2,FALSE),"")</f>
        <v/>
      </c>
      <c r="Y199" s="79"/>
      <c r="Z199" s="524" t="str">
        <f>IFERROR(INDEX('G-8 Condition Look up'!$A$3:$H$130,MATCH(S199,'G-8 Condition Look up'!$A$3:$A$130,0),MATCH(Y199,'G-8 Condition Look up'!$A$3:$H$3,0)),"")</f>
        <v/>
      </c>
      <c r="AA199" s="71"/>
      <c r="AB199" s="520" t="str">
        <f>IF(AA199="","",IF(VLOOKUP(AA199,'G-3 Multipliers'!$L$3:$N$6,2,FALSE)=0,"Spatial Data Missing ⚠",VLOOKUP(AA199,'G-3 Multipliers'!$L$3:$N$6,2,FALSE)))</f>
        <v/>
      </c>
      <c r="AC199" s="524" t="str">
        <f>IF(AA199="","",IF(VLOOKUP(AA199,'G-3 Multipliers'!$L$3:$N$6,3,FALSE)=0,"Spatial Data Missing ⚠",VLOOKUP(AA199,'G-3 Multipliers'!$L$3:$N$6,3,FALSE)))</f>
        <v/>
      </c>
      <c r="AD199" s="539" t="str">
        <f t="shared" si="24"/>
        <v/>
      </c>
      <c r="AE199" s="82"/>
      <c r="AF199" s="82"/>
      <c r="AG199" s="507" t="str">
        <f t="shared" si="30"/>
        <v/>
      </c>
      <c r="AH199" s="521" t="str">
        <f t="shared" si="31"/>
        <v/>
      </c>
      <c r="AI199" s="522" t="str">
        <f>IF(AH199="Check Data","Check Data",IFERROR(VLOOKUP(AH199,'G-4 Temporal multipliers'!$A$4:$C$36,3,FALSE),""))</f>
        <v/>
      </c>
      <c r="AJ199" s="498" t="str">
        <f>IF(S199="","",VLOOKUP(S199,'G-3 Multipliers'!$A$2:$E$129,4,FALSE))</f>
        <v/>
      </c>
      <c r="AK199" s="507" t="str">
        <f t="shared" si="32"/>
        <v/>
      </c>
      <c r="AL199" s="507" t="str">
        <f t="shared" si="33"/>
        <v/>
      </c>
      <c r="AM199" s="540" t="str">
        <f>IFERROR(IF(F199="","",IF(AH199="Check Data ⚠","Check Data ⚠",VLOOKUP(AL199, 'G-3 Multipliers'!$P$2:$Q$6,2,FALSE))),"")</f>
        <v/>
      </c>
      <c r="AN199" s="513" t="str">
        <f t="shared" si="25"/>
        <v/>
      </c>
      <c r="AO199" s="239"/>
      <c r="AP199" s="240"/>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1" t="str">
        <f>'A-1 Site Habitat Baseline'!AL199</f>
        <v/>
      </c>
      <c r="F200" s="520" t="str">
        <f>IF(E200="","",IF(ISNA(VLOOKUP($E200,'A-1 Site Habitat Baseline'!$D$1:$O$258,4,FALSE)),"",(VLOOKUP($E200,'A-1 Site Habitat Baseline'!$D$1:$O$258,4,FALSE))))</f>
        <v/>
      </c>
      <c r="G200" s="520" t="str">
        <f>IF(E200="","",IF(ISNA(VLOOKUP($E200,'A-1 Site Habitat Baseline'!$D$1:$O$258,5,FALSE)),"",(VLOOKUP($E200,'A-1 Site Habitat Baseline'!$D$1:$O$258,5,FALSE))))</f>
        <v/>
      </c>
      <c r="H200" s="520" t="str">
        <f>IF(E200="","",IF(ISNA(VLOOKUP($E200,'A-1 Site Habitat Baseline'!$D$1:$O$258,6,FALSE)),"",(VLOOKUP($E200,'A-1 Site Habitat Baseline'!$D$1:$O$258,6,FALSE))))</f>
        <v/>
      </c>
      <c r="I200" s="520" t="str">
        <f>IF(E200="","",IF(ISNA(VLOOKUP($E200,'A-1 Site Habitat Baseline'!$D$1:$O$258,7,FALSE)),"",(VLOOKUP($E200,'A-1 Site Habitat Baseline'!$D$1:$O$258,7,FALSE))))</f>
        <v/>
      </c>
      <c r="J200" s="520" t="str">
        <f>IF(E200="","",IF(ISNA(VLOOKUP($E200,'A-1 Site Habitat Baseline'!$D$1:$O$258,8,FALSE)),"",(VLOOKUP($E200,'A-1 Site Habitat Baseline'!$D$1:$O$258,8,FALSE))))</f>
        <v/>
      </c>
      <c r="K200" s="520" t="str">
        <f>IF(E200="","",IF(ISNA(VLOOKUP($E200,'A-1 Site Habitat Baseline'!$D$1:$O$258,9,FALSE)),"",(VLOOKUP($E200,'A-1 Site Habitat Baseline'!$D$1:$O$258,9,FALSE))))</f>
        <v/>
      </c>
      <c r="L200" s="520" t="str">
        <f>IF(E200="","",IF(ISNA(VLOOKUP($E200,'A-1 Site Habitat Baseline'!$D$1:$O$258,11,FALSE)),"",(VLOOKUP($E200,'A-1 Site Habitat Baseline'!$D$1:$O$258,11,FALSE))))</f>
        <v/>
      </c>
      <c r="M200" s="520" t="str">
        <f>IF(E200="","",IF(ISNA(VLOOKUP($E200,'A-1 Site Habitat Baseline'!$D$1:$O$258,12,FALSE)),"",(VLOOKUP($E200,'A-1 Site Habitat Baseline'!$D$1:$O$258,12,FALSE))))</f>
        <v/>
      </c>
      <c r="N200" s="532" t="str">
        <f>IF(E200="","",IF(ISNA(VLOOKUP($E200,'A-1 Site Habitat Baseline'!$D$1:$X$258,14,FALSE)),"",(VLOOKUP($E200,'A-1 Site Habitat Baseline'!$D$1:$X$258,14,FALSE))))</f>
        <v/>
      </c>
      <c r="O200" s="524" t="str">
        <f>IF(E200="","",IF(ISNA(VLOOKUP($E200,'A-1 Site Habitat Baseline'!$D$1:$X$258,16,FALSE)),"",(VLOOKUP($E200,'A-1 Site Habitat Baseline'!$D$1:$X$258,13,FALSE))))</f>
        <v/>
      </c>
      <c r="P200" s="237" t="str">
        <f>IFERROR(INDEX('G-1 All Habitats'!$AG$3:$AG$15,MATCH(Q200,'G-1 All Habitats'!$AF$3:$AF$15,0)),"")</f>
        <v/>
      </c>
      <c r="Q200" s="238" t="str">
        <f t="shared" si="26"/>
        <v/>
      </c>
      <c r="R200" s="238" t="str">
        <f t="shared" si="27"/>
        <v/>
      </c>
      <c r="S200" s="392" t="str">
        <f>IFERROR(INDEX('G-1 All Habitats'!$B$3:$B$129,MATCH(R200,'G-1 All Habitats'!$A$3:$A$129,0)),"")</f>
        <v/>
      </c>
      <c r="T200" s="498" t="str">
        <f t="shared" si="28"/>
        <v/>
      </c>
      <c r="U200" s="499" t="str">
        <f t="shared" si="29"/>
        <v/>
      </c>
      <c r="V200" s="537" t="str">
        <f t="shared" si="23"/>
        <v/>
      </c>
      <c r="W200" s="520" t="str">
        <f>IF(S200="","",VLOOKUP(S200,'G-1 All Habitats'!$B$2:$M$129,10,FALSE))</f>
        <v/>
      </c>
      <c r="X200" s="520" t="str">
        <f>IFERROR(VLOOKUP(W200,'G-1 All Habitats'!$V$3:$W$7,2,FALSE),"")</f>
        <v/>
      </c>
      <c r="Y200" s="79"/>
      <c r="Z200" s="524" t="str">
        <f>IFERROR(INDEX('G-8 Condition Look up'!$A$3:$H$130,MATCH(S200,'G-8 Condition Look up'!$A$3:$A$130,0),MATCH(Y200,'G-8 Condition Look up'!$A$3:$H$3,0)),"")</f>
        <v/>
      </c>
      <c r="AA200" s="71"/>
      <c r="AB200" s="520" t="str">
        <f>IF(AA200="","",IF(VLOOKUP(AA200,'G-3 Multipliers'!$L$3:$N$6,2,FALSE)=0,"Spatial Data Missing ⚠",VLOOKUP(AA200,'G-3 Multipliers'!$L$3:$N$6,2,FALSE)))</f>
        <v/>
      </c>
      <c r="AC200" s="524" t="str">
        <f>IF(AA200="","",IF(VLOOKUP(AA200,'G-3 Multipliers'!$L$3:$N$6,3,FALSE)=0,"Spatial Data Missing ⚠",VLOOKUP(AA200,'G-3 Multipliers'!$L$3:$N$6,3,FALSE)))</f>
        <v/>
      </c>
      <c r="AD200" s="539" t="str">
        <f t="shared" si="24"/>
        <v/>
      </c>
      <c r="AE200" s="82"/>
      <c r="AF200" s="82"/>
      <c r="AG200" s="507" t="str">
        <f t="shared" si="30"/>
        <v/>
      </c>
      <c r="AH200" s="521" t="str">
        <f t="shared" si="31"/>
        <v/>
      </c>
      <c r="AI200" s="522" t="str">
        <f>IF(AH200="Check Data","Check Data",IFERROR(VLOOKUP(AH200,'G-4 Temporal multipliers'!$A$4:$C$36,3,FALSE),""))</f>
        <v/>
      </c>
      <c r="AJ200" s="498" t="str">
        <f>IF(S200="","",VLOOKUP(S200,'G-3 Multipliers'!$A$2:$E$129,4,FALSE))</f>
        <v/>
      </c>
      <c r="AK200" s="507" t="str">
        <f t="shared" si="32"/>
        <v/>
      </c>
      <c r="AL200" s="507" t="str">
        <f t="shared" si="33"/>
        <v/>
      </c>
      <c r="AM200" s="540" t="str">
        <f>IFERROR(IF(F200="","",IF(AH200="Check Data ⚠","Check Data ⚠",VLOOKUP(AL200, 'G-3 Multipliers'!$P$2:$Q$6,2,FALSE))),"")</f>
        <v/>
      </c>
      <c r="AN200" s="513" t="str">
        <f t="shared" si="25"/>
        <v/>
      </c>
      <c r="AO200" s="239"/>
      <c r="AP200" s="240"/>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1" t="str">
        <f>'A-1 Site Habitat Baseline'!AL200</f>
        <v/>
      </c>
      <c r="F201" s="520" t="str">
        <f>IF(E201="","",IF(ISNA(VLOOKUP($E201,'A-1 Site Habitat Baseline'!$D$1:$O$258,4,FALSE)),"",(VLOOKUP($E201,'A-1 Site Habitat Baseline'!$D$1:$O$258,4,FALSE))))</f>
        <v/>
      </c>
      <c r="G201" s="520" t="str">
        <f>IF(E201="","",IF(ISNA(VLOOKUP($E201,'A-1 Site Habitat Baseline'!$D$1:$O$258,5,FALSE)),"",(VLOOKUP($E201,'A-1 Site Habitat Baseline'!$D$1:$O$258,5,FALSE))))</f>
        <v/>
      </c>
      <c r="H201" s="520" t="str">
        <f>IF(E201="","",IF(ISNA(VLOOKUP($E201,'A-1 Site Habitat Baseline'!$D$1:$O$258,6,FALSE)),"",(VLOOKUP($E201,'A-1 Site Habitat Baseline'!$D$1:$O$258,6,FALSE))))</f>
        <v/>
      </c>
      <c r="I201" s="520" t="str">
        <f>IF(E201="","",IF(ISNA(VLOOKUP($E201,'A-1 Site Habitat Baseline'!$D$1:$O$258,7,FALSE)),"",(VLOOKUP($E201,'A-1 Site Habitat Baseline'!$D$1:$O$258,7,FALSE))))</f>
        <v/>
      </c>
      <c r="J201" s="520" t="str">
        <f>IF(E201="","",IF(ISNA(VLOOKUP($E201,'A-1 Site Habitat Baseline'!$D$1:$O$258,8,FALSE)),"",(VLOOKUP($E201,'A-1 Site Habitat Baseline'!$D$1:$O$258,8,FALSE))))</f>
        <v/>
      </c>
      <c r="K201" s="520" t="str">
        <f>IF(E201="","",IF(ISNA(VLOOKUP($E201,'A-1 Site Habitat Baseline'!$D$1:$O$258,9,FALSE)),"",(VLOOKUP($E201,'A-1 Site Habitat Baseline'!$D$1:$O$258,9,FALSE))))</f>
        <v/>
      </c>
      <c r="L201" s="520" t="str">
        <f>IF(E201="","",IF(ISNA(VLOOKUP($E201,'A-1 Site Habitat Baseline'!$D$1:$O$258,11,FALSE)),"",(VLOOKUP($E201,'A-1 Site Habitat Baseline'!$D$1:$O$258,11,FALSE))))</f>
        <v/>
      </c>
      <c r="M201" s="520" t="str">
        <f>IF(E201="","",IF(ISNA(VLOOKUP($E201,'A-1 Site Habitat Baseline'!$D$1:$O$258,12,FALSE)),"",(VLOOKUP($E201,'A-1 Site Habitat Baseline'!$D$1:$O$258,12,FALSE))))</f>
        <v/>
      </c>
      <c r="N201" s="532" t="str">
        <f>IF(E201="","",IF(ISNA(VLOOKUP($E201,'A-1 Site Habitat Baseline'!$D$1:$X$258,14,FALSE)),"",(VLOOKUP($E201,'A-1 Site Habitat Baseline'!$D$1:$X$258,14,FALSE))))</f>
        <v/>
      </c>
      <c r="O201" s="524" t="str">
        <f>IF(E201="","",IF(ISNA(VLOOKUP($E201,'A-1 Site Habitat Baseline'!$D$1:$X$258,16,FALSE)),"",(VLOOKUP($E201,'A-1 Site Habitat Baseline'!$D$1:$X$258,13,FALSE))))</f>
        <v/>
      </c>
      <c r="P201" s="237" t="str">
        <f>IFERROR(INDEX('G-1 All Habitats'!$AG$3:$AG$15,MATCH(Q201,'G-1 All Habitats'!$AF$3:$AF$15,0)),"")</f>
        <v/>
      </c>
      <c r="Q201" s="238" t="str">
        <f t="shared" si="26"/>
        <v/>
      </c>
      <c r="R201" s="238" t="str">
        <f t="shared" si="27"/>
        <v/>
      </c>
      <c r="S201" s="392" t="str">
        <f>IFERROR(INDEX('G-1 All Habitats'!$B$3:$B$129,MATCH(R201,'G-1 All Habitats'!$A$3:$A$129,0)),"")</f>
        <v/>
      </c>
      <c r="T201" s="498" t="str">
        <f t="shared" si="28"/>
        <v/>
      </c>
      <c r="U201" s="499" t="str">
        <f t="shared" si="29"/>
        <v/>
      </c>
      <c r="V201" s="537" t="str">
        <f t="shared" si="23"/>
        <v/>
      </c>
      <c r="W201" s="520" t="str">
        <f>IF(S201="","",VLOOKUP(S201,'G-1 All Habitats'!$B$2:$M$129,10,FALSE))</f>
        <v/>
      </c>
      <c r="X201" s="520" t="str">
        <f>IFERROR(VLOOKUP(W201,'G-1 All Habitats'!$V$3:$W$7,2,FALSE),"")</f>
        <v/>
      </c>
      <c r="Y201" s="79"/>
      <c r="Z201" s="524" t="str">
        <f>IFERROR(INDEX('G-8 Condition Look up'!$A$3:$H$130,MATCH(S201,'G-8 Condition Look up'!$A$3:$A$130,0),MATCH(Y201,'G-8 Condition Look up'!$A$3:$H$3,0)),"")</f>
        <v/>
      </c>
      <c r="AA201" s="71"/>
      <c r="AB201" s="520" t="str">
        <f>IF(AA201="","",IF(VLOOKUP(AA201,'G-3 Multipliers'!$L$3:$N$6,2,FALSE)=0,"Spatial Data Missing ⚠",VLOOKUP(AA201,'G-3 Multipliers'!$L$3:$N$6,2,FALSE)))</f>
        <v/>
      </c>
      <c r="AC201" s="524" t="str">
        <f>IF(AA201="","",IF(VLOOKUP(AA201,'G-3 Multipliers'!$L$3:$N$6,3,FALSE)=0,"Spatial Data Missing ⚠",VLOOKUP(AA201,'G-3 Multipliers'!$L$3:$N$6,3,FALSE)))</f>
        <v/>
      </c>
      <c r="AD201" s="539" t="str">
        <f t="shared" si="24"/>
        <v/>
      </c>
      <c r="AE201" s="82"/>
      <c r="AF201" s="82"/>
      <c r="AG201" s="507" t="str">
        <f t="shared" si="30"/>
        <v/>
      </c>
      <c r="AH201" s="521" t="str">
        <f t="shared" si="31"/>
        <v/>
      </c>
      <c r="AI201" s="522" t="str">
        <f>IF(AH201="Check Data","Check Data",IFERROR(VLOOKUP(AH201,'G-4 Temporal multipliers'!$A$4:$C$36,3,FALSE),""))</f>
        <v/>
      </c>
      <c r="AJ201" s="498" t="str">
        <f>IF(S201="","",VLOOKUP(S201,'G-3 Multipliers'!$A$2:$E$129,4,FALSE))</f>
        <v/>
      </c>
      <c r="AK201" s="507" t="str">
        <f t="shared" si="32"/>
        <v/>
      </c>
      <c r="AL201" s="507" t="str">
        <f t="shared" si="33"/>
        <v/>
      </c>
      <c r="AM201" s="540" t="str">
        <f>IFERROR(IF(F201="","",IF(AH201="Check Data ⚠","Check Data ⚠",VLOOKUP(AL201, 'G-3 Multipliers'!$P$2:$Q$6,2,FALSE))),"")</f>
        <v/>
      </c>
      <c r="AN201" s="513" t="str">
        <f t="shared" si="25"/>
        <v/>
      </c>
      <c r="AO201" s="239"/>
      <c r="AP201" s="240"/>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1" t="str">
        <f>'A-1 Site Habitat Baseline'!AL201</f>
        <v/>
      </c>
      <c r="F202" s="520" t="str">
        <f>IF(E202="","",IF(ISNA(VLOOKUP($E202,'A-1 Site Habitat Baseline'!$D$1:$O$258,4,FALSE)),"",(VLOOKUP($E202,'A-1 Site Habitat Baseline'!$D$1:$O$258,4,FALSE))))</f>
        <v/>
      </c>
      <c r="G202" s="520" t="str">
        <f>IF(E202="","",IF(ISNA(VLOOKUP($E202,'A-1 Site Habitat Baseline'!$D$1:$O$258,5,FALSE)),"",(VLOOKUP($E202,'A-1 Site Habitat Baseline'!$D$1:$O$258,5,FALSE))))</f>
        <v/>
      </c>
      <c r="H202" s="520" t="str">
        <f>IF(E202="","",IF(ISNA(VLOOKUP($E202,'A-1 Site Habitat Baseline'!$D$1:$O$258,6,FALSE)),"",(VLOOKUP($E202,'A-1 Site Habitat Baseline'!$D$1:$O$258,6,FALSE))))</f>
        <v/>
      </c>
      <c r="I202" s="520" t="str">
        <f>IF(E202="","",IF(ISNA(VLOOKUP($E202,'A-1 Site Habitat Baseline'!$D$1:$O$258,7,FALSE)),"",(VLOOKUP($E202,'A-1 Site Habitat Baseline'!$D$1:$O$258,7,FALSE))))</f>
        <v/>
      </c>
      <c r="J202" s="520" t="str">
        <f>IF(E202="","",IF(ISNA(VLOOKUP($E202,'A-1 Site Habitat Baseline'!$D$1:$O$258,8,FALSE)),"",(VLOOKUP($E202,'A-1 Site Habitat Baseline'!$D$1:$O$258,8,FALSE))))</f>
        <v/>
      </c>
      <c r="K202" s="520" t="str">
        <f>IF(E202="","",IF(ISNA(VLOOKUP($E202,'A-1 Site Habitat Baseline'!$D$1:$O$258,9,FALSE)),"",(VLOOKUP($E202,'A-1 Site Habitat Baseline'!$D$1:$O$258,9,FALSE))))</f>
        <v/>
      </c>
      <c r="L202" s="520" t="str">
        <f>IF(E202="","",IF(ISNA(VLOOKUP($E202,'A-1 Site Habitat Baseline'!$D$1:$O$258,11,FALSE)),"",(VLOOKUP($E202,'A-1 Site Habitat Baseline'!$D$1:$O$258,11,FALSE))))</f>
        <v/>
      </c>
      <c r="M202" s="520" t="str">
        <f>IF(E202="","",IF(ISNA(VLOOKUP($E202,'A-1 Site Habitat Baseline'!$D$1:$O$258,12,FALSE)),"",(VLOOKUP($E202,'A-1 Site Habitat Baseline'!$D$1:$O$258,12,FALSE))))</f>
        <v/>
      </c>
      <c r="N202" s="532" t="str">
        <f>IF(E202="","",IF(ISNA(VLOOKUP($E202,'A-1 Site Habitat Baseline'!$D$1:$X$258,14,FALSE)),"",(VLOOKUP($E202,'A-1 Site Habitat Baseline'!$D$1:$X$258,14,FALSE))))</f>
        <v/>
      </c>
      <c r="O202" s="524" t="str">
        <f>IF(E202="","",IF(ISNA(VLOOKUP($E202,'A-1 Site Habitat Baseline'!$D$1:$X$258,16,FALSE)),"",(VLOOKUP($E202,'A-1 Site Habitat Baseline'!$D$1:$X$258,13,FALSE))))</f>
        <v/>
      </c>
      <c r="P202" s="237" t="str">
        <f>IFERROR(INDEX('G-1 All Habitats'!$AG$3:$AG$15,MATCH(Q202,'G-1 All Habitats'!$AF$3:$AF$15,0)),"")</f>
        <v/>
      </c>
      <c r="Q202" s="238" t="str">
        <f t="shared" si="26"/>
        <v/>
      </c>
      <c r="R202" s="238" t="str">
        <f t="shared" si="27"/>
        <v/>
      </c>
      <c r="S202" s="392" t="str">
        <f>IFERROR(INDEX('G-1 All Habitats'!$B$3:$B$129,MATCH(R202,'G-1 All Habitats'!$A$3:$A$129,0)),"")</f>
        <v/>
      </c>
      <c r="T202" s="498" t="str">
        <f t="shared" si="28"/>
        <v/>
      </c>
      <c r="U202" s="499" t="str">
        <f t="shared" si="29"/>
        <v/>
      </c>
      <c r="V202" s="537" t="str">
        <f t="shared" si="23"/>
        <v/>
      </c>
      <c r="W202" s="520" t="str">
        <f>IF(S202="","",VLOOKUP(S202,'G-1 All Habitats'!$B$2:$M$129,10,FALSE))</f>
        <v/>
      </c>
      <c r="X202" s="520" t="str">
        <f>IFERROR(VLOOKUP(W202,'G-1 All Habitats'!$V$3:$W$7,2,FALSE),"")</f>
        <v/>
      </c>
      <c r="Y202" s="79"/>
      <c r="Z202" s="524" t="str">
        <f>IFERROR(INDEX('G-8 Condition Look up'!$A$3:$H$130,MATCH(S202,'G-8 Condition Look up'!$A$3:$A$130,0),MATCH(Y202,'G-8 Condition Look up'!$A$3:$H$3,0)),"")</f>
        <v/>
      </c>
      <c r="AA202" s="71"/>
      <c r="AB202" s="520" t="str">
        <f>IF(AA202="","",IF(VLOOKUP(AA202,'G-3 Multipliers'!$L$3:$N$6,2,FALSE)=0,"Spatial Data Missing ⚠",VLOOKUP(AA202,'G-3 Multipliers'!$L$3:$N$6,2,FALSE)))</f>
        <v/>
      </c>
      <c r="AC202" s="524" t="str">
        <f>IF(AA202="","",IF(VLOOKUP(AA202,'G-3 Multipliers'!$L$3:$N$6,3,FALSE)=0,"Spatial Data Missing ⚠",VLOOKUP(AA202,'G-3 Multipliers'!$L$3:$N$6,3,FALSE)))</f>
        <v/>
      </c>
      <c r="AD202" s="539" t="str">
        <f t="shared" si="24"/>
        <v/>
      </c>
      <c r="AE202" s="82"/>
      <c r="AF202" s="82"/>
      <c r="AG202" s="507" t="str">
        <f t="shared" si="30"/>
        <v/>
      </c>
      <c r="AH202" s="521" t="str">
        <f t="shared" si="31"/>
        <v/>
      </c>
      <c r="AI202" s="522" t="str">
        <f>IF(AH202="Check Data","Check Data",IFERROR(VLOOKUP(AH202,'G-4 Temporal multipliers'!$A$4:$C$36,3,FALSE),""))</f>
        <v/>
      </c>
      <c r="AJ202" s="498" t="str">
        <f>IF(S202="","",VLOOKUP(S202,'G-3 Multipliers'!$A$2:$E$129,4,FALSE))</f>
        <v/>
      </c>
      <c r="AK202" s="507" t="str">
        <f t="shared" si="32"/>
        <v/>
      </c>
      <c r="AL202" s="507" t="str">
        <f t="shared" si="33"/>
        <v/>
      </c>
      <c r="AM202" s="540" t="str">
        <f>IFERROR(IF(F202="","",IF(AH202="Check Data ⚠","Check Data ⚠",VLOOKUP(AL202, 'G-3 Multipliers'!$P$2:$Q$6,2,FALSE))),"")</f>
        <v/>
      </c>
      <c r="AN202" s="513" t="str">
        <f t="shared" si="25"/>
        <v/>
      </c>
      <c r="AO202" s="239"/>
      <c r="AP202" s="240"/>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1" t="str">
        <f>'A-1 Site Habitat Baseline'!AL202</f>
        <v/>
      </c>
      <c r="F203" s="520" t="str">
        <f>IF(E203="","",IF(ISNA(VLOOKUP($E203,'A-1 Site Habitat Baseline'!$D$1:$O$258,4,FALSE)),"",(VLOOKUP($E203,'A-1 Site Habitat Baseline'!$D$1:$O$258,4,FALSE))))</f>
        <v/>
      </c>
      <c r="G203" s="520" t="str">
        <f>IF(E203="","",IF(ISNA(VLOOKUP($E203,'A-1 Site Habitat Baseline'!$D$1:$O$258,5,FALSE)),"",(VLOOKUP($E203,'A-1 Site Habitat Baseline'!$D$1:$O$258,5,FALSE))))</f>
        <v/>
      </c>
      <c r="H203" s="520" t="str">
        <f>IF(E203="","",IF(ISNA(VLOOKUP($E203,'A-1 Site Habitat Baseline'!$D$1:$O$258,6,FALSE)),"",(VLOOKUP($E203,'A-1 Site Habitat Baseline'!$D$1:$O$258,6,FALSE))))</f>
        <v/>
      </c>
      <c r="I203" s="520" t="str">
        <f>IF(E203="","",IF(ISNA(VLOOKUP($E203,'A-1 Site Habitat Baseline'!$D$1:$O$258,7,FALSE)),"",(VLOOKUP($E203,'A-1 Site Habitat Baseline'!$D$1:$O$258,7,FALSE))))</f>
        <v/>
      </c>
      <c r="J203" s="520" t="str">
        <f>IF(E203="","",IF(ISNA(VLOOKUP($E203,'A-1 Site Habitat Baseline'!$D$1:$O$258,8,FALSE)),"",(VLOOKUP($E203,'A-1 Site Habitat Baseline'!$D$1:$O$258,8,FALSE))))</f>
        <v/>
      </c>
      <c r="K203" s="520" t="str">
        <f>IF(E203="","",IF(ISNA(VLOOKUP($E203,'A-1 Site Habitat Baseline'!$D$1:$O$258,9,FALSE)),"",(VLOOKUP($E203,'A-1 Site Habitat Baseline'!$D$1:$O$258,9,FALSE))))</f>
        <v/>
      </c>
      <c r="L203" s="520" t="str">
        <f>IF(E203="","",IF(ISNA(VLOOKUP($E203,'A-1 Site Habitat Baseline'!$D$1:$O$258,11,FALSE)),"",(VLOOKUP($E203,'A-1 Site Habitat Baseline'!$D$1:$O$258,11,FALSE))))</f>
        <v/>
      </c>
      <c r="M203" s="520" t="str">
        <f>IF(E203="","",IF(ISNA(VLOOKUP($E203,'A-1 Site Habitat Baseline'!$D$1:$O$258,12,FALSE)),"",(VLOOKUP($E203,'A-1 Site Habitat Baseline'!$D$1:$O$258,12,FALSE))))</f>
        <v/>
      </c>
      <c r="N203" s="532" t="str">
        <f>IF(E203="","",IF(ISNA(VLOOKUP($E203,'A-1 Site Habitat Baseline'!$D$1:$X$258,14,FALSE)),"",(VLOOKUP($E203,'A-1 Site Habitat Baseline'!$D$1:$X$258,14,FALSE))))</f>
        <v/>
      </c>
      <c r="O203" s="524" t="str">
        <f>IF(E203="","",IF(ISNA(VLOOKUP($E203,'A-1 Site Habitat Baseline'!$D$1:$X$258,16,FALSE)),"",(VLOOKUP($E203,'A-1 Site Habitat Baseline'!$D$1:$X$258,13,FALSE))))</f>
        <v/>
      </c>
      <c r="P203" s="237" t="str">
        <f>IFERROR(INDEX('G-1 All Habitats'!$AG$3:$AG$15,MATCH(Q203,'G-1 All Habitats'!$AF$3:$AF$15,0)),"")</f>
        <v/>
      </c>
      <c r="Q203" s="238" t="str">
        <f t="shared" si="26"/>
        <v/>
      </c>
      <c r="R203" s="238" t="str">
        <f t="shared" si="27"/>
        <v/>
      </c>
      <c r="S203" s="392" t="str">
        <f>IFERROR(INDEX('G-1 All Habitats'!$B$3:$B$129,MATCH(R203,'G-1 All Habitats'!$A$3:$A$129,0)),"")</f>
        <v/>
      </c>
      <c r="T203" s="498" t="str">
        <f t="shared" si="28"/>
        <v/>
      </c>
      <c r="U203" s="499" t="str">
        <f t="shared" si="29"/>
        <v/>
      </c>
      <c r="V203" s="537" t="str">
        <f t="shared" si="23"/>
        <v/>
      </c>
      <c r="W203" s="520" t="str">
        <f>IF(S203="","",VLOOKUP(S203,'G-1 All Habitats'!$B$2:$M$129,10,FALSE))</f>
        <v/>
      </c>
      <c r="X203" s="520" t="str">
        <f>IFERROR(VLOOKUP(W203,'G-1 All Habitats'!$V$3:$W$7,2,FALSE),"")</f>
        <v/>
      </c>
      <c r="Y203" s="79"/>
      <c r="Z203" s="524" t="str">
        <f>IFERROR(INDEX('G-8 Condition Look up'!$A$3:$H$130,MATCH(S203,'G-8 Condition Look up'!$A$3:$A$130,0),MATCH(Y203,'G-8 Condition Look up'!$A$3:$H$3,0)),"")</f>
        <v/>
      </c>
      <c r="AA203" s="71"/>
      <c r="AB203" s="520" t="str">
        <f>IF(AA203="","",IF(VLOOKUP(AA203,'G-3 Multipliers'!$L$3:$N$6,2,FALSE)=0,"Spatial Data Missing ⚠",VLOOKUP(AA203,'G-3 Multipliers'!$L$3:$N$6,2,FALSE)))</f>
        <v/>
      </c>
      <c r="AC203" s="524" t="str">
        <f>IF(AA203="","",IF(VLOOKUP(AA203,'G-3 Multipliers'!$L$3:$N$6,3,FALSE)=0,"Spatial Data Missing ⚠",VLOOKUP(AA203,'G-3 Multipliers'!$L$3:$N$6,3,FALSE)))</f>
        <v/>
      </c>
      <c r="AD203" s="539" t="str">
        <f t="shared" si="24"/>
        <v/>
      </c>
      <c r="AE203" s="82"/>
      <c r="AF203" s="82"/>
      <c r="AG203" s="507" t="str">
        <f t="shared" si="30"/>
        <v/>
      </c>
      <c r="AH203" s="521" t="str">
        <f t="shared" si="31"/>
        <v/>
      </c>
      <c r="AI203" s="522" t="str">
        <f>IF(AH203="Check Data","Check Data",IFERROR(VLOOKUP(AH203,'G-4 Temporal multipliers'!$A$4:$C$36,3,FALSE),""))</f>
        <v/>
      </c>
      <c r="AJ203" s="498" t="str">
        <f>IF(S203="","",VLOOKUP(S203,'G-3 Multipliers'!$A$2:$E$129,4,FALSE))</f>
        <v/>
      </c>
      <c r="AK203" s="507" t="str">
        <f t="shared" si="32"/>
        <v/>
      </c>
      <c r="AL203" s="507" t="str">
        <f t="shared" si="33"/>
        <v/>
      </c>
      <c r="AM203" s="540" t="str">
        <f>IFERROR(IF(F203="","",IF(AH203="Check Data ⚠","Check Data ⚠",VLOOKUP(AL203, 'G-3 Multipliers'!$P$2:$Q$6,2,FALSE))),"")</f>
        <v/>
      </c>
      <c r="AN203" s="513" t="str">
        <f t="shared" si="25"/>
        <v/>
      </c>
      <c r="AO203" s="239"/>
      <c r="AP203" s="240"/>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1" t="str">
        <f>'A-1 Site Habitat Baseline'!AL203</f>
        <v/>
      </c>
      <c r="F204" s="520" t="str">
        <f>IF(E204="","",IF(ISNA(VLOOKUP($E204,'A-1 Site Habitat Baseline'!$D$1:$O$258,4,FALSE)),"",(VLOOKUP($E204,'A-1 Site Habitat Baseline'!$D$1:$O$258,4,FALSE))))</f>
        <v/>
      </c>
      <c r="G204" s="520" t="str">
        <f>IF(E204="","",IF(ISNA(VLOOKUP($E204,'A-1 Site Habitat Baseline'!$D$1:$O$258,5,FALSE)),"",(VLOOKUP($E204,'A-1 Site Habitat Baseline'!$D$1:$O$258,5,FALSE))))</f>
        <v/>
      </c>
      <c r="H204" s="520" t="str">
        <f>IF(E204="","",IF(ISNA(VLOOKUP($E204,'A-1 Site Habitat Baseline'!$D$1:$O$258,6,FALSE)),"",(VLOOKUP($E204,'A-1 Site Habitat Baseline'!$D$1:$O$258,6,FALSE))))</f>
        <v/>
      </c>
      <c r="I204" s="520" t="str">
        <f>IF(E204="","",IF(ISNA(VLOOKUP($E204,'A-1 Site Habitat Baseline'!$D$1:$O$258,7,FALSE)),"",(VLOOKUP($E204,'A-1 Site Habitat Baseline'!$D$1:$O$258,7,FALSE))))</f>
        <v/>
      </c>
      <c r="J204" s="520" t="str">
        <f>IF(E204="","",IF(ISNA(VLOOKUP($E204,'A-1 Site Habitat Baseline'!$D$1:$O$258,8,FALSE)),"",(VLOOKUP($E204,'A-1 Site Habitat Baseline'!$D$1:$O$258,8,FALSE))))</f>
        <v/>
      </c>
      <c r="K204" s="520" t="str">
        <f>IF(E204="","",IF(ISNA(VLOOKUP($E204,'A-1 Site Habitat Baseline'!$D$1:$O$258,9,FALSE)),"",(VLOOKUP($E204,'A-1 Site Habitat Baseline'!$D$1:$O$258,9,FALSE))))</f>
        <v/>
      </c>
      <c r="L204" s="520" t="str">
        <f>IF(E204="","",IF(ISNA(VLOOKUP($E204,'A-1 Site Habitat Baseline'!$D$1:$O$258,11,FALSE)),"",(VLOOKUP($E204,'A-1 Site Habitat Baseline'!$D$1:$O$258,11,FALSE))))</f>
        <v/>
      </c>
      <c r="M204" s="520" t="str">
        <f>IF(E204="","",IF(ISNA(VLOOKUP($E204,'A-1 Site Habitat Baseline'!$D$1:$O$258,12,FALSE)),"",(VLOOKUP($E204,'A-1 Site Habitat Baseline'!$D$1:$O$258,12,FALSE))))</f>
        <v/>
      </c>
      <c r="N204" s="532" t="str">
        <f>IF(E204="","",IF(ISNA(VLOOKUP($E204,'A-1 Site Habitat Baseline'!$D$1:$X$258,14,FALSE)),"",(VLOOKUP($E204,'A-1 Site Habitat Baseline'!$D$1:$X$258,14,FALSE))))</f>
        <v/>
      </c>
      <c r="O204" s="524" t="str">
        <f>IF(E204="","",IF(ISNA(VLOOKUP($E204,'A-1 Site Habitat Baseline'!$D$1:$X$258,16,FALSE)),"",(VLOOKUP($E204,'A-1 Site Habitat Baseline'!$D$1:$X$258,13,FALSE))))</f>
        <v/>
      </c>
      <c r="P204" s="237" t="str">
        <f>IFERROR(INDEX('G-1 All Habitats'!$AG$3:$AG$15,MATCH(Q204,'G-1 All Habitats'!$AF$3:$AF$15,0)),"")</f>
        <v/>
      </c>
      <c r="Q204" s="238" t="str">
        <f t="shared" si="26"/>
        <v/>
      </c>
      <c r="R204" s="238" t="str">
        <f t="shared" si="27"/>
        <v/>
      </c>
      <c r="S204" s="392" t="str">
        <f>IFERROR(INDEX('G-1 All Habitats'!$B$3:$B$129,MATCH(R204,'G-1 All Habitats'!$A$3:$A$129,0)),"")</f>
        <v/>
      </c>
      <c r="T204" s="498" t="str">
        <f t="shared" si="28"/>
        <v/>
      </c>
      <c r="U204" s="499" t="str">
        <f t="shared" si="29"/>
        <v/>
      </c>
      <c r="V204" s="537" t="str">
        <f t="shared" ref="V204:V257" si="34">IF(S204="","",VLOOKUP(E204,BaselineHabSite,17,FALSE))</f>
        <v/>
      </c>
      <c r="W204" s="520" t="str">
        <f>IF(S204="","",VLOOKUP(S204,'G-1 All Habitats'!$B$2:$M$129,10,FALSE))</f>
        <v/>
      </c>
      <c r="X204" s="520" t="str">
        <f>IFERROR(VLOOKUP(W204,'G-1 All Habitats'!$V$3:$W$7,2,FALSE),"")</f>
        <v/>
      </c>
      <c r="Y204" s="79"/>
      <c r="Z204" s="524" t="str">
        <f>IFERROR(INDEX('G-8 Condition Look up'!$A$3:$H$130,MATCH(S204,'G-8 Condition Look up'!$A$3:$A$130,0),MATCH(Y204,'G-8 Condition Look up'!$A$3:$H$3,0)),"")</f>
        <v/>
      </c>
      <c r="AA204" s="71"/>
      <c r="AB204" s="520" t="str">
        <f>IF(AA204="","",IF(VLOOKUP(AA204,'G-3 Multipliers'!$L$3:$N$6,2,FALSE)=0,"Spatial Data Missing ⚠",VLOOKUP(AA204,'G-3 Multipliers'!$L$3:$N$6,2,FALSE)))</f>
        <v/>
      </c>
      <c r="AC204" s="524" t="str">
        <f>IF(AA204="","",IF(VLOOKUP(AA204,'G-3 Multipliers'!$L$3:$N$6,3,FALSE)=0,"Spatial Data Missing ⚠",VLOOKUP(AA204,'G-3 Multipliers'!$L$3:$N$6,3,FALSE)))</f>
        <v/>
      </c>
      <c r="AD204" s="539" t="str">
        <f t="shared" ref="AD204:AD257" si="35">IFERROR(IF(OR(LEFT(U204,5)="Error ▲",LEFT(T204,5)="Error ▲"),"Check Data ⚠",INDEX(EnhanceTemporal,MATCH(S204,EnhanceHabitat,0),MATCH(U204,EnhanceCondition,0))),"")</f>
        <v/>
      </c>
      <c r="AE204" s="82"/>
      <c r="AF204" s="82"/>
      <c r="AG204" s="507" t="str">
        <f t="shared" si="30"/>
        <v/>
      </c>
      <c r="AH204" s="521" t="str">
        <f t="shared" si="31"/>
        <v/>
      </c>
      <c r="AI204" s="522" t="str">
        <f>IF(AH204="Check Data","Check Data",IFERROR(VLOOKUP(AH204,'G-4 Temporal multipliers'!$A$4:$C$36,3,FALSE),""))</f>
        <v/>
      </c>
      <c r="AJ204" s="498" t="str">
        <f>IF(S204="","",VLOOKUP(S204,'G-3 Multipliers'!$A$2:$E$129,4,FALSE))</f>
        <v/>
      </c>
      <c r="AK204" s="507" t="str">
        <f t="shared" si="32"/>
        <v/>
      </c>
      <c r="AL204" s="507" t="str">
        <f t="shared" si="33"/>
        <v/>
      </c>
      <c r="AM204" s="540" t="str">
        <f>IFERROR(IF(F204="","",IF(AH204="Check Data ⚠","Check Data ⚠",VLOOKUP(AL204, 'G-3 Multipliers'!$P$2:$Q$6,2,FALSE))),"")</f>
        <v/>
      </c>
      <c r="AN204" s="513" t="str">
        <f t="shared" ref="AN204:AN257" si="36">IFERROR(((((V204*X204*Z204)-(V204*I204*K204))*(AM204*AI204))+(V204*I204*K204))*(AC204),"")</f>
        <v/>
      </c>
      <c r="AO204" s="239"/>
      <c r="AP204" s="240"/>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1" t="str">
        <f>'A-1 Site Habitat Baseline'!AL204</f>
        <v/>
      </c>
      <c r="F205" s="520" t="str">
        <f>IF(E205="","",IF(ISNA(VLOOKUP($E205,'A-1 Site Habitat Baseline'!$D$1:$O$258,4,FALSE)),"",(VLOOKUP($E205,'A-1 Site Habitat Baseline'!$D$1:$O$258,4,FALSE))))</f>
        <v/>
      </c>
      <c r="G205" s="520" t="str">
        <f>IF(E205="","",IF(ISNA(VLOOKUP($E205,'A-1 Site Habitat Baseline'!$D$1:$O$258,5,FALSE)),"",(VLOOKUP($E205,'A-1 Site Habitat Baseline'!$D$1:$O$258,5,FALSE))))</f>
        <v/>
      </c>
      <c r="H205" s="520" t="str">
        <f>IF(E205="","",IF(ISNA(VLOOKUP($E205,'A-1 Site Habitat Baseline'!$D$1:$O$258,6,FALSE)),"",(VLOOKUP($E205,'A-1 Site Habitat Baseline'!$D$1:$O$258,6,FALSE))))</f>
        <v/>
      </c>
      <c r="I205" s="520" t="str">
        <f>IF(E205="","",IF(ISNA(VLOOKUP($E205,'A-1 Site Habitat Baseline'!$D$1:$O$258,7,FALSE)),"",(VLOOKUP($E205,'A-1 Site Habitat Baseline'!$D$1:$O$258,7,FALSE))))</f>
        <v/>
      </c>
      <c r="J205" s="520" t="str">
        <f>IF(E205="","",IF(ISNA(VLOOKUP($E205,'A-1 Site Habitat Baseline'!$D$1:$O$258,8,FALSE)),"",(VLOOKUP($E205,'A-1 Site Habitat Baseline'!$D$1:$O$258,8,FALSE))))</f>
        <v/>
      </c>
      <c r="K205" s="520" t="str">
        <f>IF(E205="","",IF(ISNA(VLOOKUP($E205,'A-1 Site Habitat Baseline'!$D$1:$O$258,9,FALSE)),"",(VLOOKUP($E205,'A-1 Site Habitat Baseline'!$D$1:$O$258,9,FALSE))))</f>
        <v/>
      </c>
      <c r="L205" s="520" t="str">
        <f>IF(E205="","",IF(ISNA(VLOOKUP($E205,'A-1 Site Habitat Baseline'!$D$1:$O$258,11,FALSE)),"",(VLOOKUP($E205,'A-1 Site Habitat Baseline'!$D$1:$O$258,11,FALSE))))</f>
        <v/>
      </c>
      <c r="M205" s="520" t="str">
        <f>IF(E205="","",IF(ISNA(VLOOKUP($E205,'A-1 Site Habitat Baseline'!$D$1:$O$258,12,FALSE)),"",(VLOOKUP($E205,'A-1 Site Habitat Baseline'!$D$1:$O$258,12,FALSE))))</f>
        <v/>
      </c>
      <c r="N205" s="532" t="str">
        <f>IF(E205="","",IF(ISNA(VLOOKUP($E205,'A-1 Site Habitat Baseline'!$D$1:$X$258,14,FALSE)),"",(VLOOKUP($E205,'A-1 Site Habitat Baseline'!$D$1:$X$258,14,FALSE))))</f>
        <v/>
      </c>
      <c r="O205" s="524" t="str">
        <f>IF(E205="","",IF(ISNA(VLOOKUP($E205,'A-1 Site Habitat Baseline'!$D$1:$X$258,16,FALSE)),"",(VLOOKUP($E205,'A-1 Site Habitat Baseline'!$D$1:$X$258,13,FALSE))))</f>
        <v/>
      </c>
      <c r="P205" s="237" t="str">
        <f>IFERROR(INDEX('G-1 All Habitats'!$AG$3:$AG$15,MATCH(Q205,'G-1 All Habitats'!$AF$3:$AF$15,0)),"")</f>
        <v/>
      </c>
      <c r="Q205" s="238" t="str">
        <f t="shared" ref="Q205:Q257" si="37">A205</f>
        <v/>
      </c>
      <c r="R205" s="238" t="str">
        <f t="shared" ref="R205:R257" si="38">IF(B205="","",B205)</f>
        <v/>
      </c>
      <c r="S205" s="392" t="str">
        <f>IFERROR(INDEX('G-1 All Habitats'!$B$3:$B$129,MATCH(R205,'G-1 All Habitats'!$A$3:$A$129,0)),"")</f>
        <v/>
      </c>
      <c r="T205" s="498"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9"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7" t="str">
        <f t="shared" si="34"/>
        <v/>
      </c>
      <c r="W205" s="520" t="str">
        <f>IF(S205="","",VLOOKUP(S205,'G-1 All Habitats'!$B$2:$M$129,10,FALSE))</f>
        <v/>
      </c>
      <c r="X205" s="520" t="str">
        <f>IFERROR(VLOOKUP(W205,'G-1 All Habitats'!$V$3:$W$7,2,FALSE),"")</f>
        <v/>
      </c>
      <c r="Y205" s="79"/>
      <c r="Z205" s="524" t="str">
        <f>IFERROR(INDEX('G-8 Condition Look up'!$A$3:$H$130,MATCH(S205,'G-8 Condition Look up'!$A$3:$A$130,0),MATCH(Y205,'G-8 Condition Look up'!$A$3:$H$3,0)),"")</f>
        <v/>
      </c>
      <c r="AA205" s="71"/>
      <c r="AB205" s="520" t="str">
        <f>IF(AA205="","",IF(VLOOKUP(AA205,'G-3 Multipliers'!$L$3:$N$6,2,FALSE)=0,"Spatial Data Missing ⚠",VLOOKUP(AA205,'G-3 Multipliers'!$L$3:$N$6,2,FALSE)))</f>
        <v/>
      </c>
      <c r="AC205" s="524" t="str">
        <f>IF(AA205="","",IF(VLOOKUP(AA205,'G-3 Multipliers'!$L$3:$N$6,3,FALSE)=0,"Spatial Data Missing ⚠",VLOOKUP(AA205,'G-3 Multipliers'!$L$3:$N$6,3,FALSE)))</f>
        <v/>
      </c>
      <c r="AD205" s="539" t="str">
        <f t="shared" si="35"/>
        <v/>
      </c>
      <c r="AE205" s="82"/>
      <c r="AF205" s="82"/>
      <c r="AG205" s="507"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1"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2" t="str">
        <f>IF(AH205="Check Data","Check Data",IFERROR(VLOOKUP(AH205,'G-4 Temporal multipliers'!$A$4:$C$36,3,FALSE),""))</f>
        <v/>
      </c>
      <c r="AJ205" s="498" t="str">
        <f>IF(S205="","",VLOOKUP(S205,'G-3 Multipliers'!$A$2:$E$129,4,FALSE))</f>
        <v/>
      </c>
      <c r="AK205" s="507" t="str">
        <f t="shared" ref="AK205:AK257" si="43">IF(E205="","",IF(AG205="Check details - Is there evidence that habitat has reached target condition? ⚠","Low Difficulty - only applicable if all habitat created before losses ⚠","Standard difficulty applied"))</f>
        <v/>
      </c>
      <c r="AL205" s="507" t="str">
        <f t="shared" ref="AL205:AL257" si="44">(IF(AND(AK205="Standard difficulty applied",AD205&gt;AE205),AJ205,IF(AND(AK205="Low Difficulty - only applicable if all habitat created before losses ⚠",AE205&gt;=AD205),"Low", AJ205)))</f>
        <v/>
      </c>
      <c r="AM205" s="540" t="str">
        <f>IFERROR(IF(F205="","",IF(AH205="Check Data ⚠","Check Data ⚠",VLOOKUP(AL205, 'G-3 Multipliers'!$P$2:$Q$6,2,FALSE))),"")</f>
        <v/>
      </c>
      <c r="AN205" s="513" t="str">
        <f t="shared" si="36"/>
        <v/>
      </c>
      <c r="AO205" s="239"/>
      <c r="AP205" s="240"/>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1" t="str">
        <f>'A-1 Site Habitat Baseline'!AL205</f>
        <v/>
      </c>
      <c r="F206" s="520" t="str">
        <f>IF(E206="","",IF(ISNA(VLOOKUP($E206,'A-1 Site Habitat Baseline'!$D$1:$O$258,4,FALSE)),"",(VLOOKUP($E206,'A-1 Site Habitat Baseline'!$D$1:$O$258,4,FALSE))))</f>
        <v/>
      </c>
      <c r="G206" s="520" t="str">
        <f>IF(E206="","",IF(ISNA(VLOOKUP($E206,'A-1 Site Habitat Baseline'!$D$1:$O$258,5,FALSE)),"",(VLOOKUP($E206,'A-1 Site Habitat Baseline'!$D$1:$O$258,5,FALSE))))</f>
        <v/>
      </c>
      <c r="H206" s="520" t="str">
        <f>IF(E206="","",IF(ISNA(VLOOKUP($E206,'A-1 Site Habitat Baseline'!$D$1:$O$258,6,FALSE)),"",(VLOOKUP($E206,'A-1 Site Habitat Baseline'!$D$1:$O$258,6,FALSE))))</f>
        <v/>
      </c>
      <c r="I206" s="520" t="str">
        <f>IF(E206="","",IF(ISNA(VLOOKUP($E206,'A-1 Site Habitat Baseline'!$D$1:$O$258,7,FALSE)),"",(VLOOKUP($E206,'A-1 Site Habitat Baseline'!$D$1:$O$258,7,FALSE))))</f>
        <v/>
      </c>
      <c r="J206" s="520" t="str">
        <f>IF(E206="","",IF(ISNA(VLOOKUP($E206,'A-1 Site Habitat Baseline'!$D$1:$O$258,8,FALSE)),"",(VLOOKUP($E206,'A-1 Site Habitat Baseline'!$D$1:$O$258,8,FALSE))))</f>
        <v/>
      </c>
      <c r="K206" s="520" t="str">
        <f>IF(E206="","",IF(ISNA(VLOOKUP($E206,'A-1 Site Habitat Baseline'!$D$1:$O$258,9,FALSE)),"",(VLOOKUP($E206,'A-1 Site Habitat Baseline'!$D$1:$O$258,9,FALSE))))</f>
        <v/>
      </c>
      <c r="L206" s="520" t="str">
        <f>IF(E206="","",IF(ISNA(VLOOKUP($E206,'A-1 Site Habitat Baseline'!$D$1:$O$258,11,FALSE)),"",(VLOOKUP($E206,'A-1 Site Habitat Baseline'!$D$1:$O$258,11,FALSE))))</f>
        <v/>
      </c>
      <c r="M206" s="520" t="str">
        <f>IF(E206="","",IF(ISNA(VLOOKUP($E206,'A-1 Site Habitat Baseline'!$D$1:$O$258,12,FALSE)),"",(VLOOKUP($E206,'A-1 Site Habitat Baseline'!$D$1:$O$258,12,FALSE))))</f>
        <v/>
      </c>
      <c r="N206" s="532" t="str">
        <f>IF(E206="","",IF(ISNA(VLOOKUP($E206,'A-1 Site Habitat Baseline'!$D$1:$X$258,14,FALSE)),"",(VLOOKUP($E206,'A-1 Site Habitat Baseline'!$D$1:$X$258,14,FALSE))))</f>
        <v/>
      </c>
      <c r="O206" s="524" t="str">
        <f>IF(E206="","",IF(ISNA(VLOOKUP($E206,'A-1 Site Habitat Baseline'!$D$1:$X$258,16,FALSE)),"",(VLOOKUP($E206,'A-1 Site Habitat Baseline'!$D$1:$X$258,13,FALSE))))</f>
        <v/>
      </c>
      <c r="P206" s="237" t="str">
        <f>IFERROR(INDEX('G-1 All Habitats'!$AG$3:$AG$15,MATCH(Q206,'G-1 All Habitats'!$AF$3:$AF$15,0)),"")</f>
        <v/>
      </c>
      <c r="Q206" s="238" t="str">
        <f t="shared" si="37"/>
        <v/>
      </c>
      <c r="R206" s="238" t="str">
        <f t="shared" si="38"/>
        <v/>
      </c>
      <c r="S206" s="392" t="str">
        <f>IFERROR(INDEX('G-1 All Habitats'!$B$3:$B$129,MATCH(R206,'G-1 All Habitats'!$A$3:$A$129,0)),"")</f>
        <v/>
      </c>
      <c r="T206" s="498" t="str">
        <f t="shared" si="39"/>
        <v/>
      </c>
      <c r="U206" s="499" t="str">
        <f t="shared" si="40"/>
        <v/>
      </c>
      <c r="V206" s="537" t="str">
        <f t="shared" si="34"/>
        <v/>
      </c>
      <c r="W206" s="520" t="str">
        <f>IF(S206="","",VLOOKUP(S206,'G-1 All Habitats'!$B$2:$M$129,10,FALSE))</f>
        <v/>
      </c>
      <c r="X206" s="520" t="str">
        <f>IFERROR(VLOOKUP(W206,'G-1 All Habitats'!$V$3:$W$7,2,FALSE),"")</f>
        <v/>
      </c>
      <c r="Y206" s="79"/>
      <c r="Z206" s="524" t="str">
        <f>IFERROR(INDEX('G-8 Condition Look up'!$A$3:$H$130,MATCH(S206,'G-8 Condition Look up'!$A$3:$A$130,0),MATCH(Y206,'G-8 Condition Look up'!$A$3:$H$3,0)),"")</f>
        <v/>
      </c>
      <c r="AA206" s="71"/>
      <c r="AB206" s="520" t="str">
        <f>IF(AA206="","",IF(VLOOKUP(AA206,'G-3 Multipliers'!$L$3:$N$6,2,FALSE)=0,"Spatial Data Missing ⚠",VLOOKUP(AA206,'G-3 Multipliers'!$L$3:$N$6,2,FALSE)))</f>
        <v/>
      </c>
      <c r="AC206" s="524" t="str">
        <f>IF(AA206="","",IF(VLOOKUP(AA206,'G-3 Multipliers'!$L$3:$N$6,3,FALSE)=0,"Spatial Data Missing ⚠",VLOOKUP(AA206,'G-3 Multipliers'!$L$3:$N$6,3,FALSE)))</f>
        <v/>
      </c>
      <c r="AD206" s="539" t="str">
        <f t="shared" si="35"/>
        <v/>
      </c>
      <c r="AE206" s="82"/>
      <c r="AF206" s="82"/>
      <c r="AG206" s="507" t="str">
        <f t="shared" si="41"/>
        <v/>
      </c>
      <c r="AH206" s="521" t="str">
        <f t="shared" si="42"/>
        <v/>
      </c>
      <c r="AI206" s="522" t="str">
        <f>IF(AH206="Check Data","Check Data",IFERROR(VLOOKUP(AH206,'G-4 Temporal multipliers'!$A$4:$C$36,3,FALSE),""))</f>
        <v/>
      </c>
      <c r="AJ206" s="498" t="str">
        <f>IF(S206="","",VLOOKUP(S206,'G-3 Multipliers'!$A$2:$E$129,4,FALSE))</f>
        <v/>
      </c>
      <c r="AK206" s="507" t="str">
        <f t="shared" si="43"/>
        <v/>
      </c>
      <c r="AL206" s="507" t="str">
        <f t="shared" si="44"/>
        <v/>
      </c>
      <c r="AM206" s="540" t="str">
        <f>IFERROR(IF(F206="","",IF(AH206="Check Data ⚠","Check Data ⚠",VLOOKUP(AL206, 'G-3 Multipliers'!$P$2:$Q$6,2,FALSE))),"")</f>
        <v/>
      </c>
      <c r="AN206" s="513" t="str">
        <f t="shared" si="36"/>
        <v/>
      </c>
      <c r="AO206" s="239"/>
      <c r="AP206" s="240"/>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1" t="str">
        <f>'A-1 Site Habitat Baseline'!AL206</f>
        <v/>
      </c>
      <c r="F207" s="520" t="str">
        <f>IF(E207="","",IF(ISNA(VLOOKUP($E207,'A-1 Site Habitat Baseline'!$D$1:$O$258,4,FALSE)),"",(VLOOKUP($E207,'A-1 Site Habitat Baseline'!$D$1:$O$258,4,FALSE))))</f>
        <v/>
      </c>
      <c r="G207" s="520" t="str">
        <f>IF(E207="","",IF(ISNA(VLOOKUP($E207,'A-1 Site Habitat Baseline'!$D$1:$O$258,5,FALSE)),"",(VLOOKUP($E207,'A-1 Site Habitat Baseline'!$D$1:$O$258,5,FALSE))))</f>
        <v/>
      </c>
      <c r="H207" s="520" t="str">
        <f>IF(E207="","",IF(ISNA(VLOOKUP($E207,'A-1 Site Habitat Baseline'!$D$1:$O$258,6,FALSE)),"",(VLOOKUP($E207,'A-1 Site Habitat Baseline'!$D$1:$O$258,6,FALSE))))</f>
        <v/>
      </c>
      <c r="I207" s="520" t="str">
        <f>IF(E207="","",IF(ISNA(VLOOKUP($E207,'A-1 Site Habitat Baseline'!$D$1:$O$258,7,FALSE)),"",(VLOOKUP($E207,'A-1 Site Habitat Baseline'!$D$1:$O$258,7,FALSE))))</f>
        <v/>
      </c>
      <c r="J207" s="520" t="str">
        <f>IF(E207="","",IF(ISNA(VLOOKUP($E207,'A-1 Site Habitat Baseline'!$D$1:$O$258,8,FALSE)),"",(VLOOKUP($E207,'A-1 Site Habitat Baseline'!$D$1:$O$258,8,FALSE))))</f>
        <v/>
      </c>
      <c r="K207" s="520" t="str">
        <f>IF(E207="","",IF(ISNA(VLOOKUP($E207,'A-1 Site Habitat Baseline'!$D$1:$O$258,9,FALSE)),"",(VLOOKUP($E207,'A-1 Site Habitat Baseline'!$D$1:$O$258,9,FALSE))))</f>
        <v/>
      </c>
      <c r="L207" s="520" t="str">
        <f>IF(E207="","",IF(ISNA(VLOOKUP($E207,'A-1 Site Habitat Baseline'!$D$1:$O$258,11,FALSE)),"",(VLOOKUP($E207,'A-1 Site Habitat Baseline'!$D$1:$O$258,11,FALSE))))</f>
        <v/>
      </c>
      <c r="M207" s="520" t="str">
        <f>IF(E207="","",IF(ISNA(VLOOKUP($E207,'A-1 Site Habitat Baseline'!$D$1:$O$258,12,FALSE)),"",(VLOOKUP($E207,'A-1 Site Habitat Baseline'!$D$1:$O$258,12,FALSE))))</f>
        <v/>
      </c>
      <c r="N207" s="532" t="str">
        <f>IF(E207="","",IF(ISNA(VLOOKUP($E207,'A-1 Site Habitat Baseline'!$D$1:$X$258,14,FALSE)),"",(VLOOKUP($E207,'A-1 Site Habitat Baseline'!$D$1:$X$258,14,FALSE))))</f>
        <v/>
      </c>
      <c r="O207" s="524" t="str">
        <f>IF(E207="","",IF(ISNA(VLOOKUP($E207,'A-1 Site Habitat Baseline'!$D$1:$X$258,16,FALSE)),"",(VLOOKUP($E207,'A-1 Site Habitat Baseline'!$D$1:$X$258,13,FALSE))))</f>
        <v/>
      </c>
      <c r="P207" s="237" t="str">
        <f>IFERROR(INDEX('G-1 All Habitats'!$AG$3:$AG$15,MATCH(Q207,'G-1 All Habitats'!$AF$3:$AF$15,0)),"")</f>
        <v/>
      </c>
      <c r="Q207" s="238" t="str">
        <f t="shared" si="37"/>
        <v/>
      </c>
      <c r="R207" s="238" t="str">
        <f t="shared" si="38"/>
        <v/>
      </c>
      <c r="S207" s="392" t="str">
        <f>IFERROR(INDEX('G-1 All Habitats'!$B$3:$B$129,MATCH(R207,'G-1 All Habitats'!$A$3:$A$129,0)),"")</f>
        <v/>
      </c>
      <c r="T207" s="498" t="str">
        <f t="shared" si="39"/>
        <v/>
      </c>
      <c r="U207" s="499" t="str">
        <f t="shared" si="40"/>
        <v/>
      </c>
      <c r="V207" s="537" t="str">
        <f t="shared" si="34"/>
        <v/>
      </c>
      <c r="W207" s="520" t="str">
        <f>IF(S207="","",VLOOKUP(S207,'G-1 All Habitats'!$B$2:$M$129,10,FALSE))</f>
        <v/>
      </c>
      <c r="X207" s="520" t="str">
        <f>IFERROR(VLOOKUP(W207,'G-1 All Habitats'!$V$3:$W$7,2,FALSE),"")</f>
        <v/>
      </c>
      <c r="Y207" s="79"/>
      <c r="Z207" s="524" t="str">
        <f>IFERROR(INDEX('G-8 Condition Look up'!$A$3:$H$130,MATCH(S207,'G-8 Condition Look up'!$A$3:$A$130,0),MATCH(Y207,'G-8 Condition Look up'!$A$3:$H$3,0)),"")</f>
        <v/>
      </c>
      <c r="AA207" s="71"/>
      <c r="AB207" s="520" t="str">
        <f>IF(AA207="","",IF(VLOOKUP(AA207,'G-3 Multipliers'!$L$3:$N$6,2,FALSE)=0,"Spatial Data Missing ⚠",VLOOKUP(AA207,'G-3 Multipliers'!$L$3:$N$6,2,FALSE)))</f>
        <v/>
      </c>
      <c r="AC207" s="524" t="str">
        <f>IF(AA207="","",IF(VLOOKUP(AA207,'G-3 Multipliers'!$L$3:$N$6,3,FALSE)=0,"Spatial Data Missing ⚠",VLOOKUP(AA207,'G-3 Multipliers'!$L$3:$N$6,3,FALSE)))</f>
        <v/>
      </c>
      <c r="AD207" s="539" t="str">
        <f t="shared" si="35"/>
        <v/>
      </c>
      <c r="AE207" s="82"/>
      <c r="AF207" s="82"/>
      <c r="AG207" s="507" t="str">
        <f t="shared" si="41"/>
        <v/>
      </c>
      <c r="AH207" s="521" t="str">
        <f t="shared" si="42"/>
        <v/>
      </c>
      <c r="AI207" s="522" t="str">
        <f>IF(AH207="Check Data","Check Data",IFERROR(VLOOKUP(AH207,'G-4 Temporal multipliers'!$A$4:$C$36,3,FALSE),""))</f>
        <v/>
      </c>
      <c r="AJ207" s="498" t="str">
        <f>IF(S207="","",VLOOKUP(S207,'G-3 Multipliers'!$A$2:$E$129,4,FALSE))</f>
        <v/>
      </c>
      <c r="AK207" s="507" t="str">
        <f t="shared" si="43"/>
        <v/>
      </c>
      <c r="AL207" s="507" t="str">
        <f t="shared" si="44"/>
        <v/>
      </c>
      <c r="AM207" s="540" t="str">
        <f>IFERROR(IF(F207="","",IF(AH207="Check Data ⚠","Check Data ⚠",VLOOKUP(AL207, 'G-3 Multipliers'!$P$2:$Q$6,2,FALSE))),"")</f>
        <v/>
      </c>
      <c r="AN207" s="513" t="str">
        <f t="shared" si="36"/>
        <v/>
      </c>
      <c r="AO207" s="239"/>
      <c r="AP207" s="240"/>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1" t="str">
        <f>'A-1 Site Habitat Baseline'!AL207</f>
        <v/>
      </c>
      <c r="F208" s="520" t="str">
        <f>IF(E208="","",IF(ISNA(VLOOKUP($E208,'A-1 Site Habitat Baseline'!$D$1:$O$258,4,FALSE)),"",(VLOOKUP($E208,'A-1 Site Habitat Baseline'!$D$1:$O$258,4,FALSE))))</f>
        <v/>
      </c>
      <c r="G208" s="520" t="str">
        <f>IF(E208="","",IF(ISNA(VLOOKUP($E208,'A-1 Site Habitat Baseline'!$D$1:$O$258,5,FALSE)),"",(VLOOKUP($E208,'A-1 Site Habitat Baseline'!$D$1:$O$258,5,FALSE))))</f>
        <v/>
      </c>
      <c r="H208" s="520" t="str">
        <f>IF(E208="","",IF(ISNA(VLOOKUP($E208,'A-1 Site Habitat Baseline'!$D$1:$O$258,6,FALSE)),"",(VLOOKUP($E208,'A-1 Site Habitat Baseline'!$D$1:$O$258,6,FALSE))))</f>
        <v/>
      </c>
      <c r="I208" s="520" t="str">
        <f>IF(E208="","",IF(ISNA(VLOOKUP($E208,'A-1 Site Habitat Baseline'!$D$1:$O$258,7,FALSE)),"",(VLOOKUP($E208,'A-1 Site Habitat Baseline'!$D$1:$O$258,7,FALSE))))</f>
        <v/>
      </c>
      <c r="J208" s="520" t="str">
        <f>IF(E208="","",IF(ISNA(VLOOKUP($E208,'A-1 Site Habitat Baseline'!$D$1:$O$258,8,FALSE)),"",(VLOOKUP($E208,'A-1 Site Habitat Baseline'!$D$1:$O$258,8,FALSE))))</f>
        <v/>
      </c>
      <c r="K208" s="520" t="str">
        <f>IF(E208="","",IF(ISNA(VLOOKUP($E208,'A-1 Site Habitat Baseline'!$D$1:$O$258,9,FALSE)),"",(VLOOKUP($E208,'A-1 Site Habitat Baseline'!$D$1:$O$258,9,FALSE))))</f>
        <v/>
      </c>
      <c r="L208" s="520" t="str">
        <f>IF(E208="","",IF(ISNA(VLOOKUP($E208,'A-1 Site Habitat Baseline'!$D$1:$O$258,11,FALSE)),"",(VLOOKUP($E208,'A-1 Site Habitat Baseline'!$D$1:$O$258,11,FALSE))))</f>
        <v/>
      </c>
      <c r="M208" s="520" t="str">
        <f>IF(E208="","",IF(ISNA(VLOOKUP($E208,'A-1 Site Habitat Baseline'!$D$1:$O$258,12,FALSE)),"",(VLOOKUP($E208,'A-1 Site Habitat Baseline'!$D$1:$O$258,12,FALSE))))</f>
        <v/>
      </c>
      <c r="N208" s="532" t="str">
        <f>IF(E208="","",IF(ISNA(VLOOKUP($E208,'A-1 Site Habitat Baseline'!$D$1:$X$258,14,FALSE)),"",(VLOOKUP($E208,'A-1 Site Habitat Baseline'!$D$1:$X$258,14,FALSE))))</f>
        <v/>
      </c>
      <c r="O208" s="524" t="str">
        <f>IF(E208="","",IF(ISNA(VLOOKUP($E208,'A-1 Site Habitat Baseline'!$D$1:$X$258,16,FALSE)),"",(VLOOKUP($E208,'A-1 Site Habitat Baseline'!$D$1:$X$258,13,FALSE))))</f>
        <v/>
      </c>
      <c r="P208" s="237" t="str">
        <f>IFERROR(INDEX('G-1 All Habitats'!$AG$3:$AG$15,MATCH(Q208,'G-1 All Habitats'!$AF$3:$AF$15,0)),"")</f>
        <v/>
      </c>
      <c r="Q208" s="238" t="str">
        <f t="shared" si="37"/>
        <v/>
      </c>
      <c r="R208" s="238" t="str">
        <f t="shared" si="38"/>
        <v/>
      </c>
      <c r="S208" s="392" t="str">
        <f>IFERROR(INDEX('G-1 All Habitats'!$B$3:$B$129,MATCH(R208,'G-1 All Habitats'!$A$3:$A$129,0)),"")</f>
        <v/>
      </c>
      <c r="T208" s="498" t="str">
        <f t="shared" si="39"/>
        <v/>
      </c>
      <c r="U208" s="499" t="str">
        <f t="shared" si="40"/>
        <v/>
      </c>
      <c r="V208" s="537" t="str">
        <f t="shared" si="34"/>
        <v/>
      </c>
      <c r="W208" s="520" t="str">
        <f>IF(S208="","",VLOOKUP(S208,'G-1 All Habitats'!$B$2:$M$129,10,FALSE))</f>
        <v/>
      </c>
      <c r="X208" s="520" t="str">
        <f>IFERROR(VLOOKUP(W208,'G-1 All Habitats'!$V$3:$W$7,2,FALSE),"")</f>
        <v/>
      </c>
      <c r="Y208" s="79"/>
      <c r="Z208" s="524" t="str">
        <f>IFERROR(INDEX('G-8 Condition Look up'!$A$3:$H$130,MATCH(S208,'G-8 Condition Look up'!$A$3:$A$130,0),MATCH(Y208,'G-8 Condition Look up'!$A$3:$H$3,0)),"")</f>
        <v/>
      </c>
      <c r="AA208" s="71"/>
      <c r="AB208" s="520" t="str">
        <f>IF(AA208="","",IF(VLOOKUP(AA208,'G-3 Multipliers'!$L$3:$N$6,2,FALSE)=0,"Spatial Data Missing ⚠",VLOOKUP(AA208,'G-3 Multipliers'!$L$3:$N$6,2,FALSE)))</f>
        <v/>
      </c>
      <c r="AC208" s="524" t="str">
        <f>IF(AA208="","",IF(VLOOKUP(AA208,'G-3 Multipliers'!$L$3:$N$6,3,FALSE)=0,"Spatial Data Missing ⚠",VLOOKUP(AA208,'G-3 Multipliers'!$L$3:$N$6,3,FALSE)))</f>
        <v/>
      </c>
      <c r="AD208" s="539" t="str">
        <f t="shared" si="35"/>
        <v/>
      </c>
      <c r="AE208" s="82"/>
      <c r="AF208" s="82"/>
      <c r="AG208" s="507" t="str">
        <f t="shared" si="41"/>
        <v/>
      </c>
      <c r="AH208" s="521" t="str">
        <f t="shared" si="42"/>
        <v/>
      </c>
      <c r="AI208" s="522" t="str">
        <f>IF(AH208="Check Data","Check Data",IFERROR(VLOOKUP(AH208,'G-4 Temporal multipliers'!$A$4:$C$36,3,FALSE),""))</f>
        <v/>
      </c>
      <c r="AJ208" s="498" t="str">
        <f>IF(S208="","",VLOOKUP(S208,'G-3 Multipliers'!$A$2:$E$129,4,FALSE))</f>
        <v/>
      </c>
      <c r="AK208" s="507" t="str">
        <f t="shared" si="43"/>
        <v/>
      </c>
      <c r="AL208" s="507" t="str">
        <f t="shared" si="44"/>
        <v/>
      </c>
      <c r="AM208" s="540" t="str">
        <f>IFERROR(IF(F208="","",IF(AH208="Check Data ⚠","Check Data ⚠",VLOOKUP(AL208, 'G-3 Multipliers'!$P$2:$Q$6,2,FALSE))),"")</f>
        <v/>
      </c>
      <c r="AN208" s="513" t="str">
        <f t="shared" si="36"/>
        <v/>
      </c>
      <c r="AO208" s="239"/>
      <c r="AP208" s="240"/>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1" t="str">
        <f>'A-1 Site Habitat Baseline'!AL208</f>
        <v/>
      </c>
      <c r="F209" s="520" t="str">
        <f>IF(E209="","",IF(ISNA(VLOOKUP($E209,'A-1 Site Habitat Baseline'!$D$1:$O$258,4,FALSE)),"",(VLOOKUP($E209,'A-1 Site Habitat Baseline'!$D$1:$O$258,4,FALSE))))</f>
        <v/>
      </c>
      <c r="G209" s="520" t="str">
        <f>IF(E209="","",IF(ISNA(VLOOKUP($E209,'A-1 Site Habitat Baseline'!$D$1:$O$258,5,FALSE)),"",(VLOOKUP($E209,'A-1 Site Habitat Baseline'!$D$1:$O$258,5,FALSE))))</f>
        <v/>
      </c>
      <c r="H209" s="520" t="str">
        <f>IF(E209="","",IF(ISNA(VLOOKUP($E209,'A-1 Site Habitat Baseline'!$D$1:$O$258,6,FALSE)),"",(VLOOKUP($E209,'A-1 Site Habitat Baseline'!$D$1:$O$258,6,FALSE))))</f>
        <v/>
      </c>
      <c r="I209" s="520" t="str">
        <f>IF(E209="","",IF(ISNA(VLOOKUP($E209,'A-1 Site Habitat Baseline'!$D$1:$O$258,7,FALSE)),"",(VLOOKUP($E209,'A-1 Site Habitat Baseline'!$D$1:$O$258,7,FALSE))))</f>
        <v/>
      </c>
      <c r="J209" s="520" t="str">
        <f>IF(E209="","",IF(ISNA(VLOOKUP($E209,'A-1 Site Habitat Baseline'!$D$1:$O$258,8,FALSE)),"",(VLOOKUP($E209,'A-1 Site Habitat Baseline'!$D$1:$O$258,8,FALSE))))</f>
        <v/>
      </c>
      <c r="K209" s="520" t="str">
        <f>IF(E209="","",IF(ISNA(VLOOKUP($E209,'A-1 Site Habitat Baseline'!$D$1:$O$258,9,FALSE)),"",(VLOOKUP($E209,'A-1 Site Habitat Baseline'!$D$1:$O$258,9,FALSE))))</f>
        <v/>
      </c>
      <c r="L209" s="520" t="str">
        <f>IF(E209="","",IF(ISNA(VLOOKUP($E209,'A-1 Site Habitat Baseline'!$D$1:$O$258,11,FALSE)),"",(VLOOKUP($E209,'A-1 Site Habitat Baseline'!$D$1:$O$258,11,FALSE))))</f>
        <v/>
      </c>
      <c r="M209" s="520" t="str">
        <f>IF(E209="","",IF(ISNA(VLOOKUP($E209,'A-1 Site Habitat Baseline'!$D$1:$O$258,12,FALSE)),"",(VLOOKUP($E209,'A-1 Site Habitat Baseline'!$D$1:$O$258,12,FALSE))))</f>
        <v/>
      </c>
      <c r="N209" s="532" t="str">
        <f>IF(E209="","",IF(ISNA(VLOOKUP($E209,'A-1 Site Habitat Baseline'!$D$1:$X$258,14,FALSE)),"",(VLOOKUP($E209,'A-1 Site Habitat Baseline'!$D$1:$X$258,14,FALSE))))</f>
        <v/>
      </c>
      <c r="O209" s="524" t="str">
        <f>IF(E209="","",IF(ISNA(VLOOKUP($E209,'A-1 Site Habitat Baseline'!$D$1:$X$258,16,FALSE)),"",(VLOOKUP($E209,'A-1 Site Habitat Baseline'!$D$1:$X$258,13,FALSE))))</f>
        <v/>
      </c>
      <c r="P209" s="237" t="str">
        <f>IFERROR(INDEX('G-1 All Habitats'!$AG$3:$AG$15,MATCH(Q209,'G-1 All Habitats'!$AF$3:$AF$15,0)),"")</f>
        <v/>
      </c>
      <c r="Q209" s="238" t="str">
        <f t="shared" si="37"/>
        <v/>
      </c>
      <c r="R209" s="238" t="str">
        <f t="shared" si="38"/>
        <v/>
      </c>
      <c r="S209" s="392" t="str">
        <f>IFERROR(INDEX('G-1 All Habitats'!$B$3:$B$129,MATCH(R209,'G-1 All Habitats'!$A$3:$A$129,0)),"")</f>
        <v/>
      </c>
      <c r="T209" s="498" t="str">
        <f t="shared" si="39"/>
        <v/>
      </c>
      <c r="U209" s="499" t="str">
        <f t="shared" si="40"/>
        <v/>
      </c>
      <c r="V209" s="537" t="str">
        <f t="shared" si="34"/>
        <v/>
      </c>
      <c r="W209" s="520" t="str">
        <f>IF(S209="","",VLOOKUP(S209,'G-1 All Habitats'!$B$2:$M$129,10,FALSE))</f>
        <v/>
      </c>
      <c r="X209" s="520" t="str">
        <f>IFERROR(VLOOKUP(W209,'G-1 All Habitats'!$V$3:$W$7,2,FALSE),"")</f>
        <v/>
      </c>
      <c r="Y209" s="79"/>
      <c r="Z209" s="524" t="str">
        <f>IFERROR(INDEX('G-8 Condition Look up'!$A$3:$H$130,MATCH(S209,'G-8 Condition Look up'!$A$3:$A$130,0),MATCH(Y209,'G-8 Condition Look up'!$A$3:$H$3,0)),"")</f>
        <v/>
      </c>
      <c r="AA209" s="71"/>
      <c r="AB209" s="520" t="str">
        <f>IF(AA209="","",IF(VLOOKUP(AA209,'G-3 Multipliers'!$L$3:$N$6,2,FALSE)=0,"Spatial Data Missing ⚠",VLOOKUP(AA209,'G-3 Multipliers'!$L$3:$N$6,2,FALSE)))</f>
        <v/>
      </c>
      <c r="AC209" s="524" t="str">
        <f>IF(AA209="","",IF(VLOOKUP(AA209,'G-3 Multipliers'!$L$3:$N$6,3,FALSE)=0,"Spatial Data Missing ⚠",VLOOKUP(AA209,'G-3 Multipliers'!$L$3:$N$6,3,FALSE)))</f>
        <v/>
      </c>
      <c r="AD209" s="539" t="str">
        <f t="shared" si="35"/>
        <v/>
      </c>
      <c r="AE209" s="82"/>
      <c r="AF209" s="82"/>
      <c r="AG209" s="507" t="str">
        <f t="shared" si="41"/>
        <v/>
      </c>
      <c r="AH209" s="521" t="str">
        <f t="shared" si="42"/>
        <v/>
      </c>
      <c r="AI209" s="522" t="str">
        <f>IF(AH209="Check Data","Check Data",IFERROR(VLOOKUP(AH209,'G-4 Temporal multipliers'!$A$4:$C$36,3,FALSE),""))</f>
        <v/>
      </c>
      <c r="AJ209" s="498" t="str">
        <f>IF(S209="","",VLOOKUP(S209,'G-3 Multipliers'!$A$2:$E$129,4,FALSE))</f>
        <v/>
      </c>
      <c r="AK209" s="507" t="str">
        <f t="shared" si="43"/>
        <v/>
      </c>
      <c r="AL209" s="507" t="str">
        <f t="shared" si="44"/>
        <v/>
      </c>
      <c r="AM209" s="540" t="str">
        <f>IFERROR(IF(F209="","",IF(AH209="Check Data ⚠","Check Data ⚠",VLOOKUP(AL209, 'G-3 Multipliers'!$P$2:$Q$6,2,FALSE))),"")</f>
        <v/>
      </c>
      <c r="AN209" s="513" t="str">
        <f t="shared" si="36"/>
        <v/>
      </c>
      <c r="AO209" s="239"/>
      <c r="AP209" s="240"/>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1" t="str">
        <f>'A-1 Site Habitat Baseline'!AL209</f>
        <v/>
      </c>
      <c r="F210" s="520" t="str">
        <f>IF(E210="","",IF(ISNA(VLOOKUP($E210,'A-1 Site Habitat Baseline'!$D$1:$O$258,4,FALSE)),"",(VLOOKUP($E210,'A-1 Site Habitat Baseline'!$D$1:$O$258,4,FALSE))))</f>
        <v/>
      </c>
      <c r="G210" s="520" t="str">
        <f>IF(E210="","",IF(ISNA(VLOOKUP($E210,'A-1 Site Habitat Baseline'!$D$1:$O$258,5,FALSE)),"",(VLOOKUP($E210,'A-1 Site Habitat Baseline'!$D$1:$O$258,5,FALSE))))</f>
        <v/>
      </c>
      <c r="H210" s="520" t="str">
        <f>IF(E210="","",IF(ISNA(VLOOKUP($E210,'A-1 Site Habitat Baseline'!$D$1:$O$258,6,FALSE)),"",(VLOOKUP($E210,'A-1 Site Habitat Baseline'!$D$1:$O$258,6,FALSE))))</f>
        <v/>
      </c>
      <c r="I210" s="520" t="str">
        <f>IF(E210="","",IF(ISNA(VLOOKUP($E210,'A-1 Site Habitat Baseline'!$D$1:$O$258,7,FALSE)),"",(VLOOKUP($E210,'A-1 Site Habitat Baseline'!$D$1:$O$258,7,FALSE))))</f>
        <v/>
      </c>
      <c r="J210" s="520" t="str">
        <f>IF(E210="","",IF(ISNA(VLOOKUP($E210,'A-1 Site Habitat Baseline'!$D$1:$O$258,8,FALSE)),"",(VLOOKUP($E210,'A-1 Site Habitat Baseline'!$D$1:$O$258,8,FALSE))))</f>
        <v/>
      </c>
      <c r="K210" s="520" t="str">
        <f>IF(E210="","",IF(ISNA(VLOOKUP($E210,'A-1 Site Habitat Baseline'!$D$1:$O$258,9,FALSE)),"",(VLOOKUP($E210,'A-1 Site Habitat Baseline'!$D$1:$O$258,9,FALSE))))</f>
        <v/>
      </c>
      <c r="L210" s="520" t="str">
        <f>IF(E210="","",IF(ISNA(VLOOKUP($E210,'A-1 Site Habitat Baseline'!$D$1:$O$258,11,FALSE)),"",(VLOOKUP($E210,'A-1 Site Habitat Baseline'!$D$1:$O$258,11,FALSE))))</f>
        <v/>
      </c>
      <c r="M210" s="520" t="str">
        <f>IF(E210="","",IF(ISNA(VLOOKUP($E210,'A-1 Site Habitat Baseline'!$D$1:$O$258,12,FALSE)),"",(VLOOKUP($E210,'A-1 Site Habitat Baseline'!$D$1:$O$258,12,FALSE))))</f>
        <v/>
      </c>
      <c r="N210" s="532" t="str">
        <f>IF(E210="","",IF(ISNA(VLOOKUP($E210,'A-1 Site Habitat Baseline'!$D$1:$X$258,14,FALSE)),"",(VLOOKUP($E210,'A-1 Site Habitat Baseline'!$D$1:$X$258,14,FALSE))))</f>
        <v/>
      </c>
      <c r="O210" s="524" t="str">
        <f>IF(E210="","",IF(ISNA(VLOOKUP($E210,'A-1 Site Habitat Baseline'!$D$1:$X$258,16,FALSE)),"",(VLOOKUP($E210,'A-1 Site Habitat Baseline'!$D$1:$X$258,13,FALSE))))</f>
        <v/>
      </c>
      <c r="P210" s="237" t="str">
        <f>IFERROR(INDEX('G-1 All Habitats'!$AG$3:$AG$15,MATCH(Q210,'G-1 All Habitats'!$AF$3:$AF$15,0)),"")</f>
        <v/>
      </c>
      <c r="Q210" s="238" t="str">
        <f t="shared" si="37"/>
        <v/>
      </c>
      <c r="R210" s="238" t="str">
        <f t="shared" si="38"/>
        <v/>
      </c>
      <c r="S210" s="392" t="str">
        <f>IFERROR(INDEX('G-1 All Habitats'!$B$3:$B$129,MATCH(R210,'G-1 All Habitats'!$A$3:$A$129,0)),"")</f>
        <v/>
      </c>
      <c r="T210" s="498" t="str">
        <f t="shared" si="39"/>
        <v/>
      </c>
      <c r="U210" s="499" t="str">
        <f t="shared" si="40"/>
        <v/>
      </c>
      <c r="V210" s="537" t="str">
        <f t="shared" si="34"/>
        <v/>
      </c>
      <c r="W210" s="520" t="str">
        <f>IF(S210="","",VLOOKUP(S210,'G-1 All Habitats'!$B$2:$M$129,10,FALSE))</f>
        <v/>
      </c>
      <c r="X210" s="520" t="str">
        <f>IFERROR(VLOOKUP(W210,'G-1 All Habitats'!$V$3:$W$7,2,FALSE),"")</f>
        <v/>
      </c>
      <c r="Y210" s="79"/>
      <c r="Z210" s="524" t="str">
        <f>IFERROR(INDEX('G-8 Condition Look up'!$A$3:$H$130,MATCH(S210,'G-8 Condition Look up'!$A$3:$A$130,0),MATCH(Y210,'G-8 Condition Look up'!$A$3:$H$3,0)),"")</f>
        <v/>
      </c>
      <c r="AA210" s="71"/>
      <c r="AB210" s="520" t="str">
        <f>IF(AA210="","",IF(VLOOKUP(AA210,'G-3 Multipliers'!$L$3:$N$6,2,FALSE)=0,"Spatial Data Missing ⚠",VLOOKUP(AA210,'G-3 Multipliers'!$L$3:$N$6,2,FALSE)))</f>
        <v/>
      </c>
      <c r="AC210" s="524" t="str">
        <f>IF(AA210="","",IF(VLOOKUP(AA210,'G-3 Multipliers'!$L$3:$N$6,3,FALSE)=0,"Spatial Data Missing ⚠",VLOOKUP(AA210,'G-3 Multipliers'!$L$3:$N$6,3,FALSE)))</f>
        <v/>
      </c>
      <c r="AD210" s="539" t="str">
        <f t="shared" si="35"/>
        <v/>
      </c>
      <c r="AE210" s="82"/>
      <c r="AF210" s="82"/>
      <c r="AG210" s="507" t="str">
        <f t="shared" si="41"/>
        <v/>
      </c>
      <c r="AH210" s="521" t="str">
        <f t="shared" si="42"/>
        <v/>
      </c>
      <c r="AI210" s="522" t="str">
        <f>IF(AH210="Check Data","Check Data",IFERROR(VLOOKUP(AH210,'G-4 Temporal multipliers'!$A$4:$C$36,3,FALSE),""))</f>
        <v/>
      </c>
      <c r="AJ210" s="498" t="str">
        <f>IF(S210="","",VLOOKUP(S210,'G-3 Multipliers'!$A$2:$E$129,4,FALSE))</f>
        <v/>
      </c>
      <c r="AK210" s="507" t="str">
        <f t="shared" si="43"/>
        <v/>
      </c>
      <c r="AL210" s="507" t="str">
        <f t="shared" si="44"/>
        <v/>
      </c>
      <c r="AM210" s="540" t="str">
        <f>IFERROR(IF(F210="","",IF(AH210="Check Data ⚠","Check Data ⚠",VLOOKUP(AL210, 'G-3 Multipliers'!$P$2:$Q$6,2,FALSE))),"")</f>
        <v/>
      </c>
      <c r="AN210" s="513" t="str">
        <f t="shared" si="36"/>
        <v/>
      </c>
      <c r="AO210" s="239"/>
      <c r="AP210" s="240"/>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1" t="str">
        <f>'A-1 Site Habitat Baseline'!AL210</f>
        <v/>
      </c>
      <c r="F211" s="520" t="str">
        <f>IF(E211="","",IF(ISNA(VLOOKUP($E211,'A-1 Site Habitat Baseline'!$D$1:$O$258,4,FALSE)),"",(VLOOKUP($E211,'A-1 Site Habitat Baseline'!$D$1:$O$258,4,FALSE))))</f>
        <v/>
      </c>
      <c r="G211" s="520" t="str">
        <f>IF(E211="","",IF(ISNA(VLOOKUP($E211,'A-1 Site Habitat Baseline'!$D$1:$O$258,5,FALSE)),"",(VLOOKUP($E211,'A-1 Site Habitat Baseline'!$D$1:$O$258,5,FALSE))))</f>
        <v/>
      </c>
      <c r="H211" s="520" t="str">
        <f>IF(E211="","",IF(ISNA(VLOOKUP($E211,'A-1 Site Habitat Baseline'!$D$1:$O$258,6,FALSE)),"",(VLOOKUP($E211,'A-1 Site Habitat Baseline'!$D$1:$O$258,6,FALSE))))</f>
        <v/>
      </c>
      <c r="I211" s="520" t="str">
        <f>IF(E211="","",IF(ISNA(VLOOKUP($E211,'A-1 Site Habitat Baseline'!$D$1:$O$258,7,FALSE)),"",(VLOOKUP($E211,'A-1 Site Habitat Baseline'!$D$1:$O$258,7,FALSE))))</f>
        <v/>
      </c>
      <c r="J211" s="520" t="str">
        <f>IF(E211="","",IF(ISNA(VLOOKUP($E211,'A-1 Site Habitat Baseline'!$D$1:$O$258,8,FALSE)),"",(VLOOKUP($E211,'A-1 Site Habitat Baseline'!$D$1:$O$258,8,FALSE))))</f>
        <v/>
      </c>
      <c r="K211" s="520" t="str">
        <f>IF(E211="","",IF(ISNA(VLOOKUP($E211,'A-1 Site Habitat Baseline'!$D$1:$O$258,9,FALSE)),"",(VLOOKUP($E211,'A-1 Site Habitat Baseline'!$D$1:$O$258,9,FALSE))))</f>
        <v/>
      </c>
      <c r="L211" s="520" t="str">
        <f>IF(E211="","",IF(ISNA(VLOOKUP($E211,'A-1 Site Habitat Baseline'!$D$1:$O$258,11,FALSE)),"",(VLOOKUP($E211,'A-1 Site Habitat Baseline'!$D$1:$O$258,11,FALSE))))</f>
        <v/>
      </c>
      <c r="M211" s="520" t="str">
        <f>IF(E211="","",IF(ISNA(VLOOKUP($E211,'A-1 Site Habitat Baseline'!$D$1:$O$258,12,FALSE)),"",(VLOOKUP($E211,'A-1 Site Habitat Baseline'!$D$1:$O$258,12,FALSE))))</f>
        <v/>
      </c>
      <c r="N211" s="532" t="str">
        <f>IF(E211="","",IF(ISNA(VLOOKUP($E211,'A-1 Site Habitat Baseline'!$D$1:$X$258,14,FALSE)),"",(VLOOKUP($E211,'A-1 Site Habitat Baseline'!$D$1:$X$258,14,FALSE))))</f>
        <v/>
      </c>
      <c r="O211" s="524" t="str">
        <f>IF(E211="","",IF(ISNA(VLOOKUP($E211,'A-1 Site Habitat Baseline'!$D$1:$X$258,16,FALSE)),"",(VLOOKUP($E211,'A-1 Site Habitat Baseline'!$D$1:$X$258,13,FALSE))))</f>
        <v/>
      </c>
      <c r="P211" s="237" t="str">
        <f>IFERROR(INDEX('G-1 All Habitats'!$AG$3:$AG$15,MATCH(Q211,'G-1 All Habitats'!$AF$3:$AF$15,0)),"")</f>
        <v/>
      </c>
      <c r="Q211" s="238" t="str">
        <f t="shared" si="37"/>
        <v/>
      </c>
      <c r="R211" s="238" t="str">
        <f t="shared" si="38"/>
        <v/>
      </c>
      <c r="S211" s="392" t="str">
        <f>IFERROR(INDEX('G-1 All Habitats'!$B$3:$B$129,MATCH(R211,'G-1 All Habitats'!$A$3:$A$129,0)),"")</f>
        <v/>
      </c>
      <c r="T211" s="498" t="str">
        <f t="shared" si="39"/>
        <v/>
      </c>
      <c r="U211" s="499" t="str">
        <f t="shared" si="40"/>
        <v/>
      </c>
      <c r="V211" s="537" t="str">
        <f t="shared" si="34"/>
        <v/>
      </c>
      <c r="W211" s="520" t="str">
        <f>IF(S211="","",VLOOKUP(S211,'G-1 All Habitats'!$B$2:$M$129,10,FALSE))</f>
        <v/>
      </c>
      <c r="X211" s="520" t="str">
        <f>IFERROR(VLOOKUP(W211,'G-1 All Habitats'!$V$3:$W$7,2,FALSE),"")</f>
        <v/>
      </c>
      <c r="Y211" s="79"/>
      <c r="Z211" s="524" t="str">
        <f>IFERROR(INDEX('G-8 Condition Look up'!$A$3:$H$130,MATCH(S211,'G-8 Condition Look up'!$A$3:$A$130,0),MATCH(Y211,'G-8 Condition Look up'!$A$3:$H$3,0)),"")</f>
        <v/>
      </c>
      <c r="AA211" s="71"/>
      <c r="AB211" s="520" t="str">
        <f>IF(AA211="","",IF(VLOOKUP(AA211,'G-3 Multipliers'!$L$3:$N$6,2,FALSE)=0,"Spatial Data Missing ⚠",VLOOKUP(AA211,'G-3 Multipliers'!$L$3:$N$6,2,FALSE)))</f>
        <v/>
      </c>
      <c r="AC211" s="524" t="str">
        <f>IF(AA211="","",IF(VLOOKUP(AA211,'G-3 Multipliers'!$L$3:$N$6,3,FALSE)=0,"Spatial Data Missing ⚠",VLOOKUP(AA211,'G-3 Multipliers'!$L$3:$N$6,3,FALSE)))</f>
        <v/>
      </c>
      <c r="AD211" s="539" t="str">
        <f t="shared" si="35"/>
        <v/>
      </c>
      <c r="AE211" s="82"/>
      <c r="AF211" s="82"/>
      <c r="AG211" s="507" t="str">
        <f t="shared" si="41"/>
        <v/>
      </c>
      <c r="AH211" s="521" t="str">
        <f t="shared" si="42"/>
        <v/>
      </c>
      <c r="AI211" s="522" t="str">
        <f>IF(AH211="Check Data","Check Data",IFERROR(VLOOKUP(AH211,'G-4 Temporal multipliers'!$A$4:$C$36,3,FALSE),""))</f>
        <v/>
      </c>
      <c r="AJ211" s="498" t="str">
        <f>IF(S211="","",VLOOKUP(S211,'G-3 Multipliers'!$A$2:$E$129,4,FALSE))</f>
        <v/>
      </c>
      <c r="AK211" s="507" t="str">
        <f t="shared" si="43"/>
        <v/>
      </c>
      <c r="AL211" s="507" t="str">
        <f t="shared" si="44"/>
        <v/>
      </c>
      <c r="AM211" s="540" t="str">
        <f>IFERROR(IF(F211="","",IF(AH211="Check Data ⚠","Check Data ⚠",VLOOKUP(AL211, 'G-3 Multipliers'!$P$2:$Q$6,2,FALSE))),"")</f>
        <v/>
      </c>
      <c r="AN211" s="513" t="str">
        <f t="shared" si="36"/>
        <v/>
      </c>
      <c r="AO211" s="239"/>
      <c r="AP211" s="240"/>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1" t="str">
        <f>'A-1 Site Habitat Baseline'!AL211</f>
        <v/>
      </c>
      <c r="F212" s="520" t="str">
        <f>IF(E212="","",IF(ISNA(VLOOKUP($E212,'A-1 Site Habitat Baseline'!$D$1:$O$258,4,FALSE)),"",(VLOOKUP($E212,'A-1 Site Habitat Baseline'!$D$1:$O$258,4,FALSE))))</f>
        <v/>
      </c>
      <c r="G212" s="520" t="str">
        <f>IF(E212="","",IF(ISNA(VLOOKUP($E212,'A-1 Site Habitat Baseline'!$D$1:$O$258,5,FALSE)),"",(VLOOKUP($E212,'A-1 Site Habitat Baseline'!$D$1:$O$258,5,FALSE))))</f>
        <v/>
      </c>
      <c r="H212" s="520" t="str">
        <f>IF(E212="","",IF(ISNA(VLOOKUP($E212,'A-1 Site Habitat Baseline'!$D$1:$O$258,6,FALSE)),"",(VLOOKUP($E212,'A-1 Site Habitat Baseline'!$D$1:$O$258,6,FALSE))))</f>
        <v/>
      </c>
      <c r="I212" s="520" t="str">
        <f>IF(E212="","",IF(ISNA(VLOOKUP($E212,'A-1 Site Habitat Baseline'!$D$1:$O$258,7,FALSE)),"",(VLOOKUP($E212,'A-1 Site Habitat Baseline'!$D$1:$O$258,7,FALSE))))</f>
        <v/>
      </c>
      <c r="J212" s="520" t="str">
        <f>IF(E212="","",IF(ISNA(VLOOKUP($E212,'A-1 Site Habitat Baseline'!$D$1:$O$258,8,FALSE)),"",(VLOOKUP($E212,'A-1 Site Habitat Baseline'!$D$1:$O$258,8,FALSE))))</f>
        <v/>
      </c>
      <c r="K212" s="520" t="str">
        <f>IF(E212="","",IF(ISNA(VLOOKUP($E212,'A-1 Site Habitat Baseline'!$D$1:$O$258,9,FALSE)),"",(VLOOKUP($E212,'A-1 Site Habitat Baseline'!$D$1:$O$258,9,FALSE))))</f>
        <v/>
      </c>
      <c r="L212" s="520" t="str">
        <f>IF(E212="","",IF(ISNA(VLOOKUP($E212,'A-1 Site Habitat Baseline'!$D$1:$O$258,11,FALSE)),"",(VLOOKUP($E212,'A-1 Site Habitat Baseline'!$D$1:$O$258,11,FALSE))))</f>
        <v/>
      </c>
      <c r="M212" s="520" t="str">
        <f>IF(E212="","",IF(ISNA(VLOOKUP($E212,'A-1 Site Habitat Baseline'!$D$1:$O$258,12,FALSE)),"",(VLOOKUP($E212,'A-1 Site Habitat Baseline'!$D$1:$O$258,12,FALSE))))</f>
        <v/>
      </c>
      <c r="N212" s="532" t="str">
        <f>IF(E212="","",IF(ISNA(VLOOKUP($E212,'A-1 Site Habitat Baseline'!$D$1:$X$258,14,FALSE)),"",(VLOOKUP($E212,'A-1 Site Habitat Baseline'!$D$1:$X$258,14,FALSE))))</f>
        <v/>
      </c>
      <c r="O212" s="524" t="str">
        <f>IF(E212="","",IF(ISNA(VLOOKUP($E212,'A-1 Site Habitat Baseline'!$D$1:$X$258,16,FALSE)),"",(VLOOKUP($E212,'A-1 Site Habitat Baseline'!$D$1:$X$258,13,FALSE))))</f>
        <v/>
      </c>
      <c r="P212" s="237" t="str">
        <f>IFERROR(INDEX('G-1 All Habitats'!$AG$3:$AG$15,MATCH(Q212,'G-1 All Habitats'!$AF$3:$AF$15,0)),"")</f>
        <v/>
      </c>
      <c r="Q212" s="238" t="str">
        <f t="shared" si="37"/>
        <v/>
      </c>
      <c r="R212" s="238" t="str">
        <f t="shared" si="38"/>
        <v/>
      </c>
      <c r="S212" s="392" t="str">
        <f>IFERROR(INDEX('G-1 All Habitats'!$B$3:$B$129,MATCH(R212,'G-1 All Habitats'!$A$3:$A$129,0)),"")</f>
        <v/>
      </c>
      <c r="T212" s="498" t="str">
        <f t="shared" si="39"/>
        <v/>
      </c>
      <c r="U212" s="499" t="str">
        <f t="shared" si="40"/>
        <v/>
      </c>
      <c r="V212" s="537" t="str">
        <f t="shared" si="34"/>
        <v/>
      </c>
      <c r="W212" s="520" t="str">
        <f>IF(S212="","",VLOOKUP(S212,'G-1 All Habitats'!$B$2:$M$129,10,FALSE))</f>
        <v/>
      </c>
      <c r="X212" s="520" t="str">
        <f>IFERROR(VLOOKUP(W212,'G-1 All Habitats'!$V$3:$W$7,2,FALSE),"")</f>
        <v/>
      </c>
      <c r="Y212" s="79"/>
      <c r="Z212" s="524" t="str">
        <f>IFERROR(INDEX('G-8 Condition Look up'!$A$3:$H$130,MATCH(S212,'G-8 Condition Look up'!$A$3:$A$130,0),MATCH(Y212,'G-8 Condition Look up'!$A$3:$H$3,0)),"")</f>
        <v/>
      </c>
      <c r="AA212" s="71"/>
      <c r="AB212" s="520" t="str">
        <f>IF(AA212="","",IF(VLOOKUP(AA212,'G-3 Multipliers'!$L$3:$N$6,2,FALSE)=0,"Spatial Data Missing ⚠",VLOOKUP(AA212,'G-3 Multipliers'!$L$3:$N$6,2,FALSE)))</f>
        <v/>
      </c>
      <c r="AC212" s="524" t="str">
        <f>IF(AA212="","",IF(VLOOKUP(AA212,'G-3 Multipliers'!$L$3:$N$6,3,FALSE)=0,"Spatial Data Missing ⚠",VLOOKUP(AA212,'G-3 Multipliers'!$L$3:$N$6,3,FALSE)))</f>
        <v/>
      </c>
      <c r="AD212" s="539" t="str">
        <f t="shared" si="35"/>
        <v/>
      </c>
      <c r="AE212" s="82"/>
      <c r="AF212" s="82"/>
      <c r="AG212" s="507" t="str">
        <f t="shared" si="41"/>
        <v/>
      </c>
      <c r="AH212" s="521" t="str">
        <f t="shared" si="42"/>
        <v/>
      </c>
      <c r="AI212" s="522" t="str">
        <f>IF(AH212="Check Data","Check Data",IFERROR(VLOOKUP(AH212,'G-4 Temporal multipliers'!$A$4:$C$36,3,FALSE),""))</f>
        <v/>
      </c>
      <c r="AJ212" s="498" t="str">
        <f>IF(S212="","",VLOOKUP(S212,'G-3 Multipliers'!$A$2:$E$129,4,FALSE))</f>
        <v/>
      </c>
      <c r="AK212" s="507" t="str">
        <f t="shared" si="43"/>
        <v/>
      </c>
      <c r="AL212" s="507" t="str">
        <f t="shared" si="44"/>
        <v/>
      </c>
      <c r="AM212" s="540" t="str">
        <f>IFERROR(IF(F212="","",IF(AH212="Check Data ⚠","Check Data ⚠",VLOOKUP(AL212, 'G-3 Multipliers'!$P$2:$Q$6,2,FALSE))),"")</f>
        <v/>
      </c>
      <c r="AN212" s="513" t="str">
        <f t="shared" si="36"/>
        <v/>
      </c>
      <c r="AO212" s="239"/>
      <c r="AP212" s="240"/>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1" t="str">
        <f>'A-1 Site Habitat Baseline'!AL212</f>
        <v/>
      </c>
      <c r="F213" s="520" t="str">
        <f>IF(E213="","",IF(ISNA(VLOOKUP($E213,'A-1 Site Habitat Baseline'!$D$1:$O$258,4,FALSE)),"",(VLOOKUP($E213,'A-1 Site Habitat Baseline'!$D$1:$O$258,4,FALSE))))</f>
        <v/>
      </c>
      <c r="G213" s="520" t="str">
        <f>IF(E213="","",IF(ISNA(VLOOKUP($E213,'A-1 Site Habitat Baseline'!$D$1:$O$258,5,FALSE)),"",(VLOOKUP($E213,'A-1 Site Habitat Baseline'!$D$1:$O$258,5,FALSE))))</f>
        <v/>
      </c>
      <c r="H213" s="520" t="str">
        <f>IF(E213="","",IF(ISNA(VLOOKUP($E213,'A-1 Site Habitat Baseline'!$D$1:$O$258,6,FALSE)),"",(VLOOKUP($E213,'A-1 Site Habitat Baseline'!$D$1:$O$258,6,FALSE))))</f>
        <v/>
      </c>
      <c r="I213" s="520" t="str">
        <f>IF(E213="","",IF(ISNA(VLOOKUP($E213,'A-1 Site Habitat Baseline'!$D$1:$O$258,7,FALSE)),"",(VLOOKUP($E213,'A-1 Site Habitat Baseline'!$D$1:$O$258,7,FALSE))))</f>
        <v/>
      </c>
      <c r="J213" s="520" t="str">
        <f>IF(E213="","",IF(ISNA(VLOOKUP($E213,'A-1 Site Habitat Baseline'!$D$1:$O$258,8,FALSE)),"",(VLOOKUP($E213,'A-1 Site Habitat Baseline'!$D$1:$O$258,8,FALSE))))</f>
        <v/>
      </c>
      <c r="K213" s="520" t="str">
        <f>IF(E213="","",IF(ISNA(VLOOKUP($E213,'A-1 Site Habitat Baseline'!$D$1:$O$258,9,FALSE)),"",(VLOOKUP($E213,'A-1 Site Habitat Baseline'!$D$1:$O$258,9,FALSE))))</f>
        <v/>
      </c>
      <c r="L213" s="520" t="str">
        <f>IF(E213="","",IF(ISNA(VLOOKUP($E213,'A-1 Site Habitat Baseline'!$D$1:$O$258,11,FALSE)),"",(VLOOKUP($E213,'A-1 Site Habitat Baseline'!$D$1:$O$258,11,FALSE))))</f>
        <v/>
      </c>
      <c r="M213" s="520" t="str">
        <f>IF(E213="","",IF(ISNA(VLOOKUP($E213,'A-1 Site Habitat Baseline'!$D$1:$O$258,12,FALSE)),"",(VLOOKUP($E213,'A-1 Site Habitat Baseline'!$D$1:$O$258,12,FALSE))))</f>
        <v/>
      </c>
      <c r="N213" s="532" t="str">
        <f>IF(E213="","",IF(ISNA(VLOOKUP($E213,'A-1 Site Habitat Baseline'!$D$1:$X$258,14,FALSE)),"",(VLOOKUP($E213,'A-1 Site Habitat Baseline'!$D$1:$X$258,14,FALSE))))</f>
        <v/>
      </c>
      <c r="O213" s="524" t="str">
        <f>IF(E213="","",IF(ISNA(VLOOKUP($E213,'A-1 Site Habitat Baseline'!$D$1:$X$258,16,FALSE)),"",(VLOOKUP($E213,'A-1 Site Habitat Baseline'!$D$1:$X$258,13,FALSE))))</f>
        <v/>
      </c>
      <c r="P213" s="237" t="str">
        <f>IFERROR(INDEX('G-1 All Habitats'!$AG$3:$AG$15,MATCH(Q213,'G-1 All Habitats'!$AF$3:$AF$15,0)),"")</f>
        <v/>
      </c>
      <c r="Q213" s="238" t="str">
        <f t="shared" si="37"/>
        <v/>
      </c>
      <c r="R213" s="238" t="str">
        <f t="shared" si="38"/>
        <v/>
      </c>
      <c r="S213" s="392" t="str">
        <f>IFERROR(INDEX('G-1 All Habitats'!$B$3:$B$129,MATCH(R213,'G-1 All Habitats'!$A$3:$A$129,0)),"")</f>
        <v/>
      </c>
      <c r="T213" s="498" t="str">
        <f t="shared" si="39"/>
        <v/>
      </c>
      <c r="U213" s="499" t="str">
        <f t="shared" si="40"/>
        <v/>
      </c>
      <c r="V213" s="537" t="str">
        <f t="shared" si="34"/>
        <v/>
      </c>
      <c r="W213" s="520" t="str">
        <f>IF(S213="","",VLOOKUP(S213,'G-1 All Habitats'!$B$2:$M$129,10,FALSE))</f>
        <v/>
      </c>
      <c r="X213" s="520" t="str">
        <f>IFERROR(VLOOKUP(W213,'G-1 All Habitats'!$V$3:$W$7,2,FALSE),"")</f>
        <v/>
      </c>
      <c r="Y213" s="79"/>
      <c r="Z213" s="524" t="str">
        <f>IFERROR(INDEX('G-8 Condition Look up'!$A$3:$H$130,MATCH(S213,'G-8 Condition Look up'!$A$3:$A$130,0),MATCH(Y213,'G-8 Condition Look up'!$A$3:$H$3,0)),"")</f>
        <v/>
      </c>
      <c r="AA213" s="71"/>
      <c r="AB213" s="520" t="str">
        <f>IF(AA213="","",IF(VLOOKUP(AA213,'G-3 Multipliers'!$L$3:$N$6,2,FALSE)=0,"Spatial Data Missing ⚠",VLOOKUP(AA213,'G-3 Multipliers'!$L$3:$N$6,2,FALSE)))</f>
        <v/>
      </c>
      <c r="AC213" s="524" t="str">
        <f>IF(AA213="","",IF(VLOOKUP(AA213,'G-3 Multipliers'!$L$3:$N$6,3,FALSE)=0,"Spatial Data Missing ⚠",VLOOKUP(AA213,'G-3 Multipliers'!$L$3:$N$6,3,FALSE)))</f>
        <v/>
      </c>
      <c r="AD213" s="539" t="str">
        <f t="shared" si="35"/>
        <v/>
      </c>
      <c r="AE213" s="82"/>
      <c r="AF213" s="82"/>
      <c r="AG213" s="507" t="str">
        <f t="shared" si="41"/>
        <v/>
      </c>
      <c r="AH213" s="521" t="str">
        <f t="shared" si="42"/>
        <v/>
      </c>
      <c r="AI213" s="522" t="str">
        <f>IF(AH213="Check Data","Check Data",IFERROR(VLOOKUP(AH213,'G-4 Temporal multipliers'!$A$4:$C$36,3,FALSE),""))</f>
        <v/>
      </c>
      <c r="AJ213" s="498" t="str">
        <f>IF(S213="","",VLOOKUP(S213,'G-3 Multipliers'!$A$2:$E$129,4,FALSE))</f>
        <v/>
      </c>
      <c r="AK213" s="507" t="str">
        <f t="shared" si="43"/>
        <v/>
      </c>
      <c r="AL213" s="507" t="str">
        <f t="shared" si="44"/>
        <v/>
      </c>
      <c r="AM213" s="540" t="str">
        <f>IFERROR(IF(F213="","",IF(AH213="Check Data ⚠","Check Data ⚠",VLOOKUP(AL213, 'G-3 Multipliers'!$P$2:$Q$6,2,FALSE))),"")</f>
        <v/>
      </c>
      <c r="AN213" s="513" t="str">
        <f t="shared" si="36"/>
        <v/>
      </c>
      <c r="AO213" s="239"/>
      <c r="AP213" s="240"/>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1" t="str">
        <f>'A-1 Site Habitat Baseline'!AL213</f>
        <v/>
      </c>
      <c r="F214" s="520" t="str">
        <f>IF(E214="","",IF(ISNA(VLOOKUP($E214,'A-1 Site Habitat Baseline'!$D$1:$O$258,4,FALSE)),"",(VLOOKUP($E214,'A-1 Site Habitat Baseline'!$D$1:$O$258,4,FALSE))))</f>
        <v/>
      </c>
      <c r="G214" s="520" t="str">
        <f>IF(E214="","",IF(ISNA(VLOOKUP($E214,'A-1 Site Habitat Baseline'!$D$1:$O$258,5,FALSE)),"",(VLOOKUP($E214,'A-1 Site Habitat Baseline'!$D$1:$O$258,5,FALSE))))</f>
        <v/>
      </c>
      <c r="H214" s="520" t="str">
        <f>IF(E214="","",IF(ISNA(VLOOKUP($E214,'A-1 Site Habitat Baseline'!$D$1:$O$258,6,FALSE)),"",(VLOOKUP($E214,'A-1 Site Habitat Baseline'!$D$1:$O$258,6,FALSE))))</f>
        <v/>
      </c>
      <c r="I214" s="520" t="str">
        <f>IF(E214="","",IF(ISNA(VLOOKUP($E214,'A-1 Site Habitat Baseline'!$D$1:$O$258,7,FALSE)),"",(VLOOKUP($E214,'A-1 Site Habitat Baseline'!$D$1:$O$258,7,FALSE))))</f>
        <v/>
      </c>
      <c r="J214" s="520" t="str">
        <f>IF(E214="","",IF(ISNA(VLOOKUP($E214,'A-1 Site Habitat Baseline'!$D$1:$O$258,8,FALSE)),"",(VLOOKUP($E214,'A-1 Site Habitat Baseline'!$D$1:$O$258,8,FALSE))))</f>
        <v/>
      </c>
      <c r="K214" s="520" t="str">
        <f>IF(E214="","",IF(ISNA(VLOOKUP($E214,'A-1 Site Habitat Baseline'!$D$1:$O$258,9,FALSE)),"",(VLOOKUP($E214,'A-1 Site Habitat Baseline'!$D$1:$O$258,9,FALSE))))</f>
        <v/>
      </c>
      <c r="L214" s="520" t="str">
        <f>IF(E214="","",IF(ISNA(VLOOKUP($E214,'A-1 Site Habitat Baseline'!$D$1:$O$258,11,FALSE)),"",(VLOOKUP($E214,'A-1 Site Habitat Baseline'!$D$1:$O$258,11,FALSE))))</f>
        <v/>
      </c>
      <c r="M214" s="520" t="str">
        <f>IF(E214="","",IF(ISNA(VLOOKUP($E214,'A-1 Site Habitat Baseline'!$D$1:$O$258,12,FALSE)),"",(VLOOKUP($E214,'A-1 Site Habitat Baseline'!$D$1:$O$258,12,FALSE))))</f>
        <v/>
      </c>
      <c r="N214" s="532" t="str">
        <f>IF(E214="","",IF(ISNA(VLOOKUP($E214,'A-1 Site Habitat Baseline'!$D$1:$X$258,14,FALSE)),"",(VLOOKUP($E214,'A-1 Site Habitat Baseline'!$D$1:$X$258,14,FALSE))))</f>
        <v/>
      </c>
      <c r="O214" s="524" t="str">
        <f>IF(E214="","",IF(ISNA(VLOOKUP($E214,'A-1 Site Habitat Baseline'!$D$1:$X$258,16,FALSE)),"",(VLOOKUP($E214,'A-1 Site Habitat Baseline'!$D$1:$X$258,13,FALSE))))</f>
        <v/>
      </c>
      <c r="P214" s="237" t="str">
        <f>IFERROR(INDEX('G-1 All Habitats'!$AG$3:$AG$15,MATCH(Q214,'G-1 All Habitats'!$AF$3:$AF$15,0)),"")</f>
        <v/>
      </c>
      <c r="Q214" s="238" t="str">
        <f t="shared" si="37"/>
        <v/>
      </c>
      <c r="R214" s="238" t="str">
        <f t="shared" si="38"/>
        <v/>
      </c>
      <c r="S214" s="392" t="str">
        <f>IFERROR(INDEX('G-1 All Habitats'!$B$3:$B$129,MATCH(R214,'G-1 All Habitats'!$A$3:$A$129,0)),"")</f>
        <v/>
      </c>
      <c r="T214" s="498" t="str">
        <f t="shared" si="39"/>
        <v/>
      </c>
      <c r="U214" s="499" t="str">
        <f t="shared" si="40"/>
        <v/>
      </c>
      <c r="V214" s="537" t="str">
        <f t="shared" si="34"/>
        <v/>
      </c>
      <c r="W214" s="520" t="str">
        <f>IF(S214="","",VLOOKUP(S214,'G-1 All Habitats'!$B$2:$M$129,10,FALSE))</f>
        <v/>
      </c>
      <c r="X214" s="520" t="str">
        <f>IFERROR(VLOOKUP(W214,'G-1 All Habitats'!$V$3:$W$7,2,FALSE),"")</f>
        <v/>
      </c>
      <c r="Y214" s="79"/>
      <c r="Z214" s="524" t="str">
        <f>IFERROR(INDEX('G-8 Condition Look up'!$A$3:$H$130,MATCH(S214,'G-8 Condition Look up'!$A$3:$A$130,0),MATCH(Y214,'G-8 Condition Look up'!$A$3:$H$3,0)),"")</f>
        <v/>
      </c>
      <c r="AA214" s="71"/>
      <c r="AB214" s="520" t="str">
        <f>IF(AA214="","",IF(VLOOKUP(AA214,'G-3 Multipliers'!$L$3:$N$6,2,FALSE)=0,"Spatial Data Missing ⚠",VLOOKUP(AA214,'G-3 Multipliers'!$L$3:$N$6,2,FALSE)))</f>
        <v/>
      </c>
      <c r="AC214" s="524" t="str">
        <f>IF(AA214="","",IF(VLOOKUP(AA214,'G-3 Multipliers'!$L$3:$N$6,3,FALSE)=0,"Spatial Data Missing ⚠",VLOOKUP(AA214,'G-3 Multipliers'!$L$3:$N$6,3,FALSE)))</f>
        <v/>
      </c>
      <c r="AD214" s="539" t="str">
        <f t="shared" si="35"/>
        <v/>
      </c>
      <c r="AE214" s="82"/>
      <c r="AF214" s="82"/>
      <c r="AG214" s="507" t="str">
        <f t="shared" si="41"/>
        <v/>
      </c>
      <c r="AH214" s="521" t="str">
        <f t="shared" si="42"/>
        <v/>
      </c>
      <c r="AI214" s="522" t="str">
        <f>IF(AH214="Check Data","Check Data",IFERROR(VLOOKUP(AH214,'G-4 Temporal multipliers'!$A$4:$C$36,3,FALSE),""))</f>
        <v/>
      </c>
      <c r="AJ214" s="498" t="str">
        <f>IF(S214="","",VLOOKUP(S214,'G-3 Multipliers'!$A$2:$E$129,4,FALSE))</f>
        <v/>
      </c>
      <c r="AK214" s="507" t="str">
        <f t="shared" si="43"/>
        <v/>
      </c>
      <c r="AL214" s="507" t="str">
        <f t="shared" si="44"/>
        <v/>
      </c>
      <c r="AM214" s="540" t="str">
        <f>IFERROR(IF(F214="","",IF(AH214="Check Data ⚠","Check Data ⚠",VLOOKUP(AL214, 'G-3 Multipliers'!$P$2:$Q$6,2,FALSE))),"")</f>
        <v/>
      </c>
      <c r="AN214" s="513" t="str">
        <f t="shared" si="36"/>
        <v/>
      </c>
      <c r="AO214" s="239"/>
      <c r="AP214" s="240"/>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1" t="str">
        <f>'A-1 Site Habitat Baseline'!AL214</f>
        <v/>
      </c>
      <c r="F215" s="520" t="str">
        <f>IF(E215="","",IF(ISNA(VLOOKUP($E215,'A-1 Site Habitat Baseline'!$D$1:$O$258,4,FALSE)),"",(VLOOKUP($E215,'A-1 Site Habitat Baseline'!$D$1:$O$258,4,FALSE))))</f>
        <v/>
      </c>
      <c r="G215" s="520" t="str">
        <f>IF(E215="","",IF(ISNA(VLOOKUP($E215,'A-1 Site Habitat Baseline'!$D$1:$O$258,5,FALSE)),"",(VLOOKUP($E215,'A-1 Site Habitat Baseline'!$D$1:$O$258,5,FALSE))))</f>
        <v/>
      </c>
      <c r="H215" s="520" t="str">
        <f>IF(E215="","",IF(ISNA(VLOOKUP($E215,'A-1 Site Habitat Baseline'!$D$1:$O$258,6,FALSE)),"",(VLOOKUP($E215,'A-1 Site Habitat Baseline'!$D$1:$O$258,6,FALSE))))</f>
        <v/>
      </c>
      <c r="I215" s="520" t="str">
        <f>IF(E215="","",IF(ISNA(VLOOKUP($E215,'A-1 Site Habitat Baseline'!$D$1:$O$258,7,FALSE)),"",(VLOOKUP($E215,'A-1 Site Habitat Baseline'!$D$1:$O$258,7,FALSE))))</f>
        <v/>
      </c>
      <c r="J215" s="520" t="str">
        <f>IF(E215="","",IF(ISNA(VLOOKUP($E215,'A-1 Site Habitat Baseline'!$D$1:$O$258,8,FALSE)),"",(VLOOKUP($E215,'A-1 Site Habitat Baseline'!$D$1:$O$258,8,FALSE))))</f>
        <v/>
      </c>
      <c r="K215" s="520" t="str">
        <f>IF(E215="","",IF(ISNA(VLOOKUP($E215,'A-1 Site Habitat Baseline'!$D$1:$O$258,9,FALSE)),"",(VLOOKUP($E215,'A-1 Site Habitat Baseline'!$D$1:$O$258,9,FALSE))))</f>
        <v/>
      </c>
      <c r="L215" s="520" t="str">
        <f>IF(E215="","",IF(ISNA(VLOOKUP($E215,'A-1 Site Habitat Baseline'!$D$1:$O$258,11,FALSE)),"",(VLOOKUP($E215,'A-1 Site Habitat Baseline'!$D$1:$O$258,11,FALSE))))</f>
        <v/>
      </c>
      <c r="M215" s="520" t="str">
        <f>IF(E215="","",IF(ISNA(VLOOKUP($E215,'A-1 Site Habitat Baseline'!$D$1:$O$258,12,FALSE)),"",(VLOOKUP($E215,'A-1 Site Habitat Baseline'!$D$1:$O$258,12,FALSE))))</f>
        <v/>
      </c>
      <c r="N215" s="532" t="str">
        <f>IF(E215="","",IF(ISNA(VLOOKUP($E215,'A-1 Site Habitat Baseline'!$D$1:$X$258,14,FALSE)),"",(VLOOKUP($E215,'A-1 Site Habitat Baseline'!$D$1:$X$258,14,FALSE))))</f>
        <v/>
      </c>
      <c r="O215" s="524" t="str">
        <f>IF(E215="","",IF(ISNA(VLOOKUP($E215,'A-1 Site Habitat Baseline'!$D$1:$X$258,16,FALSE)),"",(VLOOKUP($E215,'A-1 Site Habitat Baseline'!$D$1:$X$258,13,FALSE))))</f>
        <v/>
      </c>
      <c r="P215" s="237" t="str">
        <f>IFERROR(INDEX('G-1 All Habitats'!$AG$3:$AG$15,MATCH(Q215,'G-1 All Habitats'!$AF$3:$AF$15,0)),"")</f>
        <v/>
      </c>
      <c r="Q215" s="238" t="str">
        <f t="shared" si="37"/>
        <v/>
      </c>
      <c r="R215" s="238" t="str">
        <f t="shared" si="38"/>
        <v/>
      </c>
      <c r="S215" s="392" t="str">
        <f>IFERROR(INDEX('G-1 All Habitats'!$B$3:$B$129,MATCH(R215,'G-1 All Habitats'!$A$3:$A$129,0)),"")</f>
        <v/>
      </c>
      <c r="T215" s="498" t="str">
        <f t="shared" si="39"/>
        <v/>
      </c>
      <c r="U215" s="499" t="str">
        <f t="shared" si="40"/>
        <v/>
      </c>
      <c r="V215" s="537" t="str">
        <f t="shared" si="34"/>
        <v/>
      </c>
      <c r="W215" s="520" t="str">
        <f>IF(S215="","",VLOOKUP(S215,'G-1 All Habitats'!$B$2:$M$129,10,FALSE))</f>
        <v/>
      </c>
      <c r="X215" s="520" t="str">
        <f>IFERROR(VLOOKUP(W215,'G-1 All Habitats'!$V$3:$W$7,2,FALSE),"")</f>
        <v/>
      </c>
      <c r="Y215" s="79"/>
      <c r="Z215" s="524" t="str">
        <f>IFERROR(INDEX('G-8 Condition Look up'!$A$3:$H$130,MATCH(S215,'G-8 Condition Look up'!$A$3:$A$130,0),MATCH(Y215,'G-8 Condition Look up'!$A$3:$H$3,0)),"")</f>
        <v/>
      </c>
      <c r="AA215" s="71"/>
      <c r="AB215" s="520" t="str">
        <f>IF(AA215="","",IF(VLOOKUP(AA215,'G-3 Multipliers'!$L$3:$N$6,2,FALSE)=0,"Spatial Data Missing ⚠",VLOOKUP(AA215,'G-3 Multipliers'!$L$3:$N$6,2,FALSE)))</f>
        <v/>
      </c>
      <c r="AC215" s="524" t="str">
        <f>IF(AA215="","",IF(VLOOKUP(AA215,'G-3 Multipliers'!$L$3:$N$6,3,FALSE)=0,"Spatial Data Missing ⚠",VLOOKUP(AA215,'G-3 Multipliers'!$L$3:$N$6,3,FALSE)))</f>
        <v/>
      </c>
      <c r="AD215" s="539" t="str">
        <f t="shared" si="35"/>
        <v/>
      </c>
      <c r="AE215" s="82"/>
      <c r="AF215" s="82"/>
      <c r="AG215" s="507" t="str">
        <f t="shared" si="41"/>
        <v/>
      </c>
      <c r="AH215" s="521" t="str">
        <f t="shared" si="42"/>
        <v/>
      </c>
      <c r="AI215" s="522" t="str">
        <f>IF(AH215="Check Data","Check Data",IFERROR(VLOOKUP(AH215,'G-4 Temporal multipliers'!$A$4:$C$36,3,FALSE),""))</f>
        <v/>
      </c>
      <c r="AJ215" s="498" t="str">
        <f>IF(S215="","",VLOOKUP(S215,'G-3 Multipliers'!$A$2:$E$129,4,FALSE))</f>
        <v/>
      </c>
      <c r="AK215" s="507" t="str">
        <f t="shared" si="43"/>
        <v/>
      </c>
      <c r="AL215" s="507" t="str">
        <f t="shared" si="44"/>
        <v/>
      </c>
      <c r="AM215" s="540" t="str">
        <f>IFERROR(IF(F215="","",IF(AH215="Check Data ⚠","Check Data ⚠",VLOOKUP(AL215, 'G-3 Multipliers'!$P$2:$Q$6,2,FALSE))),"")</f>
        <v/>
      </c>
      <c r="AN215" s="513" t="str">
        <f t="shared" si="36"/>
        <v/>
      </c>
      <c r="AO215" s="239"/>
      <c r="AP215" s="240"/>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1" t="str">
        <f>'A-1 Site Habitat Baseline'!AL215</f>
        <v/>
      </c>
      <c r="F216" s="520" t="str">
        <f>IF(E216="","",IF(ISNA(VLOOKUP($E216,'A-1 Site Habitat Baseline'!$D$1:$O$258,4,FALSE)),"",(VLOOKUP($E216,'A-1 Site Habitat Baseline'!$D$1:$O$258,4,FALSE))))</f>
        <v/>
      </c>
      <c r="G216" s="520" t="str">
        <f>IF(E216="","",IF(ISNA(VLOOKUP($E216,'A-1 Site Habitat Baseline'!$D$1:$O$258,5,FALSE)),"",(VLOOKUP($E216,'A-1 Site Habitat Baseline'!$D$1:$O$258,5,FALSE))))</f>
        <v/>
      </c>
      <c r="H216" s="520" t="str">
        <f>IF(E216="","",IF(ISNA(VLOOKUP($E216,'A-1 Site Habitat Baseline'!$D$1:$O$258,6,FALSE)),"",(VLOOKUP($E216,'A-1 Site Habitat Baseline'!$D$1:$O$258,6,FALSE))))</f>
        <v/>
      </c>
      <c r="I216" s="520" t="str">
        <f>IF(E216="","",IF(ISNA(VLOOKUP($E216,'A-1 Site Habitat Baseline'!$D$1:$O$258,7,FALSE)),"",(VLOOKUP($E216,'A-1 Site Habitat Baseline'!$D$1:$O$258,7,FALSE))))</f>
        <v/>
      </c>
      <c r="J216" s="520" t="str">
        <f>IF(E216="","",IF(ISNA(VLOOKUP($E216,'A-1 Site Habitat Baseline'!$D$1:$O$258,8,FALSE)),"",(VLOOKUP($E216,'A-1 Site Habitat Baseline'!$D$1:$O$258,8,FALSE))))</f>
        <v/>
      </c>
      <c r="K216" s="520" t="str">
        <f>IF(E216="","",IF(ISNA(VLOOKUP($E216,'A-1 Site Habitat Baseline'!$D$1:$O$258,9,FALSE)),"",(VLOOKUP($E216,'A-1 Site Habitat Baseline'!$D$1:$O$258,9,FALSE))))</f>
        <v/>
      </c>
      <c r="L216" s="520" t="str">
        <f>IF(E216="","",IF(ISNA(VLOOKUP($E216,'A-1 Site Habitat Baseline'!$D$1:$O$258,11,FALSE)),"",(VLOOKUP($E216,'A-1 Site Habitat Baseline'!$D$1:$O$258,11,FALSE))))</f>
        <v/>
      </c>
      <c r="M216" s="520" t="str">
        <f>IF(E216="","",IF(ISNA(VLOOKUP($E216,'A-1 Site Habitat Baseline'!$D$1:$O$258,12,FALSE)),"",(VLOOKUP($E216,'A-1 Site Habitat Baseline'!$D$1:$O$258,12,FALSE))))</f>
        <v/>
      </c>
      <c r="N216" s="532" t="str">
        <f>IF(E216="","",IF(ISNA(VLOOKUP($E216,'A-1 Site Habitat Baseline'!$D$1:$X$258,14,FALSE)),"",(VLOOKUP($E216,'A-1 Site Habitat Baseline'!$D$1:$X$258,14,FALSE))))</f>
        <v/>
      </c>
      <c r="O216" s="524" t="str">
        <f>IF(E216="","",IF(ISNA(VLOOKUP($E216,'A-1 Site Habitat Baseline'!$D$1:$X$258,16,FALSE)),"",(VLOOKUP($E216,'A-1 Site Habitat Baseline'!$D$1:$X$258,13,FALSE))))</f>
        <v/>
      </c>
      <c r="P216" s="237" t="str">
        <f>IFERROR(INDEX('G-1 All Habitats'!$AG$3:$AG$15,MATCH(Q216,'G-1 All Habitats'!$AF$3:$AF$15,0)),"")</f>
        <v/>
      </c>
      <c r="Q216" s="238" t="str">
        <f t="shared" si="37"/>
        <v/>
      </c>
      <c r="R216" s="238" t="str">
        <f t="shared" si="38"/>
        <v/>
      </c>
      <c r="S216" s="392" t="str">
        <f>IFERROR(INDEX('G-1 All Habitats'!$B$3:$B$129,MATCH(R216,'G-1 All Habitats'!$A$3:$A$129,0)),"")</f>
        <v/>
      </c>
      <c r="T216" s="498" t="str">
        <f t="shared" si="39"/>
        <v/>
      </c>
      <c r="U216" s="499" t="str">
        <f t="shared" si="40"/>
        <v/>
      </c>
      <c r="V216" s="537" t="str">
        <f t="shared" si="34"/>
        <v/>
      </c>
      <c r="W216" s="520" t="str">
        <f>IF(S216="","",VLOOKUP(S216,'G-1 All Habitats'!$B$2:$M$129,10,FALSE))</f>
        <v/>
      </c>
      <c r="X216" s="520" t="str">
        <f>IFERROR(VLOOKUP(W216,'G-1 All Habitats'!$V$3:$W$7,2,FALSE),"")</f>
        <v/>
      </c>
      <c r="Y216" s="79"/>
      <c r="Z216" s="524" t="str">
        <f>IFERROR(INDEX('G-8 Condition Look up'!$A$3:$H$130,MATCH(S216,'G-8 Condition Look up'!$A$3:$A$130,0),MATCH(Y216,'G-8 Condition Look up'!$A$3:$H$3,0)),"")</f>
        <v/>
      </c>
      <c r="AA216" s="71"/>
      <c r="AB216" s="520" t="str">
        <f>IF(AA216="","",IF(VLOOKUP(AA216,'G-3 Multipliers'!$L$3:$N$6,2,FALSE)=0,"Spatial Data Missing ⚠",VLOOKUP(AA216,'G-3 Multipliers'!$L$3:$N$6,2,FALSE)))</f>
        <v/>
      </c>
      <c r="AC216" s="524" t="str">
        <f>IF(AA216="","",IF(VLOOKUP(AA216,'G-3 Multipliers'!$L$3:$N$6,3,FALSE)=0,"Spatial Data Missing ⚠",VLOOKUP(AA216,'G-3 Multipliers'!$L$3:$N$6,3,FALSE)))</f>
        <v/>
      </c>
      <c r="AD216" s="539" t="str">
        <f t="shared" si="35"/>
        <v/>
      </c>
      <c r="AE216" s="82"/>
      <c r="AF216" s="82"/>
      <c r="AG216" s="507" t="str">
        <f t="shared" si="41"/>
        <v/>
      </c>
      <c r="AH216" s="521" t="str">
        <f t="shared" si="42"/>
        <v/>
      </c>
      <c r="AI216" s="522" t="str">
        <f>IF(AH216="Check Data","Check Data",IFERROR(VLOOKUP(AH216,'G-4 Temporal multipliers'!$A$4:$C$36,3,FALSE),""))</f>
        <v/>
      </c>
      <c r="AJ216" s="498" t="str">
        <f>IF(S216="","",VLOOKUP(S216,'G-3 Multipliers'!$A$2:$E$129,4,FALSE))</f>
        <v/>
      </c>
      <c r="AK216" s="507" t="str">
        <f t="shared" si="43"/>
        <v/>
      </c>
      <c r="AL216" s="507" t="str">
        <f t="shared" si="44"/>
        <v/>
      </c>
      <c r="AM216" s="540" t="str">
        <f>IFERROR(IF(F216="","",IF(AH216="Check Data ⚠","Check Data ⚠",VLOOKUP(AL216, 'G-3 Multipliers'!$P$2:$Q$6,2,FALSE))),"")</f>
        <v/>
      </c>
      <c r="AN216" s="513" t="str">
        <f t="shared" si="36"/>
        <v/>
      </c>
      <c r="AO216" s="239"/>
      <c r="AP216" s="240"/>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1" t="str">
        <f>'A-1 Site Habitat Baseline'!AL216</f>
        <v/>
      </c>
      <c r="F217" s="520" t="str">
        <f>IF(E217="","",IF(ISNA(VLOOKUP($E217,'A-1 Site Habitat Baseline'!$D$1:$O$258,4,FALSE)),"",(VLOOKUP($E217,'A-1 Site Habitat Baseline'!$D$1:$O$258,4,FALSE))))</f>
        <v/>
      </c>
      <c r="G217" s="520" t="str">
        <f>IF(E217="","",IF(ISNA(VLOOKUP($E217,'A-1 Site Habitat Baseline'!$D$1:$O$258,5,FALSE)),"",(VLOOKUP($E217,'A-1 Site Habitat Baseline'!$D$1:$O$258,5,FALSE))))</f>
        <v/>
      </c>
      <c r="H217" s="520" t="str">
        <f>IF(E217="","",IF(ISNA(VLOOKUP($E217,'A-1 Site Habitat Baseline'!$D$1:$O$258,6,FALSE)),"",(VLOOKUP($E217,'A-1 Site Habitat Baseline'!$D$1:$O$258,6,FALSE))))</f>
        <v/>
      </c>
      <c r="I217" s="520" t="str">
        <f>IF(E217="","",IF(ISNA(VLOOKUP($E217,'A-1 Site Habitat Baseline'!$D$1:$O$258,7,FALSE)),"",(VLOOKUP($E217,'A-1 Site Habitat Baseline'!$D$1:$O$258,7,FALSE))))</f>
        <v/>
      </c>
      <c r="J217" s="520" t="str">
        <f>IF(E217="","",IF(ISNA(VLOOKUP($E217,'A-1 Site Habitat Baseline'!$D$1:$O$258,8,FALSE)),"",(VLOOKUP($E217,'A-1 Site Habitat Baseline'!$D$1:$O$258,8,FALSE))))</f>
        <v/>
      </c>
      <c r="K217" s="520" t="str">
        <f>IF(E217="","",IF(ISNA(VLOOKUP($E217,'A-1 Site Habitat Baseline'!$D$1:$O$258,9,FALSE)),"",(VLOOKUP($E217,'A-1 Site Habitat Baseline'!$D$1:$O$258,9,FALSE))))</f>
        <v/>
      </c>
      <c r="L217" s="520" t="str">
        <f>IF(E217="","",IF(ISNA(VLOOKUP($E217,'A-1 Site Habitat Baseline'!$D$1:$O$258,11,FALSE)),"",(VLOOKUP($E217,'A-1 Site Habitat Baseline'!$D$1:$O$258,11,FALSE))))</f>
        <v/>
      </c>
      <c r="M217" s="520" t="str">
        <f>IF(E217="","",IF(ISNA(VLOOKUP($E217,'A-1 Site Habitat Baseline'!$D$1:$O$258,12,FALSE)),"",(VLOOKUP($E217,'A-1 Site Habitat Baseline'!$D$1:$O$258,12,FALSE))))</f>
        <v/>
      </c>
      <c r="N217" s="532" t="str">
        <f>IF(E217="","",IF(ISNA(VLOOKUP($E217,'A-1 Site Habitat Baseline'!$D$1:$X$258,14,FALSE)),"",(VLOOKUP($E217,'A-1 Site Habitat Baseline'!$D$1:$X$258,14,FALSE))))</f>
        <v/>
      </c>
      <c r="O217" s="524" t="str">
        <f>IF(E217="","",IF(ISNA(VLOOKUP($E217,'A-1 Site Habitat Baseline'!$D$1:$X$258,16,FALSE)),"",(VLOOKUP($E217,'A-1 Site Habitat Baseline'!$D$1:$X$258,13,FALSE))))</f>
        <v/>
      </c>
      <c r="P217" s="237" t="str">
        <f>IFERROR(INDEX('G-1 All Habitats'!$AG$3:$AG$15,MATCH(Q217,'G-1 All Habitats'!$AF$3:$AF$15,0)),"")</f>
        <v/>
      </c>
      <c r="Q217" s="238" t="str">
        <f t="shared" si="37"/>
        <v/>
      </c>
      <c r="R217" s="238" t="str">
        <f t="shared" si="38"/>
        <v/>
      </c>
      <c r="S217" s="392" t="str">
        <f>IFERROR(INDEX('G-1 All Habitats'!$B$3:$B$129,MATCH(R217,'G-1 All Habitats'!$A$3:$A$129,0)),"")</f>
        <v/>
      </c>
      <c r="T217" s="498" t="str">
        <f t="shared" si="39"/>
        <v/>
      </c>
      <c r="U217" s="499" t="str">
        <f t="shared" si="40"/>
        <v/>
      </c>
      <c r="V217" s="537" t="str">
        <f t="shared" si="34"/>
        <v/>
      </c>
      <c r="W217" s="520" t="str">
        <f>IF(S217="","",VLOOKUP(S217,'G-1 All Habitats'!$B$2:$M$129,10,FALSE))</f>
        <v/>
      </c>
      <c r="X217" s="520" t="str">
        <f>IFERROR(VLOOKUP(W217,'G-1 All Habitats'!$V$3:$W$7,2,FALSE),"")</f>
        <v/>
      </c>
      <c r="Y217" s="79"/>
      <c r="Z217" s="524" t="str">
        <f>IFERROR(INDEX('G-8 Condition Look up'!$A$3:$H$130,MATCH(S217,'G-8 Condition Look up'!$A$3:$A$130,0),MATCH(Y217,'G-8 Condition Look up'!$A$3:$H$3,0)),"")</f>
        <v/>
      </c>
      <c r="AA217" s="71"/>
      <c r="AB217" s="520" t="str">
        <f>IF(AA217="","",IF(VLOOKUP(AA217,'G-3 Multipliers'!$L$3:$N$6,2,FALSE)=0,"Spatial Data Missing ⚠",VLOOKUP(AA217,'G-3 Multipliers'!$L$3:$N$6,2,FALSE)))</f>
        <v/>
      </c>
      <c r="AC217" s="524" t="str">
        <f>IF(AA217="","",IF(VLOOKUP(AA217,'G-3 Multipliers'!$L$3:$N$6,3,FALSE)=0,"Spatial Data Missing ⚠",VLOOKUP(AA217,'G-3 Multipliers'!$L$3:$N$6,3,FALSE)))</f>
        <v/>
      </c>
      <c r="AD217" s="539" t="str">
        <f t="shared" si="35"/>
        <v/>
      </c>
      <c r="AE217" s="82"/>
      <c r="AF217" s="82"/>
      <c r="AG217" s="507" t="str">
        <f t="shared" si="41"/>
        <v/>
      </c>
      <c r="AH217" s="521" t="str">
        <f t="shared" si="42"/>
        <v/>
      </c>
      <c r="AI217" s="522" t="str">
        <f>IF(AH217="Check Data","Check Data",IFERROR(VLOOKUP(AH217,'G-4 Temporal multipliers'!$A$4:$C$36,3,FALSE),""))</f>
        <v/>
      </c>
      <c r="AJ217" s="498" t="str">
        <f>IF(S217="","",VLOOKUP(S217,'G-3 Multipliers'!$A$2:$E$129,4,FALSE))</f>
        <v/>
      </c>
      <c r="AK217" s="507" t="str">
        <f t="shared" si="43"/>
        <v/>
      </c>
      <c r="AL217" s="507" t="str">
        <f t="shared" si="44"/>
        <v/>
      </c>
      <c r="AM217" s="540" t="str">
        <f>IFERROR(IF(F217="","",IF(AH217="Check Data ⚠","Check Data ⚠",VLOOKUP(AL217, 'G-3 Multipliers'!$P$2:$Q$6,2,FALSE))),"")</f>
        <v/>
      </c>
      <c r="AN217" s="513" t="str">
        <f t="shared" si="36"/>
        <v/>
      </c>
      <c r="AO217" s="239"/>
      <c r="AP217" s="240"/>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1" t="str">
        <f>'A-1 Site Habitat Baseline'!AL217</f>
        <v/>
      </c>
      <c r="F218" s="520" t="str">
        <f>IF(E218="","",IF(ISNA(VLOOKUP($E218,'A-1 Site Habitat Baseline'!$D$1:$O$258,4,FALSE)),"",(VLOOKUP($E218,'A-1 Site Habitat Baseline'!$D$1:$O$258,4,FALSE))))</f>
        <v/>
      </c>
      <c r="G218" s="520" t="str">
        <f>IF(E218="","",IF(ISNA(VLOOKUP($E218,'A-1 Site Habitat Baseline'!$D$1:$O$258,5,FALSE)),"",(VLOOKUP($E218,'A-1 Site Habitat Baseline'!$D$1:$O$258,5,FALSE))))</f>
        <v/>
      </c>
      <c r="H218" s="520" t="str">
        <f>IF(E218="","",IF(ISNA(VLOOKUP($E218,'A-1 Site Habitat Baseline'!$D$1:$O$258,6,FALSE)),"",(VLOOKUP($E218,'A-1 Site Habitat Baseline'!$D$1:$O$258,6,FALSE))))</f>
        <v/>
      </c>
      <c r="I218" s="520" t="str">
        <f>IF(E218="","",IF(ISNA(VLOOKUP($E218,'A-1 Site Habitat Baseline'!$D$1:$O$258,7,FALSE)),"",(VLOOKUP($E218,'A-1 Site Habitat Baseline'!$D$1:$O$258,7,FALSE))))</f>
        <v/>
      </c>
      <c r="J218" s="520" t="str">
        <f>IF(E218="","",IF(ISNA(VLOOKUP($E218,'A-1 Site Habitat Baseline'!$D$1:$O$258,8,FALSE)),"",(VLOOKUP($E218,'A-1 Site Habitat Baseline'!$D$1:$O$258,8,FALSE))))</f>
        <v/>
      </c>
      <c r="K218" s="520" t="str">
        <f>IF(E218="","",IF(ISNA(VLOOKUP($E218,'A-1 Site Habitat Baseline'!$D$1:$O$258,9,FALSE)),"",(VLOOKUP($E218,'A-1 Site Habitat Baseline'!$D$1:$O$258,9,FALSE))))</f>
        <v/>
      </c>
      <c r="L218" s="520" t="str">
        <f>IF(E218="","",IF(ISNA(VLOOKUP($E218,'A-1 Site Habitat Baseline'!$D$1:$O$258,11,FALSE)),"",(VLOOKUP($E218,'A-1 Site Habitat Baseline'!$D$1:$O$258,11,FALSE))))</f>
        <v/>
      </c>
      <c r="M218" s="520" t="str">
        <f>IF(E218="","",IF(ISNA(VLOOKUP($E218,'A-1 Site Habitat Baseline'!$D$1:$O$258,12,FALSE)),"",(VLOOKUP($E218,'A-1 Site Habitat Baseline'!$D$1:$O$258,12,FALSE))))</f>
        <v/>
      </c>
      <c r="N218" s="532" t="str">
        <f>IF(E218="","",IF(ISNA(VLOOKUP($E218,'A-1 Site Habitat Baseline'!$D$1:$X$258,14,FALSE)),"",(VLOOKUP($E218,'A-1 Site Habitat Baseline'!$D$1:$X$258,14,FALSE))))</f>
        <v/>
      </c>
      <c r="O218" s="524" t="str">
        <f>IF(E218="","",IF(ISNA(VLOOKUP($E218,'A-1 Site Habitat Baseline'!$D$1:$X$258,16,FALSE)),"",(VLOOKUP($E218,'A-1 Site Habitat Baseline'!$D$1:$X$258,13,FALSE))))</f>
        <v/>
      </c>
      <c r="P218" s="237" t="str">
        <f>IFERROR(INDEX('G-1 All Habitats'!$AG$3:$AG$15,MATCH(Q218,'G-1 All Habitats'!$AF$3:$AF$15,0)),"")</f>
        <v/>
      </c>
      <c r="Q218" s="238" t="str">
        <f t="shared" si="37"/>
        <v/>
      </c>
      <c r="R218" s="238" t="str">
        <f t="shared" si="38"/>
        <v/>
      </c>
      <c r="S218" s="392" t="str">
        <f>IFERROR(INDEX('G-1 All Habitats'!$B$3:$B$129,MATCH(R218,'G-1 All Habitats'!$A$3:$A$129,0)),"")</f>
        <v/>
      </c>
      <c r="T218" s="498" t="str">
        <f t="shared" si="39"/>
        <v/>
      </c>
      <c r="U218" s="499" t="str">
        <f t="shared" si="40"/>
        <v/>
      </c>
      <c r="V218" s="537" t="str">
        <f t="shared" si="34"/>
        <v/>
      </c>
      <c r="W218" s="520" t="str">
        <f>IF(S218="","",VLOOKUP(S218,'G-1 All Habitats'!$B$2:$M$129,10,FALSE))</f>
        <v/>
      </c>
      <c r="X218" s="520" t="str">
        <f>IFERROR(VLOOKUP(W218,'G-1 All Habitats'!$V$3:$W$7,2,FALSE),"")</f>
        <v/>
      </c>
      <c r="Y218" s="79"/>
      <c r="Z218" s="524" t="str">
        <f>IFERROR(INDEX('G-8 Condition Look up'!$A$3:$H$130,MATCH(S218,'G-8 Condition Look up'!$A$3:$A$130,0),MATCH(Y218,'G-8 Condition Look up'!$A$3:$H$3,0)),"")</f>
        <v/>
      </c>
      <c r="AA218" s="71"/>
      <c r="AB218" s="520" t="str">
        <f>IF(AA218="","",IF(VLOOKUP(AA218,'G-3 Multipliers'!$L$3:$N$6,2,FALSE)=0,"Spatial Data Missing ⚠",VLOOKUP(AA218,'G-3 Multipliers'!$L$3:$N$6,2,FALSE)))</f>
        <v/>
      </c>
      <c r="AC218" s="524" t="str">
        <f>IF(AA218="","",IF(VLOOKUP(AA218,'G-3 Multipliers'!$L$3:$N$6,3,FALSE)=0,"Spatial Data Missing ⚠",VLOOKUP(AA218,'G-3 Multipliers'!$L$3:$N$6,3,FALSE)))</f>
        <v/>
      </c>
      <c r="AD218" s="539" t="str">
        <f t="shared" si="35"/>
        <v/>
      </c>
      <c r="AE218" s="82"/>
      <c r="AF218" s="82"/>
      <c r="AG218" s="507" t="str">
        <f t="shared" si="41"/>
        <v/>
      </c>
      <c r="AH218" s="521" t="str">
        <f t="shared" si="42"/>
        <v/>
      </c>
      <c r="AI218" s="522" t="str">
        <f>IF(AH218="Check Data","Check Data",IFERROR(VLOOKUP(AH218,'G-4 Temporal multipliers'!$A$4:$C$36,3,FALSE),""))</f>
        <v/>
      </c>
      <c r="AJ218" s="498" t="str">
        <f>IF(S218="","",VLOOKUP(S218,'G-3 Multipliers'!$A$2:$E$129,4,FALSE))</f>
        <v/>
      </c>
      <c r="AK218" s="507" t="str">
        <f t="shared" si="43"/>
        <v/>
      </c>
      <c r="AL218" s="507" t="str">
        <f t="shared" si="44"/>
        <v/>
      </c>
      <c r="AM218" s="540" t="str">
        <f>IFERROR(IF(F218="","",IF(AH218="Check Data ⚠","Check Data ⚠",VLOOKUP(AL218, 'G-3 Multipliers'!$P$2:$Q$6,2,FALSE))),"")</f>
        <v/>
      </c>
      <c r="AN218" s="513" t="str">
        <f t="shared" si="36"/>
        <v/>
      </c>
      <c r="AO218" s="239"/>
      <c r="AP218" s="240"/>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1" t="str">
        <f>'A-1 Site Habitat Baseline'!AL218</f>
        <v/>
      </c>
      <c r="F219" s="520" t="str">
        <f>IF(E219="","",IF(ISNA(VLOOKUP($E219,'A-1 Site Habitat Baseline'!$D$1:$O$258,4,FALSE)),"",(VLOOKUP($E219,'A-1 Site Habitat Baseline'!$D$1:$O$258,4,FALSE))))</f>
        <v/>
      </c>
      <c r="G219" s="520" t="str">
        <f>IF(E219="","",IF(ISNA(VLOOKUP($E219,'A-1 Site Habitat Baseline'!$D$1:$O$258,5,FALSE)),"",(VLOOKUP($E219,'A-1 Site Habitat Baseline'!$D$1:$O$258,5,FALSE))))</f>
        <v/>
      </c>
      <c r="H219" s="520" t="str">
        <f>IF(E219="","",IF(ISNA(VLOOKUP($E219,'A-1 Site Habitat Baseline'!$D$1:$O$258,6,FALSE)),"",(VLOOKUP($E219,'A-1 Site Habitat Baseline'!$D$1:$O$258,6,FALSE))))</f>
        <v/>
      </c>
      <c r="I219" s="520" t="str">
        <f>IF(E219="","",IF(ISNA(VLOOKUP($E219,'A-1 Site Habitat Baseline'!$D$1:$O$258,7,FALSE)),"",(VLOOKUP($E219,'A-1 Site Habitat Baseline'!$D$1:$O$258,7,FALSE))))</f>
        <v/>
      </c>
      <c r="J219" s="520" t="str">
        <f>IF(E219="","",IF(ISNA(VLOOKUP($E219,'A-1 Site Habitat Baseline'!$D$1:$O$258,8,FALSE)),"",(VLOOKUP($E219,'A-1 Site Habitat Baseline'!$D$1:$O$258,8,FALSE))))</f>
        <v/>
      </c>
      <c r="K219" s="520" t="str">
        <f>IF(E219="","",IF(ISNA(VLOOKUP($E219,'A-1 Site Habitat Baseline'!$D$1:$O$258,9,FALSE)),"",(VLOOKUP($E219,'A-1 Site Habitat Baseline'!$D$1:$O$258,9,FALSE))))</f>
        <v/>
      </c>
      <c r="L219" s="520" t="str">
        <f>IF(E219="","",IF(ISNA(VLOOKUP($E219,'A-1 Site Habitat Baseline'!$D$1:$O$258,11,FALSE)),"",(VLOOKUP($E219,'A-1 Site Habitat Baseline'!$D$1:$O$258,11,FALSE))))</f>
        <v/>
      </c>
      <c r="M219" s="520" t="str">
        <f>IF(E219="","",IF(ISNA(VLOOKUP($E219,'A-1 Site Habitat Baseline'!$D$1:$O$258,12,FALSE)),"",(VLOOKUP($E219,'A-1 Site Habitat Baseline'!$D$1:$O$258,12,FALSE))))</f>
        <v/>
      </c>
      <c r="N219" s="532" t="str">
        <f>IF(E219="","",IF(ISNA(VLOOKUP($E219,'A-1 Site Habitat Baseline'!$D$1:$X$258,14,FALSE)),"",(VLOOKUP($E219,'A-1 Site Habitat Baseline'!$D$1:$X$258,14,FALSE))))</f>
        <v/>
      </c>
      <c r="O219" s="524" t="str">
        <f>IF(E219="","",IF(ISNA(VLOOKUP($E219,'A-1 Site Habitat Baseline'!$D$1:$X$258,16,FALSE)),"",(VLOOKUP($E219,'A-1 Site Habitat Baseline'!$D$1:$X$258,13,FALSE))))</f>
        <v/>
      </c>
      <c r="P219" s="237" t="str">
        <f>IFERROR(INDEX('G-1 All Habitats'!$AG$3:$AG$15,MATCH(Q219,'G-1 All Habitats'!$AF$3:$AF$15,0)),"")</f>
        <v/>
      </c>
      <c r="Q219" s="238" t="str">
        <f t="shared" si="37"/>
        <v/>
      </c>
      <c r="R219" s="238" t="str">
        <f t="shared" si="38"/>
        <v/>
      </c>
      <c r="S219" s="392" t="str">
        <f>IFERROR(INDEX('G-1 All Habitats'!$B$3:$B$129,MATCH(R219,'G-1 All Habitats'!$A$3:$A$129,0)),"")</f>
        <v/>
      </c>
      <c r="T219" s="498" t="str">
        <f t="shared" si="39"/>
        <v/>
      </c>
      <c r="U219" s="499" t="str">
        <f t="shared" si="40"/>
        <v/>
      </c>
      <c r="V219" s="537" t="str">
        <f t="shared" si="34"/>
        <v/>
      </c>
      <c r="W219" s="520" t="str">
        <f>IF(S219="","",VLOOKUP(S219,'G-1 All Habitats'!$B$2:$M$129,10,FALSE))</f>
        <v/>
      </c>
      <c r="X219" s="520" t="str">
        <f>IFERROR(VLOOKUP(W219,'G-1 All Habitats'!$V$3:$W$7,2,FALSE),"")</f>
        <v/>
      </c>
      <c r="Y219" s="79"/>
      <c r="Z219" s="524" t="str">
        <f>IFERROR(INDEX('G-8 Condition Look up'!$A$3:$H$130,MATCH(S219,'G-8 Condition Look up'!$A$3:$A$130,0),MATCH(Y219,'G-8 Condition Look up'!$A$3:$H$3,0)),"")</f>
        <v/>
      </c>
      <c r="AA219" s="71"/>
      <c r="AB219" s="520" t="str">
        <f>IF(AA219="","",IF(VLOOKUP(AA219,'G-3 Multipliers'!$L$3:$N$6,2,FALSE)=0,"Spatial Data Missing ⚠",VLOOKUP(AA219,'G-3 Multipliers'!$L$3:$N$6,2,FALSE)))</f>
        <v/>
      </c>
      <c r="AC219" s="524" t="str">
        <f>IF(AA219="","",IF(VLOOKUP(AA219,'G-3 Multipliers'!$L$3:$N$6,3,FALSE)=0,"Spatial Data Missing ⚠",VLOOKUP(AA219,'G-3 Multipliers'!$L$3:$N$6,3,FALSE)))</f>
        <v/>
      </c>
      <c r="AD219" s="539" t="str">
        <f t="shared" si="35"/>
        <v/>
      </c>
      <c r="AE219" s="82"/>
      <c r="AF219" s="82"/>
      <c r="AG219" s="507" t="str">
        <f t="shared" si="41"/>
        <v/>
      </c>
      <c r="AH219" s="521" t="str">
        <f t="shared" si="42"/>
        <v/>
      </c>
      <c r="AI219" s="522" t="str">
        <f>IF(AH219="Check Data","Check Data",IFERROR(VLOOKUP(AH219,'G-4 Temporal multipliers'!$A$4:$C$36,3,FALSE),""))</f>
        <v/>
      </c>
      <c r="AJ219" s="498" t="str">
        <f>IF(S219="","",VLOOKUP(S219,'G-3 Multipliers'!$A$2:$E$129,4,FALSE))</f>
        <v/>
      </c>
      <c r="AK219" s="507" t="str">
        <f t="shared" si="43"/>
        <v/>
      </c>
      <c r="AL219" s="507" t="str">
        <f t="shared" si="44"/>
        <v/>
      </c>
      <c r="AM219" s="540" t="str">
        <f>IFERROR(IF(F219="","",IF(AH219="Check Data ⚠","Check Data ⚠",VLOOKUP(AL219, 'G-3 Multipliers'!$P$2:$Q$6,2,FALSE))),"")</f>
        <v/>
      </c>
      <c r="AN219" s="513" t="str">
        <f t="shared" si="36"/>
        <v/>
      </c>
      <c r="AO219" s="239"/>
      <c r="AP219" s="240"/>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1" t="str">
        <f>'A-1 Site Habitat Baseline'!AL219</f>
        <v/>
      </c>
      <c r="F220" s="520" t="str">
        <f>IF(E220="","",IF(ISNA(VLOOKUP($E220,'A-1 Site Habitat Baseline'!$D$1:$O$258,4,FALSE)),"",(VLOOKUP($E220,'A-1 Site Habitat Baseline'!$D$1:$O$258,4,FALSE))))</f>
        <v/>
      </c>
      <c r="G220" s="520" t="str">
        <f>IF(E220="","",IF(ISNA(VLOOKUP($E220,'A-1 Site Habitat Baseline'!$D$1:$O$258,5,FALSE)),"",(VLOOKUP($E220,'A-1 Site Habitat Baseline'!$D$1:$O$258,5,FALSE))))</f>
        <v/>
      </c>
      <c r="H220" s="520" t="str">
        <f>IF(E220="","",IF(ISNA(VLOOKUP($E220,'A-1 Site Habitat Baseline'!$D$1:$O$258,6,FALSE)),"",(VLOOKUP($E220,'A-1 Site Habitat Baseline'!$D$1:$O$258,6,FALSE))))</f>
        <v/>
      </c>
      <c r="I220" s="520" t="str">
        <f>IF(E220="","",IF(ISNA(VLOOKUP($E220,'A-1 Site Habitat Baseline'!$D$1:$O$258,7,FALSE)),"",(VLOOKUP($E220,'A-1 Site Habitat Baseline'!$D$1:$O$258,7,FALSE))))</f>
        <v/>
      </c>
      <c r="J220" s="520" t="str">
        <f>IF(E220="","",IF(ISNA(VLOOKUP($E220,'A-1 Site Habitat Baseline'!$D$1:$O$258,8,FALSE)),"",(VLOOKUP($E220,'A-1 Site Habitat Baseline'!$D$1:$O$258,8,FALSE))))</f>
        <v/>
      </c>
      <c r="K220" s="520" t="str">
        <f>IF(E220="","",IF(ISNA(VLOOKUP($E220,'A-1 Site Habitat Baseline'!$D$1:$O$258,9,FALSE)),"",(VLOOKUP($E220,'A-1 Site Habitat Baseline'!$D$1:$O$258,9,FALSE))))</f>
        <v/>
      </c>
      <c r="L220" s="520" t="str">
        <f>IF(E220="","",IF(ISNA(VLOOKUP($E220,'A-1 Site Habitat Baseline'!$D$1:$O$258,11,FALSE)),"",(VLOOKUP($E220,'A-1 Site Habitat Baseline'!$D$1:$O$258,11,FALSE))))</f>
        <v/>
      </c>
      <c r="M220" s="520" t="str">
        <f>IF(E220="","",IF(ISNA(VLOOKUP($E220,'A-1 Site Habitat Baseline'!$D$1:$O$258,12,FALSE)),"",(VLOOKUP($E220,'A-1 Site Habitat Baseline'!$D$1:$O$258,12,FALSE))))</f>
        <v/>
      </c>
      <c r="N220" s="532" t="str">
        <f>IF(E220="","",IF(ISNA(VLOOKUP($E220,'A-1 Site Habitat Baseline'!$D$1:$X$258,14,FALSE)),"",(VLOOKUP($E220,'A-1 Site Habitat Baseline'!$D$1:$X$258,14,FALSE))))</f>
        <v/>
      </c>
      <c r="O220" s="524" t="str">
        <f>IF(E220="","",IF(ISNA(VLOOKUP($E220,'A-1 Site Habitat Baseline'!$D$1:$X$258,16,FALSE)),"",(VLOOKUP($E220,'A-1 Site Habitat Baseline'!$D$1:$X$258,13,FALSE))))</f>
        <v/>
      </c>
      <c r="P220" s="237" t="str">
        <f>IFERROR(INDEX('G-1 All Habitats'!$AG$3:$AG$15,MATCH(Q220,'G-1 All Habitats'!$AF$3:$AF$15,0)),"")</f>
        <v/>
      </c>
      <c r="Q220" s="238" t="str">
        <f t="shared" si="37"/>
        <v/>
      </c>
      <c r="R220" s="238" t="str">
        <f t="shared" si="38"/>
        <v/>
      </c>
      <c r="S220" s="392" t="str">
        <f>IFERROR(INDEX('G-1 All Habitats'!$B$3:$B$129,MATCH(R220,'G-1 All Habitats'!$A$3:$A$129,0)),"")</f>
        <v/>
      </c>
      <c r="T220" s="498" t="str">
        <f t="shared" si="39"/>
        <v/>
      </c>
      <c r="U220" s="499" t="str">
        <f t="shared" si="40"/>
        <v/>
      </c>
      <c r="V220" s="537" t="str">
        <f t="shared" si="34"/>
        <v/>
      </c>
      <c r="W220" s="520" t="str">
        <f>IF(S220="","",VLOOKUP(S220,'G-1 All Habitats'!$B$2:$M$129,10,FALSE))</f>
        <v/>
      </c>
      <c r="X220" s="520" t="str">
        <f>IFERROR(VLOOKUP(W220,'G-1 All Habitats'!$V$3:$W$7,2,FALSE),"")</f>
        <v/>
      </c>
      <c r="Y220" s="79"/>
      <c r="Z220" s="524" t="str">
        <f>IFERROR(INDEX('G-8 Condition Look up'!$A$3:$H$130,MATCH(S220,'G-8 Condition Look up'!$A$3:$A$130,0),MATCH(Y220,'G-8 Condition Look up'!$A$3:$H$3,0)),"")</f>
        <v/>
      </c>
      <c r="AA220" s="71"/>
      <c r="AB220" s="520" t="str">
        <f>IF(AA220="","",IF(VLOOKUP(AA220,'G-3 Multipliers'!$L$3:$N$6,2,FALSE)=0,"Spatial Data Missing ⚠",VLOOKUP(AA220,'G-3 Multipliers'!$L$3:$N$6,2,FALSE)))</f>
        <v/>
      </c>
      <c r="AC220" s="524" t="str">
        <f>IF(AA220="","",IF(VLOOKUP(AA220,'G-3 Multipliers'!$L$3:$N$6,3,FALSE)=0,"Spatial Data Missing ⚠",VLOOKUP(AA220,'G-3 Multipliers'!$L$3:$N$6,3,FALSE)))</f>
        <v/>
      </c>
      <c r="AD220" s="539" t="str">
        <f t="shared" si="35"/>
        <v/>
      </c>
      <c r="AE220" s="82"/>
      <c r="AF220" s="82"/>
      <c r="AG220" s="507" t="str">
        <f t="shared" si="41"/>
        <v/>
      </c>
      <c r="AH220" s="521" t="str">
        <f t="shared" si="42"/>
        <v/>
      </c>
      <c r="AI220" s="522" t="str">
        <f>IF(AH220="Check Data","Check Data",IFERROR(VLOOKUP(AH220,'G-4 Temporal multipliers'!$A$4:$C$36,3,FALSE),""))</f>
        <v/>
      </c>
      <c r="AJ220" s="498" t="str">
        <f>IF(S220="","",VLOOKUP(S220,'G-3 Multipliers'!$A$2:$E$129,4,FALSE))</f>
        <v/>
      </c>
      <c r="AK220" s="507" t="str">
        <f t="shared" si="43"/>
        <v/>
      </c>
      <c r="AL220" s="507" t="str">
        <f t="shared" si="44"/>
        <v/>
      </c>
      <c r="AM220" s="540" t="str">
        <f>IFERROR(IF(F220="","",IF(AH220="Check Data ⚠","Check Data ⚠",VLOOKUP(AL220, 'G-3 Multipliers'!$P$2:$Q$6,2,FALSE))),"")</f>
        <v/>
      </c>
      <c r="AN220" s="513" t="str">
        <f t="shared" si="36"/>
        <v/>
      </c>
      <c r="AO220" s="239"/>
      <c r="AP220" s="240"/>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1" t="str">
        <f>'A-1 Site Habitat Baseline'!AL220</f>
        <v/>
      </c>
      <c r="F221" s="520" t="str">
        <f>IF(E221="","",IF(ISNA(VLOOKUP($E221,'A-1 Site Habitat Baseline'!$D$1:$O$258,4,FALSE)),"",(VLOOKUP($E221,'A-1 Site Habitat Baseline'!$D$1:$O$258,4,FALSE))))</f>
        <v/>
      </c>
      <c r="G221" s="520" t="str">
        <f>IF(E221="","",IF(ISNA(VLOOKUP($E221,'A-1 Site Habitat Baseline'!$D$1:$O$258,5,FALSE)),"",(VLOOKUP($E221,'A-1 Site Habitat Baseline'!$D$1:$O$258,5,FALSE))))</f>
        <v/>
      </c>
      <c r="H221" s="520" t="str">
        <f>IF(E221="","",IF(ISNA(VLOOKUP($E221,'A-1 Site Habitat Baseline'!$D$1:$O$258,6,FALSE)),"",(VLOOKUP($E221,'A-1 Site Habitat Baseline'!$D$1:$O$258,6,FALSE))))</f>
        <v/>
      </c>
      <c r="I221" s="520" t="str">
        <f>IF(E221="","",IF(ISNA(VLOOKUP($E221,'A-1 Site Habitat Baseline'!$D$1:$O$258,7,FALSE)),"",(VLOOKUP($E221,'A-1 Site Habitat Baseline'!$D$1:$O$258,7,FALSE))))</f>
        <v/>
      </c>
      <c r="J221" s="520" t="str">
        <f>IF(E221="","",IF(ISNA(VLOOKUP($E221,'A-1 Site Habitat Baseline'!$D$1:$O$258,8,FALSE)),"",(VLOOKUP($E221,'A-1 Site Habitat Baseline'!$D$1:$O$258,8,FALSE))))</f>
        <v/>
      </c>
      <c r="K221" s="520" t="str">
        <f>IF(E221="","",IF(ISNA(VLOOKUP($E221,'A-1 Site Habitat Baseline'!$D$1:$O$258,9,FALSE)),"",(VLOOKUP($E221,'A-1 Site Habitat Baseline'!$D$1:$O$258,9,FALSE))))</f>
        <v/>
      </c>
      <c r="L221" s="520" t="str">
        <f>IF(E221="","",IF(ISNA(VLOOKUP($E221,'A-1 Site Habitat Baseline'!$D$1:$O$258,11,FALSE)),"",(VLOOKUP($E221,'A-1 Site Habitat Baseline'!$D$1:$O$258,11,FALSE))))</f>
        <v/>
      </c>
      <c r="M221" s="520" t="str">
        <f>IF(E221="","",IF(ISNA(VLOOKUP($E221,'A-1 Site Habitat Baseline'!$D$1:$O$258,12,FALSE)),"",(VLOOKUP($E221,'A-1 Site Habitat Baseline'!$D$1:$O$258,12,FALSE))))</f>
        <v/>
      </c>
      <c r="N221" s="532" t="str">
        <f>IF(E221="","",IF(ISNA(VLOOKUP($E221,'A-1 Site Habitat Baseline'!$D$1:$X$258,14,FALSE)),"",(VLOOKUP($E221,'A-1 Site Habitat Baseline'!$D$1:$X$258,14,FALSE))))</f>
        <v/>
      </c>
      <c r="O221" s="524" t="str">
        <f>IF(E221="","",IF(ISNA(VLOOKUP($E221,'A-1 Site Habitat Baseline'!$D$1:$X$258,16,FALSE)),"",(VLOOKUP($E221,'A-1 Site Habitat Baseline'!$D$1:$X$258,13,FALSE))))</f>
        <v/>
      </c>
      <c r="P221" s="237" t="str">
        <f>IFERROR(INDEX('G-1 All Habitats'!$AG$3:$AG$15,MATCH(Q221,'G-1 All Habitats'!$AF$3:$AF$15,0)),"")</f>
        <v/>
      </c>
      <c r="Q221" s="238" t="str">
        <f t="shared" si="37"/>
        <v/>
      </c>
      <c r="R221" s="238" t="str">
        <f t="shared" si="38"/>
        <v/>
      </c>
      <c r="S221" s="392" t="str">
        <f>IFERROR(INDEX('G-1 All Habitats'!$B$3:$B$129,MATCH(R221,'G-1 All Habitats'!$A$3:$A$129,0)),"")</f>
        <v/>
      </c>
      <c r="T221" s="498" t="str">
        <f t="shared" si="39"/>
        <v/>
      </c>
      <c r="U221" s="499" t="str">
        <f t="shared" si="40"/>
        <v/>
      </c>
      <c r="V221" s="537" t="str">
        <f t="shared" si="34"/>
        <v/>
      </c>
      <c r="W221" s="520" t="str">
        <f>IF(S221="","",VLOOKUP(S221,'G-1 All Habitats'!$B$2:$M$129,10,FALSE))</f>
        <v/>
      </c>
      <c r="X221" s="520" t="str">
        <f>IFERROR(VLOOKUP(W221,'G-1 All Habitats'!$V$3:$W$7,2,FALSE),"")</f>
        <v/>
      </c>
      <c r="Y221" s="79"/>
      <c r="Z221" s="524" t="str">
        <f>IFERROR(INDEX('G-8 Condition Look up'!$A$3:$H$130,MATCH(S221,'G-8 Condition Look up'!$A$3:$A$130,0),MATCH(Y221,'G-8 Condition Look up'!$A$3:$H$3,0)),"")</f>
        <v/>
      </c>
      <c r="AA221" s="71"/>
      <c r="AB221" s="520" t="str">
        <f>IF(AA221="","",IF(VLOOKUP(AA221,'G-3 Multipliers'!$L$3:$N$6,2,FALSE)=0,"Spatial Data Missing ⚠",VLOOKUP(AA221,'G-3 Multipliers'!$L$3:$N$6,2,FALSE)))</f>
        <v/>
      </c>
      <c r="AC221" s="524" t="str">
        <f>IF(AA221="","",IF(VLOOKUP(AA221,'G-3 Multipliers'!$L$3:$N$6,3,FALSE)=0,"Spatial Data Missing ⚠",VLOOKUP(AA221,'G-3 Multipliers'!$L$3:$N$6,3,FALSE)))</f>
        <v/>
      </c>
      <c r="AD221" s="539" t="str">
        <f t="shared" si="35"/>
        <v/>
      </c>
      <c r="AE221" s="82"/>
      <c r="AF221" s="82"/>
      <c r="AG221" s="507" t="str">
        <f t="shared" si="41"/>
        <v/>
      </c>
      <c r="AH221" s="521" t="str">
        <f t="shared" si="42"/>
        <v/>
      </c>
      <c r="AI221" s="522" t="str">
        <f>IF(AH221="Check Data","Check Data",IFERROR(VLOOKUP(AH221,'G-4 Temporal multipliers'!$A$4:$C$36,3,FALSE),""))</f>
        <v/>
      </c>
      <c r="AJ221" s="498" t="str">
        <f>IF(S221="","",VLOOKUP(S221,'G-3 Multipliers'!$A$2:$E$129,4,FALSE))</f>
        <v/>
      </c>
      <c r="AK221" s="507" t="str">
        <f t="shared" si="43"/>
        <v/>
      </c>
      <c r="AL221" s="507" t="str">
        <f t="shared" si="44"/>
        <v/>
      </c>
      <c r="AM221" s="540" t="str">
        <f>IFERROR(IF(F221="","",IF(AH221="Check Data ⚠","Check Data ⚠",VLOOKUP(AL221, 'G-3 Multipliers'!$P$2:$Q$6,2,FALSE))),"")</f>
        <v/>
      </c>
      <c r="AN221" s="513" t="str">
        <f t="shared" si="36"/>
        <v/>
      </c>
      <c r="AO221" s="239"/>
      <c r="AP221" s="240"/>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1" t="str">
        <f>'A-1 Site Habitat Baseline'!AL221</f>
        <v/>
      </c>
      <c r="F222" s="520" t="str">
        <f>IF(E222="","",IF(ISNA(VLOOKUP($E222,'A-1 Site Habitat Baseline'!$D$1:$O$258,4,FALSE)),"",(VLOOKUP($E222,'A-1 Site Habitat Baseline'!$D$1:$O$258,4,FALSE))))</f>
        <v/>
      </c>
      <c r="G222" s="520" t="str">
        <f>IF(E222="","",IF(ISNA(VLOOKUP($E222,'A-1 Site Habitat Baseline'!$D$1:$O$258,5,FALSE)),"",(VLOOKUP($E222,'A-1 Site Habitat Baseline'!$D$1:$O$258,5,FALSE))))</f>
        <v/>
      </c>
      <c r="H222" s="520" t="str">
        <f>IF(E222="","",IF(ISNA(VLOOKUP($E222,'A-1 Site Habitat Baseline'!$D$1:$O$258,6,FALSE)),"",(VLOOKUP($E222,'A-1 Site Habitat Baseline'!$D$1:$O$258,6,FALSE))))</f>
        <v/>
      </c>
      <c r="I222" s="520" t="str">
        <f>IF(E222="","",IF(ISNA(VLOOKUP($E222,'A-1 Site Habitat Baseline'!$D$1:$O$258,7,FALSE)),"",(VLOOKUP($E222,'A-1 Site Habitat Baseline'!$D$1:$O$258,7,FALSE))))</f>
        <v/>
      </c>
      <c r="J222" s="520" t="str">
        <f>IF(E222="","",IF(ISNA(VLOOKUP($E222,'A-1 Site Habitat Baseline'!$D$1:$O$258,8,FALSE)),"",(VLOOKUP($E222,'A-1 Site Habitat Baseline'!$D$1:$O$258,8,FALSE))))</f>
        <v/>
      </c>
      <c r="K222" s="520" t="str">
        <f>IF(E222="","",IF(ISNA(VLOOKUP($E222,'A-1 Site Habitat Baseline'!$D$1:$O$258,9,FALSE)),"",(VLOOKUP($E222,'A-1 Site Habitat Baseline'!$D$1:$O$258,9,FALSE))))</f>
        <v/>
      </c>
      <c r="L222" s="520" t="str">
        <f>IF(E222="","",IF(ISNA(VLOOKUP($E222,'A-1 Site Habitat Baseline'!$D$1:$O$258,11,FALSE)),"",(VLOOKUP($E222,'A-1 Site Habitat Baseline'!$D$1:$O$258,11,FALSE))))</f>
        <v/>
      </c>
      <c r="M222" s="520" t="str">
        <f>IF(E222="","",IF(ISNA(VLOOKUP($E222,'A-1 Site Habitat Baseline'!$D$1:$O$258,12,FALSE)),"",(VLOOKUP($E222,'A-1 Site Habitat Baseline'!$D$1:$O$258,12,FALSE))))</f>
        <v/>
      </c>
      <c r="N222" s="532" t="str">
        <f>IF(E222="","",IF(ISNA(VLOOKUP($E222,'A-1 Site Habitat Baseline'!$D$1:$X$258,14,FALSE)),"",(VLOOKUP($E222,'A-1 Site Habitat Baseline'!$D$1:$X$258,14,FALSE))))</f>
        <v/>
      </c>
      <c r="O222" s="524" t="str">
        <f>IF(E222="","",IF(ISNA(VLOOKUP($E222,'A-1 Site Habitat Baseline'!$D$1:$X$258,16,FALSE)),"",(VLOOKUP($E222,'A-1 Site Habitat Baseline'!$D$1:$X$258,13,FALSE))))</f>
        <v/>
      </c>
      <c r="P222" s="237" t="str">
        <f>IFERROR(INDEX('G-1 All Habitats'!$AG$3:$AG$15,MATCH(Q222,'G-1 All Habitats'!$AF$3:$AF$15,0)),"")</f>
        <v/>
      </c>
      <c r="Q222" s="238" t="str">
        <f t="shared" si="37"/>
        <v/>
      </c>
      <c r="R222" s="238" t="str">
        <f t="shared" si="38"/>
        <v/>
      </c>
      <c r="S222" s="392" t="str">
        <f>IFERROR(INDEX('G-1 All Habitats'!$B$3:$B$129,MATCH(R222,'G-1 All Habitats'!$A$3:$A$129,0)),"")</f>
        <v/>
      </c>
      <c r="T222" s="498" t="str">
        <f t="shared" si="39"/>
        <v/>
      </c>
      <c r="U222" s="499" t="str">
        <f t="shared" si="40"/>
        <v/>
      </c>
      <c r="V222" s="537" t="str">
        <f t="shared" si="34"/>
        <v/>
      </c>
      <c r="W222" s="520" t="str">
        <f>IF(S222="","",VLOOKUP(S222,'G-1 All Habitats'!$B$2:$M$129,10,FALSE))</f>
        <v/>
      </c>
      <c r="X222" s="520" t="str">
        <f>IFERROR(VLOOKUP(W222,'G-1 All Habitats'!$V$3:$W$7,2,FALSE),"")</f>
        <v/>
      </c>
      <c r="Y222" s="79"/>
      <c r="Z222" s="524" t="str">
        <f>IFERROR(INDEX('G-8 Condition Look up'!$A$3:$H$130,MATCH(S222,'G-8 Condition Look up'!$A$3:$A$130,0),MATCH(Y222,'G-8 Condition Look up'!$A$3:$H$3,0)),"")</f>
        <v/>
      </c>
      <c r="AA222" s="71"/>
      <c r="AB222" s="520" t="str">
        <f>IF(AA222="","",IF(VLOOKUP(AA222,'G-3 Multipliers'!$L$3:$N$6,2,FALSE)=0,"Spatial Data Missing ⚠",VLOOKUP(AA222,'G-3 Multipliers'!$L$3:$N$6,2,FALSE)))</f>
        <v/>
      </c>
      <c r="AC222" s="524" t="str">
        <f>IF(AA222="","",IF(VLOOKUP(AA222,'G-3 Multipliers'!$L$3:$N$6,3,FALSE)=0,"Spatial Data Missing ⚠",VLOOKUP(AA222,'G-3 Multipliers'!$L$3:$N$6,3,FALSE)))</f>
        <v/>
      </c>
      <c r="AD222" s="539" t="str">
        <f t="shared" si="35"/>
        <v/>
      </c>
      <c r="AE222" s="82"/>
      <c r="AF222" s="82"/>
      <c r="AG222" s="507" t="str">
        <f t="shared" si="41"/>
        <v/>
      </c>
      <c r="AH222" s="521" t="str">
        <f t="shared" si="42"/>
        <v/>
      </c>
      <c r="AI222" s="522" t="str">
        <f>IF(AH222="Check Data","Check Data",IFERROR(VLOOKUP(AH222,'G-4 Temporal multipliers'!$A$4:$C$36,3,FALSE),""))</f>
        <v/>
      </c>
      <c r="AJ222" s="498" t="str">
        <f>IF(S222="","",VLOOKUP(S222,'G-3 Multipliers'!$A$2:$E$129,4,FALSE))</f>
        <v/>
      </c>
      <c r="AK222" s="507" t="str">
        <f t="shared" si="43"/>
        <v/>
      </c>
      <c r="AL222" s="507" t="str">
        <f t="shared" si="44"/>
        <v/>
      </c>
      <c r="AM222" s="540" t="str">
        <f>IFERROR(IF(F222="","",IF(AH222="Check Data ⚠","Check Data ⚠",VLOOKUP(AL222, 'G-3 Multipliers'!$P$2:$Q$6,2,FALSE))),"")</f>
        <v/>
      </c>
      <c r="AN222" s="513" t="str">
        <f t="shared" si="36"/>
        <v/>
      </c>
      <c r="AO222" s="239"/>
      <c r="AP222" s="240"/>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1" t="str">
        <f>'A-1 Site Habitat Baseline'!AL222</f>
        <v/>
      </c>
      <c r="F223" s="520" t="str">
        <f>IF(E223="","",IF(ISNA(VLOOKUP($E223,'A-1 Site Habitat Baseline'!$D$1:$O$258,4,FALSE)),"",(VLOOKUP($E223,'A-1 Site Habitat Baseline'!$D$1:$O$258,4,FALSE))))</f>
        <v/>
      </c>
      <c r="G223" s="520" t="str">
        <f>IF(E223="","",IF(ISNA(VLOOKUP($E223,'A-1 Site Habitat Baseline'!$D$1:$O$258,5,FALSE)),"",(VLOOKUP($E223,'A-1 Site Habitat Baseline'!$D$1:$O$258,5,FALSE))))</f>
        <v/>
      </c>
      <c r="H223" s="520" t="str">
        <f>IF(E223="","",IF(ISNA(VLOOKUP($E223,'A-1 Site Habitat Baseline'!$D$1:$O$258,6,FALSE)),"",(VLOOKUP($E223,'A-1 Site Habitat Baseline'!$D$1:$O$258,6,FALSE))))</f>
        <v/>
      </c>
      <c r="I223" s="520" t="str">
        <f>IF(E223="","",IF(ISNA(VLOOKUP($E223,'A-1 Site Habitat Baseline'!$D$1:$O$258,7,FALSE)),"",(VLOOKUP($E223,'A-1 Site Habitat Baseline'!$D$1:$O$258,7,FALSE))))</f>
        <v/>
      </c>
      <c r="J223" s="520" t="str">
        <f>IF(E223="","",IF(ISNA(VLOOKUP($E223,'A-1 Site Habitat Baseline'!$D$1:$O$258,8,FALSE)),"",(VLOOKUP($E223,'A-1 Site Habitat Baseline'!$D$1:$O$258,8,FALSE))))</f>
        <v/>
      </c>
      <c r="K223" s="520" t="str">
        <f>IF(E223="","",IF(ISNA(VLOOKUP($E223,'A-1 Site Habitat Baseline'!$D$1:$O$258,9,FALSE)),"",(VLOOKUP($E223,'A-1 Site Habitat Baseline'!$D$1:$O$258,9,FALSE))))</f>
        <v/>
      </c>
      <c r="L223" s="520" t="str">
        <f>IF(E223="","",IF(ISNA(VLOOKUP($E223,'A-1 Site Habitat Baseline'!$D$1:$O$258,11,FALSE)),"",(VLOOKUP($E223,'A-1 Site Habitat Baseline'!$D$1:$O$258,11,FALSE))))</f>
        <v/>
      </c>
      <c r="M223" s="520" t="str">
        <f>IF(E223="","",IF(ISNA(VLOOKUP($E223,'A-1 Site Habitat Baseline'!$D$1:$O$258,12,FALSE)),"",(VLOOKUP($E223,'A-1 Site Habitat Baseline'!$D$1:$O$258,12,FALSE))))</f>
        <v/>
      </c>
      <c r="N223" s="532" t="str">
        <f>IF(E223="","",IF(ISNA(VLOOKUP($E223,'A-1 Site Habitat Baseline'!$D$1:$X$258,14,FALSE)),"",(VLOOKUP($E223,'A-1 Site Habitat Baseline'!$D$1:$X$258,14,FALSE))))</f>
        <v/>
      </c>
      <c r="O223" s="524" t="str">
        <f>IF(E223="","",IF(ISNA(VLOOKUP($E223,'A-1 Site Habitat Baseline'!$D$1:$X$258,16,FALSE)),"",(VLOOKUP($E223,'A-1 Site Habitat Baseline'!$D$1:$X$258,13,FALSE))))</f>
        <v/>
      </c>
      <c r="P223" s="237" t="str">
        <f>IFERROR(INDEX('G-1 All Habitats'!$AG$3:$AG$15,MATCH(Q223,'G-1 All Habitats'!$AF$3:$AF$15,0)),"")</f>
        <v/>
      </c>
      <c r="Q223" s="238" t="str">
        <f t="shared" si="37"/>
        <v/>
      </c>
      <c r="R223" s="238" t="str">
        <f t="shared" si="38"/>
        <v/>
      </c>
      <c r="S223" s="392" t="str">
        <f>IFERROR(INDEX('G-1 All Habitats'!$B$3:$B$129,MATCH(R223,'G-1 All Habitats'!$A$3:$A$129,0)),"")</f>
        <v/>
      </c>
      <c r="T223" s="498" t="str">
        <f t="shared" si="39"/>
        <v/>
      </c>
      <c r="U223" s="499" t="str">
        <f t="shared" si="40"/>
        <v/>
      </c>
      <c r="V223" s="537" t="str">
        <f t="shared" si="34"/>
        <v/>
      </c>
      <c r="W223" s="520" t="str">
        <f>IF(S223="","",VLOOKUP(S223,'G-1 All Habitats'!$B$2:$M$129,10,FALSE))</f>
        <v/>
      </c>
      <c r="X223" s="520" t="str">
        <f>IFERROR(VLOOKUP(W223,'G-1 All Habitats'!$V$3:$W$7,2,FALSE),"")</f>
        <v/>
      </c>
      <c r="Y223" s="79"/>
      <c r="Z223" s="524" t="str">
        <f>IFERROR(INDEX('G-8 Condition Look up'!$A$3:$H$130,MATCH(S223,'G-8 Condition Look up'!$A$3:$A$130,0),MATCH(Y223,'G-8 Condition Look up'!$A$3:$H$3,0)),"")</f>
        <v/>
      </c>
      <c r="AA223" s="71"/>
      <c r="AB223" s="520" t="str">
        <f>IF(AA223="","",IF(VLOOKUP(AA223,'G-3 Multipliers'!$L$3:$N$6,2,FALSE)=0,"Spatial Data Missing ⚠",VLOOKUP(AA223,'G-3 Multipliers'!$L$3:$N$6,2,FALSE)))</f>
        <v/>
      </c>
      <c r="AC223" s="524" t="str">
        <f>IF(AA223="","",IF(VLOOKUP(AA223,'G-3 Multipliers'!$L$3:$N$6,3,FALSE)=0,"Spatial Data Missing ⚠",VLOOKUP(AA223,'G-3 Multipliers'!$L$3:$N$6,3,FALSE)))</f>
        <v/>
      </c>
      <c r="AD223" s="539" t="str">
        <f t="shared" si="35"/>
        <v/>
      </c>
      <c r="AE223" s="82"/>
      <c r="AF223" s="82"/>
      <c r="AG223" s="507" t="str">
        <f t="shared" si="41"/>
        <v/>
      </c>
      <c r="AH223" s="521" t="str">
        <f t="shared" si="42"/>
        <v/>
      </c>
      <c r="AI223" s="522" t="str">
        <f>IF(AH223="Check Data","Check Data",IFERROR(VLOOKUP(AH223,'G-4 Temporal multipliers'!$A$4:$C$36,3,FALSE),""))</f>
        <v/>
      </c>
      <c r="AJ223" s="498" t="str">
        <f>IF(S223="","",VLOOKUP(S223,'G-3 Multipliers'!$A$2:$E$129,4,FALSE))</f>
        <v/>
      </c>
      <c r="AK223" s="507" t="str">
        <f t="shared" si="43"/>
        <v/>
      </c>
      <c r="AL223" s="507" t="str">
        <f t="shared" si="44"/>
        <v/>
      </c>
      <c r="AM223" s="540" t="str">
        <f>IFERROR(IF(F223="","",IF(AH223="Check Data ⚠","Check Data ⚠",VLOOKUP(AL223, 'G-3 Multipliers'!$P$2:$Q$6,2,FALSE))),"")</f>
        <v/>
      </c>
      <c r="AN223" s="513" t="str">
        <f t="shared" si="36"/>
        <v/>
      </c>
      <c r="AO223" s="239"/>
      <c r="AP223" s="240"/>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1" t="str">
        <f>'A-1 Site Habitat Baseline'!AL223</f>
        <v/>
      </c>
      <c r="F224" s="520" t="str">
        <f>IF(E224="","",IF(ISNA(VLOOKUP($E224,'A-1 Site Habitat Baseline'!$D$1:$O$258,4,FALSE)),"",(VLOOKUP($E224,'A-1 Site Habitat Baseline'!$D$1:$O$258,4,FALSE))))</f>
        <v/>
      </c>
      <c r="G224" s="520" t="str">
        <f>IF(E224="","",IF(ISNA(VLOOKUP($E224,'A-1 Site Habitat Baseline'!$D$1:$O$258,5,FALSE)),"",(VLOOKUP($E224,'A-1 Site Habitat Baseline'!$D$1:$O$258,5,FALSE))))</f>
        <v/>
      </c>
      <c r="H224" s="520" t="str">
        <f>IF(E224="","",IF(ISNA(VLOOKUP($E224,'A-1 Site Habitat Baseline'!$D$1:$O$258,6,FALSE)),"",(VLOOKUP($E224,'A-1 Site Habitat Baseline'!$D$1:$O$258,6,FALSE))))</f>
        <v/>
      </c>
      <c r="I224" s="520" t="str">
        <f>IF(E224="","",IF(ISNA(VLOOKUP($E224,'A-1 Site Habitat Baseline'!$D$1:$O$258,7,FALSE)),"",(VLOOKUP($E224,'A-1 Site Habitat Baseline'!$D$1:$O$258,7,FALSE))))</f>
        <v/>
      </c>
      <c r="J224" s="520" t="str">
        <f>IF(E224="","",IF(ISNA(VLOOKUP($E224,'A-1 Site Habitat Baseline'!$D$1:$O$258,8,FALSE)),"",(VLOOKUP($E224,'A-1 Site Habitat Baseline'!$D$1:$O$258,8,FALSE))))</f>
        <v/>
      </c>
      <c r="K224" s="520" t="str">
        <f>IF(E224="","",IF(ISNA(VLOOKUP($E224,'A-1 Site Habitat Baseline'!$D$1:$O$258,9,FALSE)),"",(VLOOKUP($E224,'A-1 Site Habitat Baseline'!$D$1:$O$258,9,FALSE))))</f>
        <v/>
      </c>
      <c r="L224" s="520" t="str">
        <f>IF(E224="","",IF(ISNA(VLOOKUP($E224,'A-1 Site Habitat Baseline'!$D$1:$O$258,11,FALSE)),"",(VLOOKUP($E224,'A-1 Site Habitat Baseline'!$D$1:$O$258,11,FALSE))))</f>
        <v/>
      </c>
      <c r="M224" s="520" t="str">
        <f>IF(E224="","",IF(ISNA(VLOOKUP($E224,'A-1 Site Habitat Baseline'!$D$1:$O$258,12,FALSE)),"",(VLOOKUP($E224,'A-1 Site Habitat Baseline'!$D$1:$O$258,12,FALSE))))</f>
        <v/>
      </c>
      <c r="N224" s="532" t="str">
        <f>IF(E224="","",IF(ISNA(VLOOKUP($E224,'A-1 Site Habitat Baseline'!$D$1:$X$258,14,FALSE)),"",(VLOOKUP($E224,'A-1 Site Habitat Baseline'!$D$1:$X$258,14,FALSE))))</f>
        <v/>
      </c>
      <c r="O224" s="524" t="str">
        <f>IF(E224="","",IF(ISNA(VLOOKUP($E224,'A-1 Site Habitat Baseline'!$D$1:$X$258,16,FALSE)),"",(VLOOKUP($E224,'A-1 Site Habitat Baseline'!$D$1:$X$258,13,FALSE))))</f>
        <v/>
      </c>
      <c r="P224" s="237" t="str">
        <f>IFERROR(INDEX('G-1 All Habitats'!$AG$3:$AG$15,MATCH(Q224,'G-1 All Habitats'!$AF$3:$AF$15,0)),"")</f>
        <v/>
      </c>
      <c r="Q224" s="238" t="str">
        <f t="shared" si="37"/>
        <v/>
      </c>
      <c r="R224" s="238" t="str">
        <f t="shared" si="38"/>
        <v/>
      </c>
      <c r="S224" s="392" t="str">
        <f>IFERROR(INDEX('G-1 All Habitats'!$B$3:$B$129,MATCH(R224,'G-1 All Habitats'!$A$3:$A$129,0)),"")</f>
        <v/>
      </c>
      <c r="T224" s="498" t="str">
        <f t="shared" si="39"/>
        <v/>
      </c>
      <c r="U224" s="499" t="str">
        <f t="shared" si="40"/>
        <v/>
      </c>
      <c r="V224" s="537" t="str">
        <f t="shared" si="34"/>
        <v/>
      </c>
      <c r="W224" s="520" t="str">
        <f>IF(S224="","",VLOOKUP(S224,'G-1 All Habitats'!$B$2:$M$129,10,FALSE))</f>
        <v/>
      </c>
      <c r="X224" s="520" t="str">
        <f>IFERROR(VLOOKUP(W224,'G-1 All Habitats'!$V$3:$W$7,2,FALSE),"")</f>
        <v/>
      </c>
      <c r="Y224" s="79"/>
      <c r="Z224" s="524" t="str">
        <f>IFERROR(INDEX('G-8 Condition Look up'!$A$3:$H$130,MATCH(S224,'G-8 Condition Look up'!$A$3:$A$130,0),MATCH(Y224,'G-8 Condition Look up'!$A$3:$H$3,0)),"")</f>
        <v/>
      </c>
      <c r="AA224" s="71"/>
      <c r="AB224" s="520" t="str">
        <f>IF(AA224="","",IF(VLOOKUP(AA224,'G-3 Multipliers'!$L$3:$N$6,2,FALSE)=0,"Spatial Data Missing ⚠",VLOOKUP(AA224,'G-3 Multipliers'!$L$3:$N$6,2,FALSE)))</f>
        <v/>
      </c>
      <c r="AC224" s="524" t="str">
        <f>IF(AA224="","",IF(VLOOKUP(AA224,'G-3 Multipliers'!$L$3:$N$6,3,FALSE)=0,"Spatial Data Missing ⚠",VLOOKUP(AA224,'G-3 Multipliers'!$L$3:$N$6,3,FALSE)))</f>
        <v/>
      </c>
      <c r="AD224" s="539" t="str">
        <f t="shared" si="35"/>
        <v/>
      </c>
      <c r="AE224" s="82"/>
      <c r="AF224" s="82"/>
      <c r="AG224" s="507" t="str">
        <f t="shared" si="41"/>
        <v/>
      </c>
      <c r="AH224" s="521" t="str">
        <f t="shared" si="42"/>
        <v/>
      </c>
      <c r="AI224" s="522" t="str">
        <f>IF(AH224="Check Data","Check Data",IFERROR(VLOOKUP(AH224,'G-4 Temporal multipliers'!$A$4:$C$36,3,FALSE),""))</f>
        <v/>
      </c>
      <c r="AJ224" s="498" t="str">
        <f>IF(S224="","",VLOOKUP(S224,'G-3 Multipliers'!$A$2:$E$129,4,FALSE))</f>
        <v/>
      </c>
      <c r="AK224" s="507" t="str">
        <f t="shared" si="43"/>
        <v/>
      </c>
      <c r="AL224" s="507" t="str">
        <f t="shared" si="44"/>
        <v/>
      </c>
      <c r="AM224" s="540" t="str">
        <f>IFERROR(IF(F224="","",IF(AH224="Check Data ⚠","Check Data ⚠",VLOOKUP(AL224, 'G-3 Multipliers'!$P$2:$Q$6,2,FALSE))),"")</f>
        <v/>
      </c>
      <c r="AN224" s="513" t="str">
        <f t="shared" si="36"/>
        <v/>
      </c>
      <c r="AO224" s="239"/>
      <c r="AP224" s="240"/>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1" t="str">
        <f>'A-1 Site Habitat Baseline'!AL224</f>
        <v/>
      </c>
      <c r="F225" s="520" t="str">
        <f>IF(E225="","",IF(ISNA(VLOOKUP($E225,'A-1 Site Habitat Baseline'!$D$1:$O$258,4,FALSE)),"",(VLOOKUP($E225,'A-1 Site Habitat Baseline'!$D$1:$O$258,4,FALSE))))</f>
        <v/>
      </c>
      <c r="G225" s="520" t="str">
        <f>IF(E225="","",IF(ISNA(VLOOKUP($E225,'A-1 Site Habitat Baseline'!$D$1:$O$258,5,FALSE)),"",(VLOOKUP($E225,'A-1 Site Habitat Baseline'!$D$1:$O$258,5,FALSE))))</f>
        <v/>
      </c>
      <c r="H225" s="520" t="str">
        <f>IF(E225="","",IF(ISNA(VLOOKUP($E225,'A-1 Site Habitat Baseline'!$D$1:$O$258,6,FALSE)),"",(VLOOKUP($E225,'A-1 Site Habitat Baseline'!$D$1:$O$258,6,FALSE))))</f>
        <v/>
      </c>
      <c r="I225" s="520" t="str">
        <f>IF(E225="","",IF(ISNA(VLOOKUP($E225,'A-1 Site Habitat Baseline'!$D$1:$O$258,7,FALSE)),"",(VLOOKUP($E225,'A-1 Site Habitat Baseline'!$D$1:$O$258,7,FALSE))))</f>
        <v/>
      </c>
      <c r="J225" s="520" t="str">
        <f>IF(E225="","",IF(ISNA(VLOOKUP($E225,'A-1 Site Habitat Baseline'!$D$1:$O$258,8,FALSE)),"",(VLOOKUP($E225,'A-1 Site Habitat Baseline'!$D$1:$O$258,8,FALSE))))</f>
        <v/>
      </c>
      <c r="K225" s="520" t="str">
        <f>IF(E225="","",IF(ISNA(VLOOKUP($E225,'A-1 Site Habitat Baseline'!$D$1:$O$258,9,FALSE)),"",(VLOOKUP($E225,'A-1 Site Habitat Baseline'!$D$1:$O$258,9,FALSE))))</f>
        <v/>
      </c>
      <c r="L225" s="520" t="str">
        <f>IF(E225="","",IF(ISNA(VLOOKUP($E225,'A-1 Site Habitat Baseline'!$D$1:$O$258,11,FALSE)),"",(VLOOKUP($E225,'A-1 Site Habitat Baseline'!$D$1:$O$258,11,FALSE))))</f>
        <v/>
      </c>
      <c r="M225" s="520" t="str">
        <f>IF(E225="","",IF(ISNA(VLOOKUP($E225,'A-1 Site Habitat Baseline'!$D$1:$O$258,12,FALSE)),"",(VLOOKUP($E225,'A-1 Site Habitat Baseline'!$D$1:$O$258,12,FALSE))))</f>
        <v/>
      </c>
      <c r="N225" s="532" t="str">
        <f>IF(E225="","",IF(ISNA(VLOOKUP($E225,'A-1 Site Habitat Baseline'!$D$1:$X$258,14,FALSE)),"",(VLOOKUP($E225,'A-1 Site Habitat Baseline'!$D$1:$X$258,14,FALSE))))</f>
        <v/>
      </c>
      <c r="O225" s="524" t="str">
        <f>IF(E225="","",IF(ISNA(VLOOKUP($E225,'A-1 Site Habitat Baseline'!$D$1:$X$258,16,FALSE)),"",(VLOOKUP($E225,'A-1 Site Habitat Baseline'!$D$1:$X$258,13,FALSE))))</f>
        <v/>
      </c>
      <c r="P225" s="237" t="str">
        <f>IFERROR(INDEX('G-1 All Habitats'!$AG$3:$AG$15,MATCH(Q225,'G-1 All Habitats'!$AF$3:$AF$15,0)),"")</f>
        <v/>
      </c>
      <c r="Q225" s="238" t="str">
        <f t="shared" si="37"/>
        <v/>
      </c>
      <c r="R225" s="238" t="str">
        <f t="shared" si="38"/>
        <v/>
      </c>
      <c r="S225" s="392" t="str">
        <f>IFERROR(INDEX('G-1 All Habitats'!$B$3:$B$129,MATCH(R225,'G-1 All Habitats'!$A$3:$A$129,0)),"")</f>
        <v/>
      </c>
      <c r="T225" s="498" t="str">
        <f t="shared" si="39"/>
        <v/>
      </c>
      <c r="U225" s="499" t="str">
        <f t="shared" si="40"/>
        <v/>
      </c>
      <c r="V225" s="537" t="str">
        <f t="shared" si="34"/>
        <v/>
      </c>
      <c r="W225" s="520" t="str">
        <f>IF(S225="","",VLOOKUP(S225,'G-1 All Habitats'!$B$2:$M$129,10,FALSE))</f>
        <v/>
      </c>
      <c r="X225" s="520" t="str">
        <f>IFERROR(VLOOKUP(W225,'G-1 All Habitats'!$V$3:$W$7,2,FALSE),"")</f>
        <v/>
      </c>
      <c r="Y225" s="79"/>
      <c r="Z225" s="524" t="str">
        <f>IFERROR(INDEX('G-8 Condition Look up'!$A$3:$H$130,MATCH(S225,'G-8 Condition Look up'!$A$3:$A$130,0),MATCH(Y225,'G-8 Condition Look up'!$A$3:$H$3,0)),"")</f>
        <v/>
      </c>
      <c r="AA225" s="71"/>
      <c r="AB225" s="520" t="str">
        <f>IF(AA225="","",IF(VLOOKUP(AA225,'G-3 Multipliers'!$L$3:$N$6,2,FALSE)=0,"Spatial Data Missing ⚠",VLOOKUP(AA225,'G-3 Multipliers'!$L$3:$N$6,2,FALSE)))</f>
        <v/>
      </c>
      <c r="AC225" s="524" t="str">
        <f>IF(AA225="","",IF(VLOOKUP(AA225,'G-3 Multipliers'!$L$3:$N$6,3,FALSE)=0,"Spatial Data Missing ⚠",VLOOKUP(AA225,'G-3 Multipliers'!$L$3:$N$6,3,FALSE)))</f>
        <v/>
      </c>
      <c r="AD225" s="539" t="str">
        <f t="shared" si="35"/>
        <v/>
      </c>
      <c r="AE225" s="82"/>
      <c r="AF225" s="82"/>
      <c r="AG225" s="507" t="str">
        <f t="shared" si="41"/>
        <v/>
      </c>
      <c r="AH225" s="521" t="str">
        <f t="shared" si="42"/>
        <v/>
      </c>
      <c r="AI225" s="522" t="str">
        <f>IF(AH225="Check Data","Check Data",IFERROR(VLOOKUP(AH225,'G-4 Temporal multipliers'!$A$4:$C$36,3,FALSE),""))</f>
        <v/>
      </c>
      <c r="AJ225" s="498" t="str">
        <f>IF(S225="","",VLOOKUP(S225,'G-3 Multipliers'!$A$2:$E$129,4,FALSE))</f>
        <v/>
      </c>
      <c r="AK225" s="507" t="str">
        <f t="shared" si="43"/>
        <v/>
      </c>
      <c r="AL225" s="507" t="str">
        <f t="shared" si="44"/>
        <v/>
      </c>
      <c r="AM225" s="540" t="str">
        <f>IFERROR(IF(F225="","",IF(AH225="Check Data ⚠","Check Data ⚠",VLOOKUP(AL225, 'G-3 Multipliers'!$P$2:$Q$6,2,FALSE))),"")</f>
        <v/>
      </c>
      <c r="AN225" s="513" t="str">
        <f t="shared" si="36"/>
        <v/>
      </c>
      <c r="AO225" s="239"/>
      <c r="AP225" s="240"/>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1" t="str">
        <f>'A-1 Site Habitat Baseline'!AL225</f>
        <v/>
      </c>
      <c r="F226" s="520" t="str">
        <f>IF(E226="","",IF(ISNA(VLOOKUP($E226,'A-1 Site Habitat Baseline'!$D$1:$O$258,4,FALSE)),"",(VLOOKUP($E226,'A-1 Site Habitat Baseline'!$D$1:$O$258,4,FALSE))))</f>
        <v/>
      </c>
      <c r="G226" s="520" t="str">
        <f>IF(E226="","",IF(ISNA(VLOOKUP($E226,'A-1 Site Habitat Baseline'!$D$1:$O$258,5,FALSE)),"",(VLOOKUP($E226,'A-1 Site Habitat Baseline'!$D$1:$O$258,5,FALSE))))</f>
        <v/>
      </c>
      <c r="H226" s="520" t="str">
        <f>IF(E226="","",IF(ISNA(VLOOKUP($E226,'A-1 Site Habitat Baseline'!$D$1:$O$258,6,FALSE)),"",(VLOOKUP($E226,'A-1 Site Habitat Baseline'!$D$1:$O$258,6,FALSE))))</f>
        <v/>
      </c>
      <c r="I226" s="520" t="str">
        <f>IF(E226="","",IF(ISNA(VLOOKUP($E226,'A-1 Site Habitat Baseline'!$D$1:$O$258,7,FALSE)),"",(VLOOKUP($E226,'A-1 Site Habitat Baseline'!$D$1:$O$258,7,FALSE))))</f>
        <v/>
      </c>
      <c r="J226" s="520" t="str">
        <f>IF(E226="","",IF(ISNA(VLOOKUP($E226,'A-1 Site Habitat Baseline'!$D$1:$O$258,8,FALSE)),"",(VLOOKUP($E226,'A-1 Site Habitat Baseline'!$D$1:$O$258,8,FALSE))))</f>
        <v/>
      </c>
      <c r="K226" s="520" t="str">
        <f>IF(E226="","",IF(ISNA(VLOOKUP($E226,'A-1 Site Habitat Baseline'!$D$1:$O$258,9,FALSE)),"",(VLOOKUP($E226,'A-1 Site Habitat Baseline'!$D$1:$O$258,9,FALSE))))</f>
        <v/>
      </c>
      <c r="L226" s="520" t="str">
        <f>IF(E226="","",IF(ISNA(VLOOKUP($E226,'A-1 Site Habitat Baseline'!$D$1:$O$258,11,FALSE)),"",(VLOOKUP($E226,'A-1 Site Habitat Baseline'!$D$1:$O$258,11,FALSE))))</f>
        <v/>
      </c>
      <c r="M226" s="520" t="str">
        <f>IF(E226="","",IF(ISNA(VLOOKUP($E226,'A-1 Site Habitat Baseline'!$D$1:$O$258,12,FALSE)),"",(VLOOKUP($E226,'A-1 Site Habitat Baseline'!$D$1:$O$258,12,FALSE))))</f>
        <v/>
      </c>
      <c r="N226" s="532" t="str">
        <f>IF(E226="","",IF(ISNA(VLOOKUP($E226,'A-1 Site Habitat Baseline'!$D$1:$X$258,14,FALSE)),"",(VLOOKUP($E226,'A-1 Site Habitat Baseline'!$D$1:$X$258,14,FALSE))))</f>
        <v/>
      </c>
      <c r="O226" s="524" t="str">
        <f>IF(E226="","",IF(ISNA(VLOOKUP($E226,'A-1 Site Habitat Baseline'!$D$1:$X$258,16,FALSE)),"",(VLOOKUP($E226,'A-1 Site Habitat Baseline'!$D$1:$X$258,13,FALSE))))</f>
        <v/>
      </c>
      <c r="P226" s="237" t="str">
        <f>IFERROR(INDEX('G-1 All Habitats'!$AG$3:$AG$15,MATCH(Q226,'G-1 All Habitats'!$AF$3:$AF$15,0)),"")</f>
        <v/>
      </c>
      <c r="Q226" s="238" t="str">
        <f t="shared" si="37"/>
        <v/>
      </c>
      <c r="R226" s="238" t="str">
        <f t="shared" si="38"/>
        <v/>
      </c>
      <c r="S226" s="392" t="str">
        <f>IFERROR(INDEX('G-1 All Habitats'!$B$3:$B$129,MATCH(R226,'G-1 All Habitats'!$A$3:$A$129,0)),"")</f>
        <v/>
      </c>
      <c r="T226" s="498" t="str">
        <f t="shared" si="39"/>
        <v/>
      </c>
      <c r="U226" s="499" t="str">
        <f t="shared" si="40"/>
        <v/>
      </c>
      <c r="V226" s="537" t="str">
        <f t="shared" si="34"/>
        <v/>
      </c>
      <c r="W226" s="520" t="str">
        <f>IF(S226="","",VLOOKUP(S226,'G-1 All Habitats'!$B$2:$M$129,10,FALSE))</f>
        <v/>
      </c>
      <c r="X226" s="520" t="str">
        <f>IFERROR(VLOOKUP(W226,'G-1 All Habitats'!$V$3:$W$7,2,FALSE),"")</f>
        <v/>
      </c>
      <c r="Y226" s="79"/>
      <c r="Z226" s="524" t="str">
        <f>IFERROR(INDEX('G-8 Condition Look up'!$A$3:$H$130,MATCH(S226,'G-8 Condition Look up'!$A$3:$A$130,0),MATCH(Y226,'G-8 Condition Look up'!$A$3:$H$3,0)),"")</f>
        <v/>
      </c>
      <c r="AA226" s="71"/>
      <c r="AB226" s="520" t="str">
        <f>IF(AA226="","",IF(VLOOKUP(AA226,'G-3 Multipliers'!$L$3:$N$6,2,FALSE)=0,"Spatial Data Missing ⚠",VLOOKUP(AA226,'G-3 Multipliers'!$L$3:$N$6,2,FALSE)))</f>
        <v/>
      </c>
      <c r="AC226" s="524" t="str">
        <f>IF(AA226="","",IF(VLOOKUP(AA226,'G-3 Multipliers'!$L$3:$N$6,3,FALSE)=0,"Spatial Data Missing ⚠",VLOOKUP(AA226,'G-3 Multipliers'!$L$3:$N$6,3,FALSE)))</f>
        <v/>
      </c>
      <c r="AD226" s="539" t="str">
        <f t="shared" si="35"/>
        <v/>
      </c>
      <c r="AE226" s="82"/>
      <c r="AF226" s="82"/>
      <c r="AG226" s="507" t="str">
        <f t="shared" si="41"/>
        <v/>
      </c>
      <c r="AH226" s="521" t="str">
        <f t="shared" si="42"/>
        <v/>
      </c>
      <c r="AI226" s="522" t="str">
        <f>IF(AH226="Check Data","Check Data",IFERROR(VLOOKUP(AH226,'G-4 Temporal multipliers'!$A$4:$C$36,3,FALSE),""))</f>
        <v/>
      </c>
      <c r="AJ226" s="498" t="str">
        <f>IF(S226="","",VLOOKUP(S226,'G-3 Multipliers'!$A$2:$E$129,4,FALSE))</f>
        <v/>
      </c>
      <c r="AK226" s="507" t="str">
        <f t="shared" si="43"/>
        <v/>
      </c>
      <c r="AL226" s="507" t="str">
        <f t="shared" si="44"/>
        <v/>
      </c>
      <c r="AM226" s="540" t="str">
        <f>IFERROR(IF(F226="","",IF(AH226="Check Data ⚠","Check Data ⚠",VLOOKUP(AL226, 'G-3 Multipliers'!$P$2:$Q$6,2,FALSE))),"")</f>
        <v/>
      </c>
      <c r="AN226" s="513" t="str">
        <f t="shared" si="36"/>
        <v/>
      </c>
      <c r="AO226" s="239"/>
      <c r="AP226" s="240"/>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1" t="str">
        <f>'A-1 Site Habitat Baseline'!AL226</f>
        <v/>
      </c>
      <c r="F227" s="520" t="str">
        <f>IF(E227="","",IF(ISNA(VLOOKUP($E227,'A-1 Site Habitat Baseline'!$D$1:$O$258,4,FALSE)),"",(VLOOKUP($E227,'A-1 Site Habitat Baseline'!$D$1:$O$258,4,FALSE))))</f>
        <v/>
      </c>
      <c r="G227" s="520" t="str">
        <f>IF(E227="","",IF(ISNA(VLOOKUP($E227,'A-1 Site Habitat Baseline'!$D$1:$O$258,5,FALSE)),"",(VLOOKUP($E227,'A-1 Site Habitat Baseline'!$D$1:$O$258,5,FALSE))))</f>
        <v/>
      </c>
      <c r="H227" s="520" t="str">
        <f>IF(E227="","",IF(ISNA(VLOOKUP($E227,'A-1 Site Habitat Baseline'!$D$1:$O$258,6,FALSE)),"",(VLOOKUP($E227,'A-1 Site Habitat Baseline'!$D$1:$O$258,6,FALSE))))</f>
        <v/>
      </c>
      <c r="I227" s="520" t="str">
        <f>IF(E227="","",IF(ISNA(VLOOKUP($E227,'A-1 Site Habitat Baseline'!$D$1:$O$258,7,FALSE)),"",(VLOOKUP($E227,'A-1 Site Habitat Baseline'!$D$1:$O$258,7,FALSE))))</f>
        <v/>
      </c>
      <c r="J227" s="520" t="str">
        <f>IF(E227="","",IF(ISNA(VLOOKUP($E227,'A-1 Site Habitat Baseline'!$D$1:$O$258,8,FALSE)),"",(VLOOKUP($E227,'A-1 Site Habitat Baseline'!$D$1:$O$258,8,FALSE))))</f>
        <v/>
      </c>
      <c r="K227" s="520" t="str">
        <f>IF(E227="","",IF(ISNA(VLOOKUP($E227,'A-1 Site Habitat Baseline'!$D$1:$O$258,9,FALSE)),"",(VLOOKUP($E227,'A-1 Site Habitat Baseline'!$D$1:$O$258,9,FALSE))))</f>
        <v/>
      </c>
      <c r="L227" s="520" t="str">
        <f>IF(E227="","",IF(ISNA(VLOOKUP($E227,'A-1 Site Habitat Baseline'!$D$1:$O$258,11,FALSE)),"",(VLOOKUP($E227,'A-1 Site Habitat Baseline'!$D$1:$O$258,11,FALSE))))</f>
        <v/>
      </c>
      <c r="M227" s="520" t="str">
        <f>IF(E227="","",IF(ISNA(VLOOKUP($E227,'A-1 Site Habitat Baseline'!$D$1:$O$258,12,FALSE)),"",(VLOOKUP($E227,'A-1 Site Habitat Baseline'!$D$1:$O$258,12,FALSE))))</f>
        <v/>
      </c>
      <c r="N227" s="532" t="str">
        <f>IF(E227="","",IF(ISNA(VLOOKUP($E227,'A-1 Site Habitat Baseline'!$D$1:$X$258,14,FALSE)),"",(VLOOKUP($E227,'A-1 Site Habitat Baseline'!$D$1:$X$258,14,FALSE))))</f>
        <v/>
      </c>
      <c r="O227" s="524" t="str">
        <f>IF(E227="","",IF(ISNA(VLOOKUP($E227,'A-1 Site Habitat Baseline'!$D$1:$X$258,16,FALSE)),"",(VLOOKUP($E227,'A-1 Site Habitat Baseline'!$D$1:$X$258,13,FALSE))))</f>
        <v/>
      </c>
      <c r="P227" s="237" t="str">
        <f>IFERROR(INDEX('G-1 All Habitats'!$AG$3:$AG$15,MATCH(Q227,'G-1 All Habitats'!$AF$3:$AF$15,0)),"")</f>
        <v/>
      </c>
      <c r="Q227" s="238" t="str">
        <f t="shared" si="37"/>
        <v/>
      </c>
      <c r="R227" s="238" t="str">
        <f t="shared" si="38"/>
        <v/>
      </c>
      <c r="S227" s="392" t="str">
        <f>IFERROR(INDEX('G-1 All Habitats'!$B$3:$B$129,MATCH(R227,'G-1 All Habitats'!$A$3:$A$129,0)),"")</f>
        <v/>
      </c>
      <c r="T227" s="498" t="str">
        <f t="shared" si="39"/>
        <v/>
      </c>
      <c r="U227" s="499" t="str">
        <f t="shared" si="40"/>
        <v/>
      </c>
      <c r="V227" s="537" t="str">
        <f t="shared" si="34"/>
        <v/>
      </c>
      <c r="W227" s="520" t="str">
        <f>IF(S227="","",VLOOKUP(S227,'G-1 All Habitats'!$B$2:$M$129,10,FALSE))</f>
        <v/>
      </c>
      <c r="X227" s="520" t="str">
        <f>IFERROR(VLOOKUP(W227,'G-1 All Habitats'!$V$3:$W$7,2,FALSE),"")</f>
        <v/>
      </c>
      <c r="Y227" s="79"/>
      <c r="Z227" s="524" t="str">
        <f>IFERROR(INDEX('G-8 Condition Look up'!$A$3:$H$130,MATCH(S227,'G-8 Condition Look up'!$A$3:$A$130,0),MATCH(Y227,'G-8 Condition Look up'!$A$3:$H$3,0)),"")</f>
        <v/>
      </c>
      <c r="AA227" s="71"/>
      <c r="AB227" s="520" t="str">
        <f>IF(AA227="","",IF(VLOOKUP(AA227,'G-3 Multipliers'!$L$3:$N$6,2,FALSE)=0,"Spatial Data Missing ⚠",VLOOKUP(AA227,'G-3 Multipliers'!$L$3:$N$6,2,FALSE)))</f>
        <v/>
      </c>
      <c r="AC227" s="524" t="str">
        <f>IF(AA227="","",IF(VLOOKUP(AA227,'G-3 Multipliers'!$L$3:$N$6,3,FALSE)=0,"Spatial Data Missing ⚠",VLOOKUP(AA227,'G-3 Multipliers'!$L$3:$N$6,3,FALSE)))</f>
        <v/>
      </c>
      <c r="AD227" s="539" t="str">
        <f t="shared" si="35"/>
        <v/>
      </c>
      <c r="AE227" s="82"/>
      <c r="AF227" s="82"/>
      <c r="AG227" s="507"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1"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2" t="str">
        <f>IF(AH227="Check Data","Check Data",IFERROR(VLOOKUP(AH227,'G-4 Temporal multipliers'!$A$4:$C$36,3,FALSE),""))</f>
        <v/>
      </c>
      <c r="AJ227" s="498" t="str">
        <f>IF(S227="","",VLOOKUP(S227,'G-3 Multipliers'!$A$2:$E$129,4,FALSE))</f>
        <v/>
      </c>
      <c r="AK227" s="507" t="str">
        <f t="shared" si="43"/>
        <v/>
      </c>
      <c r="AL227" s="507" t="str">
        <f>(IF(AND(AK227="Standard difficulty applied",AD227&gt;AE227),AJ227,IF(AND(AK227="Low Difficulty - only applicable if all habitat created before losses ⚠",AE227&gt;=AD227),"Low", AJ227)))</f>
        <v/>
      </c>
      <c r="AM227" s="540" t="str">
        <f>IFERROR(IF(F227="","",IF(AH227="Check Data ⚠","Check Data ⚠",VLOOKUP(AL227, 'G-3 Multipliers'!$P$2:$Q$6,2,FALSE))),"")</f>
        <v/>
      </c>
      <c r="AN227" s="513" t="str">
        <f t="shared" si="36"/>
        <v/>
      </c>
      <c r="AO227" s="239"/>
      <c r="AP227" s="240"/>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1" t="str">
        <f>'A-1 Site Habitat Baseline'!AL227</f>
        <v/>
      </c>
      <c r="F228" s="520" t="str">
        <f>IF(E228="","",IF(ISNA(VLOOKUP($E228,'A-1 Site Habitat Baseline'!$D$1:$O$258,4,FALSE)),"",(VLOOKUP($E228,'A-1 Site Habitat Baseline'!$D$1:$O$258,4,FALSE))))</f>
        <v/>
      </c>
      <c r="G228" s="520" t="str">
        <f>IF(E228="","",IF(ISNA(VLOOKUP($E228,'A-1 Site Habitat Baseline'!$D$1:$O$258,5,FALSE)),"",(VLOOKUP($E228,'A-1 Site Habitat Baseline'!$D$1:$O$258,5,FALSE))))</f>
        <v/>
      </c>
      <c r="H228" s="520" t="str">
        <f>IF(E228="","",IF(ISNA(VLOOKUP($E228,'A-1 Site Habitat Baseline'!$D$1:$O$258,6,FALSE)),"",(VLOOKUP($E228,'A-1 Site Habitat Baseline'!$D$1:$O$258,6,FALSE))))</f>
        <v/>
      </c>
      <c r="I228" s="520" t="str">
        <f>IF(E228="","",IF(ISNA(VLOOKUP($E228,'A-1 Site Habitat Baseline'!$D$1:$O$258,7,FALSE)),"",(VLOOKUP($E228,'A-1 Site Habitat Baseline'!$D$1:$O$258,7,FALSE))))</f>
        <v/>
      </c>
      <c r="J228" s="520" t="str">
        <f>IF(E228="","",IF(ISNA(VLOOKUP($E228,'A-1 Site Habitat Baseline'!$D$1:$O$258,8,FALSE)),"",(VLOOKUP($E228,'A-1 Site Habitat Baseline'!$D$1:$O$258,8,FALSE))))</f>
        <v/>
      </c>
      <c r="K228" s="520" t="str">
        <f>IF(E228="","",IF(ISNA(VLOOKUP($E228,'A-1 Site Habitat Baseline'!$D$1:$O$258,9,FALSE)),"",(VLOOKUP($E228,'A-1 Site Habitat Baseline'!$D$1:$O$258,9,FALSE))))</f>
        <v/>
      </c>
      <c r="L228" s="520" t="str">
        <f>IF(E228="","",IF(ISNA(VLOOKUP($E228,'A-1 Site Habitat Baseline'!$D$1:$O$258,11,FALSE)),"",(VLOOKUP($E228,'A-1 Site Habitat Baseline'!$D$1:$O$258,11,FALSE))))</f>
        <v/>
      </c>
      <c r="M228" s="520" t="str">
        <f>IF(E228="","",IF(ISNA(VLOOKUP($E228,'A-1 Site Habitat Baseline'!$D$1:$O$258,12,FALSE)),"",(VLOOKUP($E228,'A-1 Site Habitat Baseline'!$D$1:$O$258,12,FALSE))))</f>
        <v/>
      </c>
      <c r="N228" s="532" t="str">
        <f>IF(E228="","",IF(ISNA(VLOOKUP($E228,'A-1 Site Habitat Baseline'!$D$1:$X$258,14,FALSE)),"",(VLOOKUP($E228,'A-1 Site Habitat Baseline'!$D$1:$X$258,14,FALSE))))</f>
        <v/>
      </c>
      <c r="O228" s="524" t="str">
        <f>IF(E228="","",IF(ISNA(VLOOKUP($E228,'A-1 Site Habitat Baseline'!$D$1:$X$258,16,FALSE)),"",(VLOOKUP($E228,'A-1 Site Habitat Baseline'!$D$1:$X$258,13,FALSE))))</f>
        <v/>
      </c>
      <c r="P228" s="237" t="str">
        <f>IFERROR(INDEX('G-1 All Habitats'!$AG$3:$AG$15,MATCH(Q228,'G-1 All Habitats'!$AF$3:$AF$15,0)),"")</f>
        <v/>
      </c>
      <c r="Q228" s="238" t="str">
        <f t="shared" si="37"/>
        <v/>
      </c>
      <c r="R228" s="238" t="str">
        <f t="shared" si="38"/>
        <v/>
      </c>
      <c r="S228" s="392" t="str">
        <f>IFERROR(INDEX('G-1 All Habitats'!$B$3:$B$129,MATCH(R228,'G-1 All Habitats'!$A$3:$A$129,0)),"")</f>
        <v/>
      </c>
      <c r="T228" s="498" t="str">
        <f t="shared" si="39"/>
        <v/>
      </c>
      <c r="U228" s="499" t="str">
        <f t="shared" si="40"/>
        <v/>
      </c>
      <c r="V228" s="537" t="str">
        <f t="shared" si="34"/>
        <v/>
      </c>
      <c r="W228" s="520" t="str">
        <f>IF(S228="","",VLOOKUP(S228,'G-1 All Habitats'!$B$2:$M$129,10,FALSE))</f>
        <v/>
      </c>
      <c r="X228" s="520" t="str">
        <f>IFERROR(VLOOKUP(W228,'G-1 All Habitats'!$V$3:$W$7,2,FALSE),"")</f>
        <v/>
      </c>
      <c r="Y228" s="79"/>
      <c r="Z228" s="524" t="str">
        <f>IFERROR(INDEX('G-8 Condition Look up'!$A$3:$H$130,MATCH(S228,'G-8 Condition Look up'!$A$3:$A$130,0),MATCH(Y228,'G-8 Condition Look up'!$A$3:$H$3,0)),"")</f>
        <v/>
      </c>
      <c r="AA228" s="71"/>
      <c r="AB228" s="520" t="str">
        <f>IF(AA228="","",IF(VLOOKUP(AA228,'G-3 Multipliers'!$L$3:$N$6,2,FALSE)=0,"Spatial Data Missing ⚠",VLOOKUP(AA228,'G-3 Multipliers'!$L$3:$N$6,2,FALSE)))</f>
        <v/>
      </c>
      <c r="AC228" s="524" t="str">
        <f>IF(AA228="","",IF(VLOOKUP(AA228,'G-3 Multipliers'!$L$3:$N$6,3,FALSE)=0,"Spatial Data Missing ⚠",VLOOKUP(AA228,'G-3 Multipliers'!$L$3:$N$6,3,FALSE)))</f>
        <v/>
      </c>
      <c r="AD228" s="539" t="str">
        <f t="shared" si="35"/>
        <v/>
      </c>
      <c r="AE228" s="82"/>
      <c r="AF228" s="82"/>
      <c r="AG228" s="507" t="str">
        <f t="shared" si="41"/>
        <v/>
      </c>
      <c r="AH228" s="521" t="str">
        <f t="shared" si="42"/>
        <v/>
      </c>
      <c r="AI228" s="522" t="str">
        <f>IF(AH228="Check Data","Check Data",IFERROR(VLOOKUP(AH228,'G-4 Temporal multipliers'!$A$4:$C$36,3,FALSE),""))</f>
        <v/>
      </c>
      <c r="AJ228" s="498" t="str">
        <f>IF(S228="","",VLOOKUP(S228,'G-3 Multipliers'!$A$2:$E$129,4,FALSE))</f>
        <v/>
      </c>
      <c r="AK228" s="507" t="str">
        <f t="shared" si="43"/>
        <v/>
      </c>
      <c r="AL228" s="507" t="str">
        <f t="shared" si="44"/>
        <v/>
      </c>
      <c r="AM228" s="540" t="str">
        <f>IFERROR(IF(F228="","",IF(AH228="Check Data ⚠","Check Data ⚠",VLOOKUP(AL228, 'G-3 Multipliers'!$P$2:$Q$6,2,FALSE))),"")</f>
        <v/>
      </c>
      <c r="AN228" s="513" t="str">
        <f t="shared" si="36"/>
        <v/>
      </c>
      <c r="AO228" s="239"/>
      <c r="AP228" s="240"/>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1" t="str">
        <f>'A-1 Site Habitat Baseline'!AL228</f>
        <v/>
      </c>
      <c r="F229" s="520" t="str">
        <f>IF(E229="","",IF(ISNA(VLOOKUP($E229,'A-1 Site Habitat Baseline'!$D$1:$O$258,4,FALSE)),"",(VLOOKUP($E229,'A-1 Site Habitat Baseline'!$D$1:$O$258,4,FALSE))))</f>
        <v/>
      </c>
      <c r="G229" s="520" t="str">
        <f>IF(E229="","",IF(ISNA(VLOOKUP($E229,'A-1 Site Habitat Baseline'!$D$1:$O$258,5,FALSE)),"",(VLOOKUP($E229,'A-1 Site Habitat Baseline'!$D$1:$O$258,5,FALSE))))</f>
        <v/>
      </c>
      <c r="H229" s="520" t="str">
        <f>IF(E229="","",IF(ISNA(VLOOKUP($E229,'A-1 Site Habitat Baseline'!$D$1:$O$258,6,FALSE)),"",(VLOOKUP($E229,'A-1 Site Habitat Baseline'!$D$1:$O$258,6,FALSE))))</f>
        <v/>
      </c>
      <c r="I229" s="520" t="str">
        <f>IF(E229="","",IF(ISNA(VLOOKUP($E229,'A-1 Site Habitat Baseline'!$D$1:$O$258,7,FALSE)),"",(VLOOKUP($E229,'A-1 Site Habitat Baseline'!$D$1:$O$258,7,FALSE))))</f>
        <v/>
      </c>
      <c r="J229" s="520" t="str">
        <f>IF(E229="","",IF(ISNA(VLOOKUP($E229,'A-1 Site Habitat Baseline'!$D$1:$O$258,8,FALSE)),"",(VLOOKUP($E229,'A-1 Site Habitat Baseline'!$D$1:$O$258,8,FALSE))))</f>
        <v/>
      </c>
      <c r="K229" s="520" t="str">
        <f>IF(E229="","",IF(ISNA(VLOOKUP($E229,'A-1 Site Habitat Baseline'!$D$1:$O$258,9,FALSE)),"",(VLOOKUP($E229,'A-1 Site Habitat Baseline'!$D$1:$O$258,9,FALSE))))</f>
        <v/>
      </c>
      <c r="L229" s="520" t="str">
        <f>IF(E229="","",IF(ISNA(VLOOKUP($E229,'A-1 Site Habitat Baseline'!$D$1:$O$258,11,FALSE)),"",(VLOOKUP($E229,'A-1 Site Habitat Baseline'!$D$1:$O$258,11,FALSE))))</f>
        <v/>
      </c>
      <c r="M229" s="520" t="str">
        <f>IF(E229="","",IF(ISNA(VLOOKUP($E229,'A-1 Site Habitat Baseline'!$D$1:$O$258,12,FALSE)),"",(VLOOKUP($E229,'A-1 Site Habitat Baseline'!$D$1:$O$258,12,FALSE))))</f>
        <v/>
      </c>
      <c r="N229" s="532" t="str">
        <f>IF(E229="","",IF(ISNA(VLOOKUP($E229,'A-1 Site Habitat Baseline'!$D$1:$X$258,14,FALSE)),"",(VLOOKUP($E229,'A-1 Site Habitat Baseline'!$D$1:$X$258,14,FALSE))))</f>
        <v/>
      </c>
      <c r="O229" s="524" t="str">
        <f>IF(E229="","",IF(ISNA(VLOOKUP($E229,'A-1 Site Habitat Baseline'!$D$1:$X$258,16,FALSE)),"",(VLOOKUP($E229,'A-1 Site Habitat Baseline'!$D$1:$X$258,13,FALSE))))</f>
        <v/>
      </c>
      <c r="P229" s="237" t="str">
        <f>IFERROR(INDEX('G-1 All Habitats'!$AG$3:$AG$15,MATCH(Q229,'G-1 All Habitats'!$AF$3:$AF$15,0)),"")</f>
        <v/>
      </c>
      <c r="Q229" s="238" t="str">
        <f t="shared" si="37"/>
        <v/>
      </c>
      <c r="R229" s="238" t="str">
        <f t="shared" si="38"/>
        <v/>
      </c>
      <c r="S229" s="392" t="str">
        <f>IFERROR(INDEX('G-1 All Habitats'!$B$3:$B$129,MATCH(R229,'G-1 All Habitats'!$A$3:$A$129,0)),"")</f>
        <v/>
      </c>
      <c r="T229" s="498" t="str">
        <f t="shared" si="39"/>
        <v/>
      </c>
      <c r="U229" s="499" t="str">
        <f t="shared" si="40"/>
        <v/>
      </c>
      <c r="V229" s="537" t="str">
        <f t="shared" si="34"/>
        <v/>
      </c>
      <c r="W229" s="520" t="str">
        <f>IF(S229="","",VLOOKUP(S229,'G-1 All Habitats'!$B$2:$M$129,10,FALSE))</f>
        <v/>
      </c>
      <c r="X229" s="520" t="str">
        <f>IFERROR(VLOOKUP(W229,'G-1 All Habitats'!$V$3:$W$7,2,FALSE),"")</f>
        <v/>
      </c>
      <c r="Y229" s="79"/>
      <c r="Z229" s="524" t="str">
        <f>IFERROR(INDEX('G-8 Condition Look up'!$A$3:$H$130,MATCH(S229,'G-8 Condition Look up'!$A$3:$A$130,0),MATCH(Y229,'G-8 Condition Look up'!$A$3:$H$3,0)),"")</f>
        <v/>
      </c>
      <c r="AA229" s="71"/>
      <c r="AB229" s="520" t="str">
        <f>IF(AA229="","",IF(VLOOKUP(AA229,'G-3 Multipliers'!$L$3:$N$6,2,FALSE)=0,"Spatial Data Missing ⚠",VLOOKUP(AA229,'G-3 Multipliers'!$L$3:$N$6,2,FALSE)))</f>
        <v/>
      </c>
      <c r="AC229" s="524" t="str">
        <f>IF(AA229="","",IF(VLOOKUP(AA229,'G-3 Multipliers'!$L$3:$N$6,3,FALSE)=0,"Spatial Data Missing ⚠",VLOOKUP(AA229,'G-3 Multipliers'!$L$3:$N$6,3,FALSE)))</f>
        <v/>
      </c>
      <c r="AD229" s="539" t="str">
        <f t="shared" si="35"/>
        <v/>
      </c>
      <c r="AE229" s="82"/>
      <c r="AF229" s="82"/>
      <c r="AG229" s="507" t="str">
        <f t="shared" si="41"/>
        <v/>
      </c>
      <c r="AH229" s="521" t="str">
        <f t="shared" si="42"/>
        <v/>
      </c>
      <c r="AI229" s="522" t="str">
        <f>IF(AH229="Check Data","Check Data",IFERROR(VLOOKUP(AH229,'G-4 Temporal multipliers'!$A$4:$C$36,3,FALSE),""))</f>
        <v/>
      </c>
      <c r="AJ229" s="498" t="str">
        <f>IF(S229="","",VLOOKUP(S229,'G-3 Multipliers'!$A$2:$E$129,4,FALSE))</f>
        <v/>
      </c>
      <c r="AK229" s="507" t="str">
        <f t="shared" si="43"/>
        <v/>
      </c>
      <c r="AL229" s="507" t="str">
        <f t="shared" si="44"/>
        <v/>
      </c>
      <c r="AM229" s="540" t="str">
        <f>IFERROR(IF(F229="","",IF(AH229="Check Data ⚠","Check Data ⚠",VLOOKUP(AL229, 'G-3 Multipliers'!$P$2:$Q$6,2,FALSE))),"")</f>
        <v/>
      </c>
      <c r="AN229" s="513" t="str">
        <f t="shared" si="36"/>
        <v/>
      </c>
      <c r="AO229" s="239"/>
      <c r="AP229" s="240"/>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1" t="str">
        <f>'A-1 Site Habitat Baseline'!AL229</f>
        <v/>
      </c>
      <c r="F230" s="520" t="str">
        <f>IF(E230="","",IF(ISNA(VLOOKUP($E230,'A-1 Site Habitat Baseline'!$D$1:$O$258,4,FALSE)),"",(VLOOKUP($E230,'A-1 Site Habitat Baseline'!$D$1:$O$258,4,FALSE))))</f>
        <v/>
      </c>
      <c r="G230" s="520" t="str">
        <f>IF(E230="","",IF(ISNA(VLOOKUP($E230,'A-1 Site Habitat Baseline'!$D$1:$O$258,5,FALSE)),"",(VLOOKUP($E230,'A-1 Site Habitat Baseline'!$D$1:$O$258,5,FALSE))))</f>
        <v/>
      </c>
      <c r="H230" s="520" t="str">
        <f>IF(E230="","",IF(ISNA(VLOOKUP($E230,'A-1 Site Habitat Baseline'!$D$1:$O$258,6,FALSE)),"",(VLOOKUP($E230,'A-1 Site Habitat Baseline'!$D$1:$O$258,6,FALSE))))</f>
        <v/>
      </c>
      <c r="I230" s="520" t="str">
        <f>IF(E230="","",IF(ISNA(VLOOKUP($E230,'A-1 Site Habitat Baseline'!$D$1:$O$258,7,FALSE)),"",(VLOOKUP($E230,'A-1 Site Habitat Baseline'!$D$1:$O$258,7,FALSE))))</f>
        <v/>
      </c>
      <c r="J230" s="520" t="str">
        <f>IF(E230="","",IF(ISNA(VLOOKUP($E230,'A-1 Site Habitat Baseline'!$D$1:$O$258,8,FALSE)),"",(VLOOKUP($E230,'A-1 Site Habitat Baseline'!$D$1:$O$258,8,FALSE))))</f>
        <v/>
      </c>
      <c r="K230" s="520" t="str">
        <f>IF(E230="","",IF(ISNA(VLOOKUP($E230,'A-1 Site Habitat Baseline'!$D$1:$O$258,9,FALSE)),"",(VLOOKUP($E230,'A-1 Site Habitat Baseline'!$D$1:$O$258,9,FALSE))))</f>
        <v/>
      </c>
      <c r="L230" s="520" t="str">
        <f>IF(E230="","",IF(ISNA(VLOOKUP($E230,'A-1 Site Habitat Baseline'!$D$1:$O$258,11,FALSE)),"",(VLOOKUP($E230,'A-1 Site Habitat Baseline'!$D$1:$O$258,11,FALSE))))</f>
        <v/>
      </c>
      <c r="M230" s="520" t="str">
        <f>IF(E230="","",IF(ISNA(VLOOKUP($E230,'A-1 Site Habitat Baseline'!$D$1:$O$258,12,FALSE)),"",(VLOOKUP($E230,'A-1 Site Habitat Baseline'!$D$1:$O$258,12,FALSE))))</f>
        <v/>
      </c>
      <c r="N230" s="532" t="str">
        <f>IF(E230="","",IF(ISNA(VLOOKUP($E230,'A-1 Site Habitat Baseline'!$D$1:$X$258,14,FALSE)),"",(VLOOKUP($E230,'A-1 Site Habitat Baseline'!$D$1:$X$258,14,FALSE))))</f>
        <v/>
      </c>
      <c r="O230" s="524" t="str">
        <f>IF(E230="","",IF(ISNA(VLOOKUP($E230,'A-1 Site Habitat Baseline'!$D$1:$X$258,16,FALSE)),"",(VLOOKUP($E230,'A-1 Site Habitat Baseline'!$D$1:$X$258,13,FALSE))))</f>
        <v/>
      </c>
      <c r="P230" s="237" t="str">
        <f>IFERROR(INDEX('G-1 All Habitats'!$AG$3:$AG$15,MATCH(Q230,'G-1 All Habitats'!$AF$3:$AF$15,0)),"")</f>
        <v/>
      </c>
      <c r="Q230" s="238" t="str">
        <f t="shared" si="37"/>
        <v/>
      </c>
      <c r="R230" s="238" t="str">
        <f t="shared" si="38"/>
        <v/>
      </c>
      <c r="S230" s="392" t="str">
        <f>IFERROR(INDEX('G-1 All Habitats'!$B$3:$B$129,MATCH(R230,'G-1 All Habitats'!$A$3:$A$129,0)),"")</f>
        <v/>
      </c>
      <c r="T230" s="498" t="str">
        <f t="shared" si="39"/>
        <v/>
      </c>
      <c r="U230" s="499" t="str">
        <f t="shared" si="40"/>
        <v/>
      </c>
      <c r="V230" s="537" t="str">
        <f t="shared" si="34"/>
        <v/>
      </c>
      <c r="W230" s="520" t="str">
        <f>IF(S230="","",VLOOKUP(S230,'G-1 All Habitats'!$B$2:$M$129,10,FALSE))</f>
        <v/>
      </c>
      <c r="X230" s="520" t="str">
        <f>IFERROR(VLOOKUP(W230,'G-1 All Habitats'!$V$3:$W$7,2,FALSE),"")</f>
        <v/>
      </c>
      <c r="Y230" s="79"/>
      <c r="Z230" s="524" t="str">
        <f>IFERROR(INDEX('G-8 Condition Look up'!$A$3:$H$130,MATCH(S230,'G-8 Condition Look up'!$A$3:$A$130,0),MATCH(Y230,'G-8 Condition Look up'!$A$3:$H$3,0)),"")</f>
        <v/>
      </c>
      <c r="AA230" s="71"/>
      <c r="AB230" s="520" t="str">
        <f>IF(AA230="","",IF(VLOOKUP(AA230,'G-3 Multipliers'!$L$3:$N$6,2,FALSE)=0,"Spatial Data Missing ⚠",VLOOKUP(AA230,'G-3 Multipliers'!$L$3:$N$6,2,FALSE)))</f>
        <v/>
      </c>
      <c r="AC230" s="524" t="str">
        <f>IF(AA230="","",IF(VLOOKUP(AA230,'G-3 Multipliers'!$L$3:$N$6,3,FALSE)=0,"Spatial Data Missing ⚠",VLOOKUP(AA230,'G-3 Multipliers'!$L$3:$N$6,3,FALSE)))</f>
        <v/>
      </c>
      <c r="AD230" s="539" t="str">
        <f t="shared" si="35"/>
        <v/>
      </c>
      <c r="AE230" s="82"/>
      <c r="AF230" s="82"/>
      <c r="AG230" s="507" t="str">
        <f t="shared" si="41"/>
        <v/>
      </c>
      <c r="AH230" s="521" t="str">
        <f t="shared" si="42"/>
        <v/>
      </c>
      <c r="AI230" s="522" t="str">
        <f>IF(AH230="Check Data","Check Data",IFERROR(VLOOKUP(AH230,'G-4 Temporal multipliers'!$A$4:$C$36,3,FALSE),""))</f>
        <v/>
      </c>
      <c r="AJ230" s="498" t="str">
        <f>IF(S230="","",VLOOKUP(S230,'G-3 Multipliers'!$A$2:$E$129,4,FALSE))</f>
        <v/>
      </c>
      <c r="AK230" s="507" t="str">
        <f t="shared" si="43"/>
        <v/>
      </c>
      <c r="AL230" s="507" t="str">
        <f t="shared" si="44"/>
        <v/>
      </c>
      <c r="AM230" s="540" t="str">
        <f>IFERROR(IF(F230="","",IF(AH230="Check Data ⚠","Check Data ⚠",VLOOKUP(AL230, 'G-3 Multipliers'!$P$2:$Q$6,2,FALSE))),"")</f>
        <v/>
      </c>
      <c r="AN230" s="513" t="str">
        <f t="shared" si="36"/>
        <v/>
      </c>
      <c r="AO230" s="239"/>
      <c r="AP230" s="240"/>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1" t="str">
        <f>'A-1 Site Habitat Baseline'!AL230</f>
        <v/>
      </c>
      <c r="F231" s="520" t="str">
        <f>IF(E231="","",IF(ISNA(VLOOKUP($E231,'A-1 Site Habitat Baseline'!$D$1:$O$258,4,FALSE)),"",(VLOOKUP($E231,'A-1 Site Habitat Baseline'!$D$1:$O$258,4,FALSE))))</f>
        <v/>
      </c>
      <c r="G231" s="520" t="str">
        <f>IF(E231="","",IF(ISNA(VLOOKUP($E231,'A-1 Site Habitat Baseline'!$D$1:$O$258,5,FALSE)),"",(VLOOKUP($E231,'A-1 Site Habitat Baseline'!$D$1:$O$258,5,FALSE))))</f>
        <v/>
      </c>
      <c r="H231" s="520" t="str">
        <f>IF(E231="","",IF(ISNA(VLOOKUP($E231,'A-1 Site Habitat Baseline'!$D$1:$O$258,6,FALSE)),"",(VLOOKUP($E231,'A-1 Site Habitat Baseline'!$D$1:$O$258,6,FALSE))))</f>
        <v/>
      </c>
      <c r="I231" s="520" t="str">
        <f>IF(E231="","",IF(ISNA(VLOOKUP($E231,'A-1 Site Habitat Baseline'!$D$1:$O$258,7,FALSE)),"",(VLOOKUP($E231,'A-1 Site Habitat Baseline'!$D$1:$O$258,7,FALSE))))</f>
        <v/>
      </c>
      <c r="J231" s="520" t="str">
        <f>IF(E231="","",IF(ISNA(VLOOKUP($E231,'A-1 Site Habitat Baseline'!$D$1:$O$258,8,FALSE)),"",(VLOOKUP($E231,'A-1 Site Habitat Baseline'!$D$1:$O$258,8,FALSE))))</f>
        <v/>
      </c>
      <c r="K231" s="520" t="str">
        <f>IF(E231="","",IF(ISNA(VLOOKUP($E231,'A-1 Site Habitat Baseline'!$D$1:$O$258,9,FALSE)),"",(VLOOKUP($E231,'A-1 Site Habitat Baseline'!$D$1:$O$258,9,FALSE))))</f>
        <v/>
      </c>
      <c r="L231" s="520" t="str">
        <f>IF(E231="","",IF(ISNA(VLOOKUP($E231,'A-1 Site Habitat Baseline'!$D$1:$O$258,11,FALSE)),"",(VLOOKUP($E231,'A-1 Site Habitat Baseline'!$D$1:$O$258,11,FALSE))))</f>
        <v/>
      </c>
      <c r="M231" s="520" t="str">
        <f>IF(E231="","",IF(ISNA(VLOOKUP($E231,'A-1 Site Habitat Baseline'!$D$1:$O$258,12,FALSE)),"",(VLOOKUP($E231,'A-1 Site Habitat Baseline'!$D$1:$O$258,12,FALSE))))</f>
        <v/>
      </c>
      <c r="N231" s="532" t="str">
        <f>IF(E231="","",IF(ISNA(VLOOKUP($E231,'A-1 Site Habitat Baseline'!$D$1:$X$258,14,FALSE)),"",(VLOOKUP($E231,'A-1 Site Habitat Baseline'!$D$1:$X$258,14,FALSE))))</f>
        <v/>
      </c>
      <c r="O231" s="524" t="str">
        <f>IF(E231="","",IF(ISNA(VLOOKUP($E231,'A-1 Site Habitat Baseline'!$D$1:$X$258,16,FALSE)),"",(VLOOKUP($E231,'A-1 Site Habitat Baseline'!$D$1:$X$258,13,FALSE))))</f>
        <v/>
      </c>
      <c r="P231" s="237" t="str">
        <f>IFERROR(INDEX('G-1 All Habitats'!$AG$3:$AG$15,MATCH(Q231,'G-1 All Habitats'!$AF$3:$AF$15,0)),"")</f>
        <v/>
      </c>
      <c r="Q231" s="238" t="str">
        <f t="shared" si="37"/>
        <v/>
      </c>
      <c r="R231" s="238" t="str">
        <f t="shared" si="38"/>
        <v/>
      </c>
      <c r="S231" s="392" t="str">
        <f>IFERROR(INDEX('G-1 All Habitats'!$B$3:$B$129,MATCH(R231,'G-1 All Habitats'!$A$3:$A$129,0)),"")</f>
        <v/>
      </c>
      <c r="T231" s="498" t="str">
        <f t="shared" si="39"/>
        <v/>
      </c>
      <c r="U231" s="499" t="str">
        <f t="shared" si="40"/>
        <v/>
      </c>
      <c r="V231" s="537" t="str">
        <f t="shared" si="34"/>
        <v/>
      </c>
      <c r="W231" s="520" t="str">
        <f>IF(S231="","",VLOOKUP(S231,'G-1 All Habitats'!$B$2:$M$129,10,FALSE))</f>
        <v/>
      </c>
      <c r="X231" s="520" t="str">
        <f>IFERROR(VLOOKUP(W231,'G-1 All Habitats'!$V$3:$W$7,2,FALSE),"")</f>
        <v/>
      </c>
      <c r="Y231" s="79"/>
      <c r="Z231" s="524" t="str">
        <f>IFERROR(INDEX('G-8 Condition Look up'!$A$3:$H$130,MATCH(S231,'G-8 Condition Look up'!$A$3:$A$130,0),MATCH(Y231,'G-8 Condition Look up'!$A$3:$H$3,0)),"")</f>
        <v/>
      </c>
      <c r="AA231" s="71"/>
      <c r="AB231" s="520" t="str">
        <f>IF(AA231="","",IF(VLOOKUP(AA231,'G-3 Multipliers'!$L$3:$N$6,2,FALSE)=0,"Spatial Data Missing ⚠",VLOOKUP(AA231,'G-3 Multipliers'!$L$3:$N$6,2,FALSE)))</f>
        <v/>
      </c>
      <c r="AC231" s="524" t="str">
        <f>IF(AA231="","",IF(VLOOKUP(AA231,'G-3 Multipliers'!$L$3:$N$6,3,FALSE)=0,"Spatial Data Missing ⚠",VLOOKUP(AA231,'G-3 Multipliers'!$L$3:$N$6,3,FALSE)))</f>
        <v/>
      </c>
      <c r="AD231" s="539" t="str">
        <f t="shared" si="35"/>
        <v/>
      </c>
      <c r="AE231" s="82"/>
      <c r="AF231" s="82"/>
      <c r="AG231" s="507" t="str">
        <f t="shared" si="41"/>
        <v/>
      </c>
      <c r="AH231" s="521" t="str">
        <f t="shared" si="42"/>
        <v/>
      </c>
      <c r="AI231" s="522" t="str">
        <f>IF(AH231="Check Data","Check Data",IFERROR(VLOOKUP(AH231,'G-4 Temporal multipliers'!$A$4:$C$36,3,FALSE),""))</f>
        <v/>
      </c>
      <c r="AJ231" s="498" t="str">
        <f>IF(S231="","",VLOOKUP(S231,'G-3 Multipliers'!$A$2:$E$129,4,FALSE))</f>
        <v/>
      </c>
      <c r="AK231" s="507" t="str">
        <f t="shared" si="43"/>
        <v/>
      </c>
      <c r="AL231" s="507" t="str">
        <f t="shared" si="44"/>
        <v/>
      </c>
      <c r="AM231" s="540" t="str">
        <f>IFERROR(IF(F231="","",IF(AH231="Check Data ⚠","Check Data ⚠",VLOOKUP(AL231, 'G-3 Multipliers'!$P$2:$Q$6,2,FALSE))),"")</f>
        <v/>
      </c>
      <c r="AN231" s="513" t="str">
        <f t="shared" si="36"/>
        <v/>
      </c>
      <c r="AO231" s="239"/>
      <c r="AP231" s="240"/>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1" t="str">
        <f>'A-1 Site Habitat Baseline'!AL231</f>
        <v/>
      </c>
      <c r="F232" s="520" t="str">
        <f>IF(E232="","",IF(ISNA(VLOOKUP($E232,'A-1 Site Habitat Baseline'!$D$1:$O$258,4,FALSE)),"",(VLOOKUP($E232,'A-1 Site Habitat Baseline'!$D$1:$O$258,4,FALSE))))</f>
        <v/>
      </c>
      <c r="G232" s="520" t="str">
        <f>IF(E232="","",IF(ISNA(VLOOKUP($E232,'A-1 Site Habitat Baseline'!$D$1:$O$258,5,FALSE)),"",(VLOOKUP($E232,'A-1 Site Habitat Baseline'!$D$1:$O$258,5,FALSE))))</f>
        <v/>
      </c>
      <c r="H232" s="520" t="str">
        <f>IF(E232="","",IF(ISNA(VLOOKUP($E232,'A-1 Site Habitat Baseline'!$D$1:$O$258,6,FALSE)),"",(VLOOKUP($E232,'A-1 Site Habitat Baseline'!$D$1:$O$258,6,FALSE))))</f>
        <v/>
      </c>
      <c r="I232" s="520" t="str">
        <f>IF(E232="","",IF(ISNA(VLOOKUP($E232,'A-1 Site Habitat Baseline'!$D$1:$O$258,7,FALSE)),"",(VLOOKUP($E232,'A-1 Site Habitat Baseline'!$D$1:$O$258,7,FALSE))))</f>
        <v/>
      </c>
      <c r="J232" s="520" t="str">
        <f>IF(E232="","",IF(ISNA(VLOOKUP($E232,'A-1 Site Habitat Baseline'!$D$1:$O$258,8,FALSE)),"",(VLOOKUP($E232,'A-1 Site Habitat Baseline'!$D$1:$O$258,8,FALSE))))</f>
        <v/>
      </c>
      <c r="K232" s="520" t="str">
        <f>IF(E232="","",IF(ISNA(VLOOKUP($E232,'A-1 Site Habitat Baseline'!$D$1:$O$258,9,FALSE)),"",(VLOOKUP($E232,'A-1 Site Habitat Baseline'!$D$1:$O$258,9,FALSE))))</f>
        <v/>
      </c>
      <c r="L232" s="520" t="str">
        <f>IF(E232="","",IF(ISNA(VLOOKUP($E232,'A-1 Site Habitat Baseline'!$D$1:$O$258,11,FALSE)),"",(VLOOKUP($E232,'A-1 Site Habitat Baseline'!$D$1:$O$258,11,FALSE))))</f>
        <v/>
      </c>
      <c r="M232" s="520" t="str">
        <f>IF(E232="","",IF(ISNA(VLOOKUP($E232,'A-1 Site Habitat Baseline'!$D$1:$O$258,12,FALSE)),"",(VLOOKUP($E232,'A-1 Site Habitat Baseline'!$D$1:$O$258,12,FALSE))))</f>
        <v/>
      </c>
      <c r="N232" s="532" t="str">
        <f>IF(E232="","",IF(ISNA(VLOOKUP($E232,'A-1 Site Habitat Baseline'!$D$1:$X$258,14,FALSE)),"",(VLOOKUP($E232,'A-1 Site Habitat Baseline'!$D$1:$X$258,14,FALSE))))</f>
        <v/>
      </c>
      <c r="O232" s="524" t="str">
        <f>IF(E232="","",IF(ISNA(VLOOKUP($E232,'A-1 Site Habitat Baseline'!$D$1:$X$258,16,FALSE)),"",(VLOOKUP($E232,'A-1 Site Habitat Baseline'!$D$1:$X$258,13,FALSE))))</f>
        <v/>
      </c>
      <c r="P232" s="237" t="str">
        <f>IFERROR(INDEX('G-1 All Habitats'!$AG$3:$AG$15,MATCH(Q232,'G-1 All Habitats'!$AF$3:$AF$15,0)),"")</f>
        <v/>
      </c>
      <c r="Q232" s="238" t="str">
        <f t="shared" si="37"/>
        <v/>
      </c>
      <c r="R232" s="238" t="str">
        <f t="shared" si="38"/>
        <v/>
      </c>
      <c r="S232" s="392" t="str">
        <f>IFERROR(INDEX('G-1 All Habitats'!$B$3:$B$129,MATCH(R232,'G-1 All Habitats'!$A$3:$A$129,0)),"")</f>
        <v/>
      </c>
      <c r="T232" s="498" t="str">
        <f t="shared" si="39"/>
        <v/>
      </c>
      <c r="U232" s="499" t="str">
        <f t="shared" si="40"/>
        <v/>
      </c>
      <c r="V232" s="537" t="str">
        <f t="shared" si="34"/>
        <v/>
      </c>
      <c r="W232" s="520" t="str">
        <f>IF(S232="","",VLOOKUP(S232,'G-1 All Habitats'!$B$2:$M$129,10,FALSE))</f>
        <v/>
      </c>
      <c r="X232" s="520" t="str">
        <f>IFERROR(VLOOKUP(W232,'G-1 All Habitats'!$V$3:$W$7,2,FALSE),"")</f>
        <v/>
      </c>
      <c r="Y232" s="79"/>
      <c r="Z232" s="524" t="str">
        <f>IFERROR(INDEX('G-8 Condition Look up'!$A$3:$H$130,MATCH(S232,'G-8 Condition Look up'!$A$3:$A$130,0),MATCH(Y232,'G-8 Condition Look up'!$A$3:$H$3,0)),"")</f>
        <v/>
      </c>
      <c r="AA232" s="71"/>
      <c r="AB232" s="520" t="str">
        <f>IF(AA232="","",IF(VLOOKUP(AA232,'G-3 Multipliers'!$L$3:$N$6,2,FALSE)=0,"Spatial Data Missing ⚠",VLOOKUP(AA232,'G-3 Multipliers'!$L$3:$N$6,2,FALSE)))</f>
        <v/>
      </c>
      <c r="AC232" s="524" t="str">
        <f>IF(AA232="","",IF(VLOOKUP(AA232,'G-3 Multipliers'!$L$3:$N$6,3,FALSE)=0,"Spatial Data Missing ⚠",VLOOKUP(AA232,'G-3 Multipliers'!$L$3:$N$6,3,FALSE)))</f>
        <v/>
      </c>
      <c r="AD232" s="539" t="str">
        <f t="shared" si="35"/>
        <v/>
      </c>
      <c r="AE232" s="82"/>
      <c r="AF232" s="82"/>
      <c r="AG232" s="507" t="str">
        <f t="shared" si="41"/>
        <v/>
      </c>
      <c r="AH232" s="521" t="str">
        <f t="shared" si="42"/>
        <v/>
      </c>
      <c r="AI232" s="522" t="str">
        <f>IF(AH232="Check Data","Check Data",IFERROR(VLOOKUP(AH232,'G-4 Temporal multipliers'!$A$4:$C$36,3,FALSE),""))</f>
        <v/>
      </c>
      <c r="AJ232" s="498" t="str">
        <f>IF(S232="","",VLOOKUP(S232,'G-3 Multipliers'!$A$2:$E$129,4,FALSE))</f>
        <v/>
      </c>
      <c r="AK232" s="507" t="str">
        <f t="shared" si="43"/>
        <v/>
      </c>
      <c r="AL232" s="507" t="str">
        <f t="shared" si="44"/>
        <v/>
      </c>
      <c r="AM232" s="540" t="str">
        <f>IFERROR(IF(F232="","",IF(AH232="Check Data ⚠","Check Data ⚠",VLOOKUP(AL232, 'G-3 Multipliers'!$P$2:$Q$6,2,FALSE))),"")</f>
        <v/>
      </c>
      <c r="AN232" s="513" t="str">
        <f t="shared" si="36"/>
        <v/>
      </c>
      <c r="AO232" s="239"/>
      <c r="AP232" s="240"/>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1" t="str">
        <f>'A-1 Site Habitat Baseline'!AL232</f>
        <v/>
      </c>
      <c r="F233" s="520" t="str">
        <f>IF(E233="","",IF(ISNA(VLOOKUP($E233,'A-1 Site Habitat Baseline'!$D$1:$O$258,4,FALSE)),"",(VLOOKUP($E233,'A-1 Site Habitat Baseline'!$D$1:$O$258,4,FALSE))))</f>
        <v/>
      </c>
      <c r="G233" s="520" t="str">
        <f>IF(E233="","",IF(ISNA(VLOOKUP($E233,'A-1 Site Habitat Baseline'!$D$1:$O$258,5,FALSE)),"",(VLOOKUP($E233,'A-1 Site Habitat Baseline'!$D$1:$O$258,5,FALSE))))</f>
        <v/>
      </c>
      <c r="H233" s="520" t="str">
        <f>IF(E233="","",IF(ISNA(VLOOKUP($E233,'A-1 Site Habitat Baseline'!$D$1:$O$258,6,FALSE)),"",(VLOOKUP($E233,'A-1 Site Habitat Baseline'!$D$1:$O$258,6,FALSE))))</f>
        <v/>
      </c>
      <c r="I233" s="520" t="str">
        <f>IF(E233="","",IF(ISNA(VLOOKUP($E233,'A-1 Site Habitat Baseline'!$D$1:$O$258,7,FALSE)),"",(VLOOKUP($E233,'A-1 Site Habitat Baseline'!$D$1:$O$258,7,FALSE))))</f>
        <v/>
      </c>
      <c r="J233" s="520" t="str">
        <f>IF(E233="","",IF(ISNA(VLOOKUP($E233,'A-1 Site Habitat Baseline'!$D$1:$O$258,8,FALSE)),"",(VLOOKUP($E233,'A-1 Site Habitat Baseline'!$D$1:$O$258,8,FALSE))))</f>
        <v/>
      </c>
      <c r="K233" s="520" t="str">
        <f>IF(E233="","",IF(ISNA(VLOOKUP($E233,'A-1 Site Habitat Baseline'!$D$1:$O$258,9,FALSE)),"",(VLOOKUP($E233,'A-1 Site Habitat Baseline'!$D$1:$O$258,9,FALSE))))</f>
        <v/>
      </c>
      <c r="L233" s="520" t="str">
        <f>IF(E233="","",IF(ISNA(VLOOKUP($E233,'A-1 Site Habitat Baseline'!$D$1:$O$258,11,FALSE)),"",(VLOOKUP($E233,'A-1 Site Habitat Baseline'!$D$1:$O$258,11,FALSE))))</f>
        <v/>
      </c>
      <c r="M233" s="520" t="str">
        <f>IF(E233="","",IF(ISNA(VLOOKUP($E233,'A-1 Site Habitat Baseline'!$D$1:$O$258,12,FALSE)),"",(VLOOKUP($E233,'A-1 Site Habitat Baseline'!$D$1:$O$258,12,FALSE))))</f>
        <v/>
      </c>
      <c r="N233" s="532" t="str">
        <f>IF(E233="","",IF(ISNA(VLOOKUP($E233,'A-1 Site Habitat Baseline'!$D$1:$X$258,14,FALSE)),"",(VLOOKUP($E233,'A-1 Site Habitat Baseline'!$D$1:$X$258,14,FALSE))))</f>
        <v/>
      </c>
      <c r="O233" s="524" t="str">
        <f>IF(E233="","",IF(ISNA(VLOOKUP($E233,'A-1 Site Habitat Baseline'!$D$1:$X$258,16,FALSE)),"",(VLOOKUP($E233,'A-1 Site Habitat Baseline'!$D$1:$X$258,13,FALSE))))</f>
        <v/>
      </c>
      <c r="P233" s="237" t="str">
        <f>IFERROR(INDEX('G-1 All Habitats'!$AG$3:$AG$15,MATCH(Q233,'G-1 All Habitats'!$AF$3:$AF$15,0)),"")</f>
        <v/>
      </c>
      <c r="Q233" s="238" t="str">
        <f t="shared" si="37"/>
        <v/>
      </c>
      <c r="R233" s="238" t="str">
        <f t="shared" si="38"/>
        <v/>
      </c>
      <c r="S233" s="392" t="str">
        <f>IFERROR(INDEX('G-1 All Habitats'!$B$3:$B$129,MATCH(R233,'G-1 All Habitats'!$A$3:$A$129,0)),"")</f>
        <v/>
      </c>
      <c r="T233" s="498" t="str">
        <f t="shared" si="39"/>
        <v/>
      </c>
      <c r="U233" s="499" t="str">
        <f t="shared" si="40"/>
        <v/>
      </c>
      <c r="V233" s="537" t="str">
        <f t="shared" si="34"/>
        <v/>
      </c>
      <c r="W233" s="520" t="str">
        <f>IF(S233="","",VLOOKUP(S233,'G-1 All Habitats'!$B$2:$M$129,10,FALSE))</f>
        <v/>
      </c>
      <c r="X233" s="520" t="str">
        <f>IFERROR(VLOOKUP(W233,'G-1 All Habitats'!$V$3:$W$7,2,FALSE),"")</f>
        <v/>
      </c>
      <c r="Y233" s="79"/>
      <c r="Z233" s="524" t="str">
        <f>IFERROR(INDEX('G-8 Condition Look up'!$A$3:$H$130,MATCH(S233,'G-8 Condition Look up'!$A$3:$A$130,0),MATCH(Y233,'G-8 Condition Look up'!$A$3:$H$3,0)),"")</f>
        <v/>
      </c>
      <c r="AA233" s="71"/>
      <c r="AB233" s="520" t="str">
        <f>IF(AA233="","",IF(VLOOKUP(AA233,'G-3 Multipliers'!$L$3:$N$6,2,FALSE)=0,"Spatial Data Missing ⚠",VLOOKUP(AA233,'G-3 Multipliers'!$L$3:$N$6,2,FALSE)))</f>
        <v/>
      </c>
      <c r="AC233" s="524" t="str">
        <f>IF(AA233="","",IF(VLOOKUP(AA233,'G-3 Multipliers'!$L$3:$N$6,3,FALSE)=0,"Spatial Data Missing ⚠",VLOOKUP(AA233,'G-3 Multipliers'!$L$3:$N$6,3,FALSE)))</f>
        <v/>
      </c>
      <c r="AD233" s="539" t="str">
        <f t="shared" si="35"/>
        <v/>
      </c>
      <c r="AE233" s="82"/>
      <c r="AF233" s="82"/>
      <c r="AG233" s="507" t="str">
        <f t="shared" si="41"/>
        <v/>
      </c>
      <c r="AH233" s="521" t="str">
        <f t="shared" si="42"/>
        <v/>
      </c>
      <c r="AI233" s="522" t="str">
        <f>IF(AH233="Check Data","Check Data",IFERROR(VLOOKUP(AH233,'G-4 Temporal multipliers'!$A$4:$C$36,3,FALSE),""))</f>
        <v/>
      </c>
      <c r="AJ233" s="498" t="str">
        <f>IF(S233="","",VLOOKUP(S233,'G-3 Multipliers'!$A$2:$E$129,4,FALSE))</f>
        <v/>
      </c>
      <c r="AK233" s="507" t="str">
        <f t="shared" si="43"/>
        <v/>
      </c>
      <c r="AL233" s="507" t="str">
        <f t="shared" si="44"/>
        <v/>
      </c>
      <c r="AM233" s="540" t="str">
        <f>IFERROR(IF(F233="","",IF(AH233="Check Data ⚠","Check Data ⚠",VLOOKUP(AL233, 'G-3 Multipliers'!$P$2:$Q$6,2,FALSE))),"")</f>
        <v/>
      </c>
      <c r="AN233" s="513" t="str">
        <f t="shared" si="36"/>
        <v/>
      </c>
      <c r="AO233" s="239"/>
      <c r="AP233" s="240"/>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1" t="str">
        <f>'A-1 Site Habitat Baseline'!AL233</f>
        <v/>
      </c>
      <c r="F234" s="520" t="str">
        <f>IF(E234="","",IF(ISNA(VLOOKUP($E234,'A-1 Site Habitat Baseline'!$D$1:$O$258,4,FALSE)),"",(VLOOKUP($E234,'A-1 Site Habitat Baseline'!$D$1:$O$258,4,FALSE))))</f>
        <v/>
      </c>
      <c r="G234" s="520" t="str">
        <f>IF(E234="","",IF(ISNA(VLOOKUP($E234,'A-1 Site Habitat Baseline'!$D$1:$O$258,5,FALSE)),"",(VLOOKUP($E234,'A-1 Site Habitat Baseline'!$D$1:$O$258,5,FALSE))))</f>
        <v/>
      </c>
      <c r="H234" s="520" t="str">
        <f>IF(E234="","",IF(ISNA(VLOOKUP($E234,'A-1 Site Habitat Baseline'!$D$1:$O$258,6,FALSE)),"",(VLOOKUP($E234,'A-1 Site Habitat Baseline'!$D$1:$O$258,6,FALSE))))</f>
        <v/>
      </c>
      <c r="I234" s="520" t="str">
        <f>IF(E234="","",IF(ISNA(VLOOKUP($E234,'A-1 Site Habitat Baseline'!$D$1:$O$258,7,FALSE)),"",(VLOOKUP($E234,'A-1 Site Habitat Baseline'!$D$1:$O$258,7,FALSE))))</f>
        <v/>
      </c>
      <c r="J234" s="520" t="str">
        <f>IF(E234="","",IF(ISNA(VLOOKUP($E234,'A-1 Site Habitat Baseline'!$D$1:$O$258,8,FALSE)),"",(VLOOKUP($E234,'A-1 Site Habitat Baseline'!$D$1:$O$258,8,FALSE))))</f>
        <v/>
      </c>
      <c r="K234" s="520" t="str">
        <f>IF(E234="","",IF(ISNA(VLOOKUP($E234,'A-1 Site Habitat Baseline'!$D$1:$O$258,9,FALSE)),"",(VLOOKUP($E234,'A-1 Site Habitat Baseline'!$D$1:$O$258,9,FALSE))))</f>
        <v/>
      </c>
      <c r="L234" s="520" t="str">
        <f>IF(E234="","",IF(ISNA(VLOOKUP($E234,'A-1 Site Habitat Baseline'!$D$1:$O$258,11,FALSE)),"",(VLOOKUP($E234,'A-1 Site Habitat Baseline'!$D$1:$O$258,11,FALSE))))</f>
        <v/>
      </c>
      <c r="M234" s="520" t="str">
        <f>IF(E234="","",IF(ISNA(VLOOKUP($E234,'A-1 Site Habitat Baseline'!$D$1:$O$258,12,FALSE)),"",(VLOOKUP($E234,'A-1 Site Habitat Baseline'!$D$1:$O$258,12,FALSE))))</f>
        <v/>
      </c>
      <c r="N234" s="532" t="str">
        <f>IF(E234="","",IF(ISNA(VLOOKUP($E234,'A-1 Site Habitat Baseline'!$D$1:$X$258,14,FALSE)),"",(VLOOKUP($E234,'A-1 Site Habitat Baseline'!$D$1:$X$258,14,FALSE))))</f>
        <v/>
      </c>
      <c r="O234" s="524" t="str">
        <f>IF(E234="","",IF(ISNA(VLOOKUP($E234,'A-1 Site Habitat Baseline'!$D$1:$X$258,16,FALSE)),"",(VLOOKUP($E234,'A-1 Site Habitat Baseline'!$D$1:$X$258,13,FALSE))))</f>
        <v/>
      </c>
      <c r="P234" s="237" t="str">
        <f>IFERROR(INDEX('G-1 All Habitats'!$AG$3:$AG$15,MATCH(Q234,'G-1 All Habitats'!$AF$3:$AF$15,0)),"")</f>
        <v/>
      </c>
      <c r="Q234" s="238" t="str">
        <f t="shared" si="37"/>
        <v/>
      </c>
      <c r="R234" s="238" t="str">
        <f t="shared" si="38"/>
        <v/>
      </c>
      <c r="S234" s="392" t="str">
        <f>IFERROR(INDEX('G-1 All Habitats'!$B$3:$B$129,MATCH(R234,'G-1 All Habitats'!$A$3:$A$129,0)),"")</f>
        <v/>
      </c>
      <c r="T234" s="498" t="str">
        <f t="shared" si="39"/>
        <v/>
      </c>
      <c r="U234" s="499" t="str">
        <f t="shared" si="40"/>
        <v/>
      </c>
      <c r="V234" s="537" t="str">
        <f t="shared" si="34"/>
        <v/>
      </c>
      <c r="W234" s="520" t="str">
        <f>IF(S234="","",VLOOKUP(S234,'G-1 All Habitats'!$B$2:$M$129,10,FALSE))</f>
        <v/>
      </c>
      <c r="X234" s="520" t="str">
        <f>IFERROR(VLOOKUP(W234,'G-1 All Habitats'!$V$3:$W$7,2,FALSE),"")</f>
        <v/>
      </c>
      <c r="Y234" s="79"/>
      <c r="Z234" s="524" t="str">
        <f>IFERROR(INDEX('G-8 Condition Look up'!$A$3:$H$130,MATCH(S234,'G-8 Condition Look up'!$A$3:$A$130,0),MATCH(Y234,'G-8 Condition Look up'!$A$3:$H$3,0)),"")</f>
        <v/>
      </c>
      <c r="AA234" s="71"/>
      <c r="AB234" s="520" t="str">
        <f>IF(AA234="","",IF(VLOOKUP(AA234,'G-3 Multipliers'!$L$3:$N$6,2,FALSE)=0,"Spatial Data Missing ⚠",VLOOKUP(AA234,'G-3 Multipliers'!$L$3:$N$6,2,FALSE)))</f>
        <v/>
      </c>
      <c r="AC234" s="524" t="str">
        <f>IF(AA234="","",IF(VLOOKUP(AA234,'G-3 Multipliers'!$L$3:$N$6,3,FALSE)=0,"Spatial Data Missing ⚠",VLOOKUP(AA234,'G-3 Multipliers'!$L$3:$N$6,3,FALSE)))</f>
        <v/>
      </c>
      <c r="AD234" s="539" t="str">
        <f t="shared" si="35"/>
        <v/>
      </c>
      <c r="AE234" s="82"/>
      <c r="AF234" s="82"/>
      <c r="AG234" s="507" t="str">
        <f t="shared" si="41"/>
        <v/>
      </c>
      <c r="AH234" s="521" t="str">
        <f t="shared" si="42"/>
        <v/>
      </c>
      <c r="AI234" s="522" t="str">
        <f>IF(AH234="Check Data","Check Data",IFERROR(VLOOKUP(AH234,'G-4 Temporal multipliers'!$A$4:$C$36,3,FALSE),""))</f>
        <v/>
      </c>
      <c r="AJ234" s="498" t="str">
        <f>IF(S234="","",VLOOKUP(S234,'G-3 Multipliers'!$A$2:$E$129,4,FALSE))</f>
        <v/>
      </c>
      <c r="AK234" s="507" t="str">
        <f t="shared" si="43"/>
        <v/>
      </c>
      <c r="AL234" s="507" t="str">
        <f t="shared" si="44"/>
        <v/>
      </c>
      <c r="AM234" s="540" t="str">
        <f>IFERROR(IF(F234="","",IF(AH234="Check Data ⚠","Check Data ⚠",VLOOKUP(AL234, 'G-3 Multipliers'!$P$2:$Q$6,2,FALSE))),"")</f>
        <v/>
      </c>
      <c r="AN234" s="513" t="str">
        <f t="shared" si="36"/>
        <v/>
      </c>
      <c r="AO234" s="239"/>
      <c r="AP234" s="240"/>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1" t="str">
        <f>'A-1 Site Habitat Baseline'!AL234</f>
        <v/>
      </c>
      <c r="F235" s="520" t="str">
        <f>IF(E235="","",IF(ISNA(VLOOKUP($E235,'A-1 Site Habitat Baseline'!$D$1:$O$258,4,FALSE)),"",(VLOOKUP($E235,'A-1 Site Habitat Baseline'!$D$1:$O$258,4,FALSE))))</f>
        <v/>
      </c>
      <c r="G235" s="520" t="str">
        <f>IF(E235="","",IF(ISNA(VLOOKUP($E235,'A-1 Site Habitat Baseline'!$D$1:$O$258,5,FALSE)),"",(VLOOKUP($E235,'A-1 Site Habitat Baseline'!$D$1:$O$258,5,FALSE))))</f>
        <v/>
      </c>
      <c r="H235" s="520" t="str">
        <f>IF(E235="","",IF(ISNA(VLOOKUP($E235,'A-1 Site Habitat Baseline'!$D$1:$O$258,6,FALSE)),"",(VLOOKUP($E235,'A-1 Site Habitat Baseline'!$D$1:$O$258,6,FALSE))))</f>
        <v/>
      </c>
      <c r="I235" s="520" t="str">
        <f>IF(E235="","",IF(ISNA(VLOOKUP($E235,'A-1 Site Habitat Baseline'!$D$1:$O$258,7,FALSE)),"",(VLOOKUP($E235,'A-1 Site Habitat Baseline'!$D$1:$O$258,7,FALSE))))</f>
        <v/>
      </c>
      <c r="J235" s="520" t="str">
        <f>IF(E235="","",IF(ISNA(VLOOKUP($E235,'A-1 Site Habitat Baseline'!$D$1:$O$258,8,FALSE)),"",(VLOOKUP($E235,'A-1 Site Habitat Baseline'!$D$1:$O$258,8,FALSE))))</f>
        <v/>
      </c>
      <c r="K235" s="520" t="str">
        <f>IF(E235="","",IF(ISNA(VLOOKUP($E235,'A-1 Site Habitat Baseline'!$D$1:$O$258,9,FALSE)),"",(VLOOKUP($E235,'A-1 Site Habitat Baseline'!$D$1:$O$258,9,FALSE))))</f>
        <v/>
      </c>
      <c r="L235" s="520" t="str">
        <f>IF(E235="","",IF(ISNA(VLOOKUP($E235,'A-1 Site Habitat Baseline'!$D$1:$O$258,11,FALSE)),"",(VLOOKUP($E235,'A-1 Site Habitat Baseline'!$D$1:$O$258,11,FALSE))))</f>
        <v/>
      </c>
      <c r="M235" s="520" t="str">
        <f>IF(E235="","",IF(ISNA(VLOOKUP($E235,'A-1 Site Habitat Baseline'!$D$1:$O$258,12,FALSE)),"",(VLOOKUP($E235,'A-1 Site Habitat Baseline'!$D$1:$O$258,12,FALSE))))</f>
        <v/>
      </c>
      <c r="N235" s="532" t="str">
        <f>IF(E235="","",IF(ISNA(VLOOKUP($E235,'A-1 Site Habitat Baseline'!$D$1:$X$258,14,FALSE)),"",(VLOOKUP($E235,'A-1 Site Habitat Baseline'!$D$1:$X$258,14,FALSE))))</f>
        <v/>
      </c>
      <c r="O235" s="524" t="str">
        <f>IF(E235="","",IF(ISNA(VLOOKUP($E235,'A-1 Site Habitat Baseline'!$D$1:$X$258,16,FALSE)),"",(VLOOKUP($E235,'A-1 Site Habitat Baseline'!$D$1:$X$258,13,FALSE))))</f>
        <v/>
      </c>
      <c r="P235" s="237" t="str">
        <f>IFERROR(INDEX('G-1 All Habitats'!$AG$3:$AG$15,MATCH(Q235,'G-1 All Habitats'!$AF$3:$AF$15,0)),"")</f>
        <v/>
      </c>
      <c r="Q235" s="238" t="str">
        <f t="shared" si="37"/>
        <v/>
      </c>
      <c r="R235" s="238" t="str">
        <f t="shared" si="38"/>
        <v/>
      </c>
      <c r="S235" s="392" t="str">
        <f>IFERROR(INDEX('G-1 All Habitats'!$B$3:$B$129,MATCH(R235,'G-1 All Habitats'!$A$3:$A$129,0)),"")</f>
        <v/>
      </c>
      <c r="T235" s="498" t="str">
        <f t="shared" si="39"/>
        <v/>
      </c>
      <c r="U235" s="499" t="str">
        <f t="shared" si="40"/>
        <v/>
      </c>
      <c r="V235" s="537" t="str">
        <f t="shared" si="34"/>
        <v/>
      </c>
      <c r="W235" s="520" t="str">
        <f>IF(S235="","",VLOOKUP(S235,'G-1 All Habitats'!$B$2:$M$129,10,FALSE))</f>
        <v/>
      </c>
      <c r="X235" s="520" t="str">
        <f>IFERROR(VLOOKUP(W235,'G-1 All Habitats'!$V$3:$W$7,2,FALSE),"")</f>
        <v/>
      </c>
      <c r="Y235" s="79"/>
      <c r="Z235" s="524" t="str">
        <f>IFERROR(INDEX('G-8 Condition Look up'!$A$3:$H$130,MATCH(S235,'G-8 Condition Look up'!$A$3:$A$130,0),MATCH(Y235,'G-8 Condition Look up'!$A$3:$H$3,0)),"")</f>
        <v/>
      </c>
      <c r="AA235" s="71"/>
      <c r="AB235" s="520" t="str">
        <f>IF(AA235="","",IF(VLOOKUP(AA235,'G-3 Multipliers'!$L$3:$N$6,2,FALSE)=0,"Spatial Data Missing ⚠",VLOOKUP(AA235,'G-3 Multipliers'!$L$3:$N$6,2,FALSE)))</f>
        <v/>
      </c>
      <c r="AC235" s="524" t="str">
        <f>IF(AA235="","",IF(VLOOKUP(AA235,'G-3 Multipliers'!$L$3:$N$6,3,FALSE)=0,"Spatial Data Missing ⚠",VLOOKUP(AA235,'G-3 Multipliers'!$L$3:$N$6,3,FALSE)))</f>
        <v/>
      </c>
      <c r="AD235" s="539" t="str">
        <f t="shared" si="35"/>
        <v/>
      </c>
      <c r="AE235" s="82"/>
      <c r="AF235" s="82"/>
      <c r="AG235" s="507" t="str">
        <f t="shared" si="41"/>
        <v/>
      </c>
      <c r="AH235" s="521" t="str">
        <f t="shared" si="42"/>
        <v/>
      </c>
      <c r="AI235" s="522" t="str">
        <f>IF(AH235="Check Data","Check Data",IFERROR(VLOOKUP(AH235,'G-4 Temporal multipliers'!$A$4:$C$36,3,FALSE),""))</f>
        <v/>
      </c>
      <c r="AJ235" s="498" t="str">
        <f>IF(S235="","",VLOOKUP(S235,'G-3 Multipliers'!$A$2:$E$129,4,FALSE))</f>
        <v/>
      </c>
      <c r="AK235" s="507" t="str">
        <f t="shared" si="43"/>
        <v/>
      </c>
      <c r="AL235" s="507" t="str">
        <f t="shared" si="44"/>
        <v/>
      </c>
      <c r="AM235" s="540" t="str">
        <f>IFERROR(IF(F235="","",IF(AH235="Check Data ⚠","Check Data ⚠",VLOOKUP(AL235, 'G-3 Multipliers'!$P$2:$Q$6,2,FALSE))),"")</f>
        <v/>
      </c>
      <c r="AN235" s="513" t="str">
        <f t="shared" si="36"/>
        <v/>
      </c>
      <c r="AO235" s="239"/>
      <c r="AP235" s="240"/>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1" t="str">
        <f>'A-1 Site Habitat Baseline'!AL235</f>
        <v/>
      </c>
      <c r="F236" s="520" t="str">
        <f>IF(E236="","",IF(ISNA(VLOOKUP($E236,'A-1 Site Habitat Baseline'!$D$1:$O$258,4,FALSE)),"",(VLOOKUP($E236,'A-1 Site Habitat Baseline'!$D$1:$O$258,4,FALSE))))</f>
        <v/>
      </c>
      <c r="G236" s="520" t="str">
        <f>IF(E236="","",IF(ISNA(VLOOKUP($E236,'A-1 Site Habitat Baseline'!$D$1:$O$258,5,FALSE)),"",(VLOOKUP($E236,'A-1 Site Habitat Baseline'!$D$1:$O$258,5,FALSE))))</f>
        <v/>
      </c>
      <c r="H236" s="520" t="str">
        <f>IF(E236="","",IF(ISNA(VLOOKUP($E236,'A-1 Site Habitat Baseline'!$D$1:$O$258,6,FALSE)),"",(VLOOKUP($E236,'A-1 Site Habitat Baseline'!$D$1:$O$258,6,FALSE))))</f>
        <v/>
      </c>
      <c r="I236" s="520" t="str">
        <f>IF(E236="","",IF(ISNA(VLOOKUP($E236,'A-1 Site Habitat Baseline'!$D$1:$O$258,7,FALSE)),"",(VLOOKUP($E236,'A-1 Site Habitat Baseline'!$D$1:$O$258,7,FALSE))))</f>
        <v/>
      </c>
      <c r="J236" s="520" t="str">
        <f>IF(E236="","",IF(ISNA(VLOOKUP($E236,'A-1 Site Habitat Baseline'!$D$1:$O$258,8,FALSE)),"",(VLOOKUP($E236,'A-1 Site Habitat Baseline'!$D$1:$O$258,8,FALSE))))</f>
        <v/>
      </c>
      <c r="K236" s="520" t="str">
        <f>IF(E236="","",IF(ISNA(VLOOKUP($E236,'A-1 Site Habitat Baseline'!$D$1:$O$258,9,FALSE)),"",(VLOOKUP($E236,'A-1 Site Habitat Baseline'!$D$1:$O$258,9,FALSE))))</f>
        <v/>
      </c>
      <c r="L236" s="520" t="str">
        <f>IF(E236="","",IF(ISNA(VLOOKUP($E236,'A-1 Site Habitat Baseline'!$D$1:$O$258,11,FALSE)),"",(VLOOKUP($E236,'A-1 Site Habitat Baseline'!$D$1:$O$258,11,FALSE))))</f>
        <v/>
      </c>
      <c r="M236" s="520" t="str">
        <f>IF(E236="","",IF(ISNA(VLOOKUP($E236,'A-1 Site Habitat Baseline'!$D$1:$O$258,12,FALSE)),"",(VLOOKUP($E236,'A-1 Site Habitat Baseline'!$D$1:$O$258,12,FALSE))))</f>
        <v/>
      </c>
      <c r="N236" s="532" t="str">
        <f>IF(E236="","",IF(ISNA(VLOOKUP($E236,'A-1 Site Habitat Baseline'!$D$1:$X$258,14,FALSE)),"",(VLOOKUP($E236,'A-1 Site Habitat Baseline'!$D$1:$X$258,14,FALSE))))</f>
        <v/>
      </c>
      <c r="O236" s="524" t="str">
        <f>IF(E236="","",IF(ISNA(VLOOKUP($E236,'A-1 Site Habitat Baseline'!$D$1:$X$258,16,FALSE)),"",(VLOOKUP($E236,'A-1 Site Habitat Baseline'!$D$1:$X$258,13,FALSE))))</f>
        <v/>
      </c>
      <c r="P236" s="237" t="str">
        <f>IFERROR(INDEX('G-1 All Habitats'!$AG$3:$AG$15,MATCH(Q236,'G-1 All Habitats'!$AF$3:$AF$15,0)),"")</f>
        <v/>
      </c>
      <c r="Q236" s="238" t="str">
        <f t="shared" si="37"/>
        <v/>
      </c>
      <c r="R236" s="238" t="str">
        <f t="shared" si="38"/>
        <v/>
      </c>
      <c r="S236" s="392" t="str">
        <f>IFERROR(INDEX('G-1 All Habitats'!$B$3:$B$129,MATCH(R236,'G-1 All Habitats'!$A$3:$A$129,0)),"")</f>
        <v/>
      </c>
      <c r="T236" s="498" t="str">
        <f t="shared" si="39"/>
        <v/>
      </c>
      <c r="U236" s="499" t="str">
        <f t="shared" si="40"/>
        <v/>
      </c>
      <c r="V236" s="537" t="str">
        <f t="shared" si="34"/>
        <v/>
      </c>
      <c r="W236" s="520" t="str">
        <f>IF(S236="","",VLOOKUP(S236,'G-1 All Habitats'!$B$2:$M$129,10,FALSE))</f>
        <v/>
      </c>
      <c r="X236" s="520" t="str">
        <f>IFERROR(VLOOKUP(W236,'G-1 All Habitats'!$V$3:$W$7,2,FALSE),"")</f>
        <v/>
      </c>
      <c r="Y236" s="79"/>
      <c r="Z236" s="524" t="str">
        <f>IFERROR(INDEX('G-8 Condition Look up'!$A$3:$H$130,MATCH(S236,'G-8 Condition Look up'!$A$3:$A$130,0),MATCH(Y236,'G-8 Condition Look up'!$A$3:$H$3,0)),"")</f>
        <v/>
      </c>
      <c r="AA236" s="71"/>
      <c r="AB236" s="520" t="str">
        <f>IF(AA236="","",IF(VLOOKUP(AA236,'G-3 Multipliers'!$L$3:$N$6,2,FALSE)=0,"Spatial Data Missing ⚠",VLOOKUP(AA236,'G-3 Multipliers'!$L$3:$N$6,2,FALSE)))</f>
        <v/>
      </c>
      <c r="AC236" s="524" t="str">
        <f>IF(AA236="","",IF(VLOOKUP(AA236,'G-3 Multipliers'!$L$3:$N$6,3,FALSE)=0,"Spatial Data Missing ⚠",VLOOKUP(AA236,'G-3 Multipliers'!$L$3:$N$6,3,FALSE)))</f>
        <v/>
      </c>
      <c r="AD236" s="539" t="str">
        <f t="shared" si="35"/>
        <v/>
      </c>
      <c r="AE236" s="82"/>
      <c r="AF236" s="82"/>
      <c r="AG236" s="507" t="str">
        <f t="shared" si="41"/>
        <v/>
      </c>
      <c r="AH236" s="521" t="str">
        <f t="shared" si="42"/>
        <v/>
      </c>
      <c r="AI236" s="522" t="str">
        <f>IF(AH236="Check Data","Check Data",IFERROR(VLOOKUP(AH236,'G-4 Temporal multipliers'!$A$4:$C$36,3,FALSE),""))</f>
        <v/>
      </c>
      <c r="AJ236" s="498" t="str">
        <f>IF(S236="","",VLOOKUP(S236,'G-3 Multipliers'!$A$2:$E$129,4,FALSE))</f>
        <v/>
      </c>
      <c r="AK236" s="507" t="str">
        <f t="shared" si="43"/>
        <v/>
      </c>
      <c r="AL236" s="507" t="str">
        <f t="shared" si="44"/>
        <v/>
      </c>
      <c r="AM236" s="540" t="str">
        <f>IFERROR(IF(F236="","",IF(AH236="Check Data ⚠","Check Data ⚠",VLOOKUP(AL236, 'G-3 Multipliers'!$P$2:$Q$6,2,FALSE))),"")</f>
        <v/>
      </c>
      <c r="AN236" s="513" t="str">
        <f t="shared" si="36"/>
        <v/>
      </c>
      <c r="AO236" s="239"/>
      <c r="AP236" s="240"/>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1" t="str">
        <f>'A-1 Site Habitat Baseline'!AL236</f>
        <v/>
      </c>
      <c r="F237" s="520" t="str">
        <f>IF(E237="","",IF(ISNA(VLOOKUP($E237,'A-1 Site Habitat Baseline'!$D$1:$O$258,4,FALSE)),"",(VLOOKUP($E237,'A-1 Site Habitat Baseline'!$D$1:$O$258,4,FALSE))))</f>
        <v/>
      </c>
      <c r="G237" s="520" t="str">
        <f>IF(E237="","",IF(ISNA(VLOOKUP($E237,'A-1 Site Habitat Baseline'!$D$1:$O$258,5,FALSE)),"",(VLOOKUP($E237,'A-1 Site Habitat Baseline'!$D$1:$O$258,5,FALSE))))</f>
        <v/>
      </c>
      <c r="H237" s="520" t="str">
        <f>IF(E237="","",IF(ISNA(VLOOKUP($E237,'A-1 Site Habitat Baseline'!$D$1:$O$258,6,FALSE)),"",(VLOOKUP($E237,'A-1 Site Habitat Baseline'!$D$1:$O$258,6,FALSE))))</f>
        <v/>
      </c>
      <c r="I237" s="520" t="str">
        <f>IF(E237="","",IF(ISNA(VLOOKUP($E237,'A-1 Site Habitat Baseline'!$D$1:$O$258,7,FALSE)),"",(VLOOKUP($E237,'A-1 Site Habitat Baseline'!$D$1:$O$258,7,FALSE))))</f>
        <v/>
      </c>
      <c r="J237" s="520" t="str">
        <f>IF(E237="","",IF(ISNA(VLOOKUP($E237,'A-1 Site Habitat Baseline'!$D$1:$O$258,8,FALSE)),"",(VLOOKUP($E237,'A-1 Site Habitat Baseline'!$D$1:$O$258,8,FALSE))))</f>
        <v/>
      </c>
      <c r="K237" s="520" t="str">
        <f>IF(E237="","",IF(ISNA(VLOOKUP($E237,'A-1 Site Habitat Baseline'!$D$1:$O$258,9,FALSE)),"",(VLOOKUP($E237,'A-1 Site Habitat Baseline'!$D$1:$O$258,9,FALSE))))</f>
        <v/>
      </c>
      <c r="L237" s="520" t="str">
        <f>IF(E237="","",IF(ISNA(VLOOKUP($E237,'A-1 Site Habitat Baseline'!$D$1:$O$258,11,FALSE)),"",(VLOOKUP($E237,'A-1 Site Habitat Baseline'!$D$1:$O$258,11,FALSE))))</f>
        <v/>
      </c>
      <c r="M237" s="520" t="str">
        <f>IF(E237="","",IF(ISNA(VLOOKUP($E237,'A-1 Site Habitat Baseline'!$D$1:$O$258,12,FALSE)),"",(VLOOKUP($E237,'A-1 Site Habitat Baseline'!$D$1:$O$258,12,FALSE))))</f>
        <v/>
      </c>
      <c r="N237" s="532" t="str">
        <f>IF(E237="","",IF(ISNA(VLOOKUP($E237,'A-1 Site Habitat Baseline'!$D$1:$X$258,14,FALSE)),"",(VLOOKUP($E237,'A-1 Site Habitat Baseline'!$D$1:$X$258,14,FALSE))))</f>
        <v/>
      </c>
      <c r="O237" s="524" t="str">
        <f>IF(E237="","",IF(ISNA(VLOOKUP($E237,'A-1 Site Habitat Baseline'!$D$1:$X$258,16,FALSE)),"",(VLOOKUP($E237,'A-1 Site Habitat Baseline'!$D$1:$X$258,13,FALSE))))</f>
        <v/>
      </c>
      <c r="P237" s="237" t="str">
        <f>IFERROR(INDEX('G-1 All Habitats'!$AG$3:$AG$15,MATCH(Q237,'G-1 All Habitats'!$AF$3:$AF$15,0)),"")</f>
        <v/>
      </c>
      <c r="Q237" s="238" t="str">
        <f t="shared" si="37"/>
        <v/>
      </c>
      <c r="R237" s="238" t="str">
        <f t="shared" si="38"/>
        <v/>
      </c>
      <c r="S237" s="392" t="str">
        <f>IFERROR(INDEX('G-1 All Habitats'!$B$3:$B$129,MATCH(R237,'G-1 All Habitats'!$A$3:$A$129,0)),"")</f>
        <v/>
      </c>
      <c r="T237" s="498" t="str">
        <f t="shared" si="39"/>
        <v/>
      </c>
      <c r="U237" s="499" t="str">
        <f t="shared" si="40"/>
        <v/>
      </c>
      <c r="V237" s="537" t="str">
        <f t="shared" si="34"/>
        <v/>
      </c>
      <c r="W237" s="520" t="str">
        <f>IF(S237="","",VLOOKUP(S237,'G-1 All Habitats'!$B$2:$M$129,10,FALSE))</f>
        <v/>
      </c>
      <c r="X237" s="520" t="str">
        <f>IFERROR(VLOOKUP(W237,'G-1 All Habitats'!$V$3:$W$7,2,FALSE),"")</f>
        <v/>
      </c>
      <c r="Y237" s="79"/>
      <c r="Z237" s="524" t="str">
        <f>IFERROR(INDEX('G-8 Condition Look up'!$A$3:$H$130,MATCH(S237,'G-8 Condition Look up'!$A$3:$A$130,0),MATCH(Y237,'G-8 Condition Look up'!$A$3:$H$3,0)),"")</f>
        <v/>
      </c>
      <c r="AA237" s="71"/>
      <c r="AB237" s="520" t="str">
        <f>IF(AA237="","",IF(VLOOKUP(AA237,'G-3 Multipliers'!$L$3:$N$6,2,FALSE)=0,"Spatial Data Missing ⚠",VLOOKUP(AA237,'G-3 Multipliers'!$L$3:$N$6,2,FALSE)))</f>
        <v/>
      </c>
      <c r="AC237" s="524" t="str">
        <f>IF(AA237="","",IF(VLOOKUP(AA237,'G-3 Multipliers'!$L$3:$N$6,3,FALSE)=0,"Spatial Data Missing ⚠",VLOOKUP(AA237,'G-3 Multipliers'!$L$3:$N$6,3,FALSE)))</f>
        <v/>
      </c>
      <c r="AD237" s="539" t="str">
        <f t="shared" si="35"/>
        <v/>
      </c>
      <c r="AE237" s="82"/>
      <c r="AF237" s="82"/>
      <c r="AG237" s="507" t="str">
        <f t="shared" si="41"/>
        <v/>
      </c>
      <c r="AH237" s="521" t="str">
        <f t="shared" si="42"/>
        <v/>
      </c>
      <c r="AI237" s="522" t="str">
        <f>IF(AH237="Check Data","Check Data",IFERROR(VLOOKUP(AH237,'G-4 Temporal multipliers'!$A$4:$C$36,3,FALSE),""))</f>
        <v/>
      </c>
      <c r="AJ237" s="498" t="str">
        <f>IF(S237="","",VLOOKUP(S237,'G-3 Multipliers'!$A$2:$E$129,4,FALSE))</f>
        <v/>
      </c>
      <c r="AK237" s="507" t="str">
        <f t="shared" si="43"/>
        <v/>
      </c>
      <c r="AL237" s="507" t="str">
        <f t="shared" si="44"/>
        <v/>
      </c>
      <c r="AM237" s="540" t="str">
        <f>IFERROR(IF(F237="","",IF(AH237="Check Data ⚠","Check Data ⚠",VLOOKUP(AL237, 'G-3 Multipliers'!$P$2:$Q$6,2,FALSE))),"")</f>
        <v/>
      </c>
      <c r="AN237" s="513" t="str">
        <f t="shared" si="36"/>
        <v/>
      </c>
      <c r="AO237" s="239"/>
      <c r="AP237" s="240"/>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1" t="str">
        <f>'A-1 Site Habitat Baseline'!AL237</f>
        <v/>
      </c>
      <c r="F238" s="520" t="str">
        <f>IF(E238="","",IF(ISNA(VLOOKUP($E238,'A-1 Site Habitat Baseline'!$D$1:$O$258,4,FALSE)),"",(VLOOKUP($E238,'A-1 Site Habitat Baseline'!$D$1:$O$258,4,FALSE))))</f>
        <v/>
      </c>
      <c r="G238" s="520" t="str">
        <f>IF(E238="","",IF(ISNA(VLOOKUP($E238,'A-1 Site Habitat Baseline'!$D$1:$O$258,5,FALSE)),"",(VLOOKUP($E238,'A-1 Site Habitat Baseline'!$D$1:$O$258,5,FALSE))))</f>
        <v/>
      </c>
      <c r="H238" s="520" t="str">
        <f>IF(E238="","",IF(ISNA(VLOOKUP($E238,'A-1 Site Habitat Baseline'!$D$1:$O$258,6,FALSE)),"",(VLOOKUP($E238,'A-1 Site Habitat Baseline'!$D$1:$O$258,6,FALSE))))</f>
        <v/>
      </c>
      <c r="I238" s="520" t="str">
        <f>IF(E238="","",IF(ISNA(VLOOKUP($E238,'A-1 Site Habitat Baseline'!$D$1:$O$258,7,FALSE)),"",(VLOOKUP($E238,'A-1 Site Habitat Baseline'!$D$1:$O$258,7,FALSE))))</f>
        <v/>
      </c>
      <c r="J238" s="520" t="str">
        <f>IF(E238="","",IF(ISNA(VLOOKUP($E238,'A-1 Site Habitat Baseline'!$D$1:$O$258,8,FALSE)),"",(VLOOKUP($E238,'A-1 Site Habitat Baseline'!$D$1:$O$258,8,FALSE))))</f>
        <v/>
      </c>
      <c r="K238" s="520" t="str">
        <f>IF(E238="","",IF(ISNA(VLOOKUP($E238,'A-1 Site Habitat Baseline'!$D$1:$O$258,9,FALSE)),"",(VLOOKUP($E238,'A-1 Site Habitat Baseline'!$D$1:$O$258,9,FALSE))))</f>
        <v/>
      </c>
      <c r="L238" s="520" t="str">
        <f>IF(E238="","",IF(ISNA(VLOOKUP($E238,'A-1 Site Habitat Baseline'!$D$1:$O$258,11,FALSE)),"",(VLOOKUP($E238,'A-1 Site Habitat Baseline'!$D$1:$O$258,11,FALSE))))</f>
        <v/>
      </c>
      <c r="M238" s="520" t="str">
        <f>IF(E238="","",IF(ISNA(VLOOKUP($E238,'A-1 Site Habitat Baseline'!$D$1:$O$258,12,FALSE)),"",(VLOOKUP($E238,'A-1 Site Habitat Baseline'!$D$1:$O$258,12,FALSE))))</f>
        <v/>
      </c>
      <c r="N238" s="532" t="str">
        <f>IF(E238="","",IF(ISNA(VLOOKUP($E238,'A-1 Site Habitat Baseline'!$D$1:$X$258,14,FALSE)),"",(VLOOKUP($E238,'A-1 Site Habitat Baseline'!$D$1:$X$258,14,FALSE))))</f>
        <v/>
      </c>
      <c r="O238" s="524" t="str">
        <f>IF(E238="","",IF(ISNA(VLOOKUP($E238,'A-1 Site Habitat Baseline'!$D$1:$X$258,16,FALSE)),"",(VLOOKUP($E238,'A-1 Site Habitat Baseline'!$D$1:$X$258,13,FALSE))))</f>
        <v/>
      </c>
      <c r="P238" s="237" t="str">
        <f>IFERROR(INDEX('G-1 All Habitats'!$AG$3:$AG$15,MATCH(Q238,'G-1 All Habitats'!$AF$3:$AF$15,0)),"")</f>
        <v/>
      </c>
      <c r="Q238" s="238" t="str">
        <f t="shared" si="37"/>
        <v/>
      </c>
      <c r="R238" s="238" t="str">
        <f t="shared" si="38"/>
        <v/>
      </c>
      <c r="S238" s="392" t="str">
        <f>IFERROR(INDEX('G-1 All Habitats'!$B$3:$B$129,MATCH(R238,'G-1 All Habitats'!$A$3:$A$129,0)),"")</f>
        <v/>
      </c>
      <c r="T238" s="498" t="str">
        <f t="shared" si="39"/>
        <v/>
      </c>
      <c r="U238" s="499" t="str">
        <f t="shared" si="40"/>
        <v/>
      </c>
      <c r="V238" s="537" t="str">
        <f t="shared" si="34"/>
        <v/>
      </c>
      <c r="W238" s="520" t="str">
        <f>IF(S238="","",VLOOKUP(S238,'G-1 All Habitats'!$B$2:$M$129,10,FALSE))</f>
        <v/>
      </c>
      <c r="X238" s="520" t="str">
        <f>IFERROR(VLOOKUP(W238,'G-1 All Habitats'!$V$3:$W$7,2,FALSE),"")</f>
        <v/>
      </c>
      <c r="Y238" s="79"/>
      <c r="Z238" s="524" t="str">
        <f>IFERROR(INDEX('G-8 Condition Look up'!$A$3:$H$130,MATCH(S238,'G-8 Condition Look up'!$A$3:$A$130,0),MATCH(Y238,'G-8 Condition Look up'!$A$3:$H$3,0)),"")</f>
        <v/>
      </c>
      <c r="AA238" s="71"/>
      <c r="AB238" s="520" t="str">
        <f>IF(AA238="","",IF(VLOOKUP(AA238,'G-3 Multipliers'!$L$3:$N$6,2,FALSE)=0,"Spatial Data Missing ⚠",VLOOKUP(AA238,'G-3 Multipliers'!$L$3:$N$6,2,FALSE)))</f>
        <v/>
      </c>
      <c r="AC238" s="524" t="str">
        <f>IF(AA238="","",IF(VLOOKUP(AA238,'G-3 Multipliers'!$L$3:$N$6,3,FALSE)=0,"Spatial Data Missing ⚠",VLOOKUP(AA238,'G-3 Multipliers'!$L$3:$N$6,3,FALSE)))</f>
        <v/>
      </c>
      <c r="AD238" s="539" t="str">
        <f t="shared" si="35"/>
        <v/>
      </c>
      <c r="AE238" s="82"/>
      <c r="AF238" s="82"/>
      <c r="AG238" s="507" t="str">
        <f t="shared" si="41"/>
        <v/>
      </c>
      <c r="AH238" s="521" t="str">
        <f t="shared" si="42"/>
        <v/>
      </c>
      <c r="AI238" s="522" t="str">
        <f>IF(AH238="Check Data","Check Data",IFERROR(VLOOKUP(AH238,'G-4 Temporal multipliers'!$A$4:$C$36,3,FALSE),""))</f>
        <v/>
      </c>
      <c r="AJ238" s="498" t="str">
        <f>IF(S238="","",VLOOKUP(S238,'G-3 Multipliers'!$A$2:$E$129,4,FALSE))</f>
        <v/>
      </c>
      <c r="AK238" s="507" t="str">
        <f t="shared" si="43"/>
        <v/>
      </c>
      <c r="AL238" s="507" t="str">
        <f t="shared" si="44"/>
        <v/>
      </c>
      <c r="AM238" s="540" t="str">
        <f>IFERROR(IF(F238="","",IF(AH238="Check Data ⚠","Check Data ⚠",VLOOKUP(AL238, 'G-3 Multipliers'!$P$2:$Q$6,2,FALSE))),"")</f>
        <v/>
      </c>
      <c r="AN238" s="513" t="str">
        <f t="shared" si="36"/>
        <v/>
      </c>
      <c r="AO238" s="239"/>
      <c r="AP238" s="240"/>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1" t="str">
        <f>'A-1 Site Habitat Baseline'!AL238</f>
        <v/>
      </c>
      <c r="F239" s="520" t="str">
        <f>IF(E239="","",IF(ISNA(VLOOKUP($E239,'A-1 Site Habitat Baseline'!$D$1:$O$258,4,FALSE)),"",(VLOOKUP($E239,'A-1 Site Habitat Baseline'!$D$1:$O$258,4,FALSE))))</f>
        <v/>
      </c>
      <c r="G239" s="520" t="str">
        <f>IF(E239="","",IF(ISNA(VLOOKUP($E239,'A-1 Site Habitat Baseline'!$D$1:$O$258,5,FALSE)),"",(VLOOKUP($E239,'A-1 Site Habitat Baseline'!$D$1:$O$258,5,FALSE))))</f>
        <v/>
      </c>
      <c r="H239" s="520" t="str">
        <f>IF(E239="","",IF(ISNA(VLOOKUP($E239,'A-1 Site Habitat Baseline'!$D$1:$O$258,6,FALSE)),"",(VLOOKUP($E239,'A-1 Site Habitat Baseline'!$D$1:$O$258,6,FALSE))))</f>
        <v/>
      </c>
      <c r="I239" s="520" t="str">
        <f>IF(E239="","",IF(ISNA(VLOOKUP($E239,'A-1 Site Habitat Baseline'!$D$1:$O$258,7,FALSE)),"",(VLOOKUP($E239,'A-1 Site Habitat Baseline'!$D$1:$O$258,7,FALSE))))</f>
        <v/>
      </c>
      <c r="J239" s="520" t="str">
        <f>IF(E239="","",IF(ISNA(VLOOKUP($E239,'A-1 Site Habitat Baseline'!$D$1:$O$258,8,FALSE)),"",(VLOOKUP($E239,'A-1 Site Habitat Baseline'!$D$1:$O$258,8,FALSE))))</f>
        <v/>
      </c>
      <c r="K239" s="520" t="str">
        <f>IF(E239="","",IF(ISNA(VLOOKUP($E239,'A-1 Site Habitat Baseline'!$D$1:$O$258,9,FALSE)),"",(VLOOKUP($E239,'A-1 Site Habitat Baseline'!$D$1:$O$258,9,FALSE))))</f>
        <v/>
      </c>
      <c r="L239" s="520" t="str">
        <f>IF(E239="","",IF(ISNA(VLOOKUP($E239,'A-1 Site Habitat Baseline'!$D$1:$O$258,11,FALSE)),"",(VLOOKUP($E239,'A-1 Site Habitat Baseline'!$D$1:$O$258,11,FALSE))))</f>
        <v/>
      </c>
      <c r="M239" s="520" t="str">
        <f>IF(E239="","",IF(ISNA(VLOOKUP($E239,'A-1 Site Habitat Baseline'!$D$1:$O$258,12,FALSE)),"",(VLOOKUP($E239,'A-1 Site Habitat Baseline'!$D$1:$O$258,12,FALSE))))</f>
        <v/>
      </c>
      <c r="N239" s="532" t="str">
        <f>IF(E239="","",IF(ISNA(VLOOKUP($E239,'A-1 Site Habitat Baseline'!$D$1:$X$258,14,FALSE)),"",(VLOOKUP($E239,'A-1 Site Habitat Baseline'!$D$1:$X$258,14,FALSE))))</f>
        <v/>
      </c>
      <c r="O239" s="524" t="str">
        <f>IF(E239="","",IF(ISNA(VLOOKUP($E239,'A-1 Site Habitat Baseline'!$D$1:$X$258,16,FALSE)),"",(VLOOKUP($E239,'A-1 Site Habitat Baseline'!$D$1:$X$258,13,FALSE))))</f>
        <v/>
      </c>
      <c r="P239" s="237" t="str">
        <f>IFERROR(INDEX('G-1 All Habitats'!$AG$3:$AG$15,MATCH(Q239,'G-1 All Habitats'!$AF$3:$AF$15,0)),"")</f>
        <v/>
      </c>
      <c r="Q239" s="238" t="str">
        <f t="shared" si="37"/>
        <v/>
      </c>
      <c r="R239" s="238" t="str">
        <f t="shared" si="38"/>
        <v/>
      </c>
      <c r="S239" s="392" t="str">
        <f>IFERROR(INDEX('G-1 All Habitats'!$B$3:$B$129,MATCH(R239,'G-1 All Habitats'!$A$3:$A$129,0)),"")</f>
        <v/>
      </c>
      <c r="T239" s="498" t="str">
        <f t="shared" si="39"/>
        <v/>
      </c>
      <c r="U239" s="499" t="str">
        <f t="shared" si="40"/>
        <v/>
      </c>
      <c r="V239" s="537" t="str">
        <f t="shared" si="34"/>
        <v/>
      </c>
      <c r="W239" s="520" t="str">
        <f>IF(S239="","",VLOOKUP(S239,'G-1 All Habitats'!$B$2:$M$129,10,FALSE))</f>
        <v/>
      </c>
      <c r="X239" s="520" t="str">
        <f>IFERROR(VLOOKUP(W239,'G-1 All Habitats'!$V$3:$W$7,2,FALSE),"")</f>
        <v/>
      </c>
      <c r="Y239" s="79"/>
      <c r="Z239" s="524" t="str">
        <f>IFERROR(INDEX('G-8 Condition Look up'!$A$3:$H$130,MATCH(S239,'G-8 Condition Look up'!$A$3:$A$130,0),MATCH(Y239,'G-8 Condition Look up'!$A$3:$H$3,0)),"")</f>
        <v/>
      </c>
      <c r="AA239" s="71"/>
      <c r="AB239" s="520" t="str">
        <f>IF(AA239="","",IF(VLOOKUP(AA239,'G-3 Multipliers'!$L$3:$N$6,2,FALSE)=0,"Spatial Data Missing ⚠",VLOOKUP(AA239,'G-3 Multipliers'!$L$3:$N$6,2,FALSE)))</f>
        <v/>
      </c>
      <c r="AC239" s="524" t="str">
        <f>IF(AA239="","",IF(VLOOKUP(AA239,'G-3 Multipliers'!$L$3:$N$6,3,FALSE)=0,"Spatial Data Missing ⚠",VLOOKUP(AA239,'G-3 Multipliers'!$L$3:$N$6,3,FALSE)))</f>
        <v/>
      </c>
      <c r="AD239" s="539" t="str">
        <f t="shared" si="35"/>
        <v/>
      </c>
      <c r="AE239" s="82"/>
      <c r="AF239" s="82"/>
      <c r="AG239" s="507" t="str">
        <f t="shared" si="41"/>
        <v/>
      </c>
      <c r="AH239" s="521" t="str">
        <f t="shared" si="42"/>
        <v/>
      </c>
      <c r="AI239" s="522" t="str">
        <f>IF(AH239="Check Data","Check Data",IFERROR(VLOOKUP(AH239,'G-4 Temporal multipliers'!$A$4:$C$36,3,FALSE),""))</f>
        <v/>
      </c>
      <c r="AJ239" s="498" t="str">
        <f>IF(S239="","",VLOOKUP(S239,'G-3 Multipliers'!$A$2:$E$129,4,FALSE))</f>
        <v/>
      </c>
      <c r="AK239" s="507" t="str">
        <f t="shared" si="43"/>
        <v/>
      </c>
      <c r="AL239" s="507" t="str">
        <f t="shared" si="44"/>
        <v/>
      </c>
      <c r="AM239" s="540" t="str">
        <f>IFERROR(IF(F239="","",IF(AH239="Check Data ⚠","Check Data ⚠",VLOOKUP(AL239, 'G-3 Multipliers'!$P$2:$Q$6,2,FALSE))),"")</f>
        <v/>
      </c>
      <c r="AN239" s="513" t="str">
        <f t="shared" si="36"/>
        <v/>
      </c>
      <c r="AO239" s="239"/>
      <c r="AP239" s="240"/>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1" t="str">
        <f>'A-1 Site Habitat Baseline'!AL239</f>
        <v/>
      </c>
      <c r="F240" s="520" t="str">
        <f>IF(E240="","",IF(ISNA(VLOOKUP($E240,'A-1 Site Habitat Baseline'!$D$1:$O$258,4,FALSE)),"",(VLOOKUP($E240,'A-1 Site Habitat Baseline'!$D$1:$O$258,4,FALSE))))</f>
        <v/>
      </c>
      <c r="G240" s="520" t="str">
        <f>IF(E240="","",IF(ISNA(VLOOKUP($E240,'A-1 Site Habitat Baseline'!$D$1:$O$258,5,FALSE)),"",(VLOOKUP($E240,'A-1 Site Habitat Baseline'!$D$1:$O$258,5,FALSE))))</f>
        <v/>
      </c>
      <c r="H240" s="520" t="str">
        <f>IF(E240="","",IF(ISNA(VLOOKUP($E240,'A-1 Site Habitat Baseline'!$D$1:$O$258,6,FALSE)),"",(VLOOKUP($E240,'A-1 Site Habitat Baseline'!$D$1:$O$258,6,FALSE))))</f>
        <v/>
      </c>
      <c r="I240" s="520" t="str">
        <f>IF(E240="","",IF(ISNA(VLOOKUP($E240,'A-1 Site Habitat Baseline'!$D$1:$O$258,7,FALSE)),"",(VLOOKUP($E240,'A-1 Site Habitat Baseline'!$D$1:$O$258,7,FALSE))))</f>
        <v/>
      </c>
      <c r="J240" s="520" t="str">
        <f>IF(E240="","",IF(ISNA(VLOOKUP($E240,'A-1 Site Habitat Baseline'!$D$1:$O$258,8,FALSE)),"",(VLOOKUP($E240,'A-1 Site Habitat Baseline'!$D$1:$O$258,8,FALSE))))</f>
        <v/>
      </c>
      <c r="K240" s="520" t="str">
        <f>IF(E240="","",IF(ISNA(VLOOKUP($E240,'A-1 Site Habitat Baseline'!$D$1:$O$258,9,FALSE)),"",(VLOOKUP($E240,'A-1 Site Habitat Baseline'!$D$1:$O$258,9,FALSE))))</f>
        <v/>
      </c>
      <c r="L240" s="520" t="str">
        <f>IF(E240="","",IF(ISNA(VLOOKUP($E240,'A-1 Site Habitat Baseline'!$D$1:$O$258,11,FALSE)),"",(VLOOKUP($E240,'A-1 Site Habitat Baseline'!$D$1:$O$258,11,FALSE))))</f>
        <v/>
      </c>
      <c r="M240" s="520" t="str">
        <f>IF(E240="","",IF(ISNA(VLOOKUP($E240,'A-1 Site Habitat Baseline'!$D$1:$O$258,12,FALSE)),"",(VLOOKUP($E240,'A-1 Site Habitat Baseline'!$D$1:$O$258,12,FALSE))))</f>
        <v/>
      </c>
      <c r="N240" s="532" t="str">
        <f>IF(E240="","",IF(ISNA(VLOOKUP($E240,'A-1 Site Habitat Baseline'!$D$1:$X$258,14,FALSE)),"",(VLOOKUP($E240,'A-1 Site Habitat Baseline'!$D$1:$X$258,14,FALSE))))</f>
        <v/>
      </c>
      <c r="O240" s="524" t="str">
        <f>IF(E240="","",IF(ISNA(VLOOKUP($E240,'A-1 Site Habitat Baseline'!$D$1:$X$258,16,FALSE)),"",(VLOOKUP($E240,'A-1 Site Habitat Baseline'!$D$1:$X$258,13,FALSE))))</f>
        <v/>
      </c>
      <c r="P240" s="237" t="str">
        <f>IFERROR(INDEX('G-1 All Habitats'!$AG$3:$AG$15,MATCH(Q240,'G-1 All Habitats'!$AF$3:$AF$15,0)),"")</f>
        <v/>
      </c>
      <c r="Q240" s="238" t="str">
        <f t="shared" si="37"/>
        <v/>
      </c>
      <c r="R240" s="238" t="str">
        <f t="shared" si="38"/>
        <v/>
      </c>
      <c r="S240" s="392" t="str">
        <f>IFERROR(INDEX('G-1 All Habitats'!$B$3:$B$129,MATCH(R240,'G-1 All Habitats'!$A$3:$A$129,0)),"")</f>
        <v/>
      </c>
      <c r="T240" s="498" t="str">
        <f t="shared" si="39"/>
        <v/>
      </c>
      <c r="U240" s="499" t="str">
        <f t="shared" si="40"/>
        <v/>
      </c>
      <c r="V240" s="537" t="str">
        <f t="shared" si="34"/>
        <v/>
      </c>
      <c r="W240" s="520" t="str">
        <f>IF(S240="","",VLOOKUP(S240,'G-1 All Habitats'!$B$2:$M$129,10,FALSE))</f>
        <v/>
      </c>
      <c r="X240" s="520" t="str">
        <f>IFERROR(VLOOKUP(W240,'G-1 All Habitats'!$V$3:$W$7,2,FALSE),"")</f>
        <v/>
      </c>
      <c r="Y240" s="79"/>
      <c r="Z240" s="524" t="str">
        <f>IFERROR(INDEX('G-8 Condition Look up'!$A$3:$H$130,MATCH(S240,'G-8 Condition Look up'!$A$3:$A$130,0),MATCH(Y240,'G-8 Condition Look up'!$A$3:$H$3,0)),"")</f>
        <v/>
      </c>
      <c r="AA240" s="71"/>
      <c r="AB240" s="520" t="str">
        <f>IF(AA240="","",IF(VLOOKUP(AA240,'G-3 Multipliers'!$L$3:$N$6,2,FALSE)=0,"Spatial Data Missing ⚠",VLOOKUP(AA240,'G-3 Multipliers'!$L$3:$N$6,2,FALSE)))</f>
        <v/>
      </c>
      <c r="AC240" s="524" t="str">
        <f>IF(AA240="","",IF(VLOOKUP(AA240,'G-3 Multipliers'!$L$3:$N$6,3,FALSE)=0,"Spatial Data Missing ⚠",VLOOKUP(AA240,'G-3 Multipliers'!$L$3:$N$6,3,FALSE)))</f>
        <v/>
      </c>
      <c r="AD240" s="539" t="str">
        <f t="shared" si="35"/>
        <v/>
      </c>
      <c r="AE240" s="82"/>
      <c r="AF240" s="82"/>
      <c r="AG240" s="507" t="str">
        <f t="shared" si="41"/>
        <v/>
      </c>
      <c r="AH240" s="521" t="str">
        <f t="shared" si="42"/>
        <v/>
      </c>
      <c r="AI240" s="522" t="str">
        <f>IF(AH240="Check Data","Check Data",IFERROR(VLOOKUP(AH240,'G-4 Temporal multipliers'!$A$4:$C$36,3,FALSE),""))</f>
        <v/>
      </c>
      <c r="AJ240" s="498" t="str">
        <f>IF(S240="","",VLOOKUP(S240,'G-3 Multipliers'!$A$2:$E$129,4,FALSE))</f>
        <v/>
      </c>
      <c r="AK240" s="507" t="str">
        <f t="shared" si="43"/>
        <v/>
      </c>
      <c r="AL240" s="507" t="str">
        <f t="shared" si="44"/>
        <v/>
      </c>
      <c r="AM240" s="540" t="str">
        <f>IFERROR(IF(F240="","",IF(AH240="Check Data ⚠","Check Data ⚠",VLOOKUP(AL240, 'G-3 Multipliers'!$P$2:$Q$6,2,FALSE))),"")</f>
        <v/>
      </c>
      <c r="AN240" s="513" t="str">
        <f t="shared" si="36"/>
        <v/>
      </c>
      <c r="AO240" s="239"/>
      <c r="AP240" s="240"/>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1" t="str">
        <f>'A-1 Site Habitat Baseline'!AL240</f>
        <v/>
      </c>
      <c r="F241" s="520" t="str">
        <f>IF(E241="","",IF(ISNA(VLOOKUP($E241,'A-1 Site Habitat Baseline'!$D$1:$O$258,4,FALSE)),"",(VLOOKUP($E241,'A-1 Site Habitat Baseline'!$D$1:$O$258,4,FALSE))))</f>
        <v/>
      </c>
      <c r="G241" s="520" t="str">
        <f>IF(E241="","",IF(ISNA(VLOOKUP($E241,'A-1 Site Habitat Baseline'!$D$1:$O$258,5,FALSE)),"",(VLOOKUP($E241,'A-1 Site Habitat Baseline'!$D$1:$O$258,5,FALSE))))</f>
        <v/>
      </c>
      <c r="H241" s="520" t="str">
        <f>IF(E241="","",IF(ISNA(VLOOKUP($E241,'A-1 Site Habitat Baseline'!$D$1:$O$258,6,FALSE)),"",(VLOOKUP($E241,'A-1 Site Habitat Baseline'!$D$1:$O$258,6,FALSE))))</f>
        <v/>
      </c>
      <c r="I241" s="520" t="str">
        <f>IF(E241="","",IF(ISNA(VLOOKUP($E241,'A-1 Site Habitat Baseline'!$D$1:$O$258,7,FALSE)),"",(VLOOKUP($E241,'A-1 Site Habitat Baseline'!$D$1:$O$258,7,FALSE))))</f>
        <v/>
      </c>
      <c r="J241" s="520" t="str">
        <f>IF(E241="","",IF(ISNA(VLOOKUP($E241,'A-1 Site Habitat Baseline'!$D$1:$O$258,8,FALSE)),"",(VLOOKUP($E241,'A-1 Site Habitat Baseline'!$D$1:$O$258,8,FALSE))))</f>
        <v/>
      </c>
      <c r="K241" s="520" t="str">
        <f>IF(E241="","",IF(ISNA(VLOOKUP($E241,'A-1 Site Habitat Baseline'!$D$1:$O$258,9,FALSE)),"",(VLOOKUP($E241,'A-1 Site Habitat Baseline'!$D$1:$O$258,9,FALSE))))</f>
        <v/>
      </c>
      <c r="L241" s="520" t="str">
        <f>IF(E241="","",IF(ISNA(VLOOKUP($E241,'A-1 Site Habitat Baseline'!$D$1:$O$258,11,FALSE)),"",(VLOOKUP($E241,'A-1 Site Habitat Baseline'!$D$1:$O$258,11,FALSE))))</f>
        <v/>
      </c>
      <c r="M241" s="520" t="str">
        <f>IF(E241="","",IF(ISNA(VLOOKUP($E241,'A-1 Site Habitat Baseline'!$D$1:$O$258,12,FALSE)),"",(VLOOKUP($E241,'A-1 Site Habitat Baseline'!$D$1:$O$258,12,FALSE))))</f>
        <v/>
      </c>
      <c r="N241" s="532" t="str">
        <f>IF(E241="","",IF(ISNA(VLOOKUP($E241,'A-1 Site Habitat Baseline'!$D$1:$X$258,14,FALSE)),"",(VLOOKUP($E241,'A-1 Site Habitat Baseline'!$D$1:$X$258,14,FALSE))))</f>
        <v/>
      </c>
      <c r="O241" s="524" t="str">
        <f>IF(E241="","",IF(ISNA(VLOOKUP($E241,'A-1 Site Habitat Baseline'!$D$1:$X$258,16,FALSE)),"",(VLOOKUP($E241,'A-1 Site Habitat Baseline'!$D$1:$X$258,13,FALSE))))</f>
        <v/>
      </c>
      <c r="P241" s="237" t="str">
        <f>IFERROR(INDEX('G-1 All Habitats'!$AG$3:$AG$15,MATCH(Q241,'G-1 All Habitats'!$AF$3:$AF$15,0)),"")</f>
        <v/>
      </c>
      <c r="Q241" s="238" t="str">
        <f t="shared" si="37"/>
        <v/>
      </c>
      <c r="R241" s="238" t="str">
        <f t="shared" si="38"/>
        <v/>
      </c>
      <c r="S241" s="392" t="str">
        <f>IFERROR(INDEX('G-1 All Habitats'!$B$3:$B$129,MATCH(R241,'G-1 All Habitats'!$A$3:$A$129,0)),"")</f>
        <v/>
      </c>
      <c r="T241" s="498" t="str">
        <f t="shared" si="39"/>
        <v/>
      </c>
      <c r="U241" s="499" t="str">
        <f t="shared" si="40"/>
        <v/>
      </c>
      <c r="V241" s="537" t="str">
        <f t="shared" si="34"/>
        <v/>
      </c>
      <c r="W241" s="520" t="str">
        <f>IF(S241="","",VLOOKUP(S241,'G-1 All Habitats'!$B$2:$M$129,10,FALSE))</f>
        <v/>
      </c>
      <c r="X241" s="520" t="str">
        <f>IFERROR(VLOOKUP(W241,'G-1 All Habitats'!$V$3:$W$7,2,FALSE),"")</f>
        <v/>
      </c>
      <c r="Y241" s="79"/>
      <c r="Z241" s="524" t="str">
        <f>IFERROR(INDEX('G-8 Condition Look up'!$A$3:$H$130,MATCH(S241,'G-8 Condition Look up'!$A$3:$A$130,0),MATCH(Y241,'G-8 Condition Look up'!$A$3:$H$3,0)),"")</f>
        <v/>
      </c>
      <c r="AA241" s="71"/>
      <c r="AB241" s="520" t="str">
        <f>IF(AA241="","",IF(VLOOKUP(AA241,'G-3 Multipliers'!$L$3:$N$6,2,FALSE)=0,"Spatial Data Missing ⚠",VLOOKUP(AA241,'G-3 Multipliers'!$L$3:$N$6,2,FALSE)))</f>
        <v/>
      </c>
      <c r="AC241" s="524" t="str">
        <f>IF(AA241="","",IF(VLOOKUP(AA241,'G-3 Multipliers'!$L$3:$N$6,3,FALSE)=0,"Spatial Data Missing ⚠",VLOOKUP(AA241,'G-3 Multipliers'!$L$3:$N$6,3,FALSE)))</f>
        <v/>
      </c>
      <c r="AD241" s="539" t="str">
        <f t="shared" si="35"/>
        <v/>
      </c>
      <c r="AE241" s="82"/>
      <c r="AF241" s="82"/>
      <c r="AG241" s="507" t="str">
        <f t="shared" si="41"/>
        <v/>
      </c>
      <c r="AH241" s="521" t="str">
        <f t="shared" si="42"/>
        <v/>
      </c>
      <c r="AI241" s="522" t="str">
        <f>IF(AH241="Check Data","Check Data",IFERROR(VLOOKUP(AH241,'G-4 Temporal multipliers'!$A$4:$C$36,3,FALSE),""))</f>
        <v/>
      </c>
      <c r="AJ241" s="498" t="str">
        <f>IF(S241="","",VLOOKUP(S241,'G-3 Multipliers'!$A$2:$E$129,4,FALSE))</f>
        <v/>
      </c>
      <c r="AK241" s="507" t="str">
        <f t="shared" si="43"/>
        <v/>
      </c>
      <c r="AL241" s="507" t="str">
        <f t="shared" si="44"/>
        <v/>
      </c>
      <c r="AM241" s="540" t="str">
        <f>IFERROR(IF(F241="","",IF(AH241="Check Data ⚠","Check Data ⚠",VLOOKUP(AL241, 'G-3 Multipliers'!$P$2:$Q$6,2,FALSE))),"")</f>
        <v/>
      </c>
      <c r="AN241" s="513" t="str">
        <f t="shared" si="36"/>
        <v/>
      </c>
      <c r="AO241" s="239"/>
      <c r="AP241" s="240"/>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1" t="str">
        <f>'A-1 Site Habitat Baseline'!AL241</f>
        <v/>
      </c>
      <c r="F242" s="520" t="str">
        <f>IF(E242="","",IF(ISNA(VLOOKUP($E242,'A-1 Site Habitat Baseline'!$D$1:$O$258,4,FALSE)),"",(VLOOKUP($E242,'A-1 Site Habitat Baseline'!$D$1:$O$258,4,FALSE))))</f>
        <v/>
      </c>
      <c r="G242" s="520" t="str">
        <f>IF(E242="","",IF(ISNA(VLOOKUP($E242,'A-1 Site Habitat Baseline'!$D$1:$O$258,5,FALSE)),"",(VLOOKUP($E242,'A-1 Site Habitat Baseline'!$D$1:$O$258,5,FALSE))))</f>
        <v/>
      </c>
      <c r="H242" s="520" t="str">
        <f>IF(E242="","",IF(ISNA(VLOOKUP($E242,'A-1 Site Habitat Baseline'!$D$1:$O$258,6,FALSE)),"",(VLOOKUP($E242,'A-1 Site Habitat Baseline'!$D$1:$O$258,6,FALSE))))</f>
        <v/>
      </c>
      <c r="I242" s="520" t="str">
        <f>IF(E242="","",IF(ISNA(VLOOKUP($E242,'A-1 Site Habitat Baseline'!$D$1:$O$258,7,FALSE)),"",(VLOOKUP($E242,'A-1 Site Habitat Baseline'!$D$1:$O$258,7,FALSE))))</f>
        <v/>
      </c>
      <c r="J242" s="520" t="str">
        <f>IF(E242="","",IF(ISNA(VLOOKUP($E242,'A-1 Site Habitat Baseline'!$D$1:$O$258,8,FALSE)),"",(VLOOKUP($E242,'A-1 Site Habitat Baseline'!$D$1:$O$258,8,FALSE))))</f>
        <v/>
      </c>
      <c r="K242" s="520" t="str">
        <f>IF(E242="","",IF(ISNA(VLOOKUP($E242,'A-1 Site Habitat Baseline'!$D$1:$O$258,9,FALSE)),"",(VLOOKUP($E242,'A-1 Site Habitat Baseline'!$D$1:$O$258,9,FALSE))))</f>
        <v/>
      </c>
      <c r="L242" s="520" t="str">
        <f>IF(E242="","",IF(ISNA(VLOOKUP($E242,'A-1 Site Habitat Baseline'!$D$1:$O$258,11,FALSE)),"",(VLOOKUP($E242,'A-1 Site Habitat Baseline'!$D$1:$O$258,11,FALSE))))</f>
        <v/>
      </c>
      <c r="M242" s="520" t="str">
        <f>IF(E242="","",IF(ISNA(VLOOKUP($E242,'A-1 Site Habitat Baseline'!$D$1:$O$258,12,FALSE)),"",(VLOOKUP($E242,'A-1 Site Habitat Baseline'!$D$1:$O$258,12,FALSE))))</f>
        <v/>
      </c>
      <c r="N242" s="532" t="str">
        <f>IF(E242="","",IF(ISNA(VLOOKUP($E242,'A-1 Site Habitat Baseline'!$D$1:$X$258,14,FALSE)),"",(VLOOKUP($E242,'A-1 Site Habitat Baseline'!$D$1:$X$258,14,FALSE))))</f>
        <v/>
      </c>
      <c r="O242" s="524" t="str">
        <f>IF(E242="","",IF(ISNA(VLOOKUP($E242,'A-1 Site Habitat Baseline'!$D$1:$X$258,16,FALSE)),"",(VLOOKUP($E242,'A-1 Site Habitat Baseline'!$D$1:$X$258,13,FALSE))))</f>
        <v/>
      </c>
      <c r="P242" s="237" t="str">
        <f>IFERROR(INDEX('G-1 All Habitats'!$AG$3:$AG$15,MATCH(Q242,'G-1 All Habitats'!$AF$3:$AF$15,0)),"")</f>
        <v/>
      </c>
      <c r="Q242" s="238" t="str">
        <f t="shared" si="37"/>
        <v/>
      </c>
      <c r="R242" s="238" t="str">
        <f t="shared" si="38"/>
        <v/>
      </c>
      <c r="S242" s="392" t="str">
        <f>IFERROR(INDEX('G-1 All Habitats'!$B$3:$B$129,MATCH(R242,'G-1 All Habitats'!$A$3:$A$129,0)),"")</f>
        <v/>
      </c>
      <c r="T242" s="498" t="str">
        <f t="shared" si="39"/>
        <v/>
      </c>
      <c r="U242" s="499" t="str">
        <f t="shared" si="40"/>
        <v/>
      </c>
      <c r="V242" s="537" t="str">
        <f t="shared" si="34"/>
        <v/>
      </c>
      <c r="W242" s="520" t="str">
        <f>IF(S242="","",VLOOKUP(S242,'G-1 All Habitats'!$B$2:$M$129,10,FALSE))</f>
        <v/>
      </c>
      <c r="X242" s="520" t="str">
        <f>IFERROR(VLOOKUP(W242,'G-1 All Habitats'!$V$3:$W$7,2,FALSE),"")</f>
        <v/>
      </c>
      <c r="Y242" s="79"/>
      <c r="Z242" s="524" t="str">
        <f>IFERROR(INDEX('G-8 Condition Look up'!$A$3:$H$130,MATCH(S242,'G-8 Condition Look up'!$A$3:$A$130,0),MATCH(Y242,'G-8 Condition Look up'!$A$3:$H$3,0)),"")</f>
        <v/>
      </c>
      <c r="AA242" s="71"/>
      <c r="AB242" s="520" t="str">
        <f>IF(AA242="","",IF(VLOOKUP(AA242,'G-3 Multipliers'!$L$3:$N$6,2,FALSE)=0,"Spatial Data Missing ⚠",VLOOKUP(AA242,'G-3 Multipliers'!$L$3:$N$6,2,FALSE)))</f>
        <v/>
      </c>
      <c r="AC242" s="524" t="str">
        <f>IF(AA242="","",IF(VLOOKUP(AA242,'G-3 Multipliers'!$L$3:$N$6,3,FALSE)=0,"Spatial Data Missing ⚠",VLOOKUP(AA242,'G-3 Multipliers'!$L$3:$N$6,3,FALSE)))</f>
        <v/>
      </c>
      <c r="AD242" s="539" t="str">
        <f t="shared" si="35"/>
        <v/>
      </c>
      <c r="AE242" s="82"/>
      <c r="AF242" s="82"/>
      <c r="AG242" s="507" t="str">
        <f t="shared" si="41"/>
        <v/>
      </c>
      <c r="AH242" s="521" t="str">
        <f t="shared" si="42"/>
        <v/>
      </c>
      <c r="AI242" s="522" t="str">
        <f>IF(AH242="Check Data","Check Data",IFERROR(VLOOKUP(AH242,'G-4 Temporal multipliers'!$A$4:$C$36,3,FALSE),""))</f>
        <v/>
      </c>
      <c r="AJ242" s="498" t="str">
        <f>IF(S242="","",VLOOKUP(S242,'G-3 Multipliers'!$A$2:$E$129,4,FALSE))</f>
        <v/>
      </c>
      <c r="AK242" s="507" t="str">
        <f t="shared" si="43"/>
        <v/>
      </c>
      <c r="AL242" s="507" t="str">
        <f t="shared" si="44"/>
        <v/>
      </c>
      <c r="AM242" s="540" t="str">
        <f>IFERROR(IF(F242="","",IF(AH242="Check Data ⚠","Check Data ⚠",VLOOKUP(AL242, 'G-3 Multipliers'!$P$2:$Q$6,2,FALSE))),"")</f>
        <v/>
      </c>
      <c r="AN242" s="513" t="str">
        <f t="shared" si="36"/>
        <v/>
      </c>
      <c r="AO242" s="239"/>
      <c r="AP242" s="240"/>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1" t="str">
        <f>'A-1 Site Habitat Baseline'!AL242</f>
        <v/>
      </c>
      <c r="F243" s="520" t="str">
        <f>IF(E243="","",IF(ISNA(VLOOKUP($E243,'A-1 Site Habitat Baseline'!$D$1:$O$258,4,FALSE)),"",(VLOOKUP($E243,'A-1 Site Habitat Baseline'!$D$1:$O$258,4,FALSE))))</f>
        <v/>
      </c>
      <c r="G243" s="520" t="str">
        <f>IF(E243="","",IF(ISNA(VLOOKUP($E243,'A-1 Site Habitat Baseline'!$D$1:$O$258,5,FALSE)),"",(VLOOKUP($E243,'A-1 Site Habitat Baseline'!$D$1:$O$258,5,FALSE))))</f>
        <v/>
      </c>
      <c r="H243" s="520" t="str">
        <f>IF(E243="","",IF(ISNA(VLOOKUP($E243,'A-1 Site Habitat Baseline'!$D$1:$O$258,6,FALSE)),"",(VLOOKUP($E243,'A-1 Site Habitat Baseline'!$D$1:$O$258,6,FALSE))))</f>
        <v/>
      </c>
      <c r="I243" s="520" t="str">
        <f>IF(E243="","",IF(ISNA(VLOOKUP($E243,'A-1 Site Habitat Baseline'!$D$1:$O$258,7,FALSE)),"",(VLOOKUP($E243,'A-1 Site Habitat Baseline'!$D$1:$O$258,7,FALSE))))</f>
        <v/>
      </c>
      <c r="J243" s="520" t="str">
        <f>IF(E243="","",IF(ISNA(VLOOKUP($E243,'A-1 Site Habitat Baseline'!$D$1:$O$258,8,FALSE)),"",(VLOOKUP($E243,'A-1 Site Habitat Baseline'!$D$1:$O$258,8,FALSE))))</f>
        <v/>
      </c>
      <c r="K243" s="520" t="str">
        <f>IF(E243="","",IF(ISNA(VLOOKUP($E243,'A-1 Site Habitat Baseline'!$D$1:$O$258,9,FALSE)),"",(VLOOKUP($E243,'A-1 Site Habitat Baseline'!$D$1:$O$258,9,FALSE))))</f>
        <v/>
      </c>
      <c r="L243" s="520" t="str">
        <f>IF(E243="","",IF(ISNA(VLOOKUP($E243,'A-1 Site Habitat Baseline'!$D$1:$O$258,11,FALSE)),"",(VLOOKUP($E243,'A-1 Site Habitat Baseline'!$D$1:$O$258,11,FALSE))))</f>
        <v/>
      </c>
      <c r="M243" s="520" t="str">
        <f>IF(E243="","",IF(ISNA(VLOOKUP($E243,'A-1 Site Habitat Baseline'!$D$1:$O$258,12,FALSE)),"",(VLOOKUP($E243,'A-1 Site Habitat Baseline'!$D$1:$O$258,12,FALSE))))</f>
        <v/>
      </c>
      <c r="N243" s="532" t="str">
        <f>IF(E243="","",IF(ISNA(VLOOKUP($E243,'A-1 Site Habitat Baseline'!$D$1:$X$258,14,FALSE)),"",(VLOOKUP($E243,'A-1 Site Habitat Baseline'!$D$1:$X$258,14,FALSE))))</f>
        <v/>
      </c>
      <c r="O243" s="524" t="str">
        <f>IF(E243="","",IF(ISNA(VLOOKUP($E243,'A-1 Site Habitat Baseline'!$D$1:$X$258,16,FALSE)),"",(VLOOKUP($E243,'A-1 Site Habitat Baseline'!$D$1:$X$258,13,FALSE))))</f>
        <v/>
      </c>
      <c r="P243" s="237" t="str">
        <f>IFERROR(INDEX('G-1 All Habitats'!$AG$3:$AG$15,MATCH(Q243,'G-1 All Habitats'!$AF$3:$AF$15,0)),"")</f>
        <v/>
      </c>
      <c r="Q243" s="238" t="str">
        <f t="shared" si="37"/>
        <v/>
      </c>
      <c r="R243" s="238" t="str">
        <f t="shared" si="38"/>
        <v/>
      </c>
      <c r="S243" s="392" t="str">
        <f>IFERROR(INDEX('G-1 All Habitats'!$B$3:$B$129,MATCH(R243,'G-1 All Habitats'!$A$3:$A$129,0)),"")</f>
        <v/>
      </c>
      <c r="T243" s="498" t="str">
        <f t="shared" si="39"/>
        <v/>
      </c>
      <c r="U243" s="499" t="str">
        <f t="shared" si="40"/>
        <v/>
      </c>
      <c r="V243" s="537" t="str">
        <f t="shared" si="34"/>
        <v/>
      </c>
      <c r="W243" s="520" t="str">
        <f>IF(S243="","",VLOOKUP(S243,'G-1 All Habitats'!$B$2:$M$129,10,FALSE))</f>
        <v/>
      </c>
      <c r="X243" s="520" t="str">
        <f>IFERROR(VLOOKUP(W243,'G-1 All Habitats'!$V$3:$W$7,2,FALSE),"")</f>
        <v/>
      </c>
      <c r="Y243" s="79"/>
      <c r="Z243" s="524" t="str">
        <f>IFERROR(INDEX('G-8 Condition Look up'!$A$3:$H$130,MATCH(S243,'G-8 Condition Look up'!$A$3:$A$130,0),MATCH(Y243,'G-8 Condition Look up'!$A$3:$H$3,0)),"")</f>
        <v/>
      </c>
      <c r="AA243" s="71"/>
      <c r="AB243" s="520" t="str">
        <f>IF(AA243="","",IF(VLOOKUP(AA243,'G-3 Multipliers'!$L$3:$N$6,2,FALSE)=0,"Spatial Data Missing ⚠",VLOOKUP(AA243,'G-3 Multipliers'!$L$3:$N$6,2,FALSE)))</f>
        <v/>
      </c>
      <c r="AC243" s="524" t="str">
        <f>IF(AA243="","",IF(VLOOKUP(AA243,'G-3 Multipliers'!$L$3:$N$6,3,FALSE)=0,"Spatial Data Missing ⚠",VLOOKUP(AA243,'G-3 Multipliers'!$L$3:$N$6,3,FALSE)))</f>
        <v/>
      </c>
      <c r="AD243" s="539" t="str">
        <f t="shared" si="35"/>
        <v/>
      </c>
      <c r="AE243" s="82"/>
      <c r="AF243" s="82"/>
      <c r="AG243" s="507" t="str">
        <f t="shared" si="41"/>
        <v/>
      </c>
      <c r="AH243" s="521" t="str">
        <f t="shared" si="42"/>
        <v/>
      </c>
      <c r="AI243" s="522" t="str">
        <f>IF(AH243="Check Data","Check Data",IFERROR(VLOOKUP(AH243,'G-4 Temporal multipliers'!$A$4:$C$36,3,FALSE),""))</f>
        <v/>
      </c>
      <c r="AJ243" s="498" t="str">
        <f>IF(S243="","",VLOOKUP(S243,'G-3 Multipliers'!$A$2:$E$129,4,FALSE))</f>
        <v/>
      </c>
      <c r="AK243" s="507" t="str">
        <f t="shared" si="43"/>
        <v/>
      </c>
      <c r="AL243" s="507" t="str">
        <f t="shared" si="44"/>
        <v/>
      </c>
      <c r="AM243" s="540" t="str">
        <f>IFERROR(IF(F243="","",IF(AH243="Check Data ⚠","Check Data ⚠",VLOOKUP(AL243, 'G-3 Multipliers'!$P$2:$Q$6,2,FALSE))),"")</f>
        <v/>
      </c>
      <c r="AN243" s="513" t="str">
        <f t="shared" si="36"/>
        <v/>
      </c>
      <c r="AO243" s="239"/>
      <c r="AP243" s="240"/>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1" t="str">
        <f>'A-1 Site Habitat Baseline'!AL243</f>
        <v/>
      </c>
      <c r="F244" s="520" t="str">
        <f>IF(E244="","",IF(ISNA(VLOOKUP($E244,'A-1 Site Habitat Baseline'!$D$1:$O$258,4,FALSE)),"",(VLOOKUP($E244,'A-1 Site Habitat Baseline'!$D$1:$O$258,4,FALSE))))</f>
        <v/>
      </c>
      <c r="G244" s="520" t="str">
        <f>IF(E244="","",IF(ISNA(VLOOKUP($E244,'A-1 Site Habitat Baseline'!$D$1:$O$258,5,FALSE)),"",(VLOOKUP($E244,'A-1 Site Habitat Baseline'!$D$1:$O$258,5,FALSE))))</f>
        <v/>
      </c>
      <c r="H244" s="520" t="str">
        <f>IF(E244="","",IF(ISNA(VLOOKUP($E244,'A-1 Site Habitat Baseline'!$D$1:$O$258,6,FALSE)),"",(VLOOKUP($E244,'A-1 Site Habitat Baseline'!$D$1:$O$258,6,FALSE))))</f>
        <v/>
      </c>
      <c r="I244" s="520" t="str">
        <f>IF(E244="","",IF(ISNA(VLOOKUP($E244,'A-1 Site Habitat Baseline'!$D$1:$O$258,7,FALSE)),"",(VLOOKUP($E244,'A-1 Site Habitat Baseline'!$D$1:$O$258,7,FALSE))))</f>
        <v/>
      </c>
      <c r="J244" s="520" t="str">
        <f>IF(E244="","",IF(ISNA(VLOOKUP($E244,'A-1 Site Habitat Baseline'!$D$1:$O$258,8,FALSE)),"",(VLOOKUP($E244,'A-1 Site Habitat Baseline'!$D$1:$O$258,8,FALSE))))</f>
        <v/>
      </c>
      <c r="K244" s="520" t="str">
        <f>IF(E244="","",IF(ISNA(VLOOKUP($E244,'A-1 Site Habitat Baseline'!$D$1:$O$258,9,FALSE)),"",(VLOOKUP($E244,'A-1 Site Habitat Baseline'!$D$1:$O$258,9,FALSE))))</f>
        <v/>
      </c>
      <c r="L244" s="520" t="str">
        <f>IF(E244="","",IF(ISNA(VLOOKUP($E244,'A-1 Site Habitat Baseline'!$D$1:$O$258,11,FALSE)),"",(VLOOKUP($E244,'A-1 Site Habitat Baseline'!$D$1:$O$258,11,FALSE))))</f>
        <v/>
      </c>
      <c r="M244" s="520" t="str">
        <f>IF(E244="","",IF(ISNA(VLOOKUP($E244,'A-1 Site Habitat Baseline'!$D$1:$O$258,12,FALSE)),"",(VLOOKUP($E244,'A-1 Site Habitat Baseline'!$D$1:$O$258,12,FALSE))))</f>
        <v/>
      </c>
      <c r="N244" s="532" t="str">
        <f>IF(E244="","",IF(ISNA(VLOOKUP($E244,'A-1 Site Habitat Baseline'!$D$1:$X$258,14,FALSE)),"",(VLOOKUP($E244,'A-1 Site Habitat Baseline'!$D$1:$X$258,14,FALSE))))</f>
        <v/>
      </c>
      <c r="O244" s="524" t="str">
        <f>IF(E244="","",IF(ISNA(VLOOKUP($E244,'A-1 Site Habitat Baseline'!$D$1:$X$258,16,FALSE)),"",(VLOOKUP($E244,'A-1 Site Habitat Baseline'!$D$1:$X$258,13,FALSE))))</f>
        <v/>
      </c>
      <c r="P244" s="237" t="str">
        <f>IFERROR(INDEX('G-1 All Habitats'!$AG$3:$AG$15,MATCH(Q244,'G-1 All Habitats'!$AF$3:$AF$15,0)),"")</f>
        <v/>
      </c>
      <c r="Q244" s="238" t="str">
        <f t="shared" si="37"/>
        <v/>
      </c>
      <c r="R244" s="238" t="str">
        <f t="shared" si="38"/>
        <v/>
      </c>
      <c r="S244" s="392" t="str">
        <f>IFERROR(INDEX('G-1 All Habitats'!$B$3:$B$129,MATCH(R244,'G-1 All Habitats'!$A$3:$A$129,0)),"")</f>
        <v/>
      </c>
      <c r="T244" s="498" t="str">
        <f t="shared" si="39"/>
        <v/>
      </c>
      <c r="U244" s="499" t="str">
        <f t="shared" si="40"/>
        <v/>
      </c>
      <c r="V244" s="537" t="str">
        <f t="shared" si="34"/>
        <v/>
      </c>
      <c r="W244" s="520" t="str">
        <f>IF(S244="","",VLOOKUP(S244,'G-1 All Habitats'!$B$2:$M$129,10,FALSE))</f>
        <v/>
      </c>
      <c r="X244" s="520" t="str">
        <f>IFERROR(VLOOKUP(W244,'G-1 All Habitats'!$V$3:$W$7,2,FALSE),"")</f>
        <v/>
      </c>
      <c r="Y244" s="79"/>
      <c r="Z244" s="524" t="str">
        <f>IFERROR(INDEX('G-8 Condition Look up'!$A$3:$H$130,MATCH(S244,'G-8 Condition Look up'!$A$3:$A$130,0),MATCH(Y244,'G-8 Condition Look up'!$A$3:$H$3,0)),"")</f>
        <v/>
      </c>
      <c r="AA244" s="71"/>
      <c r="AB244" s="520" t="str">
        <f>IF(AA244="","",IF(VLOOKUP(AA244,'G-3 Multipliers'!$L$3:$N$6,2,FALSE)=0,"Spatial Data Missing ⚠",VLOOKUP(AA244,'G-3 Multipliers'!$L$3:$N$6,2,FALSE)))</f>
        <v/>
      </c>
      <c r="AC244" s="524" t="str">
        <f>IF(AA244="","",IF(VLOOKUP(AA244,'G-3 Multipliers'!$L$3:$N$6,3,FALSE)=0,"Spatial Data Missing ⚠",VLOOKUP(AA244,'G-3 Multipliers'!$L$3:$N$6,3,FALSE)))</f>
        <v/>
      </c>
      <c r="AD244" s="539" t="str">
        <f t="shared" si="35"/>
        <v/>
      </c>
      <c r="AE244" s="82"/>
      <c r="AF244" s="82"/>
      <c r="AG244" s="507" t="str">
        <f t="shared" si="41"/>
        <v/>
      </c>
      <c r="AH244" s="521" t="str">
        <f t="shared" si="42"/>
        <v/>
      </c>
      <c r="AI244" s="522" t="str">
        <f>IF(AH244="Check Data","Check Data",IFERROR(VLOOKUP(AH244,'G-4 Temporal multipliers'!$A$4:$C$36,3,FALSE),""))</f>
        <v/>
      </c>
      <c r="AJ244" s="498" t="str">
        <f>IF(S244="","",VLOOKUP(S244,'G-3 Multipliers'!$A$2:$E$129,4,FALSE))</f>
        <v/>
      </c>
      <c r="AK244" s="507" t="str">
        <f t="shared" si="43"/>
        <v/>
      </c>
      <c r="AL244" s="507" t="str">
        <f t="shared" si="44"/>
        <v/>
      </c>
      <c r="AM244" s="540" t="str">
        <f>IFERROR(IF(F244="","",IF(AH244="Check Data ⚠","Check Data ⚠",VLOOKUP(AL244, 'G-3 Multipliers'!$P$2:$Q$6,2,FALSE))),"")</f>
        <v/>
      </c>
      <c r="AN244" s="513" t="str">
        <f t="shared" si="36"/>
        <v/>
      </c>
      <c r="AO244" s="239"/>
      <c r="AP244" s="240"/>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1" t="str">
        <f>'A-1 Site Habitat Baseline'!AL244</f>
        <v/>
      </c>
      <c r="F245" s="520" t="str">
        <f>IF(E245="","",IF(ISNA(VLOOKUP($E245,'A-1 Site Habitat Baseline'!$D$1:$O$258,4,FALSE)),"",(VLOOKUP($E245,'A-1 Site Habitat Baseline'!$D$1:$O$258,4,FALSE))))</f>
        <v/>
      </c>
      <c r="G245" s="520" t="str">
        <f>IF(E245="","",IF(ISNA(VLOOKUP($E245,'A-1 Site Habitat Baseline'!$D$1:$O$258,5,FALSE)),"",(VLOOKUP($E245,'A-1 Site Habitat Baseline'!$D$1:$O$258,5,FALSE))))</f>
        <v/>
      </c>
      <c r="H245" s="520" t="str">
        <f>IF(E245="","",IF(ISNA(VLOOKUP($E245,'A-1 Site Habitat Baseline'!$D$1:$O$258,6,FALSE)),"",(VLOOKUP($E245,'A-1 Site Habitat Baseline'!$D$1:$O$258,6,FALSE))))</f>
        <v/>
      </c>
      <c r="I245" s="520" t="str">
        <f>IF(E245="","",IF(ISNA(VLOOKUP($E245,'A-1 Site Habitat Baseline'!$D$1:$O$258,7,FALSE)),"",(VLOOKUP($E245,'A-1 Site Habitat Baseline'!$D$1:$O$258,7,FALSE))))</f>
        <v/>
      </c>
      <c r="J245" s="520" t="str">
        <f>IF(E245="","",IF(ISNA(VLOOKUP($E245,'A-1 Site Habitat Baseline'!$D$1:$O$258,8,FALSE)),"",(VLOOKUP($E245,'A-1 Site Habitat Baseline'!$D$1:$O$258,8,FALSE))))</f>
        <v/>
      </c>
      <c r="K245" s="520" t="str">
        <f>IF(E245="","",IF(ISNA(VLOOKUP($E245,'A-1 Site Habitat Baseline'!$D$1:$O$258,9,FALSE)),"",(VLOOKUP($E245,'A-1 Site Habitat Baseline'!$D$1:$O$258,9,FALSE))))</f>
        <v/>
      </c>
      <c r="L245" s="520" t="str">
        <f>IF(E245="","",IF(ISNA(VLOOKUP($E245,'A-1 Site Habitat Baseline'!$D$1:$O$258,11,FALSE)),"",(VLOOKUP($E245,'A-1 Site Habitat Baseline'!$D$1:$O$258,11,FALSE))))</f>
        <v/>
      </c>
      <c r="M245" s="520" t="str">
        <f>IF(E245="","",IF(ISNA(VLOOKUP($E245,'A-1 Site Habitat Baseline'!$D$1:$O$258,12,FALSE)),"",(VLOOKUP($E245,'A-1 Site Habitat Baseline'!$D$1:$O$258,12,FALSE))))</f>
        <v/>
      </c>
      <c r="N245" s="532" t="str">
        <f>IF(E245="","",IF(ISNA(VLOOKUP($E245,'A-1 Site Habitat Baseline'!$D$1:$X$258,14,FALSE)),"",(VLOOKUP($E245,'A-1 Site Habitat Baseline'!$D$1:$X$258,14,FALSE))))</f>
        <v/>
      </c>
      <c r="O245" s="524" t="str">
        <f>IF(E245="","",IF(ISNA(VLOOKUP($E245,'A-1 Site Habitat Baseline'!$D$1:$X$258,16,FALSE)),"",(VLOOKUP($E245,'A-1 Site Habitat Baseline'!$D$1:$X$258,13,FALSE))))</f>
        <v/>
      </c>
      <c r="P245" s="237" t="str">
        <f>IFERROR(INDEX('G-1 All Habitats'!$AG$3:$AG$15,MATCH(Q245,'G-1 All Habitats'!$AF$3:$AF$15,0)),"")</f>
        <v/>
      </c>
      <c r="Q245" s="238" t="str">
        <f t="shared" si="37"/>
        <v/>
      </c>
      <c r="R245" s="238" t="str">
        <f t="shared" si="38"/>
        <v/>
      </c>
      <c r="S245" s="392" t="str">
        <f>IFERROR(INDEX('G-1 All Habitats'!$B$3:$B$129,MATCH(R245,'G-1 All Habitats'!$A$3:$A$129,0)),"")</f>
        <v/>
      </c>
      <c r="T245" s="498" t="str">
        <f t="shared" si="39"/>
        <v/>
      </c>
      <c r="U245" s="499" t="str">
        <f t="shared" si="40"/>
        <v/>
      </c>
      <c r="V245" s="537" t="str">
        <f t="shared" si="34"/>
        <v/>
      </c>
      <c r="W245" s="520" t="str">
        <f>IF(S245="","",VLOOKUP(S245,'G-1 All Habitats'!$B$2:$M$129,10,FALSE))</f>
        <v/>
      </c>
      <c r="X245" s="520" t="str">
        <f>IFERROR(VLOOKUP(W245,'G-1 All Habitats'!$V$3:$W$7,2,FALSE),"")</f>
        <v/>
      </c>
      <c r="Y245" s="79"/>
      <c r="Z245" s="524" t="str">
        <f>IFERROR(INDEX('G-8 Condition Look up'!$A$3:$H$130,MATCH(S245,'G-8 Condition Look up'!$A$3:$A$130,0),MATCH(Y245,'G-8 Condition Look up'!$A$3:$H$3,0)),"")</f>
        <v/>
      </c>
      <c r="AA245" s="71"/>
      <c r="AB245" s="520" t="str">
        <f>IF(AA245="","",IF(VLOOKUP(AA245,'G-3 Multipliers'!$L$3:$N$6,2,FALSE)=0,"Spatial Data Missing ⚠",VLOOKUP(AA245,'G-3 Multipliers'!$L$3:$N$6,2,FALSE)))</f>
        <v/>
      </c>
      <c r="AC245" s="524" t="str">
        <f>IF(AA245="","",IF(VLOOKUP(AA245,'G-3 Multipliers'!$L$3:$N$6,3,FALSE)=0,"Spatial Data Missing ⚠",VLOOKUP(AA245,'G-3 Multipliers'!$L$3:$N$6,3,FALSE)))</f>
        <v/>
      </c>
      <c r="AD245" s="539" t="str">
        <f t="shared" si="35"/>
        <v/>
      </c>
      <c r="AE245" s="82"/>
      <c r="AF245" s="82"/>
      <c r="AG245" s="507" t="str">
        <f t="shared" si="41"/>
        <v/>
      </c>
      <c r="AH245" s="521" t="str">
        <f t="shared" si="42"/>
        <v/>
      </c>
      <c r="AI245" s="522" t="str">
        <f>IF(AH245="Check Data","Check Data",IFERROR(VLOOKUP(AH245,'G-4 Temporal multipliers'!$A$4:$C$36,3,FALSE),""))</f>
        <v/>
      </c>
      <c r="AJ245" s="498" t="str">
        <f>IF(S245="","",VLOOKUP(S245,'G-3 Multipliers'!$A$2:$E$129,4,FALSE))</f>
        <v/>
      </c>
      <c r="AK245" s="507" t="str">
        <f t="shared" si="43"/>
        <v/>
      </c>
      <c r="AL245" s="507" t="str">
        <f t="shared" si="44"/>
        <v/>
      </c>
      <c r="AM245" s="540" t="str">
        <f>IFERROR(IF(F245="","",IF(AH245="Check Data ⚠","Check Data ⚠",VLOOKUP(AL245, 'G-3 Multipliers'!$P$2:$Q$6,2,FALSE))),"")</f>
        <v/>
      </c>
      <c r="AN245" s="513" t="str">
        <f t="shared" si="36"/>
        <v/>
      </c>
      <c r="AO245" s="239"/>
      <c r="AP245" s="240"/>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1" t="str">
        <f>'A-1 Site Habitat Baseline'!AL245</f>
        <v/>
      </c>
      <c r="F246" s="520" t="str">
        <f>IF(E246="","",IF(ISNA(VLOOKUP($E246,'A-1 Site Habitat Baseline'!$D$1:$O$258,4,FALSE)),"",(VLOOKUP($E246,'A-1 Site Habitat Baseline'!$D$1:$O$258,4,FALSE))))</f>
        <v/>
      </c>
      <c r="G246" s="520" t="str">
        <f>IF(E246="","",IF(ISNA(VLOOKUP($E246,'A-1 Site Habitat Baseline'!$D$1:$O$258,5,FALSE)),"",(VLOOKUP($E246,'A-1 Site Habitat Baseline'!$D$1:$O$258,5,FALSE))))</f>
        <v/>
      </c>
      <c r="H246" s="520" t="str">
        <f>IF(E246="","",IF(ISNA(VLOOKUP($E246,'A-1 Site Habitat Baseline'!$D$1:$O$258,6,FALSE)),"",(VLOOKUP($E246,'A-1 Site Habitat Baseline'!$D$1:$O$258,6,FALSE))))</f>
        <v/>
      </c>
      <c r="I246" s="520" t="str">
        <f>IF(E246="","",IF(ISNA(VLOOKUP($E246,'A-1 Site Habitat Baseline'!$D$1:$O$258,7,FALSE)),"",(VLOOKUP($E246,'A-1 Site Habitat Baseline'!$D$1:$O$258,7,FALSE))))</f>
        <v/>
      </c>
      <c r="J246" s="520" t="str">
        <f>IF(E246="","",IF(ISNA(VLOOKUP($E246,'A-1 Site Habitat Baseline'!$D$1:$O$258,8,FALSE)),"",(VLOOKUP($E246,'A-1 Site Habitat Baseline'!$D$1:$O$258,8,FALSE))))</f>
        <v/>
      </c>
      <c r="K246" s="520" t="str">
        <f>IF(E246="","",IF(ISNA(VLOOKUP($E246,'A-1 Site Habitat Baseline'!$D$1:$O$258,9,FALSE)),"",(VLOOKUP($E246,'A-1 Site Habitat Baseline'!$D$1:$O$258,9,FALSE))))</f>
        <v/>
      </c>
      <c r="L246" s="520" t="str">
        <f>IF(E246="","",IF(ISNA(VLOOKUP($E246,'A-1 Site Habitat Baseline'!$D$1:$O$258,11,FALSE)),"",(VLOOKUP($E246,'A-1 Site Habitat Baseline'!$D$1:$O$258,11,FALSE))))</f>
        <v/>
      </c>
      <c r="M246" s="520" t="str">
        <f>IF(E246="","",IF(ISNA(VLOOKUP($E246,'A-1 Site Habitat Baseline'!$D$1:$O$258,12,FALSE)),"",(VLOOKUP($E246,'A-1 Site Habitat Baseline'!$D$1:$O$258,12,FALSE))))</f>
        <v/>
      </c>
      <c r="N246" s="532" t="str">
        <f>IF(E246="","",IF(ISNA(VLOOKUP($E246,'A-1 Site Habitat Baseline'!$D$1:$X$258,14,FALSE)),"",(VLOOKUP($E246,'A-1 Site Habitat Baseline'!$D$1:$X$258,14,FALSE))))</f>
        <v/>
      </c>
      <c r="O246" s="524" t="str">
        <f>IF(E246="","",IF(ISNA(VLOOKUP($E246,'A-1 Site Habitat Baseline'!$D$1:$X$258,16,FALSE)),"",(VLOOKUP($E246,'A-1 Site Habitat Baseline'!$D$1:$X$258,13,FALSE))))</f>
        <v/>
      </c>
      <c r="P246" s="237" t="str">
        <f>IFERROR(INDEX('G-1 All Habitats'!$AG$3:$AG$15,MATCH(Q246,'G-1 All Habitats'!$AF$3:$AF$15,0)),"")</f>
        <v/>
      </c>
      <c r="Q246" s="238" t="str">
        <f t="shared" si="37"/>
        <v/>
      </c>
      <c r="R246" s="238" t="str">
        <f t="shared" si="38"/>
        <v/>
      </c>
      <c r="S246" s="392" t="str">
        <f>IFERROR(INDEX('G-1 All Habitats'!$B$3:$B$129,MATCH(R246,'G-1 All Habitats'!$A$3:$A$129,0)),"")</f>
        <v/>
      </c>
      <c r="T246" s="498" t="str">
        <f t="shared" si="39"/>
        <v/>
      </c>
      <c r="U246" s="499" t="str">
        <f t="shared" si="40"/>
        <v/>
      </c>
      <c r="V246" s="537" t="str">
        <f t="shared" si="34"/>
        <v/>
      </c>
      <c r="W246" s="520" t="str">
        <f>IF(S246="","",VLOOKUP(S246,'G-1 All Habitats'!$B$2:$M$129,10,FALSE))</f>
        <v/>
      </c>
      <c r="X246" s="520" t="str">
        <f>IFERROR(VLOOKUP(W246,'G-1 All Habitats'!$V$3:$W$7,2,FALSE),"")</f>
        <v/>
      </c>
      <c r="Y246" s="79"/>
      <c r="Z246" s="524" t="str">
        <f>IFERROR(INDEX('G-8 Condition Look up'!$A$3:$H$130,MATCH(S246,'G-8 Condition Look up'!$A$3:$A$130,0),MATCH(Y246,'G-8 Condition Look up'!$A$3:$H$3,0)),"")</f>
        <v/>
      </c>
      <c r="AA246" s="71"/>
      <c r="AB246" s="520" t="str">
        <f>IF(AA246="","",IF(VLOOKUP(AA246,'G-3 Multipliers'!$L$3:$N$6,2,FALSE)=0,"Spatial Data Missing ⚠",VLOOKUP(AA246,'G-3 Multipliers'!$L$3:$N$6,2,FALSE)))</f>
        <v/>
      </c>
      <c r="AC246" s="524" t="str">
        <f>IF(AA246="","",IF(VLOOKUP(AA246,'G-3 Multipliers'!$L$3:$N$6,3,FALSE)=0,"Spatial Data Missing ⚠",VLOOKUP(AA246,'G-3 Multipliers'!$L$3:$N$6,3,FALSE)))</f>
        <v/>
      </c>
      <c r="AD246" s="539" t="str">
        <f t="shared" si="35"/>
        <v/>
      </c>
      <c r="AE246" s="82"/>
      <c r="AF246" s="82"/>
      <c r="AG246" s="507" t="str">
        <f t="shared" si="41"/>
        <v/>
      </c>
      <c r="AH246" s="521" t="str">
        <f t="shared" si="42"/>
        <v/>
      </c>
      <c r="AI246" s="522" t="str">
        <f>IF(AH246="Check Data","Check Data",IFERROR(VLOOKUP(AH246,'G-4 Temporal multipliers'!$A$4:$C$36,3,FALSE),""))</f>
        <v/>
      </c>
      <c r="AJ246" s="498" t="str">
        <f>IF(S246="","",VLOOKUP(S246,'G-3 Multipliers'!$A$2:$E$129,4,FALSE))</f>
        <v/>
      </c>
      <c r="AK246" s="507" t="str">
        <f t="shared" si="43"/>
        <v/>
      </c>
      <c r="AL246" s="507" t="str">
        <f t="shared" si="44"/>
        <v/>
      </c>
      <c r="AM246" s="540" t="str">
        <f>IFERROR(IF(F246="","",IF(AH246="Check Data ⚠","Check Data ⚠",VLOOKUP(AL246, 'G-3 Multipliers'!$P$2:$Q$6,2,FALSE))),"")</f>
        <v/>
      </c>
      <c r="AN246" s="513" t="str">
        <f t="shared" si="36"/>
        <v/>
      </c>
      <c r="AO246" s="239"/>
      <c r="AP246" s="240"/>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1" t="str">
        <f>'A-1 Site Habitat Baseline'!AL246</f>
        <v/>
      </c>
      <c r="F247" s="520" t="str">
        <f>IF(E247="","",IF(ISNA(VLOOKUP($E247,'A-1 Site Habitat Baseline'!$D$1:$O$258,4,FALSE)),"",(VLOOKUP($E247,'A-1 Site Habitat Baseline'!$D$1:$O$258,4,FALSE))))</f>
        <v/>
      </c>
      <c r="G247" s="520" t="str">
        <f>IF(E247="","",IF(ISNA(VLOOKUP($E247,'A-1 Site Habitat Baseline'!$D$1:$O$258,5,FALSE)),"",(VLOOKUP($E247,'A-1 Site Habitat Baseline'!$D$1:$O$258,5,FALSE))))</f>
        <v/>
      </c>
      <c r="H247" s="520" t="str">
        <f>IF(E247="","",IF(ISNA(VLOOKUP($E247,'A-1 Site Habitat Baseline'!$D$1:$O$258,6,FALSE)),"",(VLOOKUP($E247,'A-1 Site Habitat Baseline'!$D$1:$O$258,6,FALSE))))</f>
        <v/>
      </c>
      <c r="I247" s="520" t="str">
        <f>IF(E247="","",IF(ISNA(VLOOKUP($E247,'A-1 Site Habitat Baseline'!$D$1:$O$258,7,FALSE)),"",(VLOOKUP($E247,'A-1 Site Habitat Baseline'!$D$1:$O$258,7,FALSE))))</f>
        <v/>
      </c>
      <c r="J247" s="520" t="str">
        <f>IF(E247="","",IF(ISNA(VLOOKUP($E247,'A-1 Site Habitat Baseline'!$D$1:$O$258,8,FALSE)),"",(VLOOKUP($E247,'A-1 Site Habitat Baseline'!$D$1:$O$258,8,FALSE))))</f>
        <v/>
      </c>
      <c r="K247" s="520" t="str">
        <f>IF(E247="","",IF(ISNA(VLOOKUP($E247,'A-1 Site Habitat Baseline'!$D$1:$O$258,9,FALSE)),"",(VLOOKUP($E247,'A-1 Site Habitat Baseline'!$D$1:$O$258,9,FALSE))))</f>
        <v/>
      </c>
      <c r="L247" s="520" t="str">
        <f>IF(E247="","",IF(ISNA(VLOOKUP($E247,'A-1 Site Habitat Baseline'!$D$1:$O$258,11,FALSE)),"",(VLOOKUP($E247,'A-1 Site Habitat Baseline'!$D$1:$O$258,11,FALSE))))</f>
        <v/>
      </c>
      <c r="M247" s="520" t="str">
        <f>IF(E247="","",IF(ISNA(VLOOKUP($E247,'A-1 Site Habitat Baseline'!$D$1:$O$258,12,FALSE)),"",(VLOOKUP($E247,'A-1 Site Habitat Baseline'!$D$1:$O$258,12,FALSE))))</f>
        <v/>
      </c>
      <c r="N247" s="532" t="str">
        <f>IF(E247="","",IF(ISNA(VLOOKUP($E247,'A-1 Site Habitat Baseline'!$D$1:$X$258,14,FALSE)),"",(VLOOKUP($E247,'A-1 Site Habitat Baseline'!$D$1:$X$258,14,FALSE))))</f>
        <v/>
      </c>
      <c r="O247" s="524" t="str">
        <f>IF(E247="","",IF(ISNA(VLOOKUP($E247,'A-1 Site Habitat Baseline'!$D$1:$X$258,16,FALSE)),"",(VLOOKUP($E247,'A-1 Site Habitat Baseline'!$D$1:$X$258,13,FALSE))))</f>
        <v/>
      </c>
      <c r="P247" s="237" t="str">
        <f>IFERROR(INDEX('G-1 All Habitats'!$AG$3:$AG$15,MATCH(Q247,'G-1 All Habitats'!$AF$3:$AF$15,0)),"")</f>
        <v/>
      </c>
      <c r="Q247" s="238" t="str">
        <f t="shared" si="37"/>
        <v/>
      </c>
      <c r="R247" s="238" t="str">
        <f t="shared" si="38"/>
        <v/>
      </c>
      <c r="S247" s="392" t="str">
        <f>IFERROR(INDEX('G-1 All Habitats'!$B$3:$B$129,MATCH(R247,'G-1 All Habitats'!$A$3:$A$129,0)),"")</f>
        <v/>
      </c>
      <c r="T247" s="498" t="str">
        <f t="shared" si="39"/>
        <v/>
      </c>
      <c r="U247" s="499" t="str">
        <f t="shared" si="40"/>
        <v/>
      </c>
      <c r="V247" s="537" t="str">
        <f t="shared" si="34"/>
        <v/>
      </c>
      <c r="W247" s="520" t="str">
        <f>IF(S247="","",VLOOKUP(S247,'G-1 All Habitats'!$B$2:$M$129,10,FALSE))</f>
        <v/>
      </c>
      <c r="X247" s="520" t="str">
        <f>IFERROR(VLOOKUP(W247,'G-1 All Habitats'!$V$3:$W$7,2,FALSE),"")</f>
        <v/>
      </c>
      <c r="Y247" s="79"/>
      <c r="Z247" s="524" t="str">
        <f>IFERROR(INDEX('G-8 Condition Look up'!$A$3:$H$130,MATCH(S247,'G-8 Condition Look up'!$A$3:$A$130,0),MATCH(Y247,'G-8 Condition Look up'!$A$3:$H$3,0)),"")</f>
        <v/>
      </c>
      <c r="AA247" s="71"/>
      <c r="AB247" s="520" t="str">
        <f>IF(AA247="","",IF(VLOOKUP(AA247,'G-3 Multipliers'!$L$3:$N$6,2,FALSE)=0,"Spatial Data Missing ⚠",VLOOKUP(AA247,'G-3 Multipliers'!$L$3:$N$6,2,FALSE)))</f>
        <v/>
      </c>
      <c r="AC247" s="524" t="str">
        <f>IF(AA247="","",IF(VLOOKUP(AA247,'G-3 Multipliers'!$L$3:$N$6,3,FALSE)=0,"Spatial Data Missing ⚠",VLOOKUP(AA247,'G-3 Multipliers'!$L$3:$N$6,3,FALSE)))</f>
        <v/>
      </c>
      <c r="AD247" s="539" t="str">
        <f t="shared" si="35"/>
        <v/>
      </c>
      <c r="AE247" s="82"/>
      <c r="AF247" s="82"/>
      <c r="AG247" s="507" t="str">
        <f t="shared" si="41"/>
        <v/>
      </c>
      <c r="AH247" s="521" t="str">
        <f t="shared" si="42"/>
        <v/>
      </c>
      <c r="AI247" s="522" t="str">
        <f>IF(AH247="Check Data","Check Data",IFERROR(VLOOKUP(AH247,'G-4 Temporal multipliers'!$A$4:$C$36,3,FALSE),""))</f>
        <v/>
      </c>
      <c r="AJ247" s="498" t="str">
        <f>IF(S247="","",VLOOKUP(S247,'G-3 Multipliers'!$A$2:$E$129,4,FALSE))</f>
        <v/>
      </c>
      <c r="AK247" s="507" t="str">
        <f t="shared" si="43"/>
        <v/>
      </c>
      <c r="AL247" s="507" t="str">
        <f t="shared" si="44"/>
        <v/>
      </c>
      <c r="AM247" s="540" t="str">
        <f>IFERROR(IF(F247="","",IF(AH247="Check Data ⚠","Check Data ⚠",VLOOKUP(AL247, 'G-3 Multipliers'!$P$2:$Q$6,2,FALSE))),"")</f>
        <v/>
      </c>
      <c r="AN247" s="513" t="str">
        <f t="shared" si="36"/>
        <v/>
      </c>
      <c r="AO247" s="239"/>
      <c r="AP247" s="240"/>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1" t="str">
        <f>'A-1 Site Habitat Baseline'!AL247</f>
        <v/>
      </c>
      <c r="F248" s="520" t="str">
        <f>IF(E248="","",IF(ISNA(VLOOKUP($E248,'A-1 Site Habitat Baseline'!$D$1:$O$258,4,FALSE)),"",(VLOOKUP($E248,'A-1 Site Habitat Baseline'!$D$1:$O$258,4,FALSE))))</f>
        <v/>
      </c>
      <c r="G248" s="520" t="str">
        <f>IF(E248="","",IF(ISNA(VLOOKUP($E248,'A-1 Site Habitat Baseline'!$D$1:$O$258,5,FALSE)),"",(VLOOKUP($E248,'A-1 Site Habitat Baseline'!$D$1:$O$258,5,FALSE))))</f>
        <v/>
      </c>
      <c r="H248" s="520" t="str">
        <f>IF(E248="","",IF(ISNA(VLOOKUP($E248,'A-1 Site Habitat Baseline'!$D$1:$O$258,6,FALSE)),"",(VLOOKUP($E248,'A-1 Site Habitat Baseline'!$D$1:$O$258,6,FALSE))))</f>
        <v/>
      </c>
      <c r="I248" s="520" t="str">
        <f>IF(E248="","",IF(ISNA(VLOOKUP($E248,'A-1 Site Habitat Baseline'!$D$1:$O$258,7,FALSE)),"",(VLOOKUP($E248,'A-1 Site Habitat Baseline'!$D$1:$O$258,7,FALSE))))</f>
        <v/>
      </c>
      <c r="J248" s="520" t="str">
        <f>IF(E248="","",IF(ISNA(VLOOKUP($E248,'A-1 Site Habitat Baseline'!$D$1:$O$258,8,FALSE)),"",(VLOOKUP($E248,'A-1 Site Habitat Baseline'!$D$1:$O$258,8,FALSE))))</f>
        <v/>
      </c>
      <c r="K248" s="520" t="str">
        <f>IF(E248="","",IF(ISNA(VLOOKUP($E248,'A-1 Site Habitat Baseline'!$D$1:$O$258,9,FALSE)),"",(VLOOKUP($E248,'A-1 Site Habitat Baseline'!$D$1:$O$258,9,FALSE))))</f>
        <v/>
      </c>
      <c r="L248" s="520" t="str">
        <f>IF(E248="","",IF(ISNA(VLOOKUP($E248,'A-1 Site Habitat Baseline'!$D$1:$O$258,11,FALSE)),"",(VLOOKUP($E248,'A-1 Site Habitat Baseline'!$D$1:$O$258,11,FALSE))))</f>
        <v/>
      </c>
      <c r="M248" s="520" t="str">
        <f>IF(E248="","",IF(ISNA(VLOOKUP($E248,'A-1 Site Habitat Baseline'!$D$1:$O$258,12,FALSE)),"",(VLOOKUP($E248,'A-1 Site Habitat Baseline'!$D$1:$O$258,12,FALSE))))</f>
        <v/>
      </c>
      <c r="N248" s="532" t="str">
        <f>IF(E248="","",IF(ISNA(VLOOKUP($E248,'A-1 Site Habitat Baseline'!$D$1:$X$258,14,FALSE)),"",(VLOOKUP($E248,'A-1 Site Habitat Baseline'!$D$1:$X$258,14,FALSE))))</f>
        <v/>
      </c>
      <c r="O248" s="524" t="str">
        <f>IF(E248="","",IF(ISNA(VLOOKUP($E248,'A-1 Site Habitat Baseline'!$D$1:$X$258,16,FALSE)),"",(VLOOKUP($E248,'A-1 Site Habitat Baseline'!$D$1:$X$258,13,FALSE))))</f>
        <v/>
      </c>
      <c r="P248" s="237" t="str">
        <f>IFERROR(INDEX('G-1 All Habitats'!$AG$3:$AG$15,MATCH(Q248,'G-1 All Habitats'!$AF$3:$AF$15,0)),"")</f>
        <v/>
      </c>
      <c r="Q248" s="238" t="str">
        <f t="shared" si="37"/>
        <v/>
      </c>
      <c r="R248" s="238" t="str">
        <f t="shared" si="38"/>
        <v/>
      </c>
      <c r="S248" s="392" t="str">
        <f>IFERROR(INDEX('G-1 All Habitats'!$B$3:$B$129,MATCH(R248,'G-1 All Habitats'!$A$3:$A$129,0)),"")</f>
        <v/>
      </c>
      <c r="T248" s="498" t="str">
        <f t="shared" si="39"/>
        <v/>
      </c>
      <c r="U248" s="499" t="str">
        <f t="shared" si="40"/>
        <v/>
      </c>
      <c r="V248" s="537" t="str">
        <f t="shared" si="34"/>
        <v/>
      </c>
      <c r="W248" s="520" t="str">
        <f>IF(S248="","",VLOOKUP(S248,'G-1 All Habitats'!$B$2:$M$129,10,FALSE))</f>
        <v/>
      </c>
      <c r="X248" s="520" t="str">
        <f>IFERROR(VLOOKUP(W248,'G-1 All Habitats'!$V$3:$W$7,2,FALSE),"")</f>
        <v/>
      </c>
      <c r="Y248" s="79"/>
      <c r="Z248" s="524" t="str">
        <f>IFERROR(INDEX('G-8 Condition Look up'!$A$3:$H$130,MATCH(S248,'G-8 Condition Look up'!$A$3:$A$130,0),MATCH(Y248,'G-8 Condition Look up'!$A$3:$H$3,0)),"")</f>
        <v/>
      </c>
      <c r="AA248" s="71"/>
      <c r="AB248" s="520" t="str">
        <f>IF(AA248="","",IF(VLOOKUP(AA248,'G-3 Multipliers'!$L$3:$N$6,2,FALSE)=0,"Spatial Data Missing ⚠",VLOOKUP(AA248,'G-3 Multipliers'!$L$3:$N$6,2,FALSE)))</f>
        <v/>
      </c>
      <c r="AC248" s="524" t="str">
        <f>IF(AA248="","",IF(VLOOKUP(AA248,'G-3 Multipliers'!$L$3:$N$6,3,FALSE)=0,"Spatial Data Missing ⚠",VLOOKUP(AA248,'G-3 Multipliers'!$L$3:$N$6,3,FALSE)))</f>
        <v/>
      </c>
      <c r="AD248" s="539" t="str">
        <f t="shared" si="35"/>
        <v/>
      </c>
      <c r="AE248" s="82"/>
      <c r="AF248" s="82"/>
      <c r="AG248" s="507" t="str">
        <f t="shared" si="41"/>
        <v/>
      </c>
      <c r="AH248" s="521" t="str">
        <f t="shared" si="42"/>
        <v/>
      </c>
      <c r="AI248" s="522" t="str">
        <f>IF(AH248="Check Data","Check Data",IFERROR(VLOOKUP(AH248,'G-4 Temporal multipliers'!$A$4:$C$36,3,FALSE),""))</f>
        <v/>
      </c>
      <c r="AJ248" s="498" t="str">
        <f>IF(S248="","",VLOOKUP(S248,'G-3 Multipliers'!$A$2:$E$129,4,FALSE))</f>
        <v/>
      </c>
      <c r="AK248" s="507" t="str">
        <f t="shared" si="43"/>
        <v/>
      </c>
      <c r="AL248" s="507" t="str">
        <f t="shared" si="44"/>
        <v/>
      </c>
      <c r="AM248" s="540" t="str">
        <f>IFERROR(IF(F248="","",IF(AH248="Check Data ⚠","Check Data ⚠",VLOOKUP(AL248, 'G-3 Multipliers'!$P$2:$Q$6,2,FALSE))),"")</f>
        <v/>
      </c>
      <c r="AN248" s="513" t="str">
        <f t="shared" si="36"/>
        <v/>
      </c>
      <c r="AO248" s="239"/>
      <c r="AP248" s="240"/>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1" t="str">
        <f>'A-1 Site Habitat Baseline'!AL248</f>
        <v/>
      </c>
      <c r="F249" s="520" t="str">
        <f>IF(E249="","",IF(ISNA(VLOOKUP($E249,'A-1 Site Habitat Baseline'!$D$1:$O$258,4,FALSE)),"",(VLOOKUP($E249,'A-1 Site Habitat Baseline'!$D$1:$O$258,4,FALSE))))</f>
        <v/>
      </c>
      <c r="G249" s="520" t="str">
        <f>IF(E249="","",IF(ISNA(VLOOKUP($E249,'A-1 Site Habitat Baseline'!$D$1:$O$258,5,FALSE)),"",(VLOOKUP($E249,'A-1 Site Habitat Baseline'!$D$1:$O$258,5,FALSE))))</f>
        <v/>
      </c>
      <c r="H249" s="520" t="str">
        <f>IF(E249="","",IF(ISNA(VLOOKUP($E249,'A-1 Site Habitat Baseline'!$D$1:$O$258,6,FALSE)),"",(VLOOKUP($E249,'A-1 Site Habitat Baseline'!$D$1:$O$258,6,FALSE))))</f>
        <v/>
      </c>
      <c r="I249" s="520" t="str">
        <f>IF(E249="","",IF(ISNA(VLOOKUP($E249,'A-1 Site Habitat Baseline'!$D$1:$O$258,7,FALSE)),"",(VLOOKUP($E249,'A-1 Site Habitat Baseline'!$D$1:$O$258,7,FALSE))))</f>
        <v/>
      </c>
      <c r="J249" s="520" t="str">
        <f>IF(E249="","",IF(ISNA(VLOOKUP($E249,'A-1 Site Habitat Baseline'!$D$1:$O$258,8,FALSE)),"",(VLOOKUP($E249,'A-1 Site Habitat Baseline'!$D$1:$O$258,8,FALSE))))</f>
        <v/>
      </c>
      <c r="K249" s="520" t="str">
        <f>IF(E249="","",IF(ISNA(VLOOKUP($E249,'A-1 Site Habitat Baseline'!$D$1:$O$258,9,FALSE)),"",(VLOOKUP($E249,'A-1 Site Habitat Baseline'!$D$1:$O$258,9,FALSE))))</f>
        <v/>
      </c>
      <c r="L249" s="520" t="str">
        <f>IF(E249="","",IF(ISNA(VLOOKUP($E249,'A-1 Site Habitat Baseline'!$D$1:$O$258,11,FALSE)),"",(VLOOKUP($E249,'A-1 Site Habitat Baseline'!$D$1:$O$258,11,FALSE))))</f>
        <v/>
      </c>
      <c r="M249" s="520" t="str">
        <f>IF(E249="","",IF(ISNA(VLOOKUP($E249,'A-1 Site Habitat Baseline'!$D$1:$O$258,12,FALSE)),"",(VLOOKUP($E249,'A-1 Site Habitat Baseline'!$D$1:$O$258,12,FALSE))))</f>
        <v/>
      </c>
      <c r="N249" s="532" t="str">
        <f>IF(E249="","",IF(ISNA(VLOOKUP($E249,'A-1 Site Habitat Baseline'!$D$1:$X$258,14,FALSE)),"",(VLOOKUP($E249,'A-1 Site Habitat Baseline'!$D$1:$X$258,14,FALSE))))</f>
        <v/>
      </c>
      <c r="O249" s="524" t="str">
        <f>IF(E249="","",IF(ISNA(VLOOKUP($E249,'A-1 Site Habitat Baseline'!$D$1:$X$258,16,FALSE)),"",(VLOOKUP($E249,'A-1 Site Habitat Baseline'!$D$1:$X$258,13,FALSE))))</f>
        <v/>
      </c>
      <c r="P249" s="237" t="str">
        <f>IFERROR(INDEX('G-1 All Habitats'!$AG$3:$AG$15,MATCH(Q249,'G-1 All Habitats'!$AF$3:$AF$15,0)),"")</f>
        <v/>
      </c>
      <c r="Q249" s="238" t="str">
        <f t="shared" si="37"/>
        <v/>
      </c>
      <c r="R249" s="238" t="str">
        <f t="shared" si="38"/>
        <v/>
      </c>
      <c r="S249" s="392" t="str">
        <f>IFERROR(INDEX('G-1 All Habitats'!$B$3:$B$129,MATCH(R249,'G-1 All Habitats'!$A$3:$A$129,0)),"")</f>
        <v/>
      </c>
      <c r="T249" s="498" t="str">
        <f t="shared" si="39"/>
        <v/>
      </c>
      <c r="U249" s="499" t="str">
        <f t="shared" si="40"/>
        <v/>
      </c>
      <c r="V249" s="537" t="str">
        <f t="shared" si="34"/>
        <v/>
      </c>
      <c r="W249" s="520" t="str">
        <f>IF(S249="","",VLOOKUP(S249,'G-1 All Habitats'!$B$2:$M$129,10,FALSE))</f>
        <v/>
      </c>
      <c r="X249" s="520" t="str">
        <f>IFERROR(VLOOKUP(W249,'G-1 All Habitats'!$V$3:$W$7,2,FALSE),"")</f>
        <v/>
      </c>
      <c r="Y249" s="79"/>
      <c r="Z249" s="524" t="str">
        <f>IFERROR(INDEX('G-8 Condition Look up'!$A$3:$H$130,MATCH(S249,'G-8 Condition Look up'!$A$3:$A$130,0),MATCH(Y249,'G-8 Condition Look up'!$A$3:$H$3,0)),"")</f>
        <v/>
      </c>
      <c r="AA249" s="71"/>
      <c r="AB249" s="520" t="str">
        <f>IF(AA249="","",IF(VLOOKUP(AA249,'G-3 Multipliers'!$L$3:$N$6,2,FALSE)=0,"Spatial Data Missing ⚠",VLOOKUP(AA249,'G-3 Multipliers'!$L$3:$N$6,2,FALSE)))</f>
        <v/>
      </c>
      <c r="AC249" s="524" t="str">
        <f>IF(AA249="","",IF(VLOOKUP(AA249,'G-3 Multipliers'!$L$3:$N$6,3,FALSE)=0,"Spatial Data Missing ⚠",VLOOKUP(AA249,'G-3 Multipliers'!$L$3:$N$6,3,FALSE)))</f>
        <v/>
      </c>
      <c r="AD249" s="539" t="str">
        <f t="shared" si="35"/>
        <v/>
      </c>
      <c r="AE249" s="82"/>
      <c r="AF249" s="82"/>
      <c r="AG249" s="507" t="str">
        <f t="shared" si="41"/>
        <v/>
      </c>
      <c r="AH249" s="521" t="str">
        <f t="shared" si="42"/>
        <v/>
      </c>
      <c r="AI249" s="522" t="str">
        <f>IF(AH249="Check Data","Check Data",IFERROR(VLOOKUP(AH249,'G-4 Temporal multipliers'!$A$4:$C$36,3,FALSE),""))</f>
        <v/>
      </c>
      <c r="AJ249" s="498" t="str">
        <f>IF(S249="","",VLOOKUP(S249,'G-3 Multipliers'!$A$2:$E$129,4,FALSE))</f>
        <v/>
      </c>
      <c r="AK249" s="507" t="str">
        <f t="shared" si="43"/>
        <v/>
      </c>
      <c r="AL249" s="507" t="str">
        <f t="shared" si="44"/>
        <v/>
      </c>
      <c r="AM249" s="540" t="str">
        <f>IFERROR(IF(F249="","",IF(AH249="Check Data ⚠","Check Data ⚠",VLOOKUP(AL249, 'G-3 Multipliers'!$P$2:$Q$6,2,FALSE))),"")</f>
        <v/>
      </c>
      <c r="AN249" s="513" t="str">
        <f t="shared" si="36"/>
        <v/>
      </c>
      <c r="AO249" s="239"/>
      <c r="AP249" s="240"/>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1" t="str">
        <f>'A-1 Site Habitat Baseline'!AL249</f>
        <v/>
      </c>
      <c r="F250" s="520" t="str">
        <f>IF(E250="","",IF(ISNA(VLOOKUP($E250,'A-1 Site Habitat Baseline'!$D$1:$O$258,4,FALSE)),"",(VLOOKUP($E250,'A-1 Site Habitat Baseline'!$D$1:$O$258,4,FALSE))))</f>
        <v/>
      </c>
      <c r="G250" s="520" t="str">
        <f>IF(E250="","",IF(ISNA(VLOOKUP($E250,'A-1 Site Habitat Baseline'!$D$1:$O$258,5,FALSE)),"",(VLOOKUP($E250,'A-1 Site Habitat Baseline'!$D$1:$O$258,5,FALSE))))</f>
        <v/>
      </c>
      <c r="H250" s="520" t="str">
        <f>IF(E250="","",IF(ISNA(VLOOKUP($E250,'A-1 Site Habitat Baseline'!$D$1:$O$258,6,FALSE)),"",(VLOOKUP($E250,'A-1 Site Habitat Baseline'!$D$1:$O$258,6,FALSE))))</f>
        <v/>
      </c>
      <c r="I250" s="520" t="str">
        <f>IF(E250="","",IF(ISNA(VLOOKUP($E250,'A-1 Site Habitat Baseline'!$D$1:$O$258,7,FALSE)),"",(VLOOKUP($E250,'A-1 Site Habitat Baseline'!$D$1:$O$258,7,FALSE))))</f>
        <v/>
      </c>
      <c r="J250" s="520" t="str">
        <f>IF(E250="","",IF(ISNA(VLOOKUP($E250,'A-1 Site Habitat Baseline'!$D$1:$O$258,8,FALSE)),"",(VLOOKUP($E250,'A-1 Site Habitat Baseline'!$D$1:$O$258,8,FALSE))))</f>
        <v/>
      </c>
      <c r="K250" s="520" t="str">
        <f>IF(E250="","",IF(ISNA(VLOOKUP($E250,'A-1 Site Habitat Baseline'!$D$1:$O$258,9,FALSE)),"",(VLOOKUP($E250,'A-1 Site Habitat Baseline'!$D$1:$O$258,9,FALSE))))</f>
        <v/>
      </c>
      <c r="L250" s="520" t="str">
        <f>IF(E250="","",IF(ISNA(VLOOKUP($E250,'A-1 Site Habitat Baseline'!$D$1:$O$258,11,FALSE)),"",(VLOOKUP($E250,'A-1 Site Habitat Baseline'!$D$1:$O$258,11,FALSE))))</f>
        <v/>
      </c>
      <c r="M250" s="520" t="str">
        <f>IF(E250="","",IF(ISNA(VLOOKUP($E250,'A-1 Site Habitat Baseline'!$D$1:$O$258,12,FALSE)),"",(VLOOKUP($E250,'A-1 Site Habitat Baseline'!$D$1:$O$258,12,FALSE))))</f>
        <v/>
      </c>
      <c r="N250" s="532" t="str">
        <f>IF(E250="","",IF(ISNA(VLOOKUP($E250,'A-1 Site Habitat Baseline'!$D$1:$X$258,14,FALSE)),"",(VLOOKUP($E250,'A-1 Site Habitat Baseline'!$D$1:$X$258,14,FALSE))))</f>
        <v/>
      </c>
      <c r="O250" s="524" t="str">
        <f>IF(E250="","",IF(ISNA(VLOOKUP($E250,'A-1 Site Habitat Baseline'!$D$1:$X$258,16,FALSE)),"",(VLOOKUP($E250,'A-1 Site Habitat Baseline'!$D$1:$X$258,13,FALSE))))</f>
        <v/>
      </c>
      <c r="P250" s="237" t="str">
        <f>IFERROR(INDEX('G-1 All Habitats'!$AG$3:$AG$15,MATCH(Q250,'G-1 All Habitats'!$AF$3:$AF$15,0)),"")</f>
        <v/>
      </c>
      <c r="Q250" s="238" t="str">
        <f t="shared" si="37"/>
        <v/>
      </c>
      <c r="R250" s="238" t="str">
        <f t="shared" si="38"/>
        <v/>
      </c>
      <c r="S250" s="392" t="str">
        <f>IFERROR(INDEX('G-1 All Habitats'!$B$3:$B$129,MATCH(R250,'G-1 All Habitats'!$A$3:$A$129,0)),"")</f>
        <v/>
      </c>
      <c r="T250" s="498" t="str">
        <f t="shared" si="39"/>
        <v/>
      </c>
      <c r="U250" s="499" t="str">
        <f t="shared" si="40"/>
        <v/>
      </c>
      <c r="V250" s="537" t="str">
        <f t="shared" si="34"/>
        <v/>
      </c>
      <c r="W250" s="520" t="str">
        <f>IF(S250="","",VLOOKUP(S250,'G-1 All Habitats'!$B$2:$M$129,10,FALSE))</f>
        <v/>
      </c>
      <c r="X250" s="520" t="str">
        <f>IFERROR(VLOOKUP(W250,'G-1 All Habitats'!$V$3:$W$7,2,FALSE),"")</f>
        <v/>
      </c>
      <c r="Y250" s="79"/>
      <c r="Z250" s="524" t="str">
        <f>IFERROR(INDEX('G-8 Condition Look up'!$A$3:$H$130,MATCH(S250,'G-8 Condition Look up'!$A$3:$A$130,0),MATCH(Y250,'G-8 Condition Look up'!$A$3:$H$3,0)),"")</f>
        <v/>
      </c>
      <c r="AA250" s="71"/>
      <c r="AB250" s="520" t="str">
        <f>IF(AA250="","",IF(VLOOKUP(AA250,'G-3 Multipliers'!$L$3:$N$6,2,FALSE)=0,"Spatial Data Missing ⚠",VLOOKUP(AA250,'G-3 Multipliers'!$L$3:$N$6,2,FALSE)))</f>
        <v/>
      </c>
      <c r="AC250" s="524" t="str">
        <f>IF(AA250="","",IF(VLOOKUP(AA250,'G-3 Multipliers'!$L$3:$N$6,3,FALSE)=0,"Spatial Data Missing ⚠",VLOOKUP(AA250,'G-3 Multipliers'!$L$3:$N$6,3,FALSE)))</f>
        <v/>
      </c>
      <c r="AD250" s="539" t="str">
        <f t="shared" si="35"/>
        <v/>
      </c>
      <c r="AE250" s="82"/>
      <c r="AF250" s="82"/>
      <c r="AG250" s="507" t="str">
        <f t="shared" si="41"/>
        <v/>
      </c>
      <c r="AH250" s="521" t="str">
        <f t="shared" si="42"/>
        <v/>
      </c>
      <c r="AI250" s="522" t="str">
        <f>IF(AH250="Check Data","Check Data",IFERROR(VLOOKUP(AH250,'G-4 Temporal multipliers'!$A$4:$C$36,3,FALSE),""))</f>
        <v/>
      </c>
      <c r="AJ250" s="498" t="str">
        <f>IF(S250="","",VLOOKUP(S250,'G-3 Multipliers'!$A$2:$E$129,4,FALSE))</f>
        <v/>
      </c>
      <c r="AK250" s="507" t="str">
        <f t="shared" si="43"/>
        <v/>
      </c>
      <c r="AL250" s="507" t="str">
        <f t="shared" si="44"/>
        <v/>
      </c>
      <c r="AM250" s="540" t="str">
        <f>IFERROR(IF(F250="","",IF(AH250="Check Data ⚠","Check Data ⚠",VLOOKUP(AL250, 'G-3 Multipliers'!$P$2:$Q$6,2,FALSE))),"")</f>
        <v/>
      </c>
      <c r="AN250" s="513" t="str">
        <f t="shared" si="36"/>
        <v/>
      </c>
      <c r="AO250" s="239"/>
      <c r="AP250" s="240"/>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1" t="str">
        <f>'A-1 Site Habitat Baseline'!AL250</f>
        <v/>
      </c>
      <c r="F251" s="520" t="str">
        <f>IF(E251="","",IF(ISNA(VLOOKUP($E251,'A-1 Site Habitat Baseline'!$D$1:$O$258,4,FALSE)),"",(VLOOKUP($E251,'A-1 Site Habitat Baseline'!$D$1:$O$258,4,FALSE))))</f>
        <v/>
      </c>
      <c r="G251" s="520" t="str">
        <f>IF(E251="","",IF(ISNA(VLOOKUP($E251,'A-1 Site Habitat Baseline'!$D$1:$O$258,5,FALSE)),"",(VLOOKUP($E251,'A-1 Site Habitat Baseline'!$D$1:$O$258,5,FALSE))))</f>
        <v/>
      </c>
      <c r="H251" s="520" t="str">
        <f>IF(E251="","",IF(ISNA(VLOOKUP($E251,'A-1 Site Habitat Baseline'!$D$1:$O$258,6,FALSE)),"",(VLOOKUP($E251,'A-1 Site Habitat Baseline'!$D$1:$O$258,6,FALSE))))</f>
        <v/>
      </c>
      <c r="I251" s="520" t="str">
        <f>IF(E251="","",IF(ISNA(VLOOKUP($E251,'A-1 Site Habitat Baseline'!$D$1:$O$258,7,FALSE)),"",(VLOOKUP($E251,'A-1 Site Habitat Baseline'!$D$1:$O$258,7,FALSE))))</f>
        <v/>
      </c>
      <c r="J251" s="520" t="str">
        <f>IF(E251="","",IF(ISNA(VLOOKUP($E251,'A-1 Site Habitat Baseline'!$D$1:$O$258,8,FALSE)),"",(VLOOKUP($E251,'A-1 Site Habitat Baseline'!$D$1:$O$258,8,FALSE))))</f>
        <v/>
      </c>
      <c r="K251" s="520" t="str">
        <f>IF(E251="","",IF(ISNA(VLOOKUP($E251,'A-1 Site Habitat Baseline'!$D$1:$O$258,9,FALSE)),"",(VLOOKUP($E251,'A-1 Site Habitat Baseline'!$D$1:$O$258,9,FALSE))))</f>
        <v/>
      </c>
      <c r="L251" s="520" t="str">
        <f>IF(E251="","",IF(ISNA(VLOOKUP($E251,'A-1 Site Habitat Baseline'!$D$1:$O$258,11,FALSE)),"",(VLOOKUP($E251,'A-1 Site Habitat Baseline'!$D$1:$O$258,11,FALSE))))</f>
        <v/>
      </c>
      <c r="M251" s="520" t="str">
        <f>IF(E251="","",IF(ISNA(VLOOKUP($E251,'A-1 Site Habitat Baseline'!$D$1:$O$258,12,FALSE)),"",(VLOOKUP($E251,'A-1 Site Habitat Baseline'!$D$1:$O$258,12,FALSE))))</f>
        <v/>
      </c>
      <c r="N251" s="532" t="str">
        <f>IF(E251="","",IF(ISNA(VLOOKUP($E251,'A-1 Site Habitat Baseline'!$D$1:$X$258,14,FALSE)),"",(VLOOKUP($E251,'A-1 Site Habitat Baseline'!$D$1:$X$258,14,FALSE))))</f>
        <v/>
      </c>
      <c r="O251" s="524" t="str">
        <f>IF(E251="","",IF(ISNA(VLOOKUP($E251,'A-1 Site Habitat Baseline'!$D$1:$X$258,16,FALSE)),"",(VLOOKUP($E251,'A-1 Site Habitat Baseline'!$D$1:$X$258,13,FALSE))))</f>
        <v/>
      </c>
      <c r="P251" s="237" t="str">
        <f>IFERROR(INDEX('G-1 All Habitats'!$AG$3:$AG$15,MATCH(Q251,'G-1 All Habitats'!$AF$3:$AF$15,0)),"")</f>
        <v/>
      </c>
      <c r="Q251" s="238" t="str">
        <f t="shared" si="37"/>
        <v/>
      </c>
      <c r="R251" s="238" t="str">
        <f t="shared" si="38"/>
        <v/>
      </c>
      <c r="S251" s="392" t="str">
        <f>IFERROR(INDEX('G-1 All Habitats'!$B$3:$B$129,MATCH(R251,'G-1 All Habitats'!$A$3:$A$129,0)),"")</f>
        <v/>
      </c>
      <c r="T251" s="498" t="str">
        <f t="shared" si="39"/>
        <v/>
      </c>
      <c r="U251" s="499" t="str">
        <f t="shared" si="40"/>
        <v/>
      </c>
      <c r="V251" s="537" t="str">
        <f t="shared" si="34"/>
        <v/>
      </c>
      <c r="W251" s="520" t="str">
        <f>IF(S251="","",VLOOKUP(S251,'G-1 All Habitats'!$B$2:$M$129,10,FALSE))</f>
        <v/>
      </c>
      <c r="X251" s="520" t="str">
        <f>IFERROR(VLOOKUP(W251,'G-1 All Habitats'!$V$3:$W$7,2,FALSE),"")</f>
        <v/>
      </c>
      <c r="Y251" s="79"/>
      <c r="Z251" s="524" t="str">
        <f>IFERROR(INDEX('G-8 Condition Look up'!$A$3:$H$130,MATCH(S251,'G-8 Condition Look up'!$A$3:$A$130,0),MATCH(Y251,'G-8 Condition Look up'!$A$3:$H$3,0)),"")</f>
        <v/>
      </c>
      <c r="AA251" s="71"/>
      <c r="AB251" s="520" t="str">
        <f>IF(AA251="","",IF(VLOOKUP(AA251,'G-3 Multipliers'!$L$3:$N$6,2,FALSE)=0,"Spatial Data Missing ⚠",VLOOKUP(AA251,'G-3 Multipliers'!$L$3:$N$6,2,FALSE)))</f>
        <v/>
      </c>
      <c r="AC251" s="524" t="str">
        <f>IF(AA251="","",IF(VLOOKUP(AA251,'G-3 Multipliers'!$L$3:$N$6,3,FALSE)=0,"Spatial Data Missing ⚠",VLOOKUP(AA251,'G-3 Multipliers'!$L$3:$N$6,3,FALSE)))</f>
        <v/>
      </c>
      <c r="AD251" s="539" t="str">
        <f t="shared" si="35"/>
        <v/>
      </c>
      <c r="AE251" s="82"/>
      <c r="AF251" s="82"/>
      <c r="AG251" s="507" t="str">
        <f t="shared" si="41"/>
        <v/>
      </c>
      <c r="AH251" s="521" t="str">
        <f t="shared" si="42"/>
        <v/>
      </c>
      <c r="AI251" s="522" t="str">
        <f>IF(AH251="Check Data","Check Data",IFERROR(VLOOKUP(AH251,'G-4 Temporal multipliers'!$A$4:$C$36,3,FALSE),""))</f>
        <v/>
      </c>
      <c r="AJ251" s="498" t="str">
        <f>IF(S251="","",VLOOKUP(S251,'G-3 Multipliers'!$A$2:$E$129,4,FALSE))</f>
        <v/>
      </c>
      <c r="AK251" s="507" t="str">
        <f t="shared" si="43"/>
        <v/>
      </c>
      <c r="AL251" s="507" t="str">
        <f t="shared" si="44"/>
        <v/>
      </c>
      <c r="AM251" s="540" t="str">
        <f>IFERROR(IF(F251="","",IF(AH251="Check Data ⚠","Check Data ⚠",VLOOKUP(AL251, 'G-3 Multipliers'!$P$2:$Q$6,2,FALSE))),"")</f>
        <v/>
      </c>
      <c r="AN251" s="513" t="str">
        <f t="shared" si="36"/>
        <v/>
      </c>
      <c r="AO251" s="239"/>
      <c r="AP251" s="240"/>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1" t="str">
        <f>'A-1 Site Habitat Baseline'!AL251</f>
        <v/>
      </c>
      <c r="F252" s="520" t="str">
        <f>IF(E252="","",IF(ISNA(VLOOKUP($E252,'A-1 Site Habitat Baseline'!$D$1:$O$258,4,FALSE)),"",(VLOOKUP($E252,'A-1 Site Habitat Baseline'!$D$1:$O$258,4,FALSE))))</f>
        <v/>
      </c>
      <c r="G252" s="520" t="str">
        <f>IF(E252="","",IF(ISNA(VLOOKUP($E252,'A-1 Site Habitat Baseline'!$D$1:$O$258,5,FALSE)),"",(VLOOKUP($E252,'A-1 Site Habitat Baseline'!$D$1:$O$258,5,FALSE))))</f>
        <v/>
      </c>
      <c r="H252" s="520" t="str">
        <f>IF(E252="","",IF(ISNA(VLOOKUP($E252,'A-1 Site Habitat Baseline'!$D$1:$O$258,6,FALSE)),"",(VLOOKUP($E252,'A-1 Site Habitat Baseline'!$D$1:$O$258,6,FALSE))))</f>
        <v/>
      </c>
      <c r="I252" s="520" t="str">
        <f>IF(E252="","",IF(ISNA(VLOOKUP($E252,'A-1 Site Habitat Baseline'!$D$1:$O$258,7,FALSE)),"",(VLOOKUP($E252,'A-1 Site Habitat Baseline'!$D$1:$O$258,7,FALSE))))</f>
        <v/>
      </c>
      <c r="J252" s="520" t="str">
        <f>IF(E252="","",IF(ISNA(VLOOKUP($E252,'A-1 Site Habitat Baseline'!$D$1:$O$258,8,FALSE)),"",(VLOOKUP($E252,'A-1 Site Habitat Baseline'!$D$1:$O$258,8,FALSE))))</f>
        <v/>
      </c>
      <c r="K252" s="520" t="str">
        <f>IF(E252="","",IF(ISNA(VLOOKUP($E252,'A-1 Site Habitat Baseline'!$D$1:$O$258,9,FALSE)),"",(VLOOKUP($E252,'A-1 Site Habitat Baseline'!$D$1:$O$258,9,FALSE))))</f>
        <v/>
      </c>
      <c r="L252" s="520" t="str">
        <f>IF(E252="","",IF(ISNA(VLOOKUP($E252,'A-1 Site Habitat Baseline'!$D$1:$O$258,11,FALSE)),"",(VLOOKUP($E252,'A-1 Site Habitat Baseline'!$D$1:$O$258,11,FALSE))))</f>
        <v/>
      </c>
      <c r="M252" s="520" t="str">
        <f>IF(E252="","",IF(ISNA(VLOOKUP($E252,'A-1 Site Habitat Baseline'!$D$1:$O$258,12,FALSE)),"",(VLOOKUP($E252,'A-1 Site Habitat Baseline'!$D$1:$O$258,12,FALSE))))</f>
        <v/>
      </c>
      <c r="N252" s="532" t="str">
        <f>IF(E252="","",IF(ISNA(VLOOKUP($E252,'A-1 Site Habitat Baseline'!$D$1:$X$258,14,FALSE)),"",(VLOOKUP($E252,'A-1 Site Habitat Baseline'!$D$1:$X$258,14,FALSE))))</f>
        <v/>
      </c>
      <c r="O252" s="524" t="str">
        <f>IF(E252="","",IF(ISNA(VLOOKUP($E252,'A-1 Site Habitat Baseline'!$D$1:$X$258,16,FALSE)),"",(VLOOKUP($E252,'A-1 Site Habitat Baseline'!$D$1:$X$258,13,FALSE))))</f>
        <v/>
      </c>
      <c r="P252" s="237" t="str">
        <f>IFERROR(INDEX('G-1 All Habitats'!$AG$3:$AG$15,MATCH(Q252,'G-1 All Habitats'!$AF$3:$AF$15,0)),"")</f>
        <v/>
      </c>
      <c r="Q252" s="238" t="str">
        <f t="shared" si="37"/>
        <v/>
      </c>
      <c r="R252" s="238" t="str">
        <f t="shared" si="38"/>
        <v/>
      </c>
      <c r="S252" s="392" t="str">
        <f>IFERROR(INDEX('G-1 All Habitats'!$B$3:$B$129,MATCH(R252,'G-1 All Habitats'!$A$3:$A$129,0)),"")</f>
        <v/>
      </c>
      <c r="T252" s="498" t="str">
        <f t="shared" si="39"/>
        <v/>
      </c>
      <c r="U252" s="499" t="str">
        <f t="shared" si="40"/>
        <v/>
      </c>
      <c r="V252" s="537" t="str">
        <f t="shared" si="34"/>
        <v/>
      </c>
      <c r="W252" s="520" t="str">
        <f>IF(S252="","",VLOOKUP(S252,'G-1 All Habitats'!$B$2:$M$129,10,FALSE))</f>
        <v/>
      </c>
      <c r="X252" s="520" t="str">
        <f>IFERROR(VLOOKUP(W252,'G-1 All Habitats'!$V$3:$W$7,2,FALSE),"")</f>
        <v/>
      </c>
      <c r="Y252" s="79"/>
      <c r="Z252" s="524" t="str">
        <f>IFERROR(INDEX('G-8 Condition Look up'!$A$3:$H$130,MATCH(S252,'G-8 Condition Look up'!$A$3:$A$130,0),MATCH(Y252,'G-8 Condition Look up'!$A$3:$H$3,0)),"")</f>
        <v/>
      </c>
      <c r="AA252" s="71"/>
      <c r="AB252" s="520" t="str">
        <f>IF(AA252="","",IF(VLOOKUP(AA252,'G-3 Multipliers'!$L$3:$N$6,2,FALSE)=0,"Spatial Data Missing ⚠",VLOOKUP(AA252,'G-3 Multipliers'!$L$3:$N$6,2,FALSE)))</f>
        <v/>
      </c>
      <c r="AC252" s="524" t="str">
        <f>IF(AA252="","",IF(VLOOKUP(AA252,'G-3 Multipliers'!$L$3:$N$6,3,FALSE)=0,"Spatial Data Missing ⚠",VLOOKUP(AA252,'G-3 Multipliers'!$L$3:$N$6,3,FALSE)))</f>
        <v/>
      </c>
      <c r="AD252" s="539" t="str">
        <f t="shared" si="35"/>
        <v/>
      </c>
      <c r="AE252" s="82"/>
      <c r="AF252" s="82"/>
      <c r="AG252" s="507" t="str">
        <f t="shared" si="41"/>
        <v/>
      </c>
      <c r="AH252" s="521" t="str">
        <f t="shared" si="42"/>
        <v/>
      </c>
      <c r="AI252" s="522" t="str">
        <f>IF(AH252="Check Data","Check Data",IFERROR(VLOOKUP(AH252,'G-4 Temporal multipliers'!$A$4:$C$36,3,FALSE),""))</f>
        <v/>
      </c>
      <c r="AJ252" s="498" t="str">
        <f>IF(S252="","",VLOOKUP(S252,'G-3 Multipliers'!$A$2:$E$129,4,FALSE))</f>
        <v/>
      </c>
      <c r="AK252" s="507" t="str">
        <f t="shared" si="43"/>
        <v/>
      </c>
      <c r="AL252" s="507" t="str">
        <f t="shared" si="44"/>
        <v/>
      </c>
      <c r="AM252" s="540" t="str">
        <f>IFERROR(IF(F252="","",IF(AH252="Check Data ⚠","Check Data ⚠",VLOOKUP(AL252, 'G-3 Multipliers'!$P$2:$Q$6,2,FALSE))),"")</f>
        <v/>
      </c>
      <c r="AN252" s="513" t="str">
        <f t="shared" si="36"/>
        <v/>
      </c>
      <c r="AO252" s="239"/>
      <c r="AP252" s="240"/>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1" t="str">
        <f>'A-1 Site Habitat Baseline'!AL252</f>
        <v/>
      </c>
      <c r="F253" s="520" t="str">
        <f>IF(E253="","",IF(ISNA(VLOOKUP($E253,'A-1 Site Habitat Baseline'!$D$1:$O$258,4,FALSE)),"",(VLOOKUP($E253,'A-1 Site Habitat Baseline'!$D$1:$O$258,4,FALSE))))</f>
        <v/>
      </c>
      <c r="G253" s="520" t="str">
        <f>IF(E253="","",IF(ISNA(VLOOKUP($E253,'A-1 Site Habitat Baseline'!$D$1:$O$258,5,FALSE)),"",(VLOOKUP($E253,'A-1 Site Habitat Baseline'!$D$1:$O$258,5,FALSE))))</f>
        <v/>
      </c>
      <c r="H253" s="520" t="str">
        <f>IF(E253="","",IF(ISNA(VLOOKUP($E253,'A-1 Site Habitat Baseline'!$D$1:$O$258,6,FALSE)),"",(VLOOKUP($E253,'A-1 Site Habitat Baseline'!$D$1:$O$258,6,FALSE))))</f>
        <v/>
      </c>
      <c r="I253" s="520" t="str">
        <f>IF(E253="","",IF(ISNA(VLOOKUP($E253,'A-1 Site Habitat Baseline'!$D$1:$O$258,7,FALSE)),"",(VLOOKUP($E253,'A-1 Site Habitat Baseline'!$D$1:$O$258,7,FALSE))))</f>
        <v/>
      </c>
      <c r="J253" s="520" t="str">
        <f>IF(E253="","",IF(ISNA(VLOOKUP($E253,'A-1 Site Habitat Baseline'!$D$1:$O$258,8,FALSE)),"",(VLOOKUP($E253,'A-1 Site Habitat Baseline'!$D$1:$O$258,8,FALSE))))</f>
        <v/>
      </c>
      <c r="K253" s="520" t="str">
        <f>IF(E253="","",IF(ISNA(VLOOKUP($E253,'A-1 Site Habitat Baseline'!$D$1:$O$258,9,FALSE)),"",(VLOOKUP($E253,'A-1 Site Habitat Baseline'!$D$1:$O$258,9,FALSE))))</f>
        <v/>
      </c>
      <c r="L253" s="520" t="str">
        <f>IF(E253="","",IF(ISNA(VLOOKUP($E253,'A-1 Site Habitat Baseline'!$D$1:$O$258,11,FALSE)),"",(VLOOKUP($E253,'A-1 Site Habitat Baseline'!$D$1:$O$258,11,FALSE))))</f>
        <v/>
      </c>
      <c r="M253" s="520" t="str">
        <f>IF(E253="","",IF(ISNA(VLOOKUP($E253,'A-1 Site Habitat Baseline'!$D$1:$O$258,12,FALSE)),"",(VLOOKUP($E253,'A-1 Site Habitat Baseline'!$D$1:$O$258,12,FALSE))))</f>
        <v/>
      </c>
      <c r="N253" s="532" t="str">
        <f>IF(E253="","",IF(ISNA(VLOOKUP($E253,'A-1 Site Habitat Baseline'!$D$1:$X$258,14,FALSE)),"",(VLOOKUP($E253,'A-1 Site Habitat Baseline'!$D$1:$X$258,14,FALSE))))</f>
        <v/>
      </c>
      <c r="O253" s="524" t="str">
        <f>IF(E253="","",IF(ISNA(VLOOKUP($E253,'A-1 Site Habitat Baseline'!$D$1:$X$258,16,FALSE)),"",(VLOOKUP($E253,'A-1 Site Habitat Baseline'!$D$1:$X$258,13,FALSE))))</f>
        <v/>
      </c>
      <c r="P253" s="237" t="str">
        <f>IFERROR(INDEX('G-1 All Habitats'!$AG$3:$AG$15,MATCH(Q253,'G-1 All Habitats'!$AF$3:$AF$15,0)),"")</f>
        <v/>
      </c>
      <c r="Q253" s="238" t="str">
        <f t="shared" si="37"/>
        <v/>
      </c>
      <c r="R253" s="238" t="str">
        <f t="shared" si="38"/>
        <v/>
      </c>
      <c r="S253" s="392" t="str">
        <f>IFERROR(INDEX('G-1 All Habitats'!$B$3:$B$129,MATCH(R253,'G-1 All Habitats'!$A$3:$A$129,0)),"")</f>
        <v/>
      </c>
      <c r="T253" s="498" t="str">
        <f t="shared" si="39"/>
        <v/>
      </c>
      <c r="U253" s="499" t="str">
        <f t="shared" si="40"/>
        <v/>
      </c>
      <c r="V253" s="537" t="str">
        <f t="shared" si="34"/>
        <v/>
      </c>
      <c r="W253" s="520" t="str">
        <f>IF(S253="","",VLOOKUP(S253,'G-1 All Habitats'!$B$2:$M$129,10,FALSE))</f>
        <v/>
      </c>
      <c r="X253" s="520" t="str">
        <f>IFERROR(VLOOKUP(W253,'G-1 All Habitats'!$V$3:$W$7,2,FALSE),"")</f>
        <v/>
      </c>
      <c r="Y253" s="79"/>
      <c r="Z253" s="524" t="str">
        <f>IFERROR(INDEX('G-8 Condition Look up'!$A$3:$H$130,MATCH(S253,'G-8 Condition Look up'!$A$3:$A$130,0),MATCH(Y253,'G-8 Condition Look up'!$A$3:$H$3,0)),"")</f>
        <v/>
      </c>
      <c r="AA253" s="71"/>
      <c r="AB253" s="520" t="str">
        <f>IF(AA253="","",IF(VLOOKUP(AA253,'G-3 Multipliers'!$L$3:$N$6,2,FALSE)=0,"Spatial Data Missing ⚠",VLOOKUP(AA253,'G-3 Multipliers'!$L$3:$N$6,2,FALSE)))</f>
        <v/>
      </c>
      <c r="AC253" s="524" t="str">
        <f>IF(AA253="","",IF(VLOOKUP(AA253,'G-3 Multipliers'!$L$3:$N$6,3,FALSE)=0,"Spatial Data Missing ⚠",VLOOKUP(AA253,'G-3 Multipliers'!$L$3:$N$6,3,FALSE)))</f>
        <v/>
      </c>
      <c r="AD253" s="539" t="str">
        <f t="shared" si="35"/>
        <v/>
      </c>
      <c r="AE253" s="82"/>
      <c r="AF253" s="82"/>
      <c r="AG253" s="507" t="str">
        <f t="shared" si="41"/>
        <v/>
      </c>
      <c r="AH253" s="521" t="str">
        <f t="shared" si="42"/>
        <v/>
      </c>
      <c r="AI253" s="522" t="str">
        <f>IF(AH253="Check Data","Check Data",IFERROR(VLOOKUP(AH253,'G-4 Temporal multipliers'!$A$4:$C$36,3,FALSE),""))</f>
        <v/>
      </c>
      <c r="AJ253" s="498" t="str">
        <f>IF(S253="","",VLOOKUP(S253,'G-3 Multipliers'!$A$2:$E$129,4,FALSE))</f>
        <v/>
      </c>
      <c r="AK253" s="507" t="str">
        <f t="shared" si="43"/>
        <v/>
      </c>
      <c r="AL253" s="507" t="str">
        <f t="shared" si="44"/>
        <v/>
      </c>
      <c r="AM253" s="540" t="str">
        <f>IFERROR(IF(F253="","",IF(AH253="Check Data ⚠","Check Data ⚠",VLOOKUP(AL253, 'G-3 Multipliers'!$P$2:$Q$6,2,FALSE))),"")</f>
        <v/>
      </c>
      <c r="AN253" s="513" t="str">
        <f t="shared" si="36"/>
        <v/>
      </c>
      <c r="AO253" s="239"/>
      <c r="AP253" s="240"/>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1" t="str">
        <f>'A-1 Site Habitat Baseline'!AL253</f>
        <v/>
      </c>
      <c r="F254" s="520" t="str">
        <f>IF(E254="","",IF(ISNA(VLOOKUP($E254,'A-1 Site Habitat Baseline'!$D$1:$O$258,4,FALSE)),"",(VLOOKUP($E254,'A-1 Site Habitat Baseline'!$D$1:$O$258,4,FALSE))))</f>
        <v/>
      </c>
      <c r="G254" s="520" t="str">
        <f>IF(E254="","",IF(ISNA(VLOOKUP($E254,'A-1 Site Habitat Baseline'!$D$1:$O$258,5,FALSE)),"",(VLOOKUP($E254,'A-1 Site Habitat Baseline'!$D$1:$O$258,5,FALSE))))</f>
        <v/>
      </c>
      <c r="H254" s="520" t="str">
        <f>IF(E254="","",IF(ISNA(VLOOKUP($E254,'A-1 Site Habitat Baseline'!$D$1:$O$258,6,FALSE)),"",(VLOOKUP($E254,'A-1 Site Habitat Baseline'!$D$1:$O$258,6,FALSE))))</f>
        <v/>
      </c>
      <c r="I254" s="520" t="str">
        <f>IF(E254="","",IF(ISNA(VLOOKUP($E254,'A-1 Site Habitat Baseline'!$D$1:$O$258,7,FALSE)),"",(VLOOKUP($E254,'A-1 Site Habitat Baseline'!$D$1:$O$258,7,FALSE))))</f>
        <v/>
      </c>
      <c r="J254" s="520" t="str">
        <f>IF(E254="","",IF(ISNA(VLOOKUP($E254,'A-1 Site Habitat Baseline'!$D$1:$O$258,8,FALSE)),"",(VLOOKUP($E254,'A-1 Site Habitat Baseline'!$D$1:$O$258,8,FALSE))))</f>
        <v/>
      </c>
      <c r="K254" s="520" t="str">
        <f>IF(E254="","",IF(ISNA(VLOOKUP($E254,'A-1 Site Habitat Baseline'!$D$1:$O$258,9,FALSE)),"",(VLOOKUP($E254,'A-1 Site Habitat Baseline'!$D$1:$O$258,9,FALSE))))</f>
        <v/>
      </c>
      <c r="L254" s="520" t="str">
        <f>IF(E254="","",IF(ISNA(VLOOKUP($E254,'A-1 Site Habitat Baseline'!$D$1:$O$258,11,FALSE)),"",(VLOOKUP($E254,'A-1 Site Habitat Baseline'!$D$1:$O$258,11,FALSE))))</f>
        <v/>
      </c>
      <c r="M254" s="520" t="str">
        <f>IF(E254="","",IF(ISNA(VLOOKUP($E254,'A-1 Site Habitat Baseline'!$D$1:$O$258,12,FALSE)),"",(VLOOKUP($E254,'A-1 Site Habitat Baseline'!$D$1:$O$258,12,FALSE))))</f>
        <v/>
      </c>
      <c r="N254" s="532" t="str">
        <f>IF(E254="","",IF(ISNA(VLOOKUP($E254,'A-1 Site Habitat Baseline'!$D$1:$X$258,14,FALSE)),"",(VLOOKUP($E254,'A-1 Site Habitat Baseline'!$D$1:$X$258,14,FALSE))))</f>
        <v/>
      </c>
      <c r="O254" s="524" t="str">
        <f>IF(E254="","",IF(ISNA(VLOOKUP($E254,'A-1 Site Habitat Baseline'!$D$1:$X$258,16,FALSE)),"",(VLOOKUP($E254,'A-1 Site Habitat Baseline'!$D$1:$X$258,13,FALSE))))</f>
        <v/>
      </c>
      <c r="P254" s="237" t="str">
        <f>IFERROR(INDEX('G-1 All Habitats'!$AG$3:$AG$15,MATCH(Q254,'G-1 All Habitats'!$AF$3:$AF$15,0)),"")</f>
        <v/>
      </c>
      <c r="Q254" s="238" t="str">
        <f t="shared" si="37"/>
        <v/>
      </c>
      <c r="R254" s="238" t="str">
        <f t="shared" si="38"/>
        <v/>
      </c>
      <c r="S254" s="392" t="str">
        <f>IFERROR(INDEX('G-1 All Habitats'!$B$3:$B$129,MATCH(R254,'G-1 All Habitats'!$A$3:$A$129,0)),"")</f>
        <v/>
      </c>
      <c r="T254" s="498" t="str">
        <f t="shared" si="39"/>
        <v/>
      </c>
      <c r="U254" s="499" t="str">
        <f t="shared" si="40"/>
        <v/>
      </c>
      <c r="V254" s="537" t="str">
        <f t="shared" si="34"/>
        <v/>
      </c>
      <c r="W254" s="520" t="str">
        <f>IF(S254="","",VLOOKUP(S254,'G-1 All Habitats'!$B$2:$M$129,10,FALSE))</f>
        <v/>
      </c>
      <c r="X254" s="520" t="str">
        <f>IFERROR(VLOOKUP(W254,'G-1 All Habitats'!$V$3:$W$7,2,FALSE),"")</f>
        <v/>
      </c>
      <c r="Y254" s="79"/>
      <c r="Z254" s="524" t="str">
        <f>IFERROR(INDEX('G-8 Condition Look up'!$A$3:$H$130,MATCH(S254,'G-8 Condition Look up'!$A$3:$A$130,0),MATCH(Y254,'G-8 Condition Look up'!$A$3:$H$3,0)),"")</f>
        <v/>
      </c>
      <c r="AA254" s="71"/>
      <c r="AB254" s="520" t="str">
        <f>IF(AA254="","",IF(VLOOKUP(AA254,'G-3 Multipliers'!$L$3:$N$6,2,FALSE)=0,"Spatial Data Missing ⚠",VLOOKUP(AA254,'G-3 Multipliers'!$L$3:$N$6,2,FALSE)))</f>
        <v/>
      </c>
      <c r="AC254" s="524" t="str">
        <f>IF(AA254="","",IF(VLOOKUP(AA254,'G-3 Multipliers'!$L$3:$N$6,3,FALSE)=0,"Spatial Data Missing ⚠",VLOOKUP(AA254,'G-3 Multipliers'!$L$3:$N$6,3,FALSE)))</f>
        <v/>
      </c>
      <c r="AD254" s="539" t="str">
        <f t="shared" si="35"/>
        <v/>
      </c>
      <c r="AE254" s="82"/>
      <c r="AF254" s="82"/>
      <c r="AG254" s="507" t="str">
        <f t="shared" si="41"/>
        <v/>
      </c>
      <c r="AH254" s="521" t="str">
        <f t="shared" si="42"/>
        <v/>
      </c>
      <c r="AI254" s="522" t="str">
        <f>IF(AH254="Check Data","Check Data",IFERROR(VLOOKUP(AH254,'G-4 Temporal multipliers'!$A$4:$C$36,3,FALSE),""))</f>
        <v/>
      </c>
      <c r="AJ254" s="498" t="str">
        <f>IF(S254="","",VLOOKUP(S254,'G-3 Multipliers'!$A$2:$E$129,4,FALSE))</f>
        <v/>
      </c>
      <c r="AK254" s="507" t="str">
        <f t="shared" si="43"/>
        <v/>
      </c>
      <c r="AL254" s="507" t="str">
        <f t="shared" si="44"/>
        <v/>
      </c>
      <c r="AM254" s="540" t="str">
        <f>IFERROR(IF(F254="","",IF(AH254="Check Data ⚠","Check Data ⚠",VLOOKUP(AL254, 'G-3 Multipliers'!$P$2:$Q$6,2,FALSE))),"")</f>
        <v/>
      </c>
      <c r="AN254" s="513" t="str">
        <f t="shared" si="36"/>
        <v/>
      </c>
      <c r="AO254" s="239"/>
      <c r="AP254" s="240"/>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1" t="str">
        <f>'A-1 Site Habitat Baseline'!AL254</f>
        <v/>
      </c>
      <c r="F255" s="520" t="str">
        <f>IF(E255="","",IF(ISNA(VLOOKUP($E255,'A-1 Site Habitat Baseline'!$D$1:$O$258,4,FALSE)),"",(VLOOKUP($E255,'A-1 Site Habitat Baseline'!$D$1:$O$258,4,FALSE))))</f>
        <v/>
      </c>
      <c r="G255" s="520" t="str">
        <f>IF(E255="","",IF(ISNA(VLOOKUP($E255,'A-1 Site Habitat Baseline'!$D$1:$O$258,5,FALSE)),"",(VLOOKUP($E255,'A-1 Site Habitat Baseline'!$D$1:$O$258,5,FALSE))))</f>
        <v/>
      </c>
      <c r="H255" s="520" t="str">
        <f>IF(E255="","",IF(ISNA(VLOOKUP($E255,'A-1 Site Habitat Baseline'!$D$1:$O$258,6,FALSE)),"",(VLOOKUP($E255,'A-1 Site Habitat Baseline'!$D$1:$O$258,6,FALSE))))</f>
        <v/>
      </c>
      <c r="I255" s="520" t="str">
        <f>IF(E255="","",IF(ISNA(VLOOKUP($E255,'A-1 Site Habitat Baseline'!$D$1:$O$258,7,FALSE)),"",(VLOOKUP($E255,'A-1 Site Habitat Baseline'!$D$1:$O$258,7,FALSE))))</f>
        <v/>
      </c>
      <c r="J255" s="520" t="str">
        <f>IF(E255="","",IF(ISNA(VLOOKUP($E255,'A-1 Site Habitat Baseline'!$D$1:$O$258,8,FALSE)),"",(VLOOKUP($E255,'A-1 Site Habitat Baseline'!$D$1:$O$258,8,FALSE))))</f>
        <v/>
      </c>
      <c r="K255" s="520" t="str">
        <f>IF(E255="","",IF(ISNA(VLOOKUP($E255,'A-1 Site Habitat Baseline'!$D$1:$O$258,9,FALSE)),"",(VLOOKUP($E255,'A-1 Site Habitat Baseline'!$D$1:$O$258,9,FALSE))))</f>
        <v/>
      </c>
      <c r="L255" s="520" t="str">
        <f>IF(E255="","",IF(ISNA(VLOOKUP($E255,'A-1 Site Habitat Baseline'!$D$1:$O$258,11,FALSE)),"",(VLOOKUP($E255,'A-1 Site Habitat Baseline'!$D$1:$O$258,11,FALSE))))</f>
        <v/>
      </c>
      <c r="M255" s="520" t="str">
        <f>IF(E255="","",IF(ISNA(VLOOKUP($E255,'A-1 Site Habitat Baseline'!$D$1:$O$258,12,FALSE)),"",(VLOOKUP($E255,'A-1 Site Habitat Baseline'!$D$1:$O$258,12,FALSE))))</f>
        <v/>
      </c>
      <c r="N255" s="532" t="str">
        <f>IF(E255="","",IF(ISNA(VLOOKUP($E255,'A-1 Site Habitat Baseline'!$D$1:$X$258,14,FALSE)),"",(VLOOKUP($E255,'A-1 Site Habitat Baseline'!$D$1:$X$258,14,FALSE))))</f>
        <v/>
      </c>
      <c r="O255" s="524" t="str">
        <f>IF(E255="","",IF(ISNA(VLOOKUP($E255,'A-1 Site Habitat Baseline'!$D$1:$X$258,16,FALSE)),"",(VLOOKUP($E255,'A-1 Site Habitat Baseline'!$D$1:$X$258,13,FALSE))))</f>
        <v/>
      </c>
      <c r="P255" s="237" t="str">
        <f>IFERROR(INDEX('G-1 All Habitats'!$AG$3:$AG$15,MATCH(Q255,'G-1 All Habitats'!$AF$3:$AF$15,0)),"")</f>
        <v/>
      </c>
      <c r="Q255" s="238" t="str">
        <f t="shared" si="37"/>
        <v/>
      </c>
      <c r="R255" s="238" t="str">
        <f t="shared" si="38"/>
        <v/>
      </c>
      <c r="S255" s="392" t="str">
        <f>IFERROR(INDEX('G-1 All Habitats'!$B$3:$B$129,MATCH(R255,'G-1 All Habitats'!$A$3:$A$129,0)),"")</f>
        <v/>
      </c>
      <c r="T255" s="498" t="str">
        <f t="shared" si="39"/>
        <v/>
      </c>
      <c r="U255" s="499" t="str">
        <f t="shared" si="40"/>
        <v/>
      </c>
      <c r="V255" s="537" t="str">
        <f t="shared" si="34"/>
        <v/>
      </c>
      <c r="W255" s="520" t="str">
        <f>IF(S255="","",VLOOKUP(S255,'G-1 All Habitats'!$B$2:$M$129,10,FALSE))</f>
        <v/>
      </c>
      <c r="X255" s="520" t="str">
        <f>IFERROR(VLOOKUP(W255,'G-1 All Habitats'!$V$3:$W$7,2,FALSE),"")</f>
        <v/>
      </c>
      <c r="Y255" s="79"/>
      <c r="Z255" s="524" t="str">
        <f>IFERROR(INDEX('G-8 Condition Look up'!$A$3:$H$130,MATCH(S255,'G-8 Condition Look up'!$A$3:$A$130,0),MATCH(Y255,'G-8 Condition Look up'!$A$3:$H$3,0)),"")</f>
        <v/>
      </c>
      <c r="AA255" s="71"/>
      <c r="AB255" s="520" t="str">
        <f>IF(AA255="","",IF(VLOOKUP(AA255,'G-3 Multipliers'!$L$3:$N$6,2,FALSE)=0,"Spatial Data Missing ⚠",VLOOKUP(AA255,'G-3 Multipliers'!$L$3:$N$6,2,FALSE)))</f>
        <v/>
      </c>
      <c r="AC255" s="524" t="str">
        <f>IF(AA255="","",IF(VLOOKUP(AA255,'G-3 Multipliers'!$L$3:$N$6,3,FALSE)=0,"Spatial Data Missing ⚠",VLOOKUP(AA255,'G-3 Multipliers'!$L$3:$N$6,3,FALSE)))</f>
        <v/>
      </c>
      <c r="AD255" s="539" t="str">
        <f t="shared" si="35"/>
        <v/>
      </c>
      <c r="AE255" s="82"/>
      <c r="AF255" s="82"/>
      <c r="AG255" s="507" t="str">
        <f t="shared" si="41"/>
        <v/>
      </c>
      <c r="AH255" s="521" t="str">
        <f t="shared" si="42"/>
        <v/>
      </c>
      <c r="AI255" s="522" t="str">
        <f>IF(AH255="Check Data","Check Data",IFERROR(VLOOKUP(AH255,'G-4 Temporal multipliers'!$A$4:$C$36,3,FALSE),""))</f>
        <v/>
      </c>
      <c r="AJ255" s="498" t="str">
        <f>IF(S255="","",VLOOKUP(S255,'G-3 Multipliers'!$A$2:$E$129,4,FALSE))</f>
        <v/>
      </c>
      <c r="AK255" s="507" t="str">
        <f t="shared" si="43"/>
        <v/>
      </c>
      <c r="AL255" s="507" t="str">
        <f t="shared" si="44"/>
        <v/>
      </c>
      <c r="AM255" s="540" t="str">
        <f>IFERROR(IF(F255="","",IF(AH255="Check Data ⚠","Check Data ⚠",VLOOKUP(AL255, 'G-3 Multipliers'!$P$2:$Q$6,2,FALSE))),"")</f>
        <v/>
      </c>
      <c r="AN255" s="513" t="str">
        <f t="shared" si="36"/>
        <v/>
      </c>
      <c r="AO255" s="239"/>
      <c r="AP255" s="240"/>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1" t="str">
        <f>'A-1 Site Habitat Baseline'!AL255</f>
        <v/>
      </c>
      <c r="F256" s="520" t="str">
        <f>IF(E256="","",IF(ISNA(VLOOKUP($E256,'A-1 Site Habitat Baseline'!$D$1:$O$258,4,FALSE)),"",(VLOOKUP($E256,'A-1 Site Habitat Baseline'!$D$1:$O$258,4,FALSE))))</f>
        <v/>
      </c>
      <c r="G256" s="520" t="str">
        <f>IF(E256="","",IF(ISNA(VLOOKUP($E256,'A-1 Site Habitat Baseline'!$D$1:$O$258,5,FALSE)),"",(VLOOKUP($E256,'A-1 Site Habitat Baseline'!$D$1:$O$258,5,FALSE))))</f>
        <v/>
      </c>
      <c r="H256" s="520" t="str">
        <f>IF(E256="","",IF(ISNA(VLOOKUP($E256,'A-1 Site Habitat Baseline'!$D$1:$O$258,6,FALSE)),"",(VLOOKUP($E256,'A-1 Site Habitat Baseline'!$D$1:$O$258,6,FALSE))))</f>
        <v/>
      </c>
      <c r="I256" s="520" t="str">
        <f>IF(E256="","",IF(ISNA(VLOOKUP($E256,'A-1 Site Habitat Baseline'!$D$1:$O$258,7,FALSE)),"",(VLOOKUP($E256,'A-1 Site Habitat Baseline'!$D$1:$O$258,7,FALSE))))</f>
        <v/>
      </c>
      <c r="J256" s="520" t="str">
        <f>IF(E256="","",IF(ISNA(VLOOKUP($E256,'A-1 Site Habitat Baseline'!$D$1:$O$258,8,FALSE)),"",(VLOOKUP($E256,'A-1 Site Habitat Baseline'!$D$1:$O$258,8,FALSE))))</f>
        <v/>
      </c>
      <c r="K256" s="520" t="str">
        <f>IF(E256="","",IF(ISNA(VLOOKUP($E256,'A-1 Site Habitat Baseline'!$D$1:$O$258,9,FALSE)),"",(VLOOKUP($E256,'A-1 Site Habitat Baseline'!$D$1:$O$258,9,FALSE))))</f>
        <v/>
      </c>
      <c r="L256" s="520" t="str">
        <f>IF(E256="","",IF(ISNA(VLOOKUP($E256,'A-1 Site Habitat Baseline'!$D$1:$O$258,11,FALSE)),"",(VLOOKUP($E256,'A-1 Site Habitat Baseline'!$D$1:$O$258,11,FALSE))))</f>
        <v/>
      </c>
      <c r="M256" s="520" t="str">
        <f>IF(E256="","",IF(ISNA(VLOOKUP($E256,'A-1 Site Habitat Baseline'!$D$1:$O$258,12,FALSE)),"",(VLOOKUP($E256,'A-1 Site Habitat Baseline'!$D$1:$O$258,12,FALSE))))</f>
        <v/>
      </c>
      <c r="N256" s="532" t="str">
        <f>IF(E256="","",IF(ISNA(VLOOKUP($E256,'A-1 Site Habitat Baseline'!$D$1:$X$258,14,FALSE)),"",(VLOOKUP($E256,'A-1 Site Habitat Baseline'!$D$1:$X$258,14,FALSE))))</f>
        <v/>
      </c>
      <c r="O256" s="524" t="str">
        <f>IF(E256="","",IF(ISNA(VLOOKUP($E256,'A-1 Site Habitat Baseline'!$D$1:$X$258,16,FALSE)),"",(VLOOKUP($E256,'A-1 Site Habitat Baseline'!$D$1:$X$258,13,FALSE))))</f>
        <v/>
      </c>
      <c r="P256" s="237" t="str">
        <f>IFERROR(INDEX('G-1 All Habitats'!$AG$3:$AG$15,MATCH(Q256,'G-1 All Habitats'!$AF$3:$AF$15,0)),"")</f>
        <v/>
      </c>
      <c r="Q256" s="238" t="str">
        <f t="shared" si="37"/>
        <v/>
      </c>
      <c r="R256" s="238" t="str">
        <f t="shared" si="38"/>
        <v/>
      </c>
      <c r="S256" s="392" t="str">
        <f>IFERROR(INDEX('G-1 All Habitats'!$B$3:$B$129,MATCH(R256,'G-1 All Habitats'!$A$3:$A$129,0)),"")</f>
        <v/>
      </c>
      <c r="T256" s="498" t="str">
        <f t="shared" si="39"/>
        <v/>
      </c>
      <c r="U256" s="499" t="str">
        <f t="shared" si="40"/>
        <v/>
      </c>
      <c r="V256" s="537" t="str">
        <f t="shared" si="34"/>
        <v/>
      </c>
      <c r="W256" s="520" t="str">
        <f>IF(S256="","",VLOOKUP(S256,'G-1 All Habitats'!$B$2:$M$129,10,FALSE))</f>
        <v/>
      </c>
      <c r="X256" s="520" t="str">
        <f>IFERROR(VLOOKUP(W256,'G-1 All Habitats'!$V$3:$W$7,2,FALSE),"")</f>
        <v/>
      </c>
      <c r="Y256" s="79"/>
      <c r="Z256" s="524" t="str">
        <f>IFERROR(INDEX('G-8 Condition Look up'!$A$3:$H$130,MATCH(S256,'G-8 Condition Look up'!$A$3:$A$130,0),MATCH(Y256,'G-8 Condition Look up'!$A$3:$H$3,0)),"")</f>
        <v/>
      </c>
      <c r="AA256" s="71"/>
      <c r="AB256" s="520" t="str">
        <f>IF(AA256="","",IF(VLOOKUP(AA256,'G-3 Multipliers'!$L$3:$N$6,2,FALSE)=0,"Spatial Data Missing ⚠",VLOOKUP(AA256,'G-3 Multipliers'!$L$3:$N$6,2,FALSE)))</f>
        <v/>
      </c>
      <c r="AC256" s="524" t="str">
        <f>IF(AA256="","",IF(VLOOKUP(AA256,'G-3 Multipliers'!$L$3:$N$6,3,FALSE)=0,"Spatial Data Missing ⚠",VLOOKUP(AA256,'G-3 Multipliers'!$L$3:$N$6,3,FALSE)))</f>
        <v/>
      </c>
      <c r="AD256" s="539" t="str">
        <f t="shared" si="35"/>
        <v/>
      </c>
      <c r="AE256" s="82"/>
      <c r="AF256" s="82"/>
      <c r="AG256" s="507" t="str">
        <f t="shared" si="41"/>
        <v/>
      </c>
      <c r="AH256" s="521" t="str">
        <f t="shared" si="42"/>
        <v/>
      </c>
      <c r="AI256" s="522" t="str">
        <f>IF(AH256="Check Data","Check Data",IFERROR(VLOOKUP(AH256,'G-4 Temporal multipliers'!$A$4:$C$36,3,FALSE),""))</f>
        <v/>
      </c>
      <c r="AJ256" s="498" t="str">
        <f>IF(S256="","",VLOOKUP(S256,'G-3 Multipliers'!$A$2:$E$129,4,FALSE))</f>
        <v/>
      </c>
      <c r="AK256" s="507" t="str">
        <f t="shared" si="43"/>
        <v/>
      </c>
      <c r="AL256" s="507" t="str">
        <f t="shared" si="44"/>
        <v/>
      </c>
      <c r="AM256" s="540" t="str">
        <f>IFERROR(IF(F256="","",IF(AH256="Check Data ⚠","Check Data ⚠",VLOOKUP(AL256, 'G-3 Multipliers'!$P$2:$Q$6,2,FALSE))),"")</f>
        <v/>
      </c>
      <c r="AN256" s="513" t="str">
        <f t="shared" si="36"/>
        <v/>
      </c>
      <c r="AO256" s="239"/>
      <c r="AP256" s="240"/>
    </row>
    <row r="257" spans="1:42" ht="14.4"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3" t="str">
        <f>'A-1 Site Habitat Baseline'!AL256</f>
        <v/>
      </c>
      <c r="F257" s="534" t="str">
        <f>IF(E257="","",IF(ISNA(VLOOKUP($E257,'A-1 Site Habitat Baseline'!$D$1:$O$258,4,FALSE)),"",(VLOOKUP($E257,'A-1 Site Habitat Baseline'!$D$1:$O$258,4,FALSE))))</f>
        <v/>
      </c>
      <c r="G257" s="534" t="str">
        <f>IF(E257="","",IF(ISNA(VLOOKUP($E257,'A-1 Site Habitat Baseline'!$D$1:$O$258,5,FALSE)),"",(VLOOKUP($E257,'A-1 Site Habitat Baseline'!$D$1:$O$258,5,FALSE))))</f>
        <v/>
      </c>
      <c r="H257" s="534" t="str">
        <f>IF(E257="","",IF(ISNA(VLOOKUP($E257,'A-1 Site Habitat Baseline'!$D$1:$O$258,6,FALSE)),"",(VLOOKUP($E257,'A-1 Site Habitat Baseline'!$D$1:$O$258,6,FALSE))))</f>
        <v/>
      </c>
      <c r="I257" s="534" t="str">
        <f>IF(E257="","",IF(ISNA(VLOOKUP($E257,'A-1 Site Habitat Baseline'!$D$1:$O$258,7,FALSE)),"",(VLOOKUP($E257,'A-1 Site Habitat Baseline'!$D$1:$O$258,7,FALSE))))</f>
        <v/>
      </c>
      <c r="J257" s="534" t="str">
        <f>IF(E257="","",IF(ISNA(VLOOKUP($E257,'A-1 Site Habitat Baseline'!$D$1:$O$258,8,FALSE)),"",(VLOOKUP($E257,'A-1 Site Habitat Baseline'!$D$1:$O$258,8,FALSE))))</f>
        <v/>
      </c>
      <c r="K257" s="534" t="str">
        <f>IF(E257="","",IF(ISNA(VLOOKUP($E257,'A-1 Site Habitat Baseline'!$D$1:$O$258,9,FALSE)),"",(VLOOKUP($E257,'A-1 Site Habitat Baseline'!$D$1:$O$258,9,FALSE))))</f>
        <v/>
      </c>
      <c r="L257" s="534" t="str">
        <f>IF(E257="","",IF(ISNA(VLOOKUP($E257,'A-1 Site Habitat Baseline'!$D$1:$O$258,11,FALSE)),"",(VLOOKUP($E257,'A-1 Site Habitat Baseline'!$D$1:$O$258,11,FALSE))))</f>
        <v/>
      </c>
      <c r="M257" s="534" t="str">
        <f>IF(E257="","",IF(ISNA(VLOOKUP($E257,'A-1 Site Habitat Baseline'!$D$1:$O$258,12,FALSE)),"",(VLOOKUP($E257,'A-1 Site Habitat Baseline'!$D$1:$O$258,12,FALSE))))</f>
        <v/>
      </c>
      <c r="N257" s="535" t="str">
        <f>IF(E257="","",IF(ISNA(VLOOKUP($E257,'A-1 Site Habitat Baseline'!$D$1:$X$258,14,FALSE)),"",(VLOOKUP($E257,'A-1 Site Habitat Baseline'!$D$1:$X$258,14,FALSE))))</f>
        <v/>
      </c>
      <c r="O257" s="536" t="str">
        <f>IF(E257="","",IF(ISNA(VLOOKUP($E257,'A-1 Site Habitat Baseline'!$D$1:$X$258,16,FALSE)),"",(VLOOKUP($E257,'A-1 Site Habitat Baseline'!$D$1:$X$258,13,FALSE))))</f>
        <v/>
      </c>
      <c r="P257" s="431" t="str">
        <f>IFERROR(INDEX('G-1 All Habitats'!$AG$3:$AG$15,MATCH(Q257,'G-1 All Habitats'!$AF$3:$AF$15,0)),"")</f>
        <v/>
      </c>
      <c r="Q257" s="432" t="str">
        <f t="shared" si="37"/>
        <v/>
      </c>
      <c r="R257" s="238" t="str">
        <f t="shared" si="38"/>
        <v/>
      </c>
      <c r="S257" s="433" t="str">
        <f>IFERROR(INDEX('G-1 All Habitats'!$B$3:$B$129,MATCH(R257,'G-1 All Habitats'!$A$3:$A$129,0)),"")</f>
        <v/>
      </c>
      <c r="T257" s="498"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9" t="str">
        <f t="shared" si="40"/>
        <v/>
      </c>
      <c r="V257" s="538" t="str">
        <f t="shared" si="34"/>
        <v/>
      </c>
      <c r="W257" s="534" t="str">
        <f>IF(S257="","",VLOOKUP(S257,'G-1 All Habitats'!$B$2:$M$129,10,FALSE))</f>
        <v/>
      </c>
      <c r="X257" s="534" t="str">
        <f>IFERROR(VLOOKUP(W257,'G-1 All Habitats'!$V$3:$W$7,2,FALSE),"")</f>
        <v/>
      </c>
      <c r="Y257" s="341"/>
      <c r="Z257" s="536" t="str">
        <f>IFERROR(INDEX('G-8 Condition Look up'!$A$3:$H$130,MATCH(S257,'G-8 Condition Look up'!$A$3:$A$130,0),MATCH(Y257,'G-8 Condition Look up'!$A$3:$H$3,0)),"")</f>
        <v/>
      </c>
      <c r="AA257" s="434"/>
      <c r="AB257" s="520" t="str">
        <f>IF(AA257="","",IF(VLOOKUP(AA257,'G-3 Multipliers'!$L$3:$N$6,2,FALSE)=0,"Spatial Data Missing ⚠",VLOOKUP(AA257,'G-3 Multipliers'!$L$3:$N$6,2,FALSE)))</f>
        <v/>
      </c>
      <c r="AC257" s="536" t="str">
        <f>IF(AA257="","",IF(VLOOKUP(AA257,'G-3 Multipliers'!$L$3:$N$6,3,FALSE)=0,"Spatial Data Missing ⚠",VLOOKUP(AA257,'G-3 Multipliers'!$L$3:$N$6,3,FALSE)))</f>
        <v/>
      </c>
      <c r="AD257" s="539" t="str">
        <f t="shared" si="35"/>
        <v/>
      </c>
      <c r="AE257" s="341"/>
      <c r="AF257" s="341"/>
      <c r="AG257" s="507" t="str">
        <f t="shared" si="41"/>
        <v/>
      </c>
      <c r="AH257" s="521" t="str">
        <f t="shared" si="42"/>
        <v/>
      </c>
      <c r="AI257" s="541" t="str">
        <f>IF(AH257="Check Data","Check Data",IFERROR(VLOOKUP(AH257,'G-4 Temporal multipliers'!$A$4:$C$36,3,FALSE),""))</f>
        <v/>
      </c>
      <c r="AJ257" s="538" t="str">
        <f>IF(S257="","",VLOOKUP(S257,'G-3 Multipliers'!$A$2:$E$129,4,FALSE))</f>
        <v/>
      </c>
      <c r="AK257" s="507" t="str">
        <f t="shared" si="43"/>
        <v/>
      </c>
      <c r="AL257" s="507" t="str">
        <f t="shared" si="44"/>
        <v/>
      </c>
      <c r="AM257" s="540" t="str">
        <f>IFERROR(IF(F257="","",IF(AH257="Check Data ⚠","Check Data ⚠",VLOOKUP(AL257, 'G-3 Multipliers'!$P$2:$Q$6,2,FALSE))),"")</f>
        <v/>
      </c>
      <c r="AN257" s="542" t="str">
        <f t="shared" si="36"/>
        <v/>
      </c>
      <c r="AO257" s="429"/>
      <c r="AP257" s="435"/>
    </row>
    <row r="258" spans="1:42" ht="14.4" thickBot="1" x14ac:dyDescent="0.3">
      <c r="E258" s="430"/>
      <c r="F258" s="430"/>
      <c r="G258" s="430"/>
      <c r="H258" s="430"/>
      <c r="I258" s="430"/>
      <c r="J258" s="430"/>
      <c r="K258" s="430"/>
      <c r="L258" s="430"/>
      <c r="M258" s="430"/>
      <c r="N258" s="430"/>
      <c r="O258" s="430"/>
      <c r="P258" s="430"/>
      <c r="Q258" s="430"/>
      <c r="R258" s="430"/>
      <c r="S258" s="430"/>
      <c r="T258" s="430"/>
      <c r="U258" s="277"/>
      <c r="V258" s="503">
        <f>SUM(V12:V257)</f>
        <v>0</v>
      </c>
      <c r="W258" s="430"/>
      <c r="X258" s="430"/>
      <c r="Y258" s="430"/>
      <c r="Z258" s="430"/>
      <c r="AA258" s="430"/>
      <c r="AB258" s="430"/>
      <c r="AC258" s="430"/>
      <c r="AD258" s="430"/>
      <c r="AE258" s="430"/>
      <c r="AF258" s="430"/>
      <c r="AG258" s="430"/>
      <c r="AH258" s="430"/>
      <c r="AI258" s="430"/>
      <c r="AJ258" s="430"/>
      <c r="AK258" s="430"/>
      <c r="AL258" s="430"/>
      <c r="AM258" s="277"/>
      <c r="AN258" s="503">
        <f>(SUM(AN12:AN257))</f>
        <v>0</v>
      </c>
      <c r="AO258" s="430"/>
      <c r="AP258" s="430"/>
    </row>
    <row r="259" spans="1:42" ht="17.399999999999999" x14ac:dyDescent="0.3">
      <c r="V259" s="932" t="str">
        <f>IF(V258&lt;&gt;'A-1 Site Habitat Baseline'!T259,"Error - Area of habitat enhancement must match the area from sheet A1 ▲","")</f>
        <v/>
      </c>
      <c r="W259" s="932"/>
      <c r="X259" s="932"/>
      <c r="Y259" s="932"/>
      <c r="Z259" s="932"/>
      <c r="AA259" s="932"/>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qdKEl0WQgmHHTfjygEoSn+VrYjmto566Grhl0jMM7h5XKnAR+mJ3HWCAuQl/5Wjx9gCNOWFxFJc+SqwJ/42cDg==" saltValue="PPSTPbbFmWwW8fSoUhSrZA=="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247" priority="32" operator="equal">
      <formula>"Not Possible"</formula>
    </cfRule>
  </conditionalFormatting>
  <conditionalFormatting sqref="Z13:Z257">
    <cfRule type="cellIs" dxfId="246" priority="25" operator="equal">
      <formula>"Not Possible"</formula>
    </cfRule>
  </conditionalFormatting>
  <conditionalFormatting sqref="AN12:AN257">
    <cfRule type="containsText" dxfId="245" priority="23" operator="containsText" text="Existing Value Not Required">
      <formula>NOT(ISERROR(SEARCH("Existing Value Not Required",AN12)))</formula>
    </cfRule>
    <cfRule type="containsText" dxfId="244" priority="24" operator="containsText" text="Existing Value Required">
      <formula>NOT(ISERROR(SEARCH("Existing Value Required",AN12)))</formula>
    </cfRule>
  </conditionalFormatting>
  <conditionalFormatting sqref="AN256:AN257">
    <cfRule type="containsText" dxfId="243" priority="21" operator="containsText" text="Existing Value Not Required">
      <formula>NOT(ISERROR(SEARCH("Existing Value Not Required",AN256)))</formula>
    </cfRule>
    <cfRule type="containsText" dxfId="242" priority="22" operator="containsText" text="Existing Value Required">
      <formula>NOT(ISERROR(SEARCH("Existing Value Required",AN256)))</formula>
    </cfRule>
  </conditionalFormatting>
  <conditionalFormatting sqref="AD2">
    <cfRule type="containsText" dxfId="241" priority="20" operator="containsText" text="Note">
      <formula>NOT(ISERROR(SEARCH("Note",AD2)))</formula>
    </cfRule>
  </conditionalFormatting>
  <conditionalFormatting sqref="T12:T257">
    <cfRule type="containsText" dxfId="240" priority="19" operator="containsText" text="Error">
      <formula>NOT(ISERROR(SEARCH("Error",T12)))</formula>
    </cfRule>
  </conditionalFormatting>
  <conditionalFormatting sqref="U12:U258">
    <cfRule type="containsText" dxfId="239" priority="18" operator="containsText" text="Error">
      <formula>NOT(ISERROR(SEARCH("Error",U12)))</formula>
    </cfRule>
  </conditionalFormatting>
  <conditionalFormatting sqref="AB12:AB257">
    <cfRule type="containsText" dxfId="238" priority="17" operator="containsText" text="Spatial">
      <formula>NOT(ISERROR(SEARCH("Spatial",AB12)))</formula>
    </cfRule>
  </conditionalFormatting>
  <conditionalFormatting sqref="AC12:AC257">
    <cfRule type="containsText" dxfId="237" priority="16" operator="containsText" text="Spatial">
      <formula>NOT(ISERROR(SEARCH("Spatial",AC12)))</formula>
    </cfRule>
  </conditionalFormatting>
  <conditionalFormatting sqref="AD12:AD257">
    <cfRule type="containsText" dxfId="236" priority="15" operator="containsText" text="Check Data">
      <formula>NOT(ISERROR(SEARCH("Check Data",AD12)))</formula>
    </cfRule>
  </conditionalFormatting>
  <conditionalFormatting sqref="AG12:AG257">
    <cfRule type="containsText" dxfId="235" priority="13" operator="containsText" text="Error">
      <formula>NOT(ISERROR(SEARCH("Error",AG12)))</formula>
    </cfRule>
    <cfRule type="containsText" dxfId="234" priority="14" operator="containsText" text="Check">
      <formula>NOT(ISERROR(SEARCH("Check",AG12)))</formula>
    </cfRule>
  </conditionalFormatting>
  <conditionalFormatting sqref="AH12:AH257">
    <cfRule type="containsText" dxfId="233" priority="11" operator="containsText" text="Check Data ⚠">
      <formula>NOT(ISERROR(SEARCH("Check Data ⚠",AH12)))</formula>
    </cfRule>
    <cfRule type="containsText" dxfId="232" priority="12" operator="containsText" text="Error ▲">
      <formula>NOT(ISERROR(SEARCH("Error ▲",AH12)))</formula>
    </cfRule>
  </conditionalFormatting>
  <conditionalFormatting sqref="AI12:AI257">
    <cfRule type="containsText" dxfId="231" priority="9" operator="containsText" text="Check Data ⚠">
      <formula>NOT(ISERROR(SEARCH("Check Data ⚠",AI12)))</formula>
    </cfRule>
  </conditionalFormatting>
  <conditionalFormatting sqref="AK12:AK257">
    <cfRule type="containsText" dxfId="230"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229" priority="7" operator="containsText" text="Check Data ⚠">
      <formula>NOT(ISERROR(SEARCH("Check Data ⚠",AM12)))</formula>
    </cfRule>
  </conditionalFormatting>
  <conditionalFormatting sqref="O12:O257">
    <cfRule type="beginsWith" dxfId="228" priority="3" operator="beginsWith" text="Bespoke">
      <formula>LEFT(O12,LEN("Bespoke"))="Bespoke"</formula>
    </cfRule>
    <cfRule type="beginsWith" dxfId="227" priority="4" operator="beginsWith" text="Same distinctiveness">
      <formula>LEFT(O12,LEN("Same distinctiveness"))="Same distinctiveness"</formula>
    </cfRule>
    <cfRule type="beginsWith" dxfId="226" priority="5" operator="beginsWith" text="Same broad">
      <formula>LEFT(O12,LEN("Same broad"))="Same broad"</formula>
    </cfRule>
    <cfRule type="beginsWith" dxfId="225" priority="6" operator="beginsWith" text="Same Habitat">
      <formula>LEFT(O12,LEN("Same Habitat"))="Same Habitat"</formula>
    </cfRule>
  </conditionalFormatting>
  <conditionalFormatting sqref="V259:AA259">
    <cfRule type="containsText" dxfId="224" priority="2" operator="containsText" text="Error">
      <formula>NOT(ISERROR(SEARCH("Error",V259)))</formula>
    </cfRule>
  </conditionalFormatting>
  <conditionalFormatting sqref="AD5">
    <cfRule type="containsText" dxfId="223"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3.8" zeroHeight="1" x14ac:dyDescent="0.25"/>
  <cols>
    <col min="1" max="1" width="3.6640625" style="31" hidden="1" customWidth="1"/>
    <col min="2" max="2" width="24.44140625" style="31" hidden="1" customWidth="1"/>
    <col min="3" max="3" width="39.33203125" style="31" hidden="1" customWidth="1"/>
    <col min="4" max="4" width="10.44140625" style="31" customWidth="1"/>
    <col min="5" max="5" width="22.109375" style="31" customWidth="1"/>
    <col min="6" max="6" width="70.109375" style="31" customWidth="1"/>
    <col min="7" max="7" width="76.88671875" style="31" hidden="1" customWidth="1"/>
    <col min="8" max="8" width="12.109375" style="31" customWidth="1"/>
    <col min="9" max="9" width="17.6640625" style="31" customWidth="1"/>
    <col min="10" max="10" width="7.88671875" style="31" hidden="1" customWidth="1"/>
    <col min="11" max="11" width="14.33203125" style="31" customWidth="1"/>
    <col min="12" max="12" width="9.6640625" style="31" hidden="1" customWidth="1"/>
    <col min="13" max="13" width="41.6640625" style="31" customWidth="1"/>
    <col min="14" max="14" width="20.44140625" style="31" hidden="1" customWidth="1"/>
    <col min="15" max="15" width="13.109375" style="31" hidden="1" customWidth="1"/>
    <col min="16" max="16" width="30.44140625" style="31" customWidth="1"/>
    <col min="17" max="17" width="13.44140625" style="31" customWidth="1"/>
    <col min="18" max="18" width="3.6640625" style="31" customWidth="1"/>
    <col min="19" max="19" width="11.5546875" style="31" customWidth="1"/>
    <col min="20" max="20" width="12.109375" style="31" customWidth="1"/>
    <col min="21" max="21" width="10.109375" style="31" customWidth="1"/>
    <col min="22" max="22" width="13" style="31" customWidth="1"/>
    <col min="23" max="23" width="13.109375" style="31" customWidth="1"/>
    <col min="24" max="24" width="15.5546875" style="31" customWidth="1"/>
    <col min="25" max="25" width="16.88671875" style="31" customWidth="1"/>
    <col min="26" max="27" width="50.109375" style="31" customWidth="1"/>
    <col min="28" max="28" width="8.88671875" style="31" customWidth="1"/>
    <col min="29" max="31" width="8.88671875" style="31" hidden="1" customWidth="1"/>
    <col min="32" max="32" width="14.33203125" style="31" hidden="1" customWidth="1"/>
    <col min="33" max="16384" width="8.88671875" style="31" hidden="1"/>
  </cols>
  <sheetData>
    <row r="1" spans="1:43" ht="12.75" customHeight="1" thickBot="1" x14ac:dyDescent="0.3"/>
    <row r="2" spans="1:43" ht="19.5" customHeight="1" thickBot="1" x14ac:dyDescent="0.3">
      <c r="D2" s="946" t="str">
        <f>IF(Start!F12="","",Start!F12)</f>
        <v>Land at Doncaster Road, Goldthorpe, Rotherham</v>
      </c>
      <c r="E2" s="947"/>
      <c r="F2" s="948"/>
    </row>
    <row r="3" spans="1:43" ht="15" customHeight="1" x14ac:dyDescent="0.25">
      <c r="D3" s="940" t="str">
        <f ca="1">MID(CELL("filename",C1),FIND("]",CELL("filename",C1))+1,256)</f>
        <v>D-1 Off Site Habitat Baseline</v>
      </c>
      <c r="E3" s="941"/>
      <c r="F3" s="942"/>
    </row>
    <row r="4" spans="1:43" ht="19.95" customHeight="1" thickBot="1" x14ac:dyDescent="0.3">
      <c r="D4" s="943"/>
      <c r="E4" s="944"/>
      <c r="F4" s="945"/>
    </row>
    <row r="5" spans="1:43" ht="24" customHeight="1" x14ac:dyDescent="0.25"/>
    <row r="6" spans="1:43" ht="15.75" customHeight="1" x14ac:dyDescent="0.25"/>
    <row r="7" spans="1:43" ht="16.2" customHeight="1" x14ac:dyDescent="0.25">
      <c r="D7" s="132"/>
      <c r="E7" s="132"/>
      <c r="F7" s="132"/>
      <c r="M7" s="131"/>
    </row>
    <row r="8" spans="1:43" ht="22.95" customHeight="1" thickBot="1" x14ac:dyDescent="0.3">
      <c r="D8" s="132"/>
      <c r="E8" s="132"/>
      <c r="F8" s="132"/>
    </row>
    <row r="9" spans="1:43" s="42" customFormat="1" ht="30" customHeight="1" thickBot="1" x14ac:dyDescent="0.3">
      <c r="D9" s="247"/>
      <c r="E9" s="939" t="s">
        <v>188</v>
      </c>
      <c r="F9" s="939"/>
      <c r="G9" s="939"/>
      <c r="H9" s="939"/>
      <c r="I9" s="939" t="s">
        <v>272</v>
      </c>
      <c r="J9" s="939"/>
      <c r="K9" s="939" t="s">
        <v>273</v>
      </c>
      <c r="L9" s="939"/>
      <c r="M9" s="939" t="s">
        <v>191</v>
      </c>
      <c r="N9" s="939"/>
      <c r="O9" s="939"/>
      <c r="P9" s="939" t="s">
        <v>192</v>
      </c>
      <c r="Q9" s="133" t="s">
        <v>193</v>
      </c>
      <c r="R9" s="138"/>
      <c r="S9" s="939" t="s">
        <v>194</v>
      </c>
      <c r="T9" s="939"/>
      <c r="U9" s="939"/>
      <c r="V9" s="939"/>
      <c r="W9" s="939"/>
      <c r="X9" s="939"/>
      <c r="Y9" s="939" t="s">
        <v>195</v>
      </c>
      <c r="Z9" s="939" t="s">
        <v>196</v>
      </c>
      <c r="AA9" s="939"/>
      <c r="AC9" s="42" t="s">
        <v>187</v>
      </c>
      <c r="AD9" s="42" t="s">
        <v>187</v>
      </c>
      <c r="AF9" s="248" t="s">
        <v>197</v>
      </c>
      <c r="AG9" s="248"/>
      <c r="AH9" s="248"/>
      <c r="AI9" s="248"/>
      <c r="AJ9" s="248"/>
      <c r="AK9" s="248"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9"/>
      <c r="Q10" s="167" t="s">
        <v>208</v>
      </c>
      <c r="R10" s="138"/>
      <c r="S10" s="135" t="s">
        <v>209</v>
      </c>
      <c r="T10" s="136" t="s">
        <v>210</v>
      </c>
      <c r="U10" s="136" t="s">
        <v>211</v>
      </c>
      <c r="V10" s="136" t="s">
        <v>212</v>
      </c>
      <c r="W10" s="136" t="s">
        <v>276</v>
      </c>
      <c r="X10" s="137" t="s">
        <v>214</v>
      </c>
      <c r="Y10" s="949"/>
      <c r="Z10" s="135" t="s">
        <v>215</v>
      </c>
      <c r="AA10" s="370" t="s">
        <v>216</v>
      </c>
      <c r="AC10" s="249" t="s">
        <v>217</v>
      </c>
      <c r="AD10" s="249"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8">
        <v>1</v>
      </c>
      <c r="E11" s="377"/>
      <c r="F11" s="377"/>
      <c r="G11" s="378" t="str">
        <f>IFERROR(INDEX('G-1 All Habitats'!$B$3:$B$129,MATCH(F11,'G-1 All Habitats'!$A$3:$A$129,0)),"")</f>
        <v/>
      </c>
      <c r="H11" s="172"/>
      <c r="I11" s="498" t="str">
        <f>IF(G11="","",VLOOKUP(G11,'G-1 All Habitats'!$B$2:$M$129,10,FALSE))</f>
        <v/>
      </c>
      <c r="J11" s="499" t="str">
        <f>IFERROR(VLOOKUP(I11,'G-1 All Habitats'!$V$3:$W$7,2,FALSE),"")</f>
        <v/>
      </c>
      <c r="K11" s="145"/>
      <c r="L11" s="499" t="str">
        <f>IFERROR(INDEX('G-8 Condition Look up'!$A$3:$H$130,MATCH(G11,'G-8 Condition Look up'!$A$3:$A$130,0),MATCH(K11,'G-8 Condition Look up'!$A$3:$H$3,0)),"")</f>
        <v/>
      </c>
      <c r="M11" s="154"/>
      <c r="N11" s="520" t="str">
        <f>IF(M11="","",IF(VLOOKUP(M11,'G-3 Multipliers'!$L$3:$N$6,2,FALSE)=0,"Spatial Data Missing ⚠",VLOOKUP(M11,'G-3 Multipliers'!$L$3:$N$6,2,FALSE)))</f>
        <v/>
      </c>
      <c r="O11" s="524" t="str">
        <f>IF(M11="","",IF(VLOOKUP(M11,'G-3 Multipliers'!$L$3:$N$6,3,FALSE)=0,"Spatial Data Missing ⚠",VLOOKUP(M11,'G-3 Multipliers'!$L$3:$N$6,3,FALSE)))</f>
        <v/>
      </c>
      <c r="P11" s="506" t="str">
        <f>IFERROR(VLOOKUP(G11,'G-1 All Habitats'!$B$2:$M$129,12,FALSE),"")</f>
        <v/>
      </c>
      <c r="Q11" s="513" t="str">
        <f>IFERROR(IF(P11="","",IF(AND(P11='G-1 All Habitats'!$X$3,T11&gt;0),U11+V11,IF(AND(P11='G-1 All Habitats'!$X$3,S11&gt;0),U11+V11,IF(AND(P11='G-1 All Habitats'!$X$3,AC11&gt;0),"Any Loss Unacceptable",IF(AND(P11='G-1 All Habitats'!$X$3,W11&gt;0),"Any Loss Unacceptable",H11*J11*L11*O11))))),"Check Data ⚠")</f>
        <v/>
      </c>
      <c r="R11" s="50"/>
      <c r="S11" s="71"/>
      <c r="T11" s="72"/>
      <c r="U11" s="511" t="str">
        <f>IFERROR(S11*J11*L11*O11,"")</f>
        <v/>
      </c>
      <c r="V11" s="511" t="str">
        <f>IFERROR(T11*J11*L11*O11,"")</f>
        <v/>
      </c>
      <c r="W11" s="511"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5" t="str">
        <f>IFERROR(IF(H11="","",IF(H11-S11-T11=0&lt;0,"Error in Areas ▲",IF(S11+T11&gt;H11,"Error in Areas ▲",IF(AND(P11='G-1 All Habitats'!$X$3,Y11="Yes"),"Alternative Compensation",IF(W11=0,0,IF(P11='G-1 All Habitats'!$X$3,"Unacceptable Loss",Q11-U11-V11)))))),"Check Data ⚠")</f>
        <v/>
      </c>
      <c r="Y11" s="72"/>
      <c r="Z11" s="149"/>
      <c r="AA11" s="150"/>
      <c r="AC11" s="251" t="str">
        <f>IF(P11="","",IF(P11='G-1 All Habitats'!$X$3,H11-S11-T11,"None"))</f>
        <v/>
      </c>
      <c r="AD11" s="252"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3"/>
      <c r="F12" s="203"/>
      <c r="G12" s="250" t="str">
        <f>IFERROR(INDEX('G-1 All Habitats'!$B$3:$B$129,MATCH(F12,'G-1 All Habitats'!$A$3:$A$129,0)),"")</f>
        <v/>
      </c>
      <c r="H12" s="172"/>
      <c r="I12" s="498" t="str">
        <f>IF(G12="","",VLOOKUP(G12,'G-1 All Habitats'!$B$2:$M$129,10,FALSE))</f>
        <v/>
      </c>
      <c r="J12" s="499" t="str">
        <f>IFERROR(VLOOKUP(I12,'G-1 All Habitats'!$V$3:$W$7,2,FALSE),"")</f>
        <v/>
      </c>
      <c r="K12" s="145"/>
      <c r="L12" s="499" t="str">
        <f>IFERROR(INDEX('G-8 Condition Look up'!$A$3:$H$130,MATCH(G12,'G-8 Condition Look up'!$A$3:$A$130,0),MATCH(K12,'G-8 Condition Look up'!$A$3:$H$3,0)),"")</f>
        <v/>
      </c>
      <c r="M12" s="154"/>
      <c r="N12" s="520" t="str">
        <f>IF(M12="","",IF(VLOOKUP(M12,'G-3 Multipliers'!$L$3:$N$6,2,FALSE)=0,"Spatial Data Missing ⚠",VLOOKUP(M12,'G-3 Multipliers'!$L$3:$N$6,2,FALSE)))</f>
        <v/>
      </c>
      <c r="O12" s="524" t="str">
        <f>IF(M12="","",IF(VLOOKUP(M12,'G-3 Multipliers'!$L$3:$N$6,3,FALSE)=0,"Spatial Data Missing ⚠",VLOOKUP(M12,'G-3 Multipliers'!$L$3:$N$6,3,FALSE)))</f>
        <v/>
      </c>
      <c r="P12" s="506" t="str">
        <f>IFERROR(VLOOKUP(G12,'G-1 All Habitats'!$B$2:$M$129,12,FALSE),"")</f>
        <v/>
      </c>
      <c r="Q12" s="513" t="str">
        <f>IFERROR(IF(P12="","",IF(AND(P12='G-1 All Habitats'!$X$3,T12&gt;0),U12+V12,IF(AND(P12='G-1 All Habitats'!$X$3,S12&gt;0),U12+V12,IF(AND(P12='G-1 All Habitats'!$X$3,AC12&gt;0),"Any Loss Unacceptable",IF(AND(P12='G-1 All Habitats'!$X$3,W12&gt;0),"Any Loss Unacceptable",H12*J12*L12*O12))))),"Check Data ⚠")</f>
        <v/>
      </c>
      <c r="R12" s="50"/>
      <c r="S12" s="71"/>
      <c r="T12" s="72"/>
      <c r="U12" s="511" t="str">
        <f t="shared" ref="U12:U75" si="2">IFERROR(S12*J12*L12*O12,"")</f>
        <v/>
      </c>
      <c r="V12" s="511" t="str">
        <f t="shared" ref="V12:V75" si="3">IFERROR(T12*J12*L12*O12,"")</f>
        <v/>
      </c>
      <c r="W12" s="511"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5" t="str">
        <f>IFERROR(IF(H12="","",IF(H12-S12-T12=0&lt;0,"Error in Areas ▲",IF(S12+T12&gt;H12,"Error in Areas ▲",IF(AND(P12='G-1 All Habitats'!$X$3,Y12="Yes"),"Alternative Compensation",IF(W12=0,0,IF(P12='G-1 All Habitats'!$X$3,"Unacceptable Loss",Q12-U12-V12)))))),"Check Data ⚠")</f>
        <v/>
      </c>
      <c r="Y12" s="72"/>
      <c r="Z12" s="151"/>
      <c r="AA12" s="152"/>
      <c r="AC12" s="251" t="str">
        <f>IF(P12="","",IF(P12='G-1 All Habitats'!$X$3,H12-S12-T12,"None"))</f>
        <v/>
      </c>
      <c r="AD12" s="252"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3"/>
      <c r="F13" s="203"/>
      <c r="G13" s="250" t="str">
        <f>IFERROR(INDEX('G-1 All Habitats'!$B$3:$B$129,MATCH(F13,'G-1 All Habitats'!$A$3:$A$129,0)),"")</f>
        <v/>
      </c>
      <c r="H13" s="172"/>
      <c r="I13" s="498" t="str">
        <f>IF(G13="","",VLOOKUP(G13,'G-1 All Habitats'!$B$2:$M$129,10,FALSE))</f>
        <v/>
      </c>
      <c r="J13" s="499" t="str">
        <f>IFERROR(VLOOKUP(I13,'G-1 All Habitats'!$V$3:$W$7,2,FALSE),"")</f>
        <v/>
      </c>
      <c r="K13" s="145"/>
      <c r="L13" s="499" t="str">
        <f>IFERROR(INDEX('G-8 Condition Look up'!$A$3:$H$130,MATCH(G13,'G-8 Condition Look up'!$A$3:$A$130,0),MATCH(K13,'G-8 Condition Look up'!$A$3:$H$3,0)),"")</f>
        <v/>
      </c>
      <c r="M13" s="154"/>
      <c r="N13" s="520" t="str">
        <f>IF(M13="","",IF(VLOOKUP(M13,'G-3 Multipliers'!$L$3:$N$6,2,FALSE)=0,"Spatial Data Missing ⚠",VLOOKUP(M13,'G-3 Multipliers'!$L$3:$N$6,2,FALSE)))</f>
        <v/>
      </c>
      <c r="O13" s="524"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Unacceptable",IF(AND(P13='G-1 All Habitats'!$X$3,W13&gt;0),"Any Loss Unacceptable",H13*J13*L13*O13))))),"Check Data ⚠")</f>
        <v/>
      </c>
      <c r="R13" s="50"/>
      <c r="S13" s="71"/>
      <c r="T13" s="72"/>
      <c r="U13" s="511" t="str">
        <f t="shared" si="2"/>
        <v/>
      </c>
      <c r="V13" s="511" t="str">
        <f t="shared" si="3"/>
        <v/>
      </c>
      <c r="W13" s="511"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5" t="str">
        <f>IFERROR(IF(H13="","",IF(H13-S13-T13=0&lt;0,"Error in Areas ▲",IF(S13+T13&gt;H13,"Error in Areas ▲",IF(AND(P13='G-1 All Habitats'!$X$3,Y13="Yes"),"Alternative Compensation",IF(W13=0,0,IF(P13='G-1 All Habitats'!$X$3,"Unacceptable Loss",Q13-U13-V13)))))),"Check Data ⚠")</f>
        <v/>
      </c>
      <c r="Y13" s="72"/>
      <c r="Z13" s="151"/>
      <c r="AA13" s="152"/>
      <c r="AC13" s="251" t="str">
        <f>IF(P13="","",IF(P13='G-1 All Habitats'!$X$3,H13-S13-T13,"None"))</f>
        <v/>
      </c>
      <c r="AD13" s="252"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3"/>
      <c r="F14" s="203"/>
      <c r="G14" s="250" t="str">
        <f>IFERROR(INDEX('G-1 All Habitats'!$B$3:$B$129,MATCH(F14,'G-1 All Habitats'!$A$3:$A$129,0)),"")</f>
        <v/>
      </c>
      <c r="H14" s="172"/>
      <c r="I14" s="498" t="str">
        <f>IF(G14="","",VLOOKUP(G14,'G-1 All Habitats'!$B$2:$M$129,10,FALSE))</f>
        <v/>
      </c>
      <c r="J14" s="499" t="str">
        <f>IFERROR(VLOOKUP(I14,'G-1 All Habitats'!$V$3:$W$7,2,FALSE),"")</f>
        <v/>
      </c>
      <c r="K14" s="145"/>
      <c r="L14" s="499" t="str">
        <f>IFERROR(INDEX('G-8 Condition Look up'!$A$3:$H$130,MATCH(G14,'G-8 Condition Look up'!$A$3:$A$130,0),MATCH(K14,'G-8 Condition Look up'!$A$3:$H$3,0)),"")</f>
        <v/>
      </c>
      <c r="M14" s="154"/>
      <c r="N14" s="520" t="str">
        <f>IF(M14="","",IF(VLOOKUP(M14,'G-3 Multipliers'!$L$3:$N$6,2,FALSE)=0,"Spatial Data Missing ⚠",VLOOKUP(M14,'G-3 Multipliers'!$L$3:$N$6,2,FALSE)))</f>
        <v/>
      </c>
      <c r="O14" s="524"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Unacceptable",IF(AND(P14='G-1 All Habitats'!$X$3,W14&gt;0),"Any Loss Unacceptable",H14*J14*L14*O14))))),"Check Data ⚠")</f>
        <v/>
      </c>
      <c r="R14" s="50"/>
      <c r="S14" s="71"/>
      <c r="T14" s="72"/>
      <c r="U14" s="511" t="str">
        <f t="shared" si="2"/>
        <v/>
      </c>
      <c r="V14" s="511" t="str">
        <f t="shared" si="3"/>
        <v/>
      </c>
      <c r="W14" s="511"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5" t="str">
        <f>IFERROR(IF(H14="","",IF(H14-S14-T14=0&lt;0,"Error in Areas ▲",IF(S14+T14&gt;H14,"Error in Areas ▲",IF(AND(P14='G-1 All Habitats'!$X$3,Y14="Yes"),"Alternative Compensation",IF(W14=0,0,IF(P14='G-1 All Habitats'!$X$3,"Unacceptable Loss",Q14-U14-V14)))))),"Check Data ⚠")</f>
        <v/>
      </c>
      <c r="Y14" s="72"/>
      <c r="Z14" s="151"/>
      <c r="AA14" s="152"/>
      <c r="AC14" s="251" t="str">
        <f>IF(P14="","",IF(P14='G-1 All Habitats'!$X$3,H14-S14-T14,"None"))</f>
        <v/>
      </c>
      <c r="AD14" s="252"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3"/>
      <c r="F15" s="203"/>
      <c r="G15" s="250" t="str">
        <f>IFERROR(INDEX('G-1 All Habitats'!$B$3:$B$129,MATCH(F15,'G-1 All Habitats'!$A$3:$A$129,0)),"")</f>
        <v/>
      </c>
      <c r="H15" s="172"/>
      <c r="I15" s="498" t="str">
        <f>IF(G15="","",VLOOKUP(G15,'G-1 All Habitats'!$B$2:$M$129,10,FALSE))</f>
        <v/>
      </c>
      <c r="J15" s="499" t="str">
        <f>IFERROR(VLOOKUP(I15,'G-1 All Habitats'!$V$3:$W$7,2,FALSE),"")</f>
        <v/>
      </c>
      <c r="K15" s="145"/>
      <c r="L15" s="499" t="str">
        <f>IFERROR(INDEX('G-8 Condition Look up'!$A$3:$H$130,MATCH(G15,'G-8 Condition Look up'!$A$3:$A$130,0),MATCH(K15,'G-8 Condition Look up'!$A$3:$H$3,0)),"")</f>
        <v/>
      </c>
      <c r="M15" s="154"/>
      <c r="N15" s="520" t="str">
        <f>IF(M15="","",IF(VLOOKUP(M15,'G-3 Multipliers'!$L$3:$N$6,2,FALSE)=0,"Spatial Data Missing ⚠",VLOOKUP(M15,'G-3 Multipliers'!$L$3:$N$6,2,FALSE)))</f>
        <v/>
      </c>
      <c r="O15" s="524"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Unacceptable",IF(AND(P15='G-1 All Habitats'!$X$3,W15&gt;0),"Any Loss Unacceptable",H15*J15*L15*O15))))),"Check Data ⚠")</f>
        <v/>
      </c>
      <c r="R15" s="50"/>
      <c r="S15" s="71"/>
      <c r="T15" s="72"/>
      <c r="U15" s="511" t="str">
        <f t="shared" si="2"/>
        <v/>
      </c>
      <c r="V15" s="511" t="str">
        <f t="shared" si="3"/>
        <v/>
      </c>
      <c r="W15" s="511"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5" t="str">
        <f>IFERROR(IF(H15="","",IF(H15-S15-T15=0&lt;0,"Error in Areas ▲",IF(S15+T15&gt;H15,"Error in Areas ▲",IF(AND(P15='G-1 All Habitats'!$X$3,Y15="Yes"),"Alternative Compensation",IF(W15=0,0,IF(P15='G-1 All Habitats'!$X$3,"Unacceptable Loss",Q15-U15-V15)))))),"Check Data ⚠")</f>
        <v/>
      </c>
      <c r="Y15" s="72"/>
      <c r="Z15" s="151"/>
      <c r="AA15" s="152"/>
      <c r="AC15" s="251" t="str">
        <f>IF(P15="","",IF(P15='G-1 All Habitats'!$X$3,H15-S15-T15,"None"))</f>
        <v/>
      </c>
      <c r="AD15" s="252"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3"/>
      <c r="F16" s="203"/>
      <c r="G16" s="250" t="str">
        <f>IFERROR(INDEX('G-1 All Habitats'!$B$3:$B$129,MATCH(F16,'G-1 All Habitats'!$A$3:$A$129,0)),"")</f>
        <v/>
      </c>
      <c r="H16" s="172"/>
      <c r="I16" s="498" t="str">
        <f>IF(G16="","",VLOOKUP(G16,'G-1 All Habitats'!$B$2:$M$129,10,FALSE))</f>
        <v/>
      </c>
      <c r="J16" s="499" t="str">
        <f>IFERROR(VLOOKUP(I16,'G-1 All Habitats'!$V$3:$W$7,2,FALSE),"")</f>
        <v/>
      </c>
      <c r="K16" s="145"/>
      <c r="L16" s="499" t="str">
        <f>IFERROR(INDEX('G-8 Condition Look up'!$A$3:$H$130,MATCH(G16,'G-8 Condition Look up'!$A$3:$A$130,0),MATCH(K16,'G-8 Condition Look up'!$A$3:$H$3,0)),"")</f>
        <v/>
      </c>
      <c r="M16" s="154"/>
      <c r="N16" s="520" t="str">
        <f>IF(M16="","",IF(VLOOKUP(M16,'G-3 Multipliers'!$L$3:$N$6,2,FALSE)=0,"Spatial Data Missing ⚠",VLOOKUP(M16,'G-3 Multipliers'!$L$3:$N$6,2,FALSE)))</f>
        <v/>
      </c>
      <c r="O16" s="524"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Unacceptable",IF(AND(P16='G-1 All Habitats'!$X$3,W16&gt;0),"Any Loss Unacceptable",H16*J16*L16*O16))))),"Check Data ⚠")</f>
        <v/>
      </c>
      <c r="R16" s="50"/>
      <c r="S16" s="71"/>
      <c r="T16" s="72"/>
      <c r="U16" s="511" t="str">
        <f t="shared" si="2"/>
        <v/>
      </c>
      <c r="V16" s="511" t="str">
        <f t="shared" si="3"/>
        <v/>
      </c>
      <c r="W16" s="511"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5" t="str">
        <f>IFERROR(IF(H16="","",IF(H16-S16-T16=0&lt;0,"Error in Areas ▲",IF(S16+T16&gt;H16,"Error in Areas ▲",IF(AND(P16='G-1 All Habitats'!$X$3,Y16="Yes"),"Alternative Compensation",IF(W16=0,0,IF(P16='G-1 All Habitats'!$X$3,"Unacceptable Loss",Q16-U16-V16)))))),"Check Data ⚠")</f>
        <v/>
      </c>
      <c r="Y16" s="72"/>
      <c r="Z16" s="151"/>
      <c r="AA16" s="152"/>
      <c r="AC16" s="251" t="str">
        <f>IF(P16="","",IF(P16='G-1 All Habitats'!$X$3,H16-S16-T16,"None"))</f>
        <v/>
      </c>
      <c r="AD16" s="252"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3"/>
      <c r="F17" s="203"/>
      <c r="G17" s="250" t="str">
        <f>IFERROR(INDEX('G-1 All Habitats'!$B$3:$B$129,MATCH(F17,'G-1 All Habitats'!$A$3:$A$129,0)),"")</f>
        <v/>
      </c>
      <c r="H17" s="172"/>
      <c r="I17" s="498" t="str">
        <f>IF(G17="","",VLOOKUP(G17,'G-1 All Habitats'!$B$2:$M$129,10,FALSE))</f>
        <v/>
      </c>
      <c r="J17" s="499" t="str">
        <f>IFERROR(VLOOKUP(I17,'G-1 All Habitats'!$V$3:$W$7,2,FALSE),"")</f>
        <v/>
      </c>
      <c r="K17" s="145"/>
      <c r="L17" s="499" t="str">
        <f>IFERROR(INDEX('G-8 Condition Look up'!$A$3:$H$130,MATCH(G17,'G-8 Condition Look up'!$A$3:$A$130,0),MATCH(K17,'G-8 Condition Look up'!$A$3:$H$3,0)),"")</f>
        <v/>
      </c>
      <c r="M17" s="154"/>
      <c r="N17" s="520" t="str">
        <f>IF(M17="","",IF(VLOOKUP(M17,'G-3 Multipliers'!$L$3:$N$6,2,FALSE)=0,"Spatial Data Missing ⚠",VLOOKUP(M17,'G-3 Multipliers'!$L$3:$N$6,2,FALSE)))</f>
        <v/>
      </c>
      <c r="O17" s="524"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Unacceptable",IF(AND(P17='G-1 All Habitats'!$X$3,W17&gt;0),"Any Loss Unacceptable",H17*J17*L17*O17))))),"Check Data ⚠")</f>
        <v/>
      </c>
      <c r="R17" s="50"/>
      <c r="S17" s="71"/>
      <c r="T17" s="72"/>
      <c r="U17" s="511" t="str">
        <f t="shared" si="2"/>
        <v/>
      </c>
      <c r="V17" s="511" t="str">
        <f t="shared" si="3"/>
        <v/>
      </c>
      <c r="W17" s="511"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5" t="str">
        <f>IFERROR(IF(H17="","",IF(H17-S17-T17=0&lt;0,"Error in Areas ▲",IF(S17+T17&gt;H17,"Error in Areas ▲",IF(AND(P17='G-1 All Habitats'!$X$3,Y17="Yes"),"Alternative Compensation",IF(W17=0,0,IF(P17='G-1 All Habitats'!$X$3,"Unacceptable Loss",Q17-U17-V17)))))),"Check Data ⚠")</f>
        <v/>
      </c>
      <c r="Y17" s="72"/>
      <c r="Z17" s="151"/>
      <c r="AA17" s="152"/>
      <c r="AC17" s="251" t="str">
        <f>IF(P17="","",IF(P17='G-1 All Habitats'!$X$3,H17-S17-T17,"None"))</f>
        <v/>
      </c>
      <c r="AD17" s="252"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3"/>
      <c r="F18" s="203"/>
      <c r="G18" s="250" t="str">
        <f>IFERROR(INDEX('G-1 All Habitats'!$B$3:$B$129,MATCH(F18,'G-1 All Habitats'!$A$3:$A$129,0)),"")</f>
        <v/>
      </c>
      <c r="H18" s="172"/>
      <c r="I18" s="498" t="str">
        <f>IF(G18="","",VLOOKUP(G18,'G-1 All Habitats'!$B$2:$M$129,10,FALSE))</f>
        <v/>
      </c>
      <c r="J18" s="499" t="str">
        <f>IFERROR(VLOOKUP(I18,'G-1 All Habitats'!$V$3:$W$7,2,FALSE),"")</f>
        <v/>
      </c>
      <c r="K18" s="145"/>
      <c r="L18" s="499" t="str">
        <f>IFERROR(INDEX('G-8 Condition Look up'!$A$3:$H$130,MATCH(G18,'G-8 Condition Look up'!$A$3:$A$130,0),MATCH(K18,'G-8 Condition Look up'!$A$3:$H$3,0)),"")</f>
        <v/>
      </c>
      <c r="M18" s="154"/>
      <c r="N18" s="520" t="str">
        <f>IF(M18="","",IF(VLOOKUP(M18,'G-3 Multipliers'!$L$3:$N$6,2,FALSE)=0,"Spatial Data Missing ⚠",VLOOKUP(M18,'G-3 Multipliers'!$L$3:$N$6,2,FALSE)))</f>
        <v/>
      </c>
      <c r="O18" s="524"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Unacceptable",IF(AND(P18='G-1 All Habitats'!$X$3,W18&gt;0),"Any Loss Unacceptable",H18*J18*L18*O18))))),"Check Data ⚠")</f>
        <v/>
      </c>
      <c r="R18" s="50"/>
      <c r="S18" s="71"/>
      <c r="T18" s="72"/>
      <c r="U18" s="511" t="str">
        <f t="shared" si="2"/>
        <v/>
      </c>
      <c r="V18" s="511" t="str">
        <f t="shared" si="3"/>
        <v/>
      </c>
      <c r="W18" s="511"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5" t="str">
        <f>IFERROR(IF(H18="","",IF(H18-S18-T18=0&lt;0,"Error in Areas ▲",IF(S18+T18&gt;H18,"Error in Areas ▲",IF(AND(P18='G-1 All Habitats'!$X$3,Y18="Yes"),"Alternative Compensation",IF(W18=0,0,IF(P18='G-1 All Habitats'!$X$3,"Unacceptable Loss",Q18-U18-V18)))))),"Check Data ⚠")</f>
        <v/>
      </c>
      <c r="Y18" s="72"/>
      <c r="Z18" s="151"/>
      <c r="AA18" s="152"/>
      <c r="AC18" s="251" t="str">
        <f>IF(P18="","",IF(P18='G-1 All Habitats'!$X$3,H18-S18-T18,"None"))</f>
        <v/>
      </c>
      <c r="AD18" s="252"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3"/>
      <c r="F19" s="203"/>
      <c r="G19" s="250" t="str">
        <f>IFERROR(INDEX('G-1 All Habitats'!$B$3:$B$129,MATCH(F19,'G-1 All Habitats'!$A$3:$A$129,0)),"")</f>
        <v/>
      </c>
      <c r="H19" s="172"/>
      <c r="I19" s="498" t="str">
        <f>IF(G19="","",VLOOKUP(G19,'G-1 All Habitats'!$B$2:$M$129,10,FALSE))</f>
        <v/>
      </c>
      <c r="J19" s="499" t="str">
        <f>IFERROR(VLOOKUP(I19,'G-1 All Habitats'!$V$3:$W$7,2,FALSE),"")</f>
        <v/>
      </c>
      <c r="K19" s="145"/>
      <c r="L19" s="499" t="str">
        <f>IFERROR(INDEX('G-8 Condition Look up'!$A$3:$H$130,MATCH(G19,'G-8 Condition Look up'!$A$3:$A$130,0),MATCH(K19,'G-8 Condition Look up'!$A$3:$H$3,0)),"")</f>
        <v/>
      </c>
      <c r="M19" s="154"/>
      <c r="N19" s="520" t="str">
        <f>IF(M19="","",IF(VLOOKUP(M19,'G-3 Multipliers'!$L$3:$N$6,2,FALSE)=0,"Spatial Data Missing ⚠",VLOOKUP(M19,'G-3 Multipliers'!$L$3:$N$6,2,FALSE)))</f>
        <v/>
      </c>
      <c r="O19" s="524"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Unacceptable",IF(AND(P19='G-1 All Habitats'!$X$3,W19&gt;0),"Any Loss Unacceptable",H19*J19*L19*O19))))),"Check Data ⚠")</f>
        <v/>
      </c>
      <c r="R19" s="50"/>
      <c r="S19" s="71"/>
      <c r="T19" s="72"/>
      <c r="U19" s="511" t="str">
        <f t="shared" si="2"/>
        <v/>
      </c>
      <c r="V19" s="511" t="str">
        <f t="shared" si="3"/>
        <v/>
      </c>
      <c r="W19" s="511"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5" t="str">
        <f>IFERROR(IF(H19="","",IF(H19-S19-T19=0&lt;0,"Error in Areas ▲",IF(S19+T19&gt;H19,"Error in Areas ▲",IF(AND(P19='G-1 All Habitats'!$X$3,Y19="Yes"),"Alternative Compensation",IF(W19=0,0,IF(P19='G-1 All Habitats'!$X$3,"Unacceptable Loss",Q19-U19-V19)))))),"Check Data ⚠")</f>
        <v/>
      </c>
      <c r="Y19" s="72"/>
      <c r="Z19" s="151"/>
      <c r="AA19" s="152"/>
      <c r="AC19" s="251" t="str">
        <f>IF(P19="","",IF(P19='G-1 All Habitats'!$X$3,H19-S19-T19,"None"))</f>
        <v/>
      </c>
      <c r="AD19" s="252"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3"/>
      <c r="F20" s="203"/>
      <c r="G20" s="250" t="str">
        <f>IFERROR(INDEX('G-1 All Habitats'!$B$3:$B$129,MATCH(F20,'G-1 All Habitats'!$A$3:$A$129,0)),"")</f>
        <v/>
      </c>
      <c r="H20" s="172"/>
      <c r="I20" s="498" t="str">
        <f>IF(G20="","",VLOOKUP(G20,'G-1 All Habitats'!$B$2:$M$129,10,FALSE))</f>
        <v/>
      </c>
      <c r="J20" s="499" t="str">
        <f>IFERROR(VLOOKUP(I20,'G-1 All Habitats'!$V$3:$W$7,2,FALSE),"")</f>
        <v/>
      </c>
      <c r="K20" s="145"/>
      <c r="L20" s="499" t="str">
        <f>IFERROR(INDEX('G-8 Condition Look up'!$A$3:$H$130,MATCH(G20,'G-8 Condition Look up'!$A$3:$A$130,0),MATCH(K20,'G-8 Condition Look up'!$A$3:$H$3,0)),"")</f>
        <v/>
      </c>
      <c r="M20" s="154"/>
      <c r="N20" s="520" t="str">
        <f>IF(M20="","",IF(VLOOKUP(M20,'G-3 Multipliers'!$L$3:$N$6,2,FALSE)=0,"Spatial Data Missing ⚠",VLOOKUP(M20,'G-3 Multipliers'!$L$3:$N$6,2,FALSE)))</f>
        <v/>
      </c>
      <c r="O20" s="524"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Unacceptable",IF(AND(P20='G-1 All Habitats'!$X$3,W20&gt;0),"Any Loss Unacceptable",H20*J20*L20*O20))))),"Check Data ⚠")</f>
        <v/>
      </c>
      <c r="R20" s="50"/>
      <c r="S20" s="71"/>
      <c r="T20" s="72"/>
      <c r="U20" s="511" t="str">
        <f t="shared" si="2"/>
        <v/>
      </c>
      <c r="V20" s="511" t="str">
        <f t="shared" si="3"/>
        <v/>
      </c>
      <c r="W20" s="511"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5" t="str">
        <f>IFERROR(IF(H20="","",IF(H20-S20-T20=0&lt;0,"Error in Areas ▲",IF(S20+T20&gt;H20,"Error in Areas ▲",IF(AND(P20='G-1 All Habitats'!$X$3,Y20="Yes"),"Alternative Compensation",IF(W20=0,0,IF(P20='G-1 All Habitats'!$X$3,"Unacceptable Loss",Q20-U20-V20)))))),"Check Data ⚠")</f>
        <v/>
      </c>
      <c r="Y20" s="72"/>
      <c r="Z20" s="151"/>
      <c r="AA20" s="152"/>
      <c r="AC20" s="251" t="str">
        <f>IF(P20="","",IF(P20='G-1 All Habitats'!$X$3,H20-S20-T20,"None"))</f>
        <v/>
      </c>
      <c r="AD20" s="252"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3"/>
      <c r="F21" s="203"/>
      <c r="G21" s="250" t="str">
        <f>IFERROR(INDEX('G-1 All Habitats'!$B$3:$B$129,MATCH(F21,'G-1 All Habitats'!$A$3:$A$129,0)),"")</f>
        <v/>
      </c>
      <c r="H21" s="172"/>
      <c r="I21" s="498" t="str">
        <f>IF(G21="","",VLOOKUP(G21,'G-1 All Habitats'!$B$2:$M$129,10,FALSE))</f>
        <v/>
      </c>
      <c r="J21" s="499" t="str">
        <f>IFERROR(VLOOKUP(I21,'G-1 All Habitats'!$V$3:$W$7,2,FALSE),"")</f>
        <v/>
      </c>
      <c r="K21" s="145"/>
      <c r="L21" s="499" t="str">
        <f>IFERROR(INDEX('G-8 Condition Look up'!$A$3:$H$130,MATCH(G21,'G-8 Condition Look up'!$A$3:$A$130,0),MATCH(K21,'G-8 Condition Look up'!$A$3:$H$3,0)),"")</f>
        <v/>
      </c>
      <c r="M21" s="154"/>
      <c r="N21" s="520" t="str">
        <f>IF(M21="","",IF(VLOOKUP(M21,'G-3 Multipliers'!$L$3:$N$6,2,FALSE)=0,"Spatial Data Missing ⚠",VLOOKUP(M21,'G-3 Multipliers'!$L$3:$N$6,2,FALSE)))</f>
        <v/>
      </c>
      <c r="O21" s="524"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Unacceptable",IF(AND(P21='G-1 All Habitats'!$X$3,W21&gt;0),"Any Loss Unacceptable",H21*J21*L21*O21))))),"Check Data ⚠")</f>
        <v/>
      </c>
      <c r="R21" s="50"/>
      <c r="S21" s="71"/>
      <c r="T21" s="72"/>
      <c r="U21" s="511" t="str">
        <f t="shared" si="2"/>
        <v/>
      </c>
      <c r="V21" s="511" t="str">
        <f t="shared" si="3"/>
        <v/>
      </c>
      <c r="W21" s="511"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5" t="str">
        <f>IFERROR(IF(H21="","",IF(H21-S21-T21=0&lt;0,"Error in Areas ▲",IF(S21+T21&gt;H21,"Error in Areas ▲",IF(AND(P21='G-1 All Habitats'!$X$3,Y21="Yes"),"Alternative Compensation",IF(W21=0,0,IF(P21='G-1 All Habitats'!$X$3,"Unacceptable Loss",Q21-U21-V21)))))),"Check Data ⚠")</f>
        <v/>
      </c>
      <c r="Y21" s="72"/>
      <c r="Z21" s="151"/>
      <c r="AA21" s="152"/>
      <c r="AC21" s="251" t="str">
        <f>IF(P21="","",IF(P21='G-1 All Habitats'!$X$3,H21-S21-T21,"None"))</f>
        <v/>
      </c>
      <c r="AD21" s="252"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3"/>
      <c r="F22" s="203"/>
      <c r="G22" s="250" t="str">
        <f>IFERROR(INDEX('G-1 All Habitats'!$B$3:$B$129,MATCH(F22,'G-1 All Habitats'!$A$3:$A$129,0)),"")</f>
        <v/>
      </c>
      <c r="H22" s="172"/>
      <c r="I22" s="498" t="str">
        <f>IF(G22="","",VLOOKUP(G22,'G-1 All Habitats'!$B$2:$M$129,10,FALSE))</f>
        <v/>
      </c>
      <c r="J22" s="499" t="str">
        <f>IFERROR(VLOOKUP(I22,'G-1 All Habitats'!$V$3:$W$7,2,FALSE),"")</f>
        <v/>
      </c>
      <c r="K22" s="145"/>
      <c r="L22" s="499" t="str">
        <f>IFERROR(INDEX('G-8 Condition Look up'!$A$3:$H$130,MATCH(G22,'G-8 Condition Look up'!$A$3:$A$130,0),MATCH(K22,'G-8 Condition Look up'!$A$3:$H$3,0)),"")</f>
        <v/>
      </c>
      <c r="M22" s="154"/>
      <c r="N22" s="520" t="str">
        <f>IF(M22="","",IF(VLOOKUP(M22,'G-3 Multipliers'!$L$3:$N$6,2,FALSE)=0,"Spatial Data Missing ⚠",VLOOKUP(M22,'G-3 Multipliers'!$L$3:$N$6,2,FALSE)))</f>
        <v/>
      </c>
      <c r="O22" s="524"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Unacceptable",IF(AND(P22='G-1 All Habitats'!$X$3,W22&gt;0),"Any Loss Unacceptable",H22*J22*L22*O22))))),"Check Data ⚠")</f>
        <v/>
      </c>
      <c r="R22" s="50"/>
      <c r="S22" s="71"/>
      <c r="T22" s="72"/>
      <c r="U22" s="511" t="str">
        <f t="shared" si="2"/>
        <v/>
      </c>
      <c r="V22" s="511" t="str">
        <f t="shared" si="3"/>
        <v/>
      </c>
      <c r="W22" s="511"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5" t="str">
        <f>IFERROR(IF(H22="","",IF(H22-S22-T22=0&lt;0,"Error in Areas ▲",IF(S22+T22&gt;H22,"Error in Areas ▲",IF(AND(P22='G-1 All Habitats'!$X$3,Y22="Yes"),"Alternative Compensation",IF(W22=0,0,IF(P22='G-1 All Habitats'!$X$3,"Unacceptable Loss",Q22-U22-V22)))))),"Check Data ⚠")</f>
        <v/>
      </c>
      <c r="Y22" s="72"/>
      <c r="Z22" s="151"/>
      <c r="AA22" s="152"/>
      <c r="AC22" s="251" t="str">
        <f>IF(P22="","",IF(P22='G-1 All Habitats'!$X$3,H22-S22-T22,"None"))</f>
        <v/>
      </c>
      <c r="AD22" s="252"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3"/>
      <c r="F23" s="203"/>
      <c r="G23" s="250" t="str">
        <f>IFERROR(INDEX('G-1 All Habitats'!$B$3:$B$129,MATCH(F23,'G-1 All Habitats'!$A$3:$A$129,0)),"")</f>
        <v/>
      </c>
      <c r="H23" s="172"/>
      <c r="I23" s="498" t="str">
        <f>IF(G23="","",VLOOKUP(G23,'G-1 All Habitats'!$B$2:$M$129,10,FALSE))</f>
        <v/>
      </c>
      <c r="J23" s="499" t="str">
        <f>IFERROR(VLOOKUP(I23,'G-1 All Habitats'!$V$3:$W$7,2,FALSE),"")</f>
        <v/>
      </c>
      <c r="K23" s="145"/>
      <c r="L23" s="499" t="str">
        <f>IFERROR(INDEX('G-8 Condition Look up'!$A$3:$H$130,MATCH(G23,'G-8 Condition Look up'!$A$3:$A$130,0),MATCH(K23,'G-8 Condition Look up'!$A$3:$H$3,0)),"")</f>
        <v/>
      </c>
      <c r="M23" s="154"/>
      <c r="N23" s="520" t="str">
        <f>IF(M23="","",IF(VLOOKUP(M23,'G-3 Multipliers'!$L$3:$N$6,2,FALSE)=0,"Spatial Data Missing ⚠",VLOOKUP(M23,'G-3 Multipliers'!$L$3:$N$6,2,FALSE)))</f>
        <v/>
      </c>
      <c r="O23" s="524"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Unacceptable",IF(AND(P23='G-1 All Habitats'!$X$3,W23&gt;0),"Any Loss Unacceptable",H23*J23*L23*O23))))),"Check Data ⚠")</f>
        <v/>
      </c>
      <c r="R23" s="50"/>
      <c r="S23" s="71"/>
      <c r="T23" s="72"/>
      <c r="U23" s="511" t="str">
        <f t="shared" si="2"/>
        <v/>
      </c>
      <c r="V23" s="511" t="str">
        <f t="shared" si="3"/>
        <v/>
      </c>
      <c r="W23" s="511"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5" t="str">
        <f>IFERROR(IF(H23="","",IF(H23-S23-T23=0&lt;0,"Error in Areas ▲",IF(S23+T23&gt;H23,"Error in Areas ▲",IF(AND(P23='G-1 All Habitats'!$X$3,Y23="Yes"),"Alternative Compensation",IF(W23=0,0,IF(P23='G-1 All Habitats'!$X$3,"Unacceptable Loss",Q23-U23-V23)))))),"Check Data ⚠")</f>
        <v/>
      </c>
      <c r="Y23" s="72"/>
      <c r="Z23" s="151"/>
      <c r="AA23" s="152"/>
      <c r="AC23" s="251" t="str">
        <f>IF(P23="","",IF(P23='G-1 All Habitats'!$X$3,H23-S23-T23,"None"))</f>
        <v/>
      </c>
      <c r="AD23" s="252"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3"/>
      <c r="F24" s="203"/>
      <c r="G24" s="250" t="str">
        <f>IFERROR(INDEX('G-1 All Habitats'!$B$3:$B$129,MATCH(F24,'G-1 All Habitats'!$A$3:$A$129,0)),"")</f>
        <v/>
      </c>
      <c r="H24" s="172"/>
      <c r="I24" s="498" t="str">
        <f>IF(G24="","",VLOOKUP(G24,'G-1 All Habitats'!$B$2:$M$129,10,FALSE))</f>
        <v/>
      </c>
      <c r="J24" s="499" t="str">
        <f>IFERROR(VLOOKUP(I24,'G-1 All Habitats'!$V$3:$W$7,2,FALSE),"")</f>
        <v/>
      </c>
      <c r="K24" s="145"/>
      <c r="L24" s="499" t="str">
        <f>IFERROR(INDEX('G-8 Condition Look up'!$A$3:$H$130,MATCH(G24,'G-8 Condition Look up'!$A$3:$A$130,0),MATCH(K24,'G-8 Condition Look up'!$A$3:$H$3,0)),"")</f>
        <v/>
      </c>
      <c r="M24" s="154"/>
      <c r="N24" s="520" t="str">
        <f>IF(M24="","",IF(VLOOKUP(M24,'G-3 Multipliers'!$L$3:$N$6,2,FALSE)=0,"Spatial Data Missing ⚠",VLOOKUP(M24,'G-3 Multipliers'!$L$3:$N$6,2,FALSE)))</f>
        <v/>
      </c>
      <c r="O24" s="524"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Unacceptable",IF(AND(P24='G-1 All Habitats'!$X$3,W24&gt;0),"Any Loss Unacceptable",H24*J24*L24*O24))))),"Check Data ⚠")</f>
        <v/>
      </c>
      <c r="R24" s="50"/>
      <c r="S24" s="71"/>
      <c r="T24" s="72"/>
      <c r="U24" s="511" t="str">
        <f t="shared" si="2"/>
        <v/>
      </c>
      <c r="V24" s="511" t="str">
        <f t="shared" si="3"/>
        <v/>
      </c>
      <c r="W24" s="511"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5" t="str">
        <f>IFERROR(IF(H24="","",IF(H24-S24-T24=0&lt;0,"Error in Areas ▲",IF(S24+T24&gt;H24,"Error in Areas ▲",IF(AND(P24='G-1 All Habitats'!$X$3,Y24="Yes"),"Alternative Compensation",IF(W24=0,0,IF(P24='G-1 All Habitats'!$X$3,"Unacceptable Loss",Q24-U24-V24)))))),"Check Data ⚠")</f>
        <v/>
      </c>
      <c r="Y24" s="72"/>
      <c r="Z24" s="151"/>
      <c r="AA24" s="152"/>
      <c r="AC24" s="251" t="str">
        <f>IF(P24="","",IF(P24='G-1 All Habitats'!$X$3,H24-S24-T24,"None"))</f>
        <v/>
      </c>
      <c r="AD24" s="252"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3"/>
      <c r="F25" s="203"/>
      <c r="G25" s="250" t="str">
        <f>IFERROR(INDEX('G-1 All Habitats'!$B$3:$B$129,MATCH(F25,'G-1 All Habitats'!$A$3:$A$129,0)),"")</f>
        <v/>
      </c>
      <c r="H25" s="172"/>
      <c r="I25" s="498" t="str">
        <f>IF(G25="","",VLOOKUP(G25,'G-1 All Habitats'!$B$2:$M$129,10,FALSE))</f>
        <v/>
      </c>
      <c r="J25" s="499" t="str">
        <f>IFERROR(VLOOKUP(I25,'G-1 All Habitats'!$V$3:$W$7,2,FALSE),"")</f>
        <v/>
      </c>
      <c r="K25" s="145"/>
      <c r="L25" s="499" t="str">
        <f>IFERROR(INDEX('G-8 Condition Look up'!$A$3:$H$130,MATCH(G25,'G-8 Condition Look up'!$A$3:$A$130,0),MATCH(K25,'G-8 Condition Look up'!$A$3:$H$3,0)),"")</f>
        <v/>
      </c>
      <c r="M25" s="154"/>
      <c r="N25" s="520" t="str">
        <f>IF(M25="","",IF(VLOOKUP(M25,'G-3 Multipliers'!$L$3:$N$6,2,FALSE)=0,"Spatial Data Missing ⚠",VLOOKUP(M25,'G-3 Multipliers'!$L$3:$N$6,2,FALSE)))</f>
        <v/>
      </c>
      <c r="O25" s="524"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Unacceptable",IF(AND(P25='G-1 All Habitats'!$X$3,W25&gt;0),"Any Loss Unacceptable",H25*J25*L25*O25))))),"Check Data ⚠")</f>
        <v/>
      </c>
      <c r="R25" s="50"/>
      <c r="S25" s="71"/>
      <c r="T25" s="72"/>
      <c r="U25" s="511" t="str">
        <f t="shared" si="2"/>
        <v/>
      </c>
      <c r="V25" s="511" t="str">
        <f t="shared" si="3"/>
        <v/>
      </c>
      <c r="W25" s="511"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5" t="str">
        <f>IFERROR(IF(H25="","",IF(H25-S25-T25=0&lt;0,"Error in Areas ▲",IF(S25+T25&gt;H25,"Error in Areas ▲",IF(AND(P25='G-1 All Habitats'!$X$3,Y25="Yes"),"Alternative Compensation",IF(W25=0,0,IF(P25='G-1 All Habitats'!$X$3,"Unacceptable Loss",Q25-U25-V25)))))),"Check Data ⚠")</f>
        <v/>
      </c>
      <c r="Y25" s="72"/>
      <c r="Z25" s="151"/>
      <c r="AA25" s="152"/>
      <c r="AC25" s="251" t="str">
        <f>IF(P25="","",IF(P25='G-1 All Habitats'!$X$3,H25-S25-T25,"None"))</f>
        <v/>
      </c>
      <c r="AD25" s="252"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3"/>
      <c r="F26" s="203"/>
      <c r="G26" s="250" t="str">
        <f>IFERROR(INDEX('G-1 All Habitats'!$B$3:$B$129,MATCH(F26,'G-1 All Habitats'!$A$3:$A$129,0)),"")</f>
        <v/>
      </c>
      <c r="H26" s="172"/>
      <c r="I26" s="498" t="str">
        <f>IF(G26="","",VLOOKUP(G26,'G-1 All Habitats'!$B$2:$M$129,10,FALSE))</f>
        <v/>
      </c>
      <c r="J26" s="499" t="str">
        <f>IFERROR(VLOOKUP(I26,'G-1 All Habitats'!$V$3:$W$7,2,FALSE),"")</f>
        <v/>
      </c>
      <c r="K26" s="145"/>
      <c r="L26" s="499" t="str">
        <f>IFERROR(INDEX('G-8 Condition Look up'!$A$3:$H$130,MATCH(G26,'G-8 Condition Look up'!$A$3:$A$130,0),MATCH(K26,'G-8 Condition Look up'!$A$3:$H$3,0)),"")</f>
        <v/>
      </c>
      <c r="M26" s="154"/>
      <c r="N26" s="520" t="str">
        <f>IF(M26="","",IF(VLOOKUP(M26,'G-3 Multipliers'!$L$3:$N$6,2,FALSE)=0,"Spatial Data Missing ⚠",VLOOKUP(M26,'G-3 Multipliers'!$L$3:$N$6,2,FALSE)))</f>
        <v/>
      </c>
      <c r="O26" s="524"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Unacceptable",IF(AND(P26='G-1 All Habitats'!$X$3,W26&gt;0),"Any Loss Unacceptable",H26*J26*L26*O26))))),"Check Data ⚠")</f>
        <v/>
      </c>
      <c r="R26" s="50"/>
      <c r="S26" s="71"/>
      <c r="T26" s="72"/>
      <c r="U26" s="511" t="str">
        <f t="shared" si="2"/>
        <v/>
      </c>
      <c r="V26" s="511" t="str">
        <f t="shared" si="3"/>
        <v/>
      </c>
      <c r="W26" s="511"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5" t="str">
        <f>IFERROR(IF(H26="","",IF(H26-S26-T26=0&lt;0,"Error in Areas ▲",IF(S26+T26&gt;H26,"Error in Areas ▲",IF(AND(P26='G-1 All Habitats'!$X$3,Y26="Yes"),"Alternative Compensation",IF(W26=0,0,IF(P26='G-1 All Habitats'!$X$3,"Unacceptable Loss",Q26-U26-V26)))))),"Check Data ⚠")</f>
        <v/>
      </c>
      <c r="Y26" s="72"/>
      <c r="Z26" s="151"/>
      <c r="AA26" s="152"/>
      <c r="AC26" s="251" t="str">
        <f>IF(P26="","",IF(P26='G-1 All Habitats'!$X$3,H26-S26-T26,"None"))</f>
        <v/>
      </c>
      <c r="AD26" s="252"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3"/>
      <c r="F27" s="203"/>
      <c r="G27" s="250" t="str">
        <f>IFERROR(INDEX('G-1 All Habitats'!$B$3:$B$129,MATCH(F27,'G-1 All Habitats'!$A$3:$A$129,0)),"")</f>
        <v/>
      </c>
      <c r="H27" s="172"/>
      <c r="I27" s="498" t="str">
        <f>IF(G27="","",VLOOKUP(G27,'G-1 All Habitats'!$B$2:$M$129,10,FALSE))</f>
        <v/>
      </c>
      <c r="J27" s="499" t="str">
        <f>IFERROR(VLOOKUP(I27,'G-1 All Habitats'!$V$3:$W$7,2,FALSE),"")</f>
        <v/>
      </c>
      <c r="K27" s="145"/>
      <c r="L27" s="499" t="str">
        <f>IFERROR(INDEX('G-8 Condition Look up'!$A$3:$H$130,MATCH(G27,'G-8 Condition Look up'!$A$3:$A$130,0),MATCH(K27,'G-8 Condition Look up'!$A$3:$H$3,0)),"")</f>
        <v/>
      </c>
      <c r="M27" s="154"/>
      <c r="N27" s="520" t="str">
        <f>IF(M27="","",IF(VLOOKUP(M27,'G-3 Multipliers'!$L$3:$N$6,2,FALSE)=0,"Spatial Data Missing ⚠",VLOOKUP(M27,'G-3 Multipliers'!$L$3:$N$6,2,FALSE)))</f>
        <v/>
      </c>
      <c r="O27" s="524"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Unacceptable",IF(AND(P27='G-1 All Habitats'!$X$3,W27&gt;0),"Any Loss Unacceptable",H27*J27*L27*O27))))),"Check Data ⚠")</f>
        <v/>
      </c>
      <c r="R27" s="50"/>
      <c r="S27" s="71"/>
      <c r="T27" s="72"/>
      <c r="U27" s="511" t="str">
        <f t="shared" si="2"/>
        <v/>
      </c>
      <c r="V27" s="511" t="str">
        <f t="shared" si="3"/>
        <v/>
      </c>
      <c r="W27" s="511"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5" t="str">
        <f>IFERROR(IF(H27="","",IF(H27-S27-T27=0&lt;0,"Error in Areas ▲",IF(S27+T27&gt;H27,"Error in Areas ▲",IF(AND(P27='G-1 All Habitats'!$X$3,Y27="Yes"),"Alternative Compensation",IF(W27=0,0,IF(P27='G-1 All Habitats'!$X$3,"Unacceptable Loss",Q27-U27-V27)))))),"Check Data ⚠")</f>
        <v/>
      </c>
      <c r="Y27" s="72"/>
      <c r="Z27" s="151"/>
      <c r="AA27" s="152"/>
      <c r="AC27" s="251" t="str">
        <f>IF(P27="","",IF(P27='G-1 All Habitats'!$X$3,H27-S27-T27,"None"))</f>
        <v/>
      </c>
      <c r="AD27" s="252"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3"/>
      <c r="F28" s="203"/>
      <c r="G28" s="250" t="str">
        <f>IFERROR(INDEX('G-1 All Habitats'!$B$3:$B$129,MATCH(F28,'G-1 All Habitats'!$A$3:$A$129,0)),"")</f>
        <v/>
      </c>
      <c r="H28" s="172"/>
      <c r="I28" s="498" t="str">
        <f>IF(G28="","",VLOOKUP(G28,'G-1 All Habitats'!$B$2:$M$129,10,FALSE))</f>
        <v/>
      </c>
      <c r="J28" s="499" t="str">
        <f>IFERROR(VLOOKUP(I28,'G-1 All Habitats'!$V$3:$W$7,2,FALSE),"")</f>
        <v/>
      </c>
      <c r="K28" s="145"/>
      <c r="L28" s="499" t="str">
        <f>IFERROR(INDEX('G-8 Condition Look up'!$A$3:$H$130,MATCH(G28,'G-8 Condition Look up'!$A$3:$A$130,0),MATCH(K28,'G-8 Condition Look up'!$A$3:$H$3,0)),"")</f>
        <v/>
      </c>
      <c r="M28" s="154"/>
      <c r="N28" s="520" t="str">
        <f>IF(M28="","",IF(VLOOKUP(M28,'G-3 Multipliers'!$L$3:$N$6,2,FALSE)=0,"Spatial Data Missing ⚠",VLOOKUP(M28,'G-3 Multipliers'!$L$3:$N$6,2,FALSE)))</f>
        <v/>
      </c>
      <c r="O28" s="524"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Unacceptable",IF(AND(P28='G-1 All Habitats'!$X$3,W28&gt;0),"Any Loss Unacceptable",H28*J28*L28*O28))))),"Check Data ⚠")</f>
        <v/>
      </c>
      <c r="R28" s="50"/>
      <c r="S28" s="71"/>
      <c r="T28" s="72"/>
      <c r="U28" s="511" t="str">
        <f t="shared" si="2"/>
        <v/>
      </c>
      <c r="V28" s="511" t="str">
        <f t="shared" si="3"/>
        <v/>
      </c>
      <c r="W28" s="511"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5" t="str">
        <f>IFERROR(IF(H28="","",IF(H28-S28-T28=0&lt;0,"Error in Areas ▲",IF(S28+T28&gt;H28,"Error in Areas ▲",IF(AND(P28='G-1 All Habitats'!$X$3,Y28="Yes"),"Alternative Compensation",IF(W28=0,0,IF(P28='G-1 All Habitats'!$X$3,"Unacceptable Loss",Q28-U28-V28)))))),"Check Data ⚠")</f>
        <v/>
      </c>
      <c r="Y28" s="72"/>
      <c r="Z28" s="151"/>
      <c r="AA28" s="152"/>
      <c r="AC28" s="251" t="str">
        <f>IF(P28="","",IF(P28='G-1 All Habitats'!$X$3,H28-S28-T28,"None"))</f>
        <v/>
      </c>
      <c r="AD28" s="252"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3"/>
      <c r="F29" s="203"/>
      <c r="G29" s="250" t="str">
        <f>IFERROR(INDEX('G-1 All Habitats'!$B$3:$B$129,MATCH(F29,'G-1 All Habitats'!$A$3:$A$129,0)),"")</f>
        <v/>
      </c>
      <c r="H29" s="172"/>
      <c r="I29" s="498" t="str">
        <f>IF(G29="","",VLOOKUP(G29,'G-1 All Habitats'!$B$2:$M$129,10,FALSE))</f>
        <v/>
      </c>
      <c r="J29" s="499" t="str">
        <f>IFERROR(VLOOKUP(I29,'G-1 All Habitats'!$V$3:$W$7,2,FALSE),"")</f>
        <v/>
      </c>
      <c r="K29" s="145"/>
      <c r="L29" s="499" t="str">
        <f>IFERROR(INDEX('G-8 Condition Look up'!$A$3:$H$130,MATCH(G29,'G-8 Condition Look up'!$A$3:$A$130,0),MATCH(K29,'G-8 Condition Look up'!$A$3:$H$3,0)),"")</f>
        <v/>
      </c>
      <c r="M29" s="154"/>
      <c r="N29" s="520" t="str">
        <f>IF(M29="","",IF(VLOOKUP(M29,'G-3 Multipliers'!$L$3:$N$6,2,FALSE)=0,"Spatial Data Missing ⚠",VLOOKUP(M29,'G-3 Multipliers'!$L$3:$N$6,2,FALSE)))</f>
        <v/>
      </c>
      <c r="O29" s="524"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Unacceptable",IF(AND(P29='G-1 All Habitats'!$X$3,W29&gt;0),"Any Loss Unacceptable",H29*J29*L29*O29))))),"Check Data ⚠")</f>
        <v/>
      </c>
      <c r="R29" s="50"/>
      <c r="S29" s="71"/>
      <c r="T29" s="72"/>
      <c r="U29" s="511" t="str">
        <f t="shared" si="2"/>
        <v/>
      </c>
      <c r="V29" s="511" t="str">
        <f t="shared" si="3"/>
        <v/>
      </c>
      <c r="W29" s="511"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5" t="str">
        <f>IFERROR(IF(H29="","",IF(H29-S29-T29=0&lt;0,"Error in Areas ▲",IF(S29+T29&gt;H29,"Error in Areas ▲",IF(AND(P29='G-1 All Habitats'!$X$3,Y29="Yes"),"Alternative Compensation",IF(W29=0,0,IF(P29='G-1 All Habitats'!$X$3,"Unacceptable Loss",Q29-U29-V29)))))),"Check Data ⚠")</f>
        <v/>
      </c>
      <c r="Y29" s="72"/>
      <c r="Z29" s="151"/>
      <c r="AA29" s="152"/>
      <c r="AC29" s="251" t="str">
        <f>IF(P29="","",IF(P29='G-1 All Habitats'!$X$3,H29-S29-T29,"None"))</f>
        <v/>
      </c>
      <c r="AD29" s="252"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3"/>
      <c r="F30" s="203"/>
      <c r="G30" s="250" t="str">
        <f>IFERROR(INDEX('G-1 All Habitats'!$B$3:$B$129,MATCH(F30,'G-1 All Habitats'!$A$3:$A$129,0)),"")</f>
        <v/>
      </c>
      <c r="H30" s="172"/>
      <c r="I30" s="498" t="str">
        <f>IF(G30="","",VLOOKUP(G30,'G-1 All Habitats'!$B$2:$M$129,10,FALSE))</f>
        <v/>
      </c>
      <c r="J30" s="499" t="str">
        <f>IFERROR(VLOOKUP(I30,'G-1 All Habitats'!$V$3:$W$7,2,FALSE),"")</f>
        <v/>
      </c>
      <c r="K30" s="145"/>
      <c r="L30" s="499" t="str">
        <f>IFERROR(INDEX('G-8 Condition Look up'!$A$3:$H$130,MATCH(G30,'G-8 Condition Look up'!$A$3:$A$130,0),MATCH(K30,'G-8 Condition Look up'!$A$3:$H$3,0)),"")</f>
        <v/>
      </c>
      <c r="M30" s="154"/>
      <c r="N30" s="520" t="str">
        <f>IF(M30="","",IF(VLOOKUP(M30,'G-3 Multipliers'!$L$3:$N$6,2,FALSE)=0,"Spatial Data Missing ⚠",VLOOKUP(M30,'G-3 Multipliers'!$L$3:$N$6,2,FALSE)))</f>
        <v/>
      </c>
      <c r="O30" s="524"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Unacceptable",IF(AND(P30='G-1 All Habitats'!$X$3,W30&gt;0),"Any Loss Unacceptable",H30*J30*L30*O30))))),"Check Data ⚠")</f>
        <v/>
      </c>
      <c r="R30" s="50"/>
      <c r="S30" s="71"/>
      <c r="T30" s="72"/>
      <c r="U30" s="511" t="str">
        <f t="shared" si="2"/>
        <v/>
      </c>
      <c r="V30" s="511" t="str">
        <f t="shared" si="3"/>
        <v/>
      </c>
      <c r="W30" s="511"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5" t="str">
        <f>IFERROR(IF(H30="","",IF(H30-S30-T30=0&lt;0,"Error in Areas ▲",IF(S30+T30&gt;H30,"Error in Areas ▲",IF(AND(P30='G-1 All Habitats'!$X$3,Y30="Yes"),"Alternative Compensation",IF(W30=0,0,IF(P30='G-1 All Habitats'!$X$3,"Unacceptable Loss",Q30-U30-V30)))))),"Check Data ⚠")</f>
        <v/>
      </c>
      <c r="Y30" s="72"/>
      <c r="Z30" s="151"/>
      <c r="AA30" s="152"/>
      <c r="AC30" s="251" t="str">
        <f>IF(P30="","",IF(P30='G-1 All Habitats'!$X$3,H30-S30-T30,"None"))</f>
        <v/>
      </c>
      <c r="AD30" s="252"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3"/>
      <c r="F31" s="203"/>
      <c r="G31" s="250" t="str">
        <f>IFERROR(INDEX('G-1 All Habitats'!$B$3:$B$129,MATCH(F31,'G-1 All Habitats'!$A$3:$A$129,0)),"")</f>
        <v/>
      </c>
      <c r="H31" s="172"/>
      <c r="I31" s="498" t="str">
        <f>IF(G31="","",VLOOKUP(G31,'G-1 All Habitats'!$B$2:$M$129,10,FALSE))</f>
        <v/>
      </c>
      <c r="J31" s="499" t="str">
        <f>IFERROR(VLOOKUP(I31,'G-1 All Habitats'!$V$3:$W$7,2,FALSE),"")</f>
        <v/>
      </c>
      <c r="K31" s="145"/>
      <c r="L31" s="499" t="str">
        <f>IFERROR(INDEX('G-8 Condition Look up'!$A$3:$H$130,MATCH(G31,'G-8 Condition Look up'!$A$3:$A$130,0),MATCH(K31,'G-8 Condition Look up'!$A$3:$H$3,0)),"")</f>
        <v/>
      </c>
      <c r="M31" s="154"/>
      <c r="N31" s="520" t="str">
        <f>IF(M31="","",IF(VLOOKUP(M31,'G-3 Multipliers'!$L$3:$N$6,2,FALSE)=0,"Spatial Data Missing ⚠",VLOOKUP(M31,'G-3 Multipliers'!$L$3:$N$6,2,FALSE)))</f>
        <v/>
      </c>
      <c r="O31" s="524"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Unacceptable",IF(AND(P31='G-1 All Habitats'!$X$3,W31&gt;0),"Any Loss Unacceptable",H31*J31*L31*O31))))),"Check Data ⚠")</f>
        <v/>
      </c>
      <c r="R31" s="50"/>
      <c r="S31" s="71"/>
      <c r="T31" s="72"/>
      <c r="U31" s="511" t="str">
        <f t="shared" si="2"/>
        <v/>
      </c>
      <c r="V31" s="511" t="str">
        <f t="shared" si="3"/>
        <v/>
      </c>
      <c r="W31" s="511"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5" t="str">
        <f>IFERROR(IF(H31="","",IF(H31-S31-T31=0&lt;0,"Error in Areas ▲",IF(S31+T31&gt;H31,"Error in Areas ▲",IF(AND(P31='G-1 All Habitats'!$X$3,Y31="Yes"),"Alternative Compensation",IF(W31=0,0,IF(P31='G-1 All Habitats'!$X$3,"Unacceptable Loss",Q31-U31-V31)))))),"Check Data ⚠")</f>
        <v/>
      </c>
      <c r="Y31" s="72"/>
      <c r="Z31" s="151"/>
      <c r="AA31" s="152"/>
      <c r="AC31" s="251" t="str">
        <f>IF(P31="","",IF(P31='G-1 All Habitats'!$X$3,H31-S31-T31,"None"))</f>
        <v/>
      </c>
      <c r="AD31" s="252"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3"/>
      <c r="F32" s="203"/>
      <c r="G32" s="250" t="str">
        <f>IFERROR(INDEX('G-1 All Habitats'!$B$3:$B$129,MATCH(F32,'G-1 All Habitats'!$A$3:$A$129,0)),"")</f>
        <v/>
      </c>
      <c r="H32" s="172"/>
      <c r="I32" s="498" t="str">
        <f>IF(G32="","",VLOOKUP(G32,'G-1 All Habitats'!$B$2:$M$129,10,FALSE))</f>
        <v/>
      </c>
      <c r="J32" s="499" t="str">
        <f>IFERROR(VLOOKUP(I32,'G-1 All Habitats'!$V$3:$W$7,2,FALSE),"")</f>
        <v/>
      </c>
      <c r="K32" s="145"/>
      <c r="L32" s="499" t="str">
        <f>IFERROR(INDEX('G-8 Condition Look up'!$A$3:$H$130,MATCH(G32,'G-8 Condition Look up'!$A$3:$A$130,0),MATCH(K32,'G-8 Condition Look up'!$A$3:$H$3,0)),"")</f>
        <v/>
      </c>
      <c r="M32" s="154"/>
      <c r="N32" s="520" t="str">
        <f>IF(M32="","",IF(VLOOKUP(M32,'G-3 Multipliers'!$L$3:$N$6,2,FALSE)=0,"Spatial Data Missing ⚠",VLOOKUP(M32,'G-3 Multipliers'!$L$3:$N$6,2,FALSE)))</f>
        <v/>
      </c>
      <c r="O32" s="524"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Unacceptable",IF(AND(P32='G-1 All Habitats'!$X$3,W32&gt;0),"Any Loss Unacceptable",H32*J32*L32*O32))))),"Check Data ⚠")</f>
        <v/>
      </c>
      <c r="R32" s="50"/>
      <c r="S32" s="71"/>
      <c r="T32" s="72"/>
      <c r="U32" s="511" t="str">
        <f t="shared" si="2"/>
        <v/>
      </c>
      <c r="V32" s="511" t="str">
        <f t="shared" si="3"/>
        <v/>
      </c>
      <c r="W32" s="511"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5" t="str">
        <f>IFERROR(IF(H32="","",IF(H32-S32-T32=0&lt;0,"Error in Areas ▲",IF(S32+T32&gt;H32,"Error in Areas ▲",IF(AND(P32='G-1 All Habitats'!$X$3,Y32="Yes"),"Alternative Compensation",IF(W32=0,0,IF(P32='G-1 All Habitats'!$X$3,"Unacceptable Loss",Q32-U32-V32)))))),"Check Data ⚠")</f>
        <v/>
      </c>
      <c r="Y32" s="72"/>
      <c r="Z32" s="151"/>
      <c r="AA32" s="152"/>
      <c r="AC32" s="251" t="str">
        <f>IF(P32="","",IF(P32='G-1 All Habitats'!$X$3,H32-S32-T32,"None"))</f>
        <v/>
      </c>
      <c r="AD32" s="252"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3"/>
      <c r="F33" s="203"/>
      <c r="G33" s="250" t="str">
        <f>IFERROR(INDEX('G-1 All Habitats'!$B$3:$B$129,MATCH(F33,'G-1 All Habitats'!$A$3:$A$129,0)),"")</f>
        <v/>
      </c>
      <c r="H33" s="172"/>
      <c r="I33" s="498" t="str">
        <f>IF(G33="","",VLOOKUP(G33,'G-1 All Habitats'!$B$2:$M$129,10,FALSE))</f>
        <v/>
      </c>
      <c r="J33" s="499" t="str">
        <f>IFERROR(VLOOKUP(I33,'G-1 All Habitats'!$V$3:$W$7,2,FALSE),"")</f>
        <v/>
      </c>
      <c r="K33" s="145"/>
      <c r="L33" s="499" t="str">
        <f>IFERROR(INDEX('G-8 Condition Look up'!$A$3:$H$130,MATCH(G33,'G-8 Condition Look up'!$A$3:$A$130,0),MATCH(K33,'G-8 Condition Look up'!$A$3:$H$3,0)),"")</f>
        <v/>
      </c>
      <c r="M33" s="154"/>
      <c r="N33" s="520" t="str">
        <f>IF(M33="","",IF(VLOOKUP(M33,'G-3 Multipliers'!$L$3:$N$6,2,FALSE)=0,"Spatial Data Missing ⚠",VLOOKUP(M33,'G-3 Multipliers'!$L$3:$N$6,2,FALSE)))</f>
        <v/>
      </c>
      <c r="O33" s="524"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Unacceptable",IF(AND(P33='G-1 All Habitats'!$X$3,W33&gt;0),"Any Loss Unacceptable",H33*J33*L33*O33))))),"Check Data ⚠")</f>
        <v/>
      </c>
      <c r="R33" s="50"/>
      <c r="S33" s="71"/>
      <c r="T33" s="72"/>
      <c r="U33" s="511" t="str">
        <f t="shared" si="2"/>
        <v/>
      </c>
      <c r="V33" s="511" t="str">
        <f t="shared" si="3"/>
        <v/>
      </c>
      <c r="W33" s="511"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5" t="str">
        <f>IFERROR(IF(H33="","",IF(H33-S33-T33=0&lt;0,"Error in Areas ▲",IF(S33+T33&gt;H33,"Error in Areas ▲",IF(AND(P33='G-1 All Habitats'!$X$3,Y33="Yes"),"Alternative Compensation",IF(W33=0,0,IF(P33='G-1 All Habitats'!$X$3,"Unacceptable Loss",Q33-U33-V33)))))),"Check Data ⚠")</f>
        <v/>
      </c>
      <c r="Y33" s="72"/>
      <c r="Z33" s="151"/>
      <c r="AA33" s="152"/>
      <c r="AC33" s="251" t="str">
        <f>IF(P33="","",IF(P33='G-1 All Habitats'!$X$3,H33-S33-T33,"None"))</f>
        <v/>
      </c>
      <c r="AD33" s="252"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3"/>
      <c r="F34" s="203"/>
      <c r="G34" s="250" t="str">
        <f>IFERROR(INDEX('G-1 All Habitats'!$B$3:$B$129,MATCH(F34,'G-1 All Habitats'!$A$3:$A$129,0)),"")</f>
        <v/>
      </c>
      <c r="H34" s="172"/>
      <c r="I34" s="498" t="str">
        <f>IF(G34="","",VLOOKUP(G34,'G-1 All Habitats'!$B$2:$M$129,10,FALSE))</f>
        <v/>
      </c>
      <c r="J34" s="499" t="str">
        <f>IFERROR(VLOOKUP(I34,'G-1 All Habitats'!$V$3:$W$7,2,FALSE),"")</f>
        <v/>
      </c>
      <c r="K34" s="145"/>
      <c r="L34" s="499" t="str">
        <f>IFERROR(INDEX('G-8 Condition Look up'!$A$3:$H$130,MATCH(G34,'G-8 Condition Look up'!$A$3:$A$130,0),MATCH(K34,'G-8 Condition Look up'!$A$3:$H$3,0)),"")</f>
        <v/>
      </c>
      <c r="M34" s="154"/>
      <c r="N34" s="520" t="str">
        <f>IF(M34="","",IF(VLOOKUP(M34,'G-3 Multipliers'!$L$3:$N$6,2,FALSE)=0,"Spatial Data Missing ⚠",VLOOKUP(M34,'G-3 Multipliers'!$L$3:$N$6,2,FALSE)))</f>
        <v/>
      </c>
      <c r="O34" s="524"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Unacceptable",IF(AND(P34='G-1 All Habitats'!$X$3,W34&gt;0),"Any Loss Unacceptable",H34*J34*L34*O34))))),"Check Data ⚠")</f>
        <v/>
      </c>
      <c r="R34" s="50"/>
      <c r="S34" s="71"/>
      <c r="T34" s="72"/>
      <c r="U34" s="511" t="str">
        <f t="shared" si="2"/>
        <v/>
      </c>
      <c r="V34" s="511" t="str">
        <f t="shared" si="3"/>
        <v/>
      </c>
      <c r="W34" s="511"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5" t="str">
        <f>IFERROR(IF(H34="","",IF(H34-S34-T34=0&lt;0,"Error in Areas ▲",IF(S34+T34&gt;H34,"Error in Areas ▲",IF(AND(P34='G-1 All Habitats'!$X$3,Y34="Yes"),"Alternative Compensation",IF(W34=0,0,IF(P34='G-1 All Habitats'!$X$3,"Unacceptable Loss",Q34-U34-V34)))))),"Check Data ⚠")</f>
        <v/>
      </c>
      <c r="Y34" s="72"/>
      <c r="Z34" s="151"/>
      <c r="AA34" s="152"/>
      <c r="AC34" s="251" t="str">
        <f>IF(P34="","",IF(P34='G-1 All Habitats'!$X$3,H34-S34-T34,"None"))</f>
        <v/>
      </c>
      <c r="AD34" s="252"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3"/>
      <c r="F35" s="203"/>
      <c r="G35" s="250" t="str">
        <f>IFERROR(INDEX('G-1 All Habitats'!$B$3:$B$129,MATCH(F35,'G-1 All Habitats'!$A$3:$A$129,0)),"")</f>
        <v/>
      </c>
      <c r="H35" s="172"/>
      <c r="I35" s="498" t="str">
        <f>IF(G35="","",VLOOKUP(G35,'G-1 All Habitats'!$B$2:$M$129,10,FALSE))</f>
        <v/>
      </c>
      <c r="J35" s="499" t="str">
        <f>IFERROR(VLOOKUP(I35,'G-1 All Habitats'!$V$3:$W$7,2,FALSE),"")</f>
        <v/>
      </c>
      <c r="K35" s="145"/>
      <c r="L35" s="499" t="str">
        <f>IFERROR(INDEX('G-8 Condition Look up'!$A$3:$H$130,MATCH(G35,'G-8 Condition Look up'!$A$3:$A$130,0),MATCH(K35,'G-8 Condition Look up'!$A$3:$H$3,0)),"")</f>
        <v/>
      </c>
      <c r="M35" s="154"/>
      <c r="N35" s="520" t="str">
        <f>IF(M35="","",IF(VLOOKUP(M35,'G-3 Multipliers'!$L$3:$N$6,2,FALSE)=0,"Spatial Data Missing ⚠",VLOOKUP(M35,'G-3 Multipliers'!$L$3:$N$6,2,FALSE)))</f>
        <v/>
      </c>
      <c r="O35" s="524"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Unacceptable",IF(AND(P35='G-1 All Habitats'!$X$3,W35&gt;0),"Any Loss Unacceptable",H35*J35*L35*O35))))),"Check Data ⚠")</f>
        <v/>
      </c>
      <c r="R35" s="50"/>
      <c r="S35" s="71"/>
      <c r="T35" s="72"/>
      <c r="U35" s="511" t="str">
        <f t="shared" si="2"/>
        <v/>
      </c>
      <c r="V35" s="511" t="str">
        <f t="shared" si="3"/>
        <v/>
      </c>
      <c r="W35" s="511"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5" t="str">
        <f>IFERROR(IF(H35="","",IF(H35-S35-T35=0&lt;0,"Error in Areas ▲",IF(S35+T35&gt;H35,"Error in Areas ▲",IF(AND(P35='G-1 All Habitats'!$X$3,Y35="Yes"),"Alternative Compensation",IF(W35=0,0,IF(P35='G-1 All Habitats'!$X$3,"Unacceptable Loss",Q35-U35-V35)))))),"Check Data ⚠")</f>
        <v/>
      </c>
      <c r="Y35" s="72"/>
      <c r="Z35" s="151"/>
      <c r="AA35" s="152"/>
      <c r="AC35" s="251" t="str">
        <f>IF(P35="","",IF(P35='G-1 All Habitats'!$X$3,H35-S35-T35,"None"))</f>
        <v/>
      </c>
      <c r="AD35" s="252"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3"/>
      <c r="F36" s="203"/>
      <c r="G36" s="250" t="str">
        <f>IFERROR(INDEX('G-1 All Habitats'!$B$3:$B$129,MATCH(F36,'G-1 All Habitats'!$A$3:$A$129,0)),"")</f>
        <v/>
      </c>
      <c r="H36" s="172"/>
      <c r="I36" s="498" t="str">
        <f>IF(G36="","",VLOOKUP(G36,'G-1 All Habitats'!$B$2:$M$129,10,FALSE))</f>
        <v/>
      </c>
      <c r="J36" s="499" t="str">
        <f>IFERROR(VLOOKUP(I36,'G-1 All Habitats'!$V$3:$W$7,2,FALSE),"")</f>
        <v/>
      </c>
      <c r="K36" s="145"/>
      <c r="L36" s="499" t="str">
        <f>IFERROR(INDEX('G-8 Condition Look up'!$A$3:$H$130,MATCH(G36,'G-8 Condition Look up'!$A$3:$A$130,0),MATCH(K36,'G-8 Condition Look up'!$A$3:$H$3,0)),"")</f>
        <v/>
      </c>
      <c r="M36" s="154"/>
      <c r="N36" s="520" t="str">
        <f>IF(M36="","",IF(VLOOKUP(M36,'G-3 Multipliers'!$L$3:$N$6,2,FALSE)=0,"Spatial Data Missing ⚠",VLOOKUP(M36,'G-3 Multipliers'!$L$3:$N$6,2,FALSE)))</f>
        <v/>
      </c>
      <c r="O36" s="524"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Unacceptable",IF(AND(P36='G-1 All Habitats'!$X$3,W36&gt;0),"Any Loss Unacceptable",H36*J36*L36*O36))))),"Check Data ⚠")</f>
        <v/>
      </c>
      <c r="R36" s="50"/>
      <c r="S36" s="71"/>
      <c r="T36" s="72"/>
      <c r="U36" s="511" t="str">
        <f t="shared" si="2"/>
        <v/>
      </c>
      <c r="V36" s="511" t="str">
        <f t="shared" si="3"/>
        <v/>
      </c>
      <c r="W36" s="511"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5" t="str">
        <f>IFERROR(IF(H36="","",IF(H36-S36-T36=0&lt;0,"Error in Areas ▲",IF(S36+T36&gt;H36,"Error in Areas ▲",IF(AND(P36='G-1 All Habitats'!$X$3,Y36="Yes"),"Alternative Compensation",IF(W36=0,0,IF(P36='G-1 All Habitats'!$X$3,"Unacceptable Loss",Q36-U36-V36)))))),"Check Data ⚠")</f>
        <v/>
      </c>
      <c r="Y36" s="72"/>
      <c r="Z36" s="151"/>
      <c r="AA36" s="152"/>
      <c r="AC36" s="251" t="str">
        <f>IF(P36="","",IF(P36='G-1 All Habitats'!$X$3,H36-S36-T36,"None"))</f>
        <v/>
      </c>
      <c r="AD36" s="252"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3"/>
      <c r="F37" s="203"/>
      <c r="G37" s="250" t="str">
        <f>IFERROR(INDEX('G-1 All Habitats'!$B$3:$B$129,MATCH(F37,'G-1 All Habitats'!$A$3:$A$129,0)),"")</f>
        <v/>
      </c>
      <c r="H37" s="172"/>
      <c r="I37" s="498" t="str">
        <f>IF(G37="","",VLOOKUP(G37,'G-1 All Habitats'!$B$2:$M$129,10,FALSE))</f>
        <v/>
      </c>
      <c r="J37" s="499" t="str">
        <f>IFERROR(VLOOKUP(I37,'G-1 All Habitats'!$V$3:$W$7,2,FALSE),"")</f>
        <v/>
      </c>
      <c r="K37" s="145"/>
      <c r="L37" s="499" t="str">
        <f>IFERROR(INDEX('G-8 Condition Look up'!$A$3:$H$130,MATCH(G37,'G-8 Condition Look up'!$A$3:$A$130,0),MATCH(K37,'G-8 Condition Look up'!$A$3:$H$3,0)),"")</f>
        <v/>
      </c>
      <c r="M37" s="154"/>
      <c r="N37" s="520" t="str">
        <f>IF(M37="","",IF(VLOOKUP(M37,'G-3 Multipliers'!$L$3:$N$6,2,FALSE)=0,"Spatial Data Missing ⚠",VLOOKUP(M37,'G-3 Multipliers'!$L$3:$N$6,2,FALSE)))</f>
        <v/>
      </c>
      <c r="O37" s="524"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Unacceptable",IF(AND(P37='G-1 All Habitats'!$X$3,W37&gt;0),"Any Loss Unacceptable",H37*J37*L37*O37))))),"Check Data ⚠")</f>
        <v/>
      </c>
      <c r="R37" s="50"/>
      <c r="S37" s="71"/>
      <c r="T37" s="72"/>
      <c r="U37" s="511" t="str">
        <f t="shared" si="2"/>
        <v/>
      </c>
      <c r="V37" s="511" t="str">
        <f t="shared" si="3"/>
        <v/>
      </c>
      <c r="W37" s="511"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5" t="str">
        <f>IFERROR(IF(H37="","",IF(H37-S37-T37=0&lt;0,"Error in Areas ▲",IF(S37+T37&gt;H37,"Error in Areas ▲",IF(AND(P37='G-1 All Habitats'!$X$3,Y37="Yes"),"Alternative Compensation",IF(W37=0,0,IF(P37='G-1 All Habitats'!$X$3,"Unacceptable Loss",Q37-U37-V37)))))),"Check Data ⚠")</f>
        <v/>
      </c>
      <c r="Y37" s="72"/>
      <c r="Z37" s="151"/>
      <c r="AA37" s="152"/>
      <c r="AC37" s="251" t="str">
        <f>IF(P37="","",IF(P37='G-1 All Habitats'!$X$3,H37-S37-T37,"None"))</f>
        <v/>
      </c>
      <c r="AD37" s="252"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3"/>
      <c r="F38" s="203"/>
      <c r="G38" s="250" t="str">
        <f>IFERROR(INDEX('G-1 All Habitats'!$B$3:$B$129,MATCH(F38,'G-1 All Habitats'!$A$3:$A$129,0)),"")</f>
        <v/>
      </c>
      <c r="H38" s="172"/>
      <c r="I38" s="498" t="str">
        <f>IF(G38="","",VLOOKUP(G38,'G-1 All Habitats'!$B$2:$M$129,10,FALSE))</f>
        <v/>
      </c>
      <c r="J38" s="499" t="str">
        <f>IFERROR(VLOOKUP(I38,'G-1 All Habitats'!$V$3:$W$7,2,FALSE),"")</f>
        <v/>
      </c>
      <c r="K38" s="145"/>
      <c r="L38" s="499" t="str">
        <f>IFERROR(INDEX('G-8 Condition Look up'!$A$3:$H$130,MATCH(G38,'G-8 Condition Look up'!$A$3:$A$130,0),MATCH(K38,'G-8 Condition Look up'!$A$3:$H$3,0)),"")</f>
        <v/>
      </c>
      <c r="M38" s="154"/>
      <c r="N38" s="520" t="str">
        <f>IF(M38="","",IF(VLOOKUP(M38,'G-3 Multipliers'!$L$3:$N$6,2,FALSE)=0,"Spatial Data Missing ⚠",VLOOKUP(M38,'G-3 Multipliers'!$L$3:$N$6,2,FALSE)))</f>
        <v/>
      </c>
      <c r="O38" s="524"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Unacceptable",IF(AND(P38='G-1 All Habitats'!$X$3,W38&gt;0),"Any Loss Unacceptable",H38*J38*L38*O38))))),"Check Data ⚠")</f>
        <v/>
      </c>
      <c r="R38" s="50"/>
      <c r="S38" s="71"/>
      <c r="T38" s="72"/>
      <c r="U38" s="511" t="str">
        <f t="shared" si="2"/>
        <v/>
      </c>
      <c r="V38" s="511" t="str">
        <f t="shared" si="3"/>
        <v/>
      </c>
      <c r="W38" s="511"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5" t="str">
        <f>IFERROR(IF(H38="","",IF(H38-S38-T38=0&lt;0,"Error in Areas ▲",IF(S38+T38&gt;H38,"Error in Areas ▲",IF(AND(P38='G-1 All Habitats'!$X$3,Y38="Yes"),"Alternative Compensation",IF(W38=0,0,IF(P38='G-1 All Habitats'!$X$3,"Unacceptable Loss",Q38-U38-V38)))))),"Check Data ⚠")</f>
        <v/>
      </c>
      <c r="Y38" s="72"/>
      <c r="Z38" s="151"/>
      <c r="AA38" s="152"/>
      <c r="AC38" s="251" t="str">
        <f>IF(P38="","",IF(P38='G-1 All Habitats'!$X$3,H38-S38-T38,"None"))</f>
        <v/>
      </c>
      <c r="AD38" s="252"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3"/>
      <c r="F39" s="203"/>
      <c r="G39" s="250" t="str">
        <f>IFERROR(INDEX('G-1 All Habitats'!$B$3:$B$129,MATCH(F39,'G-1 All Habitats'!$A$3:$A$129,0)),"")</f>
        <v/>
      </c>
      <c r="H39" s="172"/>
      <c r="I39" s="498" t="str">
        <f>IF(G39="","",VLOOKUP(G39,'G-1 All Habitats'!$B$2:$M$129,10,FALSE))</f>
        <v/>
      </c>
      <c r="J39" s="499" t="str">
        <f>IFERROR(VLOOKUP(I39,'G-1 All Habitats'!$V$3:$W$7,2,FALSE),"")</f>
        <v/>
      </c>
      <c r="K39" s="145"/>
      <c r="L39" s="499" t="str">
        <f>IFERROR(INDEX('G-8 Condition Look up'!$A$3:$H$130,MATCH(G39,'G-8 Condition Look up'!$A$3:$A$130,0),MATCH(K39,'G-8 Condition Look up'!$A$3:$H$3,0)),"")</f>
        <v/>
      </c>
      <c r="M39" s="154"/>
      <c r="N39" s="520" t="str">
        <f>IF(M39="","",IF(VLOOKUP(M39,'G-3 Multipliers'!$L$3:$N$6,2,FALSE)=0,"Spatial Data Missing ⚠",VLOOKUP(M39,'G-3 Multipliers'!$L$3:$N$6,2,FALSE)))</f>
        <v/>
      </c>
      <c r="O39" s="524"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Unacceptable",IF(AND(P39='G-1 All Habitats'!$X$3,W39&gt;0),"Any Loss Unacceptable",H39*J39*L39*O39))))),"Check Data ⚠")</f>
        <v/>
      </c>
      <c r="R39" s="50"/>
      <c r="S39" s="71"/>
      <c r="T39" s="72"/>
      <c r="U39" s="511" t="str">
        <f t="shared" si="2"/>
        <v/>
      </c>
      <c r="V39" s="511" t="str">
        <f t="shared" si="3"/>
        <v/>
      </c>
      <c r="W39" s="511"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5" t="str">
        <f>IFERROR(IF(H39="","",IF(H39-S39-T39=0&lt;0,"Error in Areas ▲",IF(S39+T39&gt;H39,"Error in Areas ▲",IF(AND(P39='G-1 All Habitats'!$X$3,Y39="Yes"),"Alternative Compensation",IF(W39=0,0,IF(P39='G-1 All Habitats'!$X$3,"Unacceptable Loss",Q39-U39-V39)))))),"Check Data ⚠")</f>
        <v/>
      </c>
      <c r="Y39" s="72"/>
      <c r="Z39" s="151"/>
      <c r="AA39" s="152"/>
      <c r="AC39" s="251" t="str">
        <f>IF(P39="","",IF(P39='G-1 All Habitats'!$X$3,H39-S39-T39,"None"))</f>
        <v/>
      </c>
      <c r="AD39" s="252"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3"/>
      <c r="F40" s="203"/>
      <c r="G40" s="250" t="str">
        <f>IFERROR(INDEX('G-1 All Habitats'!$B$3:$B$129,MATCH(F40,'G-1 All Habitats'!$A$3:$A$129,0)),"")</f>
        <v/>
      </c>
      <c r="H40" s="172"/>
      <c r="I40" s="498" t="str">
        <f>IF(G40="","",VLOOKUP(G40,'G-1 All Habitats'!$B$2:$M$129,10,FALSE))</f>
        <v/>
      </c>
      <c r="J40" s="499" t="str">
        <f>IFERROR(VLOOKUP(I40,'G-1 All Habitats'!$V$3:$W$7,2,FALSE),"")</f>
        <v/>
      </c>
      <c r="K40" s="145"/>
      <c r="L40" s="499" t="str">
        <f>IFERROR(INDEX('G-8 Condition Look up'!$A$3:$H$130,MATCH(G40,'G-8 Condition Look up'!$A$3:$A$130,0),MATCH(K40,'G-8 Condition Look up'!$A$3:$H$3,0)),"")</f>
        <v/>
      </c>
      <c r="M40" s="154"/>
      <c r="N40" s="520" t="str">
        <f>IF(M40="","",IF(VLOOKUP(M40,'G-3 Multipliers'!$L$3:$N$6,2,FALSE)=0,"Spatial Data Missing ⚠",VLOOKUP(M40,'G-3 Multipliers'!$L$3:$N$6,2,FALSE)))</f>
        <v/>
      </c>
      <c r="O40" s="524"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Unacceptable",IF(AND(P40='G-1 All Habitats'!$X$3,W40&gt;0),"Any Loss Unacceptable",H40*J40*L40*O40))))),"Check Data ⚠")</f>
        <v/>
      </c>
      <c r="R40" s="50"/>
      <c r="S40" s="71"/>
      <c r="T40" s="72"/>
      <c r="U40" s="511" t="str">
        <f t="shared" si="2"/>
        <v/>
      </c>
      <c r="V40" s="511" t="str">
        <f t="shared" si="3"/>
        <v/>
      </c>
      <c r="W40" s="511"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5" t="str">
        <f>IFERROR(IF(H40="","",IF(H40-S40-T40=0&lt;0,"Error in Areas ▲",IF(S40+T40&gt;H40,"Error in Areas ▲",IF(AND(P40='G-1 All Habitats'!$X$3,Y40="Yes"),"Alternative Compensation",IF(W40=0,0,IF(P40='G-1 All Habitats'!$X$3,"Unacceptable Loss",Q40-U40-V40)))))),"Check Data ⚠")</f>
        <v/>
      </c>
      <c r="Y40" s="72"/>
      <c r="Z40" s="151"/>
      <c r="AA40" s="152"/>
      <c r="AC40" s="251" t="str">
        <f>IF(P40="","",IF(P40='G-1 All Habitats'!$X$3,H40-S40-T40,"None"))</f>
        <v/>
      </c>
      <c r="AD40" s="252"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3"/>
      <c r="F41" s="203"/>
      <c r="G41" s="250" t="str">
        <f>IFERROR(INDEX('G-1 All Habitats'!$B$3:$B$129,MATCH(F41,'G-1 All Habitats'!$A$3:$A$129,0)),"")</f>
        <v/>
      </c>
      <c r="H41" s="172"/>
      <c r="I41" s="498" t="str">
        <f>IF(G41="","",VLOOKUP(G41,'G-1 All Habitats'!$B$2:$M$129,10,FALSE))</f>
        <v/>
      </c>
      <c r="J41" s="499" t="str">
        <f>IFERROR(VLOOKUP(I41,'G-1 All Habitats'!$V$3:$W$7,2,FALSE),"")</f>
        <v/>
      </c>
      <c r="K41" s="145"/>
      <c r="L41" s="499" t="str">
        <f>IFERROR(INDEX('G-8 Condition Look up'!$A$3:$H$130,MATCH(G41,'G-8 Condition Look up'!$A$3:$A$130,0),MATCH(K41,'G-8 Condition Look up'!$A$3:$H$3,0)),"")</f>
        <v/>
      </c>
      <c r="M41" s="154"/>
      <c r="N41" s="520" t="str">
        <f>IF(M41="","",IF(VLOOKUP(M41,'G-3 Multipliers'!$L$3:$N$6,2,FALSE)=0,"Spatial Data Missing ⚠",VLOOKUP(M41,'G-3 Multipliers'!$L$3:$N$6,2,FALSE)))</f>
        <v/>
      </c>
      <c r="O41" s="524"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Unacceptable",IF(AND(P41='G-1 All Habitats'!$X$3,W41&gt;0),"Any Loss Unacceptable",H41*J41*L41*O41))))),"Check Data ⚠")</f>
        <v/>
      </c>
      <c r="R41" s="50"/>
      <c r="S41" s="71"/>
      <c r="T41" s="72"/>
      <c r="U41" s="511" t="str">
        <f t="shared" si="2"/>
        <v/>
      </c>
      <c r="V41" s="511" t="str">
        <f t="shared" si="3"/>
        <v/>
      </c>
      <c r="W41" s="511"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5" t="str">
        <f>IFERROR(IF(H41="","",IF(H41-S41-T41=0&lt;0,"Error in Areas ▲",IF(S41+T41&gt;H41,"Error in Areas ▲",IF(AND(P41='G-1 All Habitats'!$X$3,Y41="Yes"),"Alternative Compensation",IF(W41=0,0,IF(P41='G-1 All Habitats'!$X$3,"Unacceptable Loss",Q41-U41-V41)))))),"Check Data ⚠")</f>
        <v/>
      </c>
      <c r="Y41" s="72"/>
      <c r="Z41" s="151"/>
      <c r="AA41" s="152"/>
      <c r="AC41" s="251" t="str">
        <f>IF(P41="","",IF(P41='G-1 All Habitats'!$X$3,H41-S41-T41,"None"))</f>
        <v/>
      </c>
      <c r="AD41" s="252"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3"/>
      <c r="F42" s="203"/>
      <c r="G42" s="250" t="str">
        <f>IFERROR(INDEX('G-1 All Habitats'!$B$3:$B$129,MATCH(F42,'G-1 All Habitats'!$A$3:$A$129,0)),"")</f>
        <v/>
      </c>
      <c r="H42" s="172"/>
      <c r="I42" s="498" t="str">
        <f>IF(G42="","",VLOOKUP(G42,'G-1 All Habitats'!$B$2:$M$129,10,FALSE))</f>
        <v/>
      </c>
      <c r="J42" s="499" t="str">
        <f>IFERROR(VLOOKUP(I42,'G-1 All Habitats'!$V$3:$W$7,2,FALSE),"")</f>
        <v/>
      </c>
      <c r="K42" s="145"/>
      <c r="L42" s="499" t="str">
        <f>IFERROR(INDEX('G-8 Condition Look up'!$A$3:$H$130,MATCH(G42,'G-8 Condition Look up'!$A$3:$A$130,0),MATCH(K42,'G-8 Condition Look up'!$A$3:$H$3,0)),"")</f>
        <v/>
      </c>
      <c r="M42" s="154"/>
      <c r="N42" s="520" t="str">
        <f>IF(M42="","",IF(VLOOKUP(M42,'G-3 Multipliers'!$L$3:$N$6,2,FALSE)=0,"Spatial Data Missing ⚠",VLOOKUP(M42,'G-3 Multipliers'!$L$3:$N$6,2,FALSE)))</f>
        <v/>
      </c>
      <c r="O42" s="524"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Unacceptable",IF(AND(P42='G-1 All Habitats'!$X$3,W42&gt;0),"Any Loss Unacceptable",H42*J42*L42*O42))))),"Check Data ⚠")</f>
        <v/>
      </c>
      <c r="R42" s="50"/>
      <c r="S42" s="71"/>
      <c r="T42" s="72"/>
      <c r="U42" s="511" t="str">
        <f t="shared" si="2"/>
        <v/>
      </c>
      <c r="V42" s="511" t="str">
        <f t="shared" si="3"/>
        <v/>
      </c>
      <c r="W42" s="511"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5" t="str">
        <f>IFERROR(IF(H42="","",IF(H42-S42-T42=0&lt;0,"Error in Areas ▲",IF(S42+T42&gt;H42,"Error in Areas ▲",IF(AND(P42='G-1 All Habitats'!$X$3,Y42="Yes"),"Alternative Compensation",IF(W42=0,0,IF(P42='G-1 All Habitats'!$X$3,"Unacceptable Loss",Q42-U42-V42)))))),"Check Data ⚠")</f>
        <v/>
      </c>
      <c r="Y42" s="72"/>
      <c r="Z42" s="151"/>
      <c r="AA42" s="152"/>
      <c r="AC42" s="251" t="str">
        <f>IF(P42="","",IF(P42='G-1 All Habitats'!$X$3,H42-S42-T42,"None"))</f>
        <v/>
      </c>
      <c r="AD42" s="252"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3"/>
      <c r="F43" s="203"/>
      <c r="G43" s="250" t="str">
        <f>IFERROR(INDEX('G-1 All Habitats'!$B$3:$B$129,MATCH(F43,'G-1 All Habitats'!$A$3:$A$129,0)),"")</f>
        <v/>
      </c>
      <c r="H43" s="172"/>
      <c r="I43" s="498" t="str">
        <f>IF(G43="","",VLOOKUP(G43,'G-1 All Habitats'!$B$2:$M$129,10,FALSE))</f>
        <v/>
      </c>
      <c r="J43" s="499" t="str">
        <f>IFERROR(VLOOKUP(I43,'G-1 All Habitats'!$V$3:$W$7,2,FALSE),"")</f>
        <v/>
      </c>
      <c r="K43" s="145"/>
      <c r="L43" s="499" t="str">
        <f>IFERROR(INDEX('G-8 Condition Look up'!$A$3:$H$130,MATCH(G43,'G-8 Condition Look up'!$A$3:$A$130,0),MATCH(K43,'G-8 Condition Look up'!$A$3:$H$3,0)),"")</f>
        <v/>
      </c>
      <c r="M43" s="154"/>
      <c r="N43" s="520" t="str">
        <f>IF(M43="","",IF(VLOOKUP(M43,'G-3 Multipliers'!$L$3:$N$6,2,FALSE)=0,"Spatial Data Missing ⚠",VLOOKUP(M43,'G-3 Multipliers'!$L$3:$N$6,2,FALSE)))</f>
        <v/>
      </c>
      <c r="O43" s="524"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Unacceptable",IF(AND(P43='G-1 All Habitats'!$X$3,W43&gt;0),"Any Loss Unacceptable",H43*J43*L43*O43))))),"Check Data ⚠")</f>
        <v/>
      </c>
      <c r="R43" s="50"/>
      <c r="S43" s="71"/>
      <c r="T43" s="72"/>
      <c r="U43" s="511" t="str">
        <f t="shared" si="2"/>
        <v/>
      </c>
      <c r="V43" s="511" t="str">
        <f t="shared" si="3"/>
        <v/>
      </c>
      <c r="W43" s="511"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5" t="str">
        <f>IFERROR(IF(H43="","",IF(H43-S43-T43=0&lt;0,"Error in Areas ▲",IF(S43+T43&gt;H43,"Error in Areas ▲",IF(AND(P43='G-1 All Habitats'!$X$3,Y43="Yes"),"Alternative Compensation",IF(W43=0,0,IF(P43='G-1 All Habitats'!$X$3,"Unacceptable Loss",Q43-U43-V43)))))),"Check Data ⚠")</f>
        <v/>
      </c>
      <c r="Y43" s="72"/>
      <c r="Z43" s="151"/>
      <c r="AA43" s="152"/>
      <c r="AC43" s="251" t="str">
        <f>IF(P43="","",IF(P43='G-1 All Habitats'!$X$3,H43-S43-T43,"None"))</f>
        <v/>
      </c>
      <c r="AD43" s="252"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3"/>
      <c r="F44" s="203"/>
      <c r="G44" s="250" t="str">
        <f>IFERROR(INDEX('G-1 All Habitats'!$B$3:$B$129,MATCH(F44,'G-1 All Habitats'!$A$3:$A$129,0)),"")</f>
        <v/>
      </c>
      <c r="H44" s="172"/>
      <c r="I44" s="498" t="str">
        <f>IF(G44="","",VLOOKUP(G44,'G-1 All Habitats'!$B$2:$M$129,10,FALSE))</f>
        <v/>
      </c>
      <c r="J44" s="499" t="str">
        <f>IFERROR(VLOOKUP(I44,'G-1 All Habitats'!$V$3:$W$7,2,FALSE),"")</f>
        <v/>
      </c>
      <c r="K44" s="145"/>
      <c r="L44" s="499" t="str">
        <f>IFERROR(INDEX('G-8 Condition Look up'!$A$3:$H$130,MATCH(G44,'G-8 Condition Look up'!$A$3:$A$130,0),MATCH(K44,'G-8 Condition Look up'!$A$3:$H$3,0)),"")</f>
        <v/>
      </c>
      <c r="M44" s="154"/>
      <c r="N44" s="520" t="str">
        <f>IF(M44="","",IF(VLOOKUP(M44,'G-3 Multipliers'!$L$3:$N$6,2,FALSE)=0,"Spatial Data Missing ⚠",VLOOKUP(M44,'G-3 Multipliers'!$L$3:$N$6,2,FALSE)))</f>
        <v/>
      </c>
      <c r="O44" s="524"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Unacceptable",IF(AND(P44='G-1 All Habitats'!$X$3,W44&gt;0),"Any Loss Unacceptable",H44*J44*L44*O44))))),"Check Data ⚠")</f>
        <v/>
      </c>
      <c r="R44" s="50"/>
      <c r="S44" s="71"/>
      <c r="T44" s="72"/>
      <c r="U44" s="511" t="str">
        <f t="shared" si="2"/>
        <v/>
      </c>
      <c r="V44" s="511" t="str">
        <f t="shared" si="3"/>
        <v/>
      </c>
      <c r="W44" s="511"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5" t="str">
        <f>IFERROR(IF(H44="","",IF(H44-S44-T44=0&lt;0,"Error in Areas ▲",IF(S44+T44&gt;H44,"Error in Areas ▲",IF(AND(P44='G-1 All Habitats'!$X$3,Y44="Yes"),"Alternative Compensation",IF(W44=0,0,IF(P44='G-1 All Habitats'!$X$3,"Unacceptable Loss",Q44-U44-V44)))))),"Check Data ⚠")</f>
        <v/>
      </c>
      <c r="Y44" s="72"/>
      <c r="Z44" s="151"/>
      <c r="AA44" s="152"/>
      <c r="AC44" s="251" t="str">
        <f>IF(P44="","",IF(P44='G-1 All Habitats'!$X$3,H44-S44-T44,"None"))</f>
        <v/>
      </c>
      <c r="AD44" s="252"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3"/>
      <c r="F45" s="203"/>
      <c r="G45" s="250" t="str">
        <f>IFERROR(INDEX('G-1 All Habitats'!$B$3:$B$129,MATCH(F45,'G-1 All Habitats'!$A$3:$A$129,0)),"")</f>
        <v/>
      </c>
      <c r="H45" s="172"/>
      <c r="I45" s="498" t="str">
        <f>IF(G45="","",VLOOKUP(G45,'G-1 All Habitats'!$B$2:$M$129,10,FALSE))</f>
        <v/>
      </c>
      <c r="J45" s="499" t="str">
        <f>IFERROR(VLOOKUP(I45,'G-1 All Habitats'!$V$3:$W$7,2,FALSE),"")</f>
        <v/>
      </c>
      <c r="K45" s="145"/>
      <c r="L45" s="499" t="str">
        <f>IFERROR(INDEX('G-8 Condition Look up'!$A$3:$H$130,MATCH(G45,'G-8 Condition Look up'!$A$3:$A$130,0),MATCH(K45,'G-8 Condition Look up'!$A$3:$H$3,0)),"")</f>
        <v/>
      </c>
      <c r="M45" s="154"/>
      <c r="N45" s="520" t="str">
        <f>IF(M45="","",IF(VLOOKUP(M45,'G-3 Multipliers'!$L$3:$N$6,2,FALSE)=0,"Spatial Data Missing ⚠",VLOOKUP(M45,'G-3 Multipliers'!$L$3:$N$6,2,FALSE)))</f>
        <v/>
      </c>
      <c r="O45" s="524"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Unacceptable",IF(AND(P45='G-1 All Habitats'!$X$3,W45&gt;0),"Any Loss Unacceptable",H45*J45*L45*O45))))),"Check Data ⚠")</f>
        <v/>
      </c>
      <c r="R45" s="50"/>
      <c r="S45" s="71"/>
      <c r="T45" s="72"/>
      <c r="U45" s="511" t="str">
        <f t="shared" si="2"/>
        <v/>
      </c>
      <c r="V45" s="511" t="str">
        <f t="shared" si="3"/>
        <v/>
      </c>
      <c r="W45" s="511"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5" t="str">
        <f>IFERROR(IF(H45="","",IF(H45-S45-T45=0&lt;0,"Error in Areas ▲",IF(S45+T45&gt;H45,"Error in Areas ▲",IF(AND(P45='G-1 All Habitats'!$X$3,Y45="Yes"),"Alternative Compensation",IF(W45=0,0,IF(P45='G-1 All Habitats'!$X$3,"Unacceptable Loss",Q45-U45-V45)))))),"Check Data ⚠")</f>
        <v/>
      </c>
      <c r="Y45" s="72"/>
      <c r="Z45" s="151"/>
      <c r="AA45" s="152"/>
      <c r="AC45" s="251" t="str">
        <f>IF(P45="","",IF(P45='G-1 All Habitats'!$X$3,H45-S45-T45,"None"))</f>
        <v/>
      </c>
      <c r="AD45" s="252"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3"/>
      <c r="F46" s="203"/>
      <c r="G46" s="250" t="str">
        <f>IFERROR(INDEX('G-1 All Habitats'!$B$3:$B$129,MATCH(F46,'G-1 All Habitats'!$A$3:$A$129,0)),"")</f>
        <v/>
      </c>
      <c r="H46" s="172"/>
      <c r="I46" s="498" t="str">
        <f>IF(G46="","",VLOOKUP(G46,'G-1 All Habitats'!$B$2:$M$129,10,FALSE))</f>
        <v/>
      </c>
      <c r="J46" s="499" t="str">
        <f>IFERROR(VLOOKUP(I46,'G-1 All Habitats'!$V$3:$W$7,2,FALSE),"")</f>
        <v/>
      </c>
      <c r="K46" s="145"/>
      <c r="L46" s="499" t="str">
        <f>IFERROR(INDEX('G-8 Condition Look up'!$A$3:$H$130,MATCH(G46,'G-8 Condition Look up'!$A$3:$A$130,0),MATCH(K46,'G-8 Condition Look up'!$A$3:$H$3,0)),"")</f>
        <v/>
      </c>
      <c r="M46" s="154"/>
      <c r="N46" s="520" t="str">
        <f>IF(M46="","",IF(VLOOKUP(M46,'G-3 Multipliers'!$L$3:$N$6,2,FALSE)=0,"Spatial Data Missing ⚠",VLOOKUP(M46,'G-3 Multipliers'!$L$3:$N$6,2,FALSE)))</f>
        <v/>
      </c>
      <c r="O46" s="524"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Unacceptable",IF(AND(P46='G-1 All Habitats'!$X$3,W46&gt;0),"Any Loss Unacceptable",H46*J46*L46*O46))))),"Check Data ⚠")</f>
        <v/>
      </c>
      <c r="R46" s="50"/>
      <c r="S46" s="71"/>
      <c r="T46" s="72"/>
      <c r="U46" s="511" t="str">
        <f t="shared" si="2"/>
        <v/>
      </c>
      <c r="V46" s="511" t="str">
        <f t="shared" si="3"/>
        <v/>
      </c>
      <c r="W46" s="511"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5" t="str">
        <f>IFERROR(IF(H46="","",IF(H46-S46-T46=0&lt;0,"Error in Areas ▲",IF(S46+T46&gt;H46,"Error in Areas ▲",IF(AND(P46='G-1 All Habitats'!$X$3,Y46="Yes"),"Alternative Compensation",IF(W46=0,0,IF(P46='G-1 All Habitats'!$X$3,"Unacceptable Loss",Q46-U46-V46)))))),"Check Data ⚠")</f>
        <v/>
      </c>
      <c r="Y46" s="72"/>
      <c r="Z46" s="151"/>
      <c r="AA46" s="152"/>
      <c r="AC46" s="251" t="str">
        <f>IF(P46="","",IF(P46='G-1 All Habitats'!$X$3,H46-S46-T46,"None"))</f>
        <v/>
      </c>
      <c r="AD46" s="252"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3"/>
      <c r="F47" s="203"/>
      <c r="G47" s="250" t="str">
        <f>IFERROR(INDEX('G-1 All Habitats'!$B$3:$B$129,MATCH(F47,'G-1 All Habitats'!$A$3:$A$129,0)),"")</f>
        <v/>
      </c>
      <c r="H47" s="172"/>
      <c r="I47" s="498" t="str">
        <f>IF(G47="","",VLOOKUP(G47,'G-1 All Habitats'!$B$2:$M$129,10,FALSE))</f>
        <v/>
      </c>
      <c r="J47" s="499" t="str">
        <f>IFERROR(VLOOKUP(I47,'G-1 All Habitats'!$V$3:$W$7,2,FALSE),"")</f>
        <v/>
      </c>
      <c r="K47" s="145"/>
      <c r="L47" s="499" t="str">
        <f>IFERROR(INDEX('G-8 Condition Look up'!$A$3:$H$130,MATCH(G47,'G-8 Condition Look up'!$A$3:$A$130,0),MATCH(K47,'G-8 Condition Look up'!$A$3:$H$3,0)),"")</f>
        <v/>
      </c>
      <c r="M47" s="154"/>
      <c r="N47" s="520" t="str">
        <f>IF(M47="","",IF(VLOOKUP(M47,'G-3 Multipliers'!$L$3:$N$6,2,FALSE)=0,"Spatial Data Missing ⚠",VLOOKUP(M47,'G-3 Multipliers'!$L$3:$N$6,2,FALSE)))</f>
        <v/>
      </c>
      <c r="O47" s="524"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Unacceptable",IF(AND(P47='G-1 All Habitats'!$X$3,W47&gt;0),"Any Loss Unacceptable",H47*J47*L47*O47))))),"Check Data ⚠")</f>
        <v/>
      </c>
      <c r="R47" s="50"/>
      <c r="S47" s="71"/>
      <c r="T47" s="72"/>
      <c r="U47" s="511" t="str">
        <f t="shared" si="2"/>
        <v/>
      </c>
      <c r="V47" s="511" t="str">
        <f t="shared" si="3"/>
        <v/>
      </c>
      <c r="W47" s="511"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5" t="str">
        <f>IFERROR(IF(H47="","",IF(H47-S47-T47=0&lt;0,"Error in Areas ▲",IF(S47+T47&gt;H47,"Error in Areas ▲",IF(AND(P47='G-1 All Habitats'!$X$3,Y47="Yes"),"Alternative Compensation",IF(W47=0,0,IF(P47='G-1 All Habitats'!$X$3,"Unacceptable Loss",Q47-U47-V47)))))),"Check Data ⚠")</f>
        <v/>
      </c>
      <c r="Y47" s="72"/>
      <c r="Z47" s="151"/>
      <c r="AA47" s="152"/>
      <c r="AC47" s="251" t="str">
        <f>IF(P47="","",IF(P47='G-1 All Habitats'!$X$3,H47-S47-T47,"None"))</f>
        <v/>
      </c>
      <c r="AD47" s="252"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3"/>
      <c r="F48" s="203"/>
      <c r="G48" s="250" t="str">
        <f>IFERROR(INDEX('G-1 All Habitats'!$B$3:$B$129,MATCH(F48,'G-1 All Habitats'!$A$3:$A$129,0)),"")</f>
        <v/>
      </c>
      <c r="H48" s="172"/>
      <c r="I48" s="498" t="str">
        <f>IF(G48="","",VLOOKUP(G48,'G-1 All Habitats'!$B$2:$M$129,10,FALSE))</f>
        <v/>
      </c>
      <c r="J48" s="499" t="str">
        <f>IFERROR(VLOOKUP(I48,'G-1 All Habitats'!$V$3:$W$7,2,FALSE),"")</f>
        <v/>
      </c>
      <c r="K48" s="145"/>
      <c r="L48" s="499" t="str">
        <f>IFERROR(INDEX('G-8 Condition Look up'!$A$3:$H$130,MATCH(G48,'G-8 Condition Look up'!$A$3:$A$130,0),MATCH(K48,'G-8 Condition Look up'!$A$3:$H$3,0)),"")</f>
        <v/>
      </c>
      <c r="M48" s="154"/>
      <c r="N48" s="520" t="str">
        <f>IF(M48="","",IF(VLOOKUP(M48,'G-3 Multipliers'!$L$3:$N$6,2,FALSE)=0,"Spatial Data Missing ⚠",VLOOKUP(M48,'G-3 Multipliers'!$L$3:$N$6,2,FALSE)))</f>
        <v/>
      </c>
      <c r="O48" s="524"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Unacceptable",IF(AND(P48='G-1 All Habitats'!$X$3,W48&gt;0),"Any Loss Unacceptable",H48*J48*L48*O48))))),"Check Data ⚠")</f>
        <v/>
      </c>
      <c r="R48" s="50"/>
      <c r="S48" s="71"/>
      <c r="T48" s="72"/>
      <c r="U48" s="511" t="str">
        <f t="shared" si="2"/>
        <v/>
      </c>
      <c r="V48" s="511" t="str">
        <f t="shared" si="3"/>
        <v/>
      </c>
      <c r="W48" s="511"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5" t="str">
        <f>IFERROR(IF(H48="","",IF(H48-S48-T48=0&lt;0,"Error in Areas ▲",IF(S48+T48&gt;H48,"Error in Areas ▲",IF(AND(P48='G-1 All Habitats'!$X$3,Y48="Yes"),"Alternative Compensation",IF(W48=0,0,IF(P48='G-1 All Habitats'!$X$3,"Unacceptable Loss",Q48-U48-V48)))))),"Check Data ⚠")</f>
        <v/>
      </c>
      <c r="Y48" s="72"/>
      <c r="Z48" s="151"/>
      <c r="AA48" s="152"/>
      <c r="AC48" s="251" t="str">
        <f>IF(P48="","",IF(P48='G-1 All Habitats'!$X$3,H48-S48-T48,"None"))</f>
        <v/>
      </c>
      <c r="AD48" s="252"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3"/>
      <c r="F49" s="203"/>
      <c r="G49" s="250" t="str">
        <f>IFERROR(INDEX('G-1 All Habitats'!$B$3:$B$129,MATCH(F49,'G-1 All Habitats'!$A$3:$A$129,0)),"")</f>
        <v/>
      </c>
      <c r="H49" s="172"/>
      <c r="I49" s="498" t="str">
        <f>IF(G49="","",VLOOKUP(G49,'G-1 All Habitats'!$B$2:$M$129,10,FALSE))</f>
        <v/>
      </c>
      <c r="J49" s="499" t="str">
        <f>IFERROR(VLOOKUP(I49,'G-1 All Habitats'!$V$3:$W$7,2,FALSE),"")</f>
        <v/>
      </c>
      <c r="K49" s="145"/>
      <c r="L49" s="499" t="str">
        <f>IFERROR(INDEX('G-8 Condition Look up'!$A$3:$H$130,MATCH(G49,'G-8 Condition Look up'!$A$3:$A$130,0),MATCH(K49,'G-8 Condition Look up'!$A$3:$H$3,0)),"")</f>
        <v/>
      </c>
      <c r="M49" s="154"/>
      <c r="N49" s="520" t="str">
        <f>IF(M49="","",IF(VLOOKUP(M49,'G-3 Multipliers'!$L$3:$N$6,2,FALSE)=0,"Spatial Data Missing ⚠",VLOOKUP(M49,'G-3 Multipliers'!$L$3:$N$6,2,FALSE)))</f>
        <v/>
      </c>
      <c r="O49" s="524"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Unacceptable",IF(AND(P49='G-1 All Habitats'!$X$3,W49&gt;0),"Any Loss Unacceptable",H49*J49*L49*O49))))),"Check Data ⚠")</f>
        <v/>
      </c>
      <c r="R49" s="50"/>
      <c r="S49" s="71"/>
      <c r="T49" s="72"/>
      <c r="U49" s="511" t="str">
        <f t="shared" si="2"/>
        <v/>
      </c>
      <c r="V49" s="511" t="str">
        <f t="shared" si="3"/>
        <v/>
      </c>
      <c r="W49" s="511"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5" t="str">
        <f>IFERROR(IF(H49="","",IF(H49-S49-T49=0&lt;0,"Error in Areas ▲",IF(S49+T49&gt;H49,"Error in Areas ▲",IF(AND(P49='G-1 All Habitats'!$X$3,Y49="Yes"),"Alternative Compensation",IF(W49=0,0,IF(P49='G-1 All Habitats'!$X$3,"Unacceptable Loss",Q49-U49-V49)))))),"Check Data ⚠")</f>
        <v/>
      </c>
      <c r="Y49" s="72"/>
      <c r="Z49" s="151"/>
      <c r="AA49" s="152"/>
      <c r="AC49" s="251" t="str">
        <f>IF(P49="","",IF(P49='G-1 All Habitats'!$X$3,H49-S49-T49,"None"))</f>
        <v/>
      </c>
      <c r="AD49" s="252"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3"/>
      <c r="F50" s="203"/>
      <c r="G50" s="250" t="str">
        <f>IFERROR(INDEX('G-1 All Habitats'!$B$3:$B$129,MATCH(F50,'G-1 All Habitats'!$A$3:$A$129,0)),"")</f>
        <v/>
      </c>
      <c r="H50" s="172"/>
      <c r="I50" s="498" t="str">
        <f>IF(G50="","",VLOOKUP(G50,'G-1 All Habitats'!$B$2:$M$129,10,FALSE))</f>
        <v/>
      </c>
      <c r="J50" s="499" t="str">
        <f>IFERROR(VLOOKUP(I50,'G-1 All Habitats'!$V$3:$W$7,2,FALSE),"")</f>
        <v/>
      </c>
      <c r="K50" s="145"/>
      <c r="L50" s="499" t="str">
        <f>IFERROR(INDEX('G-8 Condition Look up'!$A$3:$H$130,MATCH(G50,'G-8 Condition Look up'!$A$3:$A$130,0),MATCH(K50,'G-8 Condition Look up'!$A$3:$H$3,0)),"")</f>
        <v/>
      </c>
      <c r="M50" s="154"/>
      <c r="N50" s="520" t="str">
        <f>IF(M50="","",IF(VLOOKUP(M50,'G-3 Multipliers'!$L$3:$N$6,2,FALSE)=0,"Spatial Data Missing ⚠",VLOOKUP(M50,'G-3 Multipliers'!$L$3:$N$6,2,FALSE)))</f>
        <v/>
      </c>
      <c r="O50" s="524"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Unacceptable",IF(AND(P50='G-1 All Habitats'!$X$3,W50&gt;0),"Any Loss Unacceptable",H50*J50*L50*O50))))),"Check Data ⚠")</f>
        <v/>
      </c>
      <c r="R50" s="50"/>
      <c r="S50" s="71"/>
      <c r="T50" s="72"/>
      <c r="U50" s="511" t="str">
        <f t="shared" si="2"/>
        <v/>
      </c>
      <c r="V50" s="511" t="str">
        <f t="shared" si="3"/>
        <v/>
      </c>
      <c r="W50" s="511"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5" t="str">
        <f>IFERROR(IF(H50="","",IF(H50-S50-T50=0&lt;0,"Error in Areas ▲",IF(S50+T50&gt;H50,"Error in Areas ▲",IF(AND(P50='G-1 All Habitats'!$X$3,Y50="Yes"),"Alternative Compensation",IF(W50=0,0,IF(P50='G-1 All Habitats'!$X$3,"Unacceptable Loss",Q50-U50-V50)))))),"Check Data ⚠")</f>
        <v/>
      </c>
      <c r="Y50" s="72"/>
      <c r="Z50" s="151"/>
      <c r="AA50" s="152"/>
      <c r="AC50" s="251" t="str">
        <f>IF(P50="","",IF(P50='G-1 All Habitats'!$X$3,H50-S50-T50,"None"))</f>
        <v/>
      </c>
      <c r="AD50" s="252"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3"/>
      <c r="F51" s="203"/>
      <c r="G51" s="250" t="str">
        <f>IFERROR(INDEX('G-1 All Habitats'!$B$3:$B$129,MATCH(F51,'G-1 All Habitats'!$A$3:$A$129,0)),"")</f>
        <v/>
      </c>
      <c r="H51" s="172"/>
      <c r="I51" s="498" t="str">
        <f>IF(G51="","",VLOOKUP(G51,'G-1 All Habitats'!$B$2:$M$129,10,FALSE))</f>
        <v/>
      </c>
      <c r="J51" s="499" t="str">
        <f>IFERROR(VLOOKUP(I51,'G-1 All Habitats'!$V$3:$W$7,2,FALSE),"")</f>
        <v/>
      </c>
      <c r="K51" s="145"/>
      <c r="L51" s="499" t="str">
        <f>IFERROR(INDEX('G-8 Condition Look up'!$A$3:$H$130,MATCH(G51,'G-8 Condition Look up'!$A$3:$A$130,0),MATCH(K51,'G-8 Condition Look up'!$A$3:$H$3,0)),"")</f>
        <v/>
      </c>
      <c r="M51" s="154"/>
      <c r="N51" s="520" t="str">
        <f>IF(M51="","",IF(VLOOKUP(M51,'G-3 Multipliers'!$L$3:$N$6,2,FALSE)=0,"Spatial Data Missing ⚠",VLOOKUP(M51,'G-3 Multipliers'!$L$3:$N$6,2,FALSE)))</f>
        <v/>
      </c>
      <c r="O51" s="524"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Unacceptable",IF(AND(P51='G-1 All Habitats'!$X$3,W51&gt;0),"Any Loss Unacceptable",H51*J51*L51*O51))))),"Check Data ⚠")</f>
        <v/>
      </c>
      <c r="R51" s="50"/>
      <c r="S51" s="71"/>
      <c r="T51" s="72"/>
      <c r="U51" s="511" t="str">
        <f t="shared" si="2"/>
        <v/>
      </c>
      <c r="V51" s="511" t="str">
        <f t="shared" si="3"/>
        <v/>
      </c>
      <c r="W51" s="511"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5" t="str">
        <f>IFERROR(IF(H51="","",IF(H51-S51-T51=0&lt;0,"Error in Areas ▲",IF(S51+T51&gt;H51,"Error in Areas ▲",IF(AND(P51='G-1 All Habitats'!$X$3,Y51="Yes"),"Alternative Compensation",IF(W51=0,0,IF(P51='G-1 All Habitats'!$X$3,"Unacceptable Loss",Q51-U51-V51)))))),"Check Data ⚠")</f>
        <v/>
      </c>
      <c r="Y51" s="72"/>
      <c r="Z51" s="151"/>
      <c r="AA51" s="152"/>
      <c r="AC51" s="251" t="str">
        <f>IF(P51="","",IF(P51='G-1 All Habitats'!$X$3,H51-S51-T51,"None"))</f>
        <v/>
      </c>
      <c r="AD51" s="252"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3"/>
      <c r="F52" s="203"/>
      <c r="G52" s="250" t="str">
        <f>IFERROR(INDEX('G-1 All Habitats'!$B$3:$B$129,MATCH(F52,'G-1 All Habitats'!$A$3:$A$129,0)),"")</f>
        <v/>
      </c>
      <c r="H52" s="172"/>
      <c r="I52" s="498" t="str">
        <f>IF(G52="","",VLOOKUP(G52,'G-1 All Habitats'!$B$2:$M$129,10,FALSE))</f>
        <v/>
      </c>
      <c r="J52" s="499" t="str">
        <f>IFERROR(VLOOKUP(I52,'G-1 All Habitats'!$V$3:$W$7,2,FALSE),"")</f>
        <v/>
      </c>
      <c r="K52" s="145"/>
      <c r="L52" s="499" t="str">
        <f>IFERROR(INDEX('G-8 Condition Look up'!$A$3:$H$130,MATCH(G52,'G-8 Condition Look up'!$A$3:$A$130,0),MATCH(K52,'G-8 Condition Look up'!$A$3:$H$3,0)),"")</f>
        <v/>
      </c>
      <c r="M52" s="154"/>
      <c r="N52" s="520" t="str">
        <f>IF(M52="","",IF(VLOOKUP(M52,'G-3 Multipliers'!$L$3:$N$6,2,FALSE)=0,"Spatial Data Missing ⚠",VLOOKUP(M52,'G-3 Multipliers'!$L$3:$N$6,2,FALSE)))</f>
        <v/>
      </c>
      <c r="O52" s="524"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Unacceptable",IF(AND(P52='G-1 All Habitats'!$X$3,W52&gt;0),"Any Loss Unacceptable",H52*J52*L52*O52))))),"Check Data ⚠")</f>
        <v/>
      </c>
      <c r="R52" s="50"/>
      <c r="S52" s="71"/>
      <c r="T52" s="72"/>
      <c r="U52" s="511" t="str">
        <f t="shared" si="2"/>
        <v/>
      </c>
      <c r="V52" s="511" t="str">
        <f t="shared" si="3"/>
        <v/>
      </c>
      <c r="W52" s="511"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5" t="str">
        <f>IFERROR(IF(H52="","",IF(H52-S52-T52=0&lt;0,"Error in Areas ▲",IF(S52+T52&gt;H52,"Error in Areas ▲",IF(AND(P52='G-1 All Habitats'!$X$3,Y52="Yes"),"Alternative Compensation",IF(W52=0,0,IF(P52='G-1 All Habitats'!$X$3,"Unacceptable Loss",Q52-U52-V52)))))),"Check Data ⚠")</f>
        <v/>
      </c>
      <c r="Y52" s="72"/>
      <c r="Z52" s="151"/>
      <c r="AA52" s="152"/>
      <c r="AC52" s="251" t="str">
        <f>IF(P52="","",IF(P52='G-1 All Habitats'!$X$3,H52-S52-T52,"None"))</f>
        <v/>
      </c>
      <c r="AD52" s="252"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3"/>
      <c r="F53" s="203"/>
      <c r="G53" s="250" t="str">
        <f>IFERROR(INDEX('G-1 All Habitats'!$B$3:$B$129,MATCH(F53,'G-1 All Habitats'!$A$3:$A$129,0)),"")</f>
        <v/>
      </c>
      <c r="H53" s="172"/>
      <c r="I53" s="498" t="str">
        <f>IF(G53="","",VLOOKUP(G53,'G-1 All Habitats'!$B$2:$M$129,10,FALSE))</f>
        <v/>
      </c>
      <c r="J53" s="499" t="str">
        <f>IFERROR(VLOOKUP(I53,'G-1 All Habitats'!$V$3:$W$7,2,FALSE),"")</f>
        <v/>
      </c>
      <c r="K53" s="145"/>
      <c r="L53" s="499" t="str">
        <f>IFERROR(INDEX('G-8 Condition Look up'!$A$3:$H$130,MATCH(G53,'G-8 Condition Look up'!$A$3:$A$130,0),MATCH(K53,'G-8 Condition Look up'!$A$3:$H$3,0)),"")</f>
        <v/>
      </c>
      <c r="M53" s="154"/>
      <c r="N53" s="520" t="str">
        <f>IF(M53="","",IF(VLOOKUP(M53,'G-3 Multipliers'!$L$3:$N$6,2,FALSE)=0,"Spatial Data Missing ⚠",VLOOKUP(M53,'G-3 Multipliers'!$L$3:$N$6,2,FALSE)))</f>
        <v/>
      </c>
      <c r="O53" s="524"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Unacceptable",IF(AND(P53='G-1 All Habitats'!$X$3,W53&gt;0),"Any Loss Unacceptable",H53*J53*L53*O53))))),"Check Data ⚠")</f>
        <v/>
      </c>
      <c r="R53" s="50"/>
      <c r="S53" s="71"/>
      <c r="T53" s="72"/>
      <c r="U53" s="511" t="str">
        <f t="shared" si="2"/>
        <v/>
      </c>
      <c r="V53" s="511" t="str">
        <f t="shared" si="3"/>
        <v/>
      </c>
      <c r="W53" s="511"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5" t="str">
        <f>IFERROR(IF(H53="","",IF(H53-S53-T53=0&lt;0,"Error in Areas ▲",IF(S53+T53&gt;H53,"Error in Areas ▲",IF(AND(P53='G-1 All Habitats'!$X$3,Y53="Yes"),"Alternative Compensation",IF(W53=0,0,IF(P53='G-1 All Habitats'!$X$3,"Unacceptable Loss",Q53-U53-V53)))))),"Check Data ⚠")</f>
        <v/>
      </c>
      <c r="Y53" s="72"/>
      <c r="Z53" s="151"/>
      <c r="AA53" s="152"/>
      <c r="AC53" s="251" t="str">
        <f>IF(P53="","",IF(P53='G-1 All Habitats'!$X$3,H53-S53-T53,"None"))</f>
        <v/>
      </c>
      <c r="AD53" s="252"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3"/>
      <c r="F54" s="203"/>
      <c r="G54" s="250" t="str">
        <f>IFERROR(INDEX('G-1 All Habitats'!$B$3:$B$129,MATCH(F54,'G-1 All Habitats'!$A$3:$A$129,0)),"")</f>
        <v/>
      </c>
      <c r="H54" s="172"/>
      <c r="I54" s="498" t="str">
        <f>IF(G54="","",VLOOKUP(G54,'G-1 All Habitats'!$B$2:$M$129,10,FALSE))</f>
        <v/>
      </c>
      <c r="J54" s="499" t="str">
        <f>IFERROR(VLOOKUP(I54,'G-1 All Habitats'!$V$3:$W$7,2,FALSE),"")</f>
        <v/>
      </c>
      <c r="K54" s="145"/>
      <c r="L54" s="499" t="str">
        <f>IFERROR(INDEX('G-8 Condition Look up'!$A$3:$H$130,MATCH(G54,'G-8 Condition Look up'!$A$3:$A$130,0),MATCH(K54,'G-8 Condition Look up'!$A$3:$H$3,0)),"")</f>
        <v/>
      </c>
      <c r="M54" s="154"/>
      <c r="N54" s="520" t="str">
        <f>IF(M54="","",IF(VLOOKUP(M54,'G-3 Multipliers'!$L$3:$N$6,2,FALSE)=0,"Spatial Data Missing ⚠",VLOOKUP(M54,'G-3 Multipliers'!$L$3:$N$6,2,FALSE)))</f>
        <v/>
      </c>
      <c r="O54" s="524"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Unacceptable",IF(AND(P54='G-1 All Habitats'!$X$3,W54&gt;0),"Any Loss Unacceptable",H54*J54*L54*O54))))),"Check Data ⚠")</f>
        <v/>
      </c>
      <c r="R54" s="50"/>
      <c r="S54" s="71"/>
      <c r="T54" s="72"/>
      <c r="U54" s="511" t="str">
        <f t="shared" si="2"/>
        <v/>
      </c>
      <c r="V54" s="511" t="str">
        <f t="shared" si="3"/>
        <v/>
      </c>
      <c r="W54" s="511"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5" t="str">
        <f>IFERROR(IF(H54="","",IF(H54-S54-T54=0&lt;0,"Error in Areas ▲",IF(S54+T54&gt;H54,"Error in Areas ▲",IF(AND(P54='G-1 All Habitats'!$X$3,Y54="Yes"),"Alternative Compensation",IF(W54=0,0,IF(P54='G-1 All Habitats'!$X$3,"Unacceptable Loss",Q54-U54-V54)))))),"Check Data ⚠")</f>
        <v/>
      </c>
      <c r="Y54" s="72"/>
      <c r="Z54" s="151"/>
      <c r="AA54" s="152"/>
      <c r="AC54" s="251" t="str">
        <f>IF(P54="","",IF(P54='G-1 All Habitats'!$X$3,H54-S54-T54,"None"))</f>
        <v/>
      </c>
      <c r="AD54" s="252"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3"/>
      <c r="F55" s="203"/>
      <c r="G55" s="250" t="str">
        <f>IFERROR(INDEX('G-1 All Habitats'!$B$3:$B$129,MATCH(F55,'G-1 All Habitats'!$A$3:$A$129,0)),"")</f>
        <v/>
      </c>
      <c r="H55" s="172"/>
      <c r="I55" s="498" t="str">
        <f>IF(G55="","",VLOOKUP(G55,'G-1 All Habitats'!$B$2:$M$129,10,FALSE))</f>
        <v/>
      </c>
      <c r="J55" s="499" t="str">
        <f>IFERROR(VLOOKUP(I55,'G-1 All Habitats'!$V$3:$W$7,2,FALSE),"")</f>
        <v/>
      </c>
      <c r="K55" s="145"/>
      <c r="L55" s="499" t="str">
        <f>IFERROR(INDEX('G-8 Condition Look up'!$A$3:$H$130,MATCH(G55,'G-8 Condition Look up'!$A$3:$A$130,0),MATCH(K55,'G-8 Condition Look up'!$A$3:$H$3,0)),"")</f>
        <v/>
      </c>
      <c r="M55" s="154"/>
      <c r="N55" s="520" t="str">
        <f>IF(M55="","",IF(VLOOKUP(M55,'G-3 Multipliers'!$L$3:$N$6,2,FALSE)=0,"Spatial Data Missing ⚠",VLOOKUP(M55,'G-3 Multipliers'!$L$3:$N$6,2,FALSE)))</f>
        <v/>
      </c>
      <c r="O55" s="524"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Unacceptable",IF(AND(P55='G-1 All Habitats'!$X$3,W55&gt;0),"Any Loss Unacceptable",H55*J55*L55*O55))))),"Check Data ⚠")</f>
        <v/>
      </c>
      <c r="R55" s="50"/>
      <c r="S55" s="71"/>
      <c r="T55" s="72"/>
      <c r="U55" s="511" t="str">
        <f t="shared" si="2"/>
        <v/>
      </c>
      <c r="V55" s="511" t="str">
        <f t="shared" si="3"/>
        <v/>
      </c>
      <c r="W55" s="511"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5" t="str">
        <f>IFERROR(IF(H55="","",IF(H55-S55-T55=0&lt;0,"Error in Areas ▲",IF(S55+T55&gt;H55,"Error in Areas ▲",IF(AND(P55='G-1 All Habitats'!$X$3,Y55="Yes"),"Alternative Compensation",IF(W55=0,0,IF(P55='G-1 All Habitats'!$X$3,"Unacceptable Loss",Q55-U55-V55)))))),"Check Data ⚠")</f>
        <v/>
      </c>
      <c r="Y55" s="72"/>
      <c r="Z55" s="151"/>
      <c r="AA55" s="152"/>
      <c r="AC55" s="251" t="str">
        <f>IF(P55="","",IF(P55='G-1 All Habitats'!$X$3,H55-S55-T55,"None"))</f>
        <v/>
      </c>
      <c r="AD55" s="252"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3"/>
      <c r="F56" s="203"/>
      <c r="G56" s="250" t="str">
        <f>IFERROR(INDEX('G-1 All Habitats'!$B$3:$B$129,MATCH(F56,'G-1 All Habitats'!$A$3:$A$129,0)),"")</f>
        <v/>
      </c>
      <c r="H56" s="172"/>
      <c r="I56" s="498" t="str">
        <f>IF(G56="","",VLOOKUP(G56,'G-1 All Habitats'!$B$2:$M$129,10,FALSE))</f>
        <v/>
      </c>
      <c r="J56" s="499" t="str">
        <f>IFERROR(VLOOKUP(I56,'G-1 All Habitats'!$V$3:$W$7,2,FALSE),"")</f>
        <v/>
      </c>
      <c r="K56" s="145"/>
      <c r="L56" s="499" t="str">
        <f>IFERROR(INDEX('G-8 Condition Look up'!$A$3:$H$130,MATCH(G56,'G-8 Condition Look up'!$A$3:$A$130,0),MATCH(K56,'G-8 Condition Look up'!$A$3:$H$3,0)),"")</f>
        <v/>
      </c>
      <c r="M56" s="154"/>
      <c r="N56" s="520" t="str">
        <f>IF(M56="","",IF(VLOOKUP(M56,'G-3 Multipliers'!$L$3:$N$6,2,FALSE)=0,"Spatial Data Missing ⚠",VLOOKUP(M56,'G-3 Multipliers'!$L$3:$N$6,2,FALSE)))</f>
        <v/>
      </c>
      <c r="O56" s="524"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Unacceptable",IF(AND(P56='G-1 All Habitats'!$X$3,W56&gt;0),"Any Loss Unacceptable",H56*J56*L56*O56))))),"Check Data ⚠")</f>
        <v/>
      </c>
      <c r="R56" s="50"/>
      <c r="S56" s="71"/>
      <c r="T56" s="72"/>
      <c r="U56" s="511" t="str">
        <f t="shared" si="2"/>
        <v/>
      </c>
      <c r="V56" s="511" t="str">
        <f t="shared" si="3"/>
        <v/>
      </c>
      <c r="W56" s="511"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5" t="str">
        <f>IFERROR(IF(H56="","",IF(H56-S56-T56=0&lt;0,"Error in Areas ▲",IF(S56+T56&gt;H56,"Error in Areas ▲",IF(AND(P56='G-1 All Habitats'!$X$3,Y56="Yes"),"Alternative Compensation",IF(W56=0,0,IF(P56='G-1 All Habitats'!$X$3,"Unacceptable Loss",Q56-U56-V56)))))),"Check Data ⚠")</f>
        <v/>
      </c>
      <c r="Y56" s="72"/>
      <c r="Z56" s="151"/>
      <c r="AA56" s="152"/>
      <c r="AC56" s="251" t="str">
        <f>IF(P56="","",IF(P56='G-1 All Habitats'!$X$3,H56-S56-T56,"None"))</f>
        <v/>
      </c>
      <c r="AD56" s="252"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3"/>
      <c r="F57" s="203"/>
      <c r="G57" s="250" t="str">
        <f>IFERROR(INDEX('G-1 All Habitats'!$B$3:$B$129,MATCH(F57,'G-1 All Habitats'!$A$3:$A$129,0)),"")</f>
        <v/>
      </c>
      <c r="H57" s="172"/>
      <c r="I57" s="498" t="str">
        <f>IF(G57="","",VLOOKUP(G57,'G-1 All Habitats'!$B$2:$M$129,10,FALSE))</f>
        <v/>
      </c>
      <c r="J57" s="499" t="str">
        <f>IFERROR(VLOOKUP(I57,'G-1 All Habitats'!$V$3:$W$7,2,FALSE),"")</f>
        <v/>
      </c>
      <c r="K57" s="145"/>
      <c r="L57" s="499" t="str">
        <f>IFERROR(INDEX('G-8 Condition Look up'!$A$3:$H$130,MATCH(G57,'G-8 Condition Look up'!$A$3:$A$130,0),MATCH(K57,'G-8 Condition Look up'!$A$3:$H$3,0)),"")</f>
        <v/>
      </c>
      <c r="M57" s="154"/>
      <c r="N57" s="520" t="str">
        <f>IF(M57="","",IF(VLOOKUP(M57,'G-3 Multipliers'!$L$3:$N$6,2,FALSE)=0,"Spatial Data Missing ⚠",VLOOKUP(M57,'G-3 Multipliers'!$L$3:$N$6,2,FALSE)))</f>
        <v/>
      </c>
      <c r="O57" s="524"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Unacceptable",IF(AND(P57='G-1 All Habitats'!$X$3,W57&gt;0),"Any Loss Unacceptable",H57*J57*L57*O57))))),"Check Data ⚠")</f>
        <v/>
      </c>
      <c r="R57" s="50"/>
      <c r="S57" s="71"/>
      <c r="T57" s="72"/>
      <c r="U57" s="511" t="str">
        <f t="shared" si="2"/>
        <v/>
      </c>
      <c r="V57" s="511" t="str">
        <f t="shared" si="3"/>
        <v/>
      </c>
      <c r="W57" s="511"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5" t="str">
        <f>IFERROR(IF(H57="","",IF(H57-S57-T57=0&lt;0,"Error in Areas ▲",IF(S57+T57&gt;H57,"Error in Areas ▲",IF(AND(P57='G-1 All Habitats'!$X$3,Y57="Yes"),"Alternative Compensation",IF(W57=0,0,IF(P57='G-1 All Habitats'!$X$3,"Unacceptable Loss",Q57-U57-V57)))))),"Check Data ⚠")</f>
        <v/>
      </c>
      <c r="Y57" s="72"/>
      <c r="Z57" s="151"/>
      <c r="AA57" s="152"/>
      <c r="AC57" s="251" t="str">
        <f>IF(P57="","",IF(P57='G-1 All Habitats'!$X$3,H57-S57-T57,"None"))</f>
        <v/>
      </c>
      <c r="AD57" s="252"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3"/>
      <c r="F58" s="203"/>
      <c r="G58" s="250" t="str">
        <f>IFERROR(INDEX('G-1 All Habitats'!$B$3:$B$129,MATCH(F58,'G-1 All Habitats'!$A$3:$A$129,0)),"")</f>
        <v/>
      </c>
      <c r="H58" s="172"/>
      <c r="I58" s="498" t="str">
        <f>IF(G58="","",VLOOKUP(G58,'G-1 All Habitats'!$B$2:$M$129,10,FALSE))</f>
        <v/>
      </c>
      <c r="J58" s="499" t="str">
        <f>IFERROR(VLOOKUP(I58,'G-1 All Habitats'!$V$3:$W$7,2,FALSE),"")</f>
        <v/>
      </c>
      <c r="K58" s="145"/>
      <c r="L58" s="499" t="str">
        <f>IFERROR(INDEX('G-8 Condition Look up'!$A$3:$H$130,MATCH(G58,'G-8 Condition Look up'!$A$3:$A$130,0),MATCH(K58,'G-8 Condition Look up'!$A$3:$H$3,0)),"")</f>
        <v/>
      </c>
      <c r="M58" s="154"/>
      <c r="N58" s="520" t="str">
        <f>IF(M58="","",IF(VLOOKUP(M58,'G-3 Multipliers'!$L$3:$N$6,2,FALSE)=0,"Spatial Data Missing ⚠",VLOOKUP(M58,'G-3 Multipliers'!$L$3:$N$6,2,FALSE)))</f>
        <v/>
      </c>
      <c r="O58" s="524"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Unacceptable",IF(AND(P58='G-1 All Habitats'!$X$3,W58&gt;0),"Any Loss Unacceptable",H58*J58*L58*O58))))),"Check Data ⚠")</f>
        <v/>
      </c>
      <c r="R58" s="50"/>
      <c r="S58" s="71"/>
      <c r="T58" s="72"/>
      <c r="U58" s="511" t="str">
        <f t="shared" si="2"/>
        <v/>
      </c>
      <c r="V58" s="511" t="str">
        <f t="shared" si="3"/>
        <v/>
      </c>
      <c r="W58" s="511"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5" t="str">
        <f>IFERROR(IF(H58="","",IF(H58-S58-T58=0&lt;0,"Error in Areas ▲",IF(S58+T58&gt;H58,"Error in Areas ▲",IF(AND(P58='G-1 All Habitats'!$X$3,Y58="Yes"),"Alternative Compensation",IF(W58=0,0,IF(P58='G-1 All Habitats'!$X$3,"Unacceptable Loss",Q58-U58-V58)))))),"Check Data ⚠")</f>
        <v/>
      </c>
      <c r="Y58" s="72"/>
      <c r="Z58" s="151"/>
      <c r="AA58" s="152"/>
      <c r="AC58" s="251" t="str">
        <f>IF(P58="","",IF(P58='G-1 All Habitats'!$X$3,H58-S58-T58,"None"))</f>
        <v/>
      </c>
      <c r="AD58" s="252"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3"/>
      <c r="F59" s="203"/>
      <c r="G59" s="250" t="str">
        <f>IFERROR(INDEX('G-1 All Habitats'!$B$3:$B$129,MATCH(F59,'G-1 All Habitats'!$A$3:$A$129,0)),"")</f>
        <v/>
      </c>
      <c r="H59" s="172"/>
      <c r="I59" s="498" t="str">
        <f>IF(G59="","",VLOOKUP(G59,'G-1 All Habitats'!$B$2:$M$129,10,FALSE))</f>
        <v/>
      </c>
      <c r="J59" s="499" t="str">
        <f>IFERROR(VLOOKUP(I59,'G-1 All Habitats'!$V$3:$W$7,2,FALSE),"")</f>
        <v/>
      </c>
      <c r="K59" s="145"/>
      <c r="L59" s="499" t="str">
        <f>IFERROR(INDEX('G-8 Condition Look up'!$A$3:$H$130,MATCH(G59,'G-8 Condition Look up'!$A$3:$A$130,0),MATCH(K59,'G-8 Condition Look up'!$A$3:$H$3,0)),"")</f>
        <v/>
      </c>
      <c r="M59" s="154"/>
      <c r="N59" s="520" t="str">
        <f>IF(M59="","",IF(VLOOKUP(M59,'G-3 Multipliers'!$L$3:$N$6,2,FALSE)=0,"Spatial Data Missing ⚠",VLOOKUP(M59,'G-3 Multipliers'!$L$3:$N$6,2,FALSE)))</f>
        <v/>
      </c>
      <c r="O59" s="524"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Unacceptable",IF(AND(P59='G-1 All Habitats'!$X$3,W59&gt;0),"Any Loss Unacceptable",H59*J59*L59*O59))))),"Check Data ⚠")</f>
        <v/>
      </c>
      <c r="R59" s="50"/>
      <c r="S59" s="71"/>
      <c r="T59" s="72"/>
      <c r="U59" s="511" t="str">
        <f t="shared" si="2"/>
        <v/>
      </c>
      <c r="V59" s="511" t="str">
        <f t="shared" si="3"/>
        <v/>
      </c>
      <c r="W59" s="511"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5" t="str">
        <f>IFERROR(IF(H59="","",IF(H59-S59-T59=0&lt;0,"Error in Areas ▲",IF(S59+T59&gt;H59,"Error in Areas ▲",IF(AND(P59='G-1 All Habitats'!$X$3,Y59="Yes"),"Alternative Compensation",IF(W59=0,0,IF(P59='G-1 All Habitats'!$X$3,"Unacceptable Loss",Q59-U59-V59)))))),"Check Data ⚠")</f>
        <v/>
      </c>
      <c r="Y59" s="72"/>
      <c r="Z59" s="151"/>
      <c r="AA59" s="152"/>
      <c r="AC59" s="251" t="str">
        <f>IF(P59="","",IF(P59='G-1 All Habitats'!$X$3,H59-S59-T59,"None"))</f>
        <v/>
      </c>
      <c r="AD59" s="252"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3"/>
      <c r="F60" s="203"/>
      <c r="G60" s="250" t="str">
        <f>IFERROR(INDEX('G-1 All Habitats'!$B$3:$B$129,MATCH(F60,'G-1 All Habitats'!$A$3:$A$129,0)),"")</f>
        <v/>
      </c>
      <c r="H60" s="172"/>
      <c r="I60" s="498" t="str">
        <f>IF(G60="","",VLOOKUP(G60,'G-1 All Habitats'!$B$2:$M$129,10,FALSE))</f>
        <v/>
      </c>
      <c r="J60" s="499" t="str">
        <f>IFERROR(VLOOKUP(I60,'G-1 All Habitats'!$V$3:$W$7,2,FALSE),"")</f>
        <v/>
      </c>
      <c r="K60" s="145"/>
      <c r="L60" s="499" t="str">
        <f>IFERROR(INDEX('G-8 Condition Look up'!$A$3:$H$130,MATCH(G60,'G-8 Condition Look up'!$A$3:$A$130,0),MATCH(K60,'G-8 Condition Look up'!$A$3:$H$3,0)),"")</f>
        <v/>
      </c>
      <c r="M60" s="154"/>
      <c r="N60" s="520" t="str">
        <f>IF(M60="","",IF(VLOOKUP(M60,'G-3 Multipliers'!$L$3:$N$6,2,FALSE)=0,"Spatial Data Missing ⚠",VLOOKUP(M60,'G-3 Multipliers'!$L$3:$N$6,2,FALSE)))</f>
        <v/>
      </c>
      <c r="O60" s="524"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Unacceptable",IF(AND(P60='G-1 All Habitats'!$X$3,W60&gt;0),"Any Loss Unacceptable",H60*J60*L60*O60))))),"Check Data ⚠")</f>
        <v/>
      </c>
      <c r="R60" s="50"/>
      <c r="S60" s="71"/>
      <c r="T60" s="72"/>
      <c r="U60" s="511" t="str">
        <f t="shared" si="2"/>
        <v/>
      </c>
      <c r="V60" s="511" t="str">
        <f t="shared" si="3"/>
        <v/>
      </c>
      <c r="W60" s="511"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5" t="str">
        <f>IFERROR(IF(H60="","",IF(H60-S60-T60=0&lt;0,"Error in Areas ▲",IF(S60+T60&gt;H60,"Error in Areas ▲",IF(AND(P60='G-1 All Habitats'!$X$3,Y60="Yes"),"Alternative Compensation",IF(W60=0,0,IF(P60='G-1 All Habitats'!$X$3,"Unacceptable Loss",Q60-U60-V60)))))),"Check Data ⚠")</f>
        <v/>
      </c>
      <c r="Y60" s="72"/>
      <c r="Z60" s="151"/>
      <c r="AA60" s="152"/>
      <c r="AC60" s="251" t="str">
        <f>IF(P60="","",IF(P60='G-1 All Habitats'!$X$3,H60-S60-T60,"None"))</f>
        <v/>
      </c>
      <c r="AD60" s="252"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3"/>
      <c r="F61" s="203"/>
      <c r="G61" s="250" t="str">
        <f>IFERROR(INDEX('G-1 All Habitats'!$B$3:$B$129,MATCH(F61,'G-1 All Habitats'!$A$3:$A$129,0)),"")</f>
        <v/>
      </c>
      <c r="H61" s="172"/>
      <c r="I61" s="498" t="str">
        <f>IF(G61="","",VLOOKUP(G61,'G-1 All Habitats'!$B$2:$M$129,10,FALSE))</f>
        <v/>
      </c>
      <c r="J61" s="499" t="str">
        <f>IFERROR(VLOOKUP(I61,'G-1 All Habitats'!$V$3:$W$7,2,FALSE),"")</f>
        <v/>
      </c>
      <c r="K61" s="145"/>
      <c r="L61" s="499" t="str">
        <f>IFERROR(INDEX('G-8 Condition Look up'!$A$3:$H$130,MATCH(G61,'G-8 Condition Look up'!$A$3:$A$130,0),MATCH(K61,'G-8 Condition Look up'!$A$3:$H$3,0)),"")</f>
        <v/>
      </c>
      <c r="M61" s="154"/>
      <c r="N61" s="520" t="str">
        <f>IF(M61="","",IF(VLOOKUP(M61,'G-3 Multipliers'!$L$3:$N$6,2,FALSE)=0,"Spatial Data Missing ⚠",VLOOKUP(M61,'G-3 Multipliers'!$L$3:$N$6,2,FALSE)))</f>
        <v/>
      </c>
      <c r="O61" s="524"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Unacceptable",IF(AND(P61='G-1 All Habitats'!$X$3,W61&gt;0),"Any Loss Unacceptable",H61*J61*L61*O61))))),"Check Data ⚠")</f>
        <v/>
      </c>
      <c r="R61" s="50"/>
      <c r="S61" s="71"/>
      <c r="T61" s="72"/>
      <c r="U61" s="511" t="str">
        <f t="shared" si="2"/>
        <v/>
      </c>
      <c r="V61" s="511" t="str">
        <f t="shared" si="3"/>
        <v/>
      </c>
      <c r="W61" s="511"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5" t="str">
        <f>IFERROR(IF(H61="","",IF(H61-S61-T61=0&lt;0,"Error in Areas ▲",IF(S61+T61&gt;H61,"Error in Areas ▲",IF(AND(P61='G-1 All Habitats'!$X$3,Y61="Yes"),"Alternative Compensation",IF(W61=0,0,IF(P61='G-1 All Habitats'!$X$3,"Unacceptable Loss",Q61-U61-V61)))))),"Check Data ⚠")</f>
        <v/>
      </c>
      <c r="Y61" s="72"/>
      <c r="Z61" s="151"/>
      <c r="AA61" s="152"/>
      <c r="AC61" s="251" t="str">
        <f>IF(P61="","",IF(P61='G-1 All Habitats'!$X$3,H61-S61-T61,"None"))</f>
        <v/>
      </c>
      <c r="AD61" s="252"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3"/>
      <c r="F62" s="203"/>
      <c r="G62" s="250" t="str">
        <f>IFERROR(INDEX('G-1 All Habitats'!$B$3:$B$129,MATCH(F62,'G-1 All Habitats'!$A$3:$A$129,0)),"")</f>
        <v/>
      </c>
      <c r="H62" s="172"/>
      <c r="I62" s="498" t="str">
        <f>IF(G62="","",VLOOKUP(G62,'G-1 All Habitats'!$B$2:$M$129,10,FALSE))</f>
        <v/>
      </c>
      <c r="J62" s="499" t="str">
        <f>IFERROR(VLOOKUP(I62,'G-1 All Habitats'!$V$3:$W$7,2,FALSE),"")</f>
        <v/>
      </c>
      <c r="K62" s="145"/>
      <c r="L62" s="499" t="str">
        <f>IFERROR(INDEX('G-8 Condition Look up'!$A$3:$H$130,MATCH(G62,'G-8 Condition Look up'!$A$3:$A$130,0),MATCH(K62,'G-8 Condition Look up'!$A$3:$H$3,0)),"")</f>
        <v/>
      </c>
      <c r="M62" s="154"/>
      <c r="N62" s="520" t="str">
        <f>IF(M62="","",IF(VLOOKUP(M62,'G-3 Multipliers'!$L$3:$N$6,2,FALSE)=0,"Spatial Data Missing ⚠",VLOOKUP(M62,'G-3 Multipliers'!$L$3:$N$6,2,FALSE)))</f>
        <v/>
      </c>
      <c r="O62" s="524"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Unacceptable",IF(AND(P62='G-1 All Habitats'!$X$3,W62&gt;0),"Any Loss Unacceptable",H62*J62*L62*O62))))),"Check Data ⚠")</f>
        <v/>
      </c>
      <c r="R62" s="50"/>
      <c r="S62" s="71"/>
      <c r="T62" s="72"/>
      <c r="U62" s="511" t="str">
        <f t="shared" si="2"/>
        <v/>
      </c>
      <c r="V62" s="511" t="str">
        <f t="shared" si="3"/>
        <v/>
      </c>
      <c r="W62" s="511"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5" t="str">
        <f>IFERROR(IF(H62="","",IF(H62-S62-T62=0&lt;0,"Error in Areas ▲",IF(S62+T62&gt;H62,"Error in Areas ▲",IF(AND(P62='G-1 All Habitats'!$X$3,Y62="Yes"),"Alternative Compensation",IF(W62=0,0,IF(P62='G-1 All Habitats'!$X$3,"Unacceptable Loss",Q62-U62-V62)))))),"Check Data ⚠")</f>
        <v/>
      </c>
      <c r="Y62" s="72"/>
      <c r="Z62" s="151"/>
      <c r="AA62" s="152"/>
      <c r="AC62" s="251" t="str">
        <f>IF(P62="","",IF(P62='G-1 All Habitats'!$X$3,H62-S62-T62,"None"))</f>
        <v/>
      </c>
      <c r="AD62" s="252"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3"/>
      <c r="F63" s="203"/>
      <c r="G63" s="250" t="str">
        <f>IFERROR(INDEX('G-1 All Habitats'!$B$3:$B$129,MATCH(F63,'G-1 All Habitats'!$A$3:$A$129,0)),"")</f>
        <v/>
      </c>
      <c r="H63" s="172"/>
      <c r="I63" s="498" t="str">
        <f>IF(G63="","",VLOOKUP(G63,'G-1 All Habitats'!$B$2:$M$129,10,FALSE))</f>
        <v/>
      </c>
      <c r="J63" s="499" t="str">
        <f>IFERROR(VLOOKUP(I63,'G-1 All Habitats'!$V$3:$W$7,2,FALSE),"")</f>
        <v/>
      </c>
      <c r="K63" s="145"/>
      <c r="L63" s="499" t="str">
        <f>IFERROR(INDEX('G-8 Condition Look up'!$A$3:$H$130,MATCH(G63,'G-8 Condition Look up'!$A$3:$A$130,0),MATCH(K63,'G-8 Condition Look up'!$A$3:$H$3,0)),"")</f>
        <v/>
      </c>
      <c r="M63" s="154"/>
      <c r="N63" s="520" t="str">
        <f>IF(M63="","",IF(VLOOKUP(M63,'G-3 Multipliers'!$L$3:$N$6,2,FALSE)=0,"Spatial Data Missing ⚠",VLOOKUP(M63,'G-3 Multipliers'!$L$3:$N$6,2,FALSE)))</f>
        <v/>
      </c>
      <c r="O63" s="524"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Unacceptable",IF(AND(P63='G-1 All Habitats'!$X$3,W63&gt;0),"Any Loss Unacceptable",H63*J63*L63*O63))))),"Check Data ⚠")</f>
        <v/>
      </c>
      <c r="R63" s="50"/>
      <c r="S63" s="71"/>
      <c r="T63" s="72"/>
      <c r="U63" s="511" t="str">
        <f t="shared" si="2"/>
        <v/>
      </c>
      <c r="V63" s="511" t="str">
        <f t="shared" si="3"/>
        <v/>
      </c>
      <c r="W63" s="511"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5" t="str">
        <f>IFERROR(IF(H63="","",IF(H63-S63-T63=0&lt;0,"Error in Areas ▲",IF(S63+T63&gt;H63,"Error in Areas ▲",IF(AND(P63='G-1 All Habitats'!$X$3,Y63="Yes"),"Alternative Compensation",IF(W63=0,0,IF(P63='G-1 All Habitats'!$X$3,"Unacceptable Loss",Q63-U63-V63)))))),"Check Data ⚠")</f>
        <v/>
      </c>
      <c r="Y63" s="72"/>
      <c r="Z63" s="151"/>
      <c r="AA63" s="152"/>
      <c r="AC63" s="251" t="str">
        <f>IF(P63="","",IF(P63='G-1 All Habitats'!$X$3,H63-S63-T63,"None"))</f>
        <v/>
      </c>
      <c r="AD63" s="252"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3"/>
      <c r="F64" s="203"/>
      <c r="G64" s="250" t="str">
        <f>IFERROR(INDEX('G-1 All Habitats'!$B$3:$B$129,MATCH(F64,'G-1 All Habitats'!$A$3:$A$129,0)),"")</f>
        <v/>
      </c>
      <c r="H64" s="172"/>
      <c r="I64" s="498" t="str">
        <f>IF(G64="","",VLOOKUP(G64,'G-1 All Habitats'!$B$2:$M$129,10,FALSE))</f>
        <v/>
      </c>
      <c r="J64" s="499" t="str">
        <f>IFERROR(VLOOKUP(I64,'G-1 All Habitats'!$V$3:$W$7,2,FALSE),"")</f>
        <v/>
      </c>
      <c r="K64" s="145"/>
      <c r="L64" s="499" t="str">
        <f>IFERROR(INDEX('G-8 Condition Look up'!$A$3:$H$130,MATCH(G64,'G-8 Condition Look up'!$A$3:$A$130,0),MATCH(K64,'G-8 Condition Look up'!$A$3:$H$3,0)),"")</f>
        <v/>
      </c>
      <c r="M64" s="154"/>
      <c r="N64" s="520" t="str">
        <f>IF(M64="","",IF(VLOOKUP(M64,'G-3 Multipliers'!$L$3:$N$6,2,FALSE)=0,"Spatial Data Missing ⚠",VLOOKUP(M64,'G-3 Multipliers'!$L$3:$N$6,2,FALSE)))</f>
        <v/>
      </c>
      <c r="O64" s="524"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Unacceptable",IF(AND(P64='G-1 All Habitats'!$X$3,W64&gt;0),"Any Loss Unacceptable",H64*J64*L64*O64))))),"Check Data ⚠")</f>
        <v/>
      </c>
      <c r="R64" s="50"/>
      <c r="S64" s="71"/>
      <c r="T64" s="72"/>
      <c r="U64" s="511" t="str">
        <f t="shared" si="2"/>
        <v/>
      </c>
      <c r="V64" s="511" t="str">
        <f t="shared" si="3"/>
        <v/>
      </c>
      <c r="W64" s="511"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5" t="str">
        <f>IFERROR(IF(H64="","",IF(H64-S64-T64=0&lt;0,"Error in Areas ▲",IF(S64+T64&gt;H64,"Error in Areas ▲",IF(AND(P64='G-1 All Habitats'!$X$3,Y64="Yes"),"Alternative Compensation",IF(W64=0,0,IF(P64='G-1 All Habitats'!$X$3,"Unacceptable Loss",Q64-U64-V64)))))),"Check Data ⚠")</f>
        <v/>
      </c>
      <c r="Y64" s="72"/>
      <c r="Z64" s="151"/>
      <c r="AA64" s="152"/>
      <c r="AC64" s="251" t="str">
        <f>IF(P64="","",IF(P64='G-1 All Habitats'!$X$3,H64-S64-T64,"None"))</f>
        <v/>
      </c>
      <c r="AD64" s="252"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3"/>
      <c r="F65" s="203"/>
      <c r="G65" s="250" t="str">
        <f>IFERROR(INDEX('G-1 All Habitats'!$B$3:$B$129,MATCH(F65,'G-1 All Habitats'!$A$3:$A$129,0)),"")</f>
        <v/>
      </c>
      <c r="H65" s="172"/>
      <c r="I65" s="498" t="str">
        <f>IF(G65="","",VLOOKUP(G65,'G-1 All Habitats'!$B$2:$M$129,10,FALSE))</f>
        <v/>
      </c>
      <c r="J65" s="499" t="str">
        <f>IFERROR(VLOOKUP(I65,'G-1 All Habitats'!$V$3:$W$7,2,FALSE),"")</f>
        <v/>
      </c>
      <c r="K65" s="145"/>
      <c r="L65" s="499" t="str">
        <f>IFERROR(INDEX('G-8 Condition Look up'!$A$3:$H$130,MATCH(G65,'G-8 Condition Look up'!$A$3:$A$130,0),MATCH(K65,'G-8 Condition Look up'!$A$3:$H$3,0)),"")</f>
        <v/>
      </c>
      <c r="M65" s="154"/>
      <c r="N65" s="520" t="str">
        <f>IF(M65="","",IF(VLOOKUP(M65,'G-3 Multipliers'!$L$3:$N$6,2,FALSE)=0,"Spatial Data Missing ⚠",VLOOKUP(M65,'G-3 Multipliers'!$L$3:$N$6,2,FALSE)))</f>
        <v/>
      </c>
      <c r="O65" s="524"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Unacceptable",IF(AND(P65='G-1 All Habitats'!$X$3,W65&gt;0),"Any Loss Unacceptable",H65*J65*L65*O65))))),"Check Data ⚠")</f>
        <v/>
      </c>
      <c r="R65" s="50"/>
      <c r="S65" s="71"/>
      <c r="T65" s="72"/>
      <c r="U65" s="511" t="str">
        <f t="shared" si="2"/>
        <v/>
      </c>
      <c r="V65" s="511" t="str">
        <f t="shared" si="3"/>
        <v/>
      </c>
      <c r="W65" s="511"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5" t="str">
        <f>IFERROR(IF(H65="","",IF(H65-S65-T65=0&lt;0,"Error in Areas ▲",IF(S65+T65&gt;H65,"Error in Areas ▲",IF(AND(P65='G-1 All Habitats'!$X$3,Y65="Yes"),"Alternative Compensation",IF(W65=0,0,IF(P65='G-1 All Habitats'!$X$3,"Unacceptable Loss",Q65-U65-V65)))))),"Check Data ⚠")</f>
        <v/>
      </c>
      <c r="Y65" s="72"/>
      <c r="Z65" s="151"/>
      <c r="AA65" s="152"/>
      <c r="AC65" s="251" t="str">
        <f>IF(P65="","",IF(P65='G-1 All Habitats'!$X$3,H65-S65-T65,"None"))</f>
        <v/>
      </c>
      <c r="AD65" s="252"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3"/>
      <c r="F66" s="203"/>
      <c r="G66" s="250" t="str">
        <f>IFERROR(INDEX('G-1 All Habitats'!$B$3:$B$129,MATCH(F66,'G-1 All Habitats'!$A$3:$A$129,0)),"")</f>
        <v/>
      </c>
      <c r="H66" s="172"/>
      <c r="I66" s="498" t="str">
        <f>IF(G66="","",VLOOKUP(G66,'G-1 All Habitats'!$B$2:$M$129,10,FALSE))</f>
        <v/>
      </c>
      <c r="J66" s="499" t="str">
        <f>IFERROR(VLOOKUP(I66,'G-1 All Habitats'!$V$3:$W$7,2,FALSE),"")</f>
        <v/>
      </c>
      <c r="K66" s="145"/>
      <c r="L66" s="499" t="str">
        <f>IFERROR(INDEX('G-8 Condition Look up'!$A$3:$H$130,MATCH(G66,'G-8 Condition Look up'!$A$3:$A$130,0),MATCH(K66,'G-8 Condition Look up'!$A$3:$H$3,0)),"")</f>
        <v/>
      </c>
      <c r="M66" s="154"/>
      <c r="N66" s="520" t="str">
        <f>IF(M66="","",IF(VLOOKUP(M66,'G-3 Multipliers'!$L$3:$N$6,2,FALSE)=0,"Spatial Data Missing ⚠",VLOOKUP(M66,'G-3 Multipliers'!$L$3:$N$6,2,FALSE)))</f>
        <v/>
      </c>
      <c r="O66" s="524"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Unacceptable",IF(AND(P66='G-1 All Habitats'!$X$3,W66&gt;0),"Any Loss Unacceptable",H66*J66*L66*O66))))),"Check Data ⚠")</f>
        <v/>
      </c>
      <c r="R66" s="50"/>
      <c r="S66" s="71"/>
      <c r="T66" s="72"/>
      <c r="U66" s="511" t="str">
        <f t="shared" si="2"/>
        <v/>
      </c>
      <c r="V66" s="511" t="str">
        <f t="shared" si="3"/>
        <v/>
      </c>
      <c r="W66" s="511"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5" t="str">
        <f>IFERROR(IF(H66="","",IF(H66-S66-T66=0&lt;0,"Error in Areas ▲",IF(S66+T66&gt;H66,"Error in Areas ▲",IF(AND(P66='G-1 All Habitats'!$X$3,Y66="Yes"),"Alternative Compensation",IF(W66=0,0,IF(P66='G-1 All Habitats'!$X$3,"Unacceptable Loss",Q66-U66-V66)))))),"Check Data ⚠")</f>
        <v/>
      </c>
      <c r="Y66" s="72"/>
      <c r="Z66" s="151"/>
      <c r="AA66" s="152"/>
      <c r="AC66" s="251" t="str">
        <f>IF(P66="","",IF(P66='G-1 All Habitats'!$X$3,H66-S66-T66,"None"))</f>
        <v/>
      </c>
      <c r="AD66" s="252"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3"/>
      <c r="F67" s="203"/>
      <c r="G67" s="250" t="str">
        <f>IFERROR(INDEX('G-1 All Habitats'!$B$3:$B$129,MATCH(F67,'G-1 All Habitats'!$A$3:$A$129,0)),"")</f>
        <v/>
      </c>
      <c r="H67" s="172"/>
      <c r="I67" s="498" t="str">
        <f>IF(G67="","",VLOOKUP(G67,'G-1 All Habitats'!$B$2:$M$129,10,FALSE))</f>
        <v/>
      </c>
      <c r="J67" s="499" t="str">
        <f>IFERROR(VLOOKUP(I67,'G-1 All Habitats'!$V$3:$W$7,2,FALSE),"")</f>
        <v/>
      </c>
      <c r="K67" s="145"/>
      <c r="L67" s="499" t="str">
        <f>IFERROR(INDEX('G-8 Condition Look up'!$A$3:$H$130,MATCH(G67,'G-8 Condition Look up'!$A$3:$A$130,0),MATCH(K67,'G-8 Condition Look up'!$A$3:$H$3,0)),"")</f>
        <v/>
      </c>
      <c r="M67" s="154"/>
      <c r="N67" s="520" t="str">
        <f>IF(M67="","",IF(VLOOKUP(M67,'G-3 Multipliers'!$L$3:$N$6,2,FALSE)=0,"Spatial Data Missing ⚠",VLOOKUP(M67,'G-3 Multipliers'!$L$3:$N$6,2,FALSE)))</f>
        <v/>
      </c>
      <c r="O67" s="524"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Unacceptable",IF(AND(P67='G-1 All Habitats'!$X$3,W67&gt;0),"Any Loss Unacceptable",H67*J67*L67*O67))))),"Check Data ⚠")</f>
        <v/>
      </c>
      <c r="R67" s="50"/>
      <c r="S67" s="71"/>
      <c r="T67" s="72"/>
      <c r="U67" s="511" t="str">
        <f t="shared" si="2"/>
        <v/>
      </c>
      <c r="V67" s="511" t="str">
        <f t="shared" si="3"/>
        <v/>
      </c>
      <c r="W67" s="511"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5" t="str">
        <f>IFERROR(IF(H67="","",IF(H67-S67-T67=0&lt;0,"Error in Areas ▲",IF(S67+T67&gt;H67,"Error in Areas ▲",IF(AND(P67='G-1 All Habitats'!$X$3,Y67="Yes"),"Alternative Compensation",IF(W67=0,0,IF(P67='G-1 All Habitats'!$X$3,"Unacceptable Loss",Q67-U67-V67)))))),"Check Data ⚠")</f>
        <v/>
      </c>
      <c r="Y67" s="72"/>
      <c r="Z67" s="151"/>
      <c r="AA67" s="152"/>
      <c r="AC67" s="251" t="str">
        <f>IF(P67="","",IF(P67='G-1 All Habitats'!$X$3,H67-S67-T67,"None"))</f>
        <v/>
      </c>
      <c r="AD67" s="252"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3"/>
      <c r="F68" s="203"/>
      <c r="G68" s="250" t="str">
        <f>IFERROR(INDEX('G-1 All Habitats'!$B$3:$B$129,MATCH(F68,'G-1 All Habitats'!$A$3:$A$129,0)),"")</f>
        <v/>
      </c>
      <c r="H68" s="172"/>
      <c r="I68" s="498" t="str">
        <f>IF(G68="","",VLOOKUP(G68,'G-1 All Habitats'!$B$2:$M$129,10,FALSE))</f>
        <v/>
      </c>
      <c r="J68" s="499" t="str">
        <f>IFERROR(VLOOKUP(I68,'G-1 All Habitats'!$V$3:$W$7,2,FALSE),"")</f>
        <v/>
      </c>
      <c r="K68" s="145"/>
      <c r="L68" s="499" t="str">
        <f>IFERROR(INDEX('G-8 Condition Look up'!$A$3:$H$130,MATCH(G68,'G-8 Condition Look up'!$A$3:$A$130,0),MATCH(K68,'G-8 Condition Look up'!$A$3:$H$3,0)),"")</f>
        <v/>
      </c>
      <c r="M68" s="154"/>
      <c r="N68" s="520" t="str">
        <f>IF(M68="","",IF(VLOOKUP(M68,'G-3 Multipliers'!$L$3:$N$6,2,FALSE)=0,"Spatial Data Missing ⚠",VLOOKUP(M68,'G-3 Multipliers'!$L$3:$N$6,2,FALSE)))</f>
        <v/>
      </c>
      <c r="O68" s="524"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Unacceptable",IF(AND(P68='G-1 All Habitats'!$X$3,W68&gt;0),"Any Loss Unacceptable",H68*J68*L68*O68))))),"Check Data ⚠")</f>
        <v/>
      </c>
      <c r="R68" s="50"/>
      <c r="S68" s="71"/>
      <c r="T68" s="72"/>
      <c r="U68" s="511" t="str">
        <f t="shared" si="2"/>
        <v/>
      </c>
      <c r="V68" s="511" t="str">
        <f t="shared" si="3"/>
        <v/>
      </c>
      <c r="W68" s="511"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5" t="str">
        <f>IFERROR(IF(H68="","",IF(H68-S68-T68=0&lt;0,"Error in Areas ▲",IF(S68+T68&gt;H68,"Error in Areas ▲",IF(AND(P68='G-1 All Habitats'!$X$3,Y68="Yes"),"Alternative Compensation",IF(W68=0,0,IF(P68='G-1 All Habitats'!$X$3,"Unacceptable Loss",Q68-U68-V68)))))),"Check Data ⚠")</f>
        <v/>
      </c>
      <c r="Y68" s="72"/>
      <c r="Z68" s="151"/>
      <c r="AA68" s="152"/>
      <c r="AC68" s="251" t="str">
        <f>IF(P68="","",IF(P68='G-1 All Habitats'!$X$3,H68-S68-T68,"None"))</f>
        <v/>
      </c>
      <c r="AD68" s="252"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3"/>
      <c r="F69" s="203"/>
      <c r="G69" s="250" t="str">
        <f>IFERROR(INDEX('G-1 All Habitats'!$B$3:$B$129,MATCH(F69,'G-1 All Habitats'!$A$3:$A$129,0)),"")</f>
        <v/>
      </c>
      <c r="H69" s="172"/>
      <c r="I69" s="498" t="str">
        <f>IF(G69="","",VLOOKUP(G69,'G-1 All Habitats'!$B$2:$M$129,10,FALSE))</f>
        <v/>
      </c>
      <c r="J69" s="499" t="str">
        <f>IFERROR(VLOOKUP(I69,'G-1 All Habitats'!$V$3:$W$7,2,FALSE),"")</f>
        <v/>
      </c>
      <c r="K69" s="145"/>
      <c r="L69" s="499" t="str">
        <f>IFERROR(INDEX('G-8 Condition Look up'!$A$3:$H$130,MATCH(G69,'G-8 Condition Look up'!$A$3:$A$130,0),MATCH(K69,'G-8 Condition Look up'!$A$3:$H$3,0)),"")</f>
        <v/>
      </c>
      <c r="M69" s="154"/>
      <c r="N69" s="520" t="str">
        <f>IF(M69="","",IF(VLOOKUP(M69,'G-3 Multipliers'!$L$3:$N$6,2,FALSE)=0,"Spatial Data Missing ⚠",VLOOKUP(M69,'G-3 Multipliers'!$L$3:$N$6,2,FALSE)))</f>
        <v/>
      </c>
      <c r="O69" s="524"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Unacceptable",IF(AND(P69='G-1 All Habitats'!$X$3,W69&gt;0),"Any Loss Unacceptable",H69*J69*L69*O69))))),"Check Data ⚠")</f>
        <v/>
      </c>
      <c r="R69" s="50"/>
      <c r="S69" s="71"/>
      <c r="T69" s="72"/>
      <c r="U69" s="511" t="str">
        <f t="shared" si="2"/>
        <v/>
      </c>
      <c r="V69" s="511" t="str">
        <f t="shared" si="3"/>
        <v/>
      </c>
      <c r="W69" s="511"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5" t="str">
        <f>IFERROR(IF(H69="","",IF(H69-S69-T69=0&lt;0,"Error in Areas ▲",IF(S69+T69&gt;H69,"Error in Areas ▲",IF(AND(P69='G-1 All Habitats'!$X$3,Y69="Yes"),"Alternative Compensation",IF(W69=0,0,IF(P69='G-1 All Habitats'!$X$3,"Unacceptable Loss",Q69-U69-V69)))))),"Check Data ⚠")</f>
        <v/>
      </c>
      <c r="Y69" s="72"/>
      <c r="Z69" s="151"/>
      <c r="AA69" s="152"/>
      <c r="AC69" s="251" t="str">
        <f>IF(P69="","",IF(P69='G-1 All Habitats'!$X$3,H69-S69-T69,"None"))</f>
        <v/>
      </c>
      <c r="AD69" s="252"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3"/>
      <c r="F70" s="203"/>
      <c r="G70" s="250" t="str">
        <f>IFERROR(INDEX('G-1 All Habitats'!$B$3:$B$129,MATCH(F70,'G-1 All Habitats'!$A$3:$A$129,0)),"")</f>
        <v/>
      </c>
      <c r="H70" s="172"/>
      <c r="I70" s="498" t="str">
        <f>IF(G70="","",VLOOKUP(G70,'G-1 All Habitats'!$B$2:$M$129,10,FALSE))</f>
        <v/>
      </c>
      <c r="J70" s="499" t="str">
        <f>IFERROR(VLOOKUP(I70,'G-1 All Habitats'!$V$3:$W$7,2,FALSE),"")</f>
        <v/>
      </c>
      <c r="K70" s="145"/>
      <c r="L70" s="499" t="str">
        <f>IFERROR(INDEX('G-8 Condition Look up'!$A$3:$H$130,MATCH(G70,'G-8 Condition Look up'!$A$3:$A$130,0),MATCH(K70,'G-8 Condition Look up'!$A$3:$H$3,0)),"")</f>
        <v/>
      </c>
      <c r="M70" s="154"/>
      <c r="N70" s="520" t="str">
        <f>IF(M70="","",IF(VLOOKUP(M70,'G-3 Multipliers'!$L$3:$N$6,2,FALSE)=0,"Spatial Data Missing ⚠",VLOOKUP(M70,'G-3 Multipliers'!$L$3:$N$6,2,FALSE)))</f>
        <v/>
      </c>
      <c r="O70" s="524"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Unacceptable",IF(AND(P70='G-1 All Habitats'!$X$3,W70&gt;0),"Any Loss Unacceptable",H70*J70*L70*O70))))),"Check Data ⚠")</f>
        <v/>
      </c>
      <c r="R70" s="50"/>
      <c r="S70" s="71"/>
      <c r="T70" s="72"/>
      <c r="U70" s="511" t="str">
        <f t="shared" si="2"/>
        <v/>
      </c>
      <c r="V70" s="511" t="str">
        <f t="shared" si="3"/>
        <v/>
      </c>
      <c r="W70" s="511"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5" t="str">
        <f>IFERROR(IF(H70="","",IF(H70-S70-T70=0&lt;0,"Error in Areas ▲",IF(S70+T70&gt;H70,"Error in Areas ▲",IF(AND(P70='G-1 All Habitats'!$X$3,Y70="Yes"),"Alternative Compensation",IF(W70=0,0,IF(P70='G-1 All Habitats'!$X$3,"Unacceptable Loss",Q70-U70-V70)))))),"Check Data ⚠")</f>
        <v/>
      </c>
      <c r="Y70" s="72"/>
      <c r="Z70" s="151"/>
      <c r="AA70" s="152"/>
      <c r="AC70" s="251" t="str">
        <f>IF(P70="","",IF(P70='G-1 All Habitats'!$X$3,H70-S70-T70,"None"))</f>
        <v/>
      </c>
      <c r="AD70" s="252"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3"/>
      <c r="F71" s="203"/>
      <c r="G71" s="250" t="str">
        <f>IFERROR(INDEX('G-1 All Habitats'!$B$3:$B$129,MATCH(F71,'G-1 All Habitats'!$A$3:$A$129,0)),"")</f>
        <v/>
      </c>
      <c r="H71" s="172"/>
      <c r="I71" s="498" t="str">
        <f>IF(G71="","",VLOOKUP(G71,'G-1 All Habitats'!$B$2:$M$129,10,FALSE))</f>
        <v/>
      </c>
      <c r="J71" s="499" t="str">
        <f>IFERROR(VLOOKUP(I71,'G-1 All Habitats'!$V$3:$W$7,2,FALSE),"")</f>
        <v/>
      </c>
      <c r="K71" s="145"/>
      <c r="L71" s="499" t="str">
        <f>IFERROR(INDEX('G-8 Condition Look up'!$A$3:$H$130,MATCH(G71,'G-8 Condition Look up'!$A$3:$A$130,0),MATCH(K71,'G-8 Condition Look up'!$A$3:$H$3,0)),"")</f>
        <v/>
      </c>
      <c r="M71" s="154"/>
      <c r="N71" s="520" t="str">
        <f>IF(M71="","",IF(VLOOKUP(M71,'G-3 Multipliers'!$L$3:$N$6,2,FALSE)=0,"Spatial Data Missing ⚠",VLOOKUP(M71,'G-3 Multipliers'!$L$3:$N$6,2,FALSE)))</f>
        <v/>
      </c>
      <c r="O71" s="524"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Unacceptable",IF(AND(P71='G-1 All Habitats'!$X$3,W71&gt;0),"Any Loss Unacceptable",H71*J71*L71*O71))))),"Check Data ⚠")</f>
        <v/>
      </c>
      <c r="R71" s="50"/>
      <c r="S71" s="71"/>
      <c r="T71" s="72"/>
      <c r="U71" s="511" t="str">
        <f t="shared" si="2"/>
        <v/>
      </c>
      <c r="V71" s="511" t="str">
        <f t="shared" si="3"/>
        <v/>
      </c>
      <c r="W71" s="511"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5" t="str">
        <f>IFERROR(IF(H71="","",IF(H71-S71-T71=0&lt;0,"Error in Areas ▲",IF(S71+T71&gt;H71,"Error in Areas ▲",IF(AND(P71='G-1 All Habitats'!$X$3,Y71="Yes"),"Alternative Compensation",IF(W71=0,0,IF(P71='G-1 All Habitats'!$X$3,"Unacceptable Loss",Q71-U71-V71)))))),"Check Data ⚠")</f>
        <v/>
      </c>
      <c r="Y71" s="72"/>
      <c r="Z71" s="151"/>
      <c r="AA71" s="152"/>
      <c r="AC71" s="251" t="str">
        <f>IF(P71="","",IF(P71='G-1 All Habitats'!$X$3,H71-S71-T71,"None"))</f>
        <v/>
      </c>
      <c r="AD71" s="252"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3"/>
      <c r="F72" s="203"/>
      <c r="G72" s="250" t="str">
        <f>IFERROR(INDEX('G-1 All Habitats'!$B$3:$B$129,MATCH(F72,'G-1 All Habitats'!$A$3:$A$129,0)),"")</f>
        <v/>
      </c>
      <c r="H72" s="172"/>
      <c r="I72" s="498" t="str">
        <f>IF(G72="","",VLOOKUP(G72,'G-1 All Habitats'!$B$2:$M$129,10,FALSE))</f>
        <v/>
      </c>
      <c r="J72" s="499" t="str">
        <f>IFERROR(VLOOKUP(I72,'G-1 All Habitats'!$V$3:$W$7,2,FALSE),"")</f>
        <v/>
      </c>
      <c r="K72" s="145"/>
      <c r="L72" s="499" t="str">
        <f>IFERROR(INDEX('G-8 Condition Look up'!$A$3:$H$130,MATCH(G72,'G-8 Condition Look up'!$A$3:$A$130,0),MATCH(K72,'G-8 Condition Look up'!$A$3:$H$3,0)),"")</f>
        <v/>
      </c>
      <c r="M72" s="154"/>
      <c r="N72" s="520" t="str">
        <f>IF(M72="","",IF(VLOOKUP(M72,'G-3 Multipliers'!$L$3:$N$6,2,FALSE)=0,"Spatial Data Missing ⚠",VLOOKUP(M72,'G-3 Multipliers'!$L$3:$N$6,2,FALSE)))</f>
        <v/>
      </c>
      <c r="O72" s="524"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Unacceptable",IF(AND(P72='G-1 All Habitats'!$X$3,W72&gt;0),"Any Loss Unacceptable",H72*J72*L72*O72))))),"Check Data ⚠")</f>
        <v/>
      </c>
      <c r="R72" s="50"/>
      <c r="S72" s="71"/>
      <c r="T72" s="72"/>
      <c r="U72" s="511" t="str">
        <f t="shared" si="2"/>
        <v/>
      </c>
      <c r="V72" s="511" t="str">
        <f t="shared" si="3"/>
        <v/>
      </c>
      <c r="W72" s="511"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5" t="str">
        <f>IFERROR(IF(H72="","",IF(H72-S72-T72=0&lt;0,"Error in Areas ▲",IF(S72+T72&gt;H72,"Error in Areas ▲",IF(AND(P72='G-1 All Habitats'!$X$3,Y72="Yes"),"Alternative Compensation",IF(W72=0,0,IF(P72='G-1 All Habitats'!$X$3,"Unacceptable Loss",Q72-U72-V72)))))),"Check Data ⚠")</f>
        <v/>
      </c>
      <c r="Y72" s="72"/>
      <c r="Z72" s="151"/>
      <c r="AA72" s="152"/>
      <c r="AC72" s="251" t="str">
        <f>IF(P72="","",IF(P72='G-1 All Habitats'!$X$3,H72-S72-T72,"None"))</f>
        <v/>
      </c>
      <c r="AD72" s="252"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3"/>
      <c r="F73" s="203"/>
      <c r="G73" s="250" t="str">
        <f>IFERROR(INDEX('G-1 All Habitats'!$B$3:$B$129,MATCH(F73,'G-1 All Habitats'!$A$3:$A$129,0)),"")</f>
        <v/>
      </c>
      <c r="H73" s="172"/>
      <c r="I73" s="498" t="str">
        <f>IF(G73="","",VLOOKUP(G73,'G-1 All Habitats'!$B$2:$M$129,10,FALSE))</f>
        <v/>
      </c>
      <c r="J73" s="499" t="str">
        <f>IFERROR(VLOOKUP(I73,'G-1 All Habitats'!$V$3:$W$7,2,FALSE),"")</f>
        <v/>
      </c>
      <c r="K73" s="145"/>
      <c r="L73" s="499" t="str">
        <f>IFERROR(INDEX('G-8 Condition Look up'!$A$3:$H$130,MATCH(G73,'G-8 Condition Look up'!$A$3:$A$130,0),MATCH(K73,'G-8 Condition Look up'!$A$3:$H$3,0)),"")</f>
        <v/>
      </c>
      <c r="M73" s="154"/>
      <c r="N73" s="520" t="str">
        <f>IF(M73="","",IF(VLOOKUP(M73,'G-3 Multipliers'!$L$3:$N$6,2,FALSE)=0,"Spatial Data Missing ⚠",VLOOKUP(M73,'G-3 Multipliers'!$L$3:$N$6,2,FALSE)))</f>
        <v/>
      </c>
      <c r="O73" s="524"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Unacceptable",IF(AND(P73='G-1 All Habitats'!$X$3,W73&gt;0),"Any Loss Unacceptable",H73*J73*L73*O73))))),"Check Data ⚠")</f>
        <v/>
      </c>
      <c r="R73" s="50"/>
      <c r="S73" s="71"/>
      <c r="T73" s="72"/>
      <c r="U73" s="511" t="str">
        <f t="shared" si="2"/>
        <v/>
      </c>
      <c r="V73" s="511" t="str">
        <f t="shared" si="3"/>
        <v/>
      </c>
      <c r="W73" s="511"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5" t="str">
        <f>IFERROR(IF(H73="","",IF(H73-S73-T73=0&lt;0,"Error in Areas ▲",IF(S73+T73&gt;H73,"Error in Areas ▲",IF(AND(P73='G-1 All Habitats'!$X$3,Y73="Yes"),"Alternative Compensation",IF(W73=0,0,IF(P73='G-1 All Habitats'!$X$3,"Unacceptable Loss",Q73-U73-V73)))))),"Check Data ⚠")</f>
        <v/>
      </c>
      <c r="Y73" s="72"/>
      <c r="Z73" s="151"/>
      <c r="AA73" s="152"/>
      <c r="AC73" s="251" t="str">
        <f>IF(P73="","",IF(P73='G-1 All Habitats'!$X$3,H73-S73-T73,"None"))</f>
        <v/>
      </c>
      <c r="AD73" s="252"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3"/>
      <c r="F74" s="203"/>
      <c r="G74" s="250" t="str">
        <f>IFERROR(INDEX('G-1 All Habitats'!$B$3:$B$129,MATCH(F74,'G-1 All Habitats'!$A$3:$A$129,0)),"")</f>
        <v/>
      </c>
      <c r="H74" s="172"/>
      <c r="I74" s="498" t="str">
        <f>IF(G74="","",VLOOKUP(G74,'G-1 All Habitats'!$B$2:$M$129,10,FALSE))</f>
        <v/>
      </c>
      <c r="J74" s="499" t="str">
        <f>IFERROR(VLOOKUP(I74,'G-1 All Habitats'!$V$3:$W$7,2,FALSE),"")</f>
        <v/>
      </c>
      <c r="K74" s="145"/>
      <c r="L74" s="499" t="str">
        <f>IFERROR(INDEX('G-8 Condition Look up'!$A$3:$H$130,MATCH(G74,'G-8 Condition Look up'!$A$3:$A$130,0),MATCH(K74,'G-8 Condition Look up'!$A$3:$H$3,0)),"")</f>
        <v/>
      </c>
      <c r="M74" s="154"/>
      <c r="N74" s="520" t="str">
        <f>IF(M74="","",IF(VLOOKUP(M74,'G-3 Multipliers'!$L$3:$N$6,2,FALSE)=0,"Spatial Data Missing ⚠",VLOOKUP(M74,'G-3 Multipliers'!$L$3:$N$6,2,FALSE)))</f>
        <v/>
      </c>
      <c r="O74" s="524"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Unacceptable",IF(AND(P74='G-1 All Habitats'!$X$3,W74&gt;0),"Any Loss Unacceptable",H74*J74*L74*O74))))),"Check Data ⚠")</f>
        <v/>
      </c>
      <c r="R74" s="50"/>
      <c r="S74" s="71"/>
      <c r="T74" s="72"/>
      <c r="U74" s="511" t="str">
        <f t="shared" si="2"/>
        <v/>
      </c>
      <c r="V74" s="511" t="str">
        <f t="shared" si="3"/>
        <v/>
      </c>
      <c r="W74" s="511"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5" t="str">
        <f>IFERROR(IF(H74="","",IF(H74-S74-T74=0&lt;0,"Error in Areas ▲",IF(S74+T74&gt;H74,"Error in Areas ▲",IF(AND(P74='G-1 All Habitats'!$X$3,Y74="Yes"),"Alternative Compensation",IF(W74=0,0,IF(P74='G-1 All Habitats'!$X$3,"Unacceptable Loss",Q74-U74-V74)))))),"Check Data ⚠")</f>
        <v/>
      </c>
      <c r="Y74" s="72"/>
      <c r="Z74" s="151"/>
      <c r="AA74" s="152"/>
      <c r="AC74" s="251" t="str">
        <f>IF(P74="","",IF(P74='G-1 All Habitats'!$X$3,H74-S74-T74,"None"))</f>
        <v/>
      </c>
      <c r="AD74" s="252"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3"/>
      <c r="F75" s="203"/>
      <c r="G75" s="250" t="str">
        <f>IFERROR(INDEX('G-1 All Habitats'!$B$3:$B$129,MATCH(F75,'G-1 All Habitats'!$A$3:$A$129,0)),"")</f>
        <v/>
      </c>
      <c r="H75" s="172"/>
      <c r="I75" s="498" t="str">
        <f>IF(G75="","",VLOOKUP(G75,'G-1 All Habitats'!$B$2:$M$129,10,FALSE))</f>
        <v/>
      </c>
      <c r="J75" s="499" t="str">
        <f>IFERROR(VLOOKUP(I75,'G-1 All Habitats'!$V$3:$W$7,2,FALSE),"")</f>
        <v/>
      </c>
      <c r="K75" s="145"/>
      <c r="L75" s="499" t="str">
        <f>IFERROR(INDEX('G-8 Condition Look up'!$A$3:$H$130,MATCH(G75,'G-8 Condition Look up'!$A$3:$A$130,0),MATCH(K75,'G-8 Condition Look up'!$A$3:$H$3,0)),"")</f>
        <v/>
      </c>
      <c r="M75" s="154"/>
      <c r="N75" s="520" t="str">
        <f>IF(M75="","",IF(VLOOKUP(M75,'G-3 Multipliers'!$L$3:$N$6,2,FALSE)=0,"Spatial Data Missing ⚠",VLOOKUP(M75,'G-3 Multipliers'!$L$3:$N$6,2,FALSE)))</f>
        <v/>
      </c>
      <c r="O75" s="524"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Unacceptable",IF(AND(P75='G-1 All Habitats'!$X$3,W75&gt;0),"Any Loss Unacceptable",H75*J75*L75*O75))))),"Check Data ⚠")</f>
        <v/>
      </c>
      <c r="R75" s="50"/>
      <c r="S75" s="71"/>
      <c r="T75" s="72"/>
      <c r="U75" s="511" t="str">
        <f t="shared" si="2"/>
        <v/>
      </c>
      <c r="V75" s="511" t="str">
        <f t="shared" si="3"/>
        <v/>
      </c>
      <c r="W75" s="511"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5" t="str">
        <f>IFERROR(IF(H75="","",IF(H75-S75-T75=0&lt;0,"Error in Areas ▲",IF(S75+T75&gt;H75,"Error in Areas ▲",IF(AND(P75='G-1 All Habitats'!$X$3,Y75="Yes"),"Alternative Compensation",IF(W75=0,0,IF(P75='G-1 All Habitats'!$X$3,"Unacceptable Loss",Q75-U75-V75)))))),"Check Data ⚠")</f>
        <v/>
      </c>
      <c r="Y75" s="72"/>
      <c r="Z75" s="151"/>
      <c r="AA75" s="152"/>
      <c r="AC75" s="251" t="str">
        <f>IF(P75="","",IF(P75='G-1 All Habitats'!$X$3,H75-S75-T75,"None"))</f>
        <v/>
      </c>
      <c r="AD75" s="252"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3"/>
      <c r="F76" s="203"/>
      <c r="G76" s="250" t="str">
        <f>IFERROR(INDEX('G-1 All Habitats'!$B$3:$B$129,MATCH(F76,'G-1 All Habitats'!$A$3:$A$129,0)),"")</f>
        <v/>
      </c>
      <c r="H76" s="172"/>
      <c r="I76" s="498" t="str">
        <f>IF(G76="","",VLOOKUP(G76,'G-1 All Habitats'!$B$2:$M$129,10,FALSE))</f>
        <v/>
      </c>
      <c r="J76" s="499" t="str">
        <f>IFERROR(VLOOKUP(I76,'G-1 All Habitats'!$V$3:$W$7,2,FALSE),"")</f>
        <v/>
      </c>
      <c r="K76" s="145"/>
      <c r="L76" s="499" t="str">
        <f>IFERROR(INDEX('G-8 Condition Look up'!$A$3:$H$130,MATCH(G76,'G-8 Condition Look up'!$A$3:$A$130,0),MATCH(K76,'G-8 Condition Look up'!$A$3:$H$3,0)),"")</f>
        <v/>
      </c>
      <c r="M76" s="154"/>
      <c r="N76" s="520" t="str">
        <f>IF(M76="","",IF(VLOOKUP(M76,'G-3 Multipliers'!$L$3:$N$6,2,FALSE)=0,"Spatial Data Missing ⚠",VLOOKUP(M76,'G-3 Multipliers'!$L$3:$N$6,2,FALSE)))</f>
        <v/>
      </c>
      <c r="O76" s="524"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Unacceptable",IF(AND(P76='G-1 All Habitats'!$X$3,W76&gt;0),"Any Loss Unacceptable",H76*J76*L76*O76))))),"Check Data ⚠")</f>
        <v/>
      </c>
      <c r="R76" s="50"/>
      <c r="S76" s="71"/>
      <c r="T76" s="72"/>
      <c r="U76" s="511" t="str">
        <f t="shared" ref="U76:U139" si="8">IFERROR(S76*J76*L76*O76,"")</f>
        <v/>
      </c>
      <c r="V76" s="511" t="str">
        <f t="shared" ref="V76:V139" si="9">IFERROR(T76*J76*L76*O76,"")</f>
        <v/>
      </c>
      <c r="W76" s="511"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5" t="str">
        <f>IFERROR(IF(H76="","",IF(H76-S76-T76=0&lt;0,"Error in Areas ▲",IF(S76+T76&gt;H76,"Error in Areas ▲",IF(AND(P76='G-1 All Habitats'!$X$3,Y76="Yes"),"Alternative Compensation",IF(W76=0,0,IF(P76='G-1 All Habitats'!$X$3,"Unacceptable Loss",Q76-U76-V76)))))),"Check Data ⚠")</f>
        <v/>
      </c>
      <c r="Y76" s="72"/>
      <c r="Z76" s="151"/>
      <c r="AA76" s="152"/>
      <c r="AC76" s="251" t="str">
        <f>IF(P76="","",IF(P76='G-1 All Habitats'!$X$3,H76-S76-T76,"None"))</f>
        <v/>
      </c>
      <c r="AD76" s="252"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3"/>
      <c r="F77" s="203"/>
      <c r="G77" s="250" t="str">
        <f>IFERROR(INDEX('G-1 All Habitats'!$B$3:$B$129,MATCH(F77,'G-1 All Habitats'!$A$3:$A$129,0)),"")</f>
        <v/>
      </c>
      <c r="H77" s="172"/>
      <c r="I77" s="498" t="str">
        <f>IF(G77="","",VLOOKUP(G77,'G-1 All Habitats'!$B$2:$M$129,10,FALSE))</f>
        <v/>
      </c>
      <c r="J77" s="499" t="str">
        <f>IFERROR(VLOOKUP(I77,'G-1 All Habitats'!$V$3:$W$7,2,FALSE),"")</f>
        <v/>
      </c>
      <c r="K77" s="145"/>
      <c r="L77" s="499" t="str">
        <f>IFERROR(INDEX('G-8 Condition Look up'!$A$3:$H$130,MATCH(G77,'G-8 Condition Look up'!$A$3:$A$130,0),MATCH(K77,'G-8 Condition Look up'!$A$3:$H$3,0)),"")</f>
        <v/>
      </c>
      <c r="M77" s="154"/>
      <c r="N77" s="520" t="str">
        <f>IF(M77="","",IF(VLOOKUP(M77,'G-3 Multipliers'!$L$3:$N$6,2,FALSE)=0,"Spatial Data Missing ⚠",VLOOKUP(M77,'G-3 Multipliers'!$L$3:$N$6,2,FALSE)))</f>
        <v/>
      </c>
      <c r="O77" s="524"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Unacceptable",IF(AND(P77='G-1 All Habitats'!$X$3,W77&gt;0),"Any Loss Unacceptable",H77*J77*L77*O77))))),"Check Data ⚠")</f>
        <v/>
      </c>
      <c r="R77" s="50"/>
      <c r="S77" s="71"/>
      <c r="T77" s="72"/>
      <c r="U77" s="511" t="str">
        <f t="shared" si="8"/>
        <v/>
      </c>
      <c r="V77" s="511" t="str">
        <f t="shared" si="9"/>
        <v/>
      </c>
      <c r="W77" s="511"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5" t="str">
        <f>IFERROR(IF(H77="","",IF(H77-S77-T77=0&lt;0,"Error in Areas ▲",IF(S77+T77&gt;H77,"Error in Areas ▲",IF(AND(P77='G-1 All Habitats'!$X$3,Y77="Yes"),"Alternative Compensation",IF(W77=0,0,IF(P77='G-1 All Habitats'!$X$3,"Unacceptable Loss",Q77-U77-V77)))))),"Check Data ⚠")</f>
        <v/>
      </c>
      <c r="Y77" s="72"/>
      <c r="Z77" s="151"/>
      <c r="AA77" s="152"/>
      <c r="AC77" s="251" t="str">
        <f>IF(P77="","",IF(P77='G-1 All Habitats'!$X$3,H77-S77-T77,"None"))</f>
        <v/>
      </c>
      <c r="AD77" s="252"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3"/>
      <c r="F78" s="203"/>
      <c r="G78" s="250" t="str">
        <f>IFERROR(INDEX('G-1 All Habitats'!$B$3:$B$129,MATCH(F78,'G-1 All Habitats'!$A$3:$A$129,0)),"")</f>
        <v/>
      </c>
      <c r="H78" s="172"/>
      <c r="I78" s="498" t="str">
        <f>IF(G78="","",VLOOKUP(G78,'G-1 All Habitats'!$B$2:$M$129,10,FALSE))</f>
        <v/>
      </c>
      <c r="J78" s="499" t="str">
        <f>IFERROR(VLOOKUP(I78,'G-1 All Habitats'!$V$3:$W$7,2,FALSE),"")</f>
        <v/>
      </c>
      <c r="K78" s="145"/>
      <c r="L78" s="499" t="str">
        <f>IFERROR(INDEX('G-8 Condition Look up'!$A$3:$H$130,MATCH(G78,'G-8 Condition Look up'!$A$3:$A$130,0),MATCH(K78,'G-8 Condition Look up'!$A$3:$H$3,0)),"")</f>
        <v/>
      </c>
      <c r="M78" s="154"/>
      <c r="N78" s="520" t="str">
        <f>IF(M78="","",IF(VLOOKUP(M78,'G-3 Multipliers'!$L$3:$N$6,2,FALSE)=0,"Spatial Data Missing ⚠",VLOOKUP(M78,'G-3 Multipliers'!$L$3:$N$6,2,FALSE)))</f>
        <v/>
      </c>
      <c r="O78" s="524"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Unacceptable",IF(AND(P78='G-1 All Habitats'!$X$3,W78&gt;0),"Any Loss Unacceptable",H78*J78*L78*O78))))),"Check Data ⚠")</f>
        <v/>
      </c>
      <c r="R78" s="50"/>
      <c r="S78" s="71"/>
      <c r="T78" s="72"/>
      <c r="U78" s="511" t="str">
        <f t="shared" si="8"/>
        <v/>
      </c>
      <c r="V78" s="511" t="str">
        <f t="shared" si="9"/>
        <v/>
      </c>
      <c r="W78" s="511"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5" t="str">
        <f>IFERROR(IF(H78="","",IF(H78-S78-T78=0&lt;0,"Error in Areas ▲",IF(S78+T78&gt;H78,"Error in Areas ▲",IF(AND(P78='G-1 All Habitats'!$X$3,Y78="Yes"),"Alternative Compensation",IF(W78=0,0,IF(P78='G-1 All Habitats'!$X$3,"Unacceptable Loss",Q78-U78-V78)))))),"Check Data ⚠")</f>
        <v/>
      </c>
      <c r="Y78" s="72"/>
      <c r="Z78" s="151"/>
      <c r="AA78" s="152"/>
      <c r="AC78" s="251" t="str">
        <f>IF(P78="","",IF(P78='G-1 All Habitats'!$X$3,H78-S78-T78,"None"))</f>
        <v/>
      </c>
      <c r="AD78" s="252"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3"/>
      <c r="F79" s="203"/>
      <c r="G79" s="250" t="str">
        <f>IFERROR(INDEX('G-1 All Habitats'!$B$3:$B$129,MATCH(F79,'G-1 All Habitats'!$A$3:$A$129,0)),"")</f>
        <v/>
      </c>
      <c r="H79" s="172"/>
      <c r="I79" s="498" t="str">
        <f>IF(G79="","",VLOOKUP(G79,'G-1 All Habitats'!$B$2:$M$129,10,FALSE))</f>
        <v/>
      </c>
      <c r="J79" s="499" t="str">
        <f>IFERROR(VLOOKUP(I79,'G-1 All Habitats'!$V$3:$W$7,2,FALSE),"")</f>
        <v/>
      </c>
      <c r="K79" s="145"/>
      <c r="L79" s="499" t="str">
        <f>IFERROR(INDEX('G-8 Condition Look up'!$A$3:$H$130,MATCH(G79,'G-8 Condition Look up'!$A$3:$A$130,0),MATCH(K79,'G-8 Condition Look up'!$A$3:$H$3,0)),"")</f>
        <v/>
      </c>
      <c r="M79" s="154"/>
      <c r="N79" s="520" t="str">
        <f>IF(M79="","",IF(VLOOKUP(M79,'G-3 Multipliers'!$L$3:$N$6,2,FALSE)=0,"Spatial Data Missing ⚠",VLOOKUP(M79,'G-3 Multipliers'!$L$3:$N$6,2,FALSE)))</f>
        <v/>
      </c>
      <c r="O79" s="524"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Unacceptable",IF(AND(P79='G-1 All Habitats'!$X$3,W79&gt;0),"Any Loss Unacceptable",H79*J79*L79*O79))))),"Check Data ⚠")</f>
        <v/>
      </c>
      <c r="R79" s="50"/>
      <c r="S79" s="71"/>
      <c r="T79" s="72"/>
      <c r="U79" s="511" t="str">
        <f t="shared" si="8"/>
        <v/>
      </c>
      <c r="V79" s="511" t="str">
        <f t="shared" si="9"/>
        <v/>
      </c>
      <c r="W79" s="511"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5" t="str">
        <f>IFERROR(IF(H79="","",IF(H79-S79-T79=0&lt;0,"Error in Areas ▲",IF(S79+T79&gt;H79,"Error in Areas ▲",IF(AND(P79='G-1 All Habitats'!$X$3,Y79="Yes"),"Alternative Compensation",IF(W79=0,0,IF(P79='G-1 All Habitats'!$X$3,"Unacceptable Loss",Q79-U79-V79)))))),"Check Data ⚠")</f>
        <v/>
      </c>
      <c r="Y79" s="72"/>
      <c r="Z79" s="151"/>
      <c r="AA79" s="152"/>
      <c r="AC79" s="251" t="str">
        <f>IF(P79="","",IF(P79='G-1 All Habitats'!$X$3,H79-S79-T79,"None"))</f>
        <v/>
      </c>
      <c r="AD79" s="252"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3"/>
      <c r="F80" s="203"/>
      <c r="G80" s="250" t="str">
        <f>IFERROR(INDEX('G-1 All Habitats'!$B$3:$B$129,MATCH(F80,'G-1 All Habitats'!$A$3:$A$129,0)),"")</f>
        <v/>
      </c>
      <c r="H80" s="172"/>
      <c r="I80" s="498" t="str">
        <f>IF(G80="","",VLOOKUP(G80,'G-1 All Habitats'!$B$2:$M$129,10,FALSE))</f>
        <v/>
      </c>
      <c r="J80" s="499" t="str">
        <f>IFERROR(VLOOKUP(I80,'G-1 All Habitats'!$V$3:$W$7,2,FALSE),"")</f>
        <v/>
      </c>
      <c r="K80" s="145"/>
      <c r="L80" s="499" t="str">
        <f>IFERROR(INDEX('G-8 Condition Look up'!$A$3:$H$130,MATCH(G80,'G-8 Condition Look up'!$A$3:$A$130,0),MATCH(K80,'G-8 Condition Look up'!$A$3:$H$3,0)),"")</f>
        <v/>
      </c>
      <c r="M80" s="154"/>
      <c r="N80" s="520" t="str">
        <f>IF(M80="","",IF(VLOOKUP(M80,'G-3 Multipliers'!$L$3:$N$6,2,FALSE)=0,"Spatial Data Missing ⚠",VLOOKUP(M80,'G-3 Multipliers'!$L$3:$N$6,2,FALSE)))</f>
        <v/>
      </c>
      <c r="O80" s="524"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Unacceptable",IF(AND(P80='G-1 All Habitats'!$X$3,W80&gt;0),"Any Loss Unacceptable",H80*J80*L80*O80))))),"Check Data ⚠")</f>
        <v/>
      </c>
      <c r="R80" s="50"/>
      <c r="S80" s="71"/>
      <c r="T80" s="72"/>
      <c r="U80" s="511" t="str">
        <f t="shared" si="8"/>
        <v/>
      </c>
      <c r="V80" s="511" t="str">
        <f t="shared" si="9"/>
        <v/>
      </c>
      <c r="W80" s="511"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5" t="str">
        <f>IFERROR(IF(H80="","",IF(H80-S80-T80=0&lt;0,"Error in Areas ▲",IF(S80+T80&gt;H80,"Error in Areas ▲",IF(AND(P80='G-1 All Habitats'!$X$3,Y80="Yes"),"Alternative Compensation",IF(W80=0,0,IF(P80='G-1 All Habitats'!$X$3,"Unacceptable Loss",Q80-U80-V80)))))),"Check Data ⚠")</f>
        <v/>
      </c>
      <c r="Y80" s="72"/>
      <c r="Z80" s="151"/>
      <c r="AA80" s="152"/>
      <c r="AC80" s="251" t="str">
        <f>IF(P80="","",IF(P80='G-1 All Habitats'!$X$3,H80-S80-T80,"None"))</f>
        <v/>
      </c>
      <c r="AD80" s="252"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3"/>
      <c r="F81" s="203"/>
      <c r="G81" s="250" t="str">
        <f>IFERROR(INDEX('G-1 All Habitats'!$B$3:$B$129,MATCH(F81,'G-1 All Habitats'!$A$3:$A$129,0)),"")</f>
        <v/>
      </c>
      <c r="H81" s="172"/>
      <c r="I81" s="498" t="str">
        <f>IF(G81="","",VLOOKUP(G81,'G-1 All Habitats'!$B$2:$M$129,10,FALSE))</f>
        <v/>
      </c>
      <c r="J81" s="499" t="str">
        <f>IFERROR(VLOOKUP(I81,'G-1 All Habitats'!$V$3:$W$7,2,FALSE),"")</f>
        <v/>
      </c>
      <c r="K81" s="145"/>
      <c r="L81" s="499" t="str">
        <f>IFERROR(INDEX('G-8 Condition Look up'!$A$3:$H$130,MATCH(G81,'G-8 Condition Look up'!$A$3:$A$130,0),MATCH(K81,'G-8 Condition Look up'!$A$3:$H$3,0)),"")</f>
        <v/>
      </c>
      <c r="M81" s="154"/>
      <c r="N81" s="520" t="str">
        <f>IF(M81="","",IF(VLOOKUP(M81,'G-3 Multipliers'!$L$3:$N$6,2,FALSE)=0,"Spatial Data Missing ⚠",VLOOKUP(M81,'G-3 Multipliers'!$L$3:$N$6,2,FALSE)))</f>
        <v/>
      </c>
      <c r="O81" s="524"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Unacceptable",IF(AND(P81='G-1 All Habitats'!$X$3,W81&gt;0),"Any Loss Unacceptable",H81*J81*L81*O81))))),"Check Data ⚠")</f>
        <v/>
      </c>
      <c r="R81" s="50"/>
      <c r="S81" s="71"/>
      <c r="T81" s="72"/>
      <c r="U81" s="511" t="str">
        <f t="shared" si="8"/>
        <v/>
      </c>
      <c r="V81" s="511" t="str">
        <f t="shared" si="9"/>
        <v/>
      </c>
      <c r="W81" s="511"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5" t="str">
        <f>IFERROR(IF(H81="","",IF(H81-S81-T81=0&lt;0,"Error in Areas ▲",IF(S81+T81&gt;H81,"Error in Areas ▲",IF(AND(P81='G-1 All Habitats'!$X$3,Y81="Yes"),"Alternative Compensation",IF(W81=0,0,IF(P81='G-1 All Habitats'!$X$3,"Unacceptable Loss",Q81-U81-V81)))))),"Check Data ⚠")</f>
        <v/>
      </c>
      <c r="Y81" s="72"/>
      <c r="Z81" s="151"/>
      <c r="AA81" s="152"/>
      <c r="AC81" s="251" t="str">
        <f>IF(P81="","",IF(P81='G-1 All Habitats'!$X$3,H81-S81-T81,"None"))</f>
        <v/>
      </c>
      <c r="AD81" s="252"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3"/>
      <c r="F82" s="203"/>
      <c r="G82" s="250" t="str">
        <f>IFERROR(INDEX('G-1 All Habitats'!$B$3:$B$129,MATCH(F82,'G-1 All Habitats'!$A$3:$A$129,0)),"")</f>
        <v/>
      </c>
      <c r="H82" s="172"/>
      <c r="I82" s="498" t="str">
        <f>IF(G82="","",VLOOKUP(G82,'G-1 All Habitats'!$B$2:$M$129,10,FALSE))</f>
        <v/>
      </c>
      <c r="J82" s="499" t="str">
        <f>IFERROR(VLOOKUP(I82,'G-1 All Habitats'!$V$3:$W$7,2,FALSE),"")</f>
        <v/>
      </c>
      <c r="K82" s="145"/>
      <c r="L82" s="499" t="str">
        <f>IFERROR(INDEX('G-8 Condition Look up'!$A$3:$H$130,MATCH(G82,'G-8 Condition Look up'!$A$3:$A$130,0),MATCH(K82,'G-8 Condition Look up'!$A$3:$H$3,0)),"")</f>
        <v/>
      </c>
      <c r="M82" s="154"/>
      <c r="N82" s="520" t="str">
        <f>IF(M82="","",IF(VLOOKUP(M82,'G-3 Multipliers'!$L$3:$N$6,2,FALSE)=0,"Spatial Data Missing ⚠",VLOOKUP(M82,'G-3 Multipliers'!$L$3:$N$6,2,FALSE)))</f>
        <v/>
      </c>
      <c r="O82" s="524"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Unacceptable",IF(AND(P82='G-1 All Habitats'!$X$3,W82&gt;0),"Any Loss Unacceptable",H82*J82*L82*O82))))),"Check Data ⚠")</f>
        <v/>
      </c>
      <c r="R82" s="50"/>
      <c r="S82" s="71"/>
      <c r="T82" s="72"/>
      <c r="U82" s="511" t="str">
        <f t="shared" si="8"/>
        <v/>
      </c>
      <c r="V82" s="511" t="str">
        <f t="shared" si="9"/>
        <v/>
      </c>
      <c r="W82" s="511"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5" t="str">
        <f>IFERROR(IF(H82="","",IF(H82-S82-T82=0&lt;0,"Error in Areas ▲",IF(S82+T82&gt;H82,"Error in Areas ▲",IF(AND(P82='G-1 All Habitats'!$X$3,Y82="Yes"),"Alternative Compensation",IF(W82=0,0,IF(P82='G-1 All Habitats'!$X$3,"Unacceptable Loss",Q82-U82-V82)))))),"Check Data ⚠")</f>
        <v/>
      </c>
      <c r="Y82" s="72"/>
      <c r="Z82" s="151"/>
      <c r="AA82" s="152"/>
      <c r="AC82" s="251" t="str">
        <f>IF(P82="","",IF(P82='G-1 All Habitats'!$X$3,H82-S82-T82,"None"))</f>
        <v/>
      </c>
      <c r="AD82" s="252"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3"/>
      <c r="F83" s="203"/>
      <c r="G83" s="250" t="str">
        <f>IFERROR(INDEX('G-1 All Habitats'!$B$3:$B$129,MATCH(F83,'G-1 All Habitats'!$A$3:$A$129,0)),"")</f>
        <v/>
      </c>
      <c r="H83" s="172"/>
      <c r="I83" s="498" t="str">
        <f>IF(G83="","",VLOOKUP(G83,'G-1 All Habitats'!$B$2:$M$129,10,FALSE))</f>
        <v/>
      </c>
      <c r="J83" s="499" t="str">
        <f>IFERROR(VLOOKUP(I83,'G-1 All Habitats'!$V$3:$W$7,2,FALSE),"")</f>
        <v/>
      </c>
      <c r="K83" s="145"/>
      <c r="L83" s="499" t="str">
        <f>IFERROR(INDEX('G-8 Condition Look up'!$A$3:$H$130,MATCH(G83,'G-8 Condition Look up'!$A$3:$A$130,0),MATCH(K83,'G-8 Condition Look up'!$A$3:$H$3,0)),"")</f>
        <v/>
      </c>
      <c r="M83" s="154"/>
      <c r="N83" s="520" t="str">
        <f>IF(M83="","",IF(VLOOKUP(M83,'G-3 Multipliers'!$L$3:$N$6,2,FALSE)=0,"Spatial Data Missing ⚠",VLOOKUP(M83,'G-3 Multipliers'!$L$3:$N$6,2,FALSE)))</f>
        <v/>
      </c>
      <c r="O83" s="524"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Unacceptable",IF(AND(P83='G-1 All Habitats'!$X$3,W83&gt;0),"Any Loss Unacceptable",H83*J83*L83*O83))))),"Check Data ⚠")</f>
        <v/>
      </c>
      <c r="R83" s="50"/>
      <c r="S83" s="71"/>
      <c r="T83" s="72"/>
      <c r="U83" s="511" t="str">
        <f t="shared" si="8"/>
        <v/>
      </c>
      <c r="V83" s="511" t="str">
        <f t="shared" si="9"/>
        <v/>
      </c>
      <c r="W83" s="511"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5" t="str">
        <f>IFERROR(IF(H83="","",IF(H83-S83-T83=0&lt;0,"Error in Areas ▲",IF(S83+T83&gt;H83,"Error in Areas ▲",IF(AND(P83='G-1 All Habitats'!$X$3,Y83="Yes"),"Alternative Compensation",IF(W83=0,0,IF(P83='G-1 All Habitats'!$X$3,"Unacceptable Loss",Q83-U83-V83)))))),"Check Data ⚠")</f>
        <v/>
      </c>
      <c r="Y83" s="72"/>
      <c r="Z83" s="151"/>
      <c r="AA83" s="152"/>
      <c r="AC83" s="251" t="str">
        <f>IF(P83="","",IF(P83='G-1 All Habitats'!$X$3,H83-S83-T83,"None"))</f>
        <v/>
      </c>
      <c r="AD83" s="252"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3"/>
      <c r="F84" s="203"/>
      <c r="G84" s="250" t="str">
        <f>IFERROR(INDEX('G-1 All Habitats'!$B$3:$B$129,MATCH(F84,'G-1 All Habitats'!$A$3:$A$129,0)),"")</f>
        <v/>
      </c>
      <c r="H84" s="172"/>
      <c r="I84" s="498" t="str">
        <f>IF(G84="","",VLOOKUP(G84,'G-1 All Habitats'!$B$2:$M$129,10,FALSE))</f>
        <v/>
      </c>
      <c r="J84" s="499" t="str">
        <f>IFERROR(VLOOKUP(I84,'G-1 All Habitats'!$V$3:$W$7,2,FALSE),"")</f>
        <v/>
      </c>
      <c r="K84" s="145"/>
      <c r="L84" s="499" t="str">
        <f>IFERROR(INDEX('G-8 Condition Look up'!$A$3:$H$130,MATCH(G84,'G-8 Condition Look up'!$A$3:$A$130,0),MATCH(K84,'G-8 Condition Look up'!$A$3:$H$3,0)),"")</f>
        <v/>
      </c>
      <c r="M84" s="154"/>
      <c r="N84" s="520" t="str">
        <f>IF(M84="","",IF(VLOOKUP(M84,'G-3 Multipliers'!$L$3:$N$6,2,FALSE)=0,"Spatial Data Missing ⚠",VLOOKUP(M84,'G-3 Multipliers'!$L$3:$N$6,2,FALSE)))</f>
        <v/>
      </c>
      <c r="O84" s="524"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Unacceptable",IF(AND(P84='G-1 All Habitats'!$X$3,W84&gt;0),"Any Loss Unacceptable",H84*J84*L84*O84))))),"Check Data ⚠")</f>
        <v/>
      </c>
      <c r="R84" s="50"/>
      <c r="S84" s="71"/>
      <c r="T84" s="72"/>
      <c r="U84" s="511" t="str">
        <f t="shared" si="8"/>
        <v/>
      </c>
      <c r="V84" s="511" t="str">
        <f t="shared" si="9"/>
        <v/>
      </c>
      <c r="W84" s="511"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5" t="str">
        <f>IFERROR(IF(H84="","",IF(H84-S84-T84=0&lt;0,"Error in Areas ▲",IF(S84+T84&gt;H84,"Error in Areas ▲",IF(AND(P84='G-1 All Habitats'!$X$3,Y84="Yes"),"Alternative Compensation",IF(W84=0,0,IF(P84='G-1 All Habitats'!$X$3,"Unacceptable Loss",Q84-U84-V84)))))),"Check Data ⚠")</f>
        <v/>
      </c>
      <c r="Y84" s="72"/>
      <c r="Z84" s="151"/>
      <c r="AA84" s="152"/>
      <c r="AC84" s="251" t="str">
        <f>IF(P84="","",IF(P84='G-1 All Habitats'!$X$3,H84-S84-T84,"None"))</f>
        <v/>
      </c>
      <c r="AD84" s="252"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3"/>
      <c r="F85" s="203"/>
      <c r="G85" s="250" t="str">
        <f>IFERROR(INDEX('G-1 All Habitats'!$B$3:$B$129,MATCH(F85,'G-1 All Habitats'!$A$3:$A$129,0)),"")</f>
        <v/>
      </c>
      <c r="H85" s="172"/>
      <c r="I85" s="498" t="str">
        <f>IF(G85="","",VLOOKUP(G85,'G-1 All Habitats'!$B$2:$M$129,10,FALSE))</f>
        <v/>
      </c>
      <c r="J85" s="499" t="str">
        <f>IFERROR(VLOOKUP(I85,'G-1 All Habitats'!$V$3:$W$7,2,FALSE),"")</f>
        <v/>
      </c>
      <c r="K85" s="145"/>
      <c r="L85" s="499" t="str">
        <f>IFERROR(INDEX('G-8 Condition Look up'!$A$3:$H$130,MATCH(G85,'G-8 Condition Look up'!$A$3:$A$130,0),MATCH(K85,'G-8 Condition Look up'!$A$3:$H$3,0)),"")</f>
        <v/>
      </c>
      <c r="M85" s="154"/>
      <c r="N85" s="520" t="str">
        <f>IF(M85="","",IF(VLOOKUP(M85,'G-3 Multipliers'!$L$3:$N$6,2,FALSE)=0,"Spatial Data Missing ⚠",VLOOKUP(M85,'G-3 Multipliers'!$L$3:$N$6,2,FALSE)))</f>
        <v/>
      </c>
      <c r="O85" s="524"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Unacceptable",IF(AND(P85='G-1 All Habitats'!$X$3,W85&gt;0),"Any Loss Unacceptable",H85*J85*L85*O85))))),"Check Data ⚠")</f>
        <v/>
      </c>
      <c r="R85" s="50"/>
      <c r="S85" s="71"/>
      <c r="T85" s="72"/>
      <c r="U85" s="511" t="str">
        <f t="shared" si="8"/>
        <v/>
      </c>
      <c r="V85" s="511" t="str">
        <f t="shared" si="9"/>
        <v/>
      </c>
      <c r="W85" s="511"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5" t="str">
        <f>IFERROR(IF(H85="","",IF(H85-S85-T85=0&lt;0,"Error in Areas ▲",IF(S85+T85&gt;H85,"Error in Areas ▲",IF(AND(P85='G-1 All Habitats'!$X$3,Y85="Yes"),"Alternative Compensation",IF(W85=0,0,IF(P85='G-1 All Habitats'!$X$3,"Unacceptable Loss",Q85-U85-V85)))))),"Check Data ⚠")</f>
        <v/>
      </c>
      <c r="Y85" s="72"/>
      <c r="Z85" s="151"/>
      <c r="AA85" s="152"/>
      <c r="AC85" s="251" t="str">
        <f>IF(P85="","",IF(P85='G-1 All Habitats'!$X$3,H85-S85-T85,"None"))</f>
        <v/>
      </c>
      <c r="AD85" s="252"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3"/>
      <c r="F86" s="203"/>
      <c r="G86" s="250" t="str">
        <f>IFERROR(INDEX('G-1 All Habitats'!$B$3:$B$129,MATCH(F86,'G-1 All Habitats'!$A$3:$A$129,0)),"")</f>
        <v/>
      </c>
      <c r="H86" s="172"/>
      <c r="I86" s="498" t="str">
        <f>IF(G86="","",VLOOKUP(G86,'G-1 All Habitats'!$B$2:$M$129,10,FALSE))</f>
        <v/>
      </c>
      <c r="J86" s="499" t="str">
        <f>IFERROR(VLOOKUP(I86,'G-1 All Habitats'!$V$3:$W$7,2,FALSE),"")</f>
        <v/>
      </c>
      <c r="K86" s="145"/>
      <c r="L86" s="499" t="str">
        <f>IFERROR(INDEX('G-8 Condition Look up'!$A$3:$H$130,MATCH(G86,'G-8 Condition Look up'!$A$3:$A$130,0),MATCH(K86,'G-8 Condition Look up'!$A$3:$H$3,0)),"")</f>
        <v/>
      </c>
      <c r="M86" s="154"/>
      <c r="N86" s="520" t="str">
        <f>IF(M86="","",IF(VLOOKUP(M86,'G-3 Multipliers'!$L$3:$N$6,2,FALSE)=0,"Spatial Data Missing ⚠",VLOOKUP(M86,'G-3 Multipliers'!$L$3:$N$6,2,FALSE)))</f>
        <v/>
      </c>
      <c r="O86" s="524"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Unacceptable",IF(AND(P86='G-1 All Habitats'!$X$3,W86&gt;0),"Any Loss Unacceptable",H86*J86*L86*O86))))),"Check Data ⚠")</f>
        <v/>
      </c>
      <c r="R86" s="50"/>
      <c r="S86" s="71"/>
      <c r="T86" s="72"/>
      <c r="U86" s="511" t="str">
        <f t="shared" si="8"/>
        <v/>
      </c>
      <c r="V86" s="511" t="str">
        <f t="shared" si="9"/>
        <v/>
      </c>
      <c r="W86" s="511"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5" t="str">
        <f>IFERROR(IF(H86="","",IF(H86-S86-T86=0&lt;0,"Error in Areas ▲",IF(S86+T86&gt;H86,"Error in Areas ▲",IF(AND(P86='G-1 All Habitats'!$X$3,Y86="Yes"),"Alternative Compensation",IF(W86=0,0,IF(P86='G-1 All Habitats'!$X$3,"Unacceptable Loss",Q86-U86-V86)))))),"Check Data ⚠")</f>
        <v/>
      </c>
      <c r="Y86" s="72"/>
      <c r="Z86" s="151"/>
      <c r="AA86" s="152"/>
      <c r="AC86" s="251" t="str">
        <f>IF(P86="","",IF(P86='G-1 All Habitats'!$X$3,H86-S86-T86,"None"))</f>
        <v/>
      </c>
      <c r="AD86" s="252"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3"/>
      <c r="F87" s="203"/>
      <c r="G87" s="250" t="str">
        <f>IFERROR(INDEX('G-1 All Habitats'!$B$3:$B$129,MATCH(F87,'G-1 All Habitats'!$A$3:$A$129,0)),"")</f>
        <v/>
      </c>
      <c r="H87" s="172"/>
      <c r="I87" s="498" t="str">
        <f>IF(G87="","",VLOOKUP(G87,'G-1 All Habitats'!$B$2:$M$129,10,FALSE))</f>
        <v/>
      </c>
      <c r="J87" s="499" t="str">
        <f>IFERROR(VLOOKUP(I87,'G-1 All Habitats'!$V$3:$W$7,2,FALSE),"")</f>
        <v/>
      </c>
      <c r="K87" s="145"/>
      <c r="L87" s="499" t="str">
        <f>IFERROR(INDEX('G-8 Condition Look up'!$A$3:$H$130,MATCH(G87,'G-8 Condition Look up'!$A$3:$A$130,0),MATCH(K87,'G-8 Condition Look up'!$A$3:$H$3,0)),"")</f>
        <v/>
      </c>
      <c r="M87" s="154"/>
      <c r="N87" s="520" t="str">
        <f>IF(M87="","",IF(VLOOKUP(M87,'G-3 Multipliers'!$L$3:$N$6,2,FALSE)=0,"Spatial Data Missing ⚠",VLOOKUP(M87,'G-3 Multipliers'!$L$3:$N$6,2,FALSE)))</f>
        <v/>
      </c>
      <c r="O87" s="524"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Unacceptable",IF(AND(P87='G-1 All Habitats'!$X$3,W87&gt;0),"Any Loss Unacceptable",H87*J87*L87*O87))))),"Check Data ⚠")</f>
        <v/>
      </c>
      <c r="R87" s="50"/>
      <c r="S87" s="71"/>
      <c r="T87" s="72"/>
      <c r="U87" s="511" t="str">
        <f t="shared" si="8"/>
        <v/>
      </c>
      <c r="V87" s="511" t="str">
        <f t="shared" si="9"/>
        <v/>
      </c>
      <c r="W87" s="511"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5" t="str">
        <f>IFERROR(IF(H87="","",IF(H87-S87-T87=0&lt;0,"Error in Areas ▲",IF(S87+T87&gt;H87,"Error in Areas ▲",IF(AND(P87='G-1 All Habitats'!$X$3,Y87="Yes"),"Alternative Compensation",IF(W87=0,0,IF(P87='G-1 All Habitats'!$X$3,"Unacceptable Loss",Q87-U87-V87)))))),"Check Data ⚠")</f>
        <v/>
      </c>
      <c r="Y87" s="72"/>
      <c r="Z87" s="151"/>
      <c r="AA87" s="152"/>
      <c r="AC87" s="251" t="str">
        <f>IF(P87="","",IF(P87='G-1 All Habitats'!$X$3,H87-S87-T87,"None"))</f>
        <v/>
      </c>
      <c r="AD87" s="252"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3"/>
      <c r="F88" s="203"/>
      <c r="G88" s="250" t="str">
        <f>IFERROR(INDEX('G-1 All Habitats'!$B$3:$B$129,MATCH(F88,'G-1 All Habitats'!$A$3:$A$129,0)),"")</f>
        <v/>
      </c>
      <c r="H88" s="172"/>
      <c r="I88" s="498" t="str">
        <f>IF(G88="","",VLOOKUP(G88,'G-1 All Habitats'!$B$2:$M$129,10,FALSE))</f>
        <v/>
      </c>
      <c r="J88" s="499" t="str">
        <f>IFERROR(VLOOKUP(I88,'G-1 All Habitats'!$V$3:$W$7,2,FALSE),"")</f>
        <v/>
      </c>
      <c r="K88" s="145"/>
      <c r="L88" s="499" t="str">
        <f>IFERROR(INDEX('G-8 Condition Look up'!$A$3:$H$130,MATCH(G88,'G-8 Condition Look up'!$A$3:$A$130,0),MATCH(K88,'G-8 Condition Look up'!$A$3:$H$3,0)),"")</f>
        <v/>
      </c>
      <c r="M88" s="154"/>
      <c r="N88" s="520" t="str">
        <f>IF(M88="","",IF(VLOOKUP(M88,'G-3 Multipliers'!$L$3:$N$6,2,FALSE)=0,"Spatial Data Missing ⚠",VLOOKUP(M88,'G-3 Multipliers'!$L$3:$N$6,2,FALSE)))</f>
        <v/>
      </c>
      <c r="O88" s="524"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Unacceptable",IF(AND(P88='G-1 All Habitats'!$X$3,W88&gt;0),"Any Loss Unacceptable",H88*J88*L88*O88))))),"Check Data ⚠")</f>
        <v/>
      </c>
      <c r="R88" s="50"/>
      <c r="S88" s="71"/>
      <c r="T88" s="72"/>
      <c r="U88" s="511" t="str">
        <f t="shared" si="8"/>
        <v/>
      </c>
      <c r="V88" s="511" t="str">
        <f t="shared" si="9"/>
        <v/>
      </c>
      <c r="W88" s="511"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5" t="str">
        <f>IFERROR(IF(H88="","",IF(H88-S88-T88=0&lt;0,"Error in Areas ▲",IF(S88+T88&gt;H88,"Error in Areas ▲",IF(AND(P88='G-1 All Habitats'!$X$3,Y88="Yes"),"Alternative Compensation",IF(W88=0,0,IF(P88='G-1 All Habitats'!$X$3,"Unacceptable Loss",Q88-U88-V88)))))),"Check Data ⚠")</f>
        <v/>
      </c>
      <c r="Y88" s="72"/>
      <c r="Z88" s="151"/>
      <c r="AA88" s="152"/>
      <c r="AC88" s="251" t="str">
        <f>IF(P88="","",IF(P88='G-1 All Habitats'!$X$3,H88-S88-T88,"None"))</f>
        <v/>
      </c>
      <c r="AD88" s="252"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3"/>
      <c r="F89" s="203"/>
      <c r="G89" s="250" t="str">
        <f>IFERROR(INDEX('G-1 All Habitats'!$B$3:$B$129,MATCH(F89,'G-1 All Habitats'!$A$3:$A$129,0)),"")</f>
        <v/>
      </c>
      <c r="H89" s="172"/>
      <c r="I89" s="498" t="str">
        <f>IF(G89="","",VLOOKUP(G89,'G-1 All Habitats'!$B$2:$M$129,10,FALSE))</f>
        <v/>
      </c>
      <c r="J89" s="499" t="str">
        <f>IFERROR(VLOOKUP(I89,'G-1 All Habitats'!$V$3:$W$7,2,FALSE),"")</f>
        <v/>
      </c>
      <c r="K89" s="145"/>
      <c r="L89" s="499" t="str">
        <f>IFERROR(INDEX('G-8 Condition Look up'!$A$3:$H$130,MATCH(G89,'G-8 Condition Look up'!$A$3:$A$130,0),MATCH(K89,'G-8 Condition Look up'!$A$3:$H$3,0)),"")</f>
        <v/>
      </c>
      <c r="M89" s="154"/>
      <c r="N89" s="520" t="str">
        <f>IF(M89="","",IF(VLOOKUP(M89,'G-3 Multipliers'!$L$3:$N$6,2,FALSE)=0,"Spatial Data Missing ⚠",VLOOKUP(M89,'G-3 Multipliers'!$L$3:$N$6,2,FALSE)))</f>
        <v/>
      </c>
      <c r="O89" s="524"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Unacceptable",IF(AND(P89='G-1 All Habitats'!$X$3,W89&gt;0),"Any Loss Unacceptable",H89*J89*L89*O89))))),"Check Data ⚠")</f>
        <v/>
      </c>
      <c r="R89" s="50"/>
      <c r="S89" s="71"/>
      <c r="T89" s="72"/>
      <c r="U89" s="511" t="str">
        <f t="shared" si="8"/>
        <v/>
      </c>
      <c r="V89" s="511" t="str">
        <f t="shared" si="9"/>
        <v/>
      </c>
      <c r="W89" s="511"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5" t="str">
        <f>IFERROR(IF(H89="","",IF(H89-S89-T89=0&lt;0,"Error in Areas ▲",IF(S89+T89&gt;H89,"Error in Areas ▲",IF(AND(P89='G-1 All Habitats'!$X$3,Y89="Yes"),"Alternative Compensation",IF(W89=0,0,IF(P89='G-1 All Habitats'!$X$3,"Unacceptable Loss",Q89-U89-V89)))))),"Check Data ⚠")</f>
        <v/>
      </c>
      <c r="Y89" s="72"/>
      <c r="Z89" s="151"/>
      <c r="AA89" s="152"/>
      <c r="AC89" s="251" t="str">
        <f>IF(P89="","",IF(P89='G-1 All Habitats'!$X$3,H89-S89-T89,"None"))</f>
        <v/>
      </c>
      <c r="AD89" s="252"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3"/>
      <c r="F90" s="203"/>
      <c r="G90" s="250" t="str">
        <f>IFERROR(INDEX('G-1 All Habitats'!$B$3:$B$129,MATCH(F90,'G-1 All Habitats'!$A$3:$A$129,0)),"")</f>
        <v/>
      </c>
      <c r="H90" s="172"/>
      <c r="I90" s="498" t="str">
        <f>IF(G90="","",VLOOKUP(G90,'G-1 All Habitats'!$B$2:$M$129,10,FALSE))</f>
        <v/>
      </c>
      <c r="J90" s="499" t="str">
        <f>IFERROR(VLOOKUP(I90,'G-1 All Habitats'!$V$3:$W$7,2,FALSE),"")</f>
        <v/>
      </c>
      <c r="K90" s="145"/>
      <c r="L90" s="499" t="str">
        <f>IFERROR(INDEX('G-8 Condition Look up'!$A$3:$H$130,MATCH(G90,'G-8 Condition Look up'!$A$3:$A$130,0),MATCH(K90,'G-8 Condition Look up'!$A$3:$H$3,0)),"")</f>
        <v/>
      </c>
      <c r="M90" s="154"/>
      <c r="N90" s="520" t="str">
        <f>IF(M90="","",IF(VLOOKUP(M90,'G-3 Multipliers'!$L$3:$N$6,2,FALSE)=0,"Spatial Data Missing ⚠",VLOOKUP(M90,'G-3 Multipliers'!$L$3:$N$6,2,FALSE)))</f>
        <v/>
      </c>
      <c r="O90" s="524"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Unacceptable",IF(AND(P90='G-1 All Habitats'!$X$3,W90&gt;0),"Any Loss Unacceptable",H90*J90*L90*O90))))),"Check Data ⚠")</f>
        <v/>
      </c>
      <c r="R90" s="50"/>
      <c r="S90" s="71"/>
      <c r="T90" s="72"/>
      <c r="U90" s="511" t="str">
        <f t="shared" si="8"/>
        <v/>
      </c>
      <c r="V90" s="511" t="str">
        <f t="shared" si="9"/>
        <v/>
      </c>
      <c r="W90" s="511"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5" t="str">
        <f>IFERROR(IF(H90="","",IF(H90-S90-T90=0&lt;0,"Error in Areas ▲",IF(S90+T90&gt;H90,"Error in Areas ▲",IF(AND(P90='G-1 All Habitats'!$X$3,Y90="Yes"),"Alternative Compensation",IF(W90=0,0,IF(P90='G-1 All Habitats'!$X$3,"Unacceptable Loss",Q90-U90-V90)))))),"Check Data ⚠")</f>
        <v/>
      </c>
      <c r="Y90" s="72"/>
      <c r="Z90" s="151"/>
      <c r="AA90" s="152"/>
      <c r="AC90" s="251" t="str">
        <f>IF(P90="","",IF(P90='G-1 All Habitats'!$X$3,H90-S90-T90,"None"))</f>
        <v/>
      </c>
      <c r="AD90" s="252"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3"/>
      <c r="F91" s="203"/>
      <c r="G91" s="250" t="str">
        <f>IFERROR(INDEX('G-1 All Habitats'!$B$3:$B$129,MATCH(F91,'G-1 All Habitats'!$A$3:$A$129,0)),"")</f>
        <v/>
      </c>
      <c r="H91" s="172"/>
      <c r="I91" s="498" t="str">
        <f>IF(G91="","",VLOOKUP(G91,'G-1 All Habitats'!$B$2:$M$129,10,FALSE))</f>
        <v/>
      </c>
      <c r="J91" s="499" t="str">
        <f>IFERROR(VLOOKUP(I91,'G-1 All Habitats'!$V$3:$W$7,2,FALSE),"")</f>
        <v/>
      </c>
      <c r="K91" s="145"/>
      <c r="L91" s="499" t="str">
        <f>IFERROR(INDEX('G-8 Condition Look up'!$A$3:$H$130,MATCH(G91,'G-8 Condition Look up'!$A$3:$A$130,0),MATCH(K91,'G-8 Condition Look up'!$A$3:$H$3,0)),"")</f>
        <v/>
      </c>
      <c r="M91" s="154"/>
      <c r="N91" s="520" t="str">
        <f>IF(M91="","",IF(VLOOKUP(M91,'G-3 Multipliers'!$L$3:$N$6,2,FALSE)=0,"Spatial Data Missing ⚠",VLOOKUP(M91,'G-3 Multipliers'!$L$3:$N$6,2,FALSE)))</f>
        <v/>
      </c>
      <c r="O91" s="524"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Unacceptable",IF(AND(P91='G-1 All Habitats'!$X$3,W91&gt;0),"Any Loss Unacceptable",H91*J91*L91*O91))))),"Check Data ⚠")</f>
        <v/>
      </c>
      <c r="R91" s="50"/>
      <c r="S91" s="71"/>
      <c r="T91" s="72"/>
      <c r="U91" s="511" t="str">
        <f t="shared" si="8"/>
        <v/>
      </c>
      <c r="V91" s="511" t="str">
        <f t="shared" si="9"/>
        <v/>
      </c>
      <c r="W91" s="511"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5" t="str">
        <f>IFERROR(IF(H91="","",IF(H91-S91-T91=0&lt;0,"Error in Areas ▲",IF(S91+T91&gt;H91,"Error in Areas ▲",IF(AND(P91='G-1 All Habitats'!$X$3,Y91="Yes"),"Alternative Compensation",IF(W91=0,0,IF(P91='G-1 All Habitats'!$X$3,"Unacceptable Loss",Q91-U91-V91)))))),"Check Data ⚠")</f>
        <v/>
      </c>
      <c r="Y91" s="72"/>
      <c r="Z91" s="151"/>
      <c r="AA91" s="152"/>
      <c r="AC91" s="251" t="str">
        <f>IF(P91="","",IF(P91='G-1 All Habitats'!$X$3,H91-S91-T91,"None"))</f>
        <v/>
      </c>
      <c r="AD91" s="252"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3"/>
      <c r="F92" s="203"/>
      <c r="G92" s="250" t="str">
        <f>IFERROR(INDEX('G-1 All Habitats'!$B$3:$B$129,MATCH(F92,'G-1 All Habitats'!$A$3:$A$129,0)),"")</f>
        <v/>
      </c>
      <c r="H92" s="172"/>
      <c r="I92" s="498" t="str">
        <f>IF(G92="","",VLOOKUP(G92,'G-1 All Habitats'!$B$2:$M$129,10,FALSE))</f>
        <v/>
      </c>
      <c r="J92" s="499" t="str">
        <f>IFERROR(VLOOKUP(I92,'G-1 All Habitats'!$V$3:$W$7,2,FALSE),"")</f>
        <v/>
      </c>
      <c r="K92" s="145"/>
      <c r="L92" s="499" t="str">
        <f>IFERROR(INDEX('G-8 Condition Look up'!$A$3:$H$130,MATCH(G92,'G-8 Condition Look up'!$A$3:$A$130,0),MATCH(K92,'G-8 Condition Look up'!$A$3:$H$3,0)),"")</f>
        <v/>
      </c>
      <c r="M92" s="154"/>
      <c r="N92" s="520" t="str">
        <f>IF(M92="","",IF(VLOOKUP(M92,'G-3 Multipliers'!$L$3:$N$6,2,FALSE)=0,"Spatial Data Missing ⚠",VLOOKUP(M92,'G-3 Multipliers'!$L$3:$N$6,2,FALSE)))</f>
        <v/>
      </c>
      <c r="O92" s="524"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Unacceptable",IF(AND(P92='G-1 All Habitats'!$X$3,W92&gt;0),"Any Loss Unacceptable",H92*J92*L92*O92))))),"Check Data ⚠")</f>
        <v/>
      </c>
      <c r="R92" s="50"/>
      <c r="S92" s="71"/>
      <c r="T92" s="72"/>
      <c r="U92" s="511" t="str">
        <f t="shared" si="8"/>
        <v/>
      </c>
      <c r="V92" s="511" t="str">
        <f t="shared" si="9"/>
        <v/>
      </c>
      <c r="W92" s="511"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5" t="str">
        <f>IFERROR(IF(H92="","",IF(H92-S92-T92=0&lt;0,"Error in Areas ▲",IF(S92+T92&gt;H92,"Error in Areas ▲",IF(AND(P92='G-1 All Habitats'!$X$3,Y92="Yes"),"Alternative Compensation",IF(W92=0,0,IF(P92='G-1 All Habitats'!$X$3,"Unacceptable Loss",Q92-U92-V92)))))),"Check Data ⚠")</f>
        <v/>
      </c>
      <c r="Y92" s="72"/>
      <c r="Z92" s="151"/>
      <c r="AA92" s="152"/>
      <c r="AC92" s="251" t="str">
        <f>IF(P92="","",IF(P92='G-1 All Habitats'!$X$3,H92-S92-T92,"None"))</f>
        <v/>
      </c>
      <c r="AD92" s="252"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3"/>
      <c r="F93" s="203"/>
      <c r="G93" s="250" t="str">
        <f>IFERROR(INDEX('G-1 All Habitats'!$B$3:$B$129,MATCH(F93,'G-1 All Habitats'!$A$3:$A$129,0)),"")</f>
        <v/>
      </c>
      <c r="H93" s="172"/>
      <c r="I93" s="498" t="str">
        <f>IF(G93="","",VLOOKUP(G93,'G-1 All Habitats'!$B$2:$M$129,10,FALSE))</f>
        <v/>
      </c>
      <c r="J93" s="499" t="str">
        <f>IFERROR(VLOOKUP(I93,'G-1 All Habitats'!$V$3:$W$7,2,FALSE),"")</f>
        <v/>
      </c>
      <c r="K93" s="145"/>
      <c r="L93" s="499" t="str">
        <f>IFERROR(INDEX('G-8 Condition Look up'!$A$3:$H$130,MATCH(G93,'G-8 Condition Look up'!$A$3:$A$130,0),MATCH(K93,'G-8 Condition Look up'!$A$3:$H$3,0)),"")</f>
        <v/>
      </c>
      <c r="M93" s="154"/>
      <c r="N93" s="520" t="str">
        <f>IF(M93="","",IF(VLOOKUP(M93,'G-3 Multipliers'!$L$3:$N$6,2,FALSE)=0,"Spatial Data Missing ⚠",VLOOKUP(M93,'G-3 Multipliers'!$L$3:$N$6,2,FALSE)))</f>
        <v/>
      </c>
      <c r="O93" s="524"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Unacceptable",IF(AND(P93='G-1 All Habitats'!$X$3,W93&gt;0),"Any Loss Unacceptable",H93*J93*L93*O93))))),"Check Data ⚠")</f>
        <v/>
      </c>
      <c r="R93" s="50"/>
      <c r="S93" s="71"/>
      <c r="T93" s="72"/>
      <c r="U93" s="511" t="str">
        <f t="shared" si="8"/>
        <v/>
      </c>
      <c r="V93" s="511" t="str">
        <f t="shared" si="9"/>
        <v/>
      </c>
      <c r="W93" s="511"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5" t="str">
        <f>IFERROR(IF(H93="","",IF(H93-S93-T93=0&lt;0,"Error in Areas ▲",IF(S93+T93&gt;H93,"Error in Areas ▲",IF(AND(P93='G-1 All Habitats'!$X$3,Y93="Yes"),"Alternative Compensation",IF(W93=0,0,IF(P93='G-1 All Habitats'!$X$3,"Unacceptable Loss",Q93-U93-V93)))))),"Check Data ⚠")</f>
        <v/>
      </c>
      <c r="Y93" s="72"/>
      <c r="Z93" s="151"/>
      <c r="AA93" s="152"/>
      <c r="AC93" s="251" t="str">
        <f>IF(P93="","",IF(P93='G-1 All Habitats'!$X$3,H93-S93-T93,"None"))</f>
        <v/>
      </c>
      <c r="AD93" s="252"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3"/>
      <c r="F94" s="203"/>
      <c r="G94" s="250" t="str">
        <f>IFERROR(INDEX('G-1 All Habitats'!$B$3:$B$129,MATCH(F94,'G-1 All Habitats'!$A$3:$A$129,0)),"")</f>
        <v/>
      </c>
      <c r="H94" s="172"/>
      <c r="I94" s="498" t="str">
        <f>IF(G94="","",VLOOKUP(G94,'G-1 All Habitats'!$B$2:$M$129,10,FALSE))</f>
        <v/>
      </c>
      <c r="J94" s="499" t="str">
        <f>IFERROR(VLOOKUP(I94,'G-1 All Habitats'!$V$3:$W$7,2,FALSE),"")</f>
        <v/>
      </c>
      <c r="K94" s="145"/>
      <c r="L94" s="499" t="str">
        <f>IFERROR(INDEX('G-8 Condition Look up'!$A$3:$H$130,MATCH(G94,'G-8 Condition Look up'!$A$3:$A$130,0),MATCH(K94,'G-8 Condition Look up'!$A$3:$H$3,0)),"")</f>
        <v/>
      </c>
      <c r="M94" s="154"/>
      <c r="N94" s="520" t="str">
        <f>IF(M94="","",IF(VLOOKUP(M94,'G-3 Multipliers'!$L$3:$N$6,2,FALSE)=0,"Spatial Data Missing ⚠",VLOOKUP(M94,'G-3 Multipliers'!$L$3:$N$6,2,FALSE)))</f>
        <v/>
      </c>
      <c r="O94" s="524"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Unacceptable",IF(AND(P94='G-1 All Habitats'!$X$3,W94&gt;0),"Any Loss Unacceptable",H94*J94*L94*O94))))),"Check Data ⚠")</f>
        <v/>
      </c>
      <c r="R94" s="50"/>
      <c r="S94" s="71"/>
      <c r="T94" s="72"/>
      <c r="U94" s="511" t="str">
        <f t="shared" si="8"/>
        <v/>
      </c>
      <c r="V94" s="511" t="str">
        <f t="shared" si="9"/>
        <v/>
      </c>
      <c r="W94" s="511"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5" t="str">
        <f>IFERROR(IF(H94="","",IF(H94-S94-T94=0&lt;0,"Error in Areas ▲",IF(S94+T94&gt;H94,"Error in Areas ▲",IF(AND(P94='G-1 All Habitats'!$X$3,Y94="Yes"),"Alternative Compensation",IF(W94=0,0,IF(P94='G-1 All Habitats'!$X$3,"Unacceptable Loss",Q94-U94-V94)))))),"Check Data ⚠")</f>
        <v/>
      </c>
      <c r="Y94" s="72"/>
      <c r="Z94" s="151"/>
      <c r="AA94" s="152"/>
      <c r="AC94" s="251" t="str">
        <f>IF(P94="","",IF(P94='G-1 All Habitats'!$X$3,H94-S94-T94,"None"))</f>
        <v/>
      </c>
      <c r="AD94" s="252"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3"/>
      <c r="F95" s="203"/>
      <c r="G95" s="250" t="str">
        <f>IFERROR(INDEX('G-1 All Habitats'!$B$3:$B$129,MATCH(F95,'G-1 All Habitats'!$A$3:$A$129,0)),"")</f>
        <v/>
      </c>
      <c r="H95" s="172"/>
      <c r="I95" s="498" t="str">
        <f>IF(G95="","",VLOOKUP(G95,'G-1 All Habitats'!$B$2:$M$129,10,FALSE))</f>
        <v/>
      </c>
      <c r="J95" s="499" t="str">
        <f>IFERROR(VLOOKUP(I95,'G-1 All Habitats'!$V$3:$W$7,2,FALSE),"")</f>
        <v/>
      </c>
      <c r="K95" s="145"/>
      <c r="L95" s="499" t="str">
        <f>IFERROR(INDEX('G-8 Condition Look up'!$A$3:$H$130,MATCH(G95,'G-8 Condition Look up'!$A$3:$A$130,0),MATCH(K95,'G-8 Condition Look up'!$A$3:$H$3,0)),"")</f>
        <v/>
      </c>
      <c r="M95" s="154"/>
      <c r="N95" s="520" t="str">
        <f>IF(M95="","",IF(VLOOKUP(M95,'G-3 Multipliers'!$L$3:$N$6,2,FALSE)=0,"Spatial Data Missing ⚠",VLOOKUP(M95,'G-3 Multipliers'!$L$3:$N$6,2,FALSE)))</f>
        <v/>
      </c>
      <c r="O95" s="524"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Unacceptable",IF(AND(P95='G-1 All Habitats'!$X$3,W95&gt;0),"Any Loss Unacceptable",H95*J95*L95*O95))))),"Check Data ⚠")</f>
        <v/>
      </c>
      <c r="R95" s="50"/>
      <c r="S95" s="71"/>
      <c r="T95" s="72"/>
      <c r="U95" s="511" t="str">
        <f t="shared" si="8"/>
        <v/>
      </c>
      <c r="V95" s="511" t="str">
        <f t="shared" si="9"/>
        <v/>
      </c>
      <c r="W95" s="511"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5" t="str">
        <f>IFERROR(IF(H95="","",IF(H95-S95-T95=0&lt;0,"Error in Areas ▲",IF(S95+T95&gt;H95,"Error in Areas ▲",IF(AND(P95='G-1 All Habitats'!$X$3,Y95="Yes"),"Alternative Compensation",IF(W95=0,0,IF(P95='G-1 All Habitats'!$X$3,"Unacceptable Loss",Q95-U95-V95)))))),"Check Data ⚠")</f>
        <v/>
      </c>
      <c r="Y95" s="72"/>
      <c r="Z95" s="151"/>
      <c r="AA95" s="152"/>
      <c r="AC95" s="251" t="str">
        <f>IF(P95="","",IF(P95='G-1 All Habitats'!$X$3,H95-S95-T95,"None"))</f>
        <v/>
      </c>
      <c r="AD95" s="252"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3"/>
      <c r="F96" s="203"/>
      <c r="G96" s="250" t="str">
        <f>IFERROR(INDEX('G-1 All Habitats'!$B$3:$B$129,MATCH(F96,'G-1 All Habitats'!$A$3:$A$129,0)),"")</f>
        <v/>
      </c>
      <c r="H96" s="172"/>
      <c r="I96" s="498" t="str">
        <f>IF(G96="","",VLOOKUP(G96,'G-1 All Habitats'!$B$2:$M$129,10,FALSE))</f>
        <v/>
      </c>
      <c r="J96" s="499" t="str">
        <f>IFERROR(VLOOKUP(I96,'G-1 All Habitats'!$V$3:$W$7,2,FALSE),"")</f>
        <v/>
      </c>
      <c r="K96" s="145"/>
      <c r="L96" s="499" t="str">
        <f>IFERROR(INDEX('G-8 Condition Look up'!$A$3:$H$130,MATCH(G96,'G-8 Condition Look up'!$A$3:$A$130,0),MATCH(K96,'G-8 Condition Look up'!$A$3:$H$3,0)),"")</f>
        <v/>
      </c>
      <c r="M96" s="154"/>
      <c r="N96" s="520" t="str">
        <f>IF(M96="","",IF(VLOOKUP(M96,'G-3 Multipliers'!$L$3:$N$6,2,FALSE)=0,"Spatial Data Missing ⚠",VLOOKUP(M96,'G-3 Multipliers'!$L$3:$N$6,2,FALSE)))</f>
        <v/>
      </c>
      <c r="O96" s="524"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Unacceptable",IF(AND(P96='G-1 All Habitats'!$X$3,W96&gt;0),"Any Loss Unacceptable",H96*J96*L96*O96))))),"Check Data ⚠")</f>
        <v/>
      </c>
      <c r="R96" s="50"/>
      <c r="S96" s="71"/>
      <c r="T96" s="72"/>
      <c r="U96" s="511" t="str">
        <f t="shared" si="8"/>
        <v/>
      </c>
      <c r="V96" s="511" t="str">
        <f t="shared" si="9"/>
        <v/>
      </c>
      <c r="W96" s="511"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5" t="str">
        <f>IFERROR(IF(H96="","",IF(H96-S96-T96=0&lt;0,"Error in Areas ▲",IF(S96+T96&gt;H96,"Error in Areas ▲",IF(AND(P96='G-1 All Habitats'!$X$3,Y96="Yes"),"Alternative Compensation",IF(W96=0,0,IF(P96='G-1 All Habitats'!$X$3,"Unacceptable Loss",Q96-U96-V96)))))),"Check Data ⚠")</f>
        <v/>
      </c>
      <c r="Y96" s="72"/>
      <c r="Z96" s="151"/>
      <c r="AA96" s="152"/>
      <c r="AC96" s="251" t="str">
        <f>IF(P96="","",IF(P96='G-1 All Habitats'!$X$3,H96-S96-T96,"None"))</f>
        <v/>
      </c>
      <c r="AD96" s="252"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3"/>
      <c r="F97" s="203"/>
      <c r="G97" s="250" t="str">
        <f>IFERROR(INDEX('G-1 All Habitats'!$B$3:$B$129,MATCH(F97,'G-1 All Habitats'!$A$3:$A$129,0)),"")</f>
        <v/>
      </c>
      <c r="H97" s="172"/>
      <c r="I97" s="498" t="str">
        <f>IF(G97="","",VLOOKUP(G97,'G-1 All Habitats'!$B$2:$M$129,10,FALSE))</f>
        <v/>
      </c>
      <c r="J97" s="499" t="str">
        <f>IFERROR(VLOOKUP(I97,'G-1 All Habitats'!$V$3:$W$7,2,FALSE),"")</f>
        <v/>
      </c>
      <c r="K97" s="145"/>
      <c r="L97" s="499" t="str">
        <f>IFERROR(INDEX('G-8 Condition Look up'!$A$3:$H$130,MATCH(G97,'G-8 Condition Look up'!$A$3:$A$130,0),MATCH(K97,'G-8 Condition Look up'!$A$3:$H$3,0)),"")</f>
        <v/>
      </c>
      <c r="M97" s="154"/>
      <c r="N97" s="520" t="str">
        <f>IF(M97="","",IF(VLOOKUP(M97,'G-3 Multipliers'!$L$3:$N$6,2,FALSE)=0,"Spatial Data Missing ⚠",VLOOKUP(M97,'G-3 Multipliers'!$L$3:$N$6,2,FALSE)))</f>
        <v/>
      </c>
      <c r="O97" s="524"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Unacceptable",IF(AND(P97='G-1 All Habitats'!$X$3,W97&gt;0),"Any Loss Unacceptable",H97*J97*L97*O97))))),"Check Data ⚠")</f>
        <v/>
      </c>
      <c r="R97" s="50"/>
      <c r="S97" s="71"/>
      <c r="T97" s="72"/>
      <c r="U97" s="511" t="str">
        <f t="shared" si="8"/>
        <v/>
      </c>
      <c r="V97" s="511" t="str">
        <f t="shared" si="9"/>
        <v/>
      </c>
      <c r="W97" s="511"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5" t="str">
        <f>IFERROR(IF(H97="","",IF(H97-S97-T97=0&lt;0,"Error in Areas ▲",IF(S97+T97&gt;H97,"Error in Areas ▲",IF(AND(P97='G-1 All Habitats'!$X$3,Y97="Yes"),"Alternative Compensation",IF(W97=0,0,IF(P97='G-1 All Habitats'!$X$3,"Unacceptable Loss",Q97-U97-V97)))))),"Check Data ⚠")</f>
        <v/>
      </c>
      <c r="Y97" s="72"/>
      <c r="Z97" s="151"/>
      <c r="AA97" s="152"/>
      <c r="AC97" s="251" t="str">
        <f>IF(P97="","",IF(P97='G-1 All Habitats'!$X$3,H97-S97-T97,"None"))</f>
        <v/>
      </c>
      <c r="AD97" s="252"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3"/>
      <c r="F98" s="203"/>
      <c r="G98" s="250" t="str">
        <f>IFERROR(INDEX('G-1 All Habitats'!$B$3:$B$129,MATCH(F98,'G-1 All Habitats'!$A$3:$A$129,0)),"")</f>
        <v/>
      </c>
      <c r="H98" s="172"/>
      <c r="I98" s="498" t="str">
        <f>IF(G98="","",VLOOKUP(G98,'G-1 All Habitats'!$B$2:$M$129,10,FALSE))</f>
        <v/>
      </c>
      <c r="J98" s="499" t="str">
        <f>IFERROR(VLOOKUP(I98,'G-1 All Habitats'!$V$3:$W$7,2,FALSE),"")</f>
        <v/>
      </c>
      <c r="K98" s="145"/>
      <c r="L98" s="499" t="str">
        <f>IFERROR(INDEX('G-8 Condition Look up'!$A$3:$H$130,MATCH(G98,'G-8 Condition Look up'!$A$3:$A$130,0),MATCH(K98,'G-8 Condition Look up'!$A$3:$H$3,0)),"")</f>
        <v/>
      </c>
      <c r="M98" s="154"/>
      <c r="N98" s="520" t="str">
        <f>IF(M98="","",IF(VLOOKUP(M98,'G-3 Multipliers'!$L$3:$N$6,2,FALSE)=0,"Spatial Data Missing ⚠",VLOOKUP(M98,'G-3 Multipliers'!$L$3:$N$6,2,FALSE)))</f>
        <v/>
      </c>
      <c r="O98" s="524"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Unacceptable",IF(AND(P98='G-1 All Habitats'!$X$3,W98&gt;0),"Any Loss Unacceptable",H98*J98*L98*O98))))),"Check Data ⚠")</f>
        <v/>
      </c>
      <c r="R98" s="50"/>
      <c r="S98" s="71"/>
      <c r="T98" s="72"/>
      <c r="U98" s="511" t="str">
        <f t="shared" si="8"/>
        <v/>
      </c>
      <c r="V98" s="511" t="str">
        <f t="shared" si="9"/>
        <v/>
      </c>
      <c r="W98" s="511"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5" t="str">
        <f>IFERROR(IF(H98="","",IF(H98-S98-T98=0&lt;0,"Error in Areas ▲",IF(S98+T98&gt;H98,"Error in Areas ▲",IF(AND(P98='G-1 All Habitats'!$X$3,Y98="Yes"),"Alternative Compensation",IF(W98=0,0,IF(P98='G-1 All Habitats'!$X$3,"Unacceptable Loss",Q98-U98-V98)))))),"Check Data ⚠")</f>
        <v/>
      </c>
      <c r="Y98" s="72"/>
      <c r="Z98" s="151"/>
      <c r="AA98" s="152"/>
      <c r="AC98" s="251" t="str">
        <f>IF(P98="","",IF(P98='G-1 All Habitats'!$X$3,H98-S98-T98,"None"))</f>
        <v/>
      </c>
      <c r="AD98" s="252"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3"/>
      <c r="F99" s="203"/>
      <c r="G99" s="250" t="str">
        <f>IFERROR(INDEX('G-1 All Habitats'!$B$3:$B$129,MATCH(F99,'G-1 All Habitats'!$A$3:$A$129,0)),"")</f>
        <v/>
      </c>
      <c r="H99" s="172"/>
      <c r="I99" s="498" t="str">
        <f>IF(G99="","",VLOOKUP(G99,'G-1 All Habitats'!$B$2:$M$129,10,FALSE))</f>
        <v/>
      </c>
      <c r="J99" s="499" t="str">
        <f>IFERROR(VLOOKUP(I99,'G-1 All Habitats'!$V$3:$W$7,2,FALSE),"")</f>
        <v/>
      </c>
      <c r="K99" s="145"/>
      <c r="L99" s="499" t="str">
        <f>IFERROR(INDEX('G-8 Condition Look up'!$A$3:$H$130,MATCH(G99,'G-8 Condition Look up'!$A$3:$A$130,0),MATCH(K99,'G-8 Condition Look up'!$A$3:$H$3,0)),"")</f>
        <v/>
      </c>
      <c r="M99" s="154"/>
      <c r="N99" s="520" t="str">
        <f>IF(M99="","",IF(VLOOKUP(M99,'G-3 Multipliers'!$L$3:$N$6,2,FALSE)=0,"Spatial Data Missing ⚠",VLOOKUP(M99,'G-3 Multipliers'!$L$3:$N$6,2,FALSE)))</f>
        <v/>
      </c>
      <c r="O99" s="524"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Unacceptable",IF(AND(P99='G-1 All Habitats'!$X$3,W99&gt;0),"Any Loss Unacceptable",H99*J99*L99*O99))))),"Check Data ⚠")</f>
        <v/>
      </c>
      <c r="R99" s="50"/>
      <c r="S99" s="71"/>
      <c r="T99" s="72"/>
      <c r="U99" s="511" t="str">
        <f t="shared" si="8"/>
        <v/>
      </c>
      <c r="V99" s="511" t="str">
        <f t="shared" si="9"/>
        <v/>
      </c>
      <c r="W99" s="511"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5" t="str">
        <f>IFERROR(IF(H99="","",IF(H99-S99-T99=0&lt;0,"Error in Areas ▲",IF(S99+T99&gt;H99,"Error in Areas ▲",IF(AND(P99='G-1 All Habitats'!$X$3,Y99="Yes"),"Alternative Compensation",IF(W99=0,0,IF(P99='G-1 All Habitats'!$X$3,"Unacceptable Loss",Q99-U99-V99)))))),"Check Data ⚠")</f>
        <v/>
      </c>
      <c r="Y99" s="72"/>
      <c r="Z99" s="151"/>
      <c r="AA99" s="152"/>
      <c r="AC99" s="251" t="str">
        <f>IF(P99="","",IF(P99='G-1 All Habitats'!$X$3,H99-S99-T99,"None"))</f>
        <v/>
      </c>
      <c r="AD99" s="252"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3"/>
      <c r="F100" s="203"/>
      <c r="G100" s="250" t="str">
        <f>IFERROR(INDEX('G-1 All Habitats'!$B$3:$B$129,MATCH(F100,'G-1 All Habitats'!$A$3:$A$129,0)),"")</f>
        <v/>
      </c>
      <c r="H100" s="172"/>
      <c r="I100" s="498" t="str">
        <f>IF(G100="","",VLOOKUP(G100,'G-1 All Habitats'!$B$2:$M$129,10,FALSE))</f>
        <v/>
      </c>
      <c r="J100" s="499" t="str">
        <f>IFERROR(VLOOKUP(I100,'G-1 All Habitats'!$V$3:$W$7,2,FALSE),"")</f>
        <v/>
      </c>
      <c r="K100" s="145"/>
      <c r="L100" s="499" t="str">
        <f>IFERROR(INDEX('G-8 Condition Look up'!$A$3:$H$130,MATCH(G100,'G-8 Condition Look up'!$A$3:$A$130,0),MATCH(K100,'G-8 Condition Look up'!$A$3:$H$3,0)),"")</f>
        <v/>
      </c>
      <c r="M100" s="154"/>
      <c r="N100" s="520" t="str">
        <f>IF(M100="","",IF(VLOOKUP(M100,'G-3 Multipliers'!$L$3:$N$6,2,FALSE)=0,"Spatial Data Missing ⚠",VLOOKUP(M100,'G-3 Multipliers'!$L$3:$N$6,2,FALSE)))</f>
        <v/>
      </c>
      <c r="O100" s="524"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5" t="str">
        <f>IFERROR(IF(H100="","",IF(H100-S100-T100=0&lt;0,"Error in Areas ▲",IF(S100+T100&gt;H100,"Error in Areas ▲",IF(AND(P100='G-1 All Habitats'!$X$3,Y100="Yes"),"Alternative Compensation",IF(W100=0,0,IF(P100='G-1 All Habitats'!$X$3,"Unacceptable Loss",Q100-U100-V100)))))),"Check Data ⚠")</f>
        <v/>
      </c>
      <c r="Y100" s="72"/>
      <c r="Z100" s="151"/>
      <c r="AA100" s="152"/>
      <c r="AC100" s="251" t="str">
        <f>IF(P100="","",IF(P100='G-1 All Habitats'!$X$3,H100-S100-T100,"None"))</f>
        <v/>
      </c>
      <c r="AD100" s="252"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3"/>
      <c r="F101" s="203"/>
      <c r="G101" s="250" t="str">
        <f>IFERROR(INDEX('G-1 All Habitats'!$B$3:$B$129,MATCH(F101,'G-1 All Habitats'!$A$3:$A$129,0)),"")</f>
        <v/>
      </c>
      <c r="H101" s="172"/>
      <c r="I101" s="498" t="str">
        <f>IF(G101="","",VLOOKUP(G101,'G-1 All Habitats'!$B$2:$M$129,10,FALSE))</f>
        <v/>
      </c>
      <c r="J101" s="499" t="str">
        <f>IFERROR(VLOOKUP(I101,'G-1 All Habitats'!$V$3:$W$7,2,FALSE),"")</f>
        <v/>
      </c>
      <c r="K101" s="145"/>
      <c r="L101" s="499" t="str">
        <f>IFERROR(INDEX('G-8 Condition Look up'!$A$3:$H$130,MATCH(G101,'G-8 Condition Look up'!$A$3:$A$130,0),MATCH(K101,'G-8 Condition Look up'!$A$3:$H$3,0)),"")</f>
        <v/>
      </c>
      <c r="M101" s="154"/>
      <c r="N101" s="520" t="str">
        <f>IF(M101="","",IF(VLOOKUP(M101,'G-3 Multipliers'!$L$3:$N$6,2,FALSE)=0,"Spatial Data Missing ⚠",VLOOKUP(M101,'G-3 Multipliers'!$L$3:$N$6,2,FALSE)))</f>
        <v/>
      </c>
      <c r="O101" s="524" t="str">
        <f>IF(M101="","",IF(VLOOKUP(M101,'G-3 Multipliers'!$L$3:$N$6,3,FALSE)=0,"Spatial Data Missing ⚠",VLOOKUP(M101,'G-3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5" t="str">
        <f>IFERROR(IF(H101="","",IF(H101-S101-T101=0&lt;0,"Error in Areas ▲",IF(S101+T101&gt;H101,"Error in Areas ▲",IF(AND(P101='G-1 All Habitats'!$X$3,Y101="Yes"),"Alternative Compensation",IF(W101=0,0,IF(P101='G-1 All Habitats'!$X$3,"Unacceptable Loss",Q101-U101-V101)))))),"Check Data ⚠")</f>
        <v/>
      </c>
      <c r="Y101" s="72"/>
      <c r="Z101" s="151"/>
      <c r="AA101" s="152"/>
      <c r="AC101" s="251" t="str">
        <f>IF(P101="","",IF(P101='G-1 All Habitats'!$X$3,H101-S101-T101,"None"))</f>
        <v/>
      </c>
      <c r="AD101" s="252"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3"/>
      <c r="F102" s="203"/>
      <c r="G102" s="250" t="str">
        <f>IFERROR(INDEX('G-1 All Habitats'!$B$3:$B$129,MATCH(F102,'G-1 All Habitats'!$A$3:$A$129,0)),"")</f>
        <v/>
      </c>
      <c r="H102" s="172"/>
      <c r="I102" s="498" t="str">
        <f>IF(G102="","",VLOOKUP(G102,'G-1 All Habitats'!$B$2:$M$129,10,FALSE))</f>
        <v/>
      </c>
      <c r="J102" s="499" t="str">
        <f>IFERROR(VLOOKUP(I102,'G-1 All Habitats'!$V$3:$W$7,2,FALSE),"")</f>
        <v/>
      </c>
      <c r="K102" s="145"/>
      <c r="L102" s="499" t="str">
        <f>IFERROR(INDEX('G-8 Condition Look up'!$A$3:$H$130,MATCH(G102,'G-8 Condition Look up'!$A$3:$A$130,0),MATCH(K102,'G-8 Condition Look up'!$A$3:$H$3,0)),"")</f>
        <v/>
      </c>
      <c r="M102" s="154"/>
      <c r="N102" s="520" t="str">
        <f>IF(M102="","",IF(VLOOKUP(M102,'G-3 Multipliers'!$L$3:$N$6,2,FALSE)=0,"Spatial Data Missing ⚠",VLOOKUP(M102,'G-3 Multipliers'!$L$3:$N$6,2,FALSE)))</f>
        <v/>
      </c>
      <c r="O102" s="524" t="str">
        <f>IF(M102="","",IF(VLOOKUP(M102,'G-3 Multipliers'!$L$3:$N$6,3,FALSE)=0,"Spatial Data Missing ⚠",VLOOKUP(M102,'G-3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5" t="str">
        <f>IFERROR(IF(H102="","",IF(H102-S102-T102=0&lt;0,"Error in Areas ▲",IF(S102+T102&gt;H102,"Error in Areas ▲",IF(AND(P102='G-1 All Habitats'!$X$3,Y102="Yes"),"Alternative Compensation",IF(W102=0,0,IF(P102='G-1 All Habitats'!$X$3,"Unacceptable Loss",Q102-U102-V102)))))),"Check Data ⚠")</f>
        <v/>
      </c>
      <c r="Y102" s="72"/>
      <c r="Z102" s="151"/>
      <c r="AA102" s="152"/>
      <c r="AC102" s="251" t="str">
        <f>IF(P102="","",IF(P102='G-1 All Habitats'!$X$3,H102-S102-T102,"None"))</f>
        <v/>
      </c>
      <c r="AD102" s="252"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3"/>
      <c r="F103" s="203"/>
      <c r="G103" s="250" t="str">
        <f>IFERROR(INDEX('G-1 All Habitats'!$B$3:$B$129,MATCH(F103,'G-1 All Habitats'!$A$3:$A$129,0)),"")</f>
        <v/>
      </c>
      <c r="H103" s="172"/>
      <c r="I103" s="498" t="str">
        <f>IF(G103="","",VLOOKUP(G103,'G-1 All Habitats'!$B$2:$M$129,10,FALSE))</f>
        <v/>
      </c>
      <c r="J103" s="499" t="str">
        <f>IFERROR(VLOOKUP(I103,'G-1 All Habitats'!$V$3:$W$7,2,FALSE),"")</f>
        <v/>
      </c>
      <c r="K103" s="145"/>
      <c r="L103" s="499" t="str">
        <f>IFERROR(INDEX('G-8 Condition Look up'!$A$3:$H$130,MATCH(G103,'G-8 Condition Look up'!$A$3:$A$130,0),MATCH(K103,'G-8 Condition Look up'!$A$3:$H$3,0)),"")</f>
        <v/>
      </c>
      <c r="M103" s="154"/>
      <c r="N103" s="520" t="str">
        <f>IF(M103="","",IF(VLOOKUP(M103,'G-3 Multipliers'!$L$3:$N$6,2,FALSE)=0,"Spatial Data Missing ⚠",VLOOKUP(M103,'G-3 Multipliers'!$L$3:$N$6,2,FALSE)))</f>
        <v/>
      </c>
      <c r="O103" s="524" t="str">
        <f>IF(M103="","",IF(VLOOKUP(M103,'G-3 Multipliers'!$L$3:$N$6,3,FALSE)=0,"Spatial Data Missing ⚠",VLOOKUP(M103,'G-3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5" t="str">
        <f>IFERROR(IF(H103="","",IF(H103-S103-T103=0&lt;0,"Error in Areas ▲",IF(S103+T103&gt;H103,"Error in Areas ▲",IF(AND(P103='G-1 All Habitats'!$X$3,Y103="Yes"),"Alternative Compensation",IF(W103=0,0,IF(P103='G-1 All Habitats'!$X$3,"Unacceptable Loss",Q103-U103-V103)))))),"Check Data ⚠")</f>
        <v/>
      </c>
      <c r="Y103" s="72"/>
      <c r="Z103" s="151"/>
      <c r="AA103" s="152"/>
      <c r="AC103" s="251" t="str">
        <f>IF(P103="","",IF(P103='G-1 All Habitats'!$X$3,H103-S103-T103,"None"))</f>
        <v/>
      </c>
      <c r="AD103" s="252"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3"/>
      <c r="F104" s="203"/>
      <c r="G104" s="250" t="str">
        <f>IFERROR(INDEX('G-1 All Habitats'!$B$3:$B$129,MATCH(F104,'G-1 All Habitats'!$A$3:$A$129,0)),"")</f>
        <v/>
      </c>
      <c r="H104" s="172"/>
      <c r="I104" s="498" t="str">
        <f>IF(G104="","",VLOOKUP(G104,'G-1 All Habitats'!$B$2:$M$129,10,FALSE))</f>
        <v/>
      </c>
      <c r="J104" s="499" t="str">
        <f>IFERROR(VLOOKUP(I104,'G-1 All Habitats'!$V$3:$W$7,2,FALSE),"")</f>
        <v/>
      </c>
      <c r="K104" s="145"/>
      <c r="L104" s="499" t="str">
        <f>IFERROR(INDEX('G-8 Condition Look up'!$A$3:$H$130,MATCH(G104,'G-8 Condition Look up'!$A$3:$A$130,0),MATCH(K104,'G-8 Condition Look up'!$A$3:$H$3,0)),"")</f>
        <v/>
      </c>
      <c r="M104" s="154"/>
      <c r="N104" s="520" t="str">
        <f>IF(M104="","",IF(VLOOKUP(M104,'G-3 Multipliers'!$L$3:$N$6,2,FALSE)=0,"Spatial Data Missing ⚠",VLOOKUP(M104,'G-3 Multipliers'!$L$3:$N$6,2,FALSE)))</f>
        <v/>
      </c>
      <c r="O104" s="524" t="str">
        <f>IF(M104="","",IF(VLOOKUP(M104,'G-3 Multipliers'!$L$3:$N$6,3,FALSE)=0,"Spatial Data Missing ⚠",VLOOKUP(M104,'G-3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5" t="str">
        <f>IFERROR(IF(H104="","",IF(H104-S104-T104=0&lt;0,"Error in Areas ▲",IF(S104+T104&gt;H104,"Error in Areas ▲",IF(AND(P104='G-1 All Habitats'!$X$3,Y104="Yes"),"Alternative Compensation",IF(W104=0,0,IF(P104='G-1 All Habitats'!$X$3,"Unacceptable Loss",Q104-U104-V104)))))),"Check Data ⚠")</f>
        <v/>
      </c>
      <c r="Y104" s="72"/>
      <c r="Z104" s="151"/>
      <c r="AA104" s="152"/>
      <c r="AC104" s="251" t="str">
        <f>IF(P104="","",IF(P104='G-1 All Habitats'!$X$3,H104-S104-T104,"None"))</f>
        <v/>
      </c>
      <c r="AD104" s="252"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3"/>
      <c r="F105" s="203"/>
      <c r="G105" s="250" t="str">
        <f>IFERROR(INDEX('G-1 All Habitats'!$B$3:$B$129,MATCH(F105,'G-1 All Habitats'!$A$3:$A$129,0)),"")</f>
        <v/>
      </c>
      <c r="H105" s="172"/>
      <c r="I105" s="498" t="str">
        <f>IF(G105="","",VLOOKUP(G105,'G-1 All Habitats'!$B$2:$M$129,10,FALSE))</f>
        <v/>
      </c>
      <c r="J105" s="499" t="str">
        <f>IFERROR(VLOOKUP(I105,'G-1 All Habitats'!$V$3:$W$7,2,FALSE),"")</f>
        <v/>
      </c>
      <c r="K105" s="145"/>
      <c r="L105" s="499" t="str">
        <f>IFERROR(INDEX('G-8 Condition Look up'!$A$3:$H$130,MATCH(G105,'G-8 Condition Look up'!$A$3:$A$130,0),MATCH(K105,'G-8 Condition Look up'!$A$3:$H$3,0)),"")</f>
        <v/>
      </c>
      <c r="M105" s="154"/>
      <c r="N105" s="520" t="str">
        <f>IF(M105="","",IF(VLOOKUP(M105,'G-3 Multipliers'!$L$3:$N$6,2,FALSE)=0,"Spatial Data Missing ⚠",VLOOKUP(M105,'G-3 Multipliers'!$L$3:$N$6,2,FALSE)))</f>
        <v/>
      </c>
      <c r="O105" s="524" t="str">
        <f>IF(M105="","",IF(VLOOKUP(M105,'G-3 Multipliers'!$L$3:$N$6,3,FALSE)=0,"Spatial Data Missing ⚠",VLOOKUP(M105,'G-3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5" t="str">
        <f>IFERROR(IF(H105="","",IF(H105-S105-T105=0&lt;0,"Error in Areas ▲",IF(S105+T105&gt;H105,"Error in Areas ▲",IF(AND(P105='G-1 All Habitats'!$X$3,Y105="Yes"),"Alternative Compensation",IF(W105=0,0,IF(P105='G-1 All Habitats'!$X$3,"Unacceptable Loss",Q105-U105-V105)))))),"Check Data ⚠")</f>
        <v/>
      </c>
      <c r="Y105" s="72"/>
      <c r="Z105" s="151"/>
      <c r="AA105" s="152"/>
      <c r="AC105" s="251" t="str">
        <f>IF(P105="","",IF(P105='G-1 All Habitats'!$X$3,H105-S105-T105,"None"))</f>
        <v/>
      </c>
      <c r="AD105" s="252"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3"/>
      <c r="F106" s="203"/>
      <c r="G106" s="250" t="str">
        <f>IFERROR(INDEX('G-1 All Habitats'!$B$3:$B$129,MATCH(F106,'G-1 All Habitats'!$A$3:$A$129,0)),"")</f>
        <v/>
      </c>
      <c r="H106" s="172"/>
      <c r="I106" s="498" t="str">
        <f>IF(G106="","",VLOOKUP(G106,'G-1 All Habitats'!$B$2:$M$129,10,FALSE))</f>
        <v/>
      </c>
      <c r="J106" s="499" t="str">
        <f>IFERROR(VLOOKUP(I106,'G-1 All Habitats'!$V$3:$W$7,2,FALSE),"")</f>
        <v/>
      </c>
      <c r="K106" s="145"/>
      <c r="L106" s="499" t="str">
        <f>IFERROR(INDEX('G-8 Condition Look up'!$A$3:$H$130,MATCH(G106,'G-8 Condition Look up'!$A$3:$A$130,0),MATCH(K106,'G-8 Condition Look up'!$A$3:$H$3,0)),"")</f>
        <v/>
      </c>
      <c r="M106" s="154"/>
      <c r="N106" s="520" t="str">
        <f>IF(M106="","",IF(VLOOKUP(M106,'G-3 Multipliers'!$L$3:$N$6,2,FALSE)=0,"Spatial Data Missing ⚠",VLOOKUP(M106,'G-3 Multipliers'!$L$3:$N$6,2,FALSE)))</f>
        <v/>
      </c>
      <c r="O106" s="524" t="str">
        <f>IF(M106="","",IF(VLOOKUP(M106,'G-3 Multipliers'!$L$3:$N$6,3,FALSE)=0,"Spatial Data Missing ⚠",VLOOKUP(M106,'G-3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5" t="str">
        <f>IFERROR(IF(H106="","",IF(H106-S106-T106=0&lt;0,"Error in Areas ▲",IF(S106+T106&gt;H106,"Error in Areas ▲",IF(AND(P106='G-1 All Habitats'!$X$3,Y106="Yes"),"Alternative Compensation",IF(W106=0,0,IF(P106='G-1 All Habitats'!$X$3,"Unacceptable Loss",Q106-U106-V106)))))),"Check Data ⚠")</f>
        <v/>
      </c>
      <c r="Y106" s="72"/>
      <c r="Z106" s="151"/>
      <c r="AA106" s="152"/>
      <c r="AC106" s="251" t="str">
        <f>IF(P106="","",IF(P106='G-1 All Habitats'!$X$3,H106-S106-T106,"None"))</f>
        <v/>
      </c>
      <c r="AD106" s="252"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3"/>
      <c r="F107" s="203"/>
      <c r="G107" s="250" t="str">
        <f>IFERROR(INDEX('G-1 All Habitats'!$B$3:$B$129,MATCH(F107,'G-1 All Habitats'!$A$3:$A$129,0)),"")</f>
        <v/>
      </c>
      <c r="H107" s="172"/>
      <c r="I107" s="498" t="str">
        <f>IF(G107="","",VLOOKUP(G107,'G-1 All Habitats'!$B$2:$M$129,10,FALSE))</f>
        <v/>
      </c>
      <c r="J107" s="499" t="str">
        <f>IFERROR(VLOOKUP(I107,'G-1 All Habitats'!$V$3:$W$7,2,FALSE),"")</f>
        <v/>
      </c>
      <c r="K107" s="145"/>
      <c r="L107" s="499" t="str">
        <f>IFERROR(INDEX('G-8 Condition Look up'!$A$3:$H$130,MATCH(G107,'G-8 Condition Look up'!$A$3:$A$130,0),MATCH(K107,'G-8 Condition Look up'!$A$3:$H$3,0)),"")</f>
        <v/>
      </c>
      <c r="M107" s="154"/>
      <c r="N107" s="520" t="str">
        <f>IF(M107="","",IF(VLOOKUP(M107,'G-3 Multipliers'!$L$3:$N$6,2,FALSE)=0,"Spatial Data Missing ⚠",VLOOKUP(M107,'G-3 Multipliers'!$L$3:$N$6,2,FALSE)))</f>
        <v/>
      </c>
      <c r="O107" s="524" t="str">
        <f>IF(M107="","",IF(VLOOKUP(M107,'G-3 Multipliers'!$L$3:$N$6,3,FALSE)=0,"Spatial Data Missing ⚠",VLOOKUP(M107,'G-3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5" t="str">
        <f>IFERROR(IF(H107="","",IF(H107-S107-T107=0&lt;0,"Error in Areas ▲",IF(S107+T107&gt;H107,"Error in Areas ▲",IF(AND(P107='G-1 All Habitats'!$X$3,Y107="Yes"),"Alternative Compensation",IF(W107=0,0,IF(P107='G-1 All Habitats'!$X$3,"Unacceptable Loss",Q107-U107-V107)))))),"Check Data ⚠")</f>
        <v/>
      </c>
      <c r="Y107" s="72"/>
      <c r="Z107" s="151"/>
      <c r="AA107" s="152"/>
      <c r="AC107" s="251" t="str">
        <f>IF(P107="","",IF(P107='G-1 All Habitats'!$X$3,H107-S107-T107,"None"))</f>
        <v/>
      </c>
      <c r="AD107" s="252"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3"/>
      <c r="F108" s="203"/>
      <c r="G108" s="250" t="str">
        <f>IFERROR(INDEX('G-1 All Habitats'!$B$3:$B$129,MATCH(F108,'G-1 All Habitats'!$A$3:$A$129,0)),"")</f>
        <v/>
      </c>
      <c r="H108" s="172"/>
      <c r="I108" s="498" t="str">
        <f>IF(G108="","",VLOOKUP(G108,'G-1 All Habitats'!$B$2:$M$129,10,FALSE))</f>
        <v/>
      </c>
      <c r="J108" s="499" t="str">
        <f>IFERROR(VLOOKUP(I108,'G-1 All Habitats'!$V$3:$W$7,2,FALSE),"")</f>
        <v/>
      </c>
      <c r="K108" s="145"/>
      <c r="L108" s="499" t="str">
        <f>IFERROR(INDEX('G-8 Condition Look up'!$A$3:$H$130,MATCH(G108,'G-8 Condition Look up'!$A$3:$A$130,0),MATCH(K108,'G-8 Condition Look up'!$A$3:$H$3,0)),"")</f>
        <v/>
      </c>
      <c r="M108" s="154"/>
      <c r="N108" s="520" t="str">
        <f>IF(M108="","",IF(VLOOKUP(M108,'G-3 Multipliers'!$L$3:$N$6,2,FALSE)=0,"Spatial Data Missing ⚠",VLOOKUP(M108,'G-3 Multipliers'!$L$3:$N$6,2,FALSE)))</f>
        <v/>
      </c>
      <c r="O108" s="524" t="str">
        <f>IF(M108="","",IF(VLOOKUP(M108,'G-3 Multipliers'!$L$3:$N$6,3,FALSE)=0,"Spatial Data Missing ⚠",VLOOKUP(M108,'G-3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5" t="str">
        <f>IFERROR(IF(H108="","",IF(H108-S108-T108=0&lt;0,"Error in Areas ▲",IF(S108+T108&gt;H108,"Error in Areas ▲",IF(AND(P108='G-1 All Habitats'!$X$3,Y108="Yes"),"Alternative Compensation",IF(W108=0,0,IF(P108='G-1 All Habitats'!$X$3,"Unacceptable Loss",Q108-U108-V108)))))),"Check Data ⚠")</f>
        <v/>
      </c>
      <c r="Y108" s="72"/>
      <c r="Z108" s="151"/>
      <c r="AA108" s="152"/>
      <c r="AC108" s="251" t="str">
        <f>IF(P108="","",IF(P108='G-1 All Habitats'!$X$3,H108-S108-T108,"None"))</f>
        <v/>
      </c>
      <c r="AD108" s="252"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3"/>
      <c r="F109" s="203"/>
      <c r="G109" s="250" t="str">
        <f>IFERROR(INDEX('G-1 All Habitats'!$B$3:$B$129,MATCH(F109,'G-1 All Habitats'!$A$3:$A$129,0)),"")</f>
        <v/>
      </c>
      <c r="H109" s="172"/>
      <c r="I109" s="498" t="str">
        <f>IF(G109="","",VLOOKUP(G109,'G-1 All Habitats'!$B$2:$M$129,10,FALSE))</f>
        <v/>
      </c>
      <c r="J109" s="499" t="str">
        <f>IFERROR(VLOOKUP(I109,'G-1 All Habitats'!$V$3:$W$7,2,FALSE),"")</f>
        <v/>
      </c>
      <c r="K109" s="145"/>
      <c r="L109" s="499" t="str">
        <f>IFERROR(INDEX('G-8 Condition Look up'!$A$3:$H$130,MATCH(G109,'G-8 Condition Look up'!$A$3:$A$130,0),MATCH(K109,'G-8 Condition Look up'!$A$3:$H$3,0)),"")</f>
        <v/>
      </c>
      <c r="M109" s="154"/>
      <c r="N109" s="520" t="str">
        <f>IF(M109="","",IF(VLOOKUP(M109,'G-3 Multipliers'!$L$3:$N$6,2,FALSE)=0,"Spatial Data Missing ⚠",VLOOKUP(M109,'G-3 Multipliers'!$L$3:$N$6,2,FALSE)))</f>
        <v/>
      </c>
      <c r="O109" s="524" t="str">
        <f>IF(M109="","",IF(VLOOKUP(M109,'G-3 Multipliers'!$L$3:$N$6,3,FALSE)=0,"Spatial Data Missing ⚠",VLOOKUP(M109,'G-3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5" t="str">
        <f>IFERROR(IF(H109="","",IF(H109-S109-T109=0&lt;0,"Error in Areas ▲",IF(S109+T109&gt;H109,"Error in Areas ▲",IF(AND(P109='G-1 All Habitats'!$X$3,Y109="Yes"),"Alternative Compensation",IF(W109=0,0,IF(P109='G-1 All Habitats'!$X$3,"Unacceptable Loss",Q109-U109-V109)))))),"Check Data ⚠")</f>
        <v/>
      </c>
      <c r="Y109" s="72"/>
      <c r="Z109" s="151"/>
      <c r="AA109" s="152"/>
      <c r="AC109" s="251" t="str">
        <f>IF(P109="","",IF(P109='G-1 All Habitats'!$X$3,H109-S109-T109,"None"))</f>
        <v/>
      </c>
      <c r="AD109" s="252"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3"/>
      <c r="F110" s="203"/>
      <c r="G110" s="250" t="str">
        <f>IFERROR(INDEX('G-1 All Habitats'!$B$3:$B$129,MATCH(F110,'G-1 All Habitats'!$A$3:$A$129,0)),"")</f>
        <v/>
      </c>
      <c r="H110" s="172"/>
      <c r="I110" s="498" t="str">
        <f>IF(G110="","",VLOOKUP(G110,'G-1 All Habitats'!$B$2:$M$129,10,FALSE))</f>
        <v/>
      </c>
      <c r="J110" s="499" t="str">
        <f>IFERROR(VLOOKUP(I110,'G-1 All Habitats'!$V$3:$W$7,2,FALSE),"")</f>
        <v/>
      </c>
      <c r="K110" s="145"/>
      <c r="L110" s="499" t="str">
        <f>IFERROR(INDEX('G-8 Condition Look up'!$A$3:$H$130,MATCH(G110,'G-8 Condition Look up'!$A$3:$A$130,0),MATCH(K110,'G-8 Condition Look up'!$A$3:$H$3,0)),"")</f>
        <v/>
      </c>
      <c r="M110" s="154"/>
      <c r="N110" s="520" t="str">
        <f>IF(M110="","",IF(VLOOKUP(M110,'G-3 Multipliers'!$L$3:$N$6,2,FALSE)=0,"Spatial Data Missing ⚠",VLOOKUP(M110,'G-3 Multipliers'!$L$3:$N$6,2,FALSE)))</f>
        <v/>
      </c>
      <c r="O110" s="524" t="str">
        <f>IF(M110="","",IF(VLOOKUP(M110,'G-3 Multipliers'!$L$3:$N$6,3,FALSE)=0,"Spatial Data Missing ⚠",VLOOKUP(M110,'G-3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5" t="str">
        <f>IFERROR(IF(H110="","",IF(H110-S110-T110=0&lt;0,"Error in Areas ▲",IF(S110+T110&gt;H110,"Error in Areas ▲",IF(AND(P110='G-1 All Habitats'!$X$3,Y110="Yes"),"Alternative Compensation",IF(W110=0,0,IF(P110='G-1 All Habitats'!$X$3,"Unacceptable Loss",Q110-U110-V110)))))),"Check Data ⚠")</f>
        <v/>
      </c>
      <c r="Y110" s="72"/>
      <c r="Z110" s="151"/>
      <c r="AA110" s="152"/>
      <c r="AC110" s="251" t="str">
        <f>IF(P110="","",IF(P110='G-1 All Habitats'!$X$3,H110-S110-T110,"None"))</f>
        <v/>
      </c>
      <c r="AD110" s="252"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3"/>
      <c r="F111" s="203"/>
      <c r="G111" s="250" t="str">
        <f>IFERROR(INDEX('G-1 All Habitats'!$B$3:$B$129,MATCH(F111,'G-1 All Habitats'!$A$3:$A$129,0)),"")</f>
        <v/>
      </c>
      <c r="H111" s="172"/>
      <c r="I111" s="498" t="str">
        <f>IF(G111="","",VLOOKUP(G111,'G-1 All Habitats'!$B$2:$M$129,10,FALSE))</f>
        <v/>
      </c>
      <c r="J111" s="499" t="str">
        <f>IFERROR(VLOOKUP(I111,'G-1 All Habitats'!$V$3:$W$7,2,FALSE),"")</f>
        <v/>
      </c>
      <c r="K111" s="145"/>
      <c r="L111" s="499" t="str">
        <f>IFERROR(INDEX('G-8 Condition Look up'!$A$3:$H$130,MATCH(G111,'G-8 Condition Look up'!$A$3:$A$130,0),MATCH(K111,'G-8 Condition Look up'!$A$3:$H$3,0)),"")</f>
        <v/>
      </c>
      <c r="M111" s="154"/>
      <c r="N111" s="520" t="str">
        <f>IF(M111="","",IF(VLOOKUP(M111,'G-3 Multipliers'!$L$3:$N$6,2,FALSE)=0,"Spatial Data Missing ⚠",VLOOKUP(M111,'G-3 Multipliers'!$L$3:$N$6,2,FALSE)))</f>
        <v/>
      </c>
      <c r="O111" s="524" t="str">
        <f>IF(M111="","",IF(VLOOKUP(M111,'G-3 Multipliers'!$L$3:$N$6,3,FALSE)=0,"Spatial Data Missing ⚠",VLOOKUP(M111,'G-3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5" t="str">
        <f>IFERROR(IF(H111="","",IF(H111-S111-T111=0&lt;0,"Error in Areas ▲",IF(S111+T111&gt;H111,"Error in Areas ▲",IF(AND(P111='G-1 All Habitats'!$X$3,Y111="Yes"),"Alternative Compensation",IF(W111=0,0,IF(P111='G-1 All Habitats'!$X$3,"Unacceptable Loss",Q111-U111-V111)))))),"Check Data ⚠")</f>
        <v/>
      </c>
      <c r="Y111" s="72"/>
      <c r="Z111" s="151"/>
      <c r="AA111" s="152"/>
      <c r="AC111" s="251" t="str">
        <f>IF(P111="","",IF(P111='G-1 All Habitats'!$X$3,H111-S111-T111,"None"))</f>
        <v/>
      </c>
      <c r="AD111" s="252"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3"/>
      <c r="F112" s="203"/>
      <c r="G112" s="250" t="str">
        <f>IFERROR(INDEX('G-1 All Habitats'!$B$3:$B$129,MATCH(F112,'G-1 All Habitats'!$A$3:$A$129,0)),"")</f>
        <v/>
      </c>
      <c r="H112" s="172"/>
      <c r="I112" s="498" t="str">
        <f>IF(G112="","",VLOOKUP(G112,'G-1 All Habitats'!$B$2:$M$129,10,FALSE))</f>
        <v/>
      </c>
      <c r="J112" s="499" t="str">
        <f>IFERROR(VLOOKUP(I112,'G-1 All Habitats'!$V$3:$W$7,2,FALSE),"")</f>
        <v/>
      </c>
      <c r="K112" s="145"/>
      <c r="L112" s="499" t="str">
        <f>IFERROR(INDEX('G-8 Condition Look up'!$A$3:$H$130,MATCH(G112,'G-8 Condition Look up'!$A$3:$A$130,0),MATCH(K112,'G-8 Condition Look up'!$A$3:$H$3,0)),"")</f>
        <v/>
      </c>
      <c r="M112" s="154"/>
      <c r="N112" s="520" t="str">
        <f>IF(M112="","",IF(VLOOKUP(M112,'G-3 Multipliers'!$L$3:$N$6,2,FALSE)=0,"Spatial Data Missing ⚠",VLOOKUP(M112,'G-3 Multipliers'!$L$3:$N$6,2,FALSE)))</f>
        <v/>
      </c>
      <c r="O112" s="524" t="str">
        <f>IF(M112="","",IF(VLOOKUP(M112,'G-3 Multipliers'!$L$3:$N$6,3,FALSE)=0,"Spatial Data Missing ⚠",VLOOKUP(M112,'G-3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5" t="str">
        <f>IFERROR(IF(H112="","",IF(H112-S112-T112=0&lt;0,"Error in Areas ▲",IF(S112+T112&gt;H112,"Error in Areas ▲",IF(AND(P112='G-1 All Habitats'!$X$3,Y112="Yes"),"Alternative Compensation",IF(W112=0,0,IF(P112='G-1 All Habitats'!$X$3,"Unacceptable Loss",Q112-U112-V112)))))),"Check Data ⚠")</f>
        <v/>
      </c>
      <c r="Y112" s="72"/>
      <c r="Z112" s="151"/>
      <c r="AA112" s="152"/>
      <c r="AC112" s="251" t="str">
        <f>IF(P112="","",IF(P112='G-1 All Habitats'!$X$3,H112-S112-T112,"None"))</f>
        <v/>
      </c>
      <c r="AD112" s="252"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3"/>
      <c r="F113" s="203"/>
      <c r="G113" s="250" t="str">
        <f>IFERROR(INDEX('G-1 All Habitats'!$B$3:$B$129,MATCH(F113,'G-1 All Habitats'!$A$3:$A$129,0)),"")</f>
        <v/>
      </c>
      <c r="H113" s="172"/>
      <c r="I113" s="498" t="str">
        <f>IF(G113="","",VLOOKUP(G113,'G-1 All Habitats'!$B$2:$M$129,10,FALSE))</f>
        <v/>
      </c>
      <c r="J113" s="499" t="str">
        <f>IFERROR(VLOOKUP(I113,'G-1 All Habitats'!$V$3:$W$7,2,FALSE),"")</f>
        <v/>
      </c>
      <c r="K113" s="145"/>
      <c r="L113" s="499" t="str">
        <f>IFERROR(INDEX('G-8 Condition Look up'!$A$3:$H$130,MATCH(G113,'G-8 Condition Look up'!$A$3:$A$130,0),MATCH(K113,'G-8 Condition Look up'!$A$3:$H$3,0)),"")</f>
        <v/>
      </c>
      <c r="M113" s="154"/>
      <c r="N113" s="520" t="str">
        <f>IF(M113="","",IF(VLOOKUP(M113,'G-3 Multipliers'!$L$3:$N$6,2,FALSE)=0,"Spatial Data Missing ⚠",VLOOKUP(M113,'G-3 Multipliers'!$L$3:$N$6,2,FALSE)))</f>
        <v/>
      </c>
      <c r="O113" s="524" t="str">
        <f>IF(M113="","",IF(VLOOKUP(M113,'G-3 Multipliers'!$L$3:$N$6,3,FALSE)=0,"Spatial Data Missing ⚠",VLOOKUP(M113,'G-3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5" t="str">
        <f>IFERROR(IF(H113="","",IF(H113-S113-T113=0&lt;0,"Error in Areas ▲",IF(S113+T113&gt;H113,"Error in Areas ▲",IF(AND(P113='G-1 All Habitats'!$X$3,Y113="Yes"),"Alternative Compensation",IF(W113=0,0,IF(P113='G-1 All Habitats'!$X$3,"Unacceptable Loss",Q113-U113-V113)))))),"Check Data ⚠")</f>
        <v/>
      </c>
      <c r="Y113" s="72"/>
      <c r="Z113" s="151"/>
      <c r="AA113" s="152"/>
      <c r="AC113" s="251" t="str">
        <f>IF(P113="","",IF(P113='G-1 All Habitats'!$X$3,H113-S113-T113,"None"))</f>
        <v/>
      </c>
      <c r="AD113" s="252"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3"/>
      <c r="F114" s="203"/>
      <c r="G114" s="250" t="str">
        <f>IFERROR(INDEX('G-1 All Habitats'!$B$3:$B$129,MATCH(F114,'G-1 All Habitats'!$A$3:$A$129,0)),"")</f>
        <v/>
      </c>
      <c r="H114" s="172"/>
      <c r="I114" s="498" t="str">
        <f>IF(G114="","",VLOOKUP(G114,'G-1 All Habitats'!$B$2:$M$129,10,FALSE))</f>
        <v/>
      </c>
      <c r="J114" s="499" t="str">
        <f>IFERROR(VLOOKUP(I114,'G-1 All Habitats'!$V$3:$W$7,2,FALSE),"")</f>
        <v/>
      </c>
      <c r="K114" s="145"/>
      <c r="L114" s="499" t="str">
        <f>IFERROR(INDEX('G-8 Condition Look up'!$A$3:$H$130,MATCH(G114,'G-8 Condition Look up'!$A$3:$A$130,0),MATCH(K114,'G-8 Condition Look up'!$A$3:$H$3,0)),"")</f>
        <v/>
      </c>
      <c r="M114" s="154"/>
      <c r="N114" s="520" t="str">
        <f>IF(M114="","",IF(VLOOKUP(M114,'G-3 Multipliers'!$L$3:$N$6,2,FALSE)=0,"Spatial Data Missing ⚠",VLOOKUP(M114,'G-3 Multipliers'!$L$3:$N$6,2,FALSE)))</f>
        <v/>
      </c>
      <c r="O114" s="524" t="str">
        <f>IF(M114="","",IF(VLOOKUP(M114,'G-3 Multipliers'!$L$3:$N$6,3,FALSE)=0,"Spatial Data Missing ⚠",VLOOKUP(M114,'G-3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5" t="str">
        <f>IFERROR(IF(H114="","",IF(H114-S114-T114=0&lt;0,"Error in Areas ▲",IF(S114+T114&gt;H114,"Error in Areas ▲",IF(AND(P114='G-1 All Habitats'!$X$3,Y114="Yes"),"Alternative Compensation",IF(W114=0,0,IF(P114='G-1 All Habitats'!$X$3,"Unacceptable Loss",Q114-U114-V114)))))),"Check Data ⚠")</f>
        <v/>
      </c>
      <c r="Y114" s="72"/>
      <c r="Z114" s="151"/>
      <c r="AA114" s="152"/>
      <c r="AC114" s="251" t="str">
        <f>IF(P114="","",IF(P114='G-1 All Habitats'!$X$3,H114-S114-T114,"None"))</f>
        <v/>
      </c>
      <c r="AD114" s="252"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3"/>
      <c r="F115" s="203"/>
      <c r="G115" s="250" t="str">
        <f>IFERROR(INDEX('G-1 All Habitats'!$B$3:$B$129,MATCH(F115,'G-1 All Habitats'!$A$3:$A$129,0)),"")</f>
        <v/>
      </c>
      <c r="H115" s="172"/>
      <c r="I115" s="498" t="str">
        <f>IF(G115="","",VLOOKUP(G115,'G-1 All Habitats'!$B$2:$M$129,10,FALSE))</f>
        <v/>
      </c>
      <c r="J115" s="499" t="str">
        <f>IFERROR(VLOOKUP(I115,'G-1 All Habitats'!$V$3:$W$7,2,FALSE),"")</f>
        <v/>
      </c>
      <c r="K115" s="145"/>
      <c r="L115" s="499" t="str">
        <f>IFERROR(INDEX('G-8 Condition Look up'!$A$3:$H$130,MATCH(G115,'G-8 Condition Look up'!$A$3:$A$130,0),MATCH(K115,'G-8 Condition Look up'!$A$3:$H$3,0)),"")</f>
        <v/>
      </c>
      <c r="M115" s="154"/>
      <c r="N115" s="520" t="str">
        <f>IF(M115="","",IF(VLOOKUP(M115,'G-3 Multipliers'!$L$3:$N$6,2,FALSE)=0,"Spatial Data Missing ⚠",VLOOKUP(M115,'G-3 Multipliers'!$L$3:$N$6,2,FALSE)))</f>
        <v/>
      </c>
      <c r="O115" s="524" t="str">
        <f>IF(M115="","",IF(VLOOKUP(M115,'G-3 Multipliers'!$L$3:$N$6,3,FALSE)=0,"Spatial Data Missing ⚠",VLOOKUP(M115,'G-3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5" t="str">
        <f>IFERROR(IF(H115="","",IF(H115-S115-T115=0&lt;0,"Error in Areas ▲",IF(S115+T115&gt;H115,"Error in Areas ▲",IF(AND(P115='G-1 All Habitats'!$X$3,Y115="Yes"),"Alternative Compensation",IF(W115=0,0,IF(P115='G-1 All Habitats'!$X$3,"Unacceptable Loss",Q115-U115-V115)))))),"Check Data ⚠")</f>
        <v/>
      </c>
      <c r="Y115" s="72"/>
      <c r="Z115" s="151"/>
      <c r="AA115" s="152"/>
      <c r="AC115" s="251" t="str">
        <f>IF(P115="","",IF(P115='G-1 All Habitats'!$X$3,H115-S115-T115,"None"))</f>
        <v/>
      </c>
      <c r="AD115" s="252"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3"/>
      <c r="F116" s="203"/>
      <c r="G116" s="250" t="str">
        <f>IFERROR(INDEX('G-1 All Habitats'!$B$3:$B$129,MATCH(F116,'G-1 All Habitats'!$A$3:$A$129,0)),"")</f>
        <v/>
      </c>
      <c r="H116" s="172"/>
      <c r="I116" s="498" t="str">
        <f>IF(G116="","",VLOOKUP(G116,'G-1 All Habitats'!$B$2:$M$129,10,FALSE))</f>
        <v/>
      </c>
      <c r="J116" s="499" t="str">
        <f>IFERROR(VLOOKUP(I116,'G-1 All Habitats'!$V$3:$W$7,2,FALSE),"")</f>
        <v/>
      </c>
      <c r="K116" s="145"/>
      <c r="L116" s="499" t="str">
        <f>IFERROR(INDEX('G-8 Condition Look up'!$A$3:$H$130,MATCH(G116,'G-8 Condition Look up'!$A$3:$A$130,0),MATCH(K116,'G-8 Condition Look up'!$A$3:$H$3,0)),"")</f>
        <v/>
      </c>
      <c r="M116" s="154"/>
      <c r="N116" s="520" t="str">
        <f>IF(M116="","",IF(VLOOKUP(M116,'G-3 Multipliers'!$L$3:$N$6,2,FALSE)=0,"Spatial Data Missing ⚠",VLOOKUP(M116,'G-3 Multipliers'!$L$3:$N$6,2,FALSE)))</f>
        <v/>
      </c>
      <c r="O116" s="524" t="str">
        <f>IF(M116="","",IF(VLOOKUP(M116,'G-3 Multipliers'!$L$3:$N$6,3,FALSE)=0,"Spatial Data Missing ⚠",VLOOKUP(M116,'G-3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5" t="str">
        <f>IFERROR(IF(H116="","",IF(H116-S116-T116=0&lt;0,"Error in Areas ▲",IF(S116+T116&gt;H116,"Error in Areas ▲",IF(AND(P116='G-1 All Habitats'!$X$3,Y116="Yes"),"Alternative Compensation",IF(W116=0,0,IF(P116='G-1 All Habitats'!$X$3,"Unacceptable Loss",Q116-U116-V116)))))),"Check Data ⚠")</f>
        <v/>
      </c>
      <c r="Y116" s="72"/>
      <c r="Z116" s="151"/>
      <c r="AA116" s="152"/>
      <c r="AC116" s="251" t="str">
        <f>IF(P116="","",IF(P116='G-1 All Habitats'!$X$3,H116-S116-T116,"None"))</f>
        <v/>
      </c>
      <c r="AD116" s="252"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3"/>
      <c r="F117" s="203"/>
      <c r="G117" s="250" t="str">
        <f>IFERROR(INDEX('G-1 All Habitats'!$B$3:$B$129,MATCH(F117,'G-1 All Habitats'!$A$3:$A$129,0)),"")</f>
        <v/>
      </c>
      <c r="H117" s="172"/>
      <c r="I117" s="498" t="str">
        <f>IF(G117="","",VLOOKUP(G117,'G-1 All Habitats'!$B$2:$M$129,10,FALSE))</f>
        <v/>
      </c>
      <c r="J117" s="499" t="str">
        <f>IFERROR(VLOOKUP(I117,'G-1 All Habitats'!$V$3:$W$7,2,FALSE),"")</f>
        <v/>
      </c>
      <c r="K117" s="145"/>
      <c r="L117" s="499" t="str">
        <f>IFERROR(INDEX('G-8 Condition Look up'!$A$3:$H$130,MATCH(G117,'G-8 Condition Look up'!$A$3:$A$130,0),MATCH(K117,'G-8 Condition Look up'!$A$3:$H$3,0)),"")</f>
        <v/>
      </c>
      <c r="M117" s="154"/>
      <c r="N117" s="520" t="str">
        <f>IF(M117="","",IF(VLOOKUP(M117,'G-3 Multipliers'!$L$3:$N$6,2,FALSE)=0,"Spatial Data Missing ⚠",VLOOKUP(M117,'G-3 Multipliers'!$L$3:$N$6,2,FALSE)))</f>
        <v/>
      </c>
      <c r="O117" s="524" t="str">
        <f>IF(M117="","",IF(VLOOKUP(M117,'G-3 Multipliers'!$L$3:$N$6,3,FALSE)=0,"Spatial Data Missing ⚠",VLOOKUP(M117,'G-3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5" t="str">
        <f>IFERROR(IF(H117="","",IF(H117-S117-T117=0&lt;0,"Error in Areas ▲",IF(S117+T117&gt;H117,"Error in Areas ▲",IF(AND(P117='G-1 All Habitats'!$X$3,Y117="Yes"),"Alternative Compensation",IF(W117=0,0,IF(P117='G-1 All Habitats'!$X$3,"Unacceptable Loss",Q117-U117-V117)))))),"Check Data ⚠")</f>
        <v/>
      </c>
      <c r="Y117" s="72"/>
      <c r="Z117" s="151"/>
      <c r="AA117" s="152"/>
      <c r="AC117" s="251" t="str">
        <f>IF(P117="","",IF(P117='G-1 All Habitats'!$X$3,H117-S117-T117,"None"))</f>
        <v/>
      </c>
      <c r="AD117" s="252"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3"/>
      <c r="F118" s="203"/>
      <c r="G118" s="250" t="str">
        <f>IFERROR(INDEX('G-1 All Habitats'!$B$3:$B$129,MATCH(F118,'G-1 All Habitats'!$A$3:$A$129,0)),"")</f>
        <v/>
      </c>
      <c r="H118" s="172"/>
      <c r="I118" s="498" t="str">
        <f>IF(G118="","",VLOOKUP(G118,'G-1 All Habitats'!$B$2:$M$129,10,FALSE))</f>
        <v/>
      </c>
      <c r="J118" s="499" t="str">
        <f>IFERROR(VLOOKUP(I118,'G-1 All Habitats'!$V$3:$W$7,2,FALSE),"")</f>
        <v/>
      </c>
      <c r="K118" s="145"/>
      <c r="L118" s="499" t="str">
        <f>IFERROR(INDEX('G-8 Condition Look up'!$A$3:$H$130,MATCH(G118,'G-8 Condition Look up'!$A$3:$A$130,0),MATCH(K118,'G-8 Condition Look up'!$A$3:$H$3,0)),"")</f>
        <v/>
      </c>
      <c r="M118" s="154"/>
      <c r="N118" s="520" t="str">
        <f>IF(M118="","",IF(VLOOKUP(M118,'G-3 Multipliers'!$L$3:$N$6,2,FALSE)=0,"Spatial Data Missing ⚠",VLOOKUP(M118,'G-3 Multipliers'!$L$3:$N$6,2,FALSE)))</f>
        <v/>
      </c>
      <c r="O118" s="524" t="str">
        <f>IF(M118="","",IF(VLOOKUP(M118,'G-3 Multipliers'!$L$3:$N$6,3,FALSE)=0,"Spatial Data Missing ⚠",VLOOKUP(M118,'G-3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5" t="str">
        <f>IFERROR(IF(H118="","",IF(H118-S118-T118=0&lt;0,"Error in Areas ▲",IF(S118+T118&gt;H118,"Error in Areas ▲",IF(AND(P118='G-1 All Habitats'!$X$3,Y118="Yes"),"Alternative Compensation",IF(W118=0,0,IF(P118='G-1 All Habitats'!$X$3,"Unacceptable Loss",Q118-U118-V118)))))),"Check Data ⚠")</f>
        <v/>
      </c>
      <c r="Y118" s="72"/>
      <c r="Z118" s="151"/>
      <c r="AA118" s="152"/>
      <c r="AC118" s="251" t="str">
        <f>IF(P118="","",IF(P118='G-1 All Habitats'!$X$3,H118-S118-T118,"None"))</f>
        <v/>
      </c>
      <c r="AD118" s="252"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3"/>
      <c r="F119" s="203"/>
      <c r="G119" s="250" t="str">
        <f>IFERROR(INDEX('G-1 All Habitats'!$B$3:$B$129,MATCH(F119,'G-1 All Habitats'!$A$3:$A$129,0)),"")</f>
        <v/>
      </c>
      <c r="H119" s="172"/>
      <c r="I119" s="498" t="str">
        <f>IF(G119="","",VLOOKUP(G119,'G-1 All Habitats'!$B$2:$M$129,10,FALSE))</f>
        <v/>
      </c>
      <c r="J119" s="499" t="str">
        <f>IFERROR(VLOOKUP(I119,'G-1 All Habitats'!$V$3:$W$7,2,FALSE),"")</f>
        <v/>
      </c>
      <c r="K119" s="145"/>
      <c r="L119" s="499" t="str">
        <f>IFERROR(INDEX('G-8 Condition Look up'!$A$3:$H$130,MATCH(G119,'G-8 Condition Look up'!$A$3:$A$130,0),MATCH(K119,'G-8 Condition Look up'!$A$3:$H$3,0)),"")</f>
        <v/>
      </c>
      <c r="M119" s="154"/>
      <c r="N119" s="520" t="str">
        <f>IF(M119="","",IF(VLOOKUP(M119,'G-3 Multipliers'!$L$3:$N$6,2,FALSE)=0,"Spatial Data Missing ⚠",VLOOKUP(M119,'G-3 Multipliers'!$L$3:$N$6,2,FALSE)))</f>
        <v/>
      </c>
      <c r="O119" s="524" t="str">
        <f>IF(M119="","",IF(VLOOKUP(M119,'G-3 Multipliers'!$L$3:$N$6,3,FALSE)=0,"Spatial Data Missing ⚠",VLOOKUP(M119,'G-3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5" t="str">
        <f>IFERROR(IF(H119="","",IF(H119-S119-T119=0&lt;0,"Error in Areas ▲",IF(S119+T119&gt;H119,"Error in Areas ▲",IF(AND(P119='G-1 All Habitats'!$X$3,Y119="Yes"),"Alternative Compensation",IF(W119=0,0,IF(P119='G-1 All Habitats'!$X$3,"Unacceptable Loss",Q119-U119-V119)))))),"Check Data ⚠")</f>
        <v/>
      </c>
      <c r="Y119" s="72"/>
      <c r="Z119" s="151"/>
      <c r="AA119" s="152"/>
      <c r="AC119" s="251" t="str">
        <f>IF(P119="","",IF(P119='G-1 All Habitats'!$X$3,H119-S119-T119,"None"))</f>
        <v/>
      </c>
      <c r="AD119" s="252"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3"/>
      <c r="F120" s="203"/>
      <c r="G120" s="250" t="str">
        <f>IFERROR(INDEX('G-1 All Habitats'!$B$3:$B$129,MATCH(F120,'G-1 All Habitats'!$A$3:$A$129,0)),"")</f>
        <v/>
      </c>
      <c r="H120" s="172"/>
      <c r="I120" s="498" t="str">
        <f>IF(G120="","",VLOOKUP(G120,'G-1 All Habitats'!$B$2:$M$129,10,FALSE))</f>
        <v/>
      </c>
      <c r="J120" s="499" t="str">
        <f>IFERROR(VLOOKUP(I120,'G-1 All Habitats'!$V$3:$W$7,2,FALSE),"")</f>
        <v/>
      </c>
      <c r="K120" s="145"/>
      <c r="L120" s="499" t="str">
        <f>IFERROR(INDEX('G-8 Condition Look up'!$A$3:$H$130,MATCH(G120,'G-8 Condition Look up'!$A$3:$A$130,0),MATCH(K120,'G-8 Condition Look up'!$A$3:$H$3,0)),"")</f>
        <v/>
      </c>
      <c r="M120" s="154"/>
      <c r="N120" s="520" t="str">
        <f>IF(M120="","",IF(VLOOKUP(M120,'G-3 Multipliers'!$L$3:$N$6,2,FALSE)=0,"Spatial Data Missing ⚠",VLOOKUP(M120,'G-3 Multipliers'!$L$3:$N$6,2,FALSE)))</f>
        <v/>
      </c>
      <c r="O120" s="524" t="str">
        <f>IF(M120="","",IF(VLOOKUP(M120,'G-3 Multipliers'!$L$3:$N$6,3,FALSE)=0,"Spatial Data Missing ⚠",VLOOKUP(M120,'G-3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5" t="str">
        <f>IFERROR(IF(H120="","",IF(H120-S120-T120=0&lt;0,"Error in Areas ▲",IF(S120+T120&gt;H120,"Error in Areas ▲",IF(AND(P120='G-1 All Habitats'!$X$3,Y120="Yes"),"Alternative Compensation",IF(W120=0,0,IF(P120='G-1 All Habitats'!$X$3,"Unacceptable Loss",Q120-U120-V120)))))),"Check Data ⚠")</f>
        <v/>
      </c>
      <c r="Y120" s="72"/>
      <c r="Z120" s="151"/>
      <c r="AA120" s="152"/>
      <c r="AC120" s="251" t="str">
        <f>IF(P120="","",IF(P120='G-1 All Habitats'!$X$3,H120-S120-T120,"None"))</f>
        <v/>
      </c>
      <c r="AD120" s="252"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3"/>
      <c r="F121" s="203"/>
      <c r="G121" s="250" t="str">
        <f>IFERROR(INDEX('G-1 All Habitats'!$B$3:$B$129,MATCH(F121,'G-1 All Habitats'!$A$3:$A$129,0)),"")</f>
        <v/>
      </c>
      <c r="H121" s="172"/>
      <c r="I121" s="498" t="str">
        <f>IF(G121="","",VLOOKUP(G121,'G-1 All Habitats'!$B$2:$M$129,10,FALSE))</f>
        <v/>
      </c>
      <c r="J121" s="499" t="str">
        <f>IFERROR(VLOOKUP(I121,'G-1 All Habitats'!$V$3:$W$7,2,FALSE),"")</f>
        <v/>
      </c>
      <c r="K121" s="145"/>
      <c r="L121" s="499" t="str">
        <f>IFERROR(INDEX('G-8 Condition Look up'!$A$3:$H$130,MATCH(G121,'G-8 Condition Look up'!$A$3:$A$130,0),MATCH(K121,'G-8 Condition Look up'!$A$3:$H$3,0)),"")</f>
        <v/>
      </c>
      <c r="M121" s="154"/>
      <c r="N121" s="520" t="str">
        <f>IF(M121="","",IF(VLOOKUP(M121,'G-3 Multipliers'!$L$3:$N$6,2,FALSE)=0,"Spatial Data Missing ⚠",VLOOKUP(M121,'G-3 Multipliers'!$L$3:$N$6,2,FALSE)))</f>
        <v/>
      </c>
      <c r="O121" s="524" t="str">
        <f>IF(M121="","",IF(VLOOKUP(M121,'G-3 Multipliers'!$L$3:$N$6,3,FALSE)=0,"Spatial Data Missing ⚠",VLOOKUP(M121,'G-3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5" t="str">
        <f>IFERROR(IF(H121="","",IF(H121-S121-T121=0&lt;0,"Error in Areas ▲",IF(S121+T121&gt;H121,"Error in Areas ▲",IF(AND(P121='G-1 All Habitats'!$X$3,Y121="Yes"),"Alternative Compensation",IF(W121=0,0,IF(P121='G-1 All Habitats'!$X$3,"Unacceptable Loss",Q121-U121-V121)))))),"Check Data ⚠")</f>
        <v/>
      </c>
      <c r="Y121" s="72"/>
      <c r="Z121" s="151"/>
      <c r="AA121" s="152"/>
      <c r="AC121" s="251" t="str">
        <f>IF(P121="","",IF(P121='G-1 All Habitats'!$X$3,H121-S121-T121,"None"))</f>
        <v/>
      </c>
      <c r="AD121" s="252"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3"/>
      <c r="F122" s="203"/>
      <c r="G122" s="250" t="str">
        <f>IFERROR(INDEX('G-1 All Habitats'!$B$3:$B$129,MATCH(F122,'G-1 All Habitats'!$A$3:$A$129,0)),"")</f>
        <v/>
      </c>
      <c r="H122" s="172"/>
      <c r="I122" s="498" t="str">
        <f>IF(G122="","",VLOOKUP(G122,'G-1 All Habitats'!$B$2:$M$129,10,FALSE))</f>
        <v/>
      </c>
      <c r="J122" s="499" t="str">
        <f>IFERROR(VLOOKUP(I122,'G-1 All Habitats'!$V$3:$W$7,2,FALSE),"")</f>
        <v/>
      </c>
      <c r="K122" s="145"/>
      <c r="L122" s="499" t="str">
        <f>IFERROR(INDEX('G-8 Condition Look up'!$A$3:$H$130,MATCH(G122,'G-8 Condition Look up'!$A$3:$A$130,0),MATCH(K122,'G-8 Condition Look up'!$A$3:$H$3,0)),"")</f>
        <v/>
      </c>
      <c r="M122" s="154"/>
      <c r="N122" s="520" t="str">
        <f>IF(M122="","",IF(VLOOKUP(M122,'G-3 Multipliers'!$L$3:$N$6,2,FALSE)=0,"Spatial Data Missing ⚠",VLOOKUP(M122,'G-3 Multipliers'!$L$3:$N$6,2,FALSE)))</f>
        <v/>
      </c>
      <c r="O122" s="524" t="str">
        <f>IF(M122="","",IF(VLOOKUP(M122,'G-3 Multipliers'!$L$3:$N$6,3,FALSE)=0,"Spatial Data Missing ⚠",VLOOKUP(M122,'G-3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5" t="str">
        <f>IFERROR(IF(H122="","",IF(H122-S122-T122=0&lt;0,"Error in Areas ▲",IF(S122+T122&gt;H122,"Error in Areas ▲",IF(AND(P122='G-1 All Habitats'!$X$3,Y122="Yes"),"Alternative Compensation",IF(W122=0,0,IF(P122='G-1 All Habitats'!$X$3,"Unacceptable Loss",Q122-U122-V122)))))),"Check Data ⚠")</f>
        <v/>
      </c>
      <c r="Y122" s="72"/>
      <c r="Z122" s="151"/>
      <c r="AA122" s="152"/>
      <c r="AC122" s="251" t="str">
        <f>IF(P122="","",IF(P122='G-1 All Habitats'!$X$3,H122-S122-T122,"None"))</f>
        <v/>
      </c>
      <c r="AD122" s="252"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3"/>
      <c r="F123" s="203"/>
      <c r="G123" s="250" t="str">
        <f>IFERROR(INDEX('G-1 All Habitats'!$B$3:$B$129,MATCH(F123,'G-1 All Habitats'!$A$3:$A$129,0)),"")</f>
        <v/>
      </c>
      <c r="H123" s="172"/>
      <c r="I123" s="498" t="str">
        <f>IF(G123="","",VLOOKUP(G123,'G-1 All Habitats'!$B$2:$M$129,10,FALSE))</f>
        <v/>
      </c>
      <c r="J123" s="499" t="str">
        <f>IFERROR(VLOOKUP(I123,'G-1 All Habitats'!$V$3:$W$7,2,FALSE),"")</f>
        <v/>
      </c>
      <c r="K123" s="145"/>
      <c r="L123" s="499" t="str">
        <f>IFERROR(INDEX('G-8 Condition Look up'!$A$3:$H$130,MATCH(G123,'G-8 Condition Look up'!$A$3:$A$130,0),MATCH(K123,'G-8 Condition Look up'!$A$3:$H$3,0)),"")</f>
        <v/>
      </c>
      <c r="M123" s="154"/>
      <c r="N123" s="520" t="str">
        <f>IF(M123="","",IF(VLOOKUP(M123,'G-3 Multipliers'!$L$3:$N$6,2,FALSE)=0,"Spatial Data Missing ⚠",VLOOKUP(M123,'G-3 Multipliers'!$L$3:$N$6,2,FALSE)))</f>
        <v/>
      </c>
      <c r="O123" s="524" t="str">
        <f>IF(M123="","",IF(VLOOKUP(M123,'G-3 Multipliers'!$L$3:$N$6,3,FALSE)=0,"Spatial Data Missing ⚠",VLOOKUP(M123,'G-3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5" t="str">
        <f>IFERROR(IF(H123="","",IF(H123-S123-T123=0&lt;0,"Error in Areas ▲",IF(S123+T123&gt;H123,"Error in Areas ▲",IF(AND(P123='G-1 All Habitats'!$X$3,Y123="Yes"),"Alternative Compensation",IF(W123=0,0,IF(P123='G-1 All Habitats'!$X$3,"Unacceptable Loss",Q123-U123-V123)))))),"Check Data ⚠")</f>
        <v/>
      </c>
      <c r="Y123" s="72"/>
      <c r="Z123" s="151"/>
      <c r="AA123" s="152"/>
      <c r="AC123" s="251" t="str">
        <f>IF(P123="","",IF(P123='G-1 All Habitats'!$X$3,H123-S123-T123,"None"))</f>
        <v/>
      </c>
      <c r="AD123" s="252"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3"/>
      <c r="F124" s="203"/>
      <c r="G124" s="250" t="str">
        <f>IFERROR(INDEX('G-1 All Habitats'!$B$3:$B$129,MATCH(F124,'G-1 All Habitats'!$A$3:$A$129,0)),"")</f>
        <v/>
      </c>
      <c r="H124" s="172"/>
      <c r="I124" s="498" t="str">
        <f>IF(G124="","",VLOOKUP(G124,'G-1 All Habitats'!$B$2:$M$129,10,FALSE))</f>
        <v/>
      </c>
      <c r="J124" s="499" t="str">
        <f>IFERROR(VLOOKUP(I124,'G-1 All Habitats'!$V$3:$W$7,2,FALSE),"")</f>
        <v/>
      </c>
      <c r="K124" s="145"/>
      <c r="L124" s="499" t="str">
        <f>IFERROR(INDEX('G-8 Condition Look up'!$A$3:$H$130,MATCH(G124,'G-8 Condition Look up'!$A$3:$A$130,0),MATCH(K124,'G-8 Condition Look up'!$A$3:$H$3,0)),"")</f>
        <v/>
      </c>
      <c r="M124" s="154"/>
      <c r="N124" s="520" t="str">
        <f>IF(M124="","",IF(VLOOKUP(M124,'G-3 Multipliers'!$L$3:$N$6,2,FALSE)=0,"Spatial Data Missing ⚠",VLOOKUP(M124,'G-3 Multipliers'!$L$3:$N$6,2,FALSE)))</f>
        <v/>
      </c>
      <c r="O124" s="524" t="str">
        <f>IF(M124="","",IF(VLOOKUP(M124,'G-3 Multipliers'!$L$3:$N$6,3,FALSE)=0,"Spatial Data Missing ⚠",VLOOKUP(M124,'G-3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5" t="str">
        <f>IFERROR(IF(H124="","",IF(H124-S124-T124=0&lt;0,"Error in Areas ▲",IF(S124+T124&gt;H124,"Error in Areas ▲",IF(AND(P124='G-1 All Habitats'!$X$3,Y124="Yes"),"Alternative Compensation",IF(W124=0,0,IF(P124='G-1 All Habitats'!$X$3,"Unacceptable Loss",Q124-U124-V124)))))),"Check Data ⚠")</f>
        <v/>
      </c>
      <c r="Y124" s="72"/>
      <c r="Z124" s="151"/>
      <c r="AA124" s="152"/>
      <c r="AC124" s="251" t="str">
        <f>IF(P124="","",IF(P124='G-1 All Habitats'!$X$3,H124-S124-T124,"None"))</f>
        <v/>
      </c>
      <c r="AD124" s="252"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3"/>
      <c r="F125" s="203"/>
      <c r="G125" s="250" t="str">
        <f>IFERROR(INDEX('G-1 All Habitats'!$B$3:$B$129,MATCH(F125,'G-1 All Habitats'!$A$3:$A$129,0)),"")</f>
        <v/>
      </c>
      <c r="H125" s="172"/>
      <c r="I125" s="498" t="str">
        <f>IF(G125="","",VLOOKUP(G125,'G-1 All Habitats'!$B$2:$M$129,10,FALSE))</f>
        <v/>
      </c>
      <c r="J125" s="499" t="str">
        <f>IFERROR(VLOOKUP(I125,'G-1 All Habitats'!$V$3:$W$7,2,FALSE),"")</f>
        <v/>
      </c>
      <c r="K125" s="145"/>
      <c r="L125" s="499" t="str">
        <f>IFERROR(INDEX('G-8 Condition Look up'!$A$3:$H$130,MATCH(G125,'G-8 Condition Look up'!$A$3:$A$130,0),MATCH(K125,'G-8 Condition Look up'!$A$3:$H$3,0)),"")</f>
        <v/>
      </c>
      <c r="M125" s="154"/>
      <c r="N125" s="520" t="str">
        <f>IF(M125="","",IF(VLOOKUP(M125,'G-3 Multipliers'!$L$3:$N$6,2,FALSE)=0,"Spatial Data Missing ⚠",VLOOKUP(M125,'G-3 Multipliers'!$L$3:$N$6,2,FALSE)))</f>
        <v/>
      </c>
      <c r="O125" s="524" t="str">
        <f>IF(M125="","",IF(VLOOKUP(M125,'G-3 Multipliers'!$L$3:$N$6,3,FALSE)=0,"Spatial Data Missing ⚠",VLOOKUP(M125,'G-3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5" t="str">
        <f>IFERROR(IF(H125="","",IF(H125-S125-T125=0&lt;0,"Error in Areas ▲",IF(S125+T125&gt;H125,"Error in Areas ▲",IF(AND(P125='G-1 All Habitats'!$X$3,Y125="Yes"),"Alternative Compensation",IF(W125=0,0,IF(P125='G-1 All Habitats'!$X$3,"Unacceptable Loss",Q125-U125-V125)))))),"Check Data ⚠")</f>
        <v/>
      </c>
      <c r="Y125" s="72"/>
      <c r="Z125" s="151"/>
      <c r="AA125" s="152"/>
      <c r="AC125" s="251" t="str">
        <f>IF(P125="","",IF(P125='G-1 All Habitats'!$X$3,H125-S125-T125,"None"))</f>
        <v/>
      </c>
      <c r="AD125" s="252"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3"/>
      <c r="F126" s="203"/>
      <c r="G126" s="250" t="str">
        <f>IFERROR(INDEX('G-1 All Habitats'!$B$3:$B$129,MATCH(F126,'G-1 All Habitats'!$A$3:$A$129,0)),"")</f>
        <v/>
      </c>
      <c r="H126" s="172"/>
      <c r="I126" s="498" t="str">
        <f>IF(G126="","",VLOOKUP(G126,'G-1 All Habitats'!$B$2:$M$129,10,FALSE))</f>
        <v/>
      </c>
      <c r="J126" s="499" t="str">
        <f>IFERROR(VLOOKUP(I126,'G-1 All Habitats'!$V$3:$W$7,2,FALSE),"")</f>
        <v/>
      </c>
      <c r="K126" s="145"/>
      <c r="L126" s="499" t="str">
        <f>IFERROR(INDEX('G-8 Condition Look up'!$A$3:$H$130,MATCH(G126,'G-8 Condition Look up'!$A$3:$A$130,0),MATCH(K126,'G-8 Condition Look up'!$A$3:$H$3,0)),"")</f>
        <v/>
      </c>
      <c r="M126" s="154"/>
      <c r="N126" s="520" t="str">
        <f>IF(M126="","",IF(VLOOKUP(M126,'G-3 Multipliers'!$L$3:$N$6,2,FALSE)=0,"Spatial Data Missing ⚠",VLOOKUP(M126,'G-3 Multipliers'!$L$3:$N$6,2,FALSE)))</f>
        <v/>
      </c>
      <c r="O126" s="524" t="str">
        <f>IF(M126="","",IF(VLOOKUP(M126,'G-3 Multipliers'!$L$3:$N$6,3,FALSE)=0,"Spatial Data Missing ⚠",VLOOKUP(M126,'G-3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5" t="str">
        <f>IFERROR(IF(H126="","",IF(H126-S126-T126=0&lt;0,"Error in Areas ▲",IF(S126+T126&gt;H126,"Error in Areas ▲",IF(AND(P126='G-1 All Habitats'!$X$3,Y126="Yes"),"Alternative Compensation",IF(W126=0,0,IF(P126='G-1 All Habitats'!$X$3,"Unacceptable Loss",Q126-U126-V126)))))),"Check Data ⚠")</f>
        <v/>
      </c>
      <c r="Y126" s="72"/>
      <c r="Z126" s="151"/>
      <c r="AA126" s="152"/>
      <c r="AC126" s="251" t="str">
        <f>IF(P126="","",IF(P126='G-1 All Habitats'!$X$3,H126-S126-T126,"None"))</f>
        <v/>
      </c>
      <c r="AD126" s="252"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3"/>
      <c r="F127" s="203"/>
      <c r="G127" s="250" t="str">
        <f>IFERROR(INDEX('G-1 All Habitats'!$B$3:$B$129,MATCH(F127,'G-1 All Habitats'!$A$3:$A$129,0)),"")</f>
        <v/>
      </c>
      <c r="H127" s="172"/>
      <c r="I127" s="498" t="str">
        <f>IF(G127="","",VLOOKUP(G127,'G-1 All Habitats'!$B$2:$M$129,10,FALSE))</f>
        <v/>
      </c>
      <c r="J127" s="499" t="str">
        <f>IFERROR(VLOOKUP(I127,'G-1 All Habitats'!$V$3:$W$7,2,FALSE),"")</f>
        <v/>
      </c>
      <c r="K127" s="145"/>
      <c r="L127" s="499" t="str">
        <f>IFERROR(INDEX('G-8 Condition Look up'!$A$3:$H$130,MATCH(G127,'G-8 Condition Look up'!$A$3:$A$130,0),MATCH(K127,'G-8 Condition Look up'!$A$3:$H$3,0)),"")</f>
        <v/>
      </c>
      <c r="M127" s="154"/>
      <c r="N127" s="520" t="str">
        <f>IF(M127="","",IF(VLOOKUP(M127,'G-3 Multipliers'!$L$3:$N$6,2,FALSE)=0,"Spatial Data Missing ⚠",VLOOKUP(M127,'G-3 Multipliers'!$L$3:$N$6,2,FALSE)))</f>
        <v/>
      </c>
      <c r="O127" s="524" t="str">
        <f>IF(M127="","",IF(VLOOKUP(M127,'G-3 Multipliers'!$L$3:$N$6,3,FALSE)=0,"Spatial Data Missing ⚠",VLOOKUP(M127,'G-3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5" t="str">
        <f>IFERROR(IF(H127="","",IF(H127-S127-T127=0&lt;0,"Error in Areas ▲",IF(S127+T127&gt;H127,"Error in Areas ▲",IF(AND(P127='G-1 All Habitats'!$X$3,Y127="Yes"),"Alternative Compensation",IF(W127=0,0,IF(P127='G-1 All Habitats'!$X$3,"Unacceptable Loss",Q127-U127-V127)))))),"Check Data ⚠")</f>
        <v/>
      </c>
      <c r="Y127" s="72"/>
      <c r="Z127" s="151"/>
      <c r="AA127" s="152"/>
      <c r="AC127" s="251" t="str">
        <f>IF(P127="","",IF(P127='G-1 All Habitats'!$X$3,H127-S127-T127,"None"))</f>
        <v/>
      </c>
      <c r="AD127" s="252"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3"/>
      <c r="F128" s="203"/>
      <c r="G128" s="250" t="str">
        <f>IFERROR(INDEX('G-1 All Habitats'!$B$3:$B$129,MATCH(F128,'G-1 All Habitats'!$A$3:$A$129,0)),"")</f>
        <v/>
      </c>
      <c r="H128" s="172"/>
      <c r="I128" s="498" t="str">
        <f>IF(G128="","",VLOOKUP(G128,'G-1 All Habitats'!$B$2:$M$129,10,FALSE))</f>
        <v/>
      </c>
      <c r="J128" s="499" t="str">
        <f>IFERROR(VLOOKUP(I128,'G-1 All Habitats'!$V$3:$W$7,2,FALSE),"")</f>
        <v/>
      </c>
      <c r="K128" s="145"/>
      <c r="L128" s="499" t="str">
        <f>IFERROR(INDEX('G-8 Condition Look up'!$A$3:$H$130,MATCH(G128,'G-8 Condition Look up'!$A$3:$A$130,0),MATCH(K128,'G-8 Condition Look up'!$A$3:$H$3,0)),"")</f>
        <v/>
      </c>
      <c r="M128" s="154"/>
      <c r="N128" s="520" t="str">
        <f>IF(M128="","",IF(VLOOKUP(M128,'G-3 Multipliers'!$L$3:$N$6,2,FALSE)=0,"Spatial Data Missing ⚠",VLOOKUP(M128,'G-3 Multipliers'!$L$3:$N$6,2,FALSE)))</f>
        <v/>
      </c>
      <c r="O128" s="524" t="str">
        <f>IF(M128="","",IF(VLOOKUP(M128,'G-3 Multipliers'!$L$3:$N$6,3,FALSE)=0,"Spatial Data Missing ⚠",VLOOKUP(M128,'G-3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5" t="str">
        <f>IFERROR(IF(H128="","",IF(H128-S128-T128=0&lt;0,"Error in Areas ▲",IF(S128+T128&gt;H128,"Error in Areas ▲",IF(AND(P128='G-1 All Habitats'!$X$3,Y128="Yes"),"Alternative Compensation",IF(W128=0,0,IF(P128='G-1 All Habitats'!$X$3,"Unacceptable Loss",Q128-U128-V128)))))),"Check Data ⚠")</f>
        <v/>
      </c>
      <c r="Y128" s="72"/>
      <c r="Z128" s="151"/>
      <c r="AA128" s="152"/>
      <c r="AC128" s="251" t="str">
        <f>IF(P128="","",IF(P128='G-1 All Habitats'!$X$3,H128-S128-T128,"None"))</f>
        <v/>
      </c>
      <c r="AD128" s="252"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3"/>
      <c r="F129" s="203"/>
      <c r="G129" s="250" t="str">
        <f>IFERROR(INDEX('G-1 All Habitats'!$B$3:$B$129,MATCH(F129,'G-1 All Habitats'!$A$3:$A$129,0)),"")</f>
        <v/>
      </c>
      <c r="H129" s="172"/>
      <c r="I129" s="498" t="str">
        <f>IF(G129="","",VLOOKUP(G129,'G-1 All Habitats'!$B$2:$M$129,10,FALSE))</f>
        <v/>
      </c>
      <c r="J129" s="499" t="str">
        <f>IFERROR(VLOOKUP(I129,'G-1 All Habitats'!$V$3:$W$7,2,FALSE),"")</f>
        <v/>
      </c>
      <c r="K129" s="145"/>
      <c r="L129" s="499" t="str">
        <f>IFERROR(INDEX('G-8 Condition Look up'!$A$3:$H$130,MATCH(G129,'G-8 Condition Look up'!$A$3:$A$130,0),MATCH(K129,'G-8 Condition Look up'!$A$3:$H$3,0)),"")</f>
        <v/>
      </c>
      <c r="M129" s="154"/>
      <c r="N129" s="520" t="str">
        <f>IF(M129="","",IF(VLOOKUP(M129,'G-3 Multipliers'!$L$3:$N$6,2,FALSE)=0,"Spatial Data Missing ⚠",VLOOKUP(M129,'G-3 Multipliers'!$L$3:$N$6,2,FALSE)))</f>
        <v/>
      </c>
      <c r="O129" s="524" t="str">
        <f>IF(M129="","",IF(VLOOKUP(M129,'G-3 Multipliers'!$L$3:$N$6,3,FALSE)=0,"Spatial Data Missing ⚠",VLOOKUP(M129,'G-3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5" t="str">
        <f>IFERROR(IF(H129="","",IF(H129-S129-T129=0&lt;0,"Error in Areas ▲",IF(S129+T129&gt;H129,"Error in Areas ▲",IF(AND(P129='G-1 All Habitats'!$X$3,Y129="Yes"),"Alternative Compensation",IF(W129=0,0,IF(P129='G-1 All Habitats'!$X$3,"Unacceptable Loss",Q129-U129-V129)))))),"Check Data ⚠")</f>
        <v/>
      </c>
      <c r="Y129" s="72"/>
      <c r="Z129" s="151"/>
      <c r="AA129" s="152"/>
      <c r="AC129" s="251" t="str">
        <f>IF(P129="","",IF(P129='G-1 All Habitats'!$X$3,H129-S129-T129,"None"))</f>
        <v/>
      </c>
      <c r="AD129" s="252"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3"/>
      <c r="F130" s="203"/>
      <c r="G130" s="250" t="str">
        <f>IFERROR(INDEX('G-1 All Habitats'!$B$3:$B$129,MATCH(F130,'G-1 All Habitats'!$A$3:$A$129,0)),"")</f>
        <v/>
      </c>
      <c r="H130" s="172"/>
      <c r="I130" s="498" t="str">
        <f>IF(G130="","",VLOOKUP(G130,'G-1 All Habitats'!$B$2:$M$129,10,FALSE))</f>
        <v/>
      </c>
      <c r="J130" s="499" t="str">
        <f>IFERROR(VLOOKUP(I130,'G-1 All Habitats'!$V$3:$W$7,2,FALSE),"")</f>
        <v/>
      </c>
      <c r="K130" s="145"/>
      <c r="L130" s="499" t="str">
        <f>IFERROR(INDEX('G-8 Condition Look up'!$A$3:$H$130,MATCH(G130,'G-8 Condition Look up'!$A$3:$A$130,0),MATCH(K130,'G-8 Condition Look up'!$A$3:$H$3,0)),"")</f>
        <v/>
      </c>
      <c r="M130" s="154"/>
      <c r="N130" s="520" t="str">
        <f>IF(M130="","",IF(VLOOKUP(M130,'G-3 Multipliers'!$L$3:$N$6,2,FALSE)=0,"Spatial Data Missing ⚠",VLOOKUP(M130,'G-3 Multipliers'!$L$3:$N$6,2,FALSE)))</f>
        <v/>
      </c>
      <c r="O130" s="524" t="str">
        <f>IF(M130="","",IF(VLOOKUP(M130,'G-3 Multipliers'!$L$3:$N$6,3,FALSE)=0,"Spatial Data Missing ⚠",VLOOKUP(M130,'G-3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5" t="str">
        <f>IFERROR(IF(H130="","",IF(H130-S130-T130=0&lt;0,"Error in Areas ▲",IF(S130+T130&gt;H130,"Error in Areas ▲",IF(AND(P130='G-1 All Habitats'!$X$3,Y130="Yes"),"Alternative Compensation",IF(W130=0,0,IF(P130='G-1 All Habitats'!$X$3,"Unacceptable Loss",Q130-U130-V130)))))),"Check Data ⚠")</f>
        <v/>
      </c>
      <c r="Y130" s="72"/>
      <c r="Z130" s="151"/>
      <c r="AA130" s="152"/>
      <c r="AC130" s="251" t="str">
        <f>IF(P130="","",IF(P130='G-1 All Habitats'!$X$3,H130-S130-T130,"None"))</f>
        <v/>
      </c>
      <c r="AD130" s="252"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3"/>
      <c r="F131" s="203"/>
      <c r="G131" s="250" t="str">
        <f>IFERROR(INDEX('G-1 All Habitats'!$B$3:$B$129,MATCH(F131,'G-1 All Habitats'!$A$3:$A$129,0)),"")</f>
        <v/>
      </c>
      <c r="H131" s="172"/>
      <c r="I131" s="498" t="str">
        <f>IF(G131="","",VLOOKUP(G131,'G-1 All Habitats'!$B$2:$M$129,10,FALSE))</f>
        <v/>
      </c>
      <c r="J131" s="499" t="str">
        <f>IFERROR(VLOOKUP(I131,'G-1 All Habitats'!$V$3:$W$7,2,FALSE),"")</f>
        <v/>
      </c>
      <c r="K131" s="145"/>
      <c r="L131" s="499" t="str">
        <f>IFERROR(INDEX('G-8 Condition Look up'!$A$3:$H$130,MATCH(G131,'G-8 Condition Look up'!$A$3:$A$130,0),MATCH(K131,'G-8 Condition Look up'!$A$3:$H$3,0)),"")</f>
        <v/>
      </c>
      <c r="M131" s="154"/>
      <c r="N131" s="520" t="str">
        <f>IF(M131="","",IF(VLOOKUP(M131,'G-3 Multipliers'!$L$3:$N$6,2,FALSE)=0,"Spatial Data Missing ⚠",VLOOKUP(M131,'G-3 Multipliers'!$L$3:$N$6,2,FALSE)))</f>
        <v/>
      </c>
      <c r="O131" s="524" t="str">
        <f>IF(M131="","",IF(VLOOKUP(M131,'G-3 Multipliers'!$L$3:$N$6,3,FALSE)=0,"Spatial Data Missing ⚠",VLOOKUP(M131,'G-3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5" t="str">
        <f>IFERROR(IF(H131="","",IF(H131-S131-T131=0&lt;0,"Error in Areas ▲",IF(S131+T131&gt;H131,"Error in Areas ▲",IF(AND(P131='G-1 All Habitats'!$X$3,Y131="Yes"),"Alternative Compensation",IF(W131=0,0,IF(P131='G-1 All Habitats'!$X$3,"Unacceptable Loss",Q131-U131-V131)))))),"Check Data ⚠")</f>
        <v/>
      </c>
      <c r="Y131" s="72"/>
      <c r="Z131" s="151"/>
      <c r="AA131" s="152"/>
      <c r="AC131" s="251" t="str">
        <f>IF(P131="","",IF(P131='G-1 All Habitats'!$X$3,H131-S131-T131,"None"))</f>
        <v/>
      </c>
      <c r="AD131" s="252"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3"/>
      <c r="F132" s="203"/>
      <c r="G132" s="250" t="str">
        <f>IFERROR(INDEX('G-1 All Habitats'!$B$3:$B$129,MATCH(F132,'G-1 All Habitats'!$A$3:$A$129,0)),"")</f>
        <v/>
      </c>
      <c r="H132" s="172"/>
      <c r="I132" s="498" t="str">
        <f>IF(G132="","",VLOOKUP(G132,'G-1 All Habitats'!$B$2:$M$129,10,FALSE))</f>
        <v/>
      </c>
      <c r="J132" s="499" t="str">
        <f>IFERROR(VLOOKUP(I132,'G-1 All Habitats'!$V$3:$W$7,2,FALSE),"")</f>
        <v/>
      </c>
      <c r="K132" s="145"/>
      <c r="L132" s="499" t="str">
        <f>IFERROR(INDEX('G-8 Condition Look up'!$A$3:$H$130,MATCH(G132,'G-8 Condition Look up'!$A$3:$A$130,0),MATCH(K132,'G-8 Condition Look up'!$A$3:$H$3,0)),"")</f>
        <v/>
      </c>
      <c r="M132" s="154"/>
      <c r="N132" s="520" t="str">
        <f>IF(M132="","",IF(VLOOKUP(M132,'G-3 Multipliers'!$L$3:$N$6,2,FALSE)=0,"Spatial Data Missing ⚠",VLOOKUP(M132,'G-3 Multipliers'!$L$3:$N$6,2,FALSE)))</f>
        <v/>
      </c>
      <c r="O132" s="524" t="str">
        <f>IF(M132="","",IF(VLOOKUP(M132,'G-3 Multipliers'!$L$3:$N$6,3,FALSE)=0,"Spatial Data Missing ⚠",VLOOKUP(M132,'G-3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5" t="str">
        <f>IFERROR(IF(H132="","",IF(H132-S132-T132=0&lt;0,"Error in Areas ▲",IF(S132+T132&gt;H132,"Error in Areas ▲",IF(AND(P132='G-1 All Habitats'!$X$3,Y132="Yes"),"Alternative Compensation",IF(W132=0,0,IF(P132='G-1 All Habitats'!$X$3,"Unacceptable Loss",Q132-U132-V132)))))),"Check Data ⚠")</f>
        <v/>
      </c>
      <c r="Y132" s="72"/>
      <c r="Z132" s="151"/>
      <c r="AA132" s="152"/>
      <c r="AC132" s="251" t="str">
        <f>IF(P132="","",IF(P132='G-1 All Habitats'!$X$3,H132-S132-T132,"None"))</f>
        <v/>
      </c>
      <c r="AD132" s="252"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3"/>
      <c r="F133" s="203"/>
      <c r="G133" s="250" t="str">
        <f>IFERROR(INDEX('G-1 All Habitats'!$B$3:$B$129,MATCH(F133,'G-1 All Habitats'!$A$3:$A$129,0)),"")</f>
        <v/>
      </c>
      <c r="H133" s="172"/>
      <c r="I133" s="498" t="str">
        <f>IF(G133="","",VLOOKUP(G133,'G-1 All Habitats'!$B$2:$M$129,10,FALSE))</f>
        <v/>
      </c>
      <c r="J133" s="499" t="str">
        <f>IFERROR(VLOOKUP(I133,'G-1 All Habitats'!$V$3:$W$7,2,FALSE),"")</f>
        <v/>
      </c>
      <c r="K133" s="145"/>
      <c r="L133" s="499" t="str">
        <f>IFERROR(INDEX('G-8 Condition Look up'!$A$3:$H$130,MATCH(G133,'G-8 Condition Look up'!$A$3:$A$130,0),MATCH(K133,'G-8 Condition Look up'!$A$3:$H$3,0)),"")</f>
        <v/>
      </c>
      <c r="M133" s="154"/>
      <c r="N133" s="520" t="str">
        <f>IF(M133="","",IF(VLOOKUP(M133,'G-3 Multipliers'!$L$3:$N$6,2,FALSE)=0,"Spatial Data Missing ⚠",VLOOKUP(M133,'G-3 Multipliers'!$L$3:$N$6,2,FALSE)))</f>
        <v/>
      </c>
      <c r="O133" s="524" t="str">
        <f>IF(M133="","",IF(VLOOKUP(M133,'G-3 Multipliers'!$L$3:$N$6,3,FALSE)=0,"Spatial Data Missing ⚠",VLOOKUP(M133,'G-3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5" t="str">
        <f>IFERROR(IF(H133="","",IF(H133-S133-T133=0&lt;0,"Error in Areas ▲",IF(S133+T133&gt;H133,"Error in Areas ▲",IF(AND(P133='G-1 All Habitats'!$X$3,Y133="Yes"),"Alternative Compensation",IF(W133=0,0,IF(P133='G-1 All Habitats'!$X$3,"Unacceptable Loss",Q133-U133-V133)))))),"Check Data ⚠")</f>
        <v/>
      </c>
      <c r="Y133" s="72"/>
      <c r="Z133" s="151"/>
      <c r="AA133" s="152"/>
      <c r="AC133" s="251" t="str">
        <f>IF(P133="","",IF(P133='G-1 All Habitats'!$X$3,H133-S133-T133,"None"))</f>
        <v/>
      </c>
      <c r="AD133" s="252"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3"/>
      <c r="F134" s="203"/>
      <c r="G134" s="250" t="str">
        <f>IFERROR(INDEX('G-1 All Habitats'!$B$3:$B$129,MATCH(F134,'G-1 All Habitats'!$A$3:$A$129,0)),"")</f>
        <v/>
      </c>
      <c r="H134" s="172"/>
      <c r="I134" s="498" t="str">
        <f>IF(G134="","",VLOOKUP(G134,'G-1 All Habitats'!$B$2:$M$129,10,FALSE))</f>
        <v/>
      </c>
      <c r="J134" s="499" t="str">
        <f>IFERROR(VLOOKUP(I134,'G-1 All Habitats'!$V$3:$W$7,2,FALSE),"")</f>
        <v/>
      </c>
      <c r="K134" s="145"/>
      <c r="L134" s="499" t="str">
        <f>IFERROR(INDEX('G-8 Condition Look up'!$A$3:$H$130,MATCH(G134,'G-8 Condition Look up'!$A$3:$A$130,0),MATCH(K134,'G-8 Condition Look up'!$A$3:$H$3,0)),"")</f>
        <v/>
      </c>
      <c r="M134" s="154"/>
      <c r="N134" s="520" t="str">
        <f>IF(M134="","",IF(VLOOKUP(M134,'G-3 Multipliers'!$L$3:$N$6,2,FALSE)=0,"Spatial Data Missing ⚠",VLOOKUP(M134,'G-3 Multipliers'!$L$3:$N$6,2,FALSE)))</f>
        <v/>
      </c>
      <c r="O134" s="524" t="str">
        <f>IF(M134="","",IF(VLOOKUP(M134,'G-3 Multipliers'!$L$3:$N$6,3,FALSE)=0,"Spatial Data Missing ⚠",VLOOKUP(M134,'G-3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5" t="str">
        <f>IFERROR(IF(H134="","",IF(H134-S134-T134=0&lt;0,"Error in Areas ▲",IF(S134+T134&gt;H134,"Error in Areas ▲",IF(AND(P134='G-1 All Habitats'!$X$3,Y134="Yes"),"Alternative Compensation",IF(W134=0,0,IF(P134='G-1 All Habitats'!$X$3,"Unacceptable Loss",Q134-U134-V134)))))),"Check Data ⚠")</f>
        <v/>
      </c>
      <c r="Y134" s="72"/>
      <c r="Z134" s="151"/>
      <c r="AA134" s="152"/>
      <c r="AC134" s="251" t="str">
        <f>IF(P134="","",IF(P134='G-1 All Habitats'!$X$3,H134-S134-T134,"None"))</f>
        <v/>
      </c>
      <c r="AD134" s="252"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3"/>
      <c r="F135" s="203"/>
      <c r="G135" s="250" t="str">
        <f>IFERROR(INDEX('G-1 All Habitats'!$B$3:$B$129,MATCH(F135,'G-1 All Habitats'!$A$3:$A$129,0)),"")</f>
        <v/>
      </c>
      <c r="H135" s="172"/>
      <c r="I135" s="498" t="str">
        <f>IF(G135="","",VLOOKUP(G135,'G-1 All Habitats'!$B$2:$M$129,10,FALSE))</f>
        <v/>
      </c>
      <c r="J135" s="499" t="str">
        <f>IFERROR(VLOOKUP(I135,'G-1 All Habitats'!$V$3:$W$7,2,FALSE),"")</f>
        <v/>
      </c>
      <c r="K135" s="145"/>
      <c r="L135" s="499" t="str">
        <f>IFERROR(INDEX('G-8 Condition Look up'!$A$3:$H$130,MATCH(G135,'G-8 Condition Look up'!$A$3:$A$130,0),MATCH(K135,'G-8 Condition Look up'!$A$3:$H$3,0)),"")</f>
        <v/>
      </c>
      <c r="M135" s="154"/>
      <c r="N135" s="520" t="str">
        <f>IF(M135="","",IF(VLOOKUP(M135,'G-3 Multipliers'!$L$3:$N$6,2,FALSE)=0,"Spatial Data Missing ⚠",VLOOKUP(M135,'G-3 Multipliers'!$L$3:$N$6,2,FALSE)))</f>
        <v/>
      </c>
      <c r="O135" s="524" t="str">
        <f>IF(M135="","",IF(VLOOKUP(M135,'G-3 Multipliers'!$L$3:$N$6,3,FALSE)=0,"Spatial Data Missing ⚠",VLOOKUP(M135,'G-3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5" t="str">
        <f>IFERROR(IF(H135="","",IF(H135-S135-T135=0&lt;0,"Error in Areas ▲",IF(S135+T135&gt;H135,"Error in Areas ▲",IF(AND(P135='G-1 All Habitats'!$X$3,Y135="Yes"),"Alternative Compensation",IF(W135=0,0,IF(P135='G-1 All Habitats'!$X$3,"Unacceptable Loss",Q135-U135-V135)))))),"Check Data ⚠")</f>
        <v/>
      </c>
      <c r="Y135" s="72"/>
      <c r="Z135" s="151"/>
      <c r="AA135" s="152"/>
      <c r="AC135" s="251" t="str">
        <f>IF(P135="","",IF(P135='G-1 All Habitats'!$X$3,H135-S135-T135,"None"))</f>
        <v/>
      </c>
      <c r="AD135" s="252"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3"/>
      <c r="F136" s="203"/>
      <c r="G136" s="250" t="str">
        <f>IFERROR(INDEX('G-1 All Habitats'!$B$3:$B$129,MATCH(F136,'G-1 All Habitats'!$A$3:$A$129,0)),"")</f>
        <v/>
      </c>
      <c r="H136" s="172"/>
      <c r="I136" s="498" t="str">
        <f>IF(G136="","",VLOOKUP(G136,'G-1 All Habitats'!$B$2:$M$129,10,FALSE))</f>
        <v/>
      </c>
      <c r="J136" s="499" t="str">
        <f>IFERROR(VLOOKUP(I136,'G-1 All Habitats'!$V$3:$W$7,2,FALSE),"")</f>
        <v/>
      </c>
      <c r="K136" s="145"/>
      <c r="L136" s="499" t="str">
        <f>IFERROR(INDEX('G-8 Condition Look up'!$A$3:$H$130,MATCH(G136,'G-8 Condition Look up'!$A$3:$A$130,0),MATCH(K136,'G-8 Condition Look up'!$A$3:$H$3,0)),"")</f>
        <v/>
      </c>
      <c r="M136" s="154"/>
      <c r="N136" s="520" t="str">
        <f>IF(M136="","",IF(VLOOKUP(M136,'G-3 Multipliers'!$L$3:$N$6,2,FALSE)=0,"Spatial Data Missing ⚠",VLOOKUP(M136,'G-3 Multipliers'!$L$3:$N$6,2,FALSE)))</f>
        <v/>
      </c>
      <c r="O136" s="524" t="str">
        <f>IF(M136="","",IF(VLOOKUP(M136,'G-3 Multipliers'!$L$3:$N$6,3,FALSE)=0,"Spatial Data Missing ⚠",VLOOKUP(M136,'G-3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5" t="str">
        <f>IFERROR(IF(H136="","",IF(H136-S136-T136=0&lt;0,"Error in Areas ▲",IF(S136+T136&gt;H136,"Error in Areas ▲",IF(AND(P136='G-1 All Habitats'!$X$3,Y136="Yes"),"Alternative Compensation",IF(W136=0,0,IF(P136='G-1 All Habitats'!$X$3,"Unacceptable Loss",Q136-U136-V136)))))),"Check Data ⚠")</f>
        <v/>
      </c>
      <c r="Y136" s="72"/>
      <c r="Z136" s="151"/>
      <c r="AA136" s="152"/>
      <c r="AC136" s="251" t="str">
        <f>IF(P136="","",IF(P136='G-1 All Habitats'!$X$3,H136-S136-T136,"None"))</f>
        <v/>
      </c>
      <c r="AD136" s="252"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3"/>
      <c r="F137" s="203"/>
      <c r="G137" s="250" t="str">
        <f>IFERROR(INDEX('G-1 All Habitats'!$B$3:$B$129,MATCH(F137,'G-1 All Habitats'!$A$3:$A$129,0)),"")</f>
        <v/>
      </c>
      <c r="H137" s="172"/>
      <c r="I137" s="498" t="str">
        <f>IF(G137="","",VLOOKUP(G137,'G-1 All Habitats'!$B$2:$M$129,10,FALSE))</f>
        <v/>
      </c>
      <c r="J137" s="499" t="str">
        <f>IFERROR(VLOOKUP(I137,'G-1 All Habitats'!$V$3:$W$7,2,FALSE),"")</f>
        <v/>
      </c>
      <c r="K137" s="145"/>
      <c r="L137" s="499" t="str">
        <f>IFERROR(INDEX('G-8 Condition Look up'!$A$3:$H$130,MATCH(G137,'G-8 Condition Look up'!$A$3:$A$130,0),MATCH(K137,'G-8 Condition Look up'!$A$3:$H$3,0)),"")</f>
        <v/>
      </c>
      <c r="M137" s="154"/>
      <c r="N137" s="520" t="str">
        <f>IF(M137="","",IF(VLOOKUP(M137,'G-3 Multipliers'!$L$3:$N$6,2,FALSE)=0,"Spatial Data Missing ⚠",VLOOKUP(M137,'G-3 Multipliers'!$L$3:$N$6,2,FALSE)))</f>
        <v/>
      </c>
      <c r="O137" s="524" t="str">
        <f>IF(M137="","",IF(VLOOKUP(M137,'G-3 Multipliers'!$L$3:$N$6,3,FALSE)=0,"Spatial Data Missing ⚠",VLOOKUP(M137,'G-3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5" t="str">
        <f>IFERROR(IF(H137="","",IF(H137-S137-T137=0&lt;0,"Error in Areas ▲",IF(S137+T137&gt;H137,"Error in Areas ▲",IF(AND(P137='G-1 All Habitats'!$X$3,Y137="Yes"),"Alternative Compensation",IF(W137=0,0,IF(P137='G-1 All Habitats'!$X$3,"Unacceptable Loss",Q137-U137-V137)))))),"Check Data ⚠")</f>
        <v/>
      </c>
      <c r="Y137" s="72"/>
      <c r="Z137" s="151"/>
      <c r="AA137" s="152"/>
      <c r="AC137" s="251" t="str">
        <f>IF(P137="","",IF(P137='G-1 All Habitats'!$X$3,H137-S137-T137,"None"))</f>
        <v/>
      </c>
      <c r="AD137" s="252"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3"/>
      <c r="F138" s="203"/>
      <c r="G138" s="250" t="str">
        <f>IFERROR(INDEX('G-1 All Habitats'!$B$3:$B$129,MATCH(F138,'G-1 All Habitats'!$A$3:$A$129,0)),"")</f>
        <v/>
      </c>
      <c r="H138" s="172"/>
      <c r="I138" s="498" t="str">
        <f>IF(G138="","",VLOOKUP(G138,'G-1 All Habitats'!$B$2:$M$129,10,FALSE))</f>
        <v/>
      </c>
      <c r="J138" s="499" t="str">
        <f>IFERROR(VLOOKUP(I138,'G-1 All Habitats'!$V$3:$W$7,2,FALSE),"")</f>
        <v/>
      </c>
      <c r="K138" s="145"/>
      <c r="L138" s="499" t="str">
        <f>IFERROR(INDEX('G-8 Condition Look up'!$A$3:$H$130,MATCH(G138,'G-8 Condition Look up'!$A$3:$A$130,0),MATCH(K138,'G-8 Condition Look up'!$A$3:$H$3,0)),"")</f>
        <v/>
      </c>
      <c r="M138" s="154"/>
      <c r="N138" s="520" t="str">
        <f>IF(M138="","",IF(VLOOKUP(M138,'G-3 Multipliers'!$L$3:$N$6,2,FALSE)=0,"Spatial Data Missing ⚠",VLOOKUP(M138,'G-3 Multipliers'!$L$3:$N$6,2,FALSE)))</f>
        <v/>
      </c>
      <c r="O138" s="524" t="str">
        <f>IF(M138="","",IF(VLOOKUP(M138,'G-3 Multipliers'!$L$3:$N$6,3,FALSE)=0,"Spatial Data Missing ⚠",VLOOKUP(M138,'G-3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5" t="str">
        <f>IFERROR(IF(H138="","",IF(H138-S138-T138=0&lt;0,"Error in Areas ▲",IF(S138+T138&gt;H138,"Error in Areas ▲",IF(AND(P138='G-1 All Habitats'!$X$3,Y138="Yes"),"Alternative Compensation",IF(W138=0,0,IF(P138='G-1 All Habitats'!$X$3,"Unacceptable Loss",Q138-U138-V138)))))),"Check Data ⚠")</f>
        <v/>
      </c>
      <c r="Y138" s="72"/>
      <c r="Z138" s="151"/>
      <c r="AA138" s="152"/>
      <c r="AC138" s="251" t="str">
        <f>IF(P138="","",IF(P138='G-1 All Habitats'!$X$3,H138-S138-T138,"None"))</f>
        <v/>
      </c>
      <c r="AD138" s="252"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3"/>
      <c r="F139" s="203"/>
      <c r="G139" s="250" t="str">
        <f>IFERROR(INDEX('G-1 All Habitats'!$B$3:$B$129,MATCH(F139,'G-1 All Habitats'!$A$3:$A$129,0)),"")</f>
        <v/>
      </c>
      <c r="H139" s="172"/>
      <c r="I139" s="498" t="str">
        <f>IF(G139="","",VLOOKUP(G139,'G-1 All Habitats'!$B$2:$M$129,10,FALSE))</f>
        <v/>
      </c>
      <c r="J139" s="499" t="str">
        <f>IFERROR(VLOOKUP(I139,'G-1 All Habitats'!$V$3:$W$7,2,FALSE),"")</f>
        <v/>
      </c>
      <c r="K139" s="145"/>
      <c r="L139" s="499" t="str">
        <f>IFERROR(INDEX('G-8 Condition Look up'!$A$3:$H$130,MATCH(G139,'G-8 Condition Look up'!$A$3:$A$130,0),MATCH(K139,'G-8 Condition Look up'!$A$3:$H$3,0)),"")</f>
        <v/>
      </c>
      <c r="M139" s="154"/>
      <c r="N139" s="520" t="str">
        <f>IF(M139="","",IF(VLOOKUP(M139,'G-3 Multipliers'!$L$3:$N$6,2,FALSE)=0,"Spatial Data Missing ⚠",VLOOKUP(M139,'G-3 Multipliers'!$L$3:$N$6,2,FALSE)))</f>
        <v/>
      </c>
      <c r="O139" s="524" t="str">
        <f>IF(M139="","",IF(VLOOKUP(M139,'G-3 Multipliers'!$L$3:$N$6,3,FALSE)=0,"Spatial Data Missing ⚠",VLOOKUP(M139,'G-3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5" t="str">
        <f>IFERROR(IF(H139="","",IF(H139-S139-T139=0&lt;0,"Error in Areas ▲",IF(S139+T139&gt;H139,"Error in Areas ▲",IF(AND(P139='G-1 All Habitats'!$X$3,Y139="Yes"),"Alternative Compensation",IF(W139=0,0,IF(P139='G-1 All Habitats'!$X$3,"Unacceptable Loss",Q139-U139-V139)))))),"Check Data ⚠")</f>
        <v/>
      </c>
      <c r="Y139" s="72"/>
      <c r="Z139" s="151"/>
      <c r="AA139" s="152"/>
      <c r="AC139" s="251" t="str">
        <f>IF(P139="","",IF(P139='G-1 All Habitats'!$X$3,H139-S139-T139,"None"))</f>
        <v/>
      </c>
      <c r="AD139" s="252"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3"/>
      <c r="F140" s="203"/>
      <c r="G140" s="250" t="str">
        <f>IFERROR(INDEX('G-1 All Habitats'!$B$3:$B$129,MATCH(F140,'G-1 All Habitats'!$A$3:$A$129,0)),"")</f>
        <v/>
      </c>
      <c r="H140" s="172"/>
      <c r="I140" s="498" t="str">
        <f>IF(G140="","",VLOOKUP(G140,'G-1 All Habitats'!$B$2:$M$129,10,FALSE))</f>
        <v/>
      </c>
      <c r="J140" s="499" t="str">
        <f>IFERROR(VLOOKUP(I140,'G-1 All Habitats'!$V$3:$W$7,2,FALSE),"")</f>
        <v/>
      </c>
      <c r="K140" s="145"/>
      <c r="L140" s="499" t="str">
        <f>IFERROR(INDEX('G-8 Condition Look up'!$A$3:$H$130,MATCH(G140,'G-8 Condition Look up'!$A$3:$A$130,0),MATCH(K140,'G-8 Condition Look up'!$A$3:$H$3,0)),"")</f>
        <v/>
      </c>
      <c r="M140" s="154"/>
      <c r="N140" s="520" t="str">
        <f>IF(M140="","",IF(VLOOKUP(M140,'G-3 Multipliers'!$L$3:$N$6,2,FALSE)=0,"Spatial Data Missing ⚠",VLOOKUP(M140,'G-3 Multipliers'!$L$3:$N$6,2,FALSE)))</f>
        <v/>
      </c>
      <c r="O140" s="524" t="str">
        <f>IF(M140="","",IF(VLOOKUP(M140,'G-3 Multipliers'!$L$3:$N$6,3,FALSE)=0,"Spatial Data Missing ⚠",VLOOKUP(M140,'G-3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1" t="str">
        <f t="shared" ref="U140:U203" si="14">IFERROR(S140*J140*L140*O140,"")</f>
        <v/>
      </c>
      <c r="V140" s="511" t="str">
        <f t="shared" ref="V140:V203" si="15">IFERROR(T140*J140*L140*O140,"")</f>
        <v/>
      </c>
      <c r="W140" s="511"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5" t="str">
        <f>IFERROR(IF(H140="","",IF(H140-S140-T140=0&lt;0,"Error in Areas ▲",IF(S140+T140&gt;H140,"Error in Areas ▲",IF(AND(P140='G-1 All Habitats'!$X$3,Y140="Yes"),"Alternative Compensation",IF(W140=0,0,IF(P140='G-1 All Habitats'!$X$3,"Unacceptable Loss",Q140-U140-V140)))))),"Check Data ⚠")</f>
        <v/>
      </c>
      <c r="Y140" s="72"/>
      <c r="Z140" s="151"/>
      <c r="AA140" s="152"/>
      <c r="AC140" s="251" t="str">
        <f>IF(P140="","",IF(P140='G-1 All Habitats'!$X$3,H140-S140-T140,"None"))</f>
        <v/>
      </c>
      <c r="AD140" s="252"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3"/>
      <c r="F141" s="203"/>
      <c r="G141" s="250" t="str">
        <f>IFERROR(INDEX('G-1 All Habitats'!$B$3:$B$129,MATCH(F141,'G-1 All Habitats'!$A$3:$A$129,0)),"")</f>
        <v/>
      </c>
      <c r="H141" s="172"/>
      <c r="I141" s="498" t="str">
        <f>IF(G141="","",VLOOKUP(G141,'G-1 All Habitats'!$B$2:$M$129,10,FALSE))</f>
        <v/>
      </c>
      <c r="J141" s="499" t="str">
        <f>IFERROR(VLOOKUP(I141,'G-1 All Habitats'!$V$3:$W$7,2,FALSE),"")</f>
        <v/>
      </c>
      <c r="K141" s="145"/>
      <c r="L141" s="499" t="str">
        <f>IFERROR(INDEX('G-8 Condition Look up'!$A$3:$H$130,MATCH(G141,'G-8 Condition Look up'!$A$3:$A$130,0),MATCH(K141,'G-8 Condition Look up'!$A$3:$H$3,0)),"")</f>
        <v/>
      </c>
      <c r="M141" s="154"/>
      <c r="N141" s="520" t="str">
        <f>IF(M141="","",IF(VLOOKUP(M141,'G-3 Multipliers'!$L$3:$N$6,2,FALSE)=0,"Spatial Data Missing ⚠",VLOOKUP(M141,'G-3 Multipliers'!$L$3:$N$6,2,FALSE)))</f>
        <v/>
      </c>
      <c r="O141" s="524" t="str">
        <f>IF(M141="","",IF(VLOOKUP(M141,'G-3 Multipliers'!$L$3:$N$6,3,FALSE)=0,"Spatial Data Missing ⚠",VLOOKUP(M141,'G-3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1" t="str">
        <f t="shared" si="14"/>
        <v/>
      </c>
      <c r="V141" s="511" t="str">
        <f t="shared" si="15"/>
        <v/>
      </c>
      <c r="W141" s="511"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5" t="str">
        <f>IFERROR(IF(H141="","",IF(H141-S141-T141=0&lt;0,"Error in Areas ▲",IF(S141+T141&gt;H141,"Error in Areas ▲",IF(AND(P141='G-1 All Habitats'!$X$3,Y141="Yes"),"Alternative Compensation",IF(W141=0,0,IF(P141='G-1 All Habitats'!$X$3,"Unacceptable Loss",Q141-U141-V141)))))),"Check Data ⚠")</f>
        <v/>
      </c>
      <c r="Y141" s="72"/>
      <c r="Z141" s="151"/>
      <c r="AA141" s="152"/>
      <c r="AC141" s="251" t="str">
        <f>IF(P141="","",IF(P141='G-1 All Habitats'!$X$3,H141-S141-T141,"None"))</f>
        <v/>
      </c>
      <c r="AD141" s="252"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3"/>
      <c r="F142" s="203"/>
      <c r="G142" s="250" t="str">
        <f>IFERROR(INDEX('G-1 All Habitats'!$B$3:$B$129,MATCH(F142,'G-1 All Habitats'!$A$3:$A$129,0)),"")</f>
        <v/>
      </c>
      <c r="H142" s="172"/>
      <c r="I142" s="498" t="str">
        <f>IF(G142="","",VLOOKUP(G142,'G-1 All Habitats'!$B$2:$M$129,10,FALSE))</f>
        <v/>
      </c>
      <c r="J142" s="499" t="str">
        <f>IFERROR(VLOOKUP(I142,'G-1 All Habitats'!$V$3:$W$7,2,FALSE),"")</f>
        <v/>
      </c>
      <c r="K142" s="145"/>
      <c r="L142" s="499" t="str">
        <f>IFERROR(INDEX('G-8 Condition Look up'!$A$3:$H$130,MATCH(G142,'G-8 Condition Look up'!$A$3:$A$130,0),MATCH(K142,'G-8 Condition Look up'!$A$3:$H$3,0)),"")</f>
        <v/>
      </c>
      <c r="M142" s="154"/>
      <c r="N142" s="520" t="str">
        <f>IF(M142="","",IF(VLOOKUP(M142,'G-3 Multipliers'!$L$3:$N$6,2,FALSE)=0,"Spatial Data Missing ⚠",VLOOKUP(M142,'G-3 Multipliers'!$L$3:$N$6,2,FALSE)))</f>
        <v/>
      </c>
      <c r="O142" s="524" t="str">
        <f>IF(M142="","",IF(VLOOKUP(M142,'G-3 Multipliers'!$L$3:$N$6,3,FALSE)=0,"Spatial Data Missing ⚠",VLOOKUP(M142,'G-3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1" t="str">
        <f t="shared" si="14"/>
        <v/>
      </c>
      <c r="V142" s="511" t="str">
        <f t="shared" si="15"/>
        <v/>
      </c>
      <c r="W142" s="511"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5" t="str">
        <f>IFERROR(IF(H142="","",IF(H142-S142-T142=0&lt;0,"Error in Areas ▲",IF(S142+T142&gt;H142,"Error in Areas ▲",IF(AND(P142='G-1 All Habitats'!$X$3,Y142="Yes"),"Alternative Compensation",IF(W142=0,0,IF(P142='G-1 All Habitats'!$X$3,"Unacceptable Loss",Q142-U142-V142)))))),"Check Data ⚠")</f>
        <v/>
      </c>
      <c r="Y142" s="72"/>
      <c r="Z142" s="151"/>
      <c r="AA142" s="152"/>
      <c r="AC142" s="251" t="str">
        <f>IF(P142="","",IF(P142='G-1 All Habitats'!$X$3,H142-S142-T142,"None"))</f>
        <v/>
      </c>
      <c r="AD142" s="252"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3"/>
      <c r="F143" s="203"/>
      <c r="G143" s="250" t="str">
        <f>IFERROR(INDEX('G-1 All Habitats'!$B$3:$B$129,MATCH(F143,'G-1 All Habitats'!$A$3:$A$129,0)),"")</f>
        <v/>
      </c>
      <c r="H143" s="172"/>
      <c r="I143" s="498" t="str">
        <f>IF(G143="","",VLOOKUP(G143,'G-1 All Habitats'!$B$2:$M$129,10,FALSE))</f>
        <v/>
      </c>
      <c r="J143" s="499" t="str">
        <f>IFERROR(VLOOKUP(I143,'G-1 All Habitats'!$V$3:$W$7,2,FALSE),"")</f>
        <v/>
      </c>
      <c r="K143" s="145"/>
      <c r="L143" s="499" t="str">
        <f>IFERROR(INDEX('G-8 Condition Look up'!$A$3:$H$130,MATCH(G143,'G-8 Condition Look up'!$A$3:$A$130,0),MATCH(K143,'G-8 Condition Look up'!$A$3:$H$3,0)),"")</f>
        <v/>
      </c>
      <c r="M143" s="154"/>
      <c r="N143" s="520" t="str">
        <f>IF(M143="","",IF(VLOOKUP(M143,'G-3 Multipliers'!$L$3:$N$6,2,FALSE)=0,"Spatial Data Missing ⚠",VLOOKUP(M143,'G-3 Multipliers'!$L$3:$N$6,2,FALSE)))</f>
        <v/>
      </c>
      <c r="O143" s="524" t="str">
        <f>IF(M143="","",IF(VLOOKUP(M143,'G-3 Multipliers'!$L$3:$N$6,3,FALSE)=0,"Spatial Data Missing ⚠",VLOOKUP(M143,'G-3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1" t="str">
        <f t="shared" si="14"/>
        <v/>
      </c>
      <c r="V143" s="511" t="str">
        <f t="shared" si="15"/>
        <v/>
      </c>
      <c r="W143" s="511"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5" t="str">
        <f>IFERROR(IF(H143="","",IF(H143-S143-T143=0&lt;0,"Error in Areas ▲",IF(S143+T143&gt;H143,"Error in Areas ▲",IF(AND(P143='G-1 All Habitats'!$X$3,Y143="Yes"),"Alternative Compensation",IF(W143=0,0,IF(P143='G-1 All Habitats'!$X$3,"Unacceptable Loss",Q143-U143-V143)))))),"Check Data ⚠")</f>
        <v/>
      </c>
      <c r="Y143" s="72"/>
      <c r="Z143" s="151"/>
      <c r="AA143" s="152"/>
      <c r="AC143" s="251" t="str">
        <f>IF(P143="","",IF(P143='G-1 All Habitats'!$X$3,H143-S143-T143,"None"))</f>
        <v/>
      </c>
      <c r="AD143" s="252"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3"/>
      <c r="F144" s="203"/>
      <c r="G144" s="250" t="str">
        <f>IFERROR(INDEX('G-1 All Habitats'!$B$3:$B$129,MATCH(F144,'G-1 All Habitats'!$A$3:$A$129,0)),"")</f>
        <v/>
      </c>
      <c r="H144" s="172"/>
      <c r="I144" s="498" t="str">
        <f>IF(G144="","",VLOOKUP(G144,'G-1 All Habitats'!$B$2:$M$129,10,FALSE))</f>
        <v/>
      </c>
      <c r="J144" s="499" t="str">
        <f>IFERROR(VLOOKUP(I144,'G-1 All Habitats'!$V$3:$W$7,2,FALSE),"")</f>
        <v/>
      </c>
      <c r="K144" s="145"/>
      <c r="L144" s="499" t="str">
        <f>IFERROR(INDEX('G-8 Condition Look up'!$A$3:$H$130,MATCH(G144,'G-8 Condition Look up'!$A$3:$A$130,0),MATCH(K144,'G-8 Condition Look up'!$A$3:$H$3,0)),"")</f>
        <v/>
      </c>
      <c r="M144" s="154"/>
      <c r="N144" s="520" t="str">
        <f>IF(M144="","",IF(VLOOKUP(M144,'G-3 Multipliers'!$L$3:$N$6,2,FALSE)=0,"Spatial Data Missing ⚠",VLOOKUP(M144,'G-3 Multipliers'!$L$3:$N$6,2,FALSE)))</f>
        <v/>
      </c>
      <c r="O144" s="524" t="str">
        <f>IF(M144="","",IF(VLOOKUP(M144,'G-3 Multipliers'!$L$3:$N$6,3,FALSE)=0,"Spatial Data Missing ⚠",VLOOKUP(M144,'G-3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1" t="str">
        <f t="shared" si="14"/>
        <v/>
      </c>
      <c r="V144" s="511" t="str">
        <f t="shared" si="15"/>
        <v/>
      </c>
      <c r="W144" s="511"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5" t="str">
        <f>IFERROR(IF(H144="","",IF(H144-S144-T144=0&lt;0,"Error in Areas ▲",IF(S144+T144&gt;H144,"Error in Areas ▲",IF(AND(P144='G-1 All Habitats'!$X$3,Y144="Yes"),"Alternative Compensation",IF(W144=0,0,IF(P144='G-1 All Habitats'!$X$3,"Unacceptable Loss",Q144-U144-V144)))))),"Check Data ⚠")</f>
        <v/>
      </c>
      <c r="Y144" s="72"/>
      <c r="Z144" s="151"/>
      <c r="AA144" s="152"/>
      <c r="AC144" s="251" t="str">
        <f>IF(P144="","",IF(P144='G-1 All Habitats'!$X$3,H144-S144-T144,"None"))</f>
        <v/>
      </c>
      <c r="AD144" s="252"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3"/>
      <c r="F145" s="203"/>
      <c r="G145" s="250" t="str">
        <f>IFERROR(INDEX('G-1 All Habitats'!$B$3:$B$129,MATCH(F145,'G-1 All Habitats'!$A$3:$A$129,0)),"")</f>
        <v/>
      </c>
      <c r="H145" s="172"/>
      <c r="I145" s="498" t="str">
        <f>IF(G145="","",VLOOKUP(G145,'G-1 All Habitats'!$B$2:$M$129,10,FALSE))</f>
        <v/>
      </c>
      <c r="J145" s="499" t="str">
        <f>IFERROR(VLOOKUP(I145,'G-1 All Habitats'!$V$3:$W$7,2,FALSE),"")</f>
        <v/>
      </c>
      <c r="K145" s="145"/>
      <c r="L145" s="499" t="str">
        <f>IFERROR(INDEX('G-8 Condition Look up'!$A$3:$H$130,MATCH(G145,'G-8 Condition Look up'!$A$3:$A$130,0),MATCH(K145,'G-8 Condition Look up'!$A$3:$H$3,0)),"")</f>
        <v/>
      </c>
      <c r="M145" s="154"/>
      <c r="N145" s="520" t="str">
        <f>IF(M145="","",IF(VLOOKUP(M145,'G-3 Multipliers'!$L$3:$N$6,2,FALSE)=0,"Spatial Data Missing ⚠",VLOOKUP(M145,'G-3 Multipliers'!$L$3:$N$6,2,FALSE)))</f>
        <v/>
      </c>
      <c r="O145" s="524" t="str">
        <f>IF(M145="","",IF(VLOOKUP(M145,'G-3 Multipliers'!$L$3:$N$6,3,FALSE)=0,"Spatial Data Missing ⚠",VLOOKUP(M145,'G-3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1" t="str">
        <f t="shared" si="14"/>
        <v/>
      </c>
      <c r="V145" s="511" t="str">
        <f t="shared" si="15"/>
        <v/>
      </c>
      <c r="W145" s="511"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5" t="str">
        <f>IFERROR(IF(H145="","",IF(H145-S145-T145=0&lt;0,"Error in Areas ▲",IF(S145+T145&gt;H145,"Error in Areas ▲",IF(AND(P145='G-1 All Habitats'!$X$3,Y145="Yes"),"Alternative Compensation",IF(W145=0,0,IF(P145='G-1 All Habitats'!$X$3,"Unacceptable Loss",Q145-U145-V145)))))),"Check Data ⚠")</f>
        <v/>
      </c>
      <c r="Y145" s="72"/>
      <c r="Z145" s="151"/>
      <c r="AA145" s="152"/>
      <c r="AC145" s="251" t="str">
        <f>IF(P145="","",IF(P145='G-1 All Habitats'!$X$3,H145-S145-T145,"None"))</f>
        <v/>
      </c>
      <c r="AD145" s="252"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3"/>
      <c r="F146" s="203"/>
      <c r="G146" s="250" t="str">
        <f>IFERROR(INDEX('G-1 All Habitats'!$B$3:$B$129,MATCH(F146,'G-1 All Habitats'!$A$3:$A$129,0)),"")</f>
        <v/>
      </c>
      <c r="H146" s="172"/>
      <c r="I146" s="498" t="str">
        <f>IF(G146="","",VLOOKUP(G146,'G-1 All Habitats'!$B$2:$M$129,10,FALSE))</f>
        <v/>
      </c>
      <c r="J146" s="499" t="str">
        <f>IFERROR(VLOOKUP(I146,'G-1 All Habitats'!$V$3:$W$7,2,FALSE),"")</f>
        <v/>
      </c>
      <c r="K146" s="145"/>
      <c r="L146" s="499" t="str">
        <f>IFERROR(INDEX('G-8 Condition Look up'!$A$3:$H$130,MATCH(G146,'G-8 Condition Look up'!$A$3:$A$130,0),MATCH(K146,'G-8 Condition Look up'!$A$3:$H$3,0)),"")</f>
        <v/>
      </c>
      <c r="M146" s="154"/>
      <c r="N146" s="520" t="str">
        <f>IF(M146="","",IF(VLOOKUP(M146,'G-3 Multipliers'!$L$3:$N$6,2,FALSE)=0,"Spatial Data Missing ⚠",VLOOKUP(M146,'G-3 Multipliers'!$L$3:$N$6,2,FALSE)))</f>
        <v/>
      </c>
      <c r="O146" s="524" t="str">
        <f>IF(M146="","",IF(VLOOKUP(M146,'G-3 Multipliers'!$L$3:$N$6,3,FALSE)=0,"Spatial Data Missing ⚠",VLOOKUP(M146,'G-3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1" t="str">
        <f t="shared" si="14"/>
        <v/>
      </c>
      <c r="V146" s="511" t="str">
        <f t="shared" si="15"/>
        <v/>
      </c>
      <c r="W146" s="511"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5" t="str">
        <f>IFERROR(IF(H146="","",IF(H146-S146-T146=0&lt;0,"Error in Areas ▲",IF(S146+T146&gt;H146,"Error in Areas ▲",IF(AND(P146='G-1 All Habitats'!$X$3,Y146="Yes"),"Alternative Compensation",IF(W146=0,0,IF(P146='G-1 All Habitats'!$X$3,"Unacceptable Loss",Q146-U146-V146)))))),"Check Data ⚠")</f>
        <v/>
      </c>
      <c r="Y146" s="72"/>
      <c r="Z146" s="151"/>
      <c r="AA146" s="152"/>
      <c r="AC146" s="251" t="str">
        <f>IF(P146="","",IF(P146='G-1 All Habitats'!$X$3,H146-S146-T146,"None"))</f>
        <v/>
      </c>
      <c r="AD146" s="252"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3"/>
      <c r="F147" s="203"/>
      <c r="G147" s="250" t="str">
        <f>IFERROR(INDEX('G-1 All Habitats'!$B$3:$B$129,MATCH(F147,'G-1 All Habitats'!$A$3:$A$129,0)),"")</f>
        <v/>
      </c>
      <c r="H147" s="172"/>
      <c r="I147" s="498" t="str">
        <f>IF(G147="","",VLOOKUP(G147,'G-1 All Habitats'!$B$2:$M$129,10,FALSE))</f>
        <v/>
      </c>
      <c r="J147" s="499" t="str">
        <f>IFERROR(VLOOKUP(I147,'G-1 All Habitats'!$V$3:$W$7,2,FALSE),"")</f>
        <v/>
      </c>
      <c r="K147" s="145"/>
      <c r="L147" s="499" t="str">
        <f>IFERROR(INDEX('G-8 Condition Look up'!$A$3:$H$130,MATCH(G147,'G-8 Condition Look up'!$A$3:$A$130,0),MATCH(K147,'G-8 Condition Look up'!$A$3:$H$3,0)),"")</f>
        <v/>
      </c>
      <c r="M147" s="154"/>
      <c r="N147" s="520" t="str">
        <f>IF(M147="","",IF(VLOOKUP(M147,'G-3 Multipliers'!$L$3:$N$6,2,FALSE)=0,"Spatial Data Missing ⚠",VLOOKUP(M147,'G-3 Multipliers'!$L$3:$N$6,2,FALSE)))</f>
        <v/>
      </c>
      <c r="O147" s="524" t="str">
        <f>IF(M147="","",IF(VLOOKUP(M147,'G-3 Multipliers'!$L$3:$N$6,3,FALSE)=0,"Spatial Data Missing ⚠",VLOOKUP(M147,'G-3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1" t="str">
        <f t="shared" si="14"/>
        <v/>
      </c>
      <c r="V147" s="511" t="str">
        <f t="shared" si="15"/>
        <v/>
      </c>
      <c r="W147" s="511"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5" t="str">
        <f>IFERROR(IF(H147="","",IF(H147-S147-T147=0&lt;0,"Error in Areas ▲",IF(S147+T147&gt;H147,"Error in Areas ▲",IF(AND(P147='G-1 All Habitats'!$X$3,Y147="Yes"),"Alternative Compensation",IF(W147=0,0,IF(P147='G-1 All Habitats'!$X$3,"Unacceptable Loss",Q147-U147-V147)))))),"Check Data ⚠")</f>
        <v/>
      </c>
      <c r="Y147" s="72"/>
      <c r="Z147" s="151"/>
      <c r="AA147" s="152"/>
      <c r="AC147" s="251" t="str">
        <f>IF(P147="","",IF(P147='G-1 All Habitats'!$X$3,H147-S147-T147,"None"))</f>
        <v/>
      </c>
      <c r="AD147" s="252"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3"/>
      <c r="F148" s="203"/>
      <c r="G148" s="250" t="str">
        <f>IFERROR(INDEX('G-1 All Habitats'!$B$3:$B$129,MATCH(F148,'G-1 All Habitats'!$A$3:$A$129,0)),"")</f>
        <v/>
      </c>
      <c r="H148" s="172"/>
      <c r="I148" s="498" t="str">
        <f>IF(G148="","",VLOOKUP(G148,'G-1 All Habitats'!$B$2:$M$129,10,FALSE))</f>
        <v/>
      </c>
      <c r="J148" s="499" t="str">
        <f>IFERROR(VLOOKUP(I148,'G-1 All Habitats'!$V$3:$W$7,2,FALSE),"")</f>
        <v/>
      </c>
      <c r="K148" s="145"/>
      <c r="L148" s="499" t="str">
        <f>IFERROR(INDEX('G-8 Condition Look up'!$A$3:$H$130,MATCH(G148,'G-8 Condition Look up'!$A$3:$A$130,0),MATCH(K148,'G-8 Condition Look up'!$A$3:$H$3,0)),"")</f>
        <v/>
      </c>
      <c r="M148" s="154"/>
      <c r="N148" s="520" t="str">
        <f>IF(M148="","",IF(VLOOKUP(M148,'G-3 Multipliers'!$L$3:$N$6,2,FALSE)=0,"Spatial Data Missing ⚠",VLOOKUP(M148,'G-3 Multipliers'!$L$3:$N$6,2,FALSE)))</f>
        <v/>
      </c>
      <c r="O148" s="524" t="str">
        <f>IF(M148="","",IF(VLOOKUP(M148,'G-3 Multipliers'!$L$3:$N$6,3,FALSE)=0,"Spatial Data Missing ⚠",VLOOKUP(M148,'G-3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1" t="str">
        <f t="shared" si="14"/>
        <v/>
      </c>
      <c r="V148" s="511" t="str">
        <f t="shared" si="15"/>
        <v/>
      </c>
      <c r="W148" s="511"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5" t="str">
        <f>IFERROR(IF(H148="","",IF(H148-S148-T148=0&lt;0,"Error in Areas ▲",IF(S148+T148&gt;H148,"Error in Areas ▲",IF(AND(P148='G-1 All Habitats'!$X$3,Y148="Yes"),"Alternative Compensation",IF(W148=0,0,IF(P148='G-1 All Habitats'!$X$3,"Unacceptable Loss",Q148-U148-V148)))))),"Check Data ⚠")</f>
        <v/>
      </c>
      <c r="Y148" s="72"/>
      <c r="Z148" s="151"/>
      <c r="AA148" s="152"/>
      <c r="AC148" s="251" t="str">
        <f>IF(P148="","",IF(P148='G-1 All Habitats'!$X$3,H148-S148-T148,"None"))</f>
        <v/>
      </c>
      <c r="AD148" s="252"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3"/>
      <c r="F149" s="203"/>
      <c r="G149" s="250" t="str">
        <f>IFERROR(INDEX('G-1 All Habitats'!$B$3:$B$129,MATCH(F149,'G-1 All Habitats'!$A$3:$A$129,0)),"")</f>
        <v/>
      </c>
      <c r="H149" s="172"/>
      <c r="I149" s="498" t="str">
        <f>IF(G149="","",VLOOKUP(G149,'G-1 All Habitats'!$B$2:$M$129,10,FALSE))</f>
        <v/>
      </c>
      <c r="J149" s="499" t="str">
        <f>IFERROR(VLOOKUP(I149,'G-1 All Habitats'!$V$3:$W$7,2,FALSE),"")</f>
        <v/>
      </c>
      <c r="K149" s="145"/>
      <c r="L149" s="499" t="str">
        <f>IFERROR(INDEX('G-8 Condition Look up'!$A$3:$H$130,MATCH(G149,'G-8 Condition Look up'!$A$3:$A$130,0),MATCH(K149,'G-8 Condition Look up'!$A$3:$H$3,0)),"")</f>
        <v/>
      </c>
      <c r="M149" s="154"/>
      <c r="N149" s="520" t="str">
        <f>IF(M149="","",IF(VLOOKUP(M149,'G-3 Multipliers'!$L$3:$N$6,2,FALSE)=0,"Spatial Data Missing ⚠",VLOOKUP(M149,'G-3 Multipliers'!$L$3:$N$6,2,FALSE)))</f>
        <v/>
      </c>
      <c r="O149" s="524" t="str">
        <f>IF(M149="","",IF(VLOOKUP(M149,'G-3 Multipliers'!$L$3:$N$6,3,FALSE)=0,"Spatial Data Missing ⚠",VLOOKUP(M149,'G-3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1" t="str">
        <f t="shared" si="14"/>
        <v/>
      </c>
      <c r="V149" s="511" t="str">
        <f t="shared" si="15"/>
        <v/>
      </c>
      <c r="W149" s="511"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5" t="str">
        <f>IFERROR(IF(H149="","",IF(H149-S149-T149=0&lt;0,"Error in Areas ▲",IF(S149+T149&gt;H149,"Error in Areas ▲",IF(AND(P149='G-1 All Habitats'!$X$3,Y149="Yes"),"Alternative Compensation",IF(W149=0,0,IF(P149='G-1 All Habitats'!$X$3,"Unacceptable Loss",Q149-U149-V149)))))),"Check Data ⚠")</f>
        <v/>
      </c>
      <c r="Y149" s="72"/>
      <c r="Z149" s="151"/>
      <c r="AA149" s="152"/>
      <c r="AC149" s="251" t="str">
        <f>IF(P149="","",IF(P149='G-1 All Habitats'!$X$3,H149-S149-T149,"None"))</f>
        <v/>
      </c>
      <c r="AD149" s="252"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3"/>
      <c r="F150" s="203"/>
      <c r="G150" s="250" t="str">
        <f>IFERROR(INDEX('G-1 All Habitats'!$B$3:$B$129,MATCH(F150,'G-1 All Habitats'!$A$3:$A$129,0)),"")</f>
        <v/>
      </c>
      <c r="H150" s="172"/>
      <c r="I150" s="498" t="str">
        <f>IF(G150="","",VLOOKUP(G150,'G-1 All Habitats'!$B$2:$M$129,10,FALSE))</f>
        <v/>
      </c>
      <c r="J150" s="499" t="str">
        <f>IFERROR(VLOOKUP(I150,'G-1 All Habitats'!$V$3:$W$7,2,FALSE),"")</f>
        <v/>
      </c>
      <c r="K150" s="145"/>
      <c r="L150" s="499" t="str">
        <f>IFERROR(INDEX('G-8 Condition Look up'!$A$3:$H$130,MATCH(G150,'G-8 Condition Look up'!$A$3:$A$130,0),MATCH(K150,'G-8 Condition Look up'!$A$3:$H$3,0)),"")</f>
        <v/>
      </c>
      <c r="M150" s="154"/>
      <c r="N150" s="520" t="str">
        <f>IF(M150="","",IF(VLOOKUP(M150,'G-3 Multipliers'!$L$3:$N$6,2,FALSE)=0,"Spatial Data Missing ⚠",VLOOKUP(M150,'G-3 Multipliers'!$L$3:$N$6,2,FALSE)))</f>
        <v/>
      </c>
      <c r="O150" s="524" t="str">
        <f>IF(M150="","",IF(VLOOKUP(M150,'G-3 Multipliers'!$L$3:$N$6,3,FALSE)=0,"Spatial Data Missing ⚠",VLOOKUP(M150,'G-3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1" t="str">
        <f t="shared" si="14"/>
        <v/>
      </c>
      <c r="V150" s="511" t="str">
        <f t="shared" si="15"/>
        <v/>
      </c>
      <c r="W150" s="511"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5" t="str">
        <f>IFERROR(IF(H150="","",IF(H150-S150-T150=0&lt;0,"Error in Areas ▲",IF(S150+T150&gt;H150,"Error in Areas ▲",IF(AND(P150='G-1 All Habitats'!$X$3,Y150="Yes"),"Alternative Compensation",IF(W150=0,0,IF(P150='G-1 All Habitats'!$X$3,"Unacceptable Loss",Q150-U150-V150)))))),"Check Data ⚠")</f>
        <v/>
      </c>
      <c r="Y150" s="72"/>
      <c r="Z150" s="151"/>
      <c r="AA150" s="152"/>
      <c r="AC150" s="251" t="str">
        <f>IF(P150="","",IF(P150='G-1 All Habitats'!$X$3,H150-S150-T150,"None"))</f>
        <v/>
      </c>
      <c r="AD150" s="252"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3"/>
      <c r="F151" s="203"/>
      <c r="G151" s="250" t="str">
        <f>IFERROR(INDEX('G-1 All Habitats'!$B$3:$B$129,MATCH(F151,'G-1 All Habitats'!$A$3:$A$129,0)),"")</f>
        <v/>
      </c>
      <c r="H151" s="172"/>
      <c r="I151" s="498" t="str">
        <f>IF(G151="","",VLOOKUP(G151,'G-1 All Habitats'!$B$2:$M$129,10,FALSE))</f>
        <v/>
      </c>
      <c r="J151" s="499" t="str">
        <f>IFERROR(VLOOKUP(I151,'G-1 All Habitats'!$V$3:$W$7,2,FALSE),"")</f>
        <v/>
      </c>
      <c r="K151" s="145"/>
      <c r="L151" s="499" t="str">
        <f>IFERROR(INDEX('G-8 Condition Look up'!$A$3:$H$130,MATCH(G151,'G-8 Condition Look up'!$A$3:$A$130,0),MATCH(K151,'G-8 Condition Look up'!$A$3:$H$3,0)),"")</f>
        <v/>
      </c>
      <c r="M151" s="154"/>
      <c r="N151" s="520" t="str">
        <f>IF(M151="","",IF(VLOOKUP(M151,'G-3 Multipliers'!$L$3:$N$6,2,FALSE)=0,"Spatial Data Missing ⚠",VLOOKUP(M151,'G-3 Multipliers'!$L$3:$N$6,2,FALSE)))</f>
        <v/>
      </c>
      <c r="O151" s="524" t="str">
        <f>IF(M151="","",IF(VLOOKUP(M151,'G-3 Multipliers'!$L$3:$N$6,3,FALSE)=0,"Spatial Data Missing ⚠",VLOOKUP(M151,'G-3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1" t="str">
        <f t="shared" si="14"/>
        <v/>
      </c>
      <c r="V151" s="511" t="str">
        <f t="shared" si="15"/>
        <v/>
      </c>
      <c r="W151" s="511"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5" t="str">
        <f>IFERROR(IF(H151="","",IF(H151-S151-T151=0&lt;0,"Error in Areas ▲",IF(S151+T151&gt;H151,"Error in Areas ▲",IF(AND(P151='G-1 All Habitats'!$X$3,Y151="Yes"),"Alternative Compensation",IF(W151=0,0,IF(P151='G-1 All Habitats'!$X$3,"Unacceptable Loss",Q151-U151-V151)))))),"Check Data ⚠")</f>
        <v/>
      </c>
      <c r="Y151" s="72"/>
      <c r="Z151" s="151"/>
      <c r="AA151" s="152"/>
      <c r="AC151" s="251" t="str">
        <f>IF(P151="","",IF(P151='G-1 All Habitats'!$X$3,H151-S151-T151,"None"))</f>
        <v/>
      </c>
      <c r="AD151" s="252"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3"/>
      <c r="F152" s="203"/>
      <c r="G152" s="250" t="str">
        <f>IFERROR(INDEX('G-1 All Habitats'!$B$3:$B$129,MATCH(F152,'G-1 All Habitats'!$A$3:$A$129,0)),"")</f>
        <v/>
      </c>
      <c r="H152" s="172"/>
      <c r="I152" s="498" t="str">
        <f>IF(G152="","",VLOOKUP(G152,'G-1 All Habitats'!$B$2:$M$129,10,FALSE))</f>
        <v/>
      </c>
      <c r="J152" s="499" t="str">
        <f>IFERROR(VLOOKUP(I152,'G-1 All Habitats'!$V$3:$W$7,2,FALSE),"")</f>
        <v/>
      </c>
      <c r="K152" s="145"/>
      <c r="L152" s="499" t="str">
        <f>IFERROR(INDEX('G-8 Condition Look up'!$A$3:$H$130,MATCH(G152,'G-8 Condition Look up'!$A$3:$A$130,0),MATCH(K152,'G-8 Condition Look up'!$A$3:$H$3,0)),"")</f>
        <v/>
      </c>
      <c r="M152" s="154"/>
      <c r="N152" s="520" t="str">
        <f>IF(M152="","",IF(VLOOKUP(M152,'G-3 Multipliers'!$L$3:$N$6,2,FALSE)=0,"Spatial Data Missing ⚠",VLOOKUP(M152,'G-3 Multipliers'!$L$3:$N$6,2,FALSE)))</f>
        <v/>
      </c>
      <c r="O152" s="524" t="str">
        <f>IF(M152="","",IF(VLOOKUP(M152,'G-3 Multipliers'!$L$3:$N$6,3,FALSE)=0,"Spatial Data Missing ⚠",VLOOKUP(M152,'G-3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1" t="str">
        <f t="shared" si="14"/>
        <v/>
      </c>
      <c r="V152" s="511" t="str">
        <f t="shared" si="15"/>
        <v/>
      </c>
      <c r="W152" s="511"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5" t="str">
        <f>IFERROR(IF(H152="","",IF(H152-S152-T152=0&lt;0,"Error in Areas ▲",IF(S152+T152&gt;H152,"Error in Areas ▲",IF(AND(P152='G-1 All Habitats'!$X$3,Y152="Yes"),"Alternative Compensation",IF(W152=0,0,IF(P152='G-1 All Habitats'!$X$3,"Unacceptable Loss",Q152-U152-V152)))))),"Check Data ⚠")</f>
        <v/>
      </c>
      <c r="Y152" s="72"/>
      <c r="Z152" s="151"/>
      <c r="AA152" s="152"/>
      <c r="AC152" s="251" t="str">
        <f>IF(P152="","",IF(P152='G-1 All Habitats'!$X$3,H152-S152-T152,"None"))</f>
        <v/>
      </c>
      <c r="AD152" s="252"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3"/>
      <c r="F153" s="203"/>
      <c r="G153" s="250" t="str">
        <f>IFERROR(INDEX('G-1 All Habitats'!$B$3:$B$129,MATCH(F153,'G-1 All Habitats'!$A$3:$A$129,0)),"")</f>
        <v/>
      </c>
      <c r="H153" s="172"/>
      <c r="I153" s="498" t="str">
        <f>IF(G153="","",VLOOKUP(G153,'G-1 All Habitats'!$B$2:$M$129,10,FALSE))</f>
        <v/>
      </c>
      <c r="J153" s="499" t="str">
        <f>IFERROR(VLOOKUP(I153,'G-1 All Habitats'!$V$3:$W$7,2,FALSE),"")</f>
        <v/>
      </c>
      <c r="K153" s="145"/>
      <c r="L153" s="499" t="str">
        <f>IFERROR(INDEX('G-8 Condition Look up'!$A$3:$H$130,MATCH(G153,'G-8 Condition Look up'!$A$3:$A$130,0),MATCH(K153,'G-8 Condition Look up'!$A$3:$H$3,0)),"")</f>
        <v/>
      </c>
      <c r="M153" s="154"/>
      <c r="N153" s="520" t="str">
        <f>IF(M153="","",IF(VLOOKUP(M153,'G-3 Multipliers'!$L$3:$N$6,2,FALSE)=0,"Spatial Data Missing ⚠",VLOOKUP(M153,'G-3 Multipliers'!$L$3:$N$6,2,FALSE)))</f>
        <v/>
      </c>
      <c r="O153" s="524" t="str">
        <f>IF(M153="","",IF(VLOOKUP(M153,'G-3 Multipliers'!$L$3:$N$6,3,FALSE)=0,"Spatial Data Missing ⚠",VLOOKUP(M153,'G-3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1" t="str">
        <f t="shared" si="14"/>
        <v/>
      </c>
      <c r="V153" s="511" t="str">
        <f t="shared" si="15"/>
        <v/>
      </c>
      <c r="W153" s="511"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5" t="str">
        <f>IFERROR(IF(H153="","",IF(H153-S153-T153=0&lt;0,"Error in Areas ▲",IF(S153+T153&gt;H153,"Error in Areas ▲",IF(AND(P153='G-1 All Habitats'!$X$3,Y153="Yes"),"Alternative Compensation",IF(W153=0,0,IF(P153='G-1 All Habitats'!$X$3,"Unacceptable Loss",Q153-U153-V153)))))),"Check Data ⚠")</f>
        <v/>
      </c>
      <c r="Y153" s="72"/>
      <c r="Z153" s="151"/>
      <c r="AA153" s="152"/>
      <c r="AC153" s="251" t="str">
        <f>IF(P153="","",IF(P153='G-1 All Habitats'!$X$3,H153-S153-T153,"None"))</f>
        <v/>
      </c>
      <c r="AD153" s="252"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3"/>
      <c r="F154" s="203"/>
      <c r="G154" s="250" t="str">
        <f>IFERROR(INDEX('G-1 All Habitats'!$B$3:$B$129,MATCH(F154,'G-1 All Habitats'!$A$3:$A$129,0)),"")</f>
        <v/>
      </c>
      <c r="H154" s="172"/>
      <c r="I154" s="498" t="str">
        <f>IF(G154="","",VLOOKUP(G154,'G-1 All Habitats'!$B$2:$M$129,10,FALSE))</f>
        <v/>
      </c>
      <c r="J154" s="499" t="str">
        <f>IFERROR(VLOOKUP(I154,'G-1 All Habitats'!$V$3:$W$7,2,FALSE),"")</f>
        <v/>
      </c>
      <c r="K154" s="145"/>
      <c r="L154" s="499" t="str">
        <f>IFERROR(INDEX('G-8 Condition Look up'!$A$3:$H$130,MATCH(G154,'G-8 Condition Look up'!$A$3:$A$130,0),MATCH(K154,'G-8 Condition Look up'!$A$3:$H$3,0)),"")</f>
        <v/>
      </c>
      <c r="M154" s="154"/>
      <c r="N154" s="520" t="str">
        <f>IF(M154="","",IF(VLOOKUP(M154,'G-3 Multipliers'!$L$3:$N$6,2,FALSE)=0,"Spatial Data Missing ⚠",VLOOKUP(M154,'G-3 Multipliers'!$L$3:$N$6,2,FALSE)))</f>
        <v/>
      </c>
      <c r="O154" s="524" t="str">
        <f>IF(M154="","",IF(VLOOKUP(M154,'G-3 Multipliers'!$L$3:$N$6,3,FALSE)=0,"Spatial Data Missing ⚠",VLOOKUP(M154,'G-3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1" t="str">
        <f t="shared" si="14"/>
        <v/>
      </c>
      <c r="V154" s="511" t="str">
        <f t="shared" si="15"/>
        <v/>
      </c>
      <c r="W154" s="511"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5" t="str">
        <f>IFERROR(IF(H154="","",IF(H154-S154-T154=0&lt;0,"Error in Areas ▲",IF(S154+T154&gt;H154,"Error in Areas ▲",IF(AND(P154='G-1 All Habitats'!$X$3,Y154="Yes"),"Alternative Compensation",IF(W154=0,0,IF(P154='G-1 All Habitats'!$X$3,"Unacceptable Loss",Q154-U154-V154)))))),"Check Data ⚠")</f>
        <v/>
      </c>
      <c r="Y154" s="72"/>
      <c r="Z154" s="151"/>
      <c r="AA154" s="152"/>
      <c r="AC154" s="251" t="str">
        <f>IF(P154="","",IF(P154='G-1 All Habitats'!$X$3,H154-S154-T154,"None"))</f>
        <v/>
      </c>
      <c r="AD154" s="252"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3"/>
      <c r="F155" s="203"/>
      <c r="G155" s="250" t="str">
        <f>IFERROR(INDEX('G-1 All Habitats'!$B$3:$B$129,MATCH(F155,'G-1 All Habitats'!$A$3:$A$129,0)),"")</f>
        <v/>
      </c>
      <c r="H155" s="172"/>
      <c r="I155" s="498" t="str">
        <f>IF(G155="","",VLOOKUP(G155,'G-1 All Habitats'!$B$2:$M$129,10,FALSE))</f>
        <v/>
      </c>
      <c r="J155" s="499" t="str">
        <f>IFERROR(VLOOKUP(I155,'G-1 All Habitats'!$V$3:$W$7,2,FALSE),"")</f>
        <v/>
      </c>
      <c r="K155" s="145"/>
      <c r="L155" s="499" t="str">
        <f>IFERROR(INDEX('G-8 Condition Look up'!$A$3:$H$130,MATCH(G155,'G-8 Condition Look up'!$A$3:$A$130,0),MATCH(K155,'G-8 Condition Look up'!$A$3:$H$3,0)),"")</f>
        <v/>
      </c>
      <c r="M155" s="154"/>
      <c r="N155" s="520" t="str">
        <f>IF(M155="","",IF(VLOOKUP(M155,'G-3 Multipliers'!$L$3:$N$6,2,FALSE)=0,"Spatial Data Missing ⚠",VLOOKUP(M155,'G-3 Multipliers'!$L$3:$N$6,2,FALSE)))</f>
        <v/>
      </c>
      <c r="O155" s="524" t="str">
        <f>IF(M155="","",IF(VLOOKUP(M155,'G-3 Multipliers'!$L$3:$N$6,3,FALSE)=0,"Spatial Data Missing ⚠",VLOOKUP(M155,'G-3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1" t="str">
        <f t="shared" si="14"/>
        <v/>
      </c>
      <c r="V155" s="511" t="str">
        <f t="shared" si="15"/>
        <v/>
      </c>
      <c r="W155" s="511"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5" t="str">
        <f>IFERROR(IF(H155="","",IF(H155-S155-T155=0&lt;0,"Error in Areas ▲",IF(S155+T155&gt;H155,"Error in Areas ▲",IF(AND(P155='G-1 All Habitats'!$X$3,Y155="Yes"),"Alternative Compensation",IF(W155=0,0,IF(P155='G-1 All Habitats'!$X$3,"Unacceptable Loss",Q155-U155-V155)))))),"Check Data ⚠")</f>
        <v/>
      </c>
      <c r="Y155" s="72"/>
      <c r="Z155" s="151"/>
      <c r="AA155" s="152"/>
      <c r="AC155" s="251" t="str">
        <f>IF(P155="","",IF(P155='G-1 All Habitats'!$X$3,H155-S155-T155,"None"))</f>
        <v/>
      </c>
      <c r="AD155" s="252"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3"/>
      <c r="F156" s="203"/>
      <c r="G156" s="250" t="str">
        <f>IFERROR(INDEX('G-1 All Habitats'!$B$3:$B$129,MATCH(F156,'G-1 All Habitats'!$A$3:$A$129,0)),"")</f>
        <v/>
      </c>
      <c r="H156" s="172"/>
      <c r="I156" s="498" t="str">
        <f>IF(G156="","",VLOOKUP(G156,'G-1 All Habitats'!$B$2:$M$129,10,FALSE))</f>
        <v/>
      </c>
      <c r="J156" s="499" t="str">
        <f>IFERROR(VLOOKUP(I156,'G-1 All Habitats'!$V$3:$W$7,2,FALSE),"")</f>
        <v/>
      </c>
      <c r="K156" s="145"/>
      <c r="L156" s="499" t="str">
        <f>IFERROR(INDEX('G-8 Condition Look up'!$A$3:$H$130,MATCH(G156,'G-8 Condition Look up'!$A$3:$A$130,0),MATCH(K156,'G-8 Condition Look up'!$A$3:$H$3,0)),"")</f>
        <v/>
      </c>
      <c r="M156" s="154"/>
      <c r="N156" s="520" t="str">
        <f>IF(M156="","",IF(VLOOKUP(M156,'G-3 Multipliers'!$L$3:$N$6,2,FALSE)=0,"Spatial Data Missing ⚠",VLOOKUP(M156,'G-3 Multipliers'!$L$3:$N$6,2,FALSE)))</f>
        <v/>
      </c>
      <c r="O156" s="524" t="str">
        <f>IF(M156="","",IF(VLOOKUP(M156,'G-3 Multipliers'!$L$3:$N$6,3,FALSE)=0,"Spatial Data Missing ⚠",VLOOKUP(M156,'G-3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1" t="str">
        <f t="shared" si="14"/>
        <v/>
      </c>
      <c r="V156" s="511" t="str">
        <f t="shared" si="15"/>
        <v/>
      </c>
      <c r="W156" s="511"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5" t="str">
        <f>IFERROR(IF(H156="","",IF(H156-S156-T156=0&lt;0,"Error in Areas ▲",IF(S156+T156&gt;H156,"Error in Areas ▲",IF(AND(P156='G-1 All Habitats'!$X$3,Y156="Yes"),"Alternative Compensation",IF(W156=0,0,IF(P156='G-1 All Habitats'!$X$3,"Unacceptable Loss",Q156-U156-V156)))))),"Check Data ⚠")</f>
        <v/>
      </c>
      <c r="Y156" s="72"/>
      <c r="Z156" s="151"/>
      <c r="AA156" s="152"/>
      <c r="AC156" s="251" t="str">
        <f>IF(P156="","",IF(P156='G-1 All Habitats'!$X$3,H156-S156-T156,"None"))</f>
        <v/>
      </c>
      <c r="AD156" s="252"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3"/>
      <c r="F157" s="203"/>
      <c r="G157" s="250" t="str">
        <f>IFERROR(INDEX('G-1 All Habitats'!$B$3:$B$129,MATCH(F157,'G-1 All Habitats'!$A$3:$A$129,0)),"")</f>
        <v/>
      </c>
      <c r="H157" s="172"/>
      <c r="I157" s="498" t="str">
        <f>IF(G157="","",VLOOKUP(G157,'G-1 All Habitats'!$B$2:$M$129,10,FALSE))</f>
        <v/>
      </c>
      <c r="J157" s="499" t="str">
        <f>IFERROR(VLOOKUP(I157,'G-1 All Habitats'!$V$3:$W$7,2,FALSE),"")</f>
        <v/>
      </c>
      <c r="K157" s="145"/>
      <c r="L157" s="499" t="str">
        <f>IFERROR(INDEX('G-8 Condition Look up'!$A$3:$H$130,MATCH(G157,'G-8 Condition Look up'!$A$3:$A$130,0),MATCH(K157,'G-8 Condition Look up'!$A$3:$H$3,0)),"")</f>
        <v/>
      </c>
      <c r="M157" s="154"/>
      <c r="N157" s="520" t="str">
        <f>IF(M157="","",IF(VLOOKUP(M157,'G-3 Multipliers'!$L$3:$N$6,2,FALSE)=0,"Spatial Data Missing ⚠",VLOOKUP(M157,'G-3 Multipliers'!$L$3:$N$6,2,FALSE)))</f>
        <v/>
      </c>
      <c r="O157" s="524" t="str">
        <f>IF(M157="","",IF(VLOOKUP(M157,'G-3 Multipliers'!$L$3:$N$6,3,FALSE)=0,"Spatial Data Missing ⚠",VLOOKUP(M157,'G-3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1" t="str">
        <f t="shared" si="14"/>
        <v/>
      </c>
      <c r="V157" s="511" t="str">
        <f t="shared" si="15"/>
        <v/>
      </c>
      <c r="W157" s="511"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5" t="str">
        <f>IFERROR(IF(H157="","",IF(H157-S157-T157=0&lt;0,"Error in Areas ▲",IF(S157+T157&gt;H157,"Error in Areas ▲",IF(AND(P157='G-1 All Habitats'!$X$3,Y157="Yes"),"Alternative Compensation",IF(W157=0,0,IF(P157='G-1 All Habitats'!$X$3,"Unacceptable Loss",Q157-U157-V157)))))),"Check Data ⚠")</f>
        <v/>
      </c>
      <c r="Y157" s="72"/>
      <c r="Z157" s="151"/>
      <c r="AA157" s="152"/>
      <c r="AC157" s="251" t="str">
        <f>IF(P157="","",IF(P157='G-1 All Habitats'!$X$3,H157-S157-T157,"None"))</f>
        <v/>
      </c>
      <c r="AD157" s="252"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3"/>
      <c r="F158" s="203"/>
      <c r="G158" s="250" t="str">
        <f>IFERROR(INDEX('G-1 All Habitats'!$B$3:$B$129,MATCH(F158,'G-1 All Habitats'!$A$3:$A$129,0)),"")</f>
        <v/>
      </c>
      <c r="H158" s="172"/>
      <c r="I158" s="498" t="str">
        <f>IF(G158="","",VLOOKUP(G158,'G-1 All Habitats'!$B$2:$M$129,10,FALSE))</f>
        <v/>
      </c>
      <c r="J158" s="499" t="str">
        <f>IFERROR(VLOOKUP(I158,'G-1 All Habitats'!$V$3:$W$7,2,FALSE),"")</f>
        <v/>
      </c>
      <c r="K158" s="145"/>
      <c r="L158" s="499" t="str">
        <f>IFERROR(INDEX('G-8 Condition Look up'!$A$3:$H$130,MATCH(G158,'G-8 Condition Look up'!$A$3:$A$130,0),MATCH(K158,'G-8 Condition Look up'!$A$3:$H$3,0)),"")</f>
        <v/>
      </c>
      <c r="M158" s="154"/>
      <c r="N158" s="520" t="str">
        <f>IF(M158="","",IF(VLOOKUP(M158,'G-3 Multipliers'!$L$3:$N$6,2,FALSE)=0,"Spatial Data Missing ⚠",VLOOKUP(M158,'G-3 Multipliers'!$L$3:$N$6,2,FALSE)))</f>
        <v/>
      </c>
      <c r="O158" s="524" t="str">
        <f>IF(M158="","",IF(VLOOKUP(M158,'G-3 Multipliers'!$L$3:$N$6,3,FALSE)=0,"Spatial Data Missing ⚠",VLOOKUP(M158,'G-3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1" t="str">
        <f t="shared" si="14"/>
        <v/>
      </c>
      <c r="V158" s="511" t="str">
        <f t="shared" si="15"/>
        <v/>
      </c>
      <c r="W158" s="511"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5" t="str">
        <f>IFERROR(IF(H158="","",IF(H158-S158-T158=0&lt;0,"Error in Areas ▲",IF(S158+T158&gt;H158,"Error in Areas ▲",IF(AND(P158='G-1 All Habitats'!$X$3,Y158="Yes"),"Alternative Compensation",IF(W158=0,0,IF(P158='G-1 All Habitats'!$X$3,"Unacceptable Loss",Q158-U158-V158)))))),"Check Data ⚠")</f>
        <v/>
      </c>
      <c r="Y158" s="72"/>
      <c r="Z158" s="151"/>
      <c r="AA158" s="152"/>
      <c r="AC158" s="251" t="str">
        <f>IF(P158="","",IF(P158='G-1 All Habitats'!$X$3,H158-S158-T158,"None"))</f>
        <v/>
      </c>
      <c r="AD158" s="252"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3"/>
      <c r="F159" s="203"/>
      <c r="G159" s="250" t="str">
        <f>IFERROR(INDEX('G-1 All Habitats'!$B$3:$B$129,MATCH(F159,'G-1 All Habitats'!$A$3:$A$129,0)),"")</f>
        <v/>
      </c>
      <c r="H159" s="172"/>
      <c r="I159" s="498" t="str">
        <f>IF(G159="","",VLOOKUP(G159,'G-1 All Habitats'!$B$2:$M$129,10,FALSE))</f>
        <v/>
      </c>
      <c r="J159" s="499" t="str">
        <f>IFERROR(VLOOKUP(I159,'G-1 All Habitats'!$V$3:$W$7,2,FALSE),"")</f>
        <v/>
      </c>
      <c r="K159" s="145"/>
      <c r="L159" s="499" t="str">
        <f>IFERROR(INDEX('G-8 Condition Look up'!$A$3:$H$130,MATCH(G159,'G-8 Condition Look up'!$A$3:$A$130,0),MATCH(K159,'G-8 Condition Look up'!$A$3:$H$3,0)),"")</f>
        <v/>
      </c>
      <c r="M159" s="154"/>
      <c r="N159" s="520" t="str">
        <f>IF(M159="","",IF(VLOOKUP(M159,'G-3 Multipliers'!$L$3:$N$6,2,FALSE)=0,"Spatial Data Missing ⚠",VLOOKUP(M159,'G-3 Multipliers'!$L$3:$N$6,2,FALSE)))</f>
        <v/>
      </c>
      <c r="O159" s="524" t="str">
        <f>IF(M159="","",IF(VLOOKUP(M159,'G-3 Multipliers'!$L$3:$N$6,3,FALSE)=0,"Spatial Data Missing ⚠",VLOOKUP(M159,'G-3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1" t="str">
        <f t="shared" si="14"/>
        <v/>
      </c>
      <c r="V159" s="511" t="str">
        <f t="shared" si="15"/>
        <v/>
      </c>
      <c r="W159" s="511"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5" t="str">
        <f>IFERROR(IF(H159="","",IF(H159-S159-T159=0&lt;0,"Error in Areas ▲",IF(S159+T159&gt;H159,"Error in Areas ▲",IF(AND(P159='G-1 All Habitats'!$X$3,Y159="Yes"),"Alternative Compensation",IF(W159=0,0,IF(P159='G-1 All Habitats'!$X$3,"Unacceptable Loss",Q159-U159-V159)))))),"Check Data ⚠")</f>
        <v/>
      </c>
      <c r="Y159" s="72"/>
      <c r="Z159" s="151"/>
      <c r="AA159" s="152"/>
      <c r="AC159" s="251" t="str">
        <f>IF(P159="","",IF(P159='G-1 All Habitats'!$X$3,H159-S159-T159,"None"))</f>
        <v/>
      </c>
      <c r="AD159" s="252"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3"/>
      <c r="F160" s="203"/>
      <c r="G160" s="250" t="str">
        <f>IFERROR(INDEX('G-1 All Habitats'!$B$3:$B$129,MATCH(F160,'G-1 All Habitats'!$A$3:$A$129,0)),"")</f>
        <v/>
      </c>
      <c r="H160" s="172"/>
      <c r="I160" s="498" t="str">
        <f>IF(G160="","",VLOOKUP(G160,'G-1 All Habitats'!$B$2:$M$129,10,FALSE))</f>
        <v/>
      </c>
      <c r="J160" s="499" t="str">
        <f>IFERROR(VLOOKUP(I160,'G-1 All Habitats'!$V$3:$W$7,2,FALSE),"")</f>
        <v/>
      </c>
      <c r="K160" s="145"/>
      <c r="L160" s="499" t="str">
        <f>IFERROR(INDEX('G-8 Condition Look up'!$A$3:$H$130,MATCH(G160,'G-8 Condition Look up'!$A$3:$A$130,0),MATCH(K160,'G-8 Condition Look up'!$A$3:$H$3,0)),"")</f>
        <v/>
      </c>
      <c r="M160" s="154"/>
      <c r="N160" s="520" t="str">
        <f>IF(M160="","",IF(VLOOKUP(M160,'G-3 Multipliers'!$L$3:$N$6,2,FALSE)=0,"Spatial Data Missing ⚠",VLOOKUP(M160,'G-3 Multipliers'!$L$3:$N$6,2,FALSE)))</f>
        <v/>
      </c>
      <c r="O160" s="524" t="str">
        <f>IF(M160="","",IF(VLOOKUP(M160,'G-3 Multipliers'!$L$3:$N$6,3,FALSE)=0,"Spatial Data Missing ⚠",VLOOKUP(M160,'G-3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1" t="str">
        <f t="shared" si="14"/>
        <v/>
      </c>
      <c r="V160" s="511" t="str">
        <f t="shared" si="15"/>
        <v/>
      </c>
      <c r="W160" s="511"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5" t="str">
        <f>IFERROR(IF(H160="","",IF(H160-S160-T160=0&lt;0,"Error in Areas ▲",IF(S160+T160&gt;H160,"Error in Areas ▲",IF(AND(P160='G-1 All Habitats'!$X$3,Y160="Yes"),"Alternative Compensation",IF(W160=0,0,IF(P160='G-1 All Habitats'!$X$3,"Unacceptable Loss",Q160-U160-V160)))))),"Check Data ⚠")</f>
        <v/>
      </c>
      <c r="Y160" s="72"/>
      <c r="Z160" s="151"/>
      <c r="AA160" s="152"/>
      <c r="AC160" s="251" t="str">
        <f>IF(P160="","",IF(P160='G-1 All Habitats'!$X$3,H160-S160-T160,"None"))</f>
        <v/>
      </c>
      <c r="AD160" s="252"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3"/>
      <c r="F161" s="203"/>
      <c r="G161" s="250" t="str">
        <f>IFERROR(INDEX('G-1 All Habitats'!$B$3:$B$129,MATCH(F161,'G-1 All Habitats'!$A$3:$A$129,0)),"")</f>
        <v/>
      </c>
      <c r="H161" s="172"/>
      <c r="I161" s="498" t="str">
        <f>IF(G161="","",VLOOKUP(G161,'G-1 All Habitats'!$B$2:$M$129,10,FALSE))</f>
        <v/>
      </c>
      <c r="J161" s="499" t="str">
        <f>IFERROR(VLOOKUP(I161,'G-1 All Habitats'!$V$3:$W$7,2,FALSE),"")</f>
        <v/>
      </c>
      <c r="K161" s="145"/>
      <c r="L161" s="499" t="str">
        <f>IFERROR(INDEX('G-8 Condition Look up'!$A$3:$H$130,MATCH(G161,'G-8 Condition Look up'!$A$3:$A$130,0),MATCH(K161,'G-8 Condition Look up'!$A$3:$H$3,0)),"")</f>
        <v/>
      </c>
      <c r="M161" s="154"/>
      <c r="N161" s="520" t="str">
        <f>IF(M161="","",IF(VLOOKUP(M161,'G-3 Multipliers'!$L$3:$N$6,2,FALSE)=0,"Spatial Data Missing ⚠",VLOOKUP(M161,'G-3 Multipliers'!$L$3:$N$6,2,FALSE)))</f>
        <v/>
      </c>
      <c r="O161" s="524" t="str">
        <f>IF(M161="","",IF(VLOOKUP(M161,'G-3 Multipliers'!$L$3:$N$6,3,FALSE)=0,"Spatial Data Missing ⚠",VLOOKUP(M161,'G-3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1" t="str">
        <f t="shared" si="14"/>
        <v/>
      </c>
      <c r="V161" s="511" t="str">
        <f t="shared" si="15"/>
        <v/>
      </c>
      <c r="W161" s="511"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5" t="str">
        <f>IFERROR(IF(H161="","",IF(H161-S161-T161=0&lt;0,"Error in Areas ▲",IF(S161+T161&gt;H161,"Error in Areas ▲",IF(AND(P161='G-1 All Habitats'!$X$3,Y161="Yes"),"Alternative Compensation",IF(W161=0,0,IF(P161='G-1 All Habitats'!$X$3,"Unacceptable Loss",Q161-U161-V161)))))),"Check Data ⚠")</f>
        <v/>
      </c>
      <c r="Y161" s="72"/>
      <c r="Z161" s="151"/>
      <c r="AA161" s="152"/>
      <c r="AC161" s="251" t="str">
        <f>IF(P161="","",IF(P161='G-1 All Habitats'!$X$3,H161-S161-T161,"None"))</f>
        <v/>
      </c>
      <c r="AD161" s="252"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3"/>
      <c r="F162" s="203"/>
      <c r="G162" s="250" t="str">
        <f>IFERROR(INDEX('G-1 All Habitats'!$B$3:$B$129,MATCH(F162,'G-1 All Habitats'!$A$3:$A$129,0)),"")</f>
        <v/>
      </c>
      <c r="H162" s="172"/>
      <c r="I162" s="498" t="str">
        <f>IF(G162="","",VLOOKUP(G162,'G-1 All Habitats'!$B$2:$M$129,10,FALSE))</f>
        <v/>
      </c>
      <c r="J162" s="499" t="str">
        <f>IFERROR(VLOOKUP(I162,'G-1 All Habitats'!$V$3:$W$7,2,FALSE),"")</f>
        <v/>
      </c>
      <c r="K162" s="145"/>
      <c r="L162" s="499" t="str">
        <f>IFERROR(INDEX('G-8 Condition Look up'!$A$3:$H$130,MATCH(G162,'G-8 Condition Look up'!$A$3:$A$130,0),MATCH(K162,'G-8 Condition Look up'!$A$3:$H$3,0)),"")</f>
        <v/>
      </c>
      <c r="M162" s="154"/>
      <c r="N162" s="520" t="str">
        <f>IF(M162="","",IF(VLOOKUP(M162,'G-3 Multipliers'!$L$3:$N$6,2,FALSE)=0,"Spatial Data Missing ⚠",VLOOKUP(M162,'G-3 Multipliers'!$L$3:$N$6,2,FALSE)))</f>
        <v/>
      </c>
      <c r="O162" s="524" t="str">
        <f>IF(M162="","",IF(VLOOKUP(M162,'G-3 Multipliers'!$L$3:$N$6,3,FALSE)=0,"Spatial Data Missing ⚠",VLOOKUP(M162,'G-3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1" t="str">
        <f t="shared" si="14"/>
        <v/>
      </c>
      <c r="V162" s="511" t="str">
        <f t="shared" si="15"/>
        <v/>
      </c>
      <c r="W162" s="511"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5" t="str">
        <f>IFERROR(IF(H162="","",IF(H162-S162-T162=0&lt;0,"Error in Areas ▲",IF(S162+T162&gt;H162,"Error in Areas ▲",IF(AND(P162='G-1 All Habitats'!$X$3,Y162="Yes"),"Alternative Compensation",IF(W162=0,0,IF(P162='G-1 All Habitats'!$X$3,"Unacceptable Loss",Q162-U162-V162)))))),"Check Data ⚠")</f>
        <v/>
      </c>
      <c r="Y162" s="72"/>
      <c r="Z162" s="151"/>
      <c r="AA162" s="152"/>
      <c r="AC162" s="251" t="str">
        <f>IF(P162="","",IF(P162='G-1 All Habitats'!$X$3,H162-S162-T162,"None"))</f>
        <v/>
      </c>
      <c r="AD162" s="252"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3"/>
      <c r="F163" s="203"/>
      <c r="G163" s="250" t="str">
        <f>IFERROR(INDEX('G-1 All Habitats'!$B$3:$B$129,MATCH(F163,'G-1 All Habitats'!$A$3:$A$129,0)),"")</f>
        <v/>
      </c>
      <c r="H163" s="172"/>
      <c r="I163" s="498" t="str">
        <f>IF(G163="","",VLOOKUP(G163,'G-1 All Habitats'!$B$2:$M$129,10,FALSE))</f>
        <v/>
      </c>
      <c r="J163" s="499" t="str">
        <f>IFERROR(VLOOKUP(I163,'G-1 All Habitats'!$V$3:$W$7,2,FALSE),"")</f>
        <v/>
      </c>
      <c r="K163" s="145"/>
      <c r="L163" s="499" t="str">
        <f>IFERROR(INDEX('G-8 Condition Look up'!$A$3:$H$130,MATCH(G163,'G-8 Condition Look up'!$A$3:$A$130,0),MATCH(K163,'G-8 Condition Look up'!$A$3:$H$3,0)),"")</f>
        <v/>
      </c>
      <c r="M163" s="154"/>
      <c r="N163" s="520" t="str">
        <f>IF(M163="","",IF(VLOOKUP(M163,'G-3 Multipliers'!$L$3:$N$6,2,FALSE)=0,"Spatial Data Missing ⚠",VLOOKUP(M163,'G-3 Multipliers'!$L$3:$N$6,2,FALSE)))</f>
        <v/>
      </c>
      <c r="O163" s="524" t="str">
        <f>IF(M163="","",IF(VLOOKUP(M163,'G-3 Multipliers'!$L$3:$N$6,3,FALSE)=0,"Spatial Data Missing ⚠",VLOOKUP(M163,'G-3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1" t="str">
        <f t="shared" si="14"/>
        <v/>
      </c>
      <c r="V163" s="511" t="str">
        <f t="shared" si="15"/>
        <v/>
      </c>
      <c r="W163" s="511"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5" t="str">
        <f>IFERROR(IF(H163="","",IF(H163-S163-T163=0&lt;0,"Error in Areas ▲",IF(S163+T163&gt;H163,"Error in Areas ▲",IF(AND(P163='G-1 All Habitats'!$X$3,Y163="Yes"),"Alternative Compensation",IF(W163=0,0,IF(P163='G-1 All Habitats'!$X$3,"Unacceptable Loss",Q163-U163-V163)))))),"Check Data ⚠")</f>
        <v/>
      </c>
      <c r="Y163" s="72"/>
      <c r="Z163" s="151"/>
      <c r="AA163" s="152"/>
      <c r="AC163" s="251" t="str">
        <f>IF(P163="","",IF(P163='G-1 All Habitats'!$X$3,H163-S163-T163,"None"))</f>
        <v/>
      </c>
      <c r="AD163" s="252"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3"/>
      <c r="F164" s="203"/>
      <c r="G164" s="250" t="str">
        <f>IFERROR(INDEX('G-1 All Habitats'!$B$3:$B$129,MATCH(F164,'G-1 All Habitats'!$A$3:$A$129,0)),"")</f>
        <v/>
      </c>
      <c r="H164" s="172"/>
      <c r="I164" s="498" t="str">
        <f>IF(G164="","",VLOOKUP(G164,'G-1 All Habitats'!$B$2:$M$129,10,FALSE))</f>
        <v/>
      </c>
      <c r="J164" s="499" t="str">
        <f>IFERROR(VLOOKUP(I164,'G-1 All Habitats'!$V$3:$W$7,2,FALSE),"")</f>
        <v/>
      </c>
      <c r="K164" s="145"/>
      <c r="L164" s="499" t="str">
        <f>IFERROR(INDEX('G-8 Condition Look up'!$A$3:$H$130,MATCH(G164,'G-8 Condition Look up'!$A$3:$A$130,0),MATCH(K164,'G-8 Condition Look up'!$A$3:$H$3,0)),"")</f>
        <v/>
      </c>
      <c r="M164" s="154"/>
      <c r="N164" s="520" t="str">
        <f>IF(M164="","",IF(VLOOKUP(M164,'G-3 Multipliers'!$L$3:$N$6,2,FALSE)=0,"Spatial Data Missing ⚠",VLOOKUP(M164,'G-3 Multipliers'!$L$3:$N$6,2,FALSE)))</f>
        <v/>
      </c>
      <c r="O164" s="524" t="str">
        <f>IF(M164="","",IF(VLOOKUP(M164,'G-3 Multipliers'!$L$3:$N$6,3,FALSE)=0,"Spatial Data Missing ⚠",VLOOKUP(M164,'G-3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1" t="str">
        <f t="shared" si="14"/>
        <v/>
      </c>
      <c r="V164" s="511" t="str">
        <f t="shared" si="15"/>
        <v/>
      </c>
      <c r="W164" s="511"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5" t="str">
        <f>IFERROR(IF(H164="","",IF(H164-S164-T164=0&lt;0,"Error in Areas ▲",IF(S164+T164&gt;H164,"Error in Areas ▲",IF(AND(P164='G-1 All Habitats'!$X$3,Y164="Yes"),"Alternative Compensation",IF(W164=0,0,IF(P164='G-1 All Habitats'!$X$3,"Unacceptable Loss",Q164-U164-V164)))))),"Check Data ⚠")</f>
        <v/>
      </c>
      <c r="Y164" s="72"/>
      <c r="Z164" s="151"/>
      <c r="AA164" s="152"/>
      <c r="AC164" s="251" t="str">
        <f>IF(P164="","",IF(P164='G-1 All Habitats'!$X$3,H164-S164-T164,"None"))</f>
        <v/>
      </c>
      <c r="AD164" s="252"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3"/>
      <c r="F165" s="203"/>
      <c r="G165" s="250" t="str">
        <f>IFERROR(INDEX('G-1 All Habitats'!$B$3:$B$129,MATCH(F165,'G-1 All Habitats'!$A$3:$A$129,0)),"")</f>
        <v/>
      </c>
      <c r="H165" s="172"/>
      <c r="I165" s="498" t="str">
        <f>IF(G165="","",VLOOKUP(G165,'G-1 All Habitats'!$B$2:$M$129,10,FALSE))</f>
        <v/>
      </c>
      <c r="J165" s="499" t="str">
        <f>IFERROR(VLOOKUP(I165,'G-1 All Habitats'!$V$3:$W$7,2,FALSE),"")</f>
        <v/>
      </c>
      <c r="K165" s="145"/>
      <c r="L165" s="499" t="str">
        <f>IFERROR(INDEX('G-8 Condition Look up'!$A$3:$H$130,MATCH(G165,'G-8 Condition Look up'!$A$3:$A$130,0),MATCH(K165,'G-8 Condition Look up'!$A$3:$H$3,0)),"")</f>
        <v/>
      </c>
      <c r="M165" s="154"/>
      <c r="N165" s="520" t="str">
        <f>IF(M165="","",IF(VLOOKUP(M165,'G-3 Multipliers'!$L$3:$N$6,2,FALSE)=0,"Spatial Data Missing ⚠",VLOOKUP(M165,'G-3 Multipliers'!$L$3:$N$6,2,FALSE)))</f>
        <v/>
      </c>
      <c r="O165" s="524" t="str">
        <f>IF(M165="","",IF(VLOOKUP(M165,'G-3 Multipliers'!$L$3:$N$6,3,FALSE)=0,"Spatial Data Missing ⚠",VLOOKUP(M165,'G-3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1" t="str">
        <f t="shared" si="14"/>
        <v/>
      </c>
      <c r="V165" s="511" t="str">
        <f t="shared" si="15"/>
        <v/>
      </c>
      <c r="W165" s="511"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5" t="str">
        <f>IFERROR(IF(H165="","",IF(H165-S165-T165=0&lt;0,"Error in Areas ▲",IF(S165+T165&gt;H165,"Error in Areas ▲",IF(AND(P165='G-1 All Habitats'!$X$3,Y165="Yes"),"Alternative Compensation",IF(W165=0,0,IF(P165='G-1 All Habitats'!$X$3,"Unacceptable Loss",Q165-U165-V165)))))),"Check Data ⚠")</f>
        <v/>
      </c>
      <c r="Y165" s="72"/>
      <c r="Z165" s="151"/>
      <c r="AA165" s="152"/>
      <c r="AC165" s="251" t="str">
        <f>IF(P165="","",IF(P165='G-1 All Habitats'!$X$3,H165-S165-T165,"None"))</f>
        <v/>
      </c>
      <c r="AD165" s="252"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3"/>
      <c r="F166" s="203"/>
      <c r="G166" s="250" t="str">
        <f>IFERROR(INDEX('G-1 All Habitats'!$B$3:$B$129,MATCH(F166,'G-1 All Habitats'!$A$3:$A$129,0)),"")</f>
        <v/>
      </c>
      <c r="H166" s="172"/>
      <c r="I166" s="498" t="str">
        <f>IF(G166="","",VLOOKUP(G166,'G-1 All Habitats'!$B$2:$M$129,10,FALSE))</f>
        <v/>
      </c>
      <c r="J166" s="499" t="str">
        <f>IFERROR(VLOOKUP(I166,'G-1 All Habitats'!$V$3:$W$7,2,FALSE),"")</f>
        <v/>
      </c>
      <c r="K166" s="145"/>
      <c r="L166" s="499" t="str">
        <f>IFERROR(INDEX('G-8 Condition Look up'!$A$3:$H$130,MATCH(G166,'G-8 Condition Look up'!$A$3:$A$130,0),MATCH(K166,'G-8 Condition Look up'!$A$3:$H$3,0)),"")</f>
        <v/>
      </c>
      <c r="M166" s="154"/>
      <c r="N166" s="520" t="str">
        <f>IF(M166="","",IF(VLOOKUP(M166,'G-3 Multipliers'!$L$3:$N$6,2,FALSE)=0,"Spatial Data Missing ⚠",VLOOKUP(M166,'G-3 Multipliers'!$L$3:$N$6,2,FALSE)))</f>
        <v/>
      </c>
      <c r="O166" s="524" t="str">
        <f>IF(M166="","",IF(VLOOKUP(M166,'G-3 Multipliers'!$L$3:$N$6,3,FALSE)=0,"Spatial Data Missing ⚠",VLOOKUP(M166,'G-3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1" t="str">
        <f t="shared" si="14"/>
        <v/>
      </c>
      <c r="V166" s="511" t="str">
        <f t="shared" si="15"/>
        <v/>
      </c>
      <c r="W166" s="511"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5" t="str">
        <f>IFERROR(IF(H166="","",IF(H166-S166-T166=0&lt;0,"Error in Areas ▲",IF(S166+T166&gt;H166,"Error in Areas ▲",IF(AND(P166='G-1 All Habitats'!$X$3,Y166="Yes"),"Alternative Compensation",IF(W166=0,0,IF(P166='G-1 All Habitats'!$X$3,"Unacceptable Loss",Q166-U166-V166)))))),"Check Data ⚠")</f>
        <v/>
      </c>
      <c r="Y166" s="72"/>
      <c r="Z166" s="151"/>
      <c r="AA166" s="152"/>
      <c r="AC166" s="251" t="str">
        <f>IF(P166="","",IF(P166='G-1 All Habitats'!$X$3,H166-S166-T166,"None"))</f>
        <v/>
      </c>
      <c r="AD166" s="252"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3"/>
      <c r="F167" s="203"/>
      <c r="G167" s="250" t="str">
        <f>IFERROR(INDEX('G-1 All Habitats'!$B$3:$B$129,MATCH(F167,'G-1 All Habitats'!$A$3:$A$129,0)),"")</f>
        <v/>
      </c>
      <c r="H167" s="172"/>
      <c r="I167" s="498" t="str">
        <f>IF(G167="","",VLOOKUP(G167,'G-1 All Habitats'!$B$2:$M$129,10,FALSE))</f>
        <v/>
      </c>
      <c r="J167" s="499" t="str">
        <f>IFERROR(VLOOKUP(I167,'G-1 All Habitats'!$V$3:$W$7,2,FALSE),"")</f>
        <v/>
      </c>
      <c r="K167" s="145"/>
      <c r="L167" s="499" t="str">
        <f>IFERROR(INDEX('G-8 Condition Look up'!$A$3:$H$130,MATCH(G167,'G-8 Condition Look up'!$A$3:$A$130,0),MATCH(K167,'G-8 Condition Look up'!$A$3:$H$3,0)),"")</f>
        <v/>
      </c>
      <c r="M167" s="154"/>
      <c r="N167" s="520" t="str">
        <f>IF(M167="","",IF(VLOOKUP(M167,'G-3 Multipliers'!$L$3:$N$6,2,FALSE)=0,"Spatial Data Missing ⚠",VLOOKUP(M167,'G-3 Multipliers'!$L$3:$N$6,2,FALSE)))</f>
        <v/>
      </c>
      <c r="O167" s="524" t="str">
        <f>IF(M167="","",IF(VLOOKUP(M167,'G-3 Multipliers'!$L$3:$N$6,3,FALSE)=0,"Spatial Data Missing ⚠",VLOOKUP(M167,'G-3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1" t="str">
        <f t="shared" si="14"/>
        <v/>
      </c>
      <c r="V167" s="511" t="str">
        <f t="shared" si="15"/>
        <v/>
      </c>
      <c r="W167" s="511"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5" t="str">
        <f>IFERROR(IF(H167="","",IF(H167-S167-T167=0&lt;0,"Error in Areas ▲",IF(S167+T167&gt;H167,"Error in Areas ▲",IF(AND(P167='G-1 All Habitats'!$X$3,Y167="Yes"),"Alternative Compensation",IF(W167=0,0,IF(P167='G-1 All Habitats'!$X$3,"Unacceptable Loss",Q167-U167-V167)))))),"Check Data ⚠")</f>
        <v/>
      </c>
      <c r="Y167" s="72"/>
      <c r="Z167" s="151"/>
      <c r="AA167" s="152"/>
      <c r="AC167" s="251" t="str">
        <f>IF(P167="","",IF(P167='G-1 All Habitats'!$X$3,H167-S167-T167,"None"))</f>
        <v/>
      </c>
      <c r="AD167" s="252"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3"/>
      <c r="F168" s="203"/>
      <c r="G168" s="250" t="str">
        <f>IFERROR(INDEX('G-1 All Habitats'!$B$3:$B$129,MATCH(F168,'G-1 All Habitats'!$A$3:$A$129,0)),"")</f>
        <v/>
      </c>
      <c r="H168" s="172"/>
      <c r="I168" s="498" t="str">
        <f>IF(G168="","",VLOOKUP(G168,'G-1 All Habitats'!$B$2:$M$129,10,FALSE))</f>
        <v/>
      </c>
      <c r="J168" s="499" t="str">
        <f>IFERROR(VLOOKUP(I168,'G-1 All Habitats'!$V$3:$W$7,2,FALSE),"")</f>
        <v/>
      </c>
      <c r="K168" s="145"/>
      <c r="L168" s="499" t="str">
        <f>IFERROR(INDEX('G-8 Condition Look up'!$A$3:$H$130,MATCH(G168,'G-8 Condition Look up'!$A$3:$A$130,0),MATCH(K168,'G-8 Condition Look up'!$A$3:$H$3,0)),"")</f>
        <v/>
      </c>
      <c r="M168" s="154"/>
      <c r="N168" s="520" t="str">
        <f>IF(M168="","",IF(VLOOKUP(M168,'G-3 Multipliers'!$L$3:$N$6,2,FALSE)=0,"Spatial Data Missing ⚠",VLOOKUP(M168,'G-3 Multipliers'!$L$3:$N$6,2,FALSE)))</f>
        <v/>
      </c>
      <c r="O168" s="524" t="str">
        <f>IF(M168="","",IF(VLOOKUP(M168,'G-3 Multipliers'!$L$3:$N$6,3,FALSE)=0,"Spatial Data Missing ⚠",VLOOKUP(M168,'G-3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1" t="str">
        <f t="shared" si="14"/>
        <v/>
      </c>
      <c r="V168" s="511" t="str">
        <f t="shared" si="15"/>
        <v/>
      </c>
      <c r="W168" s="511"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5" t="str">
        <f>IFERROR(IF(H168="","",IF(H168-S168-T168=0&lt;0,"Error in Areas ▲",IF(S168+T168&gt;H168,"Error in Areas ▲",IF(AND(P168='G-1 All Habitats'!$X$3,Y168="Yes"),"Alternative Compensation",IF(W168=0,0,IF(P168='G-1 All Habitats'!$X$3,"Unacceptable Loss",Q168-U168-V168)))))),"Check Data ⚠")</f>
        <v/>
      </c>
      <c r="Y168" s="72"/>
      <c r="Z168" s="151"/>
      <c r="AA168" s="152"/>
      <c r="AC168" s="251" t="str">
        <f>IF(P168="","",IF(P168='G-1 All Habitats'!$X$3,H168-S168-T168,"None"))</f>
        <v/>
      </c>
      <c r="AD168" s="252"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3"/>
      <c r="F169" s="203"/>
      <c r="G169" s="250" t="str">
        <f>IFERROR(INDEX('G-1 All Habitats'!$B$3:$B$129,MATCH(F169,'G-1 All Habitats'!$A$3:$A$129,0)),"")</f>
        <v/>
      </c>
      <c r="H169" s="172"/>
      <c r="I169" s="498" t="str">
        <f>IF(G169="","",VLOOKUP(G169,'G-1 All Habitats'!$B$2:$M$129,10,FALSE))</f>
        <v/>
      </c>
      <c r="J169" s="499" t="str">
        <f>IFERROR(VLOOKUP(I169,'G-1 All Habitats'!$V$3:$W$7,2,FALSE),"")</f>
        <v/>
      </c>
      <c r="K169" s="145"/>
      <c r="L169" s="499" t="str">
        <f>IFERROR(INDEX('G-8 Condition Look up'!$A$3:$H$130,MATCH(G169,'G-8 Condition Look up'!$A$3:$A$130,0),MATCH(K169,'G-8 Condition Look up'!$A$3:$H$3,0)),"")</f>
        <v/>
      </c>
      <c r="M169" s="154"/>
      <c r="N169" s="520" t="str">
        <f>IF(M169="","",IF(VLOOKUP(M169,'G-3 Multipliers'!$L$3:$N$6,2,FALSE)=0,"Spatial Data Missing ⚠",VLOOKUP(M169,'G-3 Multipliers'!$L$3:$N$6,2,FALSE)))</f>
        <v/>
      </c>
      <c r="O169" s="524" t="str">
        <f>IF(M169="","",IF(VLOOKUP(M169,'G-3 Multipliers'!$L$3:$N$6,3,FALSE)=0,"Spatial Data Missing ⚠",VLOOKUP(M169,'G-3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1" t="str">
        <f t="shared" si="14"/>
        <v/>
      </c>
      <c r="V169" s="511" t="str">
        <f t="shared" si="15"/>
        <v/>
      </c>
      <c r="W169" s="511"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5" t="str">
        <f>IFERROR(IF(H169="","",IF(H169-S169-T169=0&lt;0,"Error in Areas ▲",IF(S169+T169&gt;H169,"Error in Areas ▲",IF(AND(P169='G-1 All Habitats'!$X$3,Y169="Yes"),"Alternative Compensation",IF(W169=0,0,IF(P169='G-1 All Habitats'!$X$3,"Unacceptable Loss",Q169-U169-V169)))))),"Check Data ⚠")</f>
        <v/>
      </c>
      <c r="Y169" s="72"/>
      <c r="Z169" s="151"/>
      <c r="AA169" s="152"/>
      <c r="AC169" s="251" t="str">
        <f>IF(P169="","",IF(P169='G-1 All Habitats'!$X$3,H169-S169-T169,"None"))</f>
        <v/>
      </c>
      <c r="AD169" s="252"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3"/>
      <c r="F170" s="203"/>
      <c r="G170" s="250" t="str">
        <f>IFERROR(INDEX('G-1 All Habitats'!$B$3:$B$129,MATCH(F170,'G-1 All Habitats'!$A$3:$A$129,0)),"")</f>
        <v/>
      </c>
      <c r="H170" s="172"/>
      <c r="I170" s="498" t="str">
        <f>IF(G170="","",VLOOKUP(G170,'G-1 All Habitats'!$B$2:$M$129,10,FALSE))</f>
        <v/>
      </c>
      <c r="J170" s="499" t="str">
        <f>IFERROR(VLOOKUP(I170,'G-1 All Habitats'!$V$3:$W$7,2,FALSE),"")</f>
        <v/>
      </c>
      <c r="K170" s="145"/>
      <c r="L170" s="499" t="str">
        <f>IFERROR(INDEX('G-8 Condition Look up'!$A$3:$H$130,MATCH(G170,'G-8 Condition Look up'!$A$3:$A$130,0),MATCH(K170,'G-8 Condition Look up'!$A$3:$H$3,0)),"")</f>
        <v/>
      </c>
      <c r="M170" s="154"/>
      <c r="N170" s="520" t="str">
        <f>IF(M170="","",IF(VLOOKUP(M170,'G-3 Multipliers'!$L$3:$N$6,2,FALSE)=0,"Spatial Data Missing ⚠",VLOOKUP(M170,'G-3 Multipliers'!$L$3:$N$6,2,FALSE)))</f>
        <v/>
      </c>
      <c r="O170" s="524" t="str">
        <f>IF(M170="","",IF(VLOOKUP(M170,'G-3 Multipliers'!$L$3:$N$6,3,FALSE)=0,"Spatial Data Missing ⚠",VLOOKUP(M170,'G-3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1" t="str">
        <f t="shared" si="14"/>
        <v/>
      </c>
      <c r="V170" s="511" t="str">
        <f t="shared" si="15"/>
        <v/>
      </c>
      <c r="W170" s="511"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5" t="str">
        <f>IFERROR(IF(H170="","",IF(H170-S170-T170=0&lt;0,"Error in Areas ▲",IF(S170+T170&gt;H170,"Error in Areas ▲",IF(AND(P170='G-1 All Habitats'!$X$3,Y170="Yes"),"Alternative Compensation",IF(W170=0,0,IF(P170='G-1 All Habitats'!$X$3,"Unacceptable Loss",Q170-U170-V170)))))),"Check Data ⚠")</f>
        <v/>
      </c>
      <c r="Y170" s="72"/>
      <c r="Z170" s="151"/>
      <c r="AA170" s="152"/>
      <c r="AC170" s="251" t="str">
        <f>IF(P170="","",IF(P170='G-1 All Habitats'!$X$3,H170-S170-T170,"None"))</f>
        <v/>
      </c>
      <c r="AD170" s="252"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3"/>
      <c r="F171" s="203"/>
      <c r="G171" s="250" t="str">
        <f>IFERROR(INDEX('G-1 All Habitats'!$B$3:$B$129,MATCH(F171,'G-1 All Habitats'!$A$3:$A$129,0)),"")</f>
        <v/>
      </c>
      <c r="H171" s="172"/>
      <c r="I171" s="498" t="str">
        <f>IF(G171="","",VLOOKUP(G171,'G-1 All Habitats'!$B$2:$M$129,10,FALSE))</f>
        <v/>
      </c>
      <c r="J171" s="499" t="str">
        <f>IFERROR(VLOOKUP(I171,'G-1 All Habitats'!$V$3:$W$7,2,FALSE),"")</f>
        <v/>
      </c>
      <c r="K171" s="145"/>
      <c r="L171" s="499" t="str">
        <f>IFERROR(INDEX('G-8 Condition Look up'!$A$3:$H$130,MATCH(G171,'G-8 Condition Look up'!$A$3:$A$130,0),MATCH(K171,'G-8 Condition Look up'!$A$3:$H$3,0)),"")</f>
        <v/>
      </c>
      <c r="M171" s="154"/>
      <c r="N171" s="520" t="str">
        <f>IF(M171="","",IF(VLOOKUP(M171,'G-3 Multipliers'!$L$3:$N$6,2,FALSE)=0,"Spatial Data Missing ⚠",VLOOKUP(M171,'G-3 Multipliers'!$L$3:$N$6,2,FALSE)))</f>
        <v/>
      </c>
      <c r="O171" s="524" t="str">
        <f>IF(M171="","",IF(VLOOKUP(M171,'G-3 Multipliers'!$L$3:$N$6,3,FALSE)=0,"Spatial Data Missing ⚠",VLOOKUP(M171,'G-3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1" t="str">
        <f t="shared" si="14"/>
        <v/>
      </c>
      <c r="V171" s="511" t="str">
        <f t="shared" si="15"/>
        <v/>
      </c>
      <c r="W171" s="511"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5" t="str">
        <f>IFERROR(IF(H171="","",IF(H171-S171-T171=0&lt;0,"Error in Areas ▲",IF(S171+T171&gt;H171,"Error in Areas ▲",IF(AND(P171='G-1 All Habitats'!$X$3,Y171="Yes"),"Alternative Compensation",IF(W171=0,0,IF(P171='G-1 All Habitats'!$X$3,"Unacceptable Loss",Q171-U171-V171)))))),"Check Data ⚠")</f>
        <v/>
      </c>
      <c r="Y171" s="72"/>
      <c r="Z171" s="151"/>
      <c r="AA171" s="152"/>
      <c r="AC171" s="251" t="str">
        <f>IF(P171="","",IF(P171='G-1 All Habitats'!$X$3,H171-S171-T171,"None"))</f>
        <v/>
      </c>
      <c r="AD171" s="252"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3"/>
      <c r="F172" s="203"/>
      <c r="G172" s="250" t="str">
        <f>IFERROR(INDEX('G-1 All Habitats'!$B$3:$B$129,MATCH(F172,'G-1 All Habitats'!$A$3:$A$129,0)),"")</f>
        <v/>
      </c>
      <c r="H172" s="172"/>
      <c r="I172" s="498" t="str">
        <f>IF(G172="","",VLOOKUP(G172,'G-1 All Habitats'!$B$2:$M$129,10,FALSE))</f>
        <v/>
      </c>
      <c r="J172" s="499" t="str">
        <f>IFERROR(VLOOKUP(I172,'G-1 All Habitats'!$V$3:$W$7,2,FALSE),"")</f>
        <v/>
      </c>
      <c r="K172" s="145"/>
      <c r="L172" s="499" t="str">
        <f>IFERROR(INDEX('G-8 Condition Look up'!$A$3:$H$130,MATCH(G172,'G-8 Condition Look up'!$A$3:$A$130,0),MATCH(K172,'G-8 Condition Look up'!$A$3:$H$3,0)),"")</f>
        <v/>
      </c>
      <c r="M172" s="154"/>
      <c r="N172" s="520" t="str">
        <f>IF(M172="","",IF(VLOOKUP(M172,'G-3 Multipliers'!$L$3:$N$6,2,FALSE)=0,"Spatial Data Missing ⚠",VLOOKUP(M172,'G-3 Multipliers'!$L$3:$N$6,2,FALSE)))</f>
        <v/>
      </c>
      <c r="O172" s="524" t="str">
        <f>IF(M172="","",IF(VLOOKUP(M172,'G-3 Multipliers'!$L$3:$N$6,3,FALSE)=0,"Spatial Data Missing ⚠",VLOOKUP(M172,'G-3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1" t="str">
        <f t="shared" si="14"/>
        <v/>
      </c>
      <c r="V172" s="511" t="str">
        <f t="shared" si="15"/>
        <v/>
      </c>
      <c r="W172" s="511"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5" t="str">
        <f>IFERROR(IF(H172="","",IF(H172-S172-T172=0&lt;0,"Error in Areas ▲",IF(S172+T172&gt;H172,"Error in Areas ▲",IF(AND(P172='G-1 All Habitats'!$X$3,Y172="Yes"),"Alternative Compensation",IF(W172=0,0,IF(P172='G-1 All Habitats'!$X$3,"Unacceptable Loss",Q172-U172-V172)))))),"Check Data ⚠")</f>
        <v/>
      </c>
      <c r="Y172" s="72"/>
      <c r="Z172" s="151"/>
      <c r="AA172" s="152"/>
      <c r="AC172" s="251" t="str">
        <f>IF(P172="","",IF(P172='G-1 All Habitats'!$X$3,H172-S172-T172,"None"))</f>
        <v/>
      </c>
      <c r="AD172" s="252"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3"/>
      <c r="F173" s="203"/>
      <c r="G173" s="250" t="str">
        <f>IFERROR(INDEX('G-1 All Habitats'!$B$3:$B$129,MATCH(F173,'G-1 All Habitats'!$A$3:$A$129,0)),"")</f>
        <v/>
      </c>
      <c r="H173" s="172"/>
      <c r="I173" s="498" t="str">
        <f>IF(G173="","",VLOOKUP(G173,'G-1 All Habitats'!$B$2:$M$129,10,FALSE))</f>
        <v/>
      </c>
      <c r="J173" s="499" t="str">
        <f>IFERROR(VLOOKUP(I173,'G-1 All Habitats'!$V$3:$W$7,2,FALSE),"")</f>
        <v/>
      </c>
      <c r="K173" s="145"/>
      <c r="L173" s="499" t="str">
        <f>IFERROR(INDEX('G-8 Condition Look up'!$A$3:$H$130,MATCH(G173,'G-8 Condition Look up'!$A$3:$A$130,0),MATCH(K173,'G-8 Condition Look up'!$A$3:$H$3,0)),"")</f>
        <v/>
      </c>
      <c r="M173" s="154"/>
      <c r="N173" s="520" t="str">
        <f>IF(M173="","",IF(VLOOKUP(M173,'G-3 Multipliers'!$L$3:$N$6,2,FALSE)=0,"Spatial Data Missing ⚠",VLOOKUP(M173,'G-3 Multipliers'!$L$3:$N$6,2,FALSE)))</f>
        <v/>
      </c>
      <c r="O173" s="524" t="str">
        <f>IF(M173="","",IF(VLOOKUP(M173,'G-3 Multipliers'!$L$3:$N$6,3,FALSE)=0,"Spatial Data Missing ⚠",VLOOKUP(M173,'G-3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1" t="str">
        <f t="shared" si="14"/>
        <v/>
      </c>
      <c r="V173" s="511" t="str">
        <f t="shared" si="15"/>
        <v/>
      </c>
      <c r="W173" s="511"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5" t="str">
        <f>IFERROR(IF(H173="","",IF(H173-S173-T173=0&lt;0,"Error in Areas ▲",IF(S173+T173&gt;H173,"Error in Areas ▲",IF(AND(P173='G-1 All Habitats'!$X$3,Y173="Yes"),"Alternative Compensation",IF(W173=0,0,IF(P173='G-1 All Habitats'!$X$3,"Unacceptable Loss",Q173-U173-V173)))))),"Check Data ⚠")</f>
        <v/>
      </c>
      <c r="Y173" s="72"/>
      <c r="Z173" s="151"/>
      <c r="AA173" s="152"/>
      <c r="AC173" s="251" t="str">
        <f>IF(P173="","",IF(P173='G-1 All Habitats'!$X$3,H173-S173-T173,"None"))</f>
        <v/>
      </c>
      <c r="AD173" s="252"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3"/>
      <c r="F174" s="203"/>
      <c r="G174" s="250" t="str">
        <f>IFERROR(INDEX('G-1 All Habitats'!$B$3:$B$129,MATCH(F174,'G-1 All Habitats'!$A$3:$A$129,0)),"")</f>
        <v/>
      </c>
      <c r="H174" s="172"/>
      <c r="I174" s="498" t="str">
        <f>IF(G174="","",VLOOKUP(G174,'G-1 All Habitats'!$B$2:$M$129,10,FALSE))</f>
        <v/>
      </c>
      <c r="J174" s="499" t="str">
        <f>IFERROR(VLOOKUP(I174,'G-1 All Habitats'!$V$3:$W$7,2,FALSE),"")</f>
        <v/>
      </c>
      <c r="K174" s="145"/>
      <c r="L174" s="499" t="str">
        <f>IFERROR(INDEX('G-8 Condition Look up'!$A$3:$H$130,MATCH(G174,'G-8 Condition Look up'!$A$3:$A$130,0),MATCH(K174,'G-8 Condition Look up'!$A$3:$H$3,0)),"")</f>
        <v/>
      </c>
      <c r="M174" s="154"/>
      <c r="N174" s="520" t="str">
        <f>IF(M174="","",IF(VLOOKUP(M174,'G-3 Multipliers'!$L$3:$N$6,2,FALSE)=0,"Spatial Data Missing ⚠",VLOOKUP(M174,'G-3 Multipliers'!$L$3:$N$6,2,FALSE)))</f>
        <v/>
      </c>
      <c r="O174" s="524" t="str">
        <f>IF(M174="","",IF(VLOOKUP(M174,'G-3 Multipliers'!$L$3:$N$6,3,FALSE)=0,"Spatial Data Missing ⚠",VLOOKUP(M174,'G-3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1" t="str">
        <f t="shared" si="14"/>
        <v/>
      </c>
      <c r="V174" s="511" t="str">
        <f t="shared" si="15"/>
        <v/>
      </c>
      <c r="W174" s="511"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5" t="str">
        <f>IFERROR(IF(H174="","",IF(H174-S174-T174=0&lt;0,"Error in Areas ▲",IF(S174+T174&gt;H174,"Error in Areas ▲",IF(AND(P174='G-1 All Habitats'!$X$3,Y174="Yes"),"Alternative Compensation",IF(W174=0,0,IF(P174='G-1 All Habitats'!$X$3,"Unacceptable Loss",Q174-U174-V174)))))),"Check Data ⚠")</f>
        <v/>
      </c>
      <c r="Y174" s="72"/>
      <c r="Z174" s="151"/>
      <c r="AA174" s="152"/>
      <c r="AC174" s="251" t="str">
        <f>IF(P174="","",IF(P174='G-1 All Habitats'!$X$3,H174-S174-T174,"None"))</f>
        <v/>
      </c>
      <c r="AD174" s="252"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3"/>
      <c r="F175" s="203"/>
      <c r="G175" s="250" t="str">
        <f>IFERROR(INDEX('G-1 All Habitats'!$B$3:$B$129,MATCH(F175,'G-1 All Habitats'!$A$3:$A$129,0)),"")</f>
        <v/>
      </c>
      <c r="H175" s="172"/>
      <c r="I175" s="498" t="str">
        <f>IF(G175="","",VLOOKUP(G175,'G-1 All Habitats'!$B$2:$M$129,10,FALSE))</f>
        <v/>
      </c>
      <c r="J175" s="499" t="str">
        <f>IFERROR(VLOOKUP(I175,'G-1 All Habitats'!$V$3:$W$7,2,FALSE),"")</f>
        <v/>
      </c>
      <c r="K175" s="145"/>
      <c r="L175" s="499" t="str">
        <f>IFERROR(INDEX('G-8 Condition Look up'!$A$3:$H$130,MATCH(G175,'G-8 Condition Look up'!$A$3:$A$130,0),MATCH(K175,'G-8 Condition Look up'!$A$3:$H$3,0)),"")</f>
        <v/>
      </c>
      <c r="M175" s="154"/>
      <c r="N175" s="520" t="str">
        <f>IF(M175="","",IF(VLOOKUP(M175,'G-3 Multipliers'!$L$3:$N$6,2,FALSE)=0,"Spatial Data Missing ⚠",VLOOKUP(M175,'G-3 Multipliers'!$L$3:$N$6,2,FALSE)))</f>
        <v/>
      </c>
      <c r="O175" s="524" t="str">
        <f>IF(M175="","",IF(VLOOKUP(M175,'G-3 Multipliers'!$L$3:$N$6,3,FALSE)=0,"Spatial Data Missing ⚠",VLOOKUP(M175,'G-3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1" t="str">
        <f t="shared" si="14"/>
        <v/>
      </c>
      <c r="V175" s="511" t="str">
        <f t="shared" si="15"/>
        <v/>
      </c>
      <c r="W175" s="511"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5" t="str">
        <f>IFERROR(IF(H175="","",IF(H175-S175-T175=0&lt;0,"Error in Areas ▲",IF(S175+T175&gt;H175,"Error in Areas ▲",IF(AND(P175='G-1 All Habitats'!$X$3,Y175="Yes"),"Alternative Compensation",IF(W175=0,0,IF(P175='G-1 All Habitats'!$X$3,"Unacceptable Loss",Q175-U175-V175)))))),"Check Data ⚠")</f>
        <v/>
      </c>
      <c r="Y175" s="72"/>
      <c r="Z175" s="151"/>
      <c r="AA175" s="152"/>
      <c r="AC175" s="251" t="str">
        <f>IF(P175="","",IF(P175='G-1 All Habitats'!$X$3,H175-S175-T175,"None"))</f>
        <v/>
      </c>
      <c r="AD175" s="252"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3"/>
      <c r="F176" s="203"/>
      <c r="G176" s="250" t="str">
        <f>IFERROR(INDEX('G-1 All Habitats'!$B$3:$B$129,MATCH(F176,'G-1 All Habitats'!$A$3:$A$129,0)),"")</f>
        <v/>
      </c>
      <c r="H176" s="172"/>
      <c r="I176" s="498" t="str">
        <f>IF(G176="","",VLOOKUP(G176,'G-1 All Habitats'!$B$2:$M$129,10,FALSE))</f>
        <v/>
      </c>
      <c r="J176" s="499" t="str">
        <f>IFERROR(VLOOKUP(I176,'G-1 All Habitats'!$V$3:$W$7,2,FALSE),"")</f>
        <v/>
      </c>
      <c r="K176" s="145"/>
      <c r="L176" s="499" t="str">
        <f>IFERROR(INDEX('G-8 Condition Look up'!$A$3:$H$130,MATCH(G176,'G-8 Condition Look up'!$A$3:$A$130,0),MATCH(K176,'G-8 Condition Look up'!$A$3:$H$3,0)),"")</f>
        <v/>
      </c>
      <c r="M176" s="154"/>
      <c r="N176" s="520" t="str">
        <f>IF(M176="","",IF(VLOOKUP(M176,'G-3 Multipliers'!$L$3:$N$6,2,FALSE)=0,"Spatial Data Missing ⚠",VLOOKUP(M176,'G-3 Multipliers'!$L$3:$N$6,2,FALSE)))</f>
        <v/>
      </c>
      <c r="O176" s="524" t="str">
        <f>IF(M176="","",IF(VLOOKUP(M176,'G-3 Multipliers'!$L$3:$N$6,3,FALSE)=0,"Spatial Data Missing ⚠",VLOOKUP(M176,'G-3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1" t="str">
        <f t="shared" si="14"/>
        <v/>
      </c>
      <c r="V176" s="511" t="str">
        <f t="shared" si="15"/>
        <v/>
      </c>
      <c r="W176" s="511"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5" t="str">
        <f>IFERROR(IF(H176="","",IF(H176-S176-T176=0&lt;0,"Error in Areas ▲",IF(S176+T176&gt;H176,"Error in Areas ▲",IF(AND(P176='G-1 All Habitats'!$X$3,Y176="Yes"),"Alternative Compensation",IF(W176=0,0,IF(P176='G-1 All Habitats'!$X$3,"Unacceptable Loss",Q176-U176-V176)))))),"Check Data ⚠")</f>
        <v/>
      </c>
      <c r="Y176" s="72"/>
      <c r="Z176" s="151"/>
      <c r="AA176" s="152"/>
      <c r="AC176" s="251" t="str">
        <f>IF(P176="","",IF(P176='G-1 All Habitats'!$X$3,H176-S176-T176,"None"))</f>
        <v/>
      </c>
      <c r="AD176" s="252"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3"/>
      <c r="F177" s="203"/>
      <c r="G177" s="250" t="str">
        <f>IFERROR(INDEX('G-1 All Habitats'!$B$3:$B$129,MATCH(F177,'G-1 All Habitats'!$A$3:$A$129,0)),"")</f>
        <v/>
      </c>
      <c r="H177" s="172"/>
      <c r="I177" s="498" t="str">
        <f>IF(G177="","",VLOOKUP(G177,'G-1 All Habitats'!$B$2:$M$129,10,FALSE))</f>
        <v/>
      </c>
      <c r="J177" s="499" t="str">
        <f>IFERROR(VLOOKUP(I177,'G-1 All Habitats'!$V$3:$W$7,2,FALSE),"")</f>
        <v/>
      </c>
      <c r="K177" s="145"/>
      <c r="L177" s="499" t="str">
        <f>IFERROR(INDEX('G-8 Condition Look up'!$A$3:$H$130,MATCH(G177,'G-8 Condition Look up'!$A$3:$A$130,0),MATCH(K177,'G-8 Condition Look up'!$A$3:$H$3,0)),"")</f>
        <v/>
      </c>
      <c r="M177" s="154"/>
      <c r="N177" s="520" t="str">
        <f>IF(M177="","",IF(VLOOKUP(M177,'G-3 Multipliers'!$L$3:$N$6,2,FALSE)=0,"Spatial Data Missing ⚠",VLOOKUP(M177,'G-3 Multipliers'!$L$3:$N$6,2,FALSE)))</f>
        <v/>
      </c>
      <c r="O177" s="524" t="str">
        <f>IF(M177="","",IF(VLOOKUP(M177,'G-3 Multipliers'!$L$3:$N$6,3,FALSE)=0,"Spatial Data Missing ⚠",VLOOKUP(M177,'G-3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1" t="str">
        <f t="shared" si="14"/>
        <v/>
      </c>
      <c r="V177" s="511" t="str">
        <f t="shared" si="15"/>
        <v/>
      </c>
      <c r="W177" s="511"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5" t="str">
        <f>IFERROR(IF(H177="","",IF(H177-S177-T177=0&lt;0,"Error in Areas ▲",IF(S177+T177&gt;H177,"Error in Areas ▲",IF(AND(P177='G-1 All Habitats'!$X$3,Y177="Yes"),"Alternative Compensation",IF(W177=0,0,IF(P177='G-1 All Habitats'!$X$3,"Unacceptable Loss",Q177-U177-V177)))))),"Check Data ⚠")</f>
        <v/>
      </c>
      <c r="Y177" s="72"/>
      <c r="Z177" s="151"/>
      <c r="AA177" s="152"/>
      <c r="AC177" s="251" t="str">
        <f>IF(P177="","",IF(P177='G-1 All Habitats'!$X$3,H177-S177-T177,"None"))</f>
        <v/>
      </c>
      <c r="AD177" s="252"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3"/>
      <c r="F178" s="203"/>
      <c r="G178" s="250" t="str">
        <f>IFERROR(INDEX('G-1 All Habitats'!$B$3:$B$129,MATCH(F178,'G-1 All Habitats'!$A$3:$A$129,0)),"")</f>
        <v/>
      </c>
      <c r="H178" s="172"/>
      <c r="I178" s="498" t="str">
        <f>IF(G178="","",VLOOKUP(G178,'G-1 All Habitats'!$B$2:$M$129,10,FALSE))</f>
        <v/>
      </c>
      <c r="J178" s="499" t="str">
        <f>IFERROR(VLOOKUP(I178,'G-1 All Habitats'!$V$3:$W$7,2,FALSE),"")</f>
        <v/>
      </c>
      <c r="K178" s="145"/>
      <c r="L178" s="499" t="str">
        <f>IFERROR(INDEX('G-8 Condition Look up'!$A$3:$H$130,MATCH(G178,'G-8 Condition Look up'!$A$3:$A$130,0),MATCH(K178,'G-8 Condition Look up'!$A$3:$H$3,0)),"")</f>
        <v/>
      </c>
      <c r="M178" s="154"/>
      <c r="N178" s="520" t="str">
        <f>IF(M178="","",IF(VLOOKUP(M178,'G-3 Multipliers'!$L$3:$N$6,2,FALSE)=0,"Spatial Data Missing ⚠",VLOOKUP(M178,'G-3 Multipliers'!$L$3:$N$6,2,FALSE)))</f>
        <v/>
      </c>
      <c r="O178" s="524" t="str">
        <f>IF(M178="","",IF(VLOOKUP(M178,'G-3 Multipliers'!$L$3:$N$6,3,FALSE)=0,"Spatial Data Missing ⚠",VLOOKUP(M178,'G-3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1" t="str">
        <f t="shared" si="14"/>
        <v/>
      </c>
      <c r="V178" s="511" t="str">
        <f t="shared" si="15"/>
        <v/>
      </c>
      <c r="W178" s="511"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5" t="str">
        <f>IFERROR(IF(H178="","",IF(H178-S178-T178=0&lt;0,"Error in Areas ▲",IF(S178+T178&gt;H178,"Error in Areas ▲",IF(AND(P178='G-1 All Habitats'!$X$3,Y178="Yes"),"Alternative Compensation",IF(W178=0,0,IF(P178='G-1 All Habitats'!$X$3,"Unacceptable Loss",Q178-U178-V178)))))),"Check Data ⚠")</f>
        <v/>
      </c>
      <c r="Y178" s="72"/>
      <c r="Z178" s="151"/>
      <c r="AA178" s="152"/>
      <c r="AC178" s="251" t="str">
        <f>IF(P178="","",IF(P178='G-1 All Habitats'!$X$3,H178-S178-T178,"None"))</f>
        <v/>
      </c>
      <c r="AD178" s="252"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3"/>
      <c r="F179" s="203"/>
      <c r="G179" s="250" t="str">
        <f>IFERROR(INDEX('G-1 All Habitats'!$B$3:$B$129,MATCH(F179,'G-1 All Habitats'!$A$3:$A$129,0)),"")</f>
        <v/>
      </c>
      <c r="H179" s="172"/>
      <c r="I179" s="498" t="str">
        <f>IF(G179="","",VLOOKUP(G179,'G-1 All Habitats'!$B$2:$M$129,10,FALSE))</f>
        <v/>
      </c>
      <c r="J179" s="499" t="str">
        <f>IFERROR(VLOOKUP(I179,'G-1 All Habitats'!$V$3:$W$7,2,FALSE),"")</f>
        <v/>
      </c>
      <c r="K179" s="145"/>
      <c r="L179" s="499" t="str">
        <f>IFERROR(INDEX('G-8 Condition Look up'!$A$3:$H$130,MATCH(G179,'G-8 Condition Look up'!$A$3:$A$130,0),MATCH(K179,'G-8 Condition Look up'!$A$3:$H$3,0)),"")</f>
        <v/>
      </c>
      <c r="M179" s="154"/>
      <c r="N179" s="520" t="str">
        <f>IF(M179="","",IF(VLOOKUP(M179,'G-3 Multipliers'!$L$3:$N$6,2,FALSE)=0,"Spatial Data Missing ⚠",VLOOKUP(M179,'G-3 Multipliers'!$L$3:$N$6,2,FALSE)))</f>
        <v/>
      </c>
      <c r="O179" s="524" t="str">
        <f>IF(M179="","",IF(VLOOKUP(M179,'G-3 Multipliers'!$L$3:$N$6,3,FALSE)=0,"Spatial Data Missing ⚠",VLOOKUP(M179,'G-3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1" t="str">
        <f t="shared" si="14"/>
        <v/>
      </c>
      <c r="V179" s="511" t="str">
        <f t="shared" si="15"/>
        <v/>
      </c>
      <c r="W179" s="511"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5" t="str">
        <f>IFERROR(IF(H179="","",IF(H179-S179-T179=0&lt;0,"Error in Areas ▲",IF(S179+T179&gt;H179,"Error in Areas ▲",IF(AND(P179='G-1 All Habitats'!$X$3,Y179="Yes"),"Alternative Compensation",IF(W179=0,0,IF(P179='G-1 All Habitats'!$X$3,"Unacceptable Loss",Q179-U179-V179)))))),"Check Data ⚠")</f>
        <v/>
      </c>
      <c r="Y179" s="72"/>
      <c r="Z179" s="151"/>
      <c r="AA179" s="152"/>
      <c r="AC179" s="251" t="str">
        <f>IF(P179="","",IF(P179='G-1 All Habitats'!$X$3,H179-S179-T179,"None"))</f>
        <v/>
      </c>
      <c r="AD179" s="252"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3"/>
      <c r="F180" s="203"/>
      <c r="G180" s="250" t="str">
        <f>IFERROR(INDEX('G-1 All Habitats'!$B$3:$B$129,MATCH(F180,'G-1 All Habitats'!$A$3:$A$129,0)),"")</f>
        <v/>
      </c>
      <c r="H180" s="172"/>
      <c r="I180" s="498" t="str">
        <f>IF(G180="","",VLOOKUP(G180,'G-1 All Habitats'!$B$2:$M$129,10,FALSE))</f>
        <v/>
      </c>
      <c r="J180" s="499" t="str">
        <f>IFERROR(VLOOKUP(I180,'G-1 All Habitats'!$V$3:$W$7,2,FALSE),"")</f>
        <v/>
      </c>
      <c r="K180" s="145"/>
      <c r="L180" s="499" t="str">
        <f>IFERROR(INDEX('G-8 Condition Look up'!$A$3:$H$130,MATCH(G180,'G-8 Condition Look up'!$A$3:$A$130,0),MATCH(K180,'G-8 Condition Look up'!$A$3:$H$3,0)),"")</f>
        <v/>
      </c>
      <c r="M180" s="154"/>
      <c r="N180" s="520" t="str">
        <f>IF(M180="","",IF(VLOOKUP(M180,'G-3 Multipliers'!$L$3:$N$6,2,FALSE)=0,"Spatial Data Missing ⚠",VLOOKUP(M180,'G-3 Multipliers'!$L$3:$N$6,2,FALSE)))</f>
        <v/>
      </c>
      <c r="O180" s="524" t="str">
        <f>IF(M180="","",IF(VLOOKUP(M180,'G-3 Multipliers'!$L$3:$N$6,3,FALSE)=0,"Spatial Data Missing ⚠",VLOOKUP(M180,'G-3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1" t="str">
        <f t="shared" si="14"/>
        <v/>
      </c>
      <c r="V180" s="511" t="str">
        <f t="shared" si="15"/>
        <v/>
      </c>
      <c r="W180" s="511"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5" t="str">
        <f>IFERROR(IF(H180="","",IF(H180-S180-T180=0&lt;0,"Error in Areas ▲",IF(S180+T180&gt;H180,"Error in Areas ▲",IF(AND(P180='G-1 All Habitats'!$X$3,Y180="Yes"),"Alternative Compensation",IF(W180=0,0,IF(P180='G-1 All Habitats'!$X$3,"Unacceptable Loss",Q180-U180-V180)))))),"Check Data ⚠")</f>
        <v/>
      </c>
      <c r="Y180" s="72"/>
      <c r="Z180" s="151"/>
      <c r="AA180" s="152"/>
      <c r="AC180" s="251" t="str">
        <f>IF(P180="","",IF(P180='G-1 All Habitats'!$X$3,H180-S180-T180,"None"))</f>
        <v/>
      </c>
      <c r="AD180" s="252"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3"/>
      <c r="F181" s="203"/>
      <c r="G181" s="250" t="str">
        <f>IFERROR(INDEX('G-1 All Habitats'!$B$3:$B$129,MATCH(F181,'G-1 All Habitats'!$A$3:$A$129,0)),"")</f>
        <v/>
      </c>
      <c r="H181" s="172"/>
      <c r="I181" s="498" t="str">
        <f>IF(G181="","",VLOOKUP(G181,'G-1 All Habitats'!$B$2:$M$129,10,FALSE))</f>
        <v/>
      </c>
      <c r="J181" s="499" t="str">
        <f>IFERROR(VLOOKUP(I181,'G-1 All Habitats'!$V$3:$W$7,2,FALSE),"")</f>
        <v/>
      </c>
      <c r="K181" s="145"/>
      <c r="L181" s="499" t="str">
        <f>IFERROR(INDEX('G-8 Condition Look up'!$A$3:$H$130,MATCH(G181,'G-8 Condition Look up'!$A$3:$A$130,0),MATCH(K181,'G-8 Condition Look up'!$A$3:$H$3,0)),"")</f>
        <v/>
      </c>
      <c r="M181" s="154"/>
      <c r="N181" s="520" t="str">
        <f>IF(M181="","",IF(VLOOKUP(M181,'G-3 Multipliers'!$L$3:$N$6,2,FALSE)=0,"Spatial Data Missing ⚠",VLOOKUP(M181,'G-3 Multipliers'!$L$3:$N$6,2,FALSE)))</f>
        <v/>
      </c>
      <c r="O181" s="524" t="str">
        <f>IF(M181="","",IF(VLOOKUP(M181,'G-3 Multipliers'!$L$3:$N$6,3,FALSE)=0,"Spatial Data Missing ⚠",VLOOKUP(M181,'G-3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1" t="str">
        <f t="shared" si="14"/>
        <v/>
      </c>
      <c r="V181" s="511" t="str">
        <f t="shared" si="15"/>
        <v/>
      </c>
      <c r="W181" s="511"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5" t="str">
        <f>IFERROR(IF(H181="","",IF(H181-S181-T181=0&lt;0,"Error in Areas ▲",IF(S181+T181&gt;H181,"Error in Areas ▲",IF(AND(P181='G-1 All Habitats'!$X$3,Y181="Yes"),"Alternative Compensation",IF(W181=0,0,IF(P181='G-1 All Habitats'!$X$3,"Unacceptable Loss",Q181-U181-V181)))))),"Check Data ⚠")</f>
        <v/>
      </c>
      <c r="Y181" s="72"/>
      <c r="Z181" s="151"/>
      <c r="AA181" s="152"/>
      <c r="AC181" s="251" t="str">
        <f>IF(P181="","",IF(P181='G-1 All Habitats'!$X$3,H181-S181-T181,"None"))</f>
        <v/>
      </c>
      <c r="AD181" s="252"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3"/>
      <c r="F182" s="203"/>
      <c r="G182" s="250" t="str">
        <f>IFERROR(INDEX('G-1 All Habitats'!$B$3:$B$129,MATCH(F182,'G-1 All Habitats'!$A$3:$A$129,0)),"")</f>
        <v/>
      </c>
      <c r="H182" s="172"/>
      <c r="I182" s="498" t="str">
        <f>IF(G182="","",VLOOKUP(G182,'G-1 All Habitats'!$B$2:$M$129,10,FALSE))</f>
        <v/>
      </c>
      <c r="J182" s="499" t="str">
        <f>IFERROR(VLOOKUP(I182,'G-1 All Habitats'!$V$3:$W$7,2,FALSE),"")</f>
        <v/>
      </c>
      <c r="K182" s="145"/>
      <c r="L182" s="499" t="str">
        <f>IFERROR(INDEX('G-8 Condition Look up'!$A$3:$H$130,MATCH(G182,'G-8 Condition Look up'!$A$3:$A$130,0),MATCH(K182,'G-8 Condition Look up'!$A$3:$H$3,0)),"")</f>
        <v/>
      </c>
      <c r="M182" s="154"/>
      <c r="N182" s="520" t="str">
        <f>IF(M182="","",IF(VLOOKUP(M182,'G-3 Multipliers'!$L$3:$N$6,2,FALSE)=0,"Spatial Data Missing ⚠",VLOOKUP(M182,'G-3 Multipliers'!$L$3:$N$6,2,FALSE)))</f>
        <v/>
      </c>
      <c r="O182" s="524" t="str">
        <f>IF(M182="","",IF(VLOOKUP(M182,'G-3 Multipliers'!$L$3:$N$6,3,FALSE)=0,"Spatial Data Missing ⚠",VLOOKUP(M182,'G-3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1" t="str">
        <f t="shared" si="14"/>
        <v/>
      </c>
      <c r="V182" s="511" t="str">
        <f t="shared" si="15"/>
        <v/>
      </c>
      <c r="W182" s="511"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5" t="str">
        <f>IFERROR(IF(H182="","",IF(H182-S182-T182=0&lt;0,"Error in Areas ▲",IF(S182+T182&gt;H182,"Error in Areas ▲",IF(AND(P182='G-1 All Habitats'!$X$3,Y182="Yes"),"Alternative Compensation",IF(W182=0,0,IF(P182='G-1 All Habitats'!$X$3,"Unacceptable Loss",Q182-U182-V182)))))),"Check Data ⚠")</f>
        <v/>
      </c>
      <c r="Y182" s="72"/>
      <c r="Z182" s="151"/>
      <c r="AA182" s="152"/>
      <c r="AC182" s="251" t="str">
        <f>IF(P182="","",IF(P182='G-1 All Habitats'!$X$3,H182-S182-T182,"None"))</f>
        <v/>
      </c>
      <c r="AD182" s="252"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3"/>
      <c r="F183" s="203"/>
      <c r="G183" s="250" t="str">
        <f>IFERROR(INDEX('G-1 All Habitats'!$B$3:$B$129,MATCH(F183,'G-1 All Habitats'!$A$3:$A$129,0)),"")</f>
        <v/>
      </c>
      <c r="H183" s="172"/>
      <c r="I183" s="498" t="str">
        <f>IF(G183="","",VLOOKUP(G183,'G-1 All Habitats'!$B$2:$M$129,10,FALSE))</f>
        <v/>
      </c>
      <c r="J183" s="499" t="str">
        <f>IFERROR(VLOOKUP(I183,'G-1 All Habitats'!$V$3:$W$7,2,FALSE),"")</f>
        <v/>
      </c>
      <c r="K183" s="145"/>
      <c r="L183" s="499" t="str">
        <f>IFERROR(INDEX('G-8 Condition Look up'!$A$3:$H$130,MATCH(G183,'G-8 Condition Look up'!$A$3:$A$130,0),MATCH(K183,'G-8 Condition Look up'!$A$3:$H$3,0)),"")</f>
        <v/>
      </c>
      <c r="M183" s="154"/>
      <c r="N183" s="520" t="str">
        <f>IF(M183="","",IF(VLOOKUP(M183,'G-3 Multipliers'!$L$3:$N$6,2,FALSE)=0,"Spatial Data Missing ⚠",VLOOKUP(M183,'G-3 Multipliers'!$L$3:$N$6,2,FALSE)))</f>
        <v/>
      </c>
      <c r="O183" s="524" t="str">
        <f>IF(M183="","",IF(VLOOKUP(M183,'G-3 Multipliers'!$L$3:$N$6,3,FALSE)=0,"Spatial Data Missing ⚠",VLOOKUP(M183,'G-3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1" t="str">
        <f t="shared" si="14"/>
        <v/>
      </c>
      <c r="V183" s="511" t="str">
        <f t="shared" si="15"/>
        <v/>
      </c>
      <c r="W183" s="511"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5" t="str">
        <f>IFERROR(IF(H183="","",IF(H183-S183-T183=0&lt;0,"Error in Areas ▲",IF(S183+T183&gt;H183,"Error in Areas ▲",IF(AND(P183='G-1 All Habitats'!$X$3,Y183="Yes"),"Alternative Compensation",IF(W183=0,0,IF(P183='G-1 All Habitats'!$X$3,"Unacceptable Loss",Q183-U183-V183)))))),"Check Data ⚠")</f>
        <v/>
      </c>
      <c r="Y183" s="72"/>
      <c r="Z183" s="151"/>
      <c r="AA183" s="152"/>
      <c r="AC183" s="251" t="str">
        <f>IF(P183="","",IF(P183='G-1 All Habitats'!$X$3,H183-S183-T183,"None"))</f>
        <v/>
      </c>
      <c r="AD183" s="252"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3"/>
      <c r="F184" s="203"/>
      <c r="G184" s="250" t="str">
        <f>IFERROR(INDEX('G-1 All Habitats'!$B$3:$B$129,MATCH(F184,'G-1 All Habitats'!$A$3:$A$129,0)),"")</f>
        <v/>
      </c>
      <c r="H184" s="172"/>
      <c r="I184" s="498" t="str">
        <f>IF(G184="","",VLOOKUP(G184,'G-1 All Habitats'!$B$2:$M$129,10,FALSE))</f>
        <v/>
      </c>
      <c r="J184" s="499" t="str">
        <f>IFERROR(VLOOKUP(I184,'G-1 All Habitats'!$V$3:$W$7,2,FALSE),"")</f>
        <v/>
      </c>
      <c r="K184" s="145"/>
      <c r="L184" s="499" t="str">
        <f>IFERROR(INDEX('G-8 Condition Look up'!$A$3:$H$130,MATCH(G184,'G-8 Condition Look up'!$A$3:$A$130,0),MATCH(K184,'G-8 Condition Look up'!$A$3:$H$3,0)),"")</f>
        <v/>
      </c>
      <c r="M184" s="154"/>
      <c r="N184" s="520" t="str">
        <f>IF(M184="","",IF(VLOOKUP(M184,'G-3 Multipliers'!$L$3:$N$6,2,FALSE)=0,"Spatial Data Missing ⚠",VLOOKUP(M184,'G-3 Multipliers'!$L$3:$N$6,2,FALSE)))</f>
        <v/>
      </c>
      <c r="O184" s="524" t="str">
        <f>IF(M184="","",IF(VLOOKUP(M184,'G-3 Multipliers'!$L$3:$N$6,3,FALSE)=0,"Spatial Data Missing ⚠",VLOOKUP(M184,'G-3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1" t="str">
        <f t="shared" si="14"/>
        <v/>
      </c>
      <c r="V184" s="511" t="str">
        <f t="shared" si="15"/>
        <v/>
      </c>
      <c r="W184" s="511"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5" t="str">
        <f>IFERROR(IF(H184="","",IF(H184-S184-T184=0&lt;0,"Error in Areas ▲",IF(S184+T184&gt;H184,"Error in Areas ▲",IF(AND(P184='G-1 All Habitats'!$X$3,Y184="Yes"),"Alternative Compensation",IF(W184=0,0,IF(P184='G-1 All Habitats'!$X$3,"Unacceptable Loss",Q184-U184-V184)))))),"Check Data ⚠")</f>
        <v/>
      </c>
      <c r="Y184" s="72"/>
      <c r="Z184" s="151"/>
      <c r="AA184" s="152"/>
      <c r="AC184" s="251" t="str">
        <f>IF(P184="","",IF(P184='G-1 All Habitats'!$X$3,H184-S184-T184,"None"))</f>
        <v/>
      </c>
      <c r="AD184" s="252"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3"/>
      <c r="F185" s="203"/>
      <c r="G185" s="250" t="str">
        <f>IFERROR(INDEX('G-1 All Habitats'!$B$3:$B$129,MATCH(F185,'G-1 All Habitats'!$A$3:$A$129,0)),"")</f>
        <v/>
      </c>
      <c r="H185" s="172"/>
      <c r="I185" s="498" t="str">
        <f>IF(G185="","",VLOOKUP(G185,'G-1 All Habitats'!$B$2:$M$129,10,FALSE))</f>
        <v/>
      </c>
      <c r="J185" s="499" t="str">
        <f>IFERROR(VLOOKUP(I185,'G-1 All Habitats'!$V$3:$W$7,2,FALSE),"")</f>
        <v/>
      </c>
      <c r="K185" s="145"/>
      <c r="L185" s="499" t="str">
        <f>IFERROR(INDEX('G-8 Condition Look up'!$A$3:$H$130,MATCH(G185,'G-8 Condition Look up'!$A$3:$A$130,0),MATCH(K185,'G-8 Condition Look up'!$A$3:$H$3,0)),"")</f>
        <v/>
      </c>
      <c r="M185" s="154"/>
      <c r="N185" s="520" t="str">
        <f>IF(M185="","",IF(VLOOKUP(M185,'G-3 Multipliers'!$L$3:$N$6,2,FALSE)=0,"Spatial Data Missing ⚠",VLOOKUP(M185,'G-3 Multipliers'!$L$3:$N$6,2,FALSE)))</f>
        <v/>
      </c>
      <c r="O185" s="524" t="str">
        <f>IF(M185="","",IF(VLOOKUP(M185,'G-3 Multipliers'!$L$3:$N$6,3,FALSE)=0,"Spatial Data Missing ⚠",VLOOKUP(M185,'G-3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1" t="str">
        <f t="shared" si="14"/>
        <v/>
      </c>
      <c r="V185" s="511" t="str">
        <f t="shared" si="15"/>
        <v/>
      </c>
      <c r="W185" s="511"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5" t="str">
        <f>IFERROR(IF(H185="","",IF(H185-S185-T185=0&lt;0,"Error in Areas ▲",IF(S185+T185&gt;H185,"Error in Areas ▲",IF(AND(P185='G-1 All Habitats'!$X$3,Y185="Yes"),"Alternative Compensation",IF(W185=0,0,IF(P185='G-1 All Habitats'!$X$3,"Unacceptable Loss",Q185-U185-V185)))))),"Check Data ⚠")</f>
        <v/>
      </c>
      <c r="Y185" s="72"/>
      <c r="Z185" s="151"/>
      <c r="AA185" s="152"/>
      <c r="AC185" s="251" t="str">
        <f>IF(P185="","",IF(P185='G-1 All Habitats'!$X$3,H185-S185-T185,"None"))</f>
        <v/>
      </c>
      <c r="AD185" s="252"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3"/>
      <c r="F186" s="203"/>
      <c r="G186" s="250" t="str">
        <f>IFERROR(INDEX('G-1 All Habitats'!$B$3:$B$129,MATCH(F186,'G-1 All Habitats'!$A$3:$A$129,0)),"")</f>
        <v/>
      </c>
      <c r="H186" s="172"/>
      <c r="I186" s="498" t="str">
        <f>IF(G186="","",VLOOKUP(G186,'G-1 All Habitats'!$B$2:$M$129,10,FALSE))</f>
        <v/>
      </c>
      <c r="J186" s="499" t="str">
        <f>IFERROR(VLOOKUP(I186,'G-1 All Habitats'!$V$3:$W$7,2,FALSE),"")</f>
        <v/>
      </c>
      <c r="K186" s="145"/>
      <c r="L186" s="499" t="str">
        <f>IFERROR(INDEX('G-8 Condition Look up'!$A$3:$H$130,MATCH(G186,'G-8 Condition Look up'!$A$3:$A$130,0),MATCH(K186,'G-8 Condition Look up'!$A$3:$H$3,0)),"")</f>
        <v/>
      </c>
      <c r="M186" s="154"/>
      <c r="N186" s="520" t="str">
        <f>IF(M186="","",IF(VLOOKUP(M186,'G-3 Multipliers'!$L$3:$N$6,2,FALSE)=0,"Spatial Data Missing ⚠",VLOOKUP(M186,'G-3 Multipliers'!$L$3:$N$6,2,FALSE)))</f>
        <v/>
      </c>
      <c r="O186" s="524" t="str">
        <f>IF(M186="","",IF(VLOOKUP(M186,'G-3 Multipliers'!$L$3:$N$6,3,FALSE)=0,"Spatial Data Missing ⚠",VLOOKUP(M186,'G-3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1" t="str">
        <f t="shared" si="14"/>
        <v/>
      </c>
      <c r="V186" s="511" t="str">
        <f t="shared" si="15"/>
        <v/>
      </c>
      <c r="W186" s="511"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5" t="str">
        <f>IFERROR(IF(H186="","",IF(H186-S186-T186=0&lt;0,"Error in Areas ▲",IF(S186+T186&gt;H186,"Error in Areas ▲",IF(AND(P186='G-1 All Habitats'!$X$3,Y186="Yes"),"Alternative Compensation",IF(W186=0,0,IF(P186='G-1 All Habitats'!$X$3,"Unacceptable Loss",Q186-U186-V186)))))),"Check Data ⚠")</f>
        <v/>
      </c>
      <c r="Y186" s="72"/>
      <c r="Z186" s="151"/>
      <c r="AA186" s="152"/>
      <c r="AC186" s="251" t="str">
        <f>IF(P186="","",IF(P186='G-1 All Habitats'!$X$3,H186-S186-T186,"None"))</f>
        <v/>
      </c>
      <c r="AD186" s="252"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3"/>
      <c r="F187" s="203"/>
      <c r="G187" s="250" t="str">
        <f>IFERROR(INDEX('G-1 All Habitats'!$B$3:$B$129,MATCH(F187,'G-1 All Habitats'!$A$3:$A$129,0)),"")</f>
        <v/>
      </c>
      <c r="H187" s="172"/>
      <c r="I187" s="498" t="str">
        <f>IF(G187="","",VLOOKUP(G187,'G-1 All Habitats'!$B$2:$M$129,10,FALSE))</f>
        <v/>
      </c>
      <c r="J187" s="499" t="str">
        <f>IFERROR(VLOOKUP(I187,'G-1 All Habitats'!$V$3:$W$7,2,FALSE),"")</f>
        <v/>
      </c>
      <c r="K187" s="145"/>
      <c r="L187" s="499" t="str">
        <f>IFERROR(INDEX('G-8 Condition Look up'!$A$3:$H$130,MATCH(G187,'G-8 Condition Look up'!$A$3:$A$130,0),MATCH(K187,'G-8 Condition Look up'!$A$3:$H$3,0)),"")</f>
        <v/>
      </c>
      <c r="M187" s="154"/>
      <c r="N187" s="520" t="str">
        <f>IF(M187="","",IF(VLOOKUP(M187,'G-3 Multipliers'!$L$3:$N$6,2,FALSE)=0,"Spatial Data Missing ⚠",VLOOKUP(M187,'G-3 Multipliers'!$L$3:$N$6,2,FALSE)))</f>
        <v/>
      </c>
      <c r="O187" s="524" t="str">
        <f>IF(M187="","",IF(VLOOKUP(M187,'G-3 Multipliers'!$L$3:$N$6,3,FALSE)=0,"Spatial Data Missing ⚠",VLOOKUP(M187,'G-3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1" t="str">
        <f t="shared" si="14"/>
        <v/>
      </c>
      <c r="V187" s="511" t="str">
        <f t="shared" si="15"/>
        <v/>
      </c>
      <c r="W187" s="511"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5" t="str">
        <f>IFERROR(IF(H187="","",IF(H187-S187-T187=0&lt;0,"Error in Areas ▲",IF(S187+T187&gt;H187,"Error in Areas ▲",IF(AND(P187='G-1 All Habitats'!$X$3,Y187="Yes"),"Alternative Compensation",IF(W187=0,0,IF(P187='G-1 All Habitats'!$X$3,"Unacceptable Loss",Q187-U187-V187)))))),"Check Data ⚠")</f>
        <v/>
      </c>
      <c r="Y187" s="72"/>
      <c r="Z187" s="151"/>
      <c r="AA187" s="152"/>
      <c r="AC187" s="251" t="str">
        <f>IF(P187="","",IF(P187='G-1 All Habitats'!$X$3,H187-S187-T187,"None"))</f>
        <v/>
      </c>
      <c r="AD187" s="252"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3"/>
      <c r="F188" s="203"/>
      <c r="G188" s="250" t="str">
        <f>IFERROR(INDEX('G-1 All Habitats'!$B$3:$B$129,MATCH(F188,'G-1 All Habitats'!$A$3:$A$129,0)),"")</f>
        <v/>
      </c>
      <c r="H188" s="172"/>
      <c r="I188" s="498" t="str">
        <f>IF(G188="","",VLOOKUP(G188,'G-1 All Habitats'!$B$2:$M$129,10,FALSE))</f>
        <v/>
      </c>
      <c r="J188" s="499" t="str">
        <f>IFERROR(VLOOKUP(I188,'G-1 All Habitats'!$V$3:$W$7,2,FALSE),"")</f>
        <v/>
      </c>
      <c r="K188" s="145"/>
      <c r="L188" s="499" t="str">
        <f>IFERROR(INDEX('G-8 Condition Look up'!$A$3:$H$130,MATCH(G188,'G-8 Condition Look up'!$A$3:$A$130,0),MATCH(K188,'G-8 Condition Look up'!$A$3:$H$3,0)),"")</f>
        <v/>
      </c>
      <c r="M188" s="154"/>
      <c r="N188" s="520" t="str">
        <f>IF(M188="","",IF(VLOOKUP(M188,'G-3 Multipliers'!$L$3:$N$6,2,FALSE)=0,"Spatial Data Missing ⚠",VLOOKUP(M188,'G-3 Multipliers'!$L$3:$N$6,2,FALSE)))</f>
        <v/>
      </c>
      <c r="O188" s="524" t="str">
        <f>IF(M188="","",IF(VLOOKUP(M188,'G-3 Multipliers'!$L$3:$N$6,3,FALSE)=0,"Spatial Data Missing ⚠",VLOOKUP(M188,'G-3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1" t="str">
        <f t="shared" si="14"/>
        <v/>
      </c>
      <c r="V188" s="511" t="str">
        <f t="shared" si="15"/>
        <v/>
      </c>
      <c r="W188" s="511"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5" t="str">
        <f>IFERROR(IF(H188="","",IF(H188-S188-T188=0&lt;0,"Error in Areas ▲",IF(S188+T188&gt;H188,"Error in Areas ▲",IF(AND(P188='G-1 All Habitats'!$X$3,Y188="Yes"),"Alternative Compensation",IF(W188=0,0,IF(P188='G-1 All Habitats'!$X$3,"Unacceptable Loss",Q188-U188-V188)))))),"Check Data ⚠")</f>
        <v/>
      </c>
      <c r="Y188" s="72"/>
      <c r="Z188" s="151"/>
      <c r="AA188" s="152"/>
      <c r="AC188" s="251" t="str">
        <f>IF(P188="","",IF(P188='G-1 All Habitats'!$X$3,H188-S188-T188,"None"))</f>
        <v/>
      </c>
      <c r="AD188" s="252"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3"/>
      <c r="F189" s="203"/>
      <c r="G189" s="250" t="str">
        <f>IFERROR(INDEX('G-1 All Habitats'!$B$3:$B$129,MATCH(F189,'G-1 All Habitats'!$A$3:$A$129,0)),"")</f>
        <v/>
      </c>
      <c r="H189" s="172"/>
      <c r="I189" s="498" t="str">
        <f>IF(G189="","",VLOOKUP(G189,'G-1 All Habitats'!$B$2:$M$129,10,FALSE))</f>
        <v/>
      </c>
      <c r="J189" s="499" t="str">
        <f>IFERROR(VLOOKUP(I189,'G-1 All Habitats'!$V$3:$W$7,2,FALSE),"")</f>
        <v/>
      </c>
      <c r="K189" s="145"/>
      <c r="L189" s="499" t="str">
        <f>IFERROR(INDEX('G-8 Condition Look up'!$A$3:$H$130,MATCH(G189,'G-8 Condition Look up'!$A$3:$A$130,0),MATCH(K189,'G-8 Condition Look up'!$A$3:$H$3,0)),"")</f>
        <v/>
      </c>
      <c r="M189" s="154"/>
      <c r="N189" s="520" t="str">
        <f>IF(M189="","",IF(VLOOKUP(M189,'G-3 Multipliers'!$L$3:$N$6,2,FALSE)=0,"Spatial Data Missing ⚠",VLOOKUP(M189,'G-3 Multipliers'!$L$3:$N$6,2,FALSE)))</f>
        <v/>
      </c>
      <c r="O189" s="524" t="str">
        <f>IF(M189="","",IF(VLOOKUP(M189,'G-3 Multipliers'!$L$3:$N$6,3,FALSE)=0,"Spatial Data Missing ⚠",VLOOKUP(M189,'G-3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1" t="str">
        <f t="shared" si="14"/>
        <v/>
      </c>
      <c r="V189" s="511" t="str">
        <f t="shared" si="15"/>
        <v/>
      </c>
      <c r="W189" s="511"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5" t="str">
        <f>IFERROR(IF(H189="","",IF(H189-S189-T189=0&lt;0,"Error in Areas ▲",IF(S189+T189&gt;H189,"Error in Areas ▲",IF(AND(P189='G-1 All Habitats'!$X$3,Y189="Yes"),"Alternative Compensation",IF(W189=0,0,IF(P189='G-1 All Habitats'!$X$3,"Unacceptable Loss",Q189-U189-V189)))))),"Check Data ⚠")</f>
        <v/>
      </c>
      <c r="Y189" s="72"/>
      <c r="Z189" s="151"/>
      <c r="AA189" s="152"/>
      <c r="AC189" s="251" t="str">
        <f>IF(P189="","",IF(P189='G-1 All Habitats'!$X$3,H189-S189-T189,"None"))</f>
        <v/>
      </c>
      <c r="AD189" s="252"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3"/>
      <c r="F190" s="203"/>
      <c r="G190" s="250" t="str">
        <f>IFERROR(INDEX('G-1 All Habitats'!$B$3:$B$129,MATCH(F190,'G-1 All Habitats'!$A$3:$A$129,0)),"")</f>
        <v/>
      </c>
      <c r="H190" s="172"/>
      <c r="I190" s="498" t="str">
        <f>IF(G190="","",VLOOKUP(G190,'G-1 All Habitats'!$B$2:$M$129,10,FALSE))</f>
        <v/>
      </c>
      <c r="J190" s="499" t="str">
        <f>IFERROR(VLOOKUP(I190,'G-1 All Habitats'!$V$3:$W$7,2,FALSE),"")</f>
        <v/>
      </c>
      <c r="K190" s="145"/>
      <c r="L190" s="499" t="str">
        <f>IFERROR(INDEX('G-8 Condition Look up'!$A$3:$H$130,MATCH(G190,'G-8 Condition Look up'!$A$3:$A$130,0),MATCH(K190,'G-8 Condition Look up'!$A$3:$H$3,0)),"")</f>
        <v/>
      </c>
      <c r="M190" s="154"/>
      <c r="N190" s="520" t="str">
        <f>IF(M190="","",IF(VLOOKUP(M190,'G-3 Multipliers'!$L$3:$N$6,2,FALSE)=0,"Spatial Data Missing ⚠",VLOOKUP(M190,'G-3 Multipliers'!$L$3:$N$6,2,FALSE)))</f>
        <v/>
      </c>
      <c r="O190" s="524" t="str">
        <f>IF(M190="","",IF(VLOOKUP(M190,'G-3 Multipliers'!$L$3:$N$6,3,FALSE)=0,"Spatial Data Missing ⚠",VLOOKUP(M190,'G-3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1" t="str">
        <f t="shared" si="14"/>
        <v/>
      </c>
      <c r="V190" s="511" t="str">
        <f t="shared" si="15"/>
        <v/>
      </c>
      <c r="W190" s="511"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5" t="str">
        <f>IFERROR(IF(H190="","",IF(H190-S190-T190=0&lt;0,"Error in Areas ▲",IF(S190+T190&gt;H190,"Error in Areas ▲",IF(AND(P190='G-1 All Habitats'!$X$3,Y190="Yes"),"Alternative Compensation",IF(W190=0,0,IF(P190='G-1 All Habitats'!$X$3,"Unacceptable Loss",Q190-U190-V190)))))),"Check Data ⚠")</f>
        <v/>
      </c>
      <c r="Y190" s="72"/>
      <c r="Z190" s="151"/>
      <c r="AA190" s="152"/>
      <c r="AC190" s="251" t="str">
        <f>IF(P190="","",IF(P190='G-1 All Habitats'!$X$3,H190-S190-T190,"None"))</f>
        <v/>
      </c>
      <c r="AD190" s="252"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3"/>
      <c r="F191" s="203"/>
      <c r="G191" s="250" t="str">
        <f>IFERROR(INDEX('G-1 All Habitats'!$B$3:$B$129,MATCH(F191,'G-1 All Habitats'!$A$3:$A$129,0)),"")</f>
        <v/>
      </c>
      <c r="H191" s="172"/>
      <c r="I191" s="498" t="str">
        <f>IF(G191="","",VLOOKUP(G191,'G-1 All Habitats'!$B$2:$M$129,10,FALSE))</f>
        <v/>
      </c>
      <c r="J191" s="499" t="str">
        <f>IFERROR(VLOOKUP(I191,'G-1 All Habitats'!$V$3:$W$7,2,FALSE),"")</f>
        <v/>
      </c>
      <c r="K191" s="145"/>
      <c r="L191" s="499" t="str">
        <f>IFERROR(INDEX('G-8 Condition Look up'!$A$3:$H$130,MATCH(G191,'G-8 Condition Look up'!$A$3:$A$130,0),MATCH(K191,'G-8 Condition Look up'!$A$3:$H$3,0)),"")</f>
        <v/>
      </c>
      <c r="M191" s="154"/>
      <c r="N191" s="520" t="str">
        <f>IF(M191="","",IF(VLOOKUP(M191,'G-3 Multipliers'!$L$3:$N$6,2,FALSE)=0,"Spatial Data Missing ⚠",VLOOKUP(M191,'G-3 Multipliers'!$L$3:$N$6,2,FALSE)))</f>
        <v/>
      </c>
      <c r="O191" s="524" t="str">
        <f>IF(M191="","",IF(VLOOKUP(M191,'G-3 Multipliers'!$L$3:$N$6,3,FALSE)=0,"Spatial Data Missing ⚠",VLOOKUP(M191,'G-3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1" t="str">
        <f t="shared" si="14"/>
        <v/>
      </c>
      <c r="V191" s="511" t="str">
        <f t="shared" si="15"/>
        <v/>
      </c>
      <c r="W191" s="511"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5" t="str">
        <f>IFERROR(IF(H191="","",IF(H191-S191-T191=0&lt;0,"Error in Areas ▲",IF(S191+T191&gt;H191,"Error in Areas ▲",IF(AND(P191='G-1 All Habitats'!$X$3,Y191="Yes"),"Alternative Compensation",IF(W191=0,0,IF(P191='G-1 All Habitats'!$X$3,"Unacceptable Loss",Q191-U191-V191)))))),"Check Data ⚠")</f>
        <v/>
      </c>
      <c r="Y191" s="72"/>
      <c r="Z191" s="151"/>
      <c r="AA191" s="152"/>
      <c r="AC191" s="251" t="str">
        <f>IF(P191="","",IF(P191='G-1 All Habitats'!$X$3,H191-S191-T191,"None"))</f>
        <v/>
      </c>
      <c r="AD191" s="252"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3"/>
      <c r="F192" s="203"/>
      <c r="G192" s="250" t="str">
        <f>IFERROR(INDEX('G-1 All Habitats'!$B$3:$B$129,MATCH(F192,'G-1 All Habitats'!$A$3:$A$129,0)),"")</f>
        <v/>
      </c>
      <c r="H192" s="172"/>
      <c r="I192" s="498" t="str">
        <f>IF(G192="","",VLOOKUP(G192,'G-1 All Habitats'!$B$2:$M$129,10,FALSE))</f>
        <v/>
      </c>
      <c r="J192" s="499" t="str">
        <f>IFERROR(VLOOKUP(I192,'G-1 All Habitats'!$V$3:$W$7,2,FALSE),"")</f>
        <v/>
      </c>
      <c r="K192" s="145"/>
      <c r="L192" s="499" t="str">
        <f>IFERROR(INDEX('G-8 Condition Look up'!$A$3:$H$130,MATCH(G192,'G-8 Condition Look up'!$A$3:$A$130,0),MATCH(K192,'G-8 Condition Look up'!$A$3:$H$3,0)),"")</f>
        <v/>
      </c>
      <c r="M192" s="154"/>
      <c r="N192" s="520" t="str">
        <f>IF(M192="","",IF(VLOOKUP(M192,'G-3 Multipliers'!$L$3:$N$6,2,FALSE)=0,"Spatial Data Missing ⚠",VLOOKUP(M192,'G-3 Multipliers'!$L$3:$N$6,2,FALSE)))</f>
        <v/>
      </c>
      <c r="O192" s="524" t="str">
        <f>IF(M192="","",IF(VLOOKUP(M192,'G-3 Multipliers'!$L$3:$N$6,3,FALSE)=0,"Spatial Data Missing ⚠",VLOOKUP(M192,'G-3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1" t="str">
        <f t="shared" si="14"/>
        <v/>
      </c>
      <c r="V192" s="511" t="str">
        <f t="shared" si="15"/>
        <v/>
      </c>
      <c r="W192" s="511"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5" t="str">
        <f>IFERROR(IF(H192="","",IF(H192-S192-T192=0&lt;0,"Error in Areas ▲",IF(S192+T192&gt;H192,"Error in Areas ▲",IF(AND(P192='G-1 All Habitats'!$X$3,Y192="Yes"),"Alternative Compensation",IF(W192=0,0,IF(P192='G-1 All Habitats'!$X$3,"Unacceptable Loss",Q192-U192-V192)))))),"Check Data ⚠")</f>
        <v/>
      </c>
      <c r="Y192" s="72"/>
      <c r="Z192" s="151"/>
      <c r="AA192" s="152"/>
      <c r="AC192" s="251" t="str">
        <f>IF(P192="","",IF(P192='G-1 All Habitats'!$X$3,H192-S192-T192,"None"))</f>
        <v/>
      </c>
      <c r="AD192" s="252"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3"/>
      <c r="F193" s="203"/>
      <c r="G193" s="250" t="str">
        <f>IFERROR(INDEX('G-1 All Habitats'!$B$3:$B$129,MATCH(F193,'G-1 All Habitats'!$A$3:$A$129,0)),"")</f>
        <v/>
      </c>
      <c r="H193" s="172"/>
      <c r="I193" s="498" t="str">
        <f>IF(G193="","",VLOOKUP(G193,'G-1 All Habitats'!$B$2:$M$129,10,FALSE))</f>
        <v/>
      </c>
      <c r="J193" s="499" t="str">
        <f>IFERROR(VLOOKUP(I193,'G-1 All Habitats'!$V$3:$W$7,2,FALSE),"")</f>
        <v/>
      </c>
      <c r="K193" s="145"/>
      <c r="L193" s="499" t="str">
        <f>IFERROR(INDEX('G-8 Condition Look up'!$A$3:$H$130,MATCH(G193,'G-8 Condition Look up'!$A$3:$A$130,0),MATCH(K193,'G-8 Condition Look up'!$A$3:$H$3,0)),"")</f>
        <v/>
      </c>
      <c r="M193" s="154"/>
      <c r="N193" s="520" t="str">
        <f>IF(M193="","",IF(VLOOKUP(M193,'G-3 Multipliers'!$L$3:$N$6,2,FALSE)=0,"Spatial Data Missing ⚠",VLOOKUP(M193,'G-3 Multipliers'!$L$3:$N$6,2,FALSE)))</f>
        <v/>
      </c>
      <c r="O193" s="524" t="str">
        <f>IF(M193="","",IF(VLOOKUP(M193,'G-3 Multipliers'!$L$3:$N$6,3,FALSE)=0,"Spatial Data Missing ⚠",VLOOKUP(M193,'G-3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1" t="str">
        <f t="shared" si="14"/>
        <v/>
      </c>
      <c r="V193" s="511" t="str">
        <f t="shared" si="15"/>
        <v/>
      </c>
      <c r="W193" s="511"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5" t="str">
        <f>IFERROR(IF(H193="","",IF(H193-S193-T193=0&lt;0,"Error in Areas ▲",IF(S193+T193&gt;H193,"Error in Areas ▲",IF(AND(P193='G-1 All Habitats'!$X$3,Y193="Yes"),"Alternative Compensation",IF(W193=0,0,IF(P193='G-1 All Habitats'!$X$3,"Unacceptable Loss",Q193-U193-V193)))))),"Check Data ⚠")</f>
        <v/>
      </c>
      <c r="Y193" s="72"/>
      <c r="Z193" s="151"/>
      <c r="AA193" s="152"/>
      <c r="AC193" s="251" t="str">
        <f>IF(P193="","",IF(P193='G-1 All Habitats'!$X$3,H193-S193-T193,"None"))</f>
        <v/>
      </c>
      <c r="AD193" s="252"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3"/>
      <c r="F194" s="203"/>
      <c r="G194" s="250" t="str">
        <f>IFERROR(INDEX('G-1 All Habitats'!$B$3:$B$129,MATCH(F194,'G-1 All Habitats'!$A$3:$A$129,0)),"")</f>
        <v/>
      </c>
      <c r="H194" s="172"/>
      <c r="I194" s="498" t="str">
        <f>IF(G194="","",VLOOKUP(G194,'G-1 All Habitats'!$B$2:$M$129,10,FALSE))</f>
        <v/>
      </c>
      <c r="J194" s="499" t="str">
        <f>IFERROR(VLOOKUP(I194,'G-1 All Habitats'!$V$3:$W$7,2,FALSE),"")</f>
        <v/>
      </c>
      <c r="K194" s="145"/>
      <c r="L194" s="499" t="str">
        <f>IFERROR(INDEX('G-8 Condition Look up'!$A$3:$H$130,MATCH(G194,'G-8 Condition Look up'!$A$3:$A$130,0),MATCH(K194,'G-8 Condition Look up'!$A$3:$H$3,0)),"")</f>
        <v/>
      </c>
      <c r="M194" s="154"/>
      <c r="N194" s="520" t="str">
        <f>IF(M194="","",IF(VLOOKUP(M194,'G-3 Multipliers'!$L$3:$N$6,2,FALSE)=0,"Spatial Data Missing ⚠",VLOOKUP(M194,'G-3 Multipliers'!$L$3:$N$6,2,FALSE)))</f>
        <v/>
      </c>
      <c r="O194" s="524" t="str">
        <f>IF(M194="","",IF(VLOOKUP(M194,'G-3 Multipliers'!$L$3:$N$6,3,FALSE)=0,"Spatial Data Missing ⚠",VLOOKUP(M194,'G-3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1" t="str">
        <f t="shared" si="14"/>
        <v/>
      </c>
      <c r="V194" s="511" t="str">
        <f t="shared" si="15"/>
        <v/>
      </c>
      <c r="W194" s="511"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5" t="str">
        <f>IFERROR(IF(H194="","",IF(H194-S194-T194=0&lt;0,"Error in Areas ▲",IF(S194+T194&gt;H194,"Error in Areas ▲",IF(AND(P194='G-1 All Habitats'!$X$3,Y194="Yes"),"Alternative Compensation",IF(W194=0,0,IF(P194='G-1 All Habitats'!$X$3,"Unacceptable Loss",Q194-U194-V194)))))),"Check Data ⚠")</f>
        <v/>
      </c>
      <c r="Y194" s="72"/>
      <c r="Z194" s="151"/>
      <c r="AA194" s="152"/>
      <c r="AC194" s="251" t="str">
        <f>IF(P194="","",IF(P194='G-1 All Habitats'!$X$3,H194-S194-T194,"None"))</f>
        <v/>
      </c>
      <c r="AD194" s="252"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3"/>
      <c r="F195" s="203"/>
      <c r="G195" s="250" t="str">
        <f>IFERROR(INDEX('G-1 All Habitats'!$B$3:$B$129,MATCH(F195,'G-1 All Habitats'!$A$3:$A$129,0)),"")</f>
        <v/>
      </c>
      <c r="H195" s="172"/>
      <c r="I195" s="498" t="str">
        <f>IF(G195="","",VLOOKUP(G195,'G-1 All Habitats'!$B$2:$M$129,10,FALSE))</f>
        <v/>
      </c>
      <c r="J195" s="499" t="str">
        <f>IFERROR(VLOOKUP(I195,'G-1 All Habitats'!$V$3:$W$7,2,FALSE),"")</f>
        <v/>
      </c>
      <c r="K195" s="145"/>
      <c r="L195" s="499" t="str">
        <f>IFERROR(INDEX('G-8 Condition Look up'!$A$3:$H$130,MATCH(G195,'G-8 Condition Look up'!$A$3:$A$130,0),MATCH(K195,'G-8 Condition Look up'!$A$3:$H$3,0)),"")</f>
        <v/>
      </c>
      <c r="M195" s="154"/>
      <c r="N195" s="520" t="str">
        <f>IF(M195="","",IF(VLOOKUP(M195,'G-3 Multipliers'!$L$3:$N$6,2,FALSE)=0,"Spatial Data Missing ⚠",VLOOKUP(M195,'G-3 Multipliers'!$L$3:$N$6,2,FALSE)))</f>
        <v/>
      </c>
      <c r="O195" s="524" t="str">
        <f>IF(M195="","",IF(VLOOKUP(M195,'G-3 Multipliers'!$L$3:$N$6,3,FALSE)=0,"Spatial Data Missing ⚠",VLOOKUP(M195,'G-3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1" t="str">
        <f t="shared" si="14"/>
        <v/>
      </c>
      <c r="V195" s="511" t="str">
        <f t="shared" si="15"/>
        <v/>
      </c>
      <c r="W195" s="511"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5" t="str">
        <f>IFERROR(IF(H195="","",IF(H195-S195-T195=0&lt;0,"Error in Areas ▲",IF(S195+T195&gt;H195,"Error in Areas ▲",IF(AND(P195='G-1 All Habitats'!$X$3,Y195="Yes"),"Alternative Compensation",IF(W195=0,0,IF(P195='G-1 All Habitats'!$X$3,"Unacceptable Loss",Q195-U195-V195)))))),"Check Data ⚠")</f>
        <v/>
      </c>
      <c r="Y195" s="72"/>
      <c r="Z195" s="151"/>
      <c r="AA195" s="152"/>
      <c r="AC195" s="251" t="str">
        <f>IF(P195="","",IF(P195='G-1 All Habitats'!$X$3,H195-S195-T195,"None"))</f>
        <v/>
      </c>
      <c r="AD195" s="252"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3"/>
      <c r="F196" s="203"/>
      <c r="G196" s="250" t="str">
        <f>IFERROR(INDEX('G-1 All Habitats'!$B$3:$B$129,MATCH(F196,'G-1 All Habitats'!$A$3:$A$129,0)),"")</f>
        <v/>
      </c>
      <c r="H196" s="172"/>
      <c r="I196" s="498" t="str">
        <f>IF(G196="","",VLOOKUP(G196,'G-1 All Habitats'!$B$2:$M$129,10,FALSE))</f>
        <v/>
      </c>
      <c r="J196" s="499" t="str">
        <f>IFERROR(VLOOKUP(I196,'G-1 All Habitats'!$V$3:$W$7,2,FALSE),"")</f>
        <v/>
      </c>
      <c r="K196" s="145"/>
      <c r="L196" s="499" t="str">
        <f>IFERROR(INDEX('G-8 Condition Look up'!$A$3:$H$130,MATCH(G196,'G-8 Condition Look up'!$A$3:$A$130,0),MATCH(K196,'G-8 Condition Look up'!$A$3:$H$3,0)),"")</f>
        <v/>
      </c>
      <c r="M196" s="154"/>
      <c r="N196" s="520" t="str">
        <f>IF(M196="","",IF(VLOOKUP(M196,'G-3 Multipliers'!$L$3:$N$6,2,FALSE)=0,"Spatial Data Missing ⚠",VLOOKUP(M196,'G-3 Multipliers'!$L$3:$N$6,2,FALSE)))</f>
        <v/>
      </c>
      <c r="O196" s="524" t="str">
        <f>IF(M196="","",IF(VLOOKUP(M196,'G-3 Multipliers'!$L$3:$N$6,3,FALSE)=0,"Spatial Data Missing ⚠",VLOOKUP(M196,'G-3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1" t="str">
        <f t="shared" si="14"/>
        <v/>
      </c>
      <c r="V196" s="511" t="str">
        <f t="shared" si="15"/>
        <v/>
      </c>
      <c r="W196" s="511"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5" t="str">
        <f>IFERROR(IF(H196="","",IF(H196-S196-T196=0&lt;0,"Error in Areas ▲",IF(S196+T196&gt;H196,"Error in Areas ▲",IF(AND(P196='G-1 All Habitats'!$X$3,Y196="Yes"),"Alternative Compensation",IF(W196=0,0,IF(P196='G-1 All Habitats'!$X$3,"Unacceptable Loss",Q196-U196-V196)))))),"Check Data ⚠")</f>
        <v/>
      </c>
      <c r="Y196" s="72"/>
      <c r="Z196" s="151"/>
      <c r="AA196" s="152"/>
      <c r="AC196" s="251" t="str">
        <f>IF(P196="","",IF(P196='G-1 All Habitats'!$X$3,H196-S196-T196,"None"))</f>
        <v/>
      </c>
      <c r="AD196" s="252"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3"/>
      <c r="F197" s="203"/>
      <c r="G197" s="250" t="str">
        <f>IFERROR(INDEX('G-1 All Habitats'!$B$3:$B$129,MATCH(F197,'G-1 All Habitats'!$A$3:$A$129,0)),"")</f>
        <v/>
      </c>
      <c r="H197" s="172"/>
      <c r="I197" s="498" t="str">
        <f>IF(G197="","",VLOOKUP(G197,'G-1 All Habitats'!$B$2:$M$129,10,FALSE))</f>
        <v/>
      </c>
      <c r="J197" s="499" t="str">
        <f>IFERROR(VLOOKUP(I197,'G-1 All Habitats'!$V$3:$W$7,2,FALSE),"")</f>
        <v/>
      </c>
      <c r="K197" s="145"/>
      <c r="L197" s="499" t="str">
        <f>IFERROR(INDEX('G-8 Condition Look up'!$A$3:$H$130,MATCH(G197,'G-8 Condition Look up'!$A$3:$A$130,0),MATCH(K197,'G-8 Condition Look up'!$A$3:$H$3,0)),"")</f>
        <v/>
      </c>
      <c r="M197" s="154"/>
      <c r="N197" s="520" t="str">
        <f>IF(M197="","",IF(VLOOKUP(M197,'G-3 Multipliers'!$L$3:$N$6,2,FALSE)=0,"Spatial Data Missing ⚠",VLOOKUP(M197,'G-3 Multipliers'!$L$3:$N$6,2,FALSE)))</f>
        <v/>
      </c>
      <c r="O197" s="524" t="str">
        <f>IF(M197="","",IF(VLOOKUP(M197,'G-3 Multipliers'!$L$3:$N$6,3,FALSE)=0,"Spatial Data Missing ⚠",VLOOKUP(M197,'G-3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1" t="str">
        <f t="shared" si="14"/>
        <v/>
      </c>
      <c r="V197" s="511" t="str">
        <f t="shared" si="15"/>
        <v/>
      </c>
      <c r="W197" s="511"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5" t="str">
        <f>IFERROR(IF(H197="","",IF(H197-S197-T197=0&lt;0,"Error in Areas ▲",IF(S197+T197&gt;H197,"Error in Areas ▲",IF(AND(P197='G-1 All Habitats'!$X$3,Y197="Yes"),"Alternative Compensation",IF(W197=0,0,IF(P197='G-1 All Habitats'!$X$3,"Unacceptable Loss",Q197-U197-V197)))))),"Check Data ⚠")</f>
        <v/>
      </c>
      <c r="Y197" s="72"/>
      <c r="Z197" s="151"/>
      <c r="AA197" s="152"/>
      <c r="AC197" s="251" t="str">
        <f>IF(P197="","",IF(P197='G-1 All Habitats'!$X$3,H197-S197-T197,"None"))</f>
        <v/>
      </c>
      <c r="AD197" s="252"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3"/>
      <c r="F198" s="203"/>
      <c r="G198" s="250" t="str">
        <f>IFERROR(INDEX('G-1 All Habitats'!$B$3:$B$129,MATCH(F198,'G-1 All Habitats'!$A$3:$A$129,0)),"")</f>
        <v/>
      </c>
      <c r="H198" s="172"/>
      <c r="I198" s="498" t="str">
        <f>IF(G198="","",VLOOKUP(G198,'G-1 All Habitats'!$B$2:$M$129,10,FALSE))</f>
        <v/>
      </c>
      <c r="J198" s="499" t="str">
        <f>IFERROR(VLOOKUP(I198,'G-1 All Habitats'!$V$3:$W$7,2,FALSE),"")</f>
        <v/>
      </c>
      <c r="K198" s="145"/>
      <c r="L198" s="499" t="str">
        <f>IFERROR(INDEX('G-8 Condition Look up'!$A$3:$H$130,MATCH(G198,'G-8 Condition Look up'!$A$3:$A$130,0),MATCH(K198,'G-8 Condition Look up'!$A$3:$H$3,0)),"")</f>
        <v/>
      </c>
      <c r="M198" s="154"/>
      <c r="N198" s="520" t="str">
        <f>IF(M198="","",IF(VLOOKUP(M198,'G-3 Multipliers'!$L$3:$N$6,2,FALSE)=0,"Spatial Data Missing ⚠",VLOOKUP(M198,'G-3 Multipliers'!$L$3:$N$6,2,FALSE)))</f>
        <v/>
      </c>
      <c r="O198" s="524" t="str">
        <f>IF(M198="","",IF(VLOOKUP(M198,'G-3 Multipliers'!$L$3:$N$6,3,FALSE)=0,"Spatial Data Missing ⚠",VLOOKUP(M198,'G-3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1" t="str">
        <f t="shared" si="14"/>
        <v/>
      </c>
      <c r="V198" s="511" t="str">
        <f t="shared" si="15"/>
        <v/>
      </c>
      <c r="W198" s="511"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5" t="str">
        <f>IFERROR(IF(H198="","",IF(H198-S198-T198=0&lt;0,"Error in Areas ▲",IF(S198+T198&gt;H198,"Error in Areas ▲",IF(AND(P198='G-1 All Habitats'!$X$3,Y198="Yes"),"Alternative Compensation",IF(W198=0,0,IF(P198='G-1 All Habitats'!$X$3,"Unacceptable Loss",Q198-U198-V198)))))),"Check Data ⚠")</f>
        <v/>
      </c>
      <c r="Y198" s="72"/>
      <c r="Z198" s="151"/>
      <c r="AA198" s="152"/>
      <c r="AC198" s="251" t="str">
        <f>IF(P198="","",IF(P198='G-1 All Habitats'!$X$3,H198-S198-T198,"None"))</f>
        <v/>
      </c>
      <c r="AD198" s="252"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3"/>
      <c r="F199" s="203"/>
      <c r="G199" s="250" t="str">
        <f>IFERROR(INDEX('G-1 All Habitats'!$B$3:$B$129,MATCH(F199,'G-1 All Habitats'!$A$3:$A$129,0)),"")</f>
        <v/>
      </c>
      <c r="H199" s="172"/>
      <c r="I199" s="498" t="str">
        <f>IF(G199="","",VLOOKUP(G199,'G-1 All Habitats'!$B$2:$M$129,10,FALSE))</f>
        <v/>
      </c>
      <c r="J199" s="499" t="str">
        <f>IFERROR(VLOOKUP(I199,'G-1 All Habitats'!$V$3:$W$7,2,FALSE),"")</f>
        <v/>
      </c>
      <c r="K199" s="145"/>
      <c r="L199" s="499" t="str">
        <f>IFERROR(INDEX('G-8 Condition Look up'!$A$3:$H$130,MATCH(G199,'G-8 Condition Look up'!$A$3:$A$130,0),MATCH(K199,'G-8 Condition Look up'!$A$3:$H$3,0)),"")</f>
        <v/>
      </c>
      <c r="M199" s="154"/>
      <c r="N199" s="520" t="str">
        <f>IF(M199="","",IF(VLOOKUP(M199,'G-3 Multipliers'!$L$3:$N$6,2,FALSE)=0,"Spatial Data Missing ⚠",VLOOKUP(M199,'G-3 Multipliers'!$L$3:$N$6,2,FALSE)))</f>
        <v/>
      </c>
      <c r="O199" s="524" t="str">
        <f>IF(M199="","",IF(VLOOKUP(M199,'G-3 Multipliers'!$L$3:$N$6,3,FALSE)=0,"Spatial Data Missing ⚠",VLOOKUP(M199,'G-3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1" t="str">
        <f t="shared" si="14"/>
        <v/>
      </c>
      <c r="V199" s="511" t="str">
        <f t="shared" si="15"/>
        <v/>
      </c>
      <c r="W199" s="511"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5" t="str">
        <f>IFERROR(IF(H199="","",IF(H199-S199-T199=0&lt;0,"Error in Areas ▲",IF(S199+T199&gt;H199,"Error in Areas ▲",IF(AND(P199='G-1 All Habitats'!$X$3,Y199="Yes"),"Alternative Compensation",IF(W199=0,0,IF(P199='G-1 All Habitats'!$X$3,"Unacceptable Loss",Q199-U199-V199)))))),"Check Data ⚠")</f>
        <v/>
      </c>
      <c r="Y199" s="72"/>
      <c r="Z199" s="151"/>
      <c r="AA199" s="152"/>
      <c r="AC199" s="251" t="str">
        <f>IF(P199="","",IF(P199='G-1 All Habitats'!$X$3,H199-S199-T199,"None"))</f>
        <v/>
      </c>
      <c r="AD199" s="252"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3"/>
      <c r="F200" s="203"/>
      <c r="G200" s="250" t="str">
        <f>IFERROR(INDEX('G-1 All Habitats'!$B$3:$B$129,MATCH(F200,'G-1 All Habitats'!$A$3:$A$129,0)),"")</f>
        <v/>
      </c>
      <c r="H200" s="172"/>
      <c r="I200" s="498" t="str">
        <f>IF(G200="","",VLOOKUP(G200,'G-1 All Habitats'!$B$2:$M$129,10,FALSE))</f>
        <v/>
      </c>
      <c r="J200" s="499" t="str">
        <f>IFERROR(VLOOKUP(I200,'G-1 All Habitats'!$V$3:$W$7,2,FALSE),"")</f>
        <v/>
      </c>
      <c r="K200" s="145"/>
      <c r="L200" s="499" t="str">
        <f>IFERROR(INDEX('G-8 Condition Look up'!$A$3:$H$130,MATCH(G200,'G-8 Condition Look up'!$A$3:$A$130,0),MATCH(K200,'G-8 Condition Look up'!$A$3:$H$3,0)),"")</f>
        <v/>
      </c>
      <c r="M200" s="154"/>
      <c r="N200" s="520" t="str">
        <f>IF(M200="","",IF(VLOOKUP(M200,'G-3 Multipliers'!$L$3:$N$6,2,FALSE)=0,"Spatial Data Missing ⚠",VLOOKUP(M200,'G-3 Multipliers'!$L$3:$N$6,2,FALSE)))</f>
        <v/>
      </c>
      <c r="O200" s="524" t="str">
        <f>IF(M200="","",IF(VLOOKUP(M200,'G-3 Multipliers'!$L$3:$N$6,3,FALSE)=0,"Spatial Data Missing ⚠",VLOOKUP(M200,'G-3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1" t="str">
        <f t="shared" si="14"/>
        <v/>
      </c>
      <c r="V200" s="511" t="str">
        <f t="shared" si="15"/>
        <v/>
      </c>
      <c r="W200" s="511"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5" t="str">
        <f>IFERROR(IF(H200="","",IF(H200-S200-T200=0&lt;0,"Error in Areas ▲",IF(S200+T200&gt;H200,"Error in Areas ▲",IF(AND(P200='G-1 All Habitats'!$X$3,Y200="Yes"),"Alternative Compensation",IF(W200=0,0,IF(P200='G-1 All Habitats'!$X$3,"Unacceptable Loss",Q200-U200-V200)))))),"Check Data ⚠")</f>
        <v/>
      </c>
      <c r="Y200" s="72"/>
      <c r="Z200" s="151"/>
      <c r="AA200" s="152"/>
      <c r="AC200" s="251" t="str">
        <f>IF(P200="","",IF(P200='G-1 All Habitats'!$X$3,H200-S200-T200,"None"))</f>
        <v/>
      </c>
      <c r="AD200" s="252"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3"/>
      <c r="F201" s="203"/>
      <c r="G201" s="250" t="str">
        <f>IFERROR(INDEX('G-1 All Habitats'!$B$3:$B$129,MATCH(F201,'G-1 All Habitats'!$A$3:$A$129,0)),"")</f>
        <v/>
      </c>
      <c r="H201" s="172"/>
      <c r="I201" s="498" t="str">
        <f>IF(G201="","",VLOOKUP(G201,'G-1 All Habitats'!$B$2:$M$129,10,FALSE))</f>
        <v/>
      </c>
      <c r="J201" s="499" t="str">
        <f>IFERROR(VLOOKUP(I201,'G-1 All Habitats'!$V$3:$W$7,2,FALSE),"")</f>
        <v/>
      </c>
      <c r="K201" s="145"/>
      <c r="L201" s="499" t="str">
        <f>IFERROR(INDEX('G-8 Condition Look up'!$A$3:$H$130,MATCH(G201,'G-8 Condition Look up'!$A$3:$A$130,0),MATCH(K201,'G-8 Condition Look up'!$A$3:$H$3,0)),"")</f>
        <v/>
      </c>
      <c r="M201" s="154"/>
      <c r="N201" s="520" t="str">
        <f>IF(M201="","",IF(VLOOKUP(M201,'G-3 Multipliers'!$L$3:$N$6,2,FALSE)=0,"Spatial Data Missing ⚠",VLOOKUP(M201,'G-3 Multipliers'!$L$3:$N$6,2,FALSE)))</f>
        <v/>
      </c>
      <c r="O201" s="524" t="str">
        <f>IF(M201="","",IF(VLOOKUP(M201,'G-3 Multipliers'!$L$3:$N$6,3,FALSE)=0,"Spatial Data Missing ⚠",VLOOKUP(M201,'G-3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1" t="str">
        <f t="shared" si="14"/>
        <v/>
      </c>
      <c r="V201" s="511" t="str">
        <f t="shared" si="15"/>
        <v/>
      </c>
      <c r="W201" s="511"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5" t="str">
        <f>IFERROR(IF(H201="","",IF(H201-S201-T201=0&lt;0,"Error in Areas ▲",IF(S201+T201&gt;H201,"Error in Areas ▲",IF(AND(P201='G-1 All Habitats'!$X$3,Y201="Yes"),"Alternative Compensation",IF(W201=0,0,IF(P201='G-1 All Habitats'!$X$3,"Unacceptable Loss",Q201-U201-V201)))))),"Check Data ⚠")</f>
        <v/>
      </c>
      <c r="Y201" s="72"/>
      <c r="Z201" s="151"/>
      <c r="AA201" s="152"/>
      <c r="AC201" s="251" t="str">
        <f>IF(P201="","",IF(P201='G-1 All Habitats'!$X$3,H201-S201-T201,"None"))</f>
        <v/>
      </c>
      <c r="AD201" s="252"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3"/>
      <c r="F202" s="203"/>
      <c r="G202" s="250" t="str">
        <f>IFERROR(INDEX('G-1 All Habitats'!$B$3:$B$129,MATCH(F202,'G-1 All Habitats'!$A$3:$A$129,0)),"")</f>
        <v/>
      </c>
      <c r="H202" s="172"/>
      <c r="I202" s="498" t="str">
        <f>IF(G202="","",VLOOKUP(G202,'G-1 All Habitats'!$B$2:$M$129,10,FALSE))</f>
        <v/>
      </c>
      <c r="J202" s="499" t="str">
        <f>IFERROR(VLOOKUP(I202,'G-1 All Habitats'!$V$3:$W$7,2,FALSE),"")</f>
        <v/>
      </c>
      <c r="K202" s="145"/>
      <c r="L202" s="499" t="str">
        <f>IFERROR(INDEX('G-8 Condition Look up'!$A$3:$H$130,MATCH(G202,'G-8 Condition Look up'!$A$3:$A$130,0),MATCH(K202,'G-8 Condition Look up'!$A$3:$H$3,0)),"")</f>
        <v/>
      </c>
      <c r="M202" s="154"/>
      <c r="N202" s="520" t="str">
        <f>IF(M202="","",IF(VLOOKUP(M202,'G-3 Multipliers'!$L$3:$N$6,2,FALSE)=0,"Spatial Data Missing ⚠",VLOOKUP(M202,'G-3 Multipliers'!$L$3:$N$6,2,FALSE)))</f>
        <v/>
      </c>
      <c r="O202" s="524" t="str">
        <f>IF(M202="","",IF(VLOOKUP(M202,'G-3 Multipliers'!$L$3:$N$6,3,FALSE)=0,"Spatial Data Missing ⚠",VLOOKUP(M202,'G-3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1" t="str">
        <f t="shared" si="14"/>
        <v/>
      </c>
      <c r="V202" s="511" t="str">
        <f t="shared" si="15"/>
        <v/>
      </c>
      <c r="W202" s="511"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5" t="str">
        <f>IFERROR(IF(H202="","",IF(H202-S202-T202=0&lt;0,"Error in Areas ▲",IF(S202+T202&gt;H202,"Error in Areas ▲",IF(AND(P202='G-1 All Habitats'!$X$3,Y202="Yes"),"Alternative Compensation",IF(W202=0,0,IF(P202='G-1 All Habitats'!$X$3,"Unacceptable Loss",Q202-U202-V202)))))),"Check Data ⚠")</f>
        <v/>
      </c>
      <c r="Y202" s="72"/>
      <c r="Z202" s="151"/>
      <c r="AA202" s="152"/>
      <c r="AC202" s="251" t="str">
        <f>IF(P202="","",IF(P202='G-1 All Habitats'!$X$3,H202-S202-T202,"None"))</f>
        <v/>
      </c>
      <c r="AD202" s="252"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3"/>
      <c r="F203" s="203"/>
      <c r="G203" s="250" t="str">
        <f>IFERROR(INDEX('G-1 All Habitats'!$B$3:$B$129,MATCH(F203,'G-1 All Habitats'!$A$3:$A$129,0)),"")</f>
        <v/>
      </c>
      <c r="H203" s="172"/>
      <c r="I203" s="498" t="str">
        <f>IF(G203="","",VLOOKUP(G203,'G-1 All Habitats'!$B$2:$M$129,10,FALSE))</f>
        <v/>
      </c>
      <c r="J203" s="499" t="str">
        <f>IFERROR(VLOOKUP(I203,'G-1 All Habitats'!$V$3:$W$7,2,FALSE),"")</f>
        <v/>
      </c>
      <c r="K203" s="145"/>
      <c r="L203" s="499" t="str">
        <f>IFERROR(INDEX('G-8 Condition Look up'!$A$3:$H$130,MATCH(G203,'G-8 Condition Look up'!$A$3:$A$130,0),MATCH(K203,'G-8 Condition Look up'!$A$3:$H$3,0)),"")</f>
        <v/>
      </c>
      <c r="M203" s="154"/>
      <c r="N203" s="520" t="str">
        <f>IF(M203="","",IF(VLOOKUP(M203,'G-3 Multipliers'!$L$3:$N$6,2,FALSE)=0,"Spatial Data Missing ⚠",VLOOKUP(M203,'G-3 Multipliers'!$L$3:$N$6,2,FALSE)))</f>
        <v/>
      </c>
      <c r="O203" s="524" t="str">
        <f>IF(M203="","",IF(VLOOKUP(M203,'G-3 Multipliers'!$L$3:$N$6,3,FALSE)=0,"Spatial Data Missing ⚠",VLOOKUP(M203,'G-3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1" t="str">
        <f t="shared" si="14"/>
        <v/>
      </c>
      <c r="V203" s="511" t="str">
        <f t="shared" si="15"/>
        <v/>
      </c>
      <c r="W203" s="511"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5" t="str">
        <f>IFERROR(IF(H203="","",IF(H203-S203-T203=0&lt;0,"Error in Areas ▲",IF(S203+T203&gt;H203,"Error in Areas ▲",IF(AND(P203='G-1 All Habitats'!$X$3,Y203="Yes"),"Alternative Compensation",IF(W203=0,0,IF(P203='G-1 All Habitats'!$X$3,"Unacceptable Loss",Q203-U203-V203)))))),"Check Data ⚠")</f>
        <v/>
      </c>
      <c r="Y203" s="72"/>
      <c r="Z203" s="151"/>
      <c r="AA203" s="152"/>
      <c r="AC203" s="251" t="str">
        <f>IF(P203="","",IF(P203='G-1 All Habitats'!$X$3,H203-S203-T203,"None"))</f>
        <v/>
      </c>
      <c r="AD203" s="252"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3"/>
      <c r="F204" s="203"/>
      <c r="G204" s="250" t="str">
        <f>IFERROR(INDEX('G-1 All Habitats'!$B$3:$B$129,MATCH(F204,'G-1 All Habitats'!$A$3:$A$129,0)),"")</f>
        <v/>
      </c>
      <c r="H204" s="172"/>
      <c r="I204" s="498" t="str">
        <f>IF(G204="","",VLOOKUP(G204,'G-1 All Habitats'!$B$2:$M$129,10,FALSE))</f>
        <v/>
      </c>
      <c r="J204" s="499" t="str">
        <f>IFERROR(VLOOKUP(I204,'G-1 All Habitats'!$V$3:$W$7,2,FALSE),"")</f>
        <v/>
      </c>
      <c r="K204" s="145"/>
      <c r="L204" s="499" t="str">
        <f>IFERROR(INDEX('G-8 Condition Look up'!$A$3:$H$130,MATCH(G204,'G-8 Condition Look up'!$A$3:$A$130,0),MATCH(K204,'G-8 Condition Look up'!$A$3:$H$3,0)),"")</f>
        <v/>
      </c>
      <c r="M204" s="154"/>
      <c r="N204" s="520" t="str">
        <f>IF(M204="","",IF(VLOOKUP(M204,'G-3 Multipliers'!$L$3:$N$6,2,FALSE)=0,"Spatial Data Missing ⚠",VLOOKUP(M204,'G-3 Multipliers'!$L$3:$N$6,2,FALSE)))</f>
        <v/>
      </c>
      <c r="O204" s="524" t="str">
        <f>IF(M204="","",IF(VLOOKUP(M204,'G-3 Multipliers'!$L$3:$N$6,3,FALSE)=0,"Spatial Data Missing ⚠",VLOOKUP(M204,'G-3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1" t="str">
        <f t="shared" ref="U204:U258" si="20">IFERROR(S204*J204*L204*O204,"")</f>
        <v/>
      </c>
      <c r="V204" s="511" t="str">
        <f t="shared" ref="V204:V258" si="21">IFERROR(T204*J204*L204*O204,"")</f>
        <v/>
      </c>
      <c r="W204" s="511"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5" t="str">
        <f>IFERROR(IF(H204="","",IF(H204-S204-T204=0&lt;0,"Error in Areas ▲",IF(S204+T204&gt;H204,"Error in Areas ▲",IF(AND(P204='G-1 All Habitats'!$X$3,Y204="Yes"),"Alternative Compensation",IF(W204=0,0,IF(P204='G-1 All Habitats'!$X$3,"Unacceptable Loss",Q204-U204-V204)))))),"Check Data ⚠")</f>
        <v/>
      </c>
      <c r="Y204" s="72"/>
      <c r="Z204" s="151"/>
      <c r="AA204" s="152"/>
      <c r="AC204" s="251" t="str">
        <f>IF(P204="","",IF(P204='G-1 All Habitats'!$X$3,H204-S204-T204,"None"))</f>
        <v/>
      </c>
      <c r="AD204" s="252"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3"/>
      <c r="F205" s="203"/>
      <c r="G205" s="250" t="str">
        <f>IFERROR(INDEX('G-1 All Habitats'!$B$3:$B$129,MATCH(F205,'G-1 All Habitats'!$A$3:$A$129,0)),"")</f>
        <v/>
      </c>
      <c r="H205" s="172"/>
      <c r="I205" s="498" t="str">
        <f>IF(G205="","",VLOOKUP(G205,'G-1 All Habitats'!$B$2:$M$129,10,FALSE))</f>
        <v/>
      </c>
      <c r="J205" s="499" t="str">
        <f>IFERROR(VLOOKUP(I205,'G-1 All Habitats'!$V$3:$W$7,2,FALSE),"")</f>
        <v/>
      </c>
      <c r="K205" s="145"/>
      <c r="L205" s="499" t="str">
        <f>IFERROR(INDEX('G-8 Condition Look up'!$A$3:$H$130,MATCH(G205,'G-8 Condition Look up'!$A$3:$A$130,0),MATCH(K205,'G-8 Condition Look up'!$A$3:$H$3,0)),"")</f>
        <v/>
      </c>
      <c r="M205" s="154"/>
      <c r="N205" s="520" t="str">
        <f>IF(M205="","",IF(VLOOKUP(M205,'G-3 Multipliers'!$L$3:$N$6,2,FALSE)=0,"Spatial Data Missing ⚠",VLOOKUP(M205,'G-3 Multipliers'!$L$3:$N$6,2,FALSE)))</f>
        <v/>
      </c>
      <c r="O205" s="524" t="str">
        <f>IF(M205="","",IF(VLOOKUP(M205,'G-3 Multipliers'!$L$3:$N$6,3,FALSE)=0,"Spatial Data Missing ⚠",VLOOKUP(M205,'G-3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1" t="str">
        <f t="shared" si="20"/>
        <v/>
      </c>
      <c r="V205" s="511" t="str">
        <f t="shared" si="21"/>
        <v/>
      </c>
      <c r="W205" s="511"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5" t="str">
        <f>IFERROR(IF(H205="","",IF(H205-S205-T205=0&lt;0,"Error in Areas ▲",IF(S205+T205&gt;H205,"Error in Areas ▲",IF(AND(P205='G-1 All Habitats'!$X$3,Y205="Yes"),"Alternative Compensation",IF(W205=0,0,IF(P205='G-1 All Habitats'!$X$3,"Unacceptable Loss",Q205-U205-V205)))))),"Check Data ⚠")</f>
        <v/>
      </c>
      <c r="Y205" s="72"/>
      <c r="Z205" s="151"/>
      <c r="AA205" s="152"/>
      <c r="AC205" s="251" t="str">
        <f>IF(P205="","",IF(P205='G-1 All Habitats'!$X$3,H205-S205-T205,"None"))</f>
        <v/>
      </c>
      <c r="AD205" s="252"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3"/>
      <c r="F206" s="203"/>
      <c r="G206" s="250" t="str">
        <f>IFERROR(INDEX('G-1 All Habitats'!$B$3:$B$129,MATCH(F206,'G-1 All Habitats'!$A$3:$A$129,0)),"")</f>
        <v/>
      </c>
      <c r="H206" s="172"/>
      <c r="I206" s="498" t="str">
        <f>IF(G206="","",VLOOKUP(G206,'G-1 All Habitats'!$B$2:$M$129,10,FALSE))</f>
        <v/>
      </c>
      <c r="J206" s="499" t="str">
        <f>IFERROR(VLOOKUP(I206,'G-1 All Habitats'!$V$3:$W$7,2,FALSE),"")</f>
        <v/>
      </c>
      <c r="K206" s="145"/>
      <c r="L206" s="499" t="str">
        <f>IFERROR(INDEX('G-8 Condition Look up'!$A$3:$H$130,MATCH(G206,'G-8 Condition Look up'!$A$3:$A$130,0),MATCH(K206,'G-8 Condition Look up'!$A$3:$H$3,0)),"")</f>
        <v/>
      </c>
      <c r="M206" s="154"/>
      <c r="N206" s="520" t="str">
        <f>IF(M206="","",IF(VLOOKUP(M206,'G-3 Multipliers'!$L$3:$N$6,2,FALSE)=0,"Spatial Data Missing ⚠",VLOOKUP(M206,'G-3 Multipliers'!$L$3:$N$6,2,FALSE)))</f>
        <v/>
      </c>
      <c r="O206" s="524" t="str">
        <f>IF(M206="","",IF(VLOOKUP(M206,'G-3 Multipliers'!$L$3:$N$6,3,FALSE)=0,"Spatial Data Missing ⚠",VLOOKUP(M206,'G-3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1" t="str">
        <f t="shared" si="20"/>
        <v/>
      </c>
      <c r="V206" s="511" t="str">
        <f t="shared" si="21"/>
        <v/>
      </c>
      <c r="W206" s="511"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5" t="str">
        <f>IFERROR(IF(H206="","",IF(H206-S206-T206=0&lt;0,"Error in Areas ▲",IF(S206+T206&gt;H206,"Error in Areas ▲",IF(AND(P206='G-1 All Habitats'!$X$3,Y206="Yes"),"Alternative Compensation",IF(W206=0,0,IF(P206='G-1 All Habitats'!$X$3,"Unacceptable Loss",Q206-U206-V206)))))),"Check Data ⚠")</f>
        <v/>
      </c>
      <c r="Y206" s="72"/>
      <c r="Z206" s="151"/>
      <c r="AA206" s="152"/>
      <c r="AC206" s="251" t="str">
        <f>IF(P206="","",IF(P206='G-1 All Habitats'!$X$3,H206-S206-T206,"None"))</f>
        <v/>
      </c>
      <c r="AD206" s="252"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3"/>
      <c r="F207" s="203"/>
      <c r="G207" s="250" t="str">
        <f>IFERROR(INDEX('G-1 All Habitats'!$B$3:$B$129,MATCH(F207,'G-1 All Habitats'!$A$3:$A$129,0)),"")</f>
        <v/>
      </c>
      <c r="H207" s="172"/>
      <c r="I207" s="498" t="str">
        <f>IF(G207="","",VLOOKUP(G207,'G-1 All Habitats'!$B$2:$M$129,10,FALSE))</f>
        <v/>
      </c>
      <c r="J207" s="499" t="str">
        <f>IFERROR(VLOOKUP(I207,'G-1 All Habitats'!$V$3:$W$7,2,FALSE),"")</f>
        <v/>
      </c>
      <c r="K207" s="145"/>
      <c r="L207" s="499" t="str">
        <f>IFERROR(INDEX('G-8 Condition Look up'!$A$3:$H$130,MATCH(G207,'G-8 Condition Look up'!$A$3:$A$130,0),MATCH(K207,'G-8 Condition Look up'!$A$3:$H$3,0)),"")</f>
        <v/>
      </c>
      <c r="M207" s="154"/>
      <c r="N207" s="520" t="str">
        <f>IF(M207="","",IF(VLOOKUP(M207,'G-3 Multipliers'!$L$3:$N$6,2,FALSE)=0,"Spatial Data Missing ⚠",VLOOKUP(M207,'G-3 Multipliers'!$L$3:$N$6,2,FALSE)))</f>
        <v/>
      </c>
      <c r="O207" s="524" t="str">
        <f>IF(M207="","",IF(VLOOKUP(M207,'G-3 Multipliers'!$L$3:$N$6,3,FALSE)=0,"Spatial Data Missing ⚠",VLOOKUP(M207,'G-3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1" t="str">
        <f t="shared" si="20"/>
        <v/>
      </c>
      <c r="V207" s="511" t="str">
        <f t="shared" si="21"/>
        <v/>
      </c>
      <c r="W207" s="511"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5" t="str">
        <f>IFERROR(IF(H207="","",IF(H207-S207-T207=0&lt;0,"Error in Areas ▲",IF(S207+T207&gt;H207,"Error in Areas ▲",IF(AND(P207='G-1 All Habitats'!$X$3,Y207="Yes"),"Alternative Compensation",IF(W207=0,0,IF(P207='G-1 All Habitats'!$X$3,"Unacceptable Loss",Q207-U207-V207)))))),"Check Data ⚠")</f>
        <v/>
      </c>
      <c r="Y207" s="72"/>
      <c r="Z207" s="151"/>
      <c r="AA207" s="152"/>
      <c r="AC207" s="251" t="str">
        <f>IF(P207="","",IF(P207='G-1 All Habitats'!$X$3,H207-S207-T207,"None"))</f>
        <v/>
      </c>
      <c r="AD207" s="252"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3"/>
      <c r="F208" s="203"/>
      <c r="G208" s="250" t="str">
        <f>IFERROR(INDEX('G-1 All Habitats'!$B$3:$B$129,MATCH(F208,'G-1 All Habitats'!$A$3:$A$129,0)),"")</f>
        <v/>
      </c>
      <c r="H208" s="172"/>
      <c r="I208" s="498" t="str">
        <f>IF(G208="","",VLOOKUP(G208,'G-1 All Habitats'!$B$2:$M$129,10,FALSE))</f>
        <v/>
      </c>
      <c r="J208" s="499" t="str">
        <f>IFERROR(VLOOKUP(I208,'G-1 All Habitats'!$V$3:$W$7,2,FALSE),"")</f>
        <v/>
      </c>
      <c r="K208" s="145"/>
      <c r="L208" s="499" t="str">
        <f>IFERROR(INDEX('G-8 Condition Look up'!$A$3:$H$130,MATCH(G208,'G-8 Condition Look up'!$A$3:$A$130,0),MATCH(K208,'G-8 Condition Look up'!$A$3:$H$3,0)),"")</f>
        <v/>
      </c>
      <c r="M208" s="154"/>
      <c r="N208" s="520" t="str">
        <f>IF(M208="","",IF(VLOOKUP(M208,'G-3 Multipliers'!$L$3:$N$6,2,FALSE)=0,"Spatial Data Missing ⚠",VLOOKUP(M208,'G-3 Multipliers'!$L$3:$N$6,2,FALSE)))</f>
        <v/>
      </c>
      <c r="O208" s="524" t="str">
        <f>IF(M208="","",IF(VLOOKUP(M208,'G-3 Multipliers'!$L$3:$N$6,3,FALSE)=0,"Spatial Data Missing ⚠",VLOOKUP(M208,'G-3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1" t="str">
        <f t="shared" si="20"/>
        <v/>
      </c>
      <c r="V208" s="511" t="str">
        <f t="shared" si="21"/>
        <v/>
      </c>
      <c r="W208" s="511"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5" t="str">
        <f>IFERROR(IF(H208="","",IF(H208-S208-T208=0&lt;0,"Error in Areas ▲",IF(S208+T208&gt;H208,"Error in Areas ▲",IF(AND(P208='G-1 All Habitats'!$X$3,Y208="Yes"),"Alternative Compensation",IF(W208=0,0,IF(P208='G-1 All Habitats'!$X$3,"Unacceptable Loss",Q208-U208-V208)))))),"Check Data ⚠")</f>
        <v/>
      </c>
      <c r="Y208" s="72"/>
      <c r="Z208" s="151"/>
      <c r="AA208" s="152"/>
      <c r="AC208" s="251" t="str">
        <f>IF(P208="","",IF(P208='G-1 All Habitats'!$X$3,H208-S208-T208,"None"))</f>
        <v/>
      </c>
      <c r="AD208" s="252"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3"/>
      <c r="F209" s="203"/>
      <c r="G209" s="250" t="str">
        <f>IFERROR(INDEX('G-1 All Habitats'!$B$3:$B$129,MATCH(F209,'G-1 All Habitats'!$A$3:$A$129,0)),"")</f>
        <v/>
      </c>
      <c r="H209" s="172"/>
      <c r="I209" s="498" t="str">
        <f>IF(G209="","",VLOOKUP(G209,'G-1 All Habitats'!$B$2:$M$129,10,FALSE))</f>
        <v/>
      </c>
      <c r="J209" s="499" t="str">
        <f>IFERROR(VLOOKUP(I209,'G-1 All Habitats'!$V$3:$W$7,2,FALSE),"")</f>
        <v/>
      </c>
      <c r="K209" s="145"/>
      <c r="L209" s="499" t="str">
        <f>IFERROR(INDEX('G-8 Condition Look up'!$A$3:$H$130,MATCH(G209,'G-8 Condition Look up'!$A$3:$A$130,0),MATCH(K209,'G-8 Condition Look up'!$A$3:$H$3,0)),"")</f>
        <v/>
      </c>
      <c r="M209" s="154"/>
      <c r="N209" s="520" t="str">
        <f>IF(M209="","",IF(VLOOKUP(M209,'G-3 Multipliers'!$L$3:$N$6,2,FALSE)=0,"Spatial Data Missing ⚠",VLOOKUP(M209,'G-3 Multipliers'!$L$3:$N$6,2,FALSE)))</f>
        <v/>
      </c>
      <c r="O209" s="524" t="str">
        <f>IF(M209="","",IF(VLOOKUP(M209,'G-3 Multipliers'!$L$3:$N$6,3,FALSE)=0,"Spatial Data Missing ⚠",VLOOKUP(M209,'G-3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1" t="str">
        <f t="shared" si="20"/>
        <v/>
      </c>
      <c r="V209" s="511" t="str">
        <f t="shared" si="21"/>
        <v/>
      </c>
      <c r="W209" s="511"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5" t="str">
        <f>IFERROR(IF(H209="","",IF(H209-S209-T209=0&lt;0,"Error in Areas ▲",IF(S209+T209&gt;H209,"Error in Areas ▲",IF(AND(P209='G-1 All Habitats'!$X$3,Y209="Yes"),"Alternative Compensation",IF(W209=0,0,IF(P209='G-1 All Habitats'!$X$3,"Unacceptable Loss",Q209-U209-V209)))))),"Check Data ⚠")</f>
        <v/>
      </c>
      <c r="Y209" s="72"/>
      <c r="Z209" s="151"/>
      <c r="AA209" s="152"/>
      <c r="AC209" s="251" t="str">
        <f>IF(P209="","",IF(P209='G-1 All Habitats'!$X$3,H209-S209-T209,"None"))</f>
        <v/>
      </c>
      <c r="AD209" s="252"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3"/>
      <c r="F210" s="203"/>
      <c r="G210" s="250" t="str">
        <f>IFERROR(INDEX('G-1 All Habitats'!$B$3:$B$129,MATCH(F210,'G-1 All Habitats'!$A$3:$A$129,0)),"")</f>
        <v/>
      </c>
      <c r="H210" s="172"/>
      <c r="I210" s="498" t="str">
        <f>IF(G210="","",VLOOKUP(G210,'G-1 All Habitats'!$B$2:$M$129,10,FALSE))</f>
        <v/>
      </c>
      <c r="J210" s="499" t="str">
        <f>IFERROR(VLOOKUP(I210,'G-1 All Habitats'!$V$3:$W$7,2,FALSE),"")</f>
        <v/>
      </c>
      <c r="K210" s="145"/>
      <c r="L210" s="499" t="str">
        <f>IFERROR(INDEX('G-8 Condition Look up'!$A$3:$H$130,MATCH(G210,'G-8 Condition Look up'!$A$3:$A$130,0),MATCH(K210,'G-8 Condition Look up'!$A$3:$H$3,0)),"")</f>
        <v/>
      </c>
      <c r="M210" s="154"/>
      <c r="N210" s="520" t="str">
        <f>IF(M210="","",IF(VLOOKUP(M210,'G-3 Multipliers'!$L$3:$N$6,2,FALSE)=0,"Spatial Data Missing ⚠",VLOOKUP(M210,'G-3 Multipliers'!$L$3:$N$6,2,FALSE)))</f>
        <v/>
      </c>
      <c r="O210" s="524" t="str">
        <f>IF(M210="","",IF(VLOOKUP(M210,'G-3 Multipliers'!$L$3:$N$6,3,FALSE)=0,"Spatial Data Missing ⚠",VLOOKUP(M210,'G-3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1" t="str">
        <f t="shared" si="20"/>
        <v/>
      </c>
      <c r="V210" s="511" t="str">
        <f t="shared" si="21"/>
        <v/>
      </c>
      <c r="W210" s="511"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5" t="str">
        <f>IFERROR(IF(H210="","",IF(H210-S210-T210=0&lt;0,"Error in Areas ▲",IF(S210+T210&gt;H210,"Error in Areas ▲",IF(AND(P210='G-1 All Habitats'!$X$3,Y210="Yes"),"Alternative Compensation",IF(W210=0,0,IF(P210='G-1 All Habitats'!$X$3,"Unacceptable Loss",Q210-U210-V210)))))),"Check Data ⚠")</f>
        <v/>
      </c>
      <c r="Y210" s="72"/>
      <c r="Z210" s="151"/>
      <c r="AA210" s="152"/>
      <c r="AC210" s="251" t="str">
        <f>IF(P210="","",IF(P210='G-1 All Habitats'!$X$3,H210-S210-T210,"None"))</f>
        <v/>
      </c>
      <c r="AD210" s="252"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3"/>
      <c r="F211" s="203"/>
      <c r="G211" s="250" t="str">
        <f>IFERROR(INDEX('G-1 All Habitats'!$B$3:$B$129,MATCH(F211,'G-1 All Habitats'!$A$3:$A$129,0)),"")</f>
        <v/>
      </c>
      <c r="H211" s="172"/>
      <c r="I211" s="498" t="str">
        <f>IF(G211="","",VLOOKUP(G211,'G-1 All Habitats'!$B$2:$M$129,10,FALSE))</f>
        <v/>
      </c>
      <c r="J211" s="499" t="str">
        <f>IFERROR(VLOOKUP(I211,'G-1 All Habitats'!$V$3:$W$7,2,FALSE),"")</f>
        <v/>
      </c>
      <c r="K211" s="145"/>
      <c r="L211" s="499" t="str">
        <f>IFERROR(INDEX('G-8 Condition Look up'!$A$3:$H$130,MATCH(G211,'G-8 Condition Look up'!$A$3:$A$130,0),MATCH(K211,'G-8 Condition Look up'!$A$3:$H$3,0)),"")</f>
        <v/>
      </c>
      <c r="M211" s="154"/>
      <c r="N211" s="520" t="str">
        <f>IF(M211="","",IF(VLOOKUP(M211,'G-3 Multipliers'!$L$3:$N$6,2,FALSE)=0,"Spatial Data Missing ⚠",VLOOKUP(M211,'G-3 Multipliers'!$L$3:$N$6,2,FALSE)))</f>
        <v/>
      </c>
      <c r="O211" s="524" t="str">
        <f>IF(M211="","",IF(VLOOKUP(M211,'G-3 Multipliers'!$L$3:$N$6,3,FALSE)=0,"Spatial Data Missing ⚠",VLOOKUP(M211,'G-3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1" t="str">
        <f t="shared" si="20"/>
        <v/>
      </c>
      <c r="V211" s="511" t="str">
        <f t="shared" si="21"/>
        <v/>
      </c>
      <c r="W211" s="511"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5" t="str">
        <f>IFERROR(IF(H211="","",IF(H211-S211-T211=0&lt;0,"Error in Areas ▲",IF(S211+T211&gt;H211,"Error in Areas ▲",IF(AND(P211='G-1 All Habitats'!$X$3,Y211="Yes"),"Alternative Compensation",IF(W211=0,0,IF(P211='G-1 All Habitats'!$X$3,"Unacceptable Loss",Q211-U211-V211)))))),"Check Data ⚠")</f>
        <v/>
      </c>
      <c r="Y211" s="72"/>
      <c r="Z211" s="151"/>
      <c r="AA211" s="152"/>
      <c r="AC211" s="251" t="str">
        <f>IF(P211="","",IF(P211='G-1 All Habitats'!$X$3,H211-S211-T211,"None"))</f>
        <v/>
      </c>
      <c r="AD211" s="252"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3"/>
      <c r="F212" s="203"/>
      <c r="G212" s="250" t="str">
        <f>IFERROR(INDEX('G-1 All Habitats'!$B$3:$B$129,MATCH(F212,'G-1 All Habitats'!$A$3:$A$129,0)),"")</f>
        <v/>
      </c>
      <c r="H212" s="172"/>
      <c r="I212" s="498" t="str">
        <f>IF(G212="","",VLOOKUP(G212,'G-1 All Habitats'!$B$2:$M$129,10,FALSE))</f>
        <v/>
      </c>
      <c r="J212" s="499" t="str">
        <f>IFERROR(VLOOKUP(I212,'G-1 All Habitats'!$V$3:$W$7,2,FALSE),"")</f>
        <v/>
      </c>
      <c r="K212" s="145"/>
      <c r="L212" s="499" t="str">
        <f>IFERROR(INDEX('G-8 Condition Look up'!$A$3:$H$130,MATCH(G212,'G-8 Condition Look up'!$A$3:$A$130,0),MATCH(K212,'G-8 Condition Look up'!$A$3:$H$3,0)),"")</f>
        <v/>
      </c>
      <c r="M212" s="154"/>
      <c r="N212" s="520" t="str">
        <f>IF(M212="","",IF(VLOOKUP(M212,'G-3 Multipliers'!$L$3:$N$6,2,FALSE)=0,"Spatial Data Missing ⚠",VLOOKUP(M212,'G-3 Multipliers'!$L$3:$N$6,2,FALSE)))</f>
        <v/>
      </c>
      <c r="O212" s="524" t="str">
        <f>IF(M212="","",IF(VLOOKUP(M212,'G-3 Multipliers'!$L$3:$N$6,3,FALSE)=0,"Spatial Data Missing ⚠",VLOOKUP(M212,'G-3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1" t="str">
        <f t="shared" si="20"/>
        <v/>
      </c>
      <c r="V212" s="511" t="str">
        <f t="shared" si="21"/>
        <v/>
      </c>
      <c r="W212" s="511"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5" t="str">
        <f>IFERROR(IF(H212="","",IF(H212-S212-T212=0&lt;0,"Error in Areas ▲",IF(S212+T212&gt;H212,"Error in Areas ▲",IF(AND(P212='G-1 All Habitats'!$X$3,Y212="Yes"),"Alternative Compensation",IF(W212=0,0,IF(P212='G-1 All Habitats'!$X$3,"Unacceptable Loss",Q212-U212-V212)))))),"Check Data ⚠")</f>
        <v/>
      </c>
      <c r="Y212" s="72"/>
      <c r="Z212" s="151"/>
      <c r="AA212" s="152"/>
      <c r="AC212" s="251" t="str">
        <f>IF(P212="","",IF(P212='G-1 All Habitats'!$X$3,H212-S212-T212,"None"))</f>
        <v/>
      </c>
      <c r="AD212" s="252"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3"/>
      <c r="F213" s="203"/>
      <c r="G213" s="250" t="str">
        <f>IFERROR(INDEX('G-1 All Habitats'!$B$3:$B$129,MATCH(F213,'G-1 All Habitats'!$A$3:$A$129,0)),"")</f>
        <v/>
      </c>
      <c r="H213" s="172"/>
      <c r="I213" s="498" t="str">
        <f>IF(G213="","",VLOOKUP(G213,'G-1 All Habitats'!$B$2:$M$129,10,FALSE))</f>
        <v/>
      </c>
      <c r="J213" s="499" t="str">
        <f>IFERROR(VLOOKUP(I213,'G-1 All Habitats'!$V$3:$W$7,2,FALSE),"")</f>
        <v/>
      </c>
      <c r="K213" s="145"/>
      <c r="L213" s="499" t="str">
        <f>IFERROR(INDEX('G-8 Condition Look up'!$A$3:$H$130,MATCH(G213,'G-8 Condition Look up'!$A$3:$A$130,0),MATCH(K213,'G-8 Condition Look up'!$A$3:$H$3,0)),"")</f>
        <v/>
      </c>
      <c r="M213" s="154"/>
      <c r="N213" s="520" t="str">
        <f>IF(M213="","",IF(VLOOKUP(M213,'G-3 Multipliers'!$L$3:$N$6,2,FALSE)=0,"Spatial Data Missing ⚠",VLOOKUP(M213,'G-3 Multipliers'!$L$3:$N$6,2,FALSE)))</f>
        <v/>
      </c>
      <c r="O213" s="524" t="str">
        <f>IF(M213="","",IF(VLOOKUP(M213,'G-3 Multipliers'!$L$3:$N$6,3,FALSE)=0,"Spatial Data Missing ⚠",VLOOKUP(M213,'G-3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1" t="str">
        <f t="shared" si="20"/>
        <v/>
      </c>
      <c r="V213" s="511" t="str">
        <f t="shared" si="21"/>
        <v/>
      </c>
      <c r="W213" s="511"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5" t="str">
        <f>IFERROR(IF(H213="","",IF(H213-S213-T213=0&lt;0,"Error in Areas ▲",IF(S213+T213&gt;H213,"Error in Areas ▲",IF(AND(P213='G-1 All Habitats'!$X$3,Y213="Yes"),"Alternative Compensation",IF(W213=0,0,IF(P213='G-1 All Habitats'!$X$3,"Unacceptable Loss",Q213-U213-V213)))))),"Check Data ⚠")</f>
        <v/>
      </c>
      <c r="Y213" s="72"/>
      <c r="Z213" s="151"/>
      <c r="AA213" s="152"/>
      <c r="AC213" s="251" t="str">
        <f>IF(P213="","",IF(P213='G-1 All Habitats'!$X$3,H213-S213-T213,"None"))</f>
        <v/>
      </c>
      <c r="AD213" s="252"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3"/>
      <c r="F214" s="203"/>
      <c r="G214" s="250" t="str">
        <f>IFERROR(INDEX('G-1 All Habitats'!$B$3:$B$129,MATCH(F214,'G-1 All Habitats'!$A$3:$A$129,0)),"")</f>
        <v/>
      </c>
      <c r="H214" s="172"/>
      <c r="I214" s="498" t="str">
        <f>IF(G214="","",VLOOKUP(G214,'G-1 All Habitats'!$B$2:$M$129,10,FALSE))</f>
        <v/>
      </c>
      <c r="J214" s="499" t="str">
        <f>IFERROR(VLOOKUP(I214,'G-1 All Habitats'!$V$3:$W$7,2,FALSE),"")</f>
        <v/>
      </c>
      <c r="K214" s="145"/>
      <c r="L214" s="499" t="str">
        <f>IFERROR(INDEX('G-8 Condition Look up'!$A$3:$H$130,MATCH(G214,'G-8 Condition Look up'!$A$3:$A$130,0),MATCH(K214,'G-8 Condition Look up'!$A$3:$H$3,0)),"")</f>
        <v/>
      </c>
      <c r="M214" s="154"/>
      <c r="N214" s="520" t="str">
        <f>IF(M214="","",IF(VLOOKUP(M214,'G-3 Multipliers'!$L$3:$N$6,2,FALSE)=0,"Spatial Data Missing ⚠",VLOOKUP(M214,'G-3 Multipliers'!$L$3:$N$6,2,FALSE)))</f>
        <v/>
      </c>
      <c r="O214" s="524" t="str">
        <f>IF(M214="","",IF(VLOOKUP(M214,'G-3 Multipliers'!$L$3:$N$6,3,FALSE)=0,"Spatial Data Missing ⚠",VLOOKUP(M214,'G-3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1" t="str">
        <f t="shared" si="20"/>
        <v/>
      </c>
      <c r="V214" s="511" t="str">
        <f t="shared" si="21"/>
        <v/>
      </c>
      <c r="W214" s="511"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5" t="str">
        <f>IFERROR(IF(H214="","",IF(H214-S214-T214=0&lt;0,"Error in Areas ▲",IF(S214+T214&gt;H214,"Error in Areas ▲",IF(AND(P214='G-1 All Habitats'!$X$3,Y214="Yes"),"Alternative Compensation",IF(W214=0,0,IF(P214='G-1 All Habitats'!$X$3,"Unacceptable Loss",Q214-U214-V214)))))),"Check Data ⚠")</f>
        <v/>
      </c>
      <c r="Y214" s="72"/>
      <c r="Z214" s="151"/>
      <c r="AA214" s="152"/>
      <c r="AC214" s="251" t="str">
        <f>IF(P214="","",IF(P214='G-1 All Habitats'!$X$3,H214-S214-T214,"None"))</f>
        <v/>
      </c>
      <c r="AD214" s="252"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3"/>
      <c r="F215" s="203"/>
      <c r="G215" s="250" t="str">
        <f>IFERROR(INDEX('G-1 All Habitats'!$B$3:$B$129,MATCH(F215,'G-1 All Habitats'!$A$3:$A$129,0)),"")</f>
        <v/>
      </c>
      <c r="H215" s="172"/>
      <c r="I215" s="498" t="str">
        <f>IF(G215="","",VLOOKUP(G215,'G-1 All Habitats'!$B$2:$M$129,10,FALSE))</f>
        <v/>
      </c>
      <c r="J215" s="499" t="str">
        <f>IFERROR(VLOOKUP(I215,'G-1 All Habitats'!$V$3:$W$7,2,FALSE),"")</f>
        <v/>
      </c>
      <c r="K215" s="145"/>
      <c r="L215" s="499" t="str">
        <f>IFERROR(INDEX('G-8 Condition Look up'!$A$3:$H$130,MATCH(G215,'G-8 Condition Look up'!$A$3:$A$130,0),MATCH(K215,'G-8 Condition Look up'!$A$3:$H$3,0)),"")</f>
        <v/>
      </c>
      <c r="M215" s="154"/>
      <c r="N215" s="520" t="str">
        <f>IF(M215="","",IF(VLOOKUP(M215,'G-3 Multipliers'!$L$3:$N$6,2,FALSE)=0,"Spatial Data Missing ⚠",VLOOKUP(M215,'G-3 Multipliers'!$L$3:$N$6,2,FALSE)))</f>
        <v/>
      </c>
      <c r="O215" s="524" t="str">
        <f>IF(M215="","",IF(VLOOKUP(M215,'G-3 Multipliers'!$L$3:$N$6,3,FALSE)=0,"Spatial Data Missing ⚠",VLOOKUP(M215,'G-3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1" t="str">
        <f t="shared" si="20"/>
        <v/>
      </c>
      <c r="V215" s="511" t="str">
        <f t="shared" si="21"/>
        <v/>
      </c>
      <c r="W215" s="511"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5" t="str">
        <f>IFERROR(IF(H215="","",IF(H215-S215-T215=0&lt;0,"Error in Areas ▲",IF(S215+T215&gt;H215,"Error in Areas ▲",IF(AND(P215='G-1 All Habitats'!$X$3,Y215="Yes"),"Alternative Compensation",IF(W215=0,0,IF(P215='G-1 All Habitats'!$X$3,"Unacceptable Loss",Q215-U215-V215)))))),"Check Data ⚠")</f>
        <v/>
      </c>
      <c r="Y215" s="72"/>
      <c r="Z215" s="151"/>
      <c r="AA215" s="152"/>
      <c r="AC215" s="251" t="str">
        <f>IF(P215="","",IF(P215='G-1 All Habitats'!$X$3,H215-S215-T215,"None"))</f>
        <v/>
      </c>
      <c r="AD215" s="252"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3"/>
      <c r="F216" s="203"/>
      <c r="G216" s="250" t="str">
        <f>IFERROR(INDEX('G-1 All Habitats'!$B$3:$B$129,MATCH(F216,'G-1 All Habitats'!$A$3:$A$129,0)),"")</f>
        <v/>
      </c>
      <c r="H216" s="172"/>
      <c r="I216" s="498" t="str">
        <f>IF(G216="","",VLOOKUP(G216,'G-1 All Habitats'!$B$2:$M$129,10,FALSE))</f>
        <v/>
      </c>
      <c r="J216" s="499" t="str">
        <f>IFERROR(VLOOKUP(I216,'G-1 All Habitats'!$V$3:$W$7,2,FALSE),"")</f>
        <v/>
      </c>
      <c r="K216" s="145"/>
      <c r="L216" s="499" t="str">
        <f>IFERROR(INDEX('G-8 Condition Look up'!$A$3:$H$130,MATCH(G216,'G-8 Condition Look up'!$A$3:$A$130,0),MATCH(K216,'G-8 Condition Look up'!$A$3:$H$3,0)),"")</f>
        <v/>
      </c>
      <c r="M216" s="154"/>
      <c r="N216" s="520" t="str">
        <f>IF(M216="","",IF(VLOOKUP(M216,'G-3 Multipliers'!$L$3:$N$6,2,FALSE)=0,"Spatial Data Missing ⚠",VLOOKUP(M216,'G-3 Multipliers'!$L$3:$N$6,2,FALSE)))</f>
        <v/>
      </c>
      <c r="O216" s="524" t="str">
        <f>IF(M216="","",IF(VLOOKUP(M216,'G-3 Multipliers'!$L$3:$N$6,3,FALSE)=0,"Spatial Data Missing ⚠",VLOOKUP(M216,'G-3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1" t="str">
        <f t="shared" si="20"/>
        <v/>
      </c>
      <c r="V216" s="511" t="str">
        <f t="shared" si="21"/>
        <v/>
      </c>
      <c r="W216" s="511"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5" t="str">
        <f>IFERROR(IF(H216="","",IF(H216-S216-T216=0&lt;0,"Error in Areas ▲",IF(S216+T216&gt;H216,"Error in Areas ▲",IF(AND(P216='G-1 All Habitats'!$X$3,Y216="Yes"),"Alternative Compensation",IF(W216=0,0,IF(P216='G-1 All Habitats'!$X$3,"Unacceptable Loss",Q216-U216-V216)))))),"Check Data ⚠")</f>
        <v/>
      </c>
      <c r="Y216" s="72"/>
      <c r="Z216" s="151"/>
      <c r="AA216" s="152"/>
      <c r="AC216" s="251" t="str">
        <f>IF(P216="","",IF(P216='G-1 All Habitats'!$X$3,H216-S216-T216,"None"))</f>
        <v/>
      </c>
      <c r="AD216" s="252"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3"/>
      <c r="F217" s="203"/>
      <c r="G217" s="250" t="str">
        <f>IFERROR(INDEX('G-1 All Habitats'!$B$3:$B$129,MATCH(F217,'G-1 All Habitats'!$A$3:$A$129,0)),"")</f>
        <v/>
      </c>
      <c r="H217" s="172"/>
      <c r="I217" s="498" t="str">
        <f>IF(G217="","",VLOOKUP(G217,'G-1 All Habitats'!$B$2:$M$129,10,FALSE))</f>
        <v/>
      </c>
      <c r="J217" s="499" t="str">
        <f>IFERROR(VLOOKUP(I217,'G-1 All Habitats'!$V$3:$W$7,2,FALSE),"")</f>
        <v/>
      </c>
      <c r="K217" s="145"/>
      <c r="L217" s="499" t="str">
        <f>IFERROR(INDEX('G-8 Condition Look up'!$A$3:$H$130,MATCH(G217,'G-8 Condition Look up'!$A$3:$A$130,0),MATCH(K217,'G-8 Condition Look up'!$A$3:$H$3,0)),"")</f>
        <v/>
      </c>
      <c r="M217" s="154"/>
      <c r="N217" s="520" t="str">
        <f>IF(M217="","",IF(VLOOKUP(M217,'G-3 Multipliers'!$L$3:$N$6,2,FALSE)=0,"Spatial Data Missing ⚠",VLOOKUP(M217,'G-3 Multipliers'!$L$3:$N$6,2,FALSE)))</f>
        <v/>
      </c>
      <c r="O217" s="524" t="str">
        <f>IF(M217="","",IF(VLOOKUP(M217,'G-3 Multipliers'!$L$3:$N$6,3,FALSE)=0,"Spatial Data Missing ⚠",VLOOKUP(M217,'G-3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1" t="str">
        <f t="shared" si="20"/>
        <v/>
      </c>
      <c r="V217" s="511" t="str">
        <f t="shared" si="21"/>
        <v/>
      </c>
      <c r="W217" s="511"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5" t="str">
        <f>IFERROR(IF(H217="","",IF(H217-S217-T217=0&lt;0,"Error in Areas ▲",IF(S217+T217&gt;H217,"Error in Areas ▲",IF(AND(P217='G-1 All Habitats'!$X$3,Y217="Yes"),"Alternative Compensation",IF(W217=0,0,IF(P217='G-1 All Habitats'!$X$3,"Unacceptable Loss",Q217-U217-V217)))))),"Check Data ⚠")</f>
        <v/>
      </c>
      <c r="Y217" s="72"/>
      <c r="Z217" s="151"/>
      <c r="AA217" s="152"/>
      <c r="AC217" s="251" t="str">
        <f>IF(P217="","",IF(P217='G-1 All Habitats'!$X$3,H217-S217-T217,"None"))</f>
        <v/>
      </c>
      <c r="AD217" s="252"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3"/>
      <c r="F218" s="203"/>
      <c r="G218" s="250" t="str">
        <f>IFERROR(INDEX('G-1 All Habitats'!$B$3:$B$129,MATCH(F218,'G-1 All Habitats'!$A$3:$A$129,0)),"")</f>
        <v/>
      </c>
      <c r="H218" s="172"/>
      <c r="I218" s="498" t="str">
        <f>IF(G218="","",VLOOKUP(G218,'G-1 All Habitats'!$B$2:$M$129,10,FALSE))</f>
        <v/>
      </c>
      <c r="J218" s="499" t="str">
        <f>IFERROR(VLOOKUP(I218,'G-1 All Habitats'!$V$3:$W$7,2,FALSE),"")</f>
        <v/>
      </c>
      <c r="K218" s="145"/>
      <c r="L218" s="499" t="str">
        <f>IFERROR(INDEX('G-8 Condition Look up'!$A$3:$H$130,MATCH(G218,'G-8 Condition Look up'!$A$3:$A$130,0),MATCH(K218,'G-8 Condition Look up'!$A$3:$H$3,0)),"")</f>
        <v/>
      </c>
      <c r="M218" s="154"/>
      <c r="N218" s="520" t="str">
        <f>IF(M218="","",IF(VLOOKUP(M218,'G-3 Multipliers'!$L$3:$N$6,2,FALSE)=0,"Spatial Data Missing ⚠",VLOOKUP(M218,'G-3 Multipliers'!$L$3:$N$6,2,FALSE)))</f>
        <v/>
      </c>
      <c r="O218" s="524" t="str">
        <f>IF(M218="","",IF(VLOOKUP(M218,'G-3 Multipliers'!$L$3:$N$6,3,FALSE)=0,"Spatial Data Missing ⚠",VLOOKUP(M218,'G-3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1" t="str">
        <f t="shared" si="20"/>
        <v/>
      </c>
      <c r="V218" s="511" t="str">
        <f t="shared" si="21"/>
        <v/>
      </c>
      <c r="W218" s="511"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5" t="str">
        <f>IFERROR(IF(H218="","",IF(H218-S218-T218=0&lt;0,"Error in Areas ▲",IF(S218+T218&gt;H218,"Error in Areas ▲",IF(AND(P218='G-1 All Habitats'!$X$3,Y218="Yes"),"Alternative Compensation",IF(W218=0,0,IF(P218='G-1 All Habitats'!$X$3,"Unacceptable Loss",Q218-U218-V218)))))),"Check Data ⚠")</f>
        <v/>
      </c>
      <c r="Y218" s="72"/>
      <c r="Z218" s="151"/>
      <c r="AA218" s="152"/>
      <c r="AC218" s="251" t="str">
        <f>IF(P218="","",IF(P218='G-1 All Habitats'!$X$3,H218-S218-T218,"None"))</f>
        <v/>
      </c>
      <c r="AD218" s="252"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3"/>
      <c r="F219" s="203"/>
      <c r="G219" s="250" t="str">
        <f>IFERROR(INDEX('G-1 All Habitats'!$B$3:$B$129,MATCH(F219,'G-1 All Habitats'!$A$3:$A$129,0)),"")</f>
        <v/>
      </c>
      <c r="H219" s="172"/>
      <c r="I219" s="498" t="str">
        <f>IF(G219="","",VLOOKUP(G219,'G-1 All Habitats'!$B$2:$M$129,10,FALSE))</f>
        <v/>
      </c>
      <c r="J219" s="499" t="str">
        <f>IFERROR(VLOOKUP(I219,'G-1 All Habitats'!$V$3:$W$7,2,FALSE),"")</f>
        <v/>
      </c>
      <c r="K219" s="145"/>
      <c r="L219" s="499" t="str">
        <f>IFERROR(INDEX('G-8 Condition Look up'!$A$3:$H$130,MATCH(G219,'G-8 Condition Look up'!$A$3:$A$130,0),MATCH(K219,'G-8 Condition Look up'!$A$3:$H$3,0)),"")</f>
        <v/>
      </c>
      <c r="M219" s="154"/>
      <c r="N219" s="520" t="str">
        <f>IF(M219="","",IF(VLOOKUP(M219,'G-3 Multipliers'!$L$3:$N$6,2,FALSE)=0,"Spatial Data Missing ⚠",VLOOKUP(M219,'G-3 Multipliers'!$L$3:$N$6,2,FALSE)))</f>
        <v/>
      </c>
      <c r="O219" s="524" t="str">
        <f>IF(M219="","",IF(VLOOKUP(M219,'G-3 Multipliers'!$L$3:$N$6,3,FALSE)=0,"Spatial Data Missing ⚠",VLOOKUP(M219,'G-3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1" t="str">
        <f t="shared" si="20"/>
        <v/>
      </c>
      <c r="V219" s="511" t="str">
        <f t="shared" si="21"/>
        <v/>
      </c>
      <c r="W219" s="511"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5" t="str">
        <f>IFERROR(IF(H219="","",IF(H219-S219-T219=0&lt;0,"Error in Areas ▲",IF(S219+T219&gt;H219,"Error in Areas ▲",IF(AND(P219='G-1 All Habitats'!$X$3,Y219="Yes"),"Alternative Compensation",IF(W219=0,0,IF(P219='G-1 All Habitats'!$X$3,"Unacceptable Loss",Q219-U219-V219)))))),"Check Data ⚠")</f>
        <v/>
      </c>
      <c r="Y219" s="72"/>
      <c r="Z219" s="151"/>
      <c r="AA219" s="152"/>
      <c r="AC219" s="251" t="str">
        <f>IF(P219="","",IF(P219='G-1 All Habitats'!$X$3,H219-S219-T219,"None"))</f>
        <v/>
      </c>
      <c r="AD219" s="252"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3"/>
      <c r="F220" s="203"/>
      <c r="G220" s="250" t="str">
        <f>IFERROR(INDEX('G-1 All Habitats'!$B$3:$B$129,MATCH(F220,'G-1 All Habitats'!$A$3:$A$129,0)),"")</f>
        <v/>
      </c>
      <c r="H220" s="172"/>
      <c r="I220" s="498" t="str">
        <f>IF(G220="","",VLOOKUP(G220,'G-1 All Habitats'!$B$2:$M$129,10,FALSE))</f>
        <v/>
      </c>
      <c r="J220" s="499" t="str">
        <f>IFERROR(VLOOKUP(I220,'G-1 All Habitats'!$V$3:$W$7,2,FALSE),"")</f>
        <v/>
      </c>
      <c r="K220" s="145"/>
      <c r="L220" s="499" t="str">
        <f>IFERROR(INDEX('G-8 Condition Look up'!$A$3:$H$130,MATCH(G220,'G-8 Condition Look up'!$A$3:$A$130,0),MATCH(K220,'G-8 Condition Look up'!$A$3:$H$3,0)),"")</f>
        <v/>
      </c>
      <c r="M220" s="154"/>
      <c r="N220" s="520" t="str">
        <f>IF(M220="","",IF(VLOOKUP(M220,'G-3 Multipliers'!$L$3:$N$6,2,FALSE)=0,"Spatial Data Missing ⚠",VLOOKUP(M220,'G-3 Multipliers'!$L$3:$N$6,2,FALSE)))</f>
        <v/>
      </c>
      <c r="O220" s="524" t="str">
        <f>IF(M220="","",IF(VLOOKUP(M220,'G-3 Multipliers'!$L$3:$N$6,3,FALSE)=0,"Spatial Data Missing ⚠",VLOOKUP(M220,'G-3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1" t="str">
        <f t="shared" si="20"/>
        <v/>
      </c>
      <c r="V220" s="511" t="str">
        <f t="shared" si="21"/>
        <v/>
      </c>
      <c r="W220" s="511"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5" t="str">
        <f>IFERROR(IF(H220="","",IF(H220-S220-T220=0&lt;0,"Error in Areas ▲",IF(S220+T220&gt;H220,"Error in Areas ▲",IF(AND(P220='G-1 All Habitats'!$X$3,Y220="Yes"),"Alternative Compensation",IF(W220=0,0,IF(P220='G-1 All Habitats'!$X$3,"Unacceptable Loss",Q220-U220-V220)))))),"Check Data ⚠")</f>
        <v/>
      </c>
      <c r="Y220" s="72"/>
      <c r="Z220" s="151"/>
      <c r="AA220" s="152"/>
      <c r="AC220" s="251" t="str">
        <f>IF(P220="","",IF(P220='G-1 All Habitats'!$X$3,H220-S220-T220,"None"))</f>
        <v/>
      </c>
      <c r="AD220" s="252"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3"/>
      <c r="F221" s="203"/>
      <c r="G221" s="250" t="str">
        <f>IFERROR(INDEX('G-1 All Habitats'!$B$3:$B$129,MATCH(F221,'G-1 All Habitats'!$A$3:$A$129,0)),"")</f>
        <v/>
      </c>
      <c r="H221" s="172"/>
      <c r="I221" s="498" t="str">
        <f>IF(G221="","",VLOOKUP(G221,'G-1 All Habitats'!$B$2:$M$129,10,FALSE))</f>
        <v/>
      </c>
      <c r="J221" s="499" t="str">
        <f>IFERROR(VLOOKUP(I221,'G-1 All Habitats'!$V$3:$W$7,2,FALSE),"")</f>
        <v/>
      </c>
      <c r="K221" s="145"/>
      <c r="L221" s="499" t="str">
        <f>IFERROR(INDEX('G-8 Condition Look up'!$A$3:$H$130,MATCH(G221,'G-8 Condition Look up'!$A$3:$A$130,0),MATCH(K221,'G-8 Condition Look up'!$A$3:$H$3,0)),"")</f>
        <v/>
      </c>
      <c r="M221" s="154"/>
      <c r="N221" s="520" t="str">
        <f>IF(M221="","",IF(VLOOKUP(M221,'G-3 Multipliers'!$L$3:$N$6,2,FALSE)=0,"Spatial Data Missing ⚠",VLOOKUP(M221,'G-3 Multipliers'!$L$3:$N$6,2,FALSE)))</f>
        <v/>
      </c>
      <c r="O221" s="524" t="str">
        <f>IF(M221="","",IF(VLOOKUP(M221,'G-3 Multipliers'!$L$3:$N$6,3,FALSE)=0,"Spatial Data Missing ⚠",VLOOKUP(M221,'G-3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1" t="str">
        <f t="shared" si="20"/>
        <v/>
      </c>
      <c r="V221" s="511" t="str">
        <f t="shared" si="21"/>
        <v/>
      </c>
      <c r="W221" s="511"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5" t="str">
        <f>IFERROR(IF(H221="","",IF(H221-S221-T221=0&lt;0,"Error in Areas ▲",IF(S221+T221&gt;H221,"Error in Areas ▲",IF(AND(P221='G-1 All Habitats'!$X$3,Y221="Yes"),"Alternative Compensation",IF(W221=0,0,IF(P221='G-1 All Habitats'!$X$3,"Unacceptable Loss",Q221-U221-V221)))))),"Check Data ⚠")</f>
        <v/>
      </c>
      <c r="Y221" s="72"/>
      <c r="Z221" s="151"/>
      <c r="AA221" s="152"/>
      <c r="AC221" s="251" t="str">
        <f>IF(P221="","",IF(P221='G-1 All Habitats'!$X$3,H221-S221-T221,"None"))</f>
        <v/>
      </c>
      <c r="AD221" s="252"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3"/>
      <c r="F222" s="203"/>
      <c r="G222" s="250" t="str">
        <f>IFERROR(INDEX('G-1 All Habitats'!$B$3:$B$129,MATCH(F222,'G-1 All Habitats'!$A$3:$A$129,0)),"")</f>
        <v/>
      </c>
      <c r="H222" s="172"/>
      <c r="I222" s="498" t="str">
        <f>IF(G222="","",VLOOKUP(G222,'G-1 All Habitats'!$B$2:$M$129,10,FALSE))</f>
        <v/>
      </c>
      <c r="J222" s="499" t="str">
        <f>IFERROR(VLOOKUP(I222,'G-1 All Habitats'!$V$3:$W$7,2,FALSE),"")</f>
        <v/>
      </c>
      <c r="K222" s="145"/>
      <c r="L222" s="499" t="str">
        <f>IFERROR(INDEX('G-8 Condition Look up'!$A$3:$H$130,MATCH(G222,'G-8 Condition Look up'!$A$3:$A$130,0),MATCH(K222,'G-8 Condition Look up'!$A$3:$H$3,0)),"")</f>
        <v/>
      </c>
      <c r="M222" s="154"/>
      <c r="N222" s="520" t="str">
        <f>IF(M222="","",IF(VLOOKUP(M222,'G-3 Multipliers'!$L$3:$N$6,2,FALSE)=0,"Spatial Data Missing ⚠",VLOOKUP(M222,'G-3 Multipliers'!$L$3:$N$6,2,FALSE)))</f>
        <v/>
      </c>
      <c r="O222" s="524" t="str">
        <f>IF(M222="","",IF(VLOOKUP(M222,'G-3 Multipliers'!$L$3:$N$6,3,FALSE)=0,"Spatial Data Missing ⚠",VLOOKUP(M222,'G-3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1" t="str">
        <f t="shared" si="20"/>
        <v/>
      </c>
      <c r="V222" s="511" t="str">
        <f t="shared" si="21"/>
        <v/>
      </c>
      <c r="W222" s="511"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5" t="str">
        <f>IFERROR(IF(H222="","",IF(H222-S222-T222=0&lt;0,"Error in Areas ▲",IF(S222+T222&gt;H222,"Error in Areas ▲",IF(AND(P222='G-1 All Habitats'!$X$3,Y222="Yes"),"Alternative Compensation",IF(W222=0,0,IF(P222='G-1 All Habitats'!$X$3,"Unacceptable Loss",Q222-U222-V222)))))),"Check Data ⚠")</f>
        <v/>
      </c>
      <c r="Y222" s="72"/>
      <c r="Z222" s="151"/>
      <c r="AA222" s="152"/>
      <c r="AC222" s="251" t="str">
        <f>IF(P222="","",IF(P222='G-1 All Habitats'!$X$3,H222-S222-T222,"None"))</f>
        <v/>
      </c>
      <c r="AD222" s="252"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3"/>
      <c r="F223" s="203"/>
      <c r="G223" s="250" t="str">
        <f>IFERROR(INDEX('G-1 All Habitats'!$B$3:$B$129,MATCH(F223,'G-1 All Habitats'!$A$3:$A$129,0)),"")</f>
        <v/>
      </c>
      <c r="H223" s="172"/>
      <c r="I223" s="498" t="str">
        <f>IF(G223="","",VLOOKUP(G223,'G-1 All Habitats'!$B$2:$M$129,10,FALSE))</f>
        <v/>
      </c>
      <c r="J223" s="499" t="str">
        <f>IFERROR(VLOOKUP(I223,'G-1 All Habitats'!$V$3:$W$7,2,FALSE),"")</f>
        <v/>
      </c>
      <c r="K223" s="145"/>
      <c r="L223" s="499" t="str">
        <f>IFERROR(INDEX('G-8 Condition Look up'!$A$3:$H$130,MATCH(G223,'G-8 Condition Look up'!$A$3:$A$130,0),MATCH(K223,'G-8 Condition Look up'!$A$3:$H$3,0)),"")</f>
        <v/>
      </c>
      <c r="M223" s="154"/>
      <c r="N223" s="520" t="str">
        <f>IF(M223="","",IF(VLOOKUP(M223,'G-3 Multipliers'!$L$3:$N$6,2,FALSE)=0,"Spatial Data Missing ⚠",VLOOKUP(M223,'G-3 Multipliers'!$L$3:$N$6,2,FALSE)))</f>
        <v/>
      </c>
      <c r="O223" s="524" t="str">
        <f>IF(M223="","",IF(VLOOKUP(M223,'G-3 Multipliers'!$L$3:$N$6,3,FALSE)=0,"Spatial Data Missing ⚠",VLOOKUP(M223,'G-3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1" t="str">
        <f t="shared" si="20"/>
        <v/>
      </c>
      <c r="V223" s="511" t="str">
        <f t="shared" si="21"/>
        <v/>
      </c>
      <c r="W223" s="511"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5" t="str">
        <f>IFERROR(IF(H223="","",IF(H223-S223-T223=0&lt;0,"Error in Areas ▲",IF(S223+T223&gt;H223,"Error in Areas ▲",IF(AND(P223='G-1 All Habitats'!$X$3,Y223="Yes"),"Alternative Compensation",IF(W223=0,0,IF(P223='G-1 All Habitats'!$X$3,"Unacceptable Loss",Q223-U223-V223)))))),"Check Data ⚠")</f>
        <v/>
      </c>
      <c r="Y223" s="72"/>
      <c r="Z223" s="151"/>
      <c r="AA223" s="152"/>
      <c r="AC223" s="251" t="str">
        <f>IF(P223="","",IF(P223='G-1 All Habitats'!$X$3,H223-S223-T223,"None"))</f>
        <v/>
      </c>
      <c r="AD223" s="252"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3"/>
      <c r="F224" s="203"/>
      <c r="G224" s="250" t="str">
        <f>IFERROR(INDEX('G-1 All Habitats'!$B$3:$B$129,MATCH(F224,'G-1 All Habitats'!$A$3:$A$129,0)),"")</f>
        <v/>
      </c>
      <c r="H224" s="172"/>
      <c r="I224" s="498" t="str">
        <f>IF(G224="","",VLOOKUP(G224,'G-1 All Habitats'!$B$2:$M$129,10,FALSE))</f>
        <v/>
      </c>
      <c r="J224" s="499" t="str">
        <f>IFERROR(VLOOKUP(I224,'G-1 All Habitats'!$V$3:$W$7,2,FALSE),"")</f>
        <v/>
      </c>
      <c r="K224" s="145"/>
      <c r="L224" s="499" t="str">
        <f>IFERROR(INDEX('G-8 Condition Look up'!$A$3:$H$130,MATCH(G224,'G-8 Condition Look up'!$A$3:$A$130,0),MATCH(K224,'G-8 Condition Look up'!$A$3:$H$3,0)),"")</f>
        <v/>
      </c>
      <c r="M224" s="154"/>
      <c r="N224" s="520" t="str">
        <f>IF(M224="","",IF(VLOOKUP(M224,'G-3 Multipliers'!$L$3:$N$6,2,FALSE)=0,"Spatial Data Missing ⚠",VLOOKUP(M224,'G-3 Multipliers'!$L$3:$N$6,2,FALSE)))</f>
        <v/>
      </c>
      <c r="O224" s="524" t="str">
        <f>IF(M224="","",IF(VLOOKUP(M224,'G-3 Multipliers'!$L$3:$N$6,3,FALSE)=0,"Spatial Data Missing ⚠",VLOOKUP(M224,'G-3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1" t="str">
        <f t="shared" si="20"/>
        <v/>
      </c>
      <c r="V224" s="511" t="str">
        <f t="shared" si="21"/>
        <v/>
      </c>
      <c r="W224" s="511"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5" t="str">
        <f>IFERROR(IF(H224="","",IF(H224-S224-T224=0&lt;0,"Error in Areas ▲",IF(S224+T224&gt;H224,"Error in Areas ▲",IF(AND(P224='G-1 All Habitats'!$X$3,Y224="Yes"),"Alternative Compensation",IF(W224=0,0,IF(P224='G-1 All Habitats'!$X$3,"Unacceptable Loss",Q224-U224-V224)))))),"Check Data ⚠")</f>
        <v/>
      </c>
      <c r="Y224" s="72"/>
      <c r="Z224" s="151"/>
      <c r="AA224" s="152"/>
      <c r="AC224" s="251" t="str">
        <f>IF(P224="","",IF(P224='G-1 All Habitats'!$X$3,H224-S224-T224,"None"))</f>
        <v/>
      </c>
      <c r="AD224" s="252"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3"/>
      <c r="F225" s="203"/>
      <c r="G225" s="250" t="str">
        <f>IFERROR(INDEX('G-1 All Habitats'!$B$3:$B$129,MATCH(F225,'G-1 All Habitats'!$A$3:$A$129,0)),"")</f>
        <v/>
      </c>
      <c r="H225" s="172"/>
      <c r="I225" s="498" t="str">
        <f>IF(G225="","",VLOOKUP(G225,'G-1 All Habitats'!$B$2:$M$129,10,FALSE))</f>
        <v/>
      </c>
      <c r="J225" s="499" t="str">
        <f>IFERROR(VLOOKUP(I225,'G-1 All Habitats'!$V$3:$W$7,2,FALSE),"")</f>
        <v/>
      </c>
      <c r="K225" s="145"/>
      <c r="L225" s="499" t="str">
        <f>IFERROR(INDEX('G-8 Condition Look up'!$A$3:$H$130,MATCH(G225,'G-8 Condition Look up'!$A$3:$A$130,0),MATCH(K225,'G-8 Condition Look up'!$A$3:$H$3,0)),"")</f>
        <v/>
      </c>
      <c r="M225" s="154"/>
      <c r="N225" s="520" t="str">
        <f>IF(M225="","",IF(VLOOKUP(M225,'G-3 Multipliers'!$L$3:$N$6,2,FALSE)=0,"Spatial Data Missing ⚠",VLOOKUP(M225,'G-3 Multipliers'!$L$3:$N$6,2,FALSE)))</f>
        <v/>
      </c>
      <c r="O225" s="524" t="str">
        <f>IF(M225="","",IF(VLOOKUP(M225,'G-3 Multipliers'!$L$3:$N$6,3,FALSE)=0,"Spatial Data Missing ⚠",VLOOKUP(M225,'G-3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1" t="str">
        <f t="shared" si="20"/>
        <v/>
      </c>
      <c r="V225" s="511" t="str">
        <f t="shared" si="21"/>
        <v/>
      </c>
      <c r="W225" s="511"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5" t="str">
        <f>IFERROR(IF(H225="","",IF(H225-S225-T225=0&lt;0,"Error in Areas ▲",IF(S225+T225&gt;H225,"Error in Areas ▲",IF(AND(P225='G-1 All Habitats'!$X$3,Y225="Yes"),"Alternative Compensation",IF(W225=0,0,IF(P225='G-1 All Habitats'!$X$3,"Unacceptable Loss",Q225-U225-V225)))))),"Check Data ⚠")</f>
        <v/>
      </c>
      <c r="Y225" s="72"/>
      <c r="Z225" s="151"/>
      <c r="AA225" s="152"/>
      <c r="AC225" s="251" t="str">
        <f>IF(P225="","",IF(P225='G-1 All Habitats'!$X$3,H225-S225-T225,"None"))</f>
        <v/>
      </c>
      <c r="AD225" s="252"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3"/>
      <c r="F226" s="203"/>
      <c r="G226" s="250" t="str">
        <f>IFERROR(INDEX('G-1 All Habitats'!$B$3:$B$129,MATCH(F226,'G-1 All Habitats'!$A$3:$A$129,0)),"")</f>
        <v/>
      </c>
      <c r="H226" s="172"/>
      <c r="I226" s="498" t="str">
        <f>IF(G226="","",VLOOKUP(G226,'G-1 All Habitats'!$B$2:$M$129,10,FALSE))</f>
        <v/>
      </c>
      <c r="J226" s="499" t="str">
        <f>IFERROR(VLOOKUP(I226,'G-1 All Habitats'!$V$3:$W$7,2,FALSE),"")</f>
        <v/>
      </c>
      <c r="K226" s="145"/>
      <c r="L226" s="499" t="str">
        <f>IFERROR(INDEX('G-8 Condition Look up'!$A$3:$H$130,MATCH(G226,'G-8 Condition Look up'!$A$3:$A$130,0),MATCH(K226,'G-8 Condition Look up'!$A$3:$H$3,0)),"")</f>
        <v/>
      </c>
      <c r="M226" s="154"/>
      <c r="N226" s="520" t="str">
        <f>IF(M226="","",IF(VLOOKUP(M226,'G-3 Multipliers'!$L$3:$N$6,2,FALSE)=0,"Spatial Data Missing ⚠",VLOOKUP(M226,'G-3 Multipliers'!$L$3:$N$6,2,FALSE)))</f>
        <v/>
      </c>
      <c r="O226" s="524" t="str">
        <f>IF(M226="","",IF(VLOOKUP(M226,'G-3 Multipliers'!$L$3:$N$6,3,FALSE)=0,"Spatial Data Missing ⚠",VLOOKUP(M226,'G-3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1" t="str">
        <f t="shared" si="20"/>
        <v/>
      </c>
      <c r="V226" s="511" t="str">
        <f t="shared" si="21"/>
        <v/>
      </c>
      <c r="W226" s="511"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5" t="str">
        <f>IFERROR(IF(H226="","",IF(H226-S226-T226=0&lt;0,"Error in Areas ▲",IF(S226+T226&gt;H226,"Error in Areas ▲",IF(AND(P226='G-1 All Habitats'!$X$3,Y226="Yes"),"Alternative Compensation",IF(W226=0,0,IF(P226='G-1 All Habitats'!$X$3,"Unacceptable Loss",Q226-U226-V226)))))),"Check Data ⚠")</f>
        <v/>
      </c>
      <c r="Y226" s="72"/>
      <c r="Z226" s="151"/>
      <c r="AA226" s="152"/>
      <c r="AC226" s="251" t="str">
        <f>IF(P226="","",IF(P226='G-1 All Habitats'!$X$3,H226-S226-T226,"None"))</f>
        <v/>
      </c>
      <c r="AD226" s="252"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3"/>
      <c r="F227" s="203"/>
      <c r="G227" s="250" t="str">
        <f>IFERROR(INDEX('G-1 All Habitats'!$B$3:$B$129,MATCH(F227,'G-1 All Habitats'!$A$3:$A$129,0)),"")</f>
        <v/>
      </c>
      <c r="H227" s="172"/>
      <c r="I227" s="498" t="str">
        <f>IF(G227="","",VLOOKUP(G227,'G-1 All Habitats'!$B$2:$M$129,10,FALSE))</f>
        <v/>
      </c>
      <c r="J227" s="499" t="str">
        <f>IFERROR(VLOOKUP(I227,'G-1 All Habitats'!$V$3:$W$7,2,FALSE),"")</f>
        <v/>
      </c>
      <c r="K227" s="145"/>
      <c r="L227" s="499" t="str">
        <f>IFERROR(INDEX('G-8 Condition Look up'!$A$3:$H$130,MATCH(G227,'G-8 Condition Look up'!$A$3:$A$130,0),MATCH(K227,'G-8 Condition Look up'!$A$3:$H$3,0)),"")</f>
        <v/>
      </c>
      <c r="M227" s="154"/>
      <c r="N227" s="520" t="str">
        <f>IF(M227="","",IF(VLOOKUP(M227,'G-3 Multipliers'!$L$3:$N$6,2,FALSE)=0,"Spatial Data Missing ⚠",VLOOKUP(M227,'G-3 Multipliers'!$L$3:$N$6,2,FALSE)))</f>
        <v/>
      </c>
      <c r="O227" s="524" t="str">
        <f>IF(M227="","",IF(VLOOKUP(M227,'G-3 Multipliers'!$L$3:$N$6,3,FALSE)=0,"Spatial Data Missing ⚠",VLOOKUP(M227,'G-3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1" t="str">
        <f t="shared" si="20"/>
        <v/>
      </c>
      <c r="V227" s="511" t="str">
        <f t="shared" si="21"/>
        <v/>
      </c>
      <c r="W227" s="511"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5" t="str">
        <f>IFERROR(IF(H227="","",IF(H227-S227-T227=0&lt;0,"Error in Areas ▲",IF(S227+T227&gt;H227,"Error in Areas ▲",IF(AND(P227='G-1 All Habitats'!$X$3,Y227="Yes"),"Alternative Compensation",IF(W227=0,0,IF(P227='G-1 All Habitats'!$X$3,"Unacceptable Loss",Q227-U227-V227)))))),"Check Data ⚠")</f>
        <v/>
      </c>
      <c r="Y227" s="72"/>
      <c r="Z227" s="151"/>
      <c r="AA227" s="152"/>
      <c r="AC227" s="251" t="str">
        <f>IF(P227="","",IF(P227='G-1 All Habitats'!$X$3,H227-S227-T227,"None"))</f>
        <v/>
      </c>
      <c r="AD227" s="252"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3"/>
      <c r="F228" s="203"/>
      <c r="G228" s="250" t="str">
        <f>IFERROR(INDEX('G-1 All Habitats'!$B$3:$B$129,MATCH(F228,'G-1 All Habitats'!$A$3:$A$129,0)),"")</f>
        <v/>
      </c>
      <c r="H228" s="172"/>
      <c r="I228" s="498" t="str">
        <f>IF(G228="","",VLOOKUP(G228,'G-1 All Habitats'!$B$2:$M$129,10,FALSE))</f>
        <v/>
      </c>
      <c r="J228" s="499" t="str">
        <f>IFERROR(VLOOKUP(I228,'G-1 All Habitats'!$V$3:$W$7,2,FALSE),"")</f>
        <v/>
      </c>
      <c r="K228" s="145"/>
      <c r="L228" s="499" t="str">
        <f>IFERROR(INDEX('G-8 Condition Look up'!$A$3:$H$130,MATCH(G228,'G-8 Condition Look up'!$A$3:$A$130,0),MATCH(K228,'G-8 Condition Look up'!$A$3:$H$3,0)),"")</f>
        <v/>
      </c>
      <c r="M228" s="154"/>
      <c r="N228" s="520" t="str">
        <f>IF(M228="","",IF(VLOOKUP(M228,'G-3 Multipliers'!$L$3:$N$6,2,FALSE)=0,"Spatial Data Missing ⚠",VLOOKUP(M228,'G-3 Multipliers'!$L$3:$N$6,2,FALSE)))</f>
        <v/>
      </c>
      <c r="O228" s="524" t="str">
        <f>IF(M228="","",IF(VLOOKUP(M228,'G-3 Multipliers'!$L$3:$N$6,3,FALSE)=0,"Spatial Data Missing ⚠",VLOOKUP(M228,'G-3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1" t="str">
        <f t="shared" si="20"/>
        <v/>
      </c>
      <c r="V228" s="511" t="str">
        <f t="shared" si="21"/>
        <v/>
      </c>
      <c r="W228" s="511"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5" t="str">
        <f>IFERROR(IF(H228="","",IF(H228-S228-T228=0&lt;0,"Error in Areas ▲",IF(S228+T228&gt;H228,"Error in Areas ▲",IF(AND(P228='G-1 All Habitats'!$X$3,Y228="Yes"),"Alternative Compensation",IF(W228=0,0,IF(P228='G-1 All Habitats'!$X$3,"Unacceptable Loss",Q228-U228-V228)))))),"Check Data ⚠")</f>
        <v/>
      </c>
      <c r="Y228" s="72"/>
      <c r="Z228" s="151"/>
      <c r="AA228" s="152"/>
      <c r="AC228" s="251" t="str">
        <f>IF(P228="","",IF(P228='G-1 All Habitats'!$X$3,H228-S228-T228,"None"))</f>
        <v/>
      </c>
      <c r="AD228" s="252"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3"/>
      <c r="F229" s="203"/>
      <c r="G229" s="250" t="str">
        <f>IFERROR(INDEX('G-1 All Habitats'!$B$3:$B$129,MATCH(F229,'G-1 All Habitats'!$A$3:$A$129,0)),"")</f>
        <v/>
      </c>
      <c r="H229" s="172"/>
      <c r="I229" s="498" t="str">
        <f>IF(G229="","",VLOOKUP(G229,'G-1 All Habitats'!$B$2:$M$129,10,FALSE))</f>
        <v/>
      </c>
      <c r="J229" s="499" t="str">
        <f>IFERROR(VLOOKUP(I229,'G-1 All Habitats'!$V$3:$W$7,2,FALSE),"")</f>
        <v/>
      </c>
      <c r="K229" s="145"/>
      <c r="L229" s="499" t="str">
        <f>IFERROR(INDEX('G-8 Condition Look up'!$A$3:$H$130,MATCH(G229,'G-8 Condition Look up'!$A$3:$A$130,0),MATCH(K229,'G-8 Condition Look up'!$A$3:$H$3,0)),"")</f>
        <v/>
      </c>
      <c r="M229" s="154"/>
      <c r="N229" s="520" t="str">
        <f>IF(M229="","",IF(VLOOKUP(M229,'G-3 Multipliers'!$L$3:$N$6,2,FALSE)=0,"Spatial Data Missing ⚠",VLOOKUP(M229,'G-3 Multipliers'!$L$3:$N$6,2,FALSE)))</f>
        <v/>
      </c>
      <c r="O229" s="524" t="str">
        <f>IF(M229="","",IF(VLOOKUP(M229,'G-3 Multipliers'!$L$3:$N$6,3,FALSE)=0,"Spatial Data Missing ⚠",VLOOKUP(M229,'G-3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1" t="str">
        <f t="shared" si="20"/>
        <v/>
      </c>
      <c r="V229" s="511" t="str">
        <f t="shared" si="21"/>
        <v/>
      </c>
      <c r="W229" s="511"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5" t="str">
        <f>IFERROR(IF(H229="","",IF(H229-S229-T229=0&lt;0,"Error in Areas ▲",IF(S229+T229&gt;H229,"Error in Areas ▲",IF(AND(P229='G-1 All Habitats'!$X$3,Y229="Yes"),"Alternative Compensation",IF(W229=0,0,IF(P229='G-1 All Habitats'!$X$3,"Unacceptable Loss",Q229-U229-V229)))))),"Check Data ⚠")</f>
        <v/>
      </c>
      <c r="Y229" s="72"/>
      <c r="Z229" s="151"/>
      <c r="AA229" s="152"/>
      <c r="AC229" s="251" t="str">
        <f>IF(P229="","",IF(P229='G-1 All Habitats'!$X$3,H229-S229-T229,"None"))</f>
        <v/>
      </c>
      <c r="AD229" s="252"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3"/>
      <c r="F230" s="203"/>
      <c r="G230" s="250" t="str">
        <f>IFERROR(INDEX('G-1 All Habitats'!$B$3:$B$129,MATCH(F230,'G-1 All Habitats'!$A$3:$A$129,0)),"")</f>
        <v/>
      </c>
      <c r="H230" s="172"/>
      <c r="I230" s="498" t="str">
        <f>IF(G230="","",VLOOKUP(G230,'G-1 All Habitats'!$B$2:$M$129,10,FALSE))</f>
        <v/>
      </c>
      <c r="J230" s="499" t="str">
        <f>IFERROR(VLOOKUP(I230,'G-1 All Habitats'!$V$3:$W$7,2,FALSE),"")</f>
        <v/>
      </c>
      <c r="K230" s="145"/>
      <c r="L230" s="499" t="str">
        <f>IFERROR(INDEX('G-8 Condition Look up'!$A$3:$H$130,MATCH(G230,'G-8 Condition Look up'!$A$3:$A$130,0),MATCH(K230,'G-8 Condition Look up'!$A$3:$H$3,0)),"")</f>
        <v/>
      </c>
      <c r="M230" s="154"/>
      <c r="N230" s="520" t="str">
        <f>IF(M230="","",IF(VLOOKUP(M230,'G-3 Multipliers'!$L$3:$N$6,2,FALSE)=0,"Spatial Data Missing ⚠",VLOOKUP(M230,'G-3 Multipliers'!$L$3:$N$6,2,FALSE)))</f>
        <v/>
      </c>
      <c r="O230" s="524" t="str">
        <f>IF(M230="","",IF(VLOOKUP(M230,'G-3 Multipliers'!$L$3:$N$6,3,FALSE)=0,"Spatial Data Missing ⚠",VLOOKUP(M230,'G-3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1" t="str">
        <f t="shared" si="20"/>
        <v/>
      </c>
      <c r="V230" s="511" t="str">
        <f t="shared" si="21"/>
        <v/>
      </c>
      <c r="W230" s="511"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5" t="str">
        <f>IFERROR(IF(H230="","",IF(H230-S230-T230=0&lt;0,"Error in Areas ▲",IF(S230+T230&gt;H230,"Error in Areas ▲",IF(AND(P230='G-1 All Habitats'!$X$3,Y230="Yes"),"Alternative Compensation",IF(W230=0,0,IF(P230='G-1 All Habitats'!$X$3,"Unacceptable Loss",Q230-U230-V230)))))),"Check Data ⚠")</f>
        <v/>
      </c>
      <c r="Y230" s="72"/>
      <c r="Z230" s="151"/>
      <c r="AA230" s="152"/>
      <c r="AC230" s="251" t="str">
        <f>IF(P230="","",IF(P230='G-1 All Habitats'!$X$3,H230-S230-T230,"None"))</f>
        <v/>
      </c>
      <c r="AD230" s="252"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3"/>
      <c r="F231" s="203"/>
      <c r="G231" s="250" t="str">
        <f>IFERROR(INDEX('G-1 All Habitats'!$B$3:$B$129,MATCH(F231,'G-1 All Habitats'!$A$3:$A$129,0)),"")</f>
        <v/>
      </c>
      <c r="H231" s="172"/>
      <c r="I231" s="498" t="str">
        <f>IF(G231="","",VLOOKUP(G231,'G-1 All Habitats'!$B$2:$M$129,10,FALSE))</f>
        <v/>
      </c>
      <c r="J231" s="499" t="str">
        <f>IFERROR(VLOOKUP(I231,'G-1 All Habitats'!$V$3:$W$7,2,FALSE),"")</f>
        <v/>
      </c>
      <c r="K231" s="145"/>
      <c r="L231" s="499" t="str">
        <f>IFERROR(INDEX('G-8 Condition Look up'!$A$3:$H$130,MATCH(G231,'G-8 Condition Look up'!$A$3:$A$130,0),MATCH(K231,'G-8 Condition Look up'!$A$3:$H$3,0)),"")</f>
        <v/>
      </c>
      <c r="M231" s="154"/>
      <c r="N231" s="520" t="str">
        <f>IF(M231="","",IF(VLOOKUP(M231,'G-3 Multipliers'!$L$3:$N$6,2,FALSE)=0,"Spatial Data Missing ⚠",VLOOKUP(M231,'G-3 Multipliers'!$L$3:$N$6,2,FALSE)))</f>
        <v/>
      </c>
      <c r="O231" s="524" t="str">
        <f>IF(M231="","",IF(VLOOKUP(M231,'G-3 Multipliers'!$L$3:$N$6,3,FALSE)=0,"Spatial Data Missing ⚠",VLOOKUP(M231,'G-3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1" t="str">
        <f t="shared" si="20"/>
        <v/>
      </c>
      <c r="V231" s="511" t="str">
        <f t="shared" si="21"/>
        <v/>
      </c>
      <c r="W231" s="511"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5" t="str">
        <f>IFERROR(IF(H231="","",IF(H231-S231-T231=0&lt;0,"Error in Areas ▲",IF(S231+T231&gt;H231,"Error in Areas ▲",IF(AND(P231='G-1 All Habitats'!$X$3,Y231="Yes"),"Alternative Compensation",IF(W231=0,0,IF(P231='G-1 All Habitats'!$X$3,"Unacceptable Loss",Q231-U231-V231)))))),"Check Data ⚠")</f>
        <v/>
      </c>
      <c r="Y231" s="72"/>
      <c r="Z231" s="151"/>
      <c r="AA231" s="152"/>
      <c r="AC231" s="251" t="str">
        <f>IF(P231="","",IF(P231='G-1 All Habitats'!$X$3,H231-S231-T231,"None"))</f>
        <v/>
      </c>
      <c r="AD231" s="252"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3"/>
      <c r="F232" s="203"/>
      <c r="G232" s="250" t="str">
        <f>IFERROR(INDEX('G-1 All Habitats'!$B$3:$B$129,MATCH(F232,'G-1 All Habitats'!$A$3:$A$129,0)),"")</f>
        <v/>
      </c>
      <c r="H232" s="172"/>
      <c r="I232" s="498" t="str">
        <f>IF(G232="","",VLOOKUP(G232,'G-1 All Habitats'!$B$2:$M$129,10,FALSE))</f>
        <v/>
      </c>
      <c r="J232" s="499" t="str">
        <f>IFERROR(VLOOKUP(I232,'G-1 All Habitats'!$V$3:$W$7,2,FALSE),"")</f>
        <v/>
      </c>
      <c r="K232" s="145"/>
      <c r="L232" s="499" t="str">
        <f>IFERROR(INDEX('G-8 Condition Look up'!$A$3:$H$130,MATCH(G232,'G-8 Condition Look up'!$A$3:$A$130,0),MATCH(K232,'G-8 Condition Look up'!$A$3:$H$3,0)),"")</f>
        <v/>
      </c>
      <c r="M232" s="154"/>
      <c r="N232" s="520" t="str">
        <f>IF(M232="","",IF(VLOOKUP(M232,'G-3 Multipliers'!$L$3:$N$6,2,FALSE)=0,"Spatial Data Missing ⚠",VLOOKUP(M232,'G-3 Multipliers'!$L$3:$N$6,2,FALSE)))</f>
        <v/>
      </c>
      <c r="O232" s="524" t="str">
        <f>IF(M232="","",IF(VLOOKUP(M232,'G-3 Multipliers'!$L$3:$N$6,3,FALSE)=0,"Spatial Data Missing ⚠",VLOOKUP(M232,'G-3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1" t="str">
        <f t="shared" si="20"/>
        <v/>
      </c>
      <c r="V232" s="511" t="str">
        <f t="shared" si="21"/>
        <v/>
      </c>
      <c r="W232" s="511"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5" t="str">
        <f>IFERROR(IF(H232="","",IF(H232-S232-T232=0&lt;0,"Error in Areas ▲",IF(S232+T232&gt;H232,"Error in Areas ▲",IF(AND(P232='G-1 All Habitats'!$X$3,Y232="Yes"),"Alternative Compensation",IF(W232=0,0,IF(P232='G-1 All Habitats'!$X$3,"Unacceptable Loss",Q232-U232-V232)))))),"Check Data ⚠")</f>
        <v/>
      </c>
      <c r="Y232" s="72"/>
      <c r="Z232" s="151"/>
      <c r="AA232" s="152"/>
      <c r="AC232" s="251" t="str">
        <f>IF(P232="","",IF(P232='G-1 All Habitats'!$X$3,H232-S232-T232,"None"))</f>
        <v/>
      </c>
      <c r="AD232" s="252"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3"/>
      <c r="F233" s="203"/>
      <c r="G233" s="250" t="str">
        <f>IFERROR(INDEX('G-1 All Habitats'!$B$3:$B$129,MATCH(F233,'G-1 All Habitats'!$A$3:$A$129,0)),"")</f>
        <v/>
      </c>
      <c r="H233" s="172"/>
      <c r="I233" s="498" t="str">
        <f>IF(G233="","",VLOOKUP(G233,'G-1 All Habitats'!$B$2:$M$129,10,FALSE))</f>
        <v/>
      </c>
      <c r="J233" s="499" t="str">
        <f>IFERROR(VLOOKUP(I233,'G-1 All Habitats'!$V$3:$W$7,2,FALSE),"")</f>
        <v/>
      </c>
      <c r="K233" s="145"/>
      <c r="L233" s="499" t="str">
        <f>IFERROR(INDEX('G-8 Condition Look up'!$A$3:$H$130,MATCH(G233,'G-8 Condition Look up'!$A$3:$A$130,0),MATCH(K233,'G-8 Condition Look up'!$A$3:$H$3,0)),"")</f>
        <v/>
      </c>
      <c r="M233" s="154"/>
      <c r="N233" s="520" t="str">
        <f>IF(M233="","",IF(VLOOKUP(M233,'G-3 Multipliers'!$L$3:$N$6,2,FALSE)=0,"Spatial Data Missing ⚠",VLOOKUP(M233,'G-3 Multipliers'!$L$3:$N$6,2,FALSE)))</f>
        <v/>
      </c>
      <c r="O233" s="524" t="str">
        <f>IF(M233="","",IF(VLOOKUP(M233,'G-3 Multipliers'!$L$3:$N$6,3,FALSE)=0,"Spatial Data Missing ⚠",VLOOKUP(M233,'G-3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1" t="str">
        <f t="shared" si="20"/>
        <v/>
      </c>
      <c r="V233" s="511" t="str">
        <f t="shared" si="21"/>
        <v/>
      </c>
      <c r="W233" s="511"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5" t="str">
        <f>IFERROR(IF(H233="","",IF(H233-S233-T233=0&lt;0,"Error in Areas ▲",IF(S233+T233&gt;H233,"Error in Areas ▲",IF(AND(P233='G-1 All Habitats'!$X$3,Y233="Yes"),"Alternative Compensation",IF(W233=0,0,IF(P233='G-1 All Habitats'!$X$3,"Unacceptable Loss",Q233-U233-V233)))))),"Check Data ⚠")</f>
        <v/>
      </c>
      <c r="Y233" s="72"/>
      <c r="Z233" s="151"/>
      <c r="AA233" s="152"/>
      <c r="AC233" s="251" t="str">
        <f>IF(P233="","",IF(P233='G-1 All Habitats'!$X$3,H233-S233-T233,"None"))</f>
        <v/>
      </c>
      <c r="AD233" s="252"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3"/>
      <c r="F234" s="203"/>
      <c r="G234" s="250" t="str">
        <f>IFERROR(INDEX('G-1 All Habitats'!$B$3:$B$129,MATCH(F234,'G-1 All Habitats'!$A$3:$A$129,0)),"")</f>
        <v/>
      </c>
      <c r="H234" s="172"/>
      <c r="I234" s="498" t="str">
        <f>IF(G234="","",VLOOKUP(G234,'G-1 All Habitats'!$B$2:$M$129,10,FALSE))</f>
        <v/>
      </c>
      <c r="J234" s="499" t="str">
        <f>IFERROR(VLOOKUP(I234,'G-1 All Habitats'!$V$3:$W$7,2,FALSE),"")</f>
        <v/>
      </c>
      <c r="K234" s="145"/>
      <c r="L234" s="499" t="str">
        <f>IFERROR(INDEX('G-8 Condition Look up'!$A$3:$H$130,MATCH(G234,'G-8 Condition Look up'!$A$3:$A$130,0),MATCH(K234,'G-8 Condition Look up'!$A$3:$H$3,0)),"")</f>
        <v/>
      </c>
      <c r="M234" s="154"/>
      <c r="N234" s="520" t="str">
        <f>IF(M234="","",IF(VLOOKUP(M234,'G-3 Multipliers'!$L$3:$N$6,2,FALSE)=0,"Spatial Data Missing ⚠",VLOOKUP(M234,'G-3 Multipliers'!$L$3:$N$6,2,FALSE)))</f>
        <v/>
      </c>
      <c r="O234" s="524" t="str">
        <f>IF(M234="","",IF(VLOOKUP(M234,'G-3 Multipliers'!$L$3:$N$6,3,FALSE)=0,"Spatial Data Missing ⚠",VLOOKUP(M234,'G-3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1" t="str">
        <f t="shared" si="20"/>
        <v/>
      </c>
      <c r="V234" s="511" t="str">
        <f t="shared" si="21"/>
        <v/>
      </c>
      <c r="W234" s="511"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5" t="str">
        <f>IFERROR(IF(H234="","",IF(H234-S234-T234=0&lt;0,"Error in Areas ▲",IF(S234+T234&gt;H234,"Error in Areas ▲",IF(AND(P234='G-1 All Habitats'!$X$3,Y234="Yes"),"Alternative Compensation",IF(W234=0,0,IF(P234='G-1 All Habitats'!$X$3,"Unacceptable Loss",Q234-U234-V234)))))),"Check Data ⚠")</f>
        <v/>
      </c>
      <c r="Y234" s="72"/>
      <c r="Z234" s="151"/>
      <c r="AA234" s="152"/>
      <c r="AC234" s="251" t="str">
        <f>IF(P234="","",IF(P234='G-1 All Habitats'!$X$3,H234-S234-T234,"None"))</f>
        <v/>
      </c>
      <c r="AD234" s="252"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3"/>
      <c r="F235" s="203"/>
      <c r="G235" s="250" t="str">
        <f>IFERROR(INDEX('G-1 All Habitats'!$B$3:$B$129,MATCH(F235,'G-1 All Habitats'!$A$3:$A$129,0)),"")</f>
        <v/>
      </c>
      <c r="H235" s="172"/>
      <c r="I235" s="498" t="str">
        <f>IF(G235="","",VLOOKUP(G235,'G-1 All Habitats'!$B$2:$M$129,10,FALSE))</f>
        <v/>
      </c>
      <c r="J235" s="499" t="str">
        <f>IFERROR(VLOOKUP(I235,'G-1 All Habitats'!$V$3:$W$7,2,FALSE),"")</f>
        <v/>
      </c>
      <c r="K235" s="145"/>
      <c r="L235" s="499" t="str">
        <f>IFERROR(INDEX('G-8 Condition Look up'!$A$3:$H$130,MATCH(G235,'G-8 Condition Look up'!$A$3:$A$130,0),MATCH(K235,'G-8 Condition Look up'!$A$3:$H$3,0)),"")</f>
        <v/>
      </c>
      <c r="M235" s="154"/>
      <c r="N235" s="520" t="str">
        <f>IF(M235="","",IF(VLOOKUP(M235,'G-3 Multipliers'!$L$3:$N$6,2,FALSE)=0,"Spatial Data Missing ⚠",VLOOKUP(M235,'G-3 Multipliers'!$L$3:$N$6,2,FALSE)))</f>
        <v/>
      </c>
      <c r="O235" s="524" t="str">
        <f>IF(M235="","",IF(VLOOKUP(M235,'G-3 Multipliers'!$L$3:$N$6,3,FALSE)=0,"Spatial Data Missing ⚠",VLOOKUP(M235,'G-3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1" t="str">
        <f t="shared" si="20"/>
        <v/>
      </c>
      <c r="V235" s="511" t="str">
        <f t="shared" si="21"/>
        <v/>
      </c>
      <c r="W235" s="511"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5" t="str">
        <f>IFERROR(IF(H235="","",IF(H235-S235-T235=0&lt;0,"Error in Areas ▲",IF(S235+T235&gt;H235,"Error in Areas ▲",IF(AND(P235='G-1 All Habitats'!$X$3,Y235="Yes"),"Alternative Compensation",IF(W235=0,0,IF(P235='G-1 All Habitats'!$X$3,"Unacceptable Loss",Q235-U235-V235)))))),"Check Data ⚠")</f>
        <v/>
      </c>
      <c r="Y235" s="72"/>
      <c r="Z235" s="151"/>
      <c r="AA235" s="152"/>
      <c r="AC235" s="251" t="str">
        <f>IF(P235="","",IF(P235='G-1 All Habitats'!$X$3,H235-S235-T235,"None"))</f>
        <v/>
      </c>
      <c r="AD235" s="252"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3"/>
      <c r="F236" s="203"/>
      <c r="G236" s="250" t="str">
        <f>IFERROR(INDEX('G-1 All Habitats'!$B$3:$B$129,MATCH(F236,'G-1 All Habitats'!$A$3:$A$129,0)),"")</f>
        <v/>
      </c>
      <c r="H236" s="172"/>
      <c r="I236" s="498" t="str">
        <f>IF(G236="","",VLOOKUP(G236,'G-1 All Habitats'!$B$2:$M$129,10,FALSE))</f>
        <v/>
      </c>
      <c r="J236" s="499" t="str">
        <f>IFERROR(VLOOKUP(I236,'G-1 All Habitats'!$V$3:$W$7,2,FALSE),"")</f>
        <v/>
      </c>
      <c r="K236" s="145"/>
      <c r="L236" s="499" t="str">
        <f>IFERROR(INDEX('G-8 Condition Look up'!$A$3:$H$130,MATCH(G236,'G-8 Condition Look up'!$A$3:$A$130,0),MATCH(K236,'G-8 Condition Look up'!$A$3:$H$3,0)),"")</f>
        <v/>
      </c>
      <c r="M236" s="154"/>
      <c r="N236" s="520" t="str">
        <f>IF(M236="","",IF(VLOOKUP(M236,'G-3 Multipliers'!$L$3:$N$6,2,FALSE)=0,"Spatial Data Missing ⚠",VLOOKUP(M236,'G-3 Multipliers'!$L$3:$N$6,2,FALSE)))</f>
        <v/>
      </c>
      <c r="O236" s="524" t="str">
        <f>IF(M236="","",IF(VLOOKUP(M236,'G-3 Multipliers'!$L$3:$N$6,3,FALSE)=0,"Spatial Data Missing ⚠",VLOOKUP(M236,'G-3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1" t="str">
        <f t="shared" si="20"/>
        <v/>
      </c>
      <c r="V236" s="511" t="str">
        <f t="shared" si="21"/>
        <v/>
      </c>
      <c r="W236" s="511"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5" t="str">
        <f>IFERROR(IF(H236="","",IF(H236-S236-T236=0&lt;0,"Error in Areas ▲",IF(S236+T236&gt;H236,"Error in Areas ▲",IF(AND(P236='G-1 All Habitats'!$X$3,Y236="Yes"),"Alternative Compensation",IF(W236=0,0,IF(P236='G-1 All Habitats'!$X$3,"Unacceptable Loss",Q236-U236-V236)))))),"Check Data ⚠")</f>
        <v/>
      </c>
      <c r="Y236" s="72"/>
      <c r="Z236" s="151"/>
      <c r="AA236" s="152"/>
      <c r="AC236" s="251" t="str">
        <f>IF(P236="","",IF(P236='G-1 All Habitats'!$X$3,H236-S236-T236,"None"))</f>
        <v/>
      </c>
      <c r="AD236" s="252"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3"/>
      <c r="F237" s="203"/>
      <c r="G237" s="250" t="str">
        <f>IFERROR(INDEX('G-1 All Habitats'!$B$3:$B$129,MATCH(F237,'G-1 All Habitats'!$A$3:$A$129,0)),"")</f>
        <v/>
      </c>
      <c r="H237" s="172"/>
      <c r="I237" s="498" t="str">
        <f>IF(G237="","",VLOOKUP(G237,'G-1 All Habitats'!$B$2:$M$129,10,FALSE))</f>
        <v/>
      </c>
      <c r="J237" s="499" t="str">
        <f>IFERROR(VLOOKUP(I237,'G-1 All Habitats'!$V$3:$W$7,2,FALSE),"")</f>
        <v/>
      </c>
      <c r="K237" s="145"/>
      <c r="L237" s="499" t="str">
        <f>IFERROR(INDEX('G-8 Condition Look up'!$A$3:$H$130,MATCH(G237,'G-8 Condition Look up'!$A$3:$A$130,0),MATCH(K237,'G-8 Condition Look up'!$A$3:$H$3,0)),"")</f>
        <v/>
      </c>
      <c r="M237" s="154"/>
      <c r="N237" s="520" t="str">
        <f>IF(M237="","",IF(VLOOKUP(M237,'G-3 Multipliers'!$L$3:$N$6,2,FALSE)=0,"Spatial Data Missing ⚠",VLOOKUP(M237,'G-3 Multipliers'!$L$3:$N$6,2,FALSE)))</f>
        <v/>
      </c>
      <c r="O237" s="524" t="str">
        <f>IF(M237="","",IF(VLOOKUP(M237,'G-3 Multipliers'!$L$3:$N$6,3,FALSE)=0,"Spatial Data Missing ⚠",VLOOKUP(M237,'G-3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1" t="str">
        <f t="shared" si="20"/>
        <v/>
      </c>
      <c r="V237" s="511" t="str">
        <f t="shared" si="21"/>
        <v/>
      </c>
      <c r="W237" s="511"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5" t="str">
        <f>IFERROR(IF(H237="","",IF(H237-S237-T237=0&lt;0,"Error in Areas ▲",IF(S237+T237&gt;H237,"Error in Areas ▲",IF(AND(P237='G-1 All Habitats'!$X$3,Y237="Yes"),"Alternative Compensation",IF(W237=0,0,IF(P237='G-1 All Habitats'!$X$3,"Unacceptable Loss",Q237-U237-V237)))))),"Check Data ⚠")</f>
        <v/>
      </c>
      <c r="Y237" s="72"/>
      <c r="Z237" s="151"/>
      <c r="AA237" s="152"/>
      <c r="AC237" s="251" t="str">
        <f>IF(P237="","",IF(P237='G-1 All Habitats'!$X$3,H237-S237-T237,"None"))</f>
        <v/>
      </c>
      <c r="AD237" s="252"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3"/>
      <c r="F238" s="203"/>
      <c r="G238" s="250" t="str">
        <f>IFERROR(INDEX('G-1 All Habitats'!$B$3:$B$129,MATCH(F238,'G-1 All Habitats'!$A$3:$A$129,0)),"")</f>
        <v/>
      </c>
      <c r="H238" s="172"/>
      <c r="I238" s="498" t="str">
        <f>IF(G238="","",VLOOKUP(G238,'G-1 All Habitats'!$B$2:$M$129,10,FALSE))</f>
        <v/>
      </c>
      <c r="J238" s="499" t="str">
        <f>IFERROR(VLOOKUP(I238,'G-1 All Habitats'!$V$3:$W$7,2,FALSE),"")</f>
        <v/>
      </c>
      <c r="K238" s="145"/>
      <c r="L238" s="499" t="str">
        <f>IFERROR(INDEX('G-8 Condition Look up'!$A$3:$H$130,MATCH(G238,'G-8 Condition Look up'!$A$3:$A$130,0),MATCH(K238,'G-8 Condition Look up'!$A$3:$H$3,0)),"")</f>
        <v/>
      </c>
      <c r="M238" s="154"/>
      <c r="N238" s="520" t="str">
        <f>IF(M238="","",IF(VLOOKUP(M238,'G-3 Multipliers'!$L$3:$N$6,2,FALSE)=0,"Spatial Data Missing ⚠",VLOOKUP(M238,'G-3 Multipliers'!$L$3:$N$6,2,FALSE)))</f>
        <v/>
      </c>
      <c r="O238" s="524" t="str">
        <f>IF(M238="","",IF(VLOOKUP(M238,'G-3 Multipliers'!$L$3:$N$6,3,FALSE)=0,"Spatial Data Missing ⚠",VLOOKUP(M238,'G-3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1" t="str">
        <f t="shared" si="20"/>
        <v/>
      </c>
      <c r="V238" s="511" t="str">
        <f t="shared" si="21"/>
        <v/>
      </c>
      <c r="W238" s="511"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5" t="str">
        <f>IFERROR(IF(H238="","",IF(H238-S238-T238=0&lt;0,"Error in Areas ▲",IF(S238+T238&gt;H238,"Error in Areas ▲",IF(AND(P238='G-1 All Habitats'!$X$3,Y238="Yes"),"Alternative Compensation",IF(W238=0,0,IF(P238='G-1 All Habitats'!$X$3,"Unacceptable Loss",Q238-U238-V238)))))),"Check Data ⚠")</f>
        <v/>
      </c>
      <c r="Y238" s="72"/>
      <c r="Z238" s="151"/>
      <c r="AA238" s="152"/>
      <c r="AC238" s="251" t="str">
        <f>IF(P238="","",IF(P238='G-1 All Habitats'!$X$3,H238-S238-T238,"None"))</f>
        <v/>
      </c>
      <c r="AD238" s="252"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3"/>
      <c r="F239" s="203"/>
      <c r="G239" s="250" t="str">
        <f>IFERROR(INDEX('G-1 All Habitats'!$B$3:$B$129,MATCH(F239,'G-1 All Habitats'!$A$3:$A$129,0)),"")</f>
        <v/>
      </c>
      <c r="H239" s="172"/>
      <c r="I239" s="498" t="str">
        <f>IF(G239="","",VLOOKUP(G239,'G-1 All Habitats'!$B$2:$M$129,10,FALSE))</f>
        <v/>
      </c>
      <c r="J239" s="499" t="str">
        <f>IFERROR(VLOOKUP(I239,'G-1 All Habitats'!$V$3:$W$7,2,FALSE),"")</f>
        <v/>
      </c>
      <c r="K239" s="145"/>
      <c r="L239" s="499" t="str">
        <f>IFERROR(INDEX('G-8 Condition Look up'!$A$3:$H$130,MATCH(G239,'G-8 Condition Look up'!$A$3:$A$130,0),MATCH(K239,'G-8 Condition Look up'!$A$3:$H$3,0)),"")</f>
        <v/>
      </c>
      <c r="M239" s="154"/>
      <c r="N239" s="520" t="str">
        <f>IF(M239="","",IF(VLOOKUP(M239,'G-3 Multipliers'!$L$3:$N$6,2,FALSE)=0,"Spatial Data Missing ⚠",VLOOKUP(M239,'G-3 Multipliers'!$L$3:$N$6,2,FALSE)))</f>
        <v/>
      </c>
      <c r="O239" s="524" t="str">
        <f>IF(M239="","",IF(VLOOKUP(M239,'G-3 Multipliers'!$L$3:$N$6,3,FALSE)=0,"Spatial Data Missing ⚠",VLOOKUP(M239,'G-3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1" t="str">
        <f t="shared" si="20"/>
        <v/>
      </c>
      <c r="V239" s="511" t="str">
        <f t="shared" si="21"/>
        <v/>
      </c>
      <c r="W239" s="511"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5" t="str">
        <f>IFERROR(IF(H239="","",IF(H239-S239-T239=0&lt;0,"Error in Areas ▲",IF(S239+T239&gt;H239,"Error in Areas ▲",IF(AND(P239='G-1 All Habitats'!$X$3,Y239="Yes"),"Alternative Compensation",IF(W239=0,0,IF(P239='G-1 All Habitats'!$X$3,"Unacceptable Loss",Q239-U239-V239)))))),"Check Data ⚠")</f>
        <v/>
      </c>
      <c r="Y239" s="72"/>
      <c r="Z239" s="151"/>
      <c r="AA239" s="152"/>
      <c r="AC239" s="251" t="str">
        <f>IF(P239="","",IF(P239='G-1 All Habitats'!$X$3,H239-S239-T239,"None"))</f>
        <v/>
      </c>
      <c r="AD239" s="252"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3"/>
      <c r="F240" s="203"/>
      <c r="G240" s="250" t="str">
        <f>IFERROR(INDEX('G-1 All Habitats'!$B$3:$B$129,MATCH(F240,'G-1 All Habitats'!$A$3:$A$129,0)),"")</f>
        <v/>
      </c>
      <c r="H240" s="172"/>
      <c r="I240" s="498" t="str">
        <f>IF(G240="","",VLOOKUP(G240,'G-1 All Habitats'!$B$2:$M$129,10,FALSE))</f>
        <v/>
      </c>
      <c r="J240" s="499" t="str">
        <f>IFERROR(VLOOKUP(I240,'G-1 All Habitats'!$V$3:$W$7,2,FALSE),"")</f>
        <v/>
      </c>
      <c r="K240" s="145"/>
      <c r="L240" s="499" t="str">
        <f>IFERROR(INDEX('G-8 Condition Look up'!$A$3:$H$130,MATCH(G240,'G-8 Condition Look up'!$A$3:$A$130,0),MATCH(K240,'G-8 Condition Look up'!$A$3:$H$3,0)),"")</f>
        <v/>
      </c>
      <c r="M240" s="154"/>
      <c r="N240" s="520" t="str">
        <f>IF(M240="","",IF(VLOOKUP(M240,'G-3 Multipliers'!$L$3:$N$6,2,FALSE)=0,"Spatial Data Missing ⚠",VLOOKUP(M240,'G-3 Multipliers'!$L$3:$N$6,2,FALSE)))</f>
        <v/>
      </c>
      <c r="O240" s="524" t="str">
        <f>IF(M240="","",IF(VLOOKUP(M240,'G-3 Multipliers'!$L$3:$N$6,3,FALSE)=0,"Spatial Data Missing ⚠",VLOOKUP(M240,'G-3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1" t="str">
        <f t="shared" si="20"/>
        <v/>
      </c>
      <c r="V240" s="511" t="str">
        <f t="shared" si="21"/>
        <v/>
      </c>
      <c r="W240" s="511"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5" t="str">
        <f>IFERROR(IF(H240="","",IF(H240-S240-T240=0&lt;0,"Error in Areas ▲",IF(S240+T240&gt;H240,"Error in Areas ▲",IF(AND(P240='G-1 All Habitats'!$X$3,Y240="Yes"),"Alternative Compensation",IF(W240=0,0,IF(P240='G-1 All Habitats'!$X$3,"Unacceptable Loss",Q240-U240-V240)))))),"Check Data ⚠")</f>
        <v/>
      </c>
      <c r="Y240" s="72"/>
      <c r="Z240" s="151"/>
      <c r="AA240" s="152"/>
      <c r="AC240" s="251" t="str">
        <f>IF(P240="","",IF(P240='G-1 All Habitats'!$X$3,H240-S240-T240,"None"))</f>
        <v/>
      </c>
      <c r="AD240" s="252"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3"/>
      <c r="F241" s="203"/>
      <c r="G241" s="250" t="str">
        <f>IFERROR(INDEX('G-1 All Habitats'!$B$3:$B$129,MATCH(F241,'G-1 All Habitats'!$A$3:$A$129,0)),"")</f>
        <v/>
      </c>
      <c r="H241" s="172"/>
      <c r="I241" s="498" t="str">
        <f>IF(G241="","",VLOOKUP(G241,'G-1 All Habitats'!$B$2:$M$129,10,FALSE))</f>
        <v/>
      </c>
      <c r="J241" s="499" t="str">
        <f>IFERROR(VLOOKUP(I241,'G-1 All Habitats'!$V$3:$W$7,2,FALSE),"")</f>
        <v/>
      </c>
      <c r="K241" s="145"/>
      <c r="L241" s="499" t="str">
        <f>IFERROR(INDEX('G-8 Condition Look up'!$A$3:$H$130,MATCH(G241,'G-8 Condition Look up'!$A$3:$A$130,0),MATCH(K241,'G-8 Condition Look up'!$A$3:$H$3,0)),"")</f>
        <v/>
      </c>
      <c r="M241" s="154"/>
      <c r="N241" s="520" t="str">
        <f>IF(M241="","",IF(VLOOKUP(M241,'G-3 Multipliers'!$L$3:$N$6,2,FALSE)=0,"Spatial Data Missing ⚠",VLOOKUP(M241,'G-3 Multipliers'!$L$3:$N$6,2,FALSE)))</f>
        <v/>
      </c>
      <c r="O241" s="524" t="str">
        <f>IF(M241="","",IF(VLOOKUP(M241,'G-3 Multipliers'!$L$3:$N$6,3,FALSE)=0,"Spatial Data Missing ⚠",VLOOKUP(M241,'G-3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1" t="str">
        <f t="shared" si="20"/>
        <v/>
      </c>
      <c r="V241" s="511" t="str">
        <f t="shared" si="21"/>
        <v/>
      </c>
      <c r="W241" s="511"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5" t="str">
        <f>IFERROR(IF(H241="","",IF(H241-S241-T241=0&lt;0,"Error in Areas ▲",IF(S241+T241&gt;H241,"Error in Areas ▲",IF(AND(P241='G-1 All Habitats'!$X$3,Y241="Yes"),"Alternative Compensation",IF(W241=0,0,IF(P241='G-1 All Habitats'!$X$3,"Unacceptable Loss",Q241-U241-V241)))))),"Check Data ⚠")</f>
        <v/>
      </c>
      <c r="Y241" s="72"/>
      <c r="Z241" s="151"/>
      <c r="AA241" s="152"/>
      <c r="AC241" s="251" t="str">
        <f>IF(P241="","",IF(P241='G-1 All Habitats'!$X$3,H241-S241-T241,"None"))</f>
        <v/>
      </c>
      <c r="AD241" s="252"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3"/>
      <c r="F242" s="203"/>
      <c r="G242" s="250" t="str">
        <f>IFERROR(INDEX('G-1 All Habitats'!$B$3:$B$129,MATCH(F242,'G-1 All Habitats'!$A$3:$A$129,0)),"")</f>
        <v/>
      </c>
      <c r="H242" s="172"/>
      <c r="I242" s="498" t="str">
        <f>IF(G242="","",VLOOKUP(G242,'G-1 All Habitats'!$B$2:$M$129,10,FALSE))</f>
        <v/>
      </c>
      <c r="J242" s="499" t="str">
        <f>IFERROR(VLOOKUP(I242,'G-1 All Habitats'!$V$3:$W$7,2,FALSE),"")</f>
        <v/>
      </c>
      <c r="K242" s="145"/>
      <c r="L242" s="499" t="str">
        <f>IFERROR(INDEX('G-8 Condition Look up'!$A$3:$H$130,MATCH(G242,'G-8 Condition Look up'!$A$3:$A$130,0),MATCH(K242,'G-8 Condition Look up'!$A$3:$H$3,0)),"")</f>
        <v/>
      </c>
      <c r="M242" s="154"/>
      <c r="N242" s="520" t="str">
        <f>IF(M242="","",IF(VLOOKUP(M242,'G-3 Multipliers'!$L$3:$N$6,2,FALSE)=0,"Spatial Data Missing ⚠",VLOOKUP(M242,'G-3 Multipliers'!$L$3:$N$6,2,FALSE)))</f>
        <v/>
      </c>
      <c r="O242" s="524" t="str">
        <f>IF(M242="","",IF(VLOOKUP(M242,'G-3 Multipliers'!$L$3:$N$6,3,FALSE)=0,"Spatial Data Missing ⚠",VLOOKUP(M242,'G-3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1" t="str">
        <f t="shared" si="20"/>
        <v/>
      </c>
      <c r="V242" s="511" t="str">
        <f t="shared" si="21"/>
        <v/>
      </c>
      <c r="W242" s="511"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5" t="str">
        <f>IFERROR(IF(H242="","",IF(H242-S242-T242=0&lt;0,"Error in Areas ▲",IF(S242+T242&gt;H242,"Error in Areas ▲",IF(AND(P242='G-1 All Habitats'!$X$3,Y242="Yes"),"Alternative Compensation",IF(W242=0,0,IF(P242='G-1 All Habitats'!$X$3,"Unacceptable Loss",Q242-U242-V242)))))),"Check Data ⚠")</f>
        <v/>
      </c>
      <c r="Y242" s="72"/>
      <c r="Z242" s="151"/>
      <c r="AA242" s="152"/>
      <c r="AC242" s="251" t="str">
        <f>IF(P242="","",IF(P242='G-1 All Habitats'!$X$3,H242-S242-T242,"None"))</f>
        <v/>
      </c>
      <c r="AD242" s="252"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3"/>
      <c r="F243" s="203"/>
      <c r="G243" s="250" t="str">
        <f>IFERROR(INDEX('G-1 All Habitats'!$B$3:$B$129,MATCH(F243,'G-1 All Habitats'!$A$3:$A$129,0)),"")</f>
        <v/>
      </c>
      <c r="H243" s="172"/>
      <c r="I243" s="498" t="str">
        <f>IF(G243="","",VLOOKUP(G243,'G-1 All Habitats'!$B$2:$M$129,10,FALSE))</f>
        <v/>
      </c>
      <c r="J243" s="499" t="str">
        <f>IFERROR(VLOOKUP(I243,'G-1 All Habitats'!$V$3:$W$7,2,FALSE),"")</f>
        <v/>
      </c>
      <c r="K243" s="145"/>
      <c r="L243" s="499" t="str">
        <f>IFERROR(INDEX('G-8 Condition Look up'!$A$3:$H$130,MATCH(G243,'G-8 Condition Look up'!$A$3:$A$130,0),MATCH(K243,'G-8 Condition Look up'!$A$3:$H$3,0)),"")</f>
        <v/>
      </c>
      <c r="M243" s="154"/>
      <c r="N243" s="520" t="str">
        <f>IF(M243="","",IF(VLOOKUP(M243,'G-3 Multipliers'!$L$3:$N$6,2,FALSE)=0,"Spatial Data Missing ⚠",VLOOKUP(M243,'G-3 Multipliers'!$L$3:$N$6,2,FALSE)))</f>
        <v/>
      </c>
      <c r="O243" s="524" t="str">
        <f>IF(M243="","",IF(VLOOKUP(M243,'G-3 Multipliers'!$L$3:$N$6,3,FALSE)=0,"Spatial Data Missing ⚠",VLOOKUP(M243,'G-3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1" t="str">
        <f t="shared" si="20"/>
        <v/>
      </c>
      <c r="V243" s="511" t="str">
        <f t="shared" si="21"/>
        <v/>
      </c>
      <c r="W243" s="511"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5" t="str">
        <f>IFERROR(IF(H243="","",IF(H243-S243-T243=0&lt;0,"Error in Areas ▲",IF(S243+T243&gt;H243,"Error in Areas ▲",IF(AND(P243='G-1 All Habitats'!$X$3,Y243="Yes"),"Alternative Compensation",IF(W243=0,0,IF(P243='G-1 All Habitats'!$X$3,"Unacceptable Loss",Q243-U243-V243)))))),"Check Data ⚠")</f>
        <v/>
      </c>
      <c r="Y243" s="72"/>
      <c r="Z243" s="151"/>
      <c r="AA243" s="152"/>
      <c r="AC243" s="251" t="str">
        <f>IF(P243="","",IF(P243='G-1 All Habitats'!$X$3,H243-S243-T243,"None"))</f>
        <v/>
      </c>
      <c r="AD243" s="252"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3"/>
      <c r="F244" s="203"/>
      <c r="G244" s="250" t="str">
        <f>IFERROR(INDEX('G-1 All Habitats'!$B$3:$B$129,MATCH(F244,'G-1 All Habitats'!$A$3:$A$129,0)),"")</f>
        <v/>
      </c>
      <c r="H244" s="172"/>
      <c r="I244" s="498" t="str">
        <f>IF(G244="","",VLOOKUP(G244,'G-1 All Habitats'!$B$2:$M$129,10,FALSE))</f>
        <v/>
      </c>
      <c r="J244" s="499" t="str">
        <f>IFERROR(VLOOKUP(I244,'G-1 All Habitats'!$V$3:$W$7,2,FALSE),"")</f>
        <v/>
      </c>
      <c r="K244" s="145"/>
      <c r="L244" s="499" t="str">
        <f>IFERROR(INDEX('G-8 Condition Look up'!$A$3:$H$130,MATCH(G244,'G-8 Condition Look up'!$A$3:$A$130,0),MATCH(K244,'G-8 Condition Look up'!$A$3:$H$3,0)),"")</f>
        <v/>
      </c>
      <c r="M244" s="154"/>
      <c r="N244" s="520" t="str">
        <f>IF(M244="","",IF(VLOOKUP(M244,'G-3 Multipliers'!$L$3:$N$6,2,FALSE)=0,"Spatial Data Missing ⚠",VLOOKUP(M244,'G-3 Multipliers'!$L$3:$N$6,2,FALSE)))</f>
        <v/>
      </c>
      <c r="O244" s="524" t="str">
        <f>IF(M244="","",IF(VLOOKUP(M244,'G-3 Multipliers'!$L$3:$N$6,3,FALSE)=0,"Spatial Data Missing ⚠",VLOOKUP(M244,'G-3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1" t="str">
        <f t="shared" si="20"/>
        <v/>
      </c>
      <c r="V244" s="511" t="str">
        <f t="shared" si="21"/>
        <v/>
      </c>
      <c r="W244" s="511"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5" t="str">
        <f>IFERROR(IF(H244="","",IF(H244-S244-T244=0&lt;0,"Error in Areas ▲",IF(S244+T244&gt;H244,"Error in Areas ▲",IF(AND(P244='G-1 All Habitats'!$X$3,Y244="Yes"),"Alternative Compensation",IF(W244=0,0,IF(P244='G-1 All Habitats'!$X$3,"Unacceptable Loss",Q244-U244-V244)))))),"Check Data ⚠")</f>
        <v/>
      </c>
      <c r="Y244" s="72"/>
      <c r="Z244" s="151"/>
      <c r="AA244" s="152"/>
      <c r="AC244" s="251" t="str">
        <f>IF(P244="","",IF(P244='G-1 All Habitats'!$X$3,H244-S244-T244,"None"))</f>
        <v/>
      </c>
      <c r="AD244" s="252"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3"/>
      <c r="F245" s="203"/>
      <c r="G245" s="250" t="str">
        <f>IFERROR(INDEX('G-1 All Habitats'!$B$3:$B$129,MATCH(F245,'G-1 All Habitats'!$A$3:$A$129,0)),"")</f>
        <v/>
      </c>
      <c r="H245" s="172"/>
      <c r="I245" s="498" t="str">
        <f>IF(G245="","",VLOOKUP(G245,'G-1 All Habitats'!$B$2:$M$129,10,FALSE))</f>
        <v/>
      </c>
      <c r="J245" s="499" t="str">
        <f>IFERROR(VLOOKUP(I245,'G-1 All Habitats'!$V$3:$W$7,2,FALSE),"")</f>
        <v/>
      </c>
      <c r="K245" s="145"/>
      <c r="L245" s="499" t="str">
        <f>IFERROR(INDEX('G-8 Condition Look up'!$A$3:$H$130,MATCH(G245,'G-8 Condition Look up'!$A$3:$A$130,0),MATCH(K245,'G-8 Condition Look up'!$A$3:$H$3,0)),"")</f>
        <v/>
      </c>
      <c r="M245" s="154"/>
      <c r="N245" s="520" t="str">
        <f>IF(M245="","",IF(VLOOKUP(M245,'G-3 Multipliers'!$L$3:$N$6,2,FALSE)=0,"Spatial Data Missing ⚠",VLOOKUP(M245,'G-3 Multipliers'!$L$3:$N$6,2,FALSE)))</f>
        <v/>
      </c>
      <c r="O245" s="524" t="str">
        <f>IF(M245="","",IF(VLOOKUP(M245,'G-3 Multipliers'!$L$3:$N$6,3,FALSE)=0,"Spatial Data Missing ⚠",VLOOKUP(M245,'G-3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1" t="str">
        <f t="shared" si="20"/>
        <v/>
      </c>
      <c r="V245" s="511" t="str">
        <f t="shared" si="21"/>
        <v/>
      </c>
      <c r="W245" s="511"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5" t="str">
        <f>IFERROR(IF(H245="","",IF(H245-S245-T245=0&lt;0,"Error in Areas ▲",IF(S245+T245&gt;H245,"Error in Areas ▲",IF(AND(P245='G-1 All Habitats'!$X$3,Y245="Yes"),"Alternative Compensation",IF(W245=0,0,IF(P245='G-1 All Habitats'!$X$3,"Unacceptable Loss",Q245-U245-V245)))))),"Check Data ⚠")</f>
        <v/>
      </c>
      <c r="Y245" s="72"/>
      <c r="Z245" s="151"/>
      <c r="AA245" s="152"/>
      <c r="AC245" s="251" t="str">
        <f>IF(P245="","",IF(P245='G-1 All Habitats'!$X$3,H245-S245-T245,"None"))</f>
        <v/>
      </c>
      <c r="AD245" s="252"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3"/>
      <c r="F246" s="203"/>
      <c r="G246" s="250" t="str">
        <f>IFERROR(INDEX('G-1 All Habitats'!$B$3:$B$129,MATCH(F246,'G-1 All Habitats'!$A$3:$A$129,0)),"")</f>
        <v/>
      </c>
      <c r="H246" s="172"/>
      <c r="I246" s="498" t="str">
        <f>IF(G246="","",VLOOKUP(G246,'G-1 All Habitats'!$B$2:$M$129,10,FALSE))</f>
        <v/>
      </c>
      <c r="J246" s="499" t="str">
        <f>IFERROR(VLOOKUP(I246,'G-1 All Habitats'!$V$3:$W$7,2,FALSE),"")</f>
        <v/>
      </c>
      <c r="K246" s="145"/>
      <c r="L246" s="499" t="str">
        <f>IFERROR(INDEX('G-8 Condition Look up'!$A$3:$H$130,MATCH(G246,'G-8 Condition Look up'!$A$3:$A$130,0),MATCH(K246,'G-8 Condition Look up'!$A$3:$H$3,0)),"")</f>
        <v/>
      </c>
      <c r="M246" s="154"/>
      <c r="N246" s="520" t="str">
        <f>IF(M246="","",IF(VLOOKUP(M246,'G-3 Multipliers'!$L$3:$N$6,2,FALSE)=0,"Spatial Data Missing ⚠",VLOOKUP(M246,'G-3 Multipliers'!$L$3:$N$6,2,FALSE)))</f>
        <v/>
      </c>
      <c r="O246" s="524" t="str">
        <f>IF(M246="","",IF(VLOOKUP(M246,'G-3 Multipliers'!$L$3:$N$6,3,FALSE)=0,"Spatial Data Missing ⚠",VLOOKUP(M246,'G-3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1" t="str">
        <f t="shared" si="20"/>
        <v/>
      </c>
      <c r="V246" s="511" t="str">
        <f t="shared" si="21"/>
        <v/>
      </c>
      <c r="W246" s="511"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5" t="str">
        <f>IFERROR(IF(H246="","",IF(H246-S246-T246=0&lt;0,"Error in Areas ▲",IF(S246+T246&gt;H246,"Error in Areas ▲",IF(AND(P246='G-1 All Habitats'!$X$3,Y246="Yes"),"Alternative Compensation",IF(W246=0,0,IF(P246='G-1 All Habitats'!$X$3,"Unacceptable Loss",Q246-U246-V246)))))),"Check Data ⚠")</f>
        <v/>
      </c>
      <c r="Y246" s="72"/>
      <c r="Z246" s="151"/>
      <c r="AA246" s="152"/>
      <c r="AC246" s="251" t="str">
        <f>IF(P246="","",IF(P246='G-1 All Habitats'!$X$3,H246-S246-T246,"None"))</f>
        <v/>
      </c>
      <c r="AD246" s="252"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3"/>
      <c r="F247" s="203"/>
      <c r="G247" s="250" t="str">
        <f>IFERROR(INDEX('G-1 All Habitats'!$B$3:$B$129,MATCH(F247,'G-1 All Habitats'!$A$3:$A$129,0)),"")</f>
        <v/>
      </c>
      <c r="H247" s="172"/>
      <c r="I247" s="498" t="str">
        <f>IF(G247="","",VLOOKUP(G247,'G-1 All Habitats'!$B$2:$M$129,10,FALSE))</f>
        <v/>
      </c>
      <c r="J247" s="499" t="str">
        <f>IFERROR(VLOOKUP(I247,'G-1 All Habitats'!$V$3:$W$7,2,FALSE),"")</f>
        <v/>
      </c>
      <c r="K247" s="145"/>
      <c r="L247" s="499" t="str">
        <f>IFERROR(INDEX('G-8 Condition Look up'!$A$3:$H$130,MATCH(G247,'G-8 Condition Look up'!$A$3:$A$130,0),MATCH(K247,'G-8 Condition Look up'!$A$3:$H$3,0)),"")</f>
        <v/>
      </c>
      <c r="M247" s="154"/>
      <c r="N247" s="520" t="str">
        <f>IF(M247="","",IF(VLOOKUP(M247,'G-3 Multipliers'!$L$3:$N$6,2,FALSE)=0,"Spatial Data Missing ⚠",VLOOKUP(M247,'G-3 Multipliers'!$L$3:$N$6,2,FALSE)))</f>
        <v/>
      </c>
      <c r="O247" s="524" t="str">
        <f>IF(M247="","",IF(VLOOKUP(M247,'G-3 Multipliers'!$L$3:$N$6,3,FALSE)=0,"Spatial Data Missing ⚠",VLOOKUP(M247,'G-3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1" t="str">
        <f t="shared" si="20"/>
        <v/>
      </c>
      <c r="V247" s="511" t="str">
        <f t="shared" si="21"/>
        <v/>
      </c>
      <c r="W247" s="511"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5" t="str">
        <f>IFERROR(IF(H247="","",IF(H247-S247-T247=0&lt;0,"Error in Areas ▲",IF(S247+T247&gt;H247,"Error in Areas ▲",IF(AND(P247='G-1 All Habitats'!$X$3,Y247="Yes"),"Alternative Compensation",IF(W247=0,0,IF(P247='G-1 All Habitats'!$X$3,"Unacceptable Loss",Q247-U247-V247)))))),"Check Data ⚠")</f>
        <v/>
      </c>
      <c r="Y247" s="72"/>
      <c r="Z247" s="151"/>
      <c r="AA247" s="152"/>
      <c r="AC247" s="251" t="str">
        <f>IF(P247="","",IF(P247='G-1 All Habitats'!$X$3,H247-S247-T247,"None"))</f>
        <v/>
      </c>
      <c r="AD247" s="252"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3"/>
      <c r="F248" s="203"/>
      <c r="G248" s="250" t="str">
        <f>IFERROR(INDEX('G-1 All Habitats'!$B$3:$B$129,MATCH(F248,'G-1 All Habitats'!$A$3:$A$129,0)),"")</f>
        <v/>
      </c>
      <c r="H248" s="172"/>
      <c r="I248" s="498" t="str">
        <f>IF(G248="","",VLOOKUP(G248,'G-1 All Habitats'!$B$2:$M$129,10,FALSE))</f>
        <v/>
      </c>
      <c r="J248" s="499" t="str">
        <f>IFERROR(VLOOKUP(I248,'G-1 All Habitats'!$V$3:$W$7,2,FALSE),"")</f>
        <v/>
      </c>
      <c r="K248" s="145"/>
      <c r="L248" s="499" t="str">
        <f>IFERROR(INDEX('G-8 Condition Look up'!$A$3:$H$130,MATCH(G248,'G-8 Condition Look up'!$A$3:$A$130,0),MATCH(K248,'G-8 Condition Look up'!$A$3:$H$3,0)),"")</f>
        <v/>
      </c>
      <c r="M248" s="154"/>
      <c r="N248" s="520" t="str">
        <f>IF(M248="","",IF(VLOOKUP(M248,'G-3 Multipliers'!$L$3:$N$6,2,FALSE)=0,"Spatial Data Missing ⚠",VLOOKUP(M248,'G-3 Multipliers'!$L$3:$N$6,2,FALSE)))</f>
        <v/>
      </c>
      <c r="O248" s="524" t="str">
        <f>IF(M248="","",IF(VLOOKUP(M248,'G-3 Multipliers'!$L$3:$N$6,3,FALSE)=0,"Spatial Data Missing ⚠",VLOOKUP(M248,'G-3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1" t="str">
        <f t="shared" si="20"/>
        <v/>
      </c>
      <c r="V248" s="511" t="str">
        <f t="shared" si="21"/>
        <v/>
      </c>
      <c r="W248" s="511"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5" t="str">
        <f>IFERROR(IF(H248="","",IF(H248-S248-T248=0&lt;0,"Error in Areas ▲",IF(S248+T248&gt;H248,"Error in Areas ▲",IF(AND(P248='G-1 All Habitats'!$X$3,Y248="Yes"),"Alternative Compensation",IF(W248=0,0,IF(P248='G-1 All Habitats'!$X$3,"Unacceptable Loss",Q248-U248-V248)))))),"Check Data ⚠")</f>
        <v/>
      </c>
      <c r="Y248" s="72"/>
      <c r="Z248" s="151"/>
      <c r="AA248" s="152"/>
      <c r="AC248" s="251" t="str">
        <f>IF(P248="","",IF(P248='G-1 All Habitats'!$X$3,H248-S248-T248,"None"))</f>
        <v/>
      </c>
      <c r="AD248" s="252"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3"/>
      <c r="F249" s="203"/>
      <c r="G249" s="250" t="str">
        <f>IFERROR(INDEX('G-1 All Habitats'!$B$3:$B$129,MATCH(F249,'G-1 All Habitats'!$A$3:$A$129,0)),"")</f>
        <v/>
      </c>
      <c r="H249" s="172"/>
      <c r="I249" s="498" t="str">
        <f>IF(G249="","",VLOOKUP(G249,'G-1 All Habitats'!$B$2:$M$129,10,FALSE))</f>
        <v/>
      </c>
      <c r="J249" s="499" t="str">
        <f>IFERROR(VLOOKUP(I249,'G-1 All Habitats'!$V$3:$W$7,2,FALSE),"")</f>
        <v/>
      </c>
      <c r="K249" s="145"/>
      <c r="L249" s="499" t="str">
        <f>IFERROR(INDEX('G-8 Condition Look up'!$A$3:$H$130,MATCH(G249,'G-8 Condition Look up'!$A$3:$A$130,0),MATCH(K249,'G-8 Condition Look up'!$A$3:$H$3,0)),"")</f>
        <v/>
      </c>
      <c r="M249" s="154"/>
      <c r="N249" s="520" t="str">
        <f>IF(M249="","",IF(VLOOKUP(M249,'G-3 Multipliers'!$L$3:$N$6,2,FALSE)=0,"Spatial Data Missing ⚠",VLOOKUP(M249,'G-3 Multipliers'!$L$3:$N$6,2,FALSE)))</f>
        <v/>
      </c>
      <c r="O249" s="524" t="str">
        <f>IF(M249="","",IF(VLOOKUP(M249,'G-3 Multipliers'!$L$3:$N$6,3,FALSE)=0,"Spatial Data Missing ⚠",VLOOKUP(M249,'G-3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1" t="str">
        <f t="shared" si="20"/>
        <v/>
      </c>
      <c r="V249" s="511" t="str">
        <f t="shared" si="21"/>
        <v/>
      </c>
      <c r="W249" s="511"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5" t="str">
        <f>IFERROR(IF(H249="","",IF(H249-S249-T249=0&lt;0,"Error in Areas ▲",IF(S249+T249&gt;H249,"Error in Areas ▲",IF(AND(P249='G-1 All Habitats'!$X$3,Y249="Yes"),"Alternative Compensation",IF(W249=0,0,IF(P249='G-1 All Habitats'!$X$3,"Unacceptable Loss",Q249-U249-V249)))))),"Check Data ⚠")</f>
        <v/>
      </c>
      <c r="Y249" s="72"/>
      <c r="Z249" s="151"/>
      <c r="AA249" s="152"/>
      <c r="AC249" s="251" t="str">
        <f>IF(P249="","",IF(P249='G-1 All Habitats'!$X$3,H249-S249-T249,"None"))</f>
        <v/>
      </c>
      <c r="AD249" s="252"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3"/>
      <c r="F250" s="203"/>
      <c r="G250" s="250" t="str">
        <f>IFERROR(INDEX('G-1 All Habitats'!$B$3:$B$129,MATCH(F250,'G-1 All Habitats'!$A$3:$A$129,0)),"")</f>
        <v/>
      </c>
      <c r="H250" s="172"/>
      <c r="I250" s="498" t="str">
        <f>IF(G250="","",VLOOKUP(G250,'G-1 All Habitats'!$B$2:$M$129,10,FALSE))</f>
        <v/>
      </c>
      <c r="J250" s="499" t="str">
        <f>IFERROR(VLOOKUP(I250,'G-1 All Habitats'!$V$3:$W$7,2,FALSE),"")</f>
        <v/>
      </c>
      <c r="K250" s="145"/>
      <c r="L250" s="499" t="str">
        <f>IFERROR(INDEX('G-8 Condition Look up'!$A$3:$H$130,MATCH(G250,'G-8 Condition Look up'!$A$3:$A$130,0),MATCH(K250,'G-8 Condition Look up'!$A$3:$H$3,0)),"")</f>
        <v/>
      </c>
      <c r="M250" s="154"/>
      <c r="N250" s="520" t="str">
        <f>IF(M250="","",IF(VLOOKUP(M250,'G-3 Multipliers'!$L$3:$N$6,2,FALSE)=0,"Spatial Data Missing ⚠",VLOOKUP(M250,'G-3 Multipliers'!$L$3:$N$6,2,FALSE)))</f>
        <v/>
      </c>
      <c r="O250" s="524" t="str">
        <f>IF(M250="","",IF(VLOOKUP(M250,'G-3 Multipliers'!$L$3:$N$6,3,FALSE)=0,"Spatial Data Missing ⚠",VLOOKUP(M250,'G-3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1" t="str">
        <f t="shared" si="20"/>
        <v/>
      </c>
      <c r="V250" s="511" t="str">
        <f t="shared" si="21"/>
        <v/>
      </c>
      <c r="W250" s="511"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5" t="str">
        <f>IFERROR(IF(H250="","",IF(H250-S250-T250=0&lt;0,"Error in Areas ▲",IF(S250+T250&gt;H250,"Error in Areas ▲",IF(AND(P250='G-1 All Habitats'!$X$3,Y250="Yes"),"Alternative Compensation",IF(W250=0,0,IF(P250='G-1 All Habitats'!$X$3,"Unacceptable Loss",Q250-U250-V250)))))),"Check Data ⚠")</f>
        <v/>
      </c>
      <c r="Y250" s="72"/>
      <c r="Z250" s="151"/>
      <c r="AA250" s="152"/>
      <c r="AC250" s="251" t="str">
        <f>IF(P250="","",IF(P250='G-1 All Habitats'!$X$3,H250-S250-T250,"None"))</f>
        <v/>
      </c>
      <c r="AD250" s="252"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3"/>
      <c r="F251" s="203"/>
      <c r="G251" s="250" t="str">
        <f>IFERROR(INDEX('G-1 All Habitats'!$B$3:$B$129,MATCH(F251,'G-1 All Habitats'!$A$3:$A$129,0)),"")</f>
        <v/>
      </c>
      <c r="H251" s="172"/>
      <c r="I251" s="498" t="str">
        <f>IF(G251="","",VLOOKUP(G251,'G-1 All Habitats'!$B$2:$M$129,10,FALSE))</f>
        <v/>
      </c>
      <c r="J251" s="499" t="str">
        <f>IFERROR(VLOOKUP(I251,'G-1 All Habitats'!$V$3:$W$7,2,FALSE),"")</f>
        <v/>
      </c>
      <c r="K251" s="145"/>
      <c r="L251" s="499" t="str">
        <f>IFERROR(INDEX('G-8 Condition Look up'!$A$3:$H$130,MATCH(G251,'G-8 Condition Look up'!$A$3:$A$130,0),MATCH(K251,'G-8 Condition Look up'!$A$3:$H$3,0)),"")</f>
        <v/>
      </c>
      <c r="M251" s="154"/>
      <c r="N251" s="520" t="str">
        <f>IF(M251="","",IF(VLOOKUP(M251,'G-3 Multipliers'!$L$3:$N$6,2,FALSE)=0,"Spatial Data Missing ⚠",VLOOKUP(M251,'G-3 Multipliers'!$L$3:$N$6,2,FALSE)))</f>
        <v/>
      </c>
      <c r="O251" s="524" t="str">
        <f>IF(M251="","",IF(VLOOKUP(M251,'G-3 Multipliers'!$L$3:$N$6,3,FALSE)=0,"Spatial Data Missing ⚠",VLOOKUP(M251,'G-3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1" t="str">
        <f t="shared" si="20"/>
        <v/>
      </c>
      <c r="V251" s="511" t="str">
        <f t="shared" si="21"/>
        <v/>
      </c>
      <c r="W251" s="511"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5" t="str">
        <f>IFERROR(IF(H251="","",IF(H251-S251-T251=0&lt;0,"Error in Areas ▲",IF(S251+T251&gt;H251,"Error in Areas ▲",IF(AND(P251='G-1 All Habitats'!$X$3,Y251="Yes"),"Alternative Compensation",IF(W251=0,0,IF(P251='G-1 All Habitats'!$X$3,"Unacceptable Loss",Q251-U251-V251)))))),"Check Data ⚠")</f>
        <v/>
      </c>
      <c r="Y251" s="72"/>
      <c r="Z251" s="151"/>
      <c r="AA251" s="152"/>
      <c r="AC251" s="251" t="str">
        <f>IF(P251="","",IF(P251='G-1 All Habitats'!$X$3,H251-S251-T251,"None"))</f>
        <v/>
      </c>
      <c r="AD251" s="252"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3"/>
      <c r="F252" s="203"/>
      <c r="G252" s="250" t="str">
        <f>IFERROR(INDEX('G-1 All Habitats'!$B$3:$B$129,MATCH(F252,'G-1 All Habitats'!$A$3:$A$129,0)),"")</f>
        <v/>
      </c>
      <c r="H252" s="172"/>
      <c r="I252" s="498" t="str">
        <f>IF(G252="","",VLOOKUP(G252,'G-1 All Habitats'!$B$2:$M$129,10,FALSE))</f>
        <v/>
      </c>
      <c r="J252" s="499" t="str">
        <f>IFERROR(VLOOKUP(I252,'G-1 All Habitats'!$V$3:$W$7,2,FALSE),"")</f>
        <v/>
      </c>
      <c r="K252" s="145"/>
      <c r="L252" s="499" t="str">
        <f>IFERROR(INDEX('G-8 Condition Look up'!$A$3:$H$130,MATCH(G252,'G-8 Condition Look up'!$A$3:$A$130,0),MATCH(K252,'G-8 Condition Look up'!$A$3:$H$3,0)),"")</f>
        <v/>
      </c>
      <c r="M252" s="154"/>
      <c r="N252" s="520" t="str">
        <f>IF(M252="","",IF(VLOOKUP(M252,'G-3 Multipliers'!$L$3:$N$6,2,FALSE)=0,"Spatial Data Missing ⚠",VLOOKUP(M252,'G-3 Multipliers'!$L$3:$N$6,2,FALSE)))</f>
        <v/>
      </c>
      <c r="O252" s="524" t="str">
        <f>IF(M252="","",IF(VLOOKUP(M252,'G-3 Multipliers'!$L$3:$N$6,3,FALSE)=0,"Spatial Data Missing ⚠",VLOOKUP(M252,'G-3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1" t="str">
        <f t="shared" si="20"/>
        <v/>
      </c>
      <c r="V252" s="511" t="str">
        <f t="shared" si="21"/>
        <v/>
      </c>
      <c r="W252" s="511"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5" t="str">
        <f>IFERROR(IF(H252="","",IF(H252-S252-T252=0&lt;0,"Error in Areas ▲",IF(S252+T252&gt;H252,"Error in Areas ▲",IF(AND(P252='G-1 All Habitats'!$X$3,Y252="Yes"),"Alternative Compensation",IF(W252=0,0,IF(P252='G-1 All Habitats'!$X$3,"Unacceptable Loss",Q252-U252-V252)))))),"Check Data ⚠")</f>
        <v/>
      </c>
      <c r="Y252" s="72"/>
      <c r="Z252" s="151"/>
      <c r="AA252" s="152"/>
      <c r="AC252" s="251" t="str">
        <f>IF(P252="","",IF(P252='G-1 All Habitats'!$X$3,H252-S252-T252,"None"))</f>
        <v/>
      </c>
      <c r="AD252" s="252"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3"/>
      <c r="F253" s="203"/>
      <c r="G253" s="250" t="str">
        <f>IFERROR(INDEX('G-1 All Habitats'!$B$3:$B$129,MATCH(F253,'G-1 All Habitats'!$A$3:$A$129,0)),"")</f>
        <v/>
      </c>
      <c r="H253" s="172"/>
      <c r="I253" s="498" t="str">
        <f>IF(G253="","",VLOOKUP(G253,'G-1 All Habitats'!$B$2:$M$129,10,FALSE))</f>
        <v/>
      </c>
      <c r="J253" s="499" t="str">
        <f>IFERROR(VLOOKUP(I253,'G-1 All Habitats'!$V$3:$W$7,2,FALSE),"")</f>
        <v/>
      </c>
      <c r="K253" s="145"/>
      <c r="L253" s="499" t="str">
        <f>IFERROR(INDEX('G-8 Condition Look up'!$A$3:$H$130,MATCH(G253,'G-8 Condition Look up'!$A$3:$A$130,0),MATCH(K253,'G-8 Condition Look up'!$A$3:$H$3,0)),"")</f>
        <v/>
      </c>
      <c r="M253" s="154"/>
      <c r="N253" s="520" t="str">
        <f>IF(M253="","",IF(VLOOKUP(M253,'G-3 Multipliers'!$L$3:$N$6,2,FALSE)=0,"Spatial Data Missing ⚠",VLOOKUP(M253,'G-3 Multipliers'!$L$3:$N$6,2,FALSE)))</f>
        <v/>
      </c>
      <c r="O253" s="524" t="str">
        <f>IF(M253="","",IF(VLOOKUP(M253,'G-3 Multipliers'!$L$3:$N$6,3,FALSE)=0,"Spatial Data Missing ⚠",VLOOKUP(M253,'G-3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1" t="str">
        <f t="shared" si="20"/>
        <v/>
      </c>
      <c r="V253" s="511" t="str">
        <f t="shared" si="21"/>
        <v/>
      </c>
      <c r="W253" s="511"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5" t="str">
        <f>IFERROR(IF(H253="","",IF(H253-S253-T253=0&lt;0,"Error in Areas ▲",IF(S253+T253&gt;H253,"Error in Areas ▲",IF(AND(P253='G-1 All Habitats'!$X$3,Y253="Yes"),"Alternative Compensation",IF(W253=0,0,IF(P253='G-1 All Habitats'!$X$3,"Unacceptable Loss",Q253-U253-V253)))))),"Check Data ⚠")</f>
        <v/>
      </c>
      <c r="Y253" s="72"/>
      <c r="Z253" s="151"/>
      <c r="AA253" s="152"/>
      <c r="AC253" s="251" t="str">
        <f>IF(P253="","",IF(P253='G-1 All Habitats'!$X$3,H253-S253-T253,"None"))</f>
        <v/>
      </c>
      <c r="AD253" s="252"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3"/>
      <c r="F254" s="203"/>
      <c r="G254" s="250" t="str">
        <f>IFERROR(INDEX('G-1 All Habitats'!$B$3:$B$129,MATCH(F254,'G-1 All Habitats'!$A$3:$A$129,0)),"")</f>
        <v/>
      </c>
      <c r="H254" s="172"/>
      <c r="I254" s="498" t="str">
        <f>IF(G254="","",VLOOKUP(G254,'G-1 All Habitats'!$B$2:$M$129,10,FALSE))</f>
        <v/>
      </c>
      <c r="J254" s="499" t="str">
        <f>IFERROR(VLOOKUP(I254,'G-1 All Habitats'!$V$3:$W$7,2,FALSE),"")</f>
        <v/>
      </c>
      <c r="K254" s="145"/>
      <c r="L254" s="499" t="str">
        <f>IFERROR(INDEX('G-8 Condition Look up'!$A$3:$H$130,MATCH(G254,'G-8 Condition Look up'!$A$3:$A$130,0),MATCH(K254,'G-8 Condition Look up'!$A$3:$H$3,0)),"")</f>
        <v/>
      </c>
      <c r="M254" s="154"/>
      <c r="N254" s="520" t="str">
        <f>IF(M254="","",IF(VLOOKUP(M254,'G-3 Multipliers'!$L$3:$N$6,2,FALSE)=0,"Spatial Data Missing ⚠",VLOOKUP(M254,'G-3 Multipliers'!$L$3:$N$6,2,FALSE)))</f>
        <v/>
      </c>
      <c r="O254" s="524" t="str">
        <f>IF(M254="","",IF(VLOOKUP(M254,'G-3 Multipliers'!$L$3:$N$6,3,FALSE)=0,"Spatial Data Missing ⚠",VLOOKUP(M254,'G-3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1" t="str">
        <f t="shared" si="20"/>
        <v/>
      </c>
      <c r="V254" s="511" t="str">
        <f t="shared" si="21"/>
        <v/>
      </c>
      <c r="W254" s="511"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5" t="str">
        <f>IFERROR(IF(H254="","",IF(H254-S254-T254=0&lt;0,"Error in Areas ▲",IF(S254+T254&gt;H254,"Error in Areas ▲",IF(AND(P254='G-1 All Habitats'!$X$3,Y254="Yes"),"Alternative Compensation",IF(W254=0,0,IF(P254='G-1 All Habitats'!$X$3,"Unacceptable Loss",Q254-U254-V254)))))),"Check Data ⚠")</f>
        <v/>
      </c>
      <c r="Y254" s="72"/>
      <c r="Z254" s="151"/>
      <c r="AA254" s="152"/>
      <c r="AC254" s="251" t="str">
        <f>IF(P254="","",IF(P254='G-1 All Habitats'!$X$3,H254-S254-T254,"None"))</f>
        <v/>
      </c>
      <c r="AD254" s="252"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3"/>
      <c r="F255" s="203"/>
      <c r="G255" s="250" t="str">
        <f>IFERROR(INDEX('G-1 All Habitats'!$B$3:$B$129,MATCH(F255,'G-1 All Habitats'!$A$3:$A$129,0)),"")</f>
        <v/>
      </c>
      <c r="H255" s="172"/>
      <c r="I255" s="498" t="str">
        <f>IF(G255="","",VLOOKUP(G255,'G-1 All Habitats'!$B$2:$M$129,10,FALSE))</f>
        <v/>
      </c>
      <c r="J255" s="499" t="str">
        <f>IFERROR(VLOOKUP(I255,'G-1 All Habitats'!$V$3:$W$7,2,FALSE),"")</f>
        <v/>
      </c>
      <c r="K255" s="145"/>
      <c r="L255" s="499" t="str">
        <f>IFERROR(INDEX('G-8 Condition Look up'!$A$3:$H$130,MATCH(G255,'G-8 Condition Look up'!$A$3:$A$130,0),MATCH(K255,'G-8 Condition Look up'!$A$3:$H$3,0)),"")</f>
        <v/>
      </c>
      <c r="M255" s="154"/>
      <c r="N255" s="520" t="str">
        <f>IF(M255="","",IF(VLOOKUP(M255,'G-3 Multipliers'!$L$3:$N$6,2,FALSE)=0,"Spatial Data Missing ⚠",VLOOKUP(M255,'G-3 Multipliers'!$L$3:$N$6,2,FALSE)))</f>
        <v/>
      </c>
      <c r="O255" s="524" t="str">
        <f>IF(M255="","",IF(VLOOKUP(M255,'G-3 Multipliers'!$L$3:$N$6,3,FALSE)=0,"Spatial Data Missing ⚠",VLOOKUP(M255,'G-3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1" t="str">
        <f t="shared" si="20"/>
        <v/>
      </c>
      <c r="V255" s="511" t="str">
        <f t="shared" si="21"/>
        <v/>
      </c>
      <c r="W255" s="511"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5" t="str">
        <f>IFERROR(IF(H255="","",IF(H255-S255-T255=0&lt;0,"Error in Areas ▲",IF(S255+T255&gt;H255,"Error in Areas ▲",IF(AND(P255='G-1 All Habitats'!$X$3,Y255="Yes"),"Alternative Compensation",IF(W255=0,0,IF(P255='G-1 All Habitats'!$X$3,"Unacceptable Loss",Q255-U255-V255)))))),"Check Data ⚠")</f>
        <v/>
      </c>
      <c r="Y255" s="72"/>
      <c r="Z255" s="151"/>
      <c r="AA255" s="152"/>
      <c r="AC255" s="251" t="str">
        <f>IF(P255="","",IF(P255='G-1 All Habitats'!$X$3,H255-S255-T255,"None"))</f>
        <v/>
      </c>
      <c r="AD255" s="252"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3"/>
      <c r="F256" s="203"/>
      <c r="G256" s="250" t="str">
        <f>IFERROR(INDEX('G-1 All Habitats'!$B$3:$B$129,MATCH(F256,'G-1 All Habitats'!$A$3:$A$129,0)),"")</f>
        <v/>
      </c>
      <c r="H256" s="172"/>
      <c r="I256" s="498" t="str">
        <f>IF(G256="","",VLOOKUP(G256,'G-1 All Habitats'!$B$2:$M$129,10,FALSE))</f>
        <v/>
      </c>
      <c r="J256" s="499" t="str">
        <f>IFERROR(VLOOKUP(I256,'G-1 All Habitats'!$V$3:$W$7,2,FALSE),"")</f>
        <v/>
      </c>
      <c r="K256" s="145"/>
      <c r="L256" s="499" t="str">
        <f>IFERROR(INDEX('G-8 Condition Look up'!$A$3:$H$130,MATCH(G256,'G-8 Condition Look up'!$A$3:$A$130,0),MATCH(K256,'G-8 Condition Look up'!$A$3:$H$3,0)),"")</f>
        <v/>
      </c>
      <c r="M256" s="154"/>
      <c r="N256" s="520" t="str">
        <f>IF(M256="","",IF(VLOOKUP(M256,'G-3 Multipliers'!$L$3:$N$6,2,FALSE)=0,"Spatial Data Missing ⚠",VLOOKUP(M256,'G-3 Multipliers'!$L$3:$N$6,2,FALSE)))</f>
        <v/>
      </c>
      <c r="O256" s="524" t="str">
        <f>IF(M256="","",IF(VLOOKUP(M256,'G-3 Multipliers'!$L$3:$N$6,3,FALSE)=0,"Spatial Data Missing ⚠",VLOOKUP(M256,'G-3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1" t="str">
        <f t="shared" si="20"/>
        <v/>
      </c>
      <c r="V256" s="511" t="str">
        <f t="shared" si="21"/>
        <v/>
      </c>
      <c r="W256" s="511"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5" t="str">
        <f>IFERROR(IF(H256="","",IF(H256-S256-T256=0&lt;0,"Error in Areas ▲",IF(S256+T256&gt;H256,"Error in Areas ▲",IF(AND(P256='G-1 All Habitats'!$X$3,Y256="Yes"),"Alternative Compensation",IF(W256=0,0,IF(P256='G-1 All Habitats'!$X$3,"Unacceptable Loss",Q256-U256-V256)))))),"Check Data ⚠")</f>
        <v/>
      </c>
      <c r="Y256" s="72"/>
      <c r="Z256" s="151"/>
      <c r="AA256" s="152"/>
      <c r="AC256" s="251" t="str">
        <f>IF(P256="","",IF(P256='G-1 All Habitats'!$X$3,H256-S256-T256,"None"))</f>
        <v/>
      </c>
      <c r="AD256" s="252"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3"/>
      <c r="F257" s="203"/>
      <c r="G257" s="250" t="str">
        <f>IFERROR(INDEX('G-1 All Habitats'!$B$3:$B$129,MATCH(F257,'G-1 All Habitats'!$A$3:$A$129,0)),"")</f>
        <v/>
      </c>
      <c r="H257" s="172"/>
      <c r="I257" s="498" t="str">
        <f>IF(G257="","",VLOOKUP(G257,'G-1 All Habitats'!$B$2:$M$129,10,FALSE))</f>
        <v/>
      </c>
      <c r="J257" s="499" t="str">
        <f>IFERROR(VLOOKUP(I257,'G-1 All Habitats'!$V$3:$W$7,2,FALSE),"")</f>
        <v/>
      </c>
      <c r="K257" s="145"/>
      <c r="L257" s="499" t="str">
        <f>IFERROR(INDEX('G-8 Condition Look up'!$A$3:$H$130,MATCH(G257,'G-8 Condition Look up'!$A$3:$A$130,0),MATCH(K257,'G-8 Condition Look up'!$A$3:$H$3,0)),"")</f>
        <v/>
      </c>
      <c r="M257" s="154"/>
      <c r="N257" s="520" t="str">
        <f>IF(M257="","",IF(VLOOKUP(M257,'G-3 Multipliers'!$L$3:$N$6,2,FALSE)=0,"Spatial Data Missing ⚠",VLOOKUP(M257,'G-3 Multipliers'!$L$3:$N$6,2,FALSE)))</f>
        <v/>
      </c>
      <c r="O257" s="524" t="str">
        <f>IF(M257="","",IF(VLOOKUP(M257,'G-3 Multipliers'!$L$3:$N$6,3,FALSE)=0,"Spatial Data Missing ⚠",VLOOKUP(M257,'G-3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1" t="str">
        <f t="shared" si="20"/>
        <v/>
      </c>
      <c r="V257" s="511" t="str">
        <f t="shared" si="21"/>
        <v/>
      </c>
      <c r="W257" s="511"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5" t="str">
        <f>IFERROR(IF(H257="","",IF(H257-S257-T257=0&lt;0,"Error in Areas ▲",IF(S257+T257&gt;H257,"Error in Areas ▲",IF(AND(P257='G-1 All Habitats'!$X$3,Y257="Yes"),"Alternative Compensation",IF(W257=0,0,IF(P257='G-1 All Habitats'!$X$3,"Unacceptable Loss",Q257-U257-V257)))))),"Check Data ⚠")</f>
        <v/>
      </c>
      <c r="Y257" s="72"/>
      <c r="Z257" s="151"/>
      <c r="AA257" s="152"/>
      <c r="AC257" s="251" t="str">
        <f>IF(P257="","",IF(P257='G-1 All Habitats'!$X$3,H257-S257-T257,"None"))</f>
        <v/>
      </c>
      <c r="AD257" s="252"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 thickBot="1" x14ac:dyDescent="0.3">
      <c r="A258" s="31" t="str">
        <f>IFERROR(INDEX('G-1 All Habitats'!$AG$3:$AG$15,MATCH(E258,'G-1 All Habitats'!$AF$3:$AF$15,0)),"")</f>
        <v/>
      </c>
      <c r="B258" s="31" t="str">
        <f>IFERROR(INDEX('G-8 Condition Look up'!$I$4:$I$130,MATCH(G258,'G-8 Condition Look up'!$A$4:$A$130,0)),"")</f>
        <v/>
      </c>
      <c r="D258" s="158">
        <v>248</v>
      </c>
      <c r="E258" s="206"/>
      <c r="F258" s="206"/>
      <c r="G258" s="376" t="str">
        <f>IFERROR(INDEX('G-1 All Habitats'!$B$3:$B$129,MATCH(F258,'G-1 All Habitats'!$A$3:$A$129,0)),"")</f>
        <v/>
      </c>
      <c r="H258" s="160"/>
      <c r="I258" s="500" t="str">
        <f>IF(G258="","",VLOOKUP(G258,'G-1 All Habitats'!$B$2:$M$129,10,FALSE))</f>
        <v/>
      </c>
      <c r="J258" s="501" t="str">
        <f>IFERROR(VLOOKUP(I258,'G-1 All Habitats'!$V$3:$W$7,2,FALSE),"")</f>
        <v/>
      </c>
      <c r="K258" s="161"/>
      <c r="L258" s="501" t="str">
        <f>IFERROR(INDEX('G-8 Condition Look up'!$A$3:$H$130,MATCH(G258,'G-8 Condition Look up'!$A$3:$A$130,0),MATCH(K258,'G-8 Condition Look up'!$A$3:$H$3,0)),"")</f>
        <v/>
      </c>
      <c r="M258" s="161"/>
      <c r="N258" s="520" t="str">
        <f>IF(M258="","",IF(VLOOKUP(M258,'G-3 Multipliers'!$L$3:$N$6,2,FALSE)=0,"Spatial Data Missing ⚠",VLOOKUP(M258,'G-3 Multipliers'!$L$3:$N$6,2,FALSE)))</f>
        <v/>
      </c>
      <c r="O258" s="524" t="str">
        <f>IF(M258="","",IF(VLOOKUP(M258,'G-3 Multipliers'!$L$3:$N$6,3,FALSE)=0,"Spatial Data Missing ⚠",VLOOKUP(M258,'G-3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Unacceptable",IF(AND(P258='G-1 All Habitats'!$X$3,W258&gt;0),"Any Loss Unacceptable",H258*J258*L258*O258))))),"Check Data ⚠")</f>
        <v/>
      </c>
      <c r="R258" s="50"/>
      <c r="S258" s="373"/>
      <c r="T258" s="374"/>
      <c r="U258" s="619" t="str">
        <f t="shared" si="20"/>
        <v/>
      </c>
      <c r="V258" s="619" t="str">
        <f t="shared" si="21"/>
        <v/>
      </c>
      <c r="W258" s="511"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5" t="str">
        <f>IFERROR(IF(H258="","",IF(H258-S258-T258=0&lt;0,"Error in Areas ▲",IF(S258+T258&gt;H258,"Error in Areas ▲",IF(AND(P258='G-1 All Habitats'!$X$3,Y258="Yes"),"Alternative Compensation",IF(W258=0,0,IF(P258='G-1 All Habitats'!$X$3,"Unacceptable Loss",Q258-U258-V258)))))),"Check Data ⚠")</f>
        <v/>
      </c>
      <c r="Y258" s="375"/>
      <c r="Z258" s="163"/>
      <c r="AA258" s="164"/>
      <c r="AC258" s="251" t="str">
        <f>IF(P258="","",IF(P258='G-1 All Habitats'!$X$3,H258-S258-T258,"None"))</f>
        <v/>
      </c>
      <c r="AD258" s="252"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 thickBot="1" x14ac:dyDescent="0.3">
      <c r="G259" s="322" t="s">
        <v>278</v>
      </c>
      <c r="H259" s="503">
        <f>IF('Detailed Results'!$K$40&gt;0,"Error ▲",SUMIFS($H$11:$H$258,$G$11:$G$258,"&lt;&gt;"&amp;'G-1 All Habitats'!B65,$G$11:$G$258,"&lt;&gt;"&amp;'G-1 All Habitats'!B66,$G$11:$G$258,"&lt;&gt;"&amp;'G-1 All Habitats'!B73))</f>
        <v>0</v>
      </c>
      <c r="N259" s="40"/>
      <c r="P259" s="173" t="s">
        <v>279</v>
      </c>
      <c r="Q259" s="618">
        <f>IF('Detailed Results'!$K$40&gt;0,"Error ▲",SUM(Q11:Q258))</f>
        <v>0</v>
      </c>
      <c r="R259" s="85"/>
      <c r="S259" s="517">
        <f>IF('Detailed Results'!$K$40&gt;0,"Error ▲",SUM(S11:S258))</f>
        <v>0</v>
      </c>
      <c r="T259" s="518">
        <f>IF('Detailed Results'!$K$40&gt;0,"Error ▲",SUM(T11:T258))</f>
        <v>0</v>
      </c>
      <c r="U259" s="518">
        <f>IF('Detailed Results'!$K$40&gt;0,"Error ▲",SUM(U11:U258))</f>
        <v>0</v>
      </c>
      <c r="V259" s="518">
        <f>IF('Detailed Results'!$K$40&gt;0,"Error ▲",SUM(V11:V258))</f>
        <v>0</v>
      </c>
      <c r="W259" s="518">
        <f>IF('Detailed Results'!$K$40&gt;0,"Error ▲",SUM(W11:W258))</f>
        <v>0</v>
      </c>
      <c r="X259" s="514">
        <f>IF('Detailed Results'!$K$40&gt;0,"Error ▲",SUM(X11:X258))</f>
        <v>0</v>
      </c>
      <c r="Y259" s="253"/>
      <c r="AQ259" s="131">
        <f>SUM(AQ11:AQ258)</f>
        <v>0</v>
      </c>
    </row>
    <row r="260" spans="1:43" ht="14.4" thickBot="1" x14ac:dyDescent="0.3">
      <c r="R260" s="166"/>
      <c r="S260" s="166"/>
      <c r="T260" s="166"/>
      <c r="U260" s="166"/>
      <c r="V260" s="166"/>
      <c r="W260" s="166"/>
      <c r="X260" s="166"/>
    </row>
    <row r="261" spans="1:43" ht="35.25" customHeight="1" thickBot="1" x14ac:dyDescent="0.3">
      <c r="D261" s="132"/>
      <c r="E261" s="132"/>
      <c r="F261" s="132"/>
      <c r="S261" s="888" t="s">
        <v>224</v>
      </c>
      <c r="T261" s="889"/>
      <c r="U261" s="889"/>
      <c r="V261" s="890"/>
      <c r="W261" s="503">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WOKJXOBxQs4ZW/F2/8qrn8SQkHl+wWBe1A6D64j7PRqm+rFQkonkgwPVPxKHK4R9u7Zpmhc4sewC0wbZcNHHww==" saltValue="5RFAEhV/MXB/XtWb4OBEhw=="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222" priority="119" operator="equal">
      <formula>""</formula>
    </cfRule>
    <cfRule type="cellIs" dxfId="221" priority="120" operator="equal">
      <formula>"None"</formula>
    </cfRule>
    <cfRule type="cellIs" dxfId="220" priority="122" operator="greaterThan">
      <formula>0</formula>
    </cfRule>
  </conditionalFormatting>
  <conditionalFormatting sqref="AD12">
    <cfRule type="cellIs" dxfId="219" priority="115" operator="equal">
      <formula>"None"</formula>
    </cfRule>
    <cfRule type="cellIs" dxfId="218" priority="118" operator="equal">
      <formula>""</formula>
    </cfRule>
    <cfRule type="cellIs" dxfId="217" priority="121" operator="greaterThan">
      <formula>0</formula>
    </cfRule>
  </conditionalFormatting>
  <conditionalFormatting sqref="AC11">
    <cfRule type="cellIs" dxfId="216" priority="106" operator="equal">
      <formula>""</formula>
    </cfRule>
    <cfRule type="cellIs" dxfId="215" priority="107" operator="equal">
      <formula>"None"</formula>
    </cfRule>
    <cfRule type="cellIs" dxfId="214" priority="109" operator="greaterThan">
      <formula>0</formula>
    </cfRule>
  </conditionalFormatting>
  <conditionalFormatting sqref="AD11:AD258">
    <cfRule type="cellIs" dxfId="213" priority="102" operator="equal">
      <formula>"None"</formula>
    </cfRule>
    <cfRule type="cellIs" dxfId="212" priority="105" operator="equal">
      <formula>""</formula>
    </cfRule>
    <cfRule type="cellIs" dxfId="211" priority="108" operator="greaterThan">
      <formula>0</formula>
    </cfRule>
  </conditionalFormatting>
  <conditionalFormatting sqref="AC11:AC258">
    <cfRule type="cellIs" dxfId="210" priority="93" operator="equal">
      <formula>""</formula>
    </cfRule>
    <cfRule type="cellIs" dxfId="209" priority="94" operator="equal">
      <formula>"None"</formula>
    </cfRule>
    <cfRule type="cellIs" dxfId="208" priority="96" operator="greaterThan">
      <formula>0</formula>
    </cfRule>
  </conditionalFormatting>
  <conditionalFormatting sqref="AD13:AD258">
    <cfRule type="cellIs" dxfId="207" priority="89" operator="equal">
      <formula>"None"</formula>
    </cfRule>
    <cfRule type="cellIs" dxfId="206" priority="92" operator="equal">
      <formula>""</formula>
    </cfRule>
    <cfRule type="cellIs" dxfId="205" priority="95" operator="greaterThan">
      <formula>0</formula>
    </cfRule>
  </conditionalFormatting>
  <conditionalFormatting sqref="AC11:AC258">
    <cfRule type="cellIs" dxfId="204" priority="87" operator="equal">
      <formula>0</formula>
    </cfRule>
  </conditionalFormatting>
  <conditionalFormatting sqref="L11">
    <cfRule type="containsText" dxfId="203" priority="82" operator="containsText" text="Not Possible">
      <formula>NOT(ISERROR(SEARCH("Not Possible",L11)))</formula>
    </cfRule>
  </conditionalFormatting>
  <conditionalFormatting sqref="L12:L258">
    <cfRule type="containsText" dxfId="202" priority="70" operator="containsText" text="Not Possible">
      <formula>NOT(ISERROR(SEARCH("Not Possible",L12)))</formula>
    </cfRule>
  </conditionalFormatting>
  <conditionalFormatting sqref="N11:O258">
    <cfRule type="containsText" dxfId="201" priority="34" operator="containsText" text="Spatial">
      <formula>NOT(ISERROR(SEARCH("Spatial",N11)))</formula>
    </cfRule>
  </conditionalFormatting>
  <conditionalFormatting sqref="W11:W258">
    <cfRule type="cellIs" dxfId="200" priority="21" operator="equal">
      <formula>"Error in Areas ▲"</formula>
    </cfRule>
    <cfRule type="cellIs" dxfId="199" priority="29" operator="equal">
      <formula>"Unacceptable Loss ▲"</formula>
    </cfRule>
  </conditionalFormatting>
  <conditionalFormatting sqref="Q11:Q258">
    <cfRule type="cellIs" dxfId="198" priority="26" operator="equal">
      <formula>"Any loss Unacceptable"</formula>
    </cfRule>
  </conditionalFormatting>
  <conditionalFormatting sqref="Q11:Q258">
    <cfRule type="expression" dxfId="197" priority="28">
      <formula>"p18=""Avoid"""</formula>
    </cfRule>
  </conditionalFormatting>
  <conditionalFormatting sqref="Q11:Q258">
    <cfRule type="cellIs" dxfId="196" priority="27" operator="equal">
      <formula>"Any loss Unacceptable"</formula>
    </cfRule>
  </conditionalFormatting>
  <conditionalFormatting sqref="Q11:Q258">
    <cfRule type="cellIs" dxfId="195" priority="23" operator="equal">
      <formula>"Any loss Unacceptable"</formula>
    </cfRule>
  </conditionalFormatting>
  <conditionalFormatting sqref="Q11:Q258">
    <cfRule type="expression" dxfId="194" priority="25">
      <formula>"p18=""Avoid"""</formula>
    </cfRule>
  </conditionalFormatting>
  <conditionalFormatting sqref="Q11:Q258">
    <cfRule type="cellIs" dxfId="193" priority="24" operator="equal">
      <formula>"Any loss Unacceptable"</formula>
    </cfRule>
  </conditionalFormatting>
  <conditionalFormatting sqref="Q11:Q258">
    <cfRule type="cellIs" dxfId="192" priority="22" operator="equal">
      <formula>"Check Data ⚠"</formula>
    </cfRule>
  </conditionalFormatting>
  <conditionalFormatting sqref="Y11">
    <cfRule type="cellIs" dxfId="191" priority="30" operator="equal">
      <formula>"No"</formula>
    </cfRule>
    <cfRule type="cellIs" dxfId="190" priority="31" operator="equal">
      <formula>"Yes"</formula>
    </cfRule>
  </conditionalFormatting>
  <conditionalFormatting sqref="X11:X258">
    <cfRule type="cellIs" dxfId="189" priority="18" operator="equal">
      <formula>"Alternative Compensation"</formula>
    </cfRule>
    <cfRule type="cellIs" dxfId="188" priority="19" operator="equal">
      <formula>"Error in Areas ▲"</formula>
    </cfRule>
  </conditionalFormatting>
  <conditionalFormatting sqref="X11:X258">
    <cfRule type="cellIs" dxfId="187" priority="20" operator="equal">
      <formula>"Unacceptable Loss"</formula>
    </cfRule>
  </conditionalFormatting>
  <conditionalFormatting sqref="Y12:Y258">
    <cfRule type="cellIs" dxfId="186" priority="16" operator="equal">
      <formula>"No"</formula>
    </cfRule>
    <cfRule type="cellIs" dxfId="185" priority="17" operator="equal">
      <formula>"Yes"</formula>
    </cfRule>
  </conditionalFormatting>
  <conditionalFormatting sqref="H259">
    <cfRule type="cellIs" dxfId="184" priority="3" operator="equal">
      <formula>"Error ▲"</formula>
    </cfRule>
  </conditionalFormatting>
  <conditionalFormatting sqref="Q259">
    <cfRule type="cellIs" dxfId="183" priority="2" operator="equal">
      <formula>"Error ▲"</formula>
    </cfRule>
  </conditionalFormatting>
  <conditionalFormatting sqref="S259:X259">
    <cfRule type="cellIs" dxfId="182"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topLeftCell="D1" zoomScaleNormal="100" workbookViewId="0">
      <pane ySplit="10" topLeftCell="A11" activePane="bottomLeft" state="frozen"/>
      <selection activeCell="S28" sqref="S28"/>
      <selection pane="bottomLeft" activeCell="X11" sqref="X11"/>
    </sheetView>
  </sheetViews>
  <sheetFormatPr defaultColWidth="0" defaultRowHeight="0" customHeight="1" zeroHeight="1" x14ac:dyDescent="0.25"/>
  <cols>
    <col min="1" max="1" width="18" style="31" hidden="1" customWidth="1"/>
    <col min="2" max="2" width="2.44140625" style="31" hidden="1" customWidth="1"/>
    <col min="3" max="3" width="23.44140625" style="31" hidden="1" customWidth="1"/>
    <col min="4" max="4" width="22.5546875" style="31" bestFit="1" customWidth="1"/>
    <col min="5" max="5" width="71" style="31" customWidth="1"/>
    <col min="6" max="6" width="74.109375" style="31" hidden="1" customWidth="1"/>
    <col min="7" max="7" width="13.109375" style="31" customWidth="1"/>
    <col min="8" max="8" width="18" style="31" customWidth="1"/>
    <col min="9" max="9" width="13.109375" style="31" customWidth="1"/>
    <col min="10" max="11" width="12.5546875" style="31" customWidth="1"/>
    <col min="12" max="12" width="41.33203125" style="31" customWidth="1"/>
    <col min="13" max="13" width="15.44140625" style="31" customWidth="1"/>
    <col min="14" max="14" width="12.33203125" style="31" customWidth="1"/>
    <col min="15" max="17" width="17.6640625" style="31" customWidth="1"/>
    <col min="18" max="18" width="31.10937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44140625" style="31" customWidth="1"/>
    <col min="26" max="26" width="14.33203125" style="31" customWidth="1"/>
    <col min="27" max="27" width="12.6640625" style="31" customWidth="1"/>
    <col min="28" max="29" width="34.88671875" style="31" customWidth="1"/>
    <col min="30" max="30" width="12.44140625" style="31" customWidth="1"/>
    <col min="31" max="31" width="11.5546875" style="31" hidden="1" customWidth="1"/>
    <col min="32" max="32" width="11.33203125" style="31" hidden="1" customWidth="1"/>
    <col min="33" max="33" width="14.5546875" style="31" hidden="1" customWidth="1"/>
    <col min="34" max="35" width="8.88671875" style="31" hidden="1" customWidth="1"/>
    <col min="36" max="16384" width="0" style="31" hidden="1"/>
  </cols>
  <sheetData>
    <row r="1" spans="1:29" ht="14.4" thickBot="1" x14ac:dyDescent="0.3"/>
    <row r="2" spans="1:29" ht="25.95" customHeight="1" thickBot="1" x14ac:dyDescent="0.3">
      <c r="D2" s="946" t="str">
        <f>IF(Start!F12="","",Start!F12)</f>
        <v>Land at Doncaster Road, Goldthorpe, Rotherham</v>
      </c>
      <c r="E2" s="947"/>
      <c r="G2" s="242"/>
      <c r="O2" s="909" t="str">
        <f>IF(OR(COUNTIF($O$11:O256,"*30+*")&gt;0,COUNTIF($S$11:S256,"*30+*")&gt;0),"Note; Habitat selected has a time to target condition greater than 30 years. Non standard agreement may be required. ⚠","")</f>
        <v/>
      </c>
      <c r="P2" s="909"/>
      <c r="Q2" s="909"/>
      <c r="R2" s="909"/>
      <c r="S2" s="909"/>
      <c r="T2" s="909"/>
    </row>
    <row r="3" spans="1:29" ht="19.95" customHeight="1" x14ac:dyDescent="0.25">
      <c r="D3" s="940" t="str">
        <f ca="1">MID(CELL("filename",C1),FIND("]",CELL("filename",C1))+1,256)</f>
        <v>D-2 Off Site Habitat Creation</v>
      </c>
      <c r="E3" s="941"/>
      <c r="G3" s="242"/>
      <c r="O3" s="909"/>
      <c r="P3" s="909"/>
      <c r="Q3" s="909"/>
      <c r="R3" s="909"/>
      <c r="S3" s="909"/>
      <c r="T3" s="909"/>
    </row>
    <row r="4" spans="1:29" ht="15.75" customHeight="1" thickBot="1" x14ac:dyDescent="0.3">
      <c r="D4" s="943"/>
      <c r="E4" s="944"/>
      <c r="G4" s="242"/>
      <c r="M4" s="131"/>
      <c r="O4" s="399"/>
      <c r="P4" s="399"/>
      <c r="Q4" s="399"/>
      <c r="R4" s="399"/>
      <c r="S4" s="399"/>
    </row>
    <row r="5" spans="1:29" ht="29.4" customHeight="1" x14ac:dyDescent="0.3">
      <c r="M5" s="33"/>
      <c r="N5" s="193"/>
      <c r="O5" s="909" t="str">
        <f>IFERROR(IF(OR((G259-'D-1 Off Site Habitat Baseline'!W261)&gt;0.01,(G259-'D-1 Off Site Habitat Baseline'!W261)&lt;-0.01),"Check Areas - Area cross check failed (Baseline habitat lost does not match area of new habitat creation)",""),"")</f>
        <v/>
      </c>
      <c r="P5" s="909"/>
      <c r="Q5" s="909"/>
      <c r="R5" s="909"/>
      <c r="S5" s="909"/>
      <c r="T5" s="909"/>
      <c r="U5" s="400"/>
      <c r="V5" s="400"/>
    </row>
    <row r="6" spans="1:29" ht="31.2" customHeight="1" x14ac:dyDescent="0.25">
      <c r="O6" s="909"/>
      <c r="P6" s="909"/>
      <c r="Q6" s="909"/>
      <c r="R6" s="909"/>
      <c r="S6" s="909"/>
      <c r="T6" s="909"/>
    </row>
    <row r="7" spans="1:29" ht="14.4" thickBot="1" x14ac:dyDescent="0.3"/>
    <row r="8" spans="1:29" ht="14.4" thickBot="1" x14ac:dyDescent="0.3">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
      <c r="B9" s="31"/>
      <c r="C9" s="31"/>
      <c r="D9" s="872" t="s">
        <v>202</v>
      </c>
      <c r="E9" s="874" t="s">
        <v>227</v>
      </c>
      <c r="F9" s="874" t="s">
        <v>227</v>
      </c>
      <c r="G9" s="953" t="s">
        <v>205</v>
      </c>
      <c r="H9" s="872" t="s">
        <v>189</v>
      </c>
      <c r="I9" s="870" t="s">
        <v>206</v>
      </c>
      <c r="J9" s="955" t="s">
        <v>190</v>
      </c>
      <c r="K9" s="870" t="s">
        <v>206</v>
      </c>
      <c r="L9" s="949" t="s">
        <v>191</v>
      </c>
      <c r="M9" s="949"/>
      <c r="N9" s="949"/>
      <c r="O9" s="949" t="s">
        <v>251</v>
      </c>
      <c r="P9" s="949"/>
      <c r="Q9" s="949"/>
      <c r="R9" s="949"/>
      <c r="S9" s="949"/>
      <c r="T9" s="949"/>
      <c r="U9" s="949" t="s">
        <v>252</v>
      </c>
      <c r="V9" s="949"/>
      <c r="W9" s="949"/>
      <c r="X9" s="949"/>
      <c r="Y9" s="957" t="s">
        <v>280</v>
      </c>
      <c r="Z9" s="957"/>
      <c r="AA9" s="939" t="s">
        <v>230</v>
      </c>
      <c r="AB9" s="939" t="s">
        <v>196</v>
      </c>
      <c r="AC9" s="939"/>
    </row>
    <row r="10" spans="1:29" ht="41.4" x14ac:dyDescent="0.25">
      <c r="A10" s="131" t="s">
        <v>200</v>
      </c>
      <c r="C10" s="31" t="s">
        <v>281</v>
      </c>
      <c r="D10" s="873"/>
      <c r="E10" s="875"/>
      <c r="F10" s="875"/>
      <c r="G10" s="954"/>
      <c r="H10" s="873"/>
      <c r="I10" s="871"/>
      <c r="J10" s="956"/>
      <c r="K10" s="871"/>
      <c r="L10" s="368" t="s">
        <v>191</v>
      </c>
      <c r="M10" s="201" t="s">
        <v>191</v>
      </c>
      <c r="N10" s="202" t="s">
        <v>231</v>
      </c>
      <c r="O10" s="368" t="s">
        <v>232</v>
      </c>
      <c r="P10" s="201" t="s">
        <v>233</v>
      </c>
      <c r="Q10" s="201" t="s">
        <v>234</v>
      </c>
      <c r="R10" s="201" t="s">
        <v>235</v>
      </c>
      <c r="S10" s="201" t="s">
        <v>236</v>
      </c>
      <c r="T10" s="202" t="s">
        <v>237</v>
      </c>
      <c r="U10" s="368" t="s">
        <v>238</v>
      </c>
      <c r="V10" s="201" t="s">
        <v>282</v>
      </c>
      <c r="W10" s="201" t="s">
        <v>240</v>
      </c>
      <c r="X10" s="202" t="s">
        <v>241</v>
      </c>
      <c r="Y10" s="404" t="s">
        <v>283</v>
      </c>
      <c r="Z10" s="405" t="s">
        <v>280</v>
      </c>
      <c r="AA10" s="949"/>
      <c r="AB10" s="135" t="s">
        <v>215</v>
      </c>
      <c r="AC10" s="137" t="s">
        <v>216</v>
      </c>
    </row>
    <row r="11" spans="1:29" ht="13.8" x14ac:dyDescent="0.25">
      <c r="A11" s="31" t="str">
        <f>IFERROR(INDEX('G-8 Condition Look up'!$I$4:$I$130,MATCH(F11,'G-8 Condition Look up'!$A$4:$A$130,0)),"")</f>
        <v/>
      </c>
      <c r="C11" s="98" t="str">
        <f>IFERROR(INDEX('G-1 All Habitats'!$AG$3:$AG$15,MATCH(D11,'G-1 All Habitats'!$AF$3:$AF$15,0)),"")</f>
        <v/>
      </c>
      <c r="D11" s="154"/>
      <c r="E11" s="203"/>
      <c r="F11" s="243" t="str">
        <f>IFERROR(INDEX('G-1 All Habitats'!$B$3:$B$129,MATCH(E11,'G-1 All Habitats'!$A$3:$A$129,0)),"")</f>
        <v/>
      </c>
      <c r="G11" s="386"/>
      <c r="H11" s="537" t="str">
        <f>IF(F11="","",VLOOKUP(F11,'G-1 All Habitats'!$B$2:$M$129,10,FALSE))</f>
        <v/>
      </c>
      <c r="I11" s="524" t="str">
        <f>IFERROR(VLOOKUP(H11,'G-1 All Habitats'!$V$3:$W$7,2,FALSE),"")</f>
        <v/>
      </c>
      <c r="J11" s="199"/>
      <c r="K11" s="524" t="str">
        <f>IFERROR(INDEX('G-8 Condition Look up'!$A$3:$H$130,MATCH(F11,'G-8 Condition Look up'!$A$3:$A$130,0),MATCH(J11,'G-8 Condition Look up'!$A$3:$H$3,0)),"")</f>
        <v/>
      </c>
      <c r="L11" s="145"/>
      <c r="M11" s="540" t="str">
        <f>IF(L11="","",IF(VLOOKUP(L11,'G-3 Multipliers'!$L$3:$N$6,2,FALSE)=0,"Spatial Data Missing ⚠",VLOOKUP(L11,'G-3 Multipliers'!$L$3:$N$6,2,FALSE)))</f>
        <v/>
      </c>
      <c r="N11" s="499" t="str">
        <f>IF(L11="","",IF(VLOOKUP(L11,'G-3 Multipliers'!$L$3:$N$6,3,FALSE)=0,"Spatial Data Missing ⚠",VLOOKUP(L11,'G-3 Multipliers'!$L$3:$N$6,3,FALSE)))</f>
        <v/>
      </c>
      <c r="O11" s="498" t="str">
        <f>IFERROR(INDEX(TemporalData,MATCH(F11,TemporalHabitats,0),MATCH(J11,TemporalConditions,0)),"")</f>
        <v/>
      </c>
      <c r="P11" s="195"/>
      <c r="Q11" s="195"/>
      <c r="R11" s="520"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4"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5" t="str">
        <f>IFERROR(IF(S11="Check Data ⚠","Check Data ⚠",VLOOKUP(S11,'G-4 Temporal multipliers'!$A$4:$C$37,3,FALSE)),"")</f>
        <v/>
      </c>
      <c r="U11" s="523" t="str">
        <f>IF(F11="","",VLOOKUP(F11,'G-3 Multipliers'!$A$2:$E$129,2,FALSE))</f>
        <v/>
      </c>
      <c r="V11" s="520"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20" t="str">
        <f>IF(E11="","",IF(AND(V11="Standard difficulty applied",O11&gt;P11),U11,IF(AND(V11="Low Difficulty - only applicable if all habitat created before losses ⚠",P11&gt;=O11),"Low",VLOOKUP(F11,'G-3 Multipliers'!$A$2:$E$129,4,FALSE))))</f>
        <v/>
      </c>
      <c r="X11" s="524" t="str">
        <f>IFERROR(IF(E11="","",VLOOKUP(W11, 'G-3 Multipliers'!$P$2:$Q$6,2,FALSE)),"")</f>
        <v/>
      </c>
      <c r="Y11" s="197"/>
      <c r="Z11" s="499" t="str">
        <f>IF(Y11="","",IF(VLOOKUP(Y11,'G-3 Multipliers'!$S$3:$T$9,2,FALSE)=0,"Spatial Data Missing ⚠",VLOOKUP(Y11,'G-3 Multipliers'!$S$3:$T$9,2,FALSE)))</f>
        <v/>
      </c>
      <c r="AA11" s="545" t="str">
        <f t="shared" ref="AA11:AA75" si="0">IFERROR(G11*I11*K11*N11*T11*X11*Z11,"")</f>
        <v/>
      </c>
      <c r="AB11" s="149"/>
      <c r="AC11" s="150"/>
    </row>
    <row r="12" spans="1:29" ht="13.8" x14ac:dyDescent="0.25">
      <c r="A12" s="31" t="str">
        <f>IFERROR(INDEX('G-8 Condition Look up'!$I$4:$I$130,MATCH(F12,'G-8 Condition Look up'!$A$4:$A$130,0)),"")</f>
        <v/>
      </c>
      <c r="C12" s="244" t="str">
        <f>IFERROR(INDEX('G-1 All Habitats'!$AG$3:$AG$15,MATCH(D12,'G-1 All Habitats'!$AF$3:$AF$15,0)),"")</f>
        <v/>
      </c>
      <c r="D12" s="154"/>
      <c r="E12" s="203"/>
      <c r="F12" s="243" t="str">
        <f>IFERROR(INDEX('G-1 All Habitats'!$B$3:$B$129,MATCH(E12,'G-1 All Habitats'!$A$3:$A$129,0)),"")</f>
        <v/>
      </c>
      <c r="G12" s="386"/>
      <c r="H12" s="537" t="str">
        <f>IF(F12="","",VLOOKUP(F12,'G-1 All Habitats'!$B$2:$M$129,10,FALSE))</f>
        <v/>
      </c>
      <c r="I12" s="524" t="str">
        <f>IFERROR(VLOOKUP(H12,'G-1 All Habitats'!$V$3:$W$7,2,FALSE),"")</f>
        <v/>
      </c>
      <c r="J12" s="199"/>
      <c r="K12" s="524" t="str">
        <f>IFERROR(INDEX('G-8 Condition Look up'!$A$3:$H$130,MATCH(F12,'G-8 Condition Look up'!$A$3:$A$130,0),MATCH(J12,'G-8 Condition Look up'!$A$3:$H$3,0)),"")</f>
        <v/>
      </c>
      <c r="L12" s="145"/>
      <c r="M12" s="540" t="str">
        <f>IF(L12="","",IF(VLOOKUP(L12,'G-3 Multipliers'!$L$3:$N$6,2,FALSE)=0,"Spatial Data Missing ⚠",VLOOKUP(L12,'G-3 Multipliers'!$L$3:$N$6,2,FALSE)))</f>
        <v/>
      </c>
      <c r="N12" s="499" t="str">
        <f>IF(L12="","",IF(VLOOKUP(L12,'G-3 Multipliers'!$L$3:$N$6,3,FALSE)=0,"Spatial Data Missing ⚠",VLOOKUP(L12,'G-3 Multipliers'!$L$3:$N$6,3,FALSE)))</f>
        <v/>
      </c>
      <c r="O12" s="498" t="str">
        <f t="shared" ref="O12:O74" si="1">IFERROR(INDEX(TemporalData,MATCH(F12,TemporalHabitats,0),MATCH(J12,TemporalConditions,0)),"")</f>
        <v/>
      </c>
      <c r="P12" s="195"/>
      <c r="Q12" s="195"/>
      <c r="R12" s="520"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4"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5" t="str">
        <f>IFERROR(IF(S12="Check Data ⚠","Check Data ⚠",VLOOKUP(S12,'G-4 Temporal multipliers'!$A$4:$C$37,3,FALSE)),"")</f>
        <v/>
      </c>
      <c r="U12" s="523" t="str">
        <f>IF(F12="","",VLOOKUP(F12,'G-3 Multipliers'!$A$2:$E$129,2,FALSE))</f>
        <v/>
      </c>
      <c r="V12" s="520"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20" t="str">
        <f>IF(E12="","",IF(AND(V12="Standard difficulty applied",O12&gt;P12),U12,IF(AND(V12="Low Difficulty - only applicable if all habitat created before losses ⚠",P12&gt;=O12),"Low",VLOOKUP(F12,'G-3 Multipliers'!$A$2:$E$129,4,FALSE))))</f>
        <v/>
      </c>
      <c r="X12" s="524" t="str">
        <f>IFERROR(IF(E12="","",VLOOKUP(W12, 'G-3 Multipliers'!$P$2:$Q$6,2,FALSE)),"")</f>
        <v/>
      </c>
      <c r="Y12" s="197"/>
      <c r="Z12" s="499" t="str">
        <f>IF(Y12="","",IF(VLOOKUP(Y12,'G-3 Multipliers'!$S$3:$T$9,2,FALSE)=0,"Spatial Data Missing ⚠",VLOOKUP(Y12,'G-3 Multipliers'!$S$3:$T$9,2,FALSE)))</f>
        <v/>
      </c>
      <c r="AA12" s="545" t="str">
        <f t="shared" si="0"/>
        <v/>
      </c>
      <c r="AB12" s="149"/>
      <c r="AC12" s="150"/>
    </row>
    <row r="13" spans="1:29" ht="13.8" x14ac:dyDescent="0.25">
      <c r="A13" s="31" t="str">
        <f>IFERROR(INDEX('G-8 Condition Look up'!$I$4:$I$130,MATCH(F13,'G-8 Condition Look up'!$A$4:$A$130,0)),"")</f>
        <v/>
      </c>
      <c r="C13" s="244" t="str">
        <f>IFERROR(INDEX('G-1 All Habitats'!$AG$3:$AG$15,MATCH(D13,'G-1 All Habitats'!$AF$3:$AF$15,0)),"")</f>
        <v/>
      </c>
      <c r="D13" s="154"/>
      <c r="E13" s="203"/>
      <c r="F13" s="243" t="str">
        <f>IFERROR(INDEX('G-1 All Habitats'!$B$3:$B$129,MATCH(E13,'G-1 All Habitats'!$A$3:$A$129,0)),"")</f>
        <v/>
      </c>
      <c r="G13" s="386"/>
      <c r="H13" s="537" t="str">
        <f>IF(F13="","",VLOOKUP(F13,'G-1 All Habitats'!$B$2:$M$129,10,FALSE))</f>
        <v/>
      </c>
      <c r="I13" s="524" t="str">
        <f>IFERROR(VLOOKUP(H13,'G-1 All Habitats'!$V$3:$W$7,2,FALSE),"")</f>
        <v/>
      </c>
      <c r="J13" s="199"/>
      <c r="K13" s="524" t="str">
        <f>IFERROR(INDEX('G-8 Condition Look up'!$A$3:$H$130,MATCH(F13,'G-8 Condition Look up'!$A$3:$A$130,0),MATCH(J13,'G-8 Condition Look up'!$A$3:$H$3,0)),"")</f>
        <v/>
      </c>
      <c r="L13" s="145"/>
      <c r="M13" s="540" t="str">
        <f>IF(L13="","",IF(VLOOKUP(L13,'G-3 Multipliers'!$L$3:$N$6,2,FALSE)=0,"Spatial Data Missing ⚠",VLOOKUP(L13,'G-3 Multipliers'!$L$3:$N$6,2,FALSE)))</f>
        <v/>
      </c>
      <c r="N13" s="499" t="str">
        <f>IF(L13="","",IF(VLOOKUP(L13,'G-3 Multipliers'!$L$3:$N$6,3,FALSE)=0,"Spatial Data Missing ⚠",VLOOKUP(L13,'G-3 Multipliers'!$L$3:$N$6,3,FALSE)))</f>
        <v/>
      </c>
      <c r="O13" s="498" t="str">
        <f t="shared" si="1"/>
        <v/>
      </c>
      <c r="P13" s="195"/>
      <c r="Q13" s="195"/>
      <c r="R13" s="520" t="str">
        <f t="shared" si="2"/>
        <v/>
      </c>
      <c r="S13" s="544" t="str">
        <f t="shared" si="3"/>
        <v/>
      </c>
      <c r="T13" s="525" t="str">
        <f>IFERROR(IF(S13="Check Data ⚠","Check Data ⚠",VLOOKUP(S13,'G-4 Temporal multipliers'!$A$4:$C$37,3,FALSE)),"")</f>
        <v/>
      </c>
      <c r="U13" s="523" t="str">
        <f>IF(F13="","",VLOOKUP(F13,'G-3 Multipliers'!$A$2:$E$129,2,FALSE))</f>
        <v/>
      </c>
      <c r="V13" s="520"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20" t="str">
        <f>IF(E13="","",IF(AND(V13="Standard difficulty applied",O13&gt;P13),U13,IF(AND(V13="Low Difficulty - only applicable if all habitat created before losses ⚠",P13&gt;=O13),"Low",VLOOKUP(F13,'G-3 Multipliers'!$A$2:$E$129,4,FALSE))))</f>
        <v/>
      </c>
      <c r="X13" s="524" t="str">
        <f>IFERROR(IF(E13="","",VLOOKUP(W13, 'G-3 Multipliers'!$P$2:$Q$6,2,FALSE)),"")</f>
        <v/>
      </c>
      <c r="Y13" s="197"/>
      <c r="Z13" s="499" t="str">
        <f>IF(Y13="","",IF(VLOOKUP(Y13,'G-3 Multipliers'!$S$3:$T$9,2,FALSE)=0,"Spatial Data Missing ⚠",VLOOKUP(Y13,'G-3 Multipliers'!$S$3:$T$9,2,FALSE)))</f>
        <v/>
      </c>
      <c r="AA13" s="545" t="str">
        <f t="shared" si="0"/>
        <v/>
      </c>
      <c r="AB13" s="149"/>
      <c r="AC13" s="150"/>
    </row>
    <row r="14" spans="1:29" ht="13.8" x14ac:dyDescent="0.25">
      <c r="A14" s="31" t="str">
        <f>IFERROR(INDEX('G-8 Condition Look up'!$I$4:$I$130,MATCH(F14,'G-8 Condition Look up'!$A$4:$A$130,0)),"")</f>
        <v/>
      </c>
      <c r="C14" s="244" t="str">
        <f>IFERROR(INDEX('G-1 All Habitats'!$AG$3:$AG$15,MATCH(D14,'G-1 All Habitats'!$AF$3:$AF$15,0)),"")</f>
        <v/>
      </c>
      <c r="D14" s="154"/>
      <c r="E14" s="203"/>
      <c r="F14" s="243" t="str">
        <f>IFERROR(INDEX('G-1 All Habitats'!$B$3:$B$129,MATCH(E14,'G-1 All Habitats'!$A$3:$A$129,0)),"")</f>
        <v/>
      </c>
      <c r="G14" s="386"/>
      <c r="H14" s="537" t="str">
        <f>IF(F14="","",VLOOKUP(F14,'G-1 All Habitats'!$B$2:$M$129,10,FALSE))</f>
        <v/>
      </c>
      <c r="I14" s="524" t="str">
        <f>IFERROR(VLOOKUP(H14,'G-1 All Habitats'!$V$3:$W$7,2,FALSE),"")</f>
        <v/>
      </c>
      <c r="J14" s="199"/>
      <c r="K14" s="524" t="str">
        <f>IFERROR(INDEX('G-8 Condition Look up'!$A$3:$H$130,MATCH(F14,'G-8 Condition Look up'!$A$3:$A$130,0),MATCH(J14,'G-8 Condition Look up'!$A$3:$H$3,0)),"")</f>
        <v/>
      </c>
      <c r="L14" s="145"/>
      <c r="M14" s="540" t="str">
        <f>IF(L14="","",IF(VLOOKUP(L14,'G-3 Multipliers'!$L$3:$N$6,2,FALSE)=0,"Spatial Data Missing ⚠",VLOOKUP(L14,'G-3 Multipliers'!$L$3:$N$6,2,FALSE)))</f>
        <v/>
      </c>
      <c r="N14" s="499" t="str">
        <f>IF(L14="","",IF(VLOOKUP(L14,'G-3 Multipliers'!$L$3:$N$6,3,FALSE)=0,"Spatial Data Missing ⚠",VLOOKUP(L14,'G-3 Multipliers'!$L$3:$N$6,3,FALSE)))</f>
        <v/>
      </c>
      <c r="O14" s="498" t="str">
        <f t="shared" si="1"/>
        <v/>
      </c>
      <c r="P14" s="195"/>
      <c r="Q14" s="195"/>
      <c r="R14" s="520" t="str">
        <f t="shared" si="2"/>
        <v/>
      </c>
      <c r="S14" s="544" t="str">
        <f t="shared" si="3"/>
        <v/>
      </c>
      <c r="T14" s="525"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 ⚠",P14&gt;=O14),"Low",VLOOKUP(F14,'G-3 Multipliers'!$A$2:$E$129,4,FALSE))))</f>
        <v/>
      </c>
      <c r="X14" s="524" t="str">
        <f>IFERROR(IF(E14="","",VLOOKUP(W14, 'G-3 Multipliers'!$P$2:$Q$6,2,FALSE)),"")</f>
        <v/>
      </c>
      <c r="Y14" s="197"/>
      <c r="Z14" s="499" t="str">
        <f>IF(Y14="","",IF(VLOOKUP(Y14,'G-3 Multipliers'!$S$3:$T$9,2,FALSE)=0,"Spatial Data Missing ⚠",VLOOKUP(Y14,'G-3 Multipliers'!$S$3:$T$9,2,FALSE)))</f>
        <v/>
      </c>
      <c r="AA14" s="545" t="str">
        <f t="shared" si="0"/>
        <v/>
      </c>
      <c r="AB14" s="149"/>
      <c r="AC14" s="150"/>
    </row>
    <row r="15" spans="1:29" ht="13.8" x14ac:dyDescent="0.25">
      <c r="A15" s="31" t="str">
        <f>IFERROR(INDEX('G-8 Condition Look up'!$I$4:$I$130,MATCH(F15,'G-8 Condition Look up'!$A$4:$A$130,0)),"")</f>
        <v/>
      </c>
      <c r="C15" s="244" t="str">
        <f>IFERROR(INDEX('G-1 All Habitats'!$AG$3:$AG$15,MATCH(D15,'G-1 All Habitats'!$AF$3:$AF$15,0)),"")</f>
        <v/>
      </c>
      <c r="D15" s="154"/>
      <c r="E15" s="203"/>
      <c r="F15" s="243" t="str">
        <f>IFERROR(INDEX('G-1 All Habitats'!$B$3:$B$129,MATCH(E15,'G-1 All Habitats'!$A$3:$A$129,0)),"")</f>
        <v/>
      </c>
      <c r="G15" s="386"/>
      <c r="H15" s="537" t="str">
        <f>IF(F15="","",VLOOKUP(F15,'G-1 All Habitats'!$B$2:$M$129,10,FALSE))</f>
        <v/>
      </c>
      <c r="I15" s="524" t="str">
        <f>IFERROR(VLOOKUP(H15,'G-1 All Habitats'!$V$3:$W$7,2,FALSE),"")</f>
        <v/>
      </c>
      <c r="J15" s="199"/>
      <c r="K15" s="524" t="str">
        <f>IFERROR(INDEX('G-8 Condition Look up'!$A$3:$H$130,MATCH(F15,'G-8 Condition Look up'!$A$3:$A$130,0),MATCH(J15,'G-8 Condition Look up'!$A$3:$H$3,0)),"")</f>
        <v/>
      </c>
      <c r="L15" s="145"/>
      <c r="M15" s="540" t="str">
        <f>IF(L15="","",IF(VLOOKUP(L15,'G-3 Multipliers'!$L$3:$N$6,2,FALSE)=0,"Spatial Data Missing ⚠",VLOOKUP(L15,'G-3 Multipliers'!$L$3:$N$6,2,FALSE)))</f>
        <v/>
      </c>
      <c r="N15" s="499" t="str">
        <f>IF(L15="","",IF(VLOOKUP(L15,'G-3 Multipliers'!$L$3:$N$6,3,FALSE)=0,"Spatial Data Missing ⚠",VLOOKUP(L15,'G-3 Multipliers'!$L$3:$N$6,3,FALSE)))</f>
        <v/>
      </c>
      <c r="O15" s="498" t="str">
        <f t="shared" si="1"/>
        <v/>
      </c>
      <c r="P15" s="195"/>
      <c r="Q15" s="195"/>
      <c r="R15" s="520" t="str">
        <f t="shared" si="2"/>
        <v/>
      </c>
      <c r="S15" s="544" t="str">
        <f t="shared" si="3"/>
        <v/>
      </c>
      <c r="T15" s="525"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 ⚠",P15&gt;=O15),"Low",VLOOKUP(F15,'G-3 Multipliers'!$A$2:$E$129,4,FALSE))))</f>
        <v/>
      </c>
      <c r="X15" s="524" t="str">
        <f>IFERROR(IF(E15="","",VLOOKUP(W15, 'G-3 Multipliers'!$P$2:$Q$6,2,FALSE)),"")</f>
        <v/>
      </c>
      <c r="Y15" s="197"/>
      <c r="Z15" s="499" t="str">
        <f>IF(Y15="","",IF(VLOOKUP(Y15,'G-3 Multipliers'!$S$3:$T$9,2,FALSE)=0,"Spatial Data Missing ⚠",VLOOKUP(Y15,'G-3 Multipliers'!$S$3:$T$9,2,FALSE)))</f>
        <v/>
      </c>
      <c r="AA15" s="545" t="str">
        <f t="shared" si="0"/>
        <v/>
      </c>
      <c r="AB15" s="149"/>
      <c r="AC15" s="150"/>
    </row>
    <row r="16" spans="1:29" ht="13.8" x14ac:dyDescent="0.25">
      <c r="A16" s="31" t="str">
        <f>IFERROR(INDEX('G-8 Condition Look up'!$I$4:$I$130,MATCH(F16,'G-8 Condition Look up'!$A$4:$A$130,0)),"")</f>
        <v/>
      </c>
      <c r="C16" s="244" t="str">
        <f>IFERROR(INDEX('G-1 All Habitats'!$AG$3:$AG$15,MATCH(D16,'G-1 All Habitats'!$AF$3:$AF$15,0)),"")</f>
        <v/>
      </c>
      <c r="D16" s="154"/>
      <c r="E16" s="203"/>
      <c r="F16" s="243" t="str">
        <f>IFERROR(INDEX('G-1 All Habitats'!$B$3:$B$129,MATCH(E16,'G-1 All Habitats'!$A$3:$A$129,0)),"")</f>
        <v/>
      </c>
      <c r="G16" s="386"/>
      <c r="H16" s="537" t="str">
        <f>IF(F16="","",VLOOKUP(F16,'G-1 All Habitats'!$B$2:$M$129,10,FALSE))</f>
        <v/>
      </c>
      <c r="I16" s="524" t="str">
        <f>IFERROR(VLOOKUP(H16,'G-1 All Habitats'!$V$3:$W$7,2,FALSE),"")</f>
        <v/>
      </c>
      <c r="J16" s="199"/>
      <c r="K16" s="524" t="str">
        <f>IFERROR(INDEX('G-8 Condition Look up'!$A$3:$H$130,MATCH(F16,'G-8 Condition Look up'!$A$3:$A$130,0),MATCH(J16,'G-8 Condition Look up'!$A$3:$H$3,0)),"")</f>
        <v/>
      </c>
      <c r="L16" s="145"/>
      <c r="M16" s="540" t="str">
        <f>IF(L16="","",IF(VLOOKUP(L16,'G-3 Multipliers'!$L$3:$N$6,2,FALSE)=0,"Spatial Data Missing ⚠",VLOOKUP(L16,'G-3 Multipliers'!$L$3:$N$6,2,FALSE)))</f>
        <v/>
      </c>
      <c r="N16" s="499" t="str">
        <f>IF(L16="","",IF(VLOOKUP(L16,'G-3 Multipliers'!$L$3:$N$6,3,FALSE)=0,"Spatial Data Missing ⚠",VLOOKUP(L16,'G-3 Multipliers'!$L$3:$N$6,3,FALSE)))</f>
        <v/>
      </c>
      <c r="O16" s="498" t="str">
        <f t="shared" si="1"/>
        <v/>
      </c>
      <c r="P16" s="195"/>
      <c r="Q16" s="195"/>
      <c r="R16" s="520" t="str">
        <f t="shared" si="2"/>
        <v/>
      </c>
      <c r="S16" s="544" t="str">
        <f t="shared" si="3"/>
        <v/>
      </c>
      <c r="T16" s="525"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 ⚠",P16&gt;=O16),"Low",VLOOKUP(F16,'G-3 Multipliers'!$A$2:$E$129,4,FALSE))))</f>
        <v/>
      </c>
      <c r="X16" s="524" t="str">
        <f>IFERROR(IF(E16="","",VLOOKUP(W16, 'G-3 Multipliers'!$P$2:$Q$6,2,FALSE)),"")</f>
        <v/>
      </c>
      <c r="Y16" s="197"/>
      <c r="Z16" s="499" t="str">
        <f>IF(Y16="","",IF(VLOOKUP(Y16,'G-3 Multipliers'!$S$3:$T$9,2,FALSE)=0,"Spatial Data Missing ⚠",VLOOKUP(Y16,'G-3 Multipliers'!$S$3:$T$9,2,FALSE)))</f>
        <v/>
      </c>
      <c r="AA16" s="545" t="str">
        <f t="shared" si="0"/>
        <v/>
      </c>
      <c r="AB16" s="149"/>
      <c r="AC16" s="150"/>
    </row>
    <row r="17" spans="1:29" ht="13.8" x14ac:dyDescent="0.25">
      <c r="A17" s="31" t="str">
        <f>IFERROR(INDEX('G-8 Condition Look up'!$I$4:$I$130,MATCH(F17,'G-8 Condition Look up'!$A$4:$A$130,0)),"")</f>
        <v/>
      </c>
      <c r="C17" s="244" t="str">
        <f>IFERROR(INDEX('G-1 All Habitats'!$AG$3:$AG$15,MATCH(D17,'G-1 All Habitats'!$AF$3:$AF$15,0)),"")</f>
        <v/>
      </c>
      <c r="D17" s="154"/>
      <c r="E17" s="203"/>
      <c r="F17" s="243" t="str">
        <f>IFERROR(INDEX('G-1 All Habitats'!$B$3:$B$129,MATCH(E17,'G-1 All Habitats'!$A$3:$A$129,0)),"")</f>
        <v/>
      </c>
      <c r="G17" s="386"/>
      <c r="H17" s="537" t="str">
        <f>IF(F17="","",VLOOKUP(F17,'G-1 All Habitats'!$B$2:$M$129,10,FALSE))</f>
        <v/>
      </c>
      <c r="I17" s="524" t="str">
        <f>IFERROR(VLOOKUP(H17,'G-1 All Habitats'!$V$3:$W$7,2,FALSE),"")</f>
        <v/>
      </c>
      <c r="J17" s="199"/>
      <c r="K17" s="524" t="str">
        <f>IFERROR(INDEX('G-8 Condition Look up'!$A$3:$H$130,MATCH(F17,'G-8 Condition Look up'!$A$3:$A$130,0),MATCH(J17,'G-8 Condition Look up'!$A$3:$H$3,0)),"")</f>
        <v/>
      </c>
      <c r="L17" s="145"/>
      <c r="M17" s="540" t="str">
        <f>IF(L17="","",IF(VLOOKUP(L17,'G-3 Multipliers'!$L$3:$N$6,2,FALSE)=0,"Spatial Data Missing ⚠",VLOOKUP(L17,'G-3 Multipliers'!$L$3:$N$6,2,FALSE)))</f>
        <v/>
      </c>
      <c r="N17" s="499" t="str">
        <f>IF(L17="","",IF(VLOOKUP(L17,'G-3 Multipliers'!$L$3:$N$6,3,FALSE)=0,"Spatial Data Missing ⚠",VLOOKUP(L17,'G-3 Multipliers'!$L$3:$N$6,3,FALSE)))</f>
        <v/>
      </c>
      <c r="O17" s="498" t="str">
        <f t="shared" si="1"/>
        <v/>
      </c>
      <c r="P17" s="195"/>
      <c r="Q17" s="195"/>
      <c r="R17" s="520" t="str">
        <f t="shared" si="2"/>
        <v/>
      </c>
      <c r="S17" s="544" t="str">
        <f t="shared" si="3"/>
        <v/>
      </c>
      <c r="T17" s="525"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 ⚠",P17&gt;=O17),"Low",VLOOKUP(F17,'G-3 Multipliers'!$A$2:$E$129,4,FALSE))))</f>
        <v/>
      </c>
      <c r="X17" s="524" t="str">
        <f>IFERROR(IF(E17="","",VLOOKUP(W17, 'G-3 Multipliers'!$P$2:$Q$6,2,FALSE)),"")</f>
        <v/>
      </c>
      <c r="Y17" s="197"/>
      <c r="Z17" s="499" t="str">
        <f>IF(Y17="","",IF(VLOOKUP(Y17,'G-3 Multipliers'!$S$3:$T$9,2,FALSE)=0,"Spatial Data Missing ⚠",VLOOKUP(Y17,'G-3 Multipliers'!$S$3:$T$9,2,FALSE)))</f>
        <v/>
      </c>
      <c r="AA17" s="545" t="str">
        <f t="shared" si="0"/>
        <v/>
      </c>
      <c r="AB17" s="149"/>
      <c r="AC17" s="150"/>
    </row>
    <row r="18" spans="1:29" ht="13.8" x14ac:dyDescent="0.25">
      <c r="A18" s="31" t="str">
        <f>IFERROR(INDEX('G-8 Condition Look up'!$I$4:$I$130,MATCH(F18,'G-8 Condition Look up'!$A$4:$A$130,0)),"")</f>
        <v/>
      </c>
      <c r="C18" s="244" t="str">
        <f>IFERROR(INDEX('G-1 All Habitats'!$AG$3:$AG$15,MATCH(D18,'G-1 All Habitats'!$AF$3:$AF$15,0)),"")</f>
        <v/>
      </c>
      <c r="D18" s="154"/>
      <c r="E18" s="203"/>
      <c r="F18" s="243" t="str">
        <f>IFERROR(INDEX('G-1 All Habitats'!$B$3:$B$129,MATCH(E18,'G-1 All Habitats'!$A$3:$A$129,0)),"")</f>
        <v/>
      </c>
      <c r="G18" s="386"/>
      <c r="H18" s="537" t="str">
        <f>IF(F18="","",VLOOKUP(F18,'G-1 All Habitats'!$B$2:$M$129,10,FALSE))</f>
        <v/>
      </c>
      <c r="I18" s="524" t="str">
        <f>IFERROR(VLOOKUP(H18,'G-1 All Habitats'!$V$3:$W$7,2,FALSE),"")</f>
        <v/>
      </c>
      <c r="J18" s="199"/>
      <c r="K18" s="524" t="str">
        <f>IFERROR(INDEX('G-8 Condition Look up'!$A$3:$H$130,MATCH(F18,'G-8 Condition Look up'!$A$3:$A$130,0),MATCH(J18,'G-8 Condition Look up'!$A$3:$H$3,0)),"")</f>
        <v/>
      </c>
      <c r="L18" s="145"/>
      <c r="M18" s="540" t="str">
        <f>IF(L18="","",IF(VLOOKUP(L18,'G-3 Multipliers'!$L$3:$N$6,2,FALSE)=0,"Spatial Data Missing ⚠",VLOOKUP(L18,'G-3 Multipliers'!$L$3:$N$6,2,FALSE)))</f>
        <v/>
      </c>
      <c r="N18" s="499" t="str">
        <f>IF(L18="","",IF(VLOOKUP(L18,'G-3 Multipliers'!$L$3:$N$6,3,FALSE)=0,"Spatial Data Missing ⚠",VLOOKUP(L18,'G-3 Multipliers'!$L$3:$N$6,3,FALSE)))</f>
        <v/>
      </c>
      <c r="O18" s="498" t="str">
        <f t="shared" si="1"/>
        <v/>
      </c>
      <c r="P18" s="195"/>
      <c r="Q18" s="195"/>
      <c r="R18" s="520" t="str">
        <f t="shared" si="2"/>
        <v/>
      </c>
      <c r="S18" s="544" t="str">
        <f t="shared" si="3"/>
        <v/>
      </c>
      <c r="T18" s="525"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 ⚠",P18&gt;=O18),"Low",VLOOKUP(F18,'G-3 Multipliers'!$A$2:$E$129,4,FALSE))))</f>
        <v/>
      </c>
      <c r="X18" s="524" t="str">
        <f>IFERROR(IF(E18="","",VLOOKUP(W18, 'G-3 Multipliers'!$P$2:$Q$6,2,FALSE)),"")</f>
        <v/>
      </c>
      <c r="Y18" s="197"/>
      <c r="Z18" s="499" t="str">
        <f>IF(Y18="","",IF(VLOOKUP(Y18,'G-3 Multipliers'!$S$3:$T$9,2,FALSE)=0,"Spatial Data Missing ⚠",VLOOKUP(Y18,'G-3 Multipliers'!$S$3:$T$9,2,FALSE)))</f>
        <v/>
      </c>
      <c r="AA18" s="545" t="str">
        <f t="shared" si="0"/>
        <v/>
      </c>
      <c r="AB18" s="149"/>
      <c r="AC18" s="150"/>
    </row>
    <row r="19" spans="1:29" ht="13.8" x14ac:dyDescent="0.25">
      <c r="A19" s="31" t="str">
        <f>IFERROR(INDEX('G-8 Condition Look up'!$I$4:$I$130,MATCH(F19,'G-8 Condition Look up'!$A$4:$A$130,0)),"")</f>
        <v/>
      </c>
      <c r="C19" s="244" t="str">
        <f>IFERROR(INDEX('G-1 All Habitats'!$AG$3:$AG$15,MATCH(D19,'G-1 All Habitats'!$AF$3:$AF$15,0)),"")</f>
        <v/>
      </c>
      <c r="D19" s="154"/>
      <c r="E19" s="203"/>
      <c r="F19" s="243" t="str">
        <f>IFERROR(INDEX('G-1 All Habitats'!$B$3:$B$129,MATCH(E19,'G-1 All Habitats'!$A$3:$A$129,0)),"")</f>
        <v/>
      </c>
      <c r="G19" s="386"/>
      <c r="H19" s="537" t="str">
        <f>IF(F19="","",VLOOKUP(F19,'G-1 All Habitats'!$B$2:$M$129,10,FALSE))</f>
        <v/>
      </c>
      <c r="I19" s="524" t="str">
        <f>IFERROR(VLOOKUP(H19,'G-1 All Habitats'!$V$3:$W$7,2,FALSE),"")</f>
        <v/>
      </c>
      <c r="J19" s="199"/>
      <c r="K19" s="524" t="str">
        <f>IFERROR(INDEX('G-8 Condition Look up'!$A$3:$H$130,MATCH(F19,'G-8 Condition Look up'!$A$3:$A$130,0),MATCH(J19,'G-8 Condition Look up'!$A$3:$H$3,0)),"")</f>
        <v/>
      </c>
      <c r="L19" s="145"/>
      <c r="M19" s="540" t="str">
        <f>IF(L19="","",IF(VLOOKUP(L19,'G-3 Multipliers'!$L$3:$N$6,2,FALSE)=0,"Spatial Data Missing ⚠",VLOOKUP(L19,'G-3 Multipliers'!$L$3:$N$6,2,FALSE)))</f>
        <v/>
      </c>
      <c r="N19" s="499" t="str">
        <f>IF(L19="","",IF(VLOOKUP(L19,'G-3 Multipliers'!$L$3:$N$6,3,FALSE)=0,"Spatial Data Missing ⚠",VLOOKUP(L19,'G-3 Multipliers'!$L$3:$N$6,3,FALSE)))</f>
        <v/>
      </c>
      <c r="O19" s="498" t="str">
        <f t="shared" si="1"/>
        <v/>
      </c>
      <c r="P19" s="195"/>
      <c r="Q19" s="195"/>
      <c r="R19" s="520" t="str">
        <f t="shared" si="2"/>
        <v/>
      </c>
      <c r="S19" s="544" t="str">
        <f t="shared" si="3"/>
        <v/>
      </c>
      <c r="T19" s="525"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 ⚠",P19&gt;=O19),"Low",VLOOKUP(F19,'G-3 Multipliers'!$A$2:$E$129,4,FALSE))))</f>
        <v/>
      </c>
      <c r="X19" s="524" t="str">
        <f>IFERROR(IF(E19="","",VLOOKUP(W19, 'G-3 Multipliers'!$P$2:$Q$6,2,FALSE)),"")</f>
        <v/>
      </c>
      <c r="Y19" s="197"/>
      <c r="Z19" s="499" t="str">
        <f>IF(Y19="","",IF(VLOOKUP(Y19,'G-3 Multipliers'!$S$3:$T$9,2,FALSE)=0,"Spatial Data Missing ⚠",VLOOKUP(Y19,'G-3 Multipliers'!$S$3:$T$9,2,FALSE)))</f>
        <v/>
      </c>
      <c r="AA19" s="545" t="str">
        <f t="shared" si="0"/>
        <v/>
      </c>
      <c r="AB19" s="149"/>
      <c r="AC19" s="150"/>
    </row>
    <row r="20" spans="1:29" ht="13.8" x14ac:dyDescent="0.25">
      <c r="A20" s="31" t="str">
        <f>IFERROR(INDEX('G-8 Condition Look up'!$I$4:$I$130,MATCH(F20,'G-8 Condition Look up'!$A$4:$A$130,0)),"")</f>
        <v/>
      </c>
      <c r="C20" s="244" t="str">
        <f>IFERROR(INDEX('G-1 All Habitats'!$AG$3:$AG$15,MATCH(D20,'G-1 All Habitats'!$AF$3:$AF$15,0)),"")</f>
        <v/>
      </c>
      <c r="D20" s="154"/>
      <c r="E20" s="203"/>
      <c r="F20" s="243" t="str">
        <f>IFERROR(INDEX('G-1 All Habitats'!$B$3:$B$129,MATCH(E20,'G-1 All Habitats'!$A$3:$A$129,0)),"")</f>
        <v/>
      </c>
      <c r="G20" s="386"/>
      <c r="H20" s="537" t="str">
        <f>IF(F20="","",VLOOKUP(F20,'G-1 All Habitats'!$B$2:$M$129,10,FALSE))</f>
        <v/>
      </c>
      <c r="I20" s="524" t="str">
        <f>IFERROR(VLOOKUP(H20,'G-1 All Habitats'!$V$3:$W$7,2,FALSE),"")</f>
        <v/>
      </c>
      <c r="J20" s="199"/>
      <c r="K20" s="524" t="str">
        <f>IFERROR(INDEX('G-8 Condition Look up'!$A$3:$H$130,MATCH(F20,'G-8 Condition Look up'!$A$3:$A$130,0),MATCH(J20,'G-8 Condition Look up'!$A$3:$H$3,0)),"")</f>
        <v/>
      </c>
      <c r="L20" s="145"/>
      <c r="M20" s="540" t="str">
        <f>IF(L20="","",IF(VLOOKUP(L20,'G-3 Multipliers'!$L$3:$N$6,2,FALSE)=0,"Spatial Data Missing ⚠",VLOOKUP(L20,'G-3 Multipliers'!$L$3:$N$6,2,FALSE)))</f>
        <v/>
      </c>
      <c r="N20" s="499" t="str">
        <f>IF(L20="","",IF(VLOOKUP(L20,'G-3 Multipliers'!$L$3:$N$6,3,FALSE)=0,"Spatial Data Missing ⚠",VLOOKUP(L20,'G-3 Multipliers'!$L$3:$N$6,3,FALSE)))</f>
        <v/>
      </c>
      <c r="O20" s="498" t="str">
        <f t="shared" si="1"/>
        <v/>
      </c>
      <c r="P20" s="195"/>
      <c r="Q20" s="195"/>
      <c r="R20" s="520" t="str">
        <f t="shared" si="2"/>
        <v/>
      </c>
      <c r="S20" s="544" t="str">
        <f t="shared" si="3"/>
        <v/>
      </c>
      <c r="T20" s="525"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 ⚠",P20&gt;=O20),"Low",VLOOKUP(F20,'G-3 Multipliers'!$A$2:$E$129,4,FALSE))))</f>
        <v/>
      </c>
      <c r="X20" s="524" t="str">
        <f>IFERROR(IF(E20="","",VLOOKUP(W20, 'G-3 Multipliers'!$P$2:$Q$6,2,FALSE)),"")</f>
        <v/>
      </c>
      <c r="Y20" s="197"/>
      <c r="Z20" s="499" t="str">
        <f>IF(Y20="","",IF(VLOOKUP(Y20,'G-3 Multipliers'!$S$3:$T$9,2,FALSE)=0,"Spatial Data Missing ⚠",VLOOKUP(Y20,'G-3 Multipliers'!$S$3:$T$9,2,FALSE)))</f>
        <v/>
      </c>
      <c r="AA20" s="545" t="str">
        <f t="shared" si="0"/>
        <v/>
      </c>
      <c r="AB20" s="149"/>
      <c r="AC20" s="150"/>
    </row>
    <row r="21" spans="1:29" ht="13.8" x14ac:dyDescent="0.25">
      <c r="A21" s="31" t="str">
        <f>IFERROR(INDEX('G-8 Condition Look up'!$I$4:$I$130,MATCH(F21,'G-8 Condition Look up'!$A$4:$A$130,0)),"")</f>
        <v/>
      </c>
      <c r="C21" s="244" t="str">
        <f>IFERROR(INDEX('G-1 All Habitats'!$AG$3:$AG$15,MATCH(D21,'G-1 All Habitats'!$AF$3:$AF$15,0)),"")</f>
        <v/>
      </c>
      <c r="D21" s="154"/>
      <c r="E21" s="203"/>
      <c r="F21" s="243" t="str">
        <f>IFERROR(INDEX('G-1 All Habitats'!$B$3:$B$129,MATCH(E21,'G-1 All Habitats'!$A$3:$A$129,0)),"")</f>
        <v/>
      </c>
      <c r="G21" s="386"/>
      <c r="H21" s="537" t="str">
        <f>IF(F21="","",VLOOKUP(F21,'G-1 All Habitats'!$B$2:$M$129,10,FALSE))</f>
        <v/>
      </c>
      <c r="I21" s="524" t="str">
        <f>IFERROR(VLOOKUP(H21,'G-1 All Habitats'!$V$3:$W$7,2,FALSE),"")</f>
        <v/>
      </c>
      <c r="J21" s="199"/>
      <c r="K21" s="524" t="str">
        <f>IFERROR(INDEX('G-8 Condition Look up'!$A$3:$H$130,MATCH(F21,'G-8 Condition Look up'!$A$3:$A$130,0),MATCH(J21,'G-8 Condition Look up'!$A$3:$H$3,0)),"")</f>
        <v/>
      </c>
      <c r="L21" s="145"/>
      <c r="M21" s="540" t="str">
        <f>IF(L21="","",IF(VLOOKUP(L21,'G-3 Multipliers'!$L$3:$N$6,2,FALSE)=0,"Spatial Data Missing ⚠",VLOOKUP(L21,'G-3 Multipliers'!$L$3:$N$6,2,FALSE)))</f>
        <v/>
      </c>
      <c r="N21" s="499" t="str">
        <f>IF(L21="","",IF(VLOOKUP(L21,'G-3 Multipliers'!$L$3:$N$6,3,FALSE)=0,"Spatial Data Missing ⚠",VLOOKUP(L21,'G-3 Multipliers'!$L$3:$N$6,3,FALSE)))</f>
        <v/>
      </c>
      <c r="O21" s="498" t="str">
        <f t="shared" si="1"/>
        <v/>
      </c>
      <c r="P21" s="195"/>
      <c r="Q21" s="195"/>
      <c r="R21" s="520" t="str">
        <f t="shared" si="2"/>
        <v/>
      </c>
      <c r="S21" s="544" t="str">
        <f t="shared" si="3"/>
        <v/>
      </c>
      <c r="T21" s="525"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 ⚠",P21&gt;=O21),"Low",VLOOKUP(F21,'G-3 Multipliers'!$A$2:$E$129,4,FALSE))))</f>
        <v/>
      </c>
      <c r="X21" s="524" t="str">
        <f>IFERROR(IF(E21="","",VLOOKUP(W21, 'G-3 Multipliers'!$P$2:$Q$6,2,FALSE)),"")</f>
        <v/>
      </c>
      <c r="Y21" s="197"/>
      <c r="Z21" s="499" t="str">
        <f>IF(Y21="","",IF(VLOOKUP(Y21,'G-3 Multipliers'!$S$3:$T$9,2,FALSE)=0,"Spatial Data Missing ⚠",VLOOKUP(Y21,'G-3 Multipliers'!$S$3:$T$9,2,FALSE)))</f>
        <v/>
      </c>
      <c r="AA21" s="545" t="str">
        <f t="shared" si="0"/>
        <v/>
      </c>
      <c r="AB21" s="149"/>
      <c r="AC21" s="150"/>
    </row>
    <row r="22" spans="1:29" ht="13.8" x14ac:dyDescent="0.25">
      <c r="A22" s="31" t="str">
        <f>IFERROR(INDEX('G-8 Condition Look up'!$I$4:$I$130,MATCH(F22,'G-8 Condition Look up'!$A$4:$A$130,0)),"")</f>
        <v/>
      </c>
      <c r="C22" s="244" t="str">
        <f>IFERROR(INDEX('G-1 All Habitats'!$AG$3:$AG$15,MATCH(D22,'G-1 All Habitats'!$AF$3:$AF$15,0)),"")</f>
        <v/>
      </c>
      <c r="D22" s="154"/>
      <c r="E22" s="203"/>
      <c r="F22" s="243" t="str">
        <f>IFERROR(INDEX('G-1 All Habitats'!$B$3:$B$129,MATCH(E22,'G-1 All Habitats'!$A$3:$A$129,0)),"")</f>
        <v/>
      </c>
      <c r="G22" s="386"/>
      <c r="H22" s="537" t="str">
        <f>IF(F22="","",VLOOKUP(F22,'G-1 All Habitats'!$B$2:$M$129,10,FALSE))</f>
        <v/>
      </c>
      <c r="I22" s="524" t="str">
        <f>IFERROR(VLOOKUP(H22,'G-1 All Habitats'!$V$3:$W$7,2,FALSE),"")</f>
        <v/>
      </c>
      <c r="J22" s="199"/>
      <c r="K22" s="524" t="str">
        <f>IFERROR(INDEX('G-8 Condition Look up'!$A$3:$H$130,MATCH(F22,'G-8 Condition Look up'!$A$3:$A$130,0),MATCH(J22,'G-8 Condition Look up'!$A$3:$H$3,0)),"")</f>
        <v/>
      </c>
      <c r="L22" s="145"/>
      <c r="M22" s="540" t="str">
        <f>IF(L22="","",IF(VLOOKUP(L22,'G-3 Multipliers'!$L$3:$N$6,2,FALSE)=0,"Spatial Data Missing ⚠",VLOOKUP(L22,'G-3 Multipliers'!$L$3:$N$6,2,FALSE)))</f>
        <v/>
      </c>
      <c r="N22" s="499" t="str">
        <f>IF(L22="","",IF(VLOOKUP(L22,'G-3 Multipliers'!$L$3:$N$6,3,FALSE)=0,"Spatial Data Missing ⚠",VLOOKUP(L22,'G-3 Multipliers'!$L$3:$N$6,3,FALSE)))</f>
        <v/>
      </c>
      <c r="O22" s="498" t="str">
        <f t="shared" si="1"/>
        <v/>
      </c>
      <c r="P22" s="195"/>
      <c r="Q22" s="195"/>
      <c r="R22" s="520" t="str">
        <f t="shared" si="2"/>
        <v/>
      </c>
      <c r="S22" s="544" t="str">
        <f t="shared" si="3"/>
        <v/>
      </c>
      <c r="T22" s="525"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 ⚠",P22&gt;=O22),"Low",VLOOKUP(F22,'G-3 Multipliers'!$A$2:$E$129,4,FALSE))))</f>
        <v/>
      </c>
      <c r="X22" s="524" t="str">
        <f>IFERROR(IF(E22="","",VLOOKUP(W22, 'G-3 Multipliers'!$P$2:$Q$6,2,FALSE)),"")</f>
        <v/>
      </c>
      <c r="Y22" s="197"/>
      <c r="Z22" s="499" t="str">
        <f>IF(Y22="","",IF(VLOOKUP(Y22,'G-3 Multipliers'!$S$3:$T$9,2,FALSE)=0,"Spatial Data Missing ⚠",VLOOKUP(Y22,'G-3 Multipliers'!$S$3:$T$9,2,FALSE)))</f>
        <v/>
      </c>
      <c r="AA22" s="545" t="str">
        <f t="shared" si="0"/>
        <v/>
      </c>
      <c r="AB22" s="149"/>
      <c r="AC22" s="150"/>
    </row>
    <row r="23" spans="1:29" ht="13.8" x14ac:dyDescent="0.25">
      <c r="A23" s="31" t="str">
        <f>IFERROR(INDEX('G-8 Condition Look up'!$I$4:$I$130,MATCH(F23,'G-8 Condition Look up'!$A$4:$A$130,0)),"")</f>
        <v/>
      </c>
      <c r="C23" s="244" t="str">
        <f>IFERROR(INDEX('G-1 All Habitats'!$AG$3:$AG$15,MATCH(D23,'G-1 All Habitats'!$AF$3:$AF$15,0)),"")</f>
        <v/>
      </c>
      <c r="D23" s="154"/>
      <c r="E23" s="203"/>
      <c r="F23" s="243" t="str">
        <f>IFERROR(INDEX('G-1 All Habitats'!$B$3:$B$129,MATCH(E23,'G-1 All Habitats'!$A$3:$A$129,0)),"")</f>
        <v/>
      </c>
      <c r="G23" s="386"/>
      <c r="H23" s="537" t="str">
        <f>IF(F23="","",VLOOKUP(F23,'G-1 All Habitats'!$B$2:$M$129,10,FALSE))</f>
        <v/>
      </c>
      <c r="I23" s="524" t="str">
        <f>IFERROR(VLOOKUP(H23,'G-1 All Habitats'!$V$3:$W$7,2,FALSE),"")</f>
        <v/>
      </c>
      <c r="J23" s="199"/>
      <c r="K23" s="524" t="str">
        <f>IFERROR(INDEX('G-8 Condition Look up'!$A$3:$H$130,MATCH(F23,'G-8 Condition Look up'!$A$3:$A$130,0),MATCH(J23,'G-8 Condition Look up'!$A$3:$H$3,0)),"")</f>
        <v/>
      </c>
      <c r="L23" s="145"/>
      <c r="M23" s="540" t="str">
        <f>IF(L23="","",IF(VLOOKUP(L23,'G-3 Multipliers'!$L$3:$N$6,2,FALSE)=0,"Spatial Data Missing ⚠",VLOOKUP(L23,'G-3 Multipliers'!$L$3:$N$6,2,FALSE)))</f>
        <v/>
      </c>
      <c r="N23" s="499" t="str">
        <f>IF(L23="","",IF(VLOOKUP(L23,'G-3 Multipliers'!$L$3:$N$6,3,FALSE)=0,"Spatial Data Missing ⚠",VLOOKUP(L23,'G-3 Multipliers'!$L$3:$N$6,3,FALSE)))</f>
        <v/>
      </c>
      <c r="O23" s="498" t="str">
        <f t="shared" si="1"/>
        <v/>
      </c>
      <c r="P23" s="195"/>
      <c r="Q23" s="195"/>
      <c r="R23" s="520" t="str">
        <f t="shared" si="2"/>
        <v/>
      </c>
      <c r="S23" s="544" t="str">
        <f t="shared" si="3"/>
        <v/>
      </c>
      <c r="T23" s="525"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 ⚠",P23&gt;=O23),"Low",VLOOKUP(F23,'G-3 Multipliers'!$A$2:$E$129,4,FALSE))))</f>
        <v/>
      </c>
      <c r="X23" s="524" t="str">
        <f>IFERROR(IF(E23="","",VLOOKUP(W23, 'G-3 Multipliers'!$P$2:$Q$6,2,FALSE)),"")</f>
        <v/>
      </c>
      <c r="Y23" s="197"/>
      <c r="Z23" s="499" t="str">
        <f>IF(Y23="","",IF(VLOOKUP(Y23,'G-3 Multipliers'!$S$3:$T$9,2,FALSE)=0,"Spatial Data Missing ⚠",VLOOKUP(Y23,'G-3 Multipliers'!$S$3:$T$9,2,FALSE)))</f>
        <v/>
      </c>
      <c r="AA23" s="545" t="str">
        <f t="shared" si="0"/>
        <v/>
      </c>
      <c r="AB23" s="149"/>
      <c r="AC23" s="150"/>
    </row>
    <row r="24" spans="1:29" ht="13.8" x14ac:dyDescent="0.25">
      <c r="A24" s="31" t="str">
        <f>IFERROR(INDEX('G-8 Condition Look up'!$I$4:$I$130,MATCH(F24,'G-8 Condition Look up'!$A$4:$A$130,0)),"")</f>
        <v/>
      </c>
      <c r="C24" s="244" t="str">
        <f>IFERROR(INDEX('G-1 All Habitats'!$AG$3:$AG$15,MATCH(D24,'G-1 All Habitats'!$AF$3:$AF$15,0)),"")</f>
        <v/>
      </c>
      <c r="D24" s="154"/>
      <c r="E24" s="203"/>
      <c r="F24" s="243" t="str">
        <f>IFERROR(INDEX('G-1 All Habitats'!$B$3:$B$129,MATCH(E24,'G-1 All Habitats'!$A$3:$A$129,0)),"")</f>
        <v/>
      </c>
      <c r="G24" s="386"/>
      <c r="H24" s="537" t="str">
        <f>IF(F24="","",VLOOKUP(F24,'G-1 All Habitats'!$B$2:$M$129,10,FALSE))</f>
        <v/>
      </c>
      <c r="I24" s="524" t="str">
        <f>IFERROR(VLOOKUP(H24,'G-1 All Habitats'!$V$3:$W$7,2,FALSE),"")</f>
        <v/>
      </c>
      <c r="J24" s="199"/>
      <c r="K24" s="524" t="str">
        <f>IFERROR(INDEX('G-8 Condition Look up'!$A$3:$H$130,MATCH(F24,'G-8 Condition Look up'!$A$3:$A$130,0),MATCH(J24,'G-8 Condition Look up'!$A$3:$H$3,0)),"")</f>
        <v/>
      </c>
      <c r="L24" s="145"/>
      <c r="M24" s="540" t="str">
        <f>IF(L24="","",IF(VLOOKUP(L24,'G-3 Multipliers'!$L$3:$N$6,2,FALSE)=0,"Spatial Data Missing ⚠",VLOOKUP(L24,'G-3 Multipliers'!$L$3:$N$6,2,FALSE)))</f>
        <v/>
      </c>
      <c r="N24" s="499" t="str">
        <f>IF(L24="","",IF(VLOOKUP(L24,'G-3 Multipliers'!$L$3:$N$6,3,FALSE)=0,"Spatial Data Missing ⚠",VLOOKUP(L24,'G-3 Multipliers'!$L$3:$N$6,3,FALSE)))</f>
        <v/>
      </c>
      <c r="O24" s="498" t="str">
        <f t="shared" si="1"/>
        <v/>
      </c>
      <c r="P24" s="195"/>
      <c r="Q24" s="195"/>
      <c r="R24" s="520" t="str">
        <f t="shared" si="2"/>
        <v/>
      </c>
      <c r="S24" s="544" t="str">
        <f t="shared" si="3"/>
        <v/>
      </c>
      <c r="T24" s="525"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 ⚠",P24&gt;=O24),"Low",VLOOKUP(F24,'G-3 Multipliers'!$A$2:$E$129,4,FALSE))))</f>
        <v/>
      </c>
      <c r="X24" s="524" t="str">
        <f>IFERROR(IF(E24="","",VLOOKUP(W24, 'G-3 Multipliers'!$P$2:$Q$6,2,FALSE)),"")</f>
        <v/>
      </c>
      <c r="Y24" s="197"/>
      <c r="Z24" s="499" t="str">
        <f>IF(Y24="","",IF(VLOOKUP(Y24,'G-3 Multipliers'!$S$3:$T$9,2,FALSE)=0,"Spatial Data Missing ⚠",VLOOKUP(Y24,'G-3 Multipliers'!$S$3:$T$9,2,FALSE)))</f>
        <v/>
      </c>
      <c r="AA24" s="545" t="str">
        <f t="shared" si="0"/>
        <v/>
      </c>
      <c r="AB24" s="149"/>
      <c r="AC24" s="150"/>
    </row>
    <row r="25" spans="1:29" ht="13.8" x14ac:dyDescent="0.25">
      <c r="A25" s="31" t="str">
        <f>IFERROR(INDEX('G-8 Condition Look up'!$I$4:$I$130,MATCH(F25,'G-8 Condition Look up'!$A$4:$A$130,0)),"")</f>
        <v/>
      </c>
      <c r="C25" s="244" t="str">
        <f>IFERROR(INDEX('G-1 All Habitats'!$AG$3:$AG$15,MATCH(D25,'G-1 All Habitats'!$AF$3:$AF$15,0)),"")</f>
        <v/>
      </c>
      <c r="D25" s="154"/>
      <c r="E25" s="203"/>
      <c r="F25" s="243" t="str">
        <f>IFERROR(INDEX('G-1 All Habitats'!$B$3:$B$129,MATCH(E25,'G-1 All Habitats'!$A$3:$A$129,0)),"")</f>
        <v/>
      </c>
      <c r="G25" s="386"/>
      <c r="H25" s="537" t="str">
        <f>IF(F25="","",VLOOKUP(F25,'G-1 All Habitats'!$B$2:$M$129,10,FALSE))</f>
        <v/>
      </c>
      <c r="I25" s="524" t="str">
        <f>IFERROR(VLOOKUP(H25,'G-1 All Habitats'!$V$3:$W$7,2,FALSE),"")</f>
        <v/>
      </c>
      <c r="J25" s="199"/>
      <c r="K25" s="524" t="str">
        <f>IFERROR(INDEX('G-8 Condition Look up'!$A$3:$H$130,MATCH(F25,'G-8 Condition Look up'!$A$3:$A$130,0),MATCH(J25,'G-8 Condition Look up'!$A$3:$H$3,0)),"")</f>
        <v/>
      </c>
      <c r="L25" s="145"/>
      <c r="M25" s="540" t="str">
        <f>IF(L25="","",IF(VLOOKUP(L25,'G-3 Multipliers'!$L$3:$N$6,2,FALSE)=0,"Spatial Data Missing ⚠",VLOOKUP(L25,'G-3 Multipliers'!$L$3:$N$6,2,FALSE)))</f>
        <v/>
      </c>
      <c r="N25" s="499" t="str">
        <f>IF(L25="","",IF(VLOOKUP(L25,'G-3 Multipliers'!$L$3:$N$6,3,FALSE)=0,"Spatial Data Missing ⚠",VLOOKUP(L25,'G-3 Multipliers'!$L$3:$N$6,3,FALSE)))</f>
        <v/>
      </c>
      <c r="O25" s="498" t="str">
        <f t="shared" si="1"/>
        <v/>
      </c>
      <c r="P25" s="195"/>
      <c r="Q25" s="195"/>
      <c r="R25" s="520" t="str">
        <f t="shared" si="2"/>
        <v/>
      </c>
      <c r="S25" s="544" t="str">
        <f t="shared" si="3"/>
        <v/>
      </c>
      <c r="T25" s="525"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 ⚠",P25&gt;=O25),"Low",VLOOKUP(F25,'G-3 Multipliers'!$A$2:$E$129,4,FALSE))))</f>
        <v/>
      </c>
      <c r="X25" s="524" t="str">
        <f>IFERROR(IF(E25="","",VLOOKUP(W25, 'G-3 Multipliers'!$P$2:$Q$6,2,FALSE)),"")</f>
        <v/>
      </c>
      <c r="Y25" s="197"/>
      <c r="Z25" s="499" t="str">
        <f>IF(Y25="","",IF(VLOOKUP(Y25,'G-3 Multipliers'!$S$3:$T$9,2,FALSE)=0,"Spatial Data Missing ⚠",VLOOKUP(Y25,'G-3 Multipliers'!$S$3:$T$9,2,FALSE)))</f>
        <v/>
      </c>
      <c r="AA25" s="545" t="str">
        <f t="shared" si="0"/>
        <v/>
      </c>
      <c r="AB25" s="149"/>
      <c r="AC25" s="150"/>
    </row>
    <row r="26" spans="1:29" ht="13.8" x14ac:dyDescent="0.25">
      <c r="A26" s="31" t="str">
        <f>IFERROR(INDEX('G-8 Condition Look up'!$I$4:$I$130,MATCH(F26,'G-8 Condition Look up'!$A$4:$A$130,0)),"")</f>
        <v/>
      </c>
      <c r="C26" s="244" t="str">
        <f>IFERROR(INDEX('G-1 All Habitats'!$AG$3:$AG$15,MATCH(D26,'G-1 All Habitats'!$AF$3:$AF$15,0)),"")</f>
        <v/>
      </c>
      <c r="D26" s="154"/>
      <c r="E26" s="203"/>
      <c r="F26" s="243" t="str">
        <f>IFERROR(INDEX('G-1 All Habitats'!$B$3:$B$129,MATCH(E26,'G-1 All Habitats'!$A$3:$A$129,0)),"")</f>
        <v/>
      </c>
      <c r="G26" s="386"/>
      <c r="H26" s="537" t="str">
        <f>IF(F26="","",VLOOKUP(F26,'G-1 All Habitats'!$B$2:$M$129,10,FALSE))</f>
        <v/>
      </c>
      <c r="I26" s="524" t="str">
        <f>IFERROR(VLOOKUP(H26,'G-1 All Habitats'!$V$3:$W$7,2,FALSE),"")</f>
        <v/>
      </c>
      <c r="J26" s="199"/>
      <c r="K26" s="524" t="str">
        <f>IFERROR(INDEX('G-8 Condition Look up'!$A$3:$H$130,MATCH(F26,'G-8 Condition Look up'!$A$3:$A$130,0),MATCH(J26,'G-8 Condition Look up'!$A$3:$H$3,0)),"")</f>
        <v/>
      </c>
      <c r="L26" s="145"/>
      <c r="M26" s="540" t="str">
        <f>IF(L26="","",IF(VLOOKUP(L26,'G-3 Multipliers'!$L$3:$N$6,2,FALSE)=0,"Spatial Data Missing ⚠",VLOOKUP(L26,'G-3 Multipliers'!$L$3:$N$6,2,FALSE)))</f>
        <v/>
      </c>
      <c r="N26" s="499" t="str">
        <f>IF(L26="","",IF(VLOOKUP(L26,'G-3 Multipliers'!$L$3:$N$6,3,FALSE)=0,"Spatial Data Missing ⚠",VLOOKUP(L26,'G-3 Multipliers'!$L$3:$N$6,3,FALSE)))</f>
        <v/>
      </c>
      <c r="O26" s="498" t="str">
        <f t="shared" si="1"/>
        <v/>
      </c>
      <c r="P26" s="195"/>
      <c r="Q26" s="195"/>
      <c r="R26" s="520" t="str">
        <f t="shared" si="2"/>
        <v/>
      </c>
      <c r="S26" s="544" t="str">
        <f t="shared" si="3"/>
        <v/>
      </c>
      <c r="T26" s="525"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 ⚠",P26&gt;=O26),"Low",VLOOKUP(F26,'G-3 Multipliers'!$A$2:$E$129,4,FALSE))))</f>
        <v/>
      </c>
      <c r="X26" s="524" t="str">
        <f>IFERROR(IF(E26="","",VLOOKUP(W26, 'G-3 Multipliers'!$P$2:$Q$6,2,FALSE)),"")</f>
        <v/>
      </c>
      <c r="Y26" s="197"/>
      <c r="Z26" s="499" t="str">
        <f>IF(Y26="","",IF(VLOOKUP(Y26,'G-3 Multipliers'!$S$3:$T$9,2,FALSE)=0,"Spatial Data Missing ⚠",VLOOKUP(Y26,'G-3 Multipliers'!$S$3:$T$9,2,FALSE)))</f>
        <v/>
      </c>
      <c r="AA26" s="545" t="str">
        <f t="shared" si="0"/>
        <v/>
      </c>
      <c r="AB26" s="149"/>
      <c r="AC26" s="150"/>
    </row>
    <row r="27" spans="1:29" ht="13.8" x14ac:dyDescent="0.25">
      <c r="A27" s="31" t="str">
        <f>IFERROR(INDEX('G-8 Condition Look up'!$I$4:$I$130,MATCH(F27,'G-8 Condition Look up'!$A$4:$A$130,0)),"")</f>
        <v/>
      </c>
      <c r="C27" s="244" t="str">
        <f>IFERROR(INDEX('G-1 All Habitats'!$AG$3:$AG$15,MATCH(D27,'G-1 All Habitats'!$AF$3:$AF$15,0)),"")</f>
        <v/>
      </c>
      <c r="D27" s="154"/>
      <c r="E27" s="203"/>
      <c r="F27" s="243" t="str">
        <f>IFERROR(INDEX('G-1 All Habitats'!$B$3:$B$129,MATCH(E27,'G-1 All Habitats'!$A$3:$A$129,0)),"")</f>
        <v/>
      </c>
      <c r="G27" s="386"/>
      <c r="H27" s="537" t="str">
        <f>IF(F27="","",VLOOKUP(F27,'G-1 All Habitats'!$B$2:$M$129,10,FALSE))</f>
        <v/>
      </c>
      <c r="I27" s="524" t="str">
        <f>IFERROR(VLOOKUP(H27,'G-1 All Habitats'!$V$3:$W$7,2,FALSE),"")</f>
        <v/>
      </c>
      <c r="J27" s="199"/>
      <c r="K27" s="524" t="str">
        <f>IFERROR(INDEX('G-8 Condition Look up'!$A$3:$H$130,MATCH(F27,'G-8 Condition Look up'!$A$3:$A$130,0),MATCH(J27,'G-8 Condition Look up'!$A$3:$H$3,0)),"")</f>
        <v/>
      </c>
      <c r="L27" s="145"/>
      <c r="M27" s="540" t="str">
        <f>IF(L27="","",IF(VLOOKUP(L27,'G-3 Multipliers'!$L$3:$N$6,2,FALSE)=0,"Spatial Data Missing ⚠",VLOOKUP(L27,'G-3 Multipliers'!$L$3:$N$6,2,FALSE)))</f>
        <v/>
      </c>
      <c r="N27" s="499" t="str">
        <f>IF(L27="","",IF(VLOOKUP(L27,'G-3 Multipliers'!$L$3:$N$6,3,FALSE)=0,"Spatial Data Missing ⚠",VLOOKUP(L27,'G-3 Multipliers'!$L$3:$N$6,3,FALSE)))</f>
        <v/>
      </c>
      <c r="O27" s="498" t="str">
        <f t="shared" si="1"/>
        <v/>
      </c>
      <c r="P27" s="195"/>
      <c r="Q27" s="195"/>
      <c r="R27" s="520" t="str">
        <f t="shared" si="2"/>
        <v/>
      </c>
      <c r="S27" s="544" t="str">
        <f t="shared" si="3"/>
        <v/>
      </c>
      <c r="T27" s="525"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 ⚠",P27&gt;=O27),"Low",VLOOKUP(F27,'G-3 Multipliers'!$A$2:$E$129,4,FALSE))))</f>
        <v/>
      </c>
      <c r="X27" s="524" t="str">
        <f>IFERROR(IF(E27="","",VLOOKUP(W27, 'G-3 Multipliers'!$P$2:$Q$6,2,FALSE)),"")</f>
        <v/>
      </c>
      <c r="Y27" s="197"/>
      <c r="Z27" s="499" t="str">
        <f>IF(Y27="","",IF(VLOOKUP(Y27,'G-3 Multipliers'!$S$3:$T$9,2,FALSE)=0,"Spatial Data Missing ⚠",VLOOKUP(Y27,'G-3 Multipliers'!$S$3:$T$9,2,FALSE)))</f>
        <v/>
      </c>
      <c r="AA27" s="545" t="str">
        <f t="shared" si="0"/>
        <v/>
      </c>
      <c r="AB27" s="149"/>
      <c r="AC27" s="150"/>
    </row>
    <row r="28" spans="1:29" ht="13.8" x14ac:dyDescent="0.25">
      <c r="A28" s="31" t="str">
        <f>IFERROR(INDEX('G-8 Condition Look up'!$I$4:$I$130,MATCH(F28,'G-8 Condition Look up'!$A$4:$A$130,0)),"")</f>
        <v/>
      </c>
      <c r="C28" s="244" t="str">
        <f>IFERROR(INDEX('G-1 All Habitats'!$AG$3:$AG$15,MATCH(D28,'G-1 All Habitats'!$AF$3:$AF$15,0)),"")</f>
        <v/>
      </c>
      <c r="D28" s="154"/>
      <c r="E28" s="203"/>
      <c r="F28" s="243" t="str">
        <f>IFERROR(INDEX('G-1 All Habitats'!$B$3:$B$129,MATCH(E28,'G-1 All Habitats'!$A$3:$A$129,0)),"")</f>
        <v/>
      </c>
      <c r="G28" s="386"/>
      <c r="H28" s="537" t="str">
        <f>IF(F28="","",VLOOKUP(F28,'G-1 All Habitats'!$B$2:$M$129,10,FALSE))</f>
        <v/>
      </c>
      <c r="I28" s="524" t="str">
        <f>IFERROR(VLOOKUP(H28,'G-1 All Habitats'!$V$3:$W$7,2,FALSE),"")</f>
        <v/>
      </c>
      <c r="J28" s="199"/>
      <c r="K28" s="524" t="str">
        <f>IFERROR(INDEX('G-8 Condition Look up'!$A$3:$H$130,MATCH(F28,'G-8 Condition Look up'!$A$3:$A$130,0),MATCH(J28,'G-8 Condition Look up'!$A$3:$H$3,0)),"")</f>
        <v/>
      </c>
      <c r="L28" s="145"/>
      <c r="M28" s="540" t="str">
        <f>IF(L28="","",IF(VLOOKUP(L28,'G-3 Multipliers'!$L$3:$N$6,2,FALSE)=0,"Spatial Data Missing ⚠",VLOOKUP(L28,'G-3 Multipliers'!$L$3:$N$6,2,FALSE)))</f>
        <v/>
      </c>
      <c r="N28" s="499" t="str">
        <f>IF(L28="","",IF(VLOOKUP(L28,'G-3 Multipliers'!$L$3:$N$6,3,FALSE)=0,"Spatial Data Missing ⚠",VLOOKUP(L28,'G-3 Multipliers'!$L$3:$N$6,3,FALSE)))</f>
        <v/>
      </c>
      <c r="O28" s="498" t="str">
        <f t="shared" si="1"/>
        <v/>
      </c>
      <c r="P28" s="195"/>
      <c r="Q28" s="195"/>
      <c r="R28" s="520" t="str">
        <f t="shared" si="2"/>
        <v/>
      </c>
      <c r="S28" s="544" t="str">
        <f t="shared" si="3"/>
        <v/>
      </c>
      <c r="T28" s="525"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 ⚠",P28&gt;=O28),"Low",VLOOKUP(F28,'G-3 Multipliers'!$A$2:$E$129,4,FALSE))))</f>
        <v/>
      </c>
      <c r="X28" s="524" t="str">
        <f>IFERROR(IF(E28="","",VLOOKUP(W28, 'G-3 Multipliers'!$P$2:$Q$6,2,FALSE)),"")</f>
        <v/>
      </c>
      <c r="Y28" s="197"/>
      <c r="Z28" s="499" t="str">
        <f>IF(Y28="","",IF(VLOOKUP(Y28,'G-3 Multipliers'!$S$3:$T$9,2,FALSE)=0,"Spatial Data Missing ⚠",VLOOKUP(Y28,'G-3 Multipliers'!$S$3:$T$9,2,FALSE)))</f>
        <v/>
      </c>
      <c r="AA28" s="545" t="str">
        <f t="shared" si="0"/>
        <v/>
      </c>
      <c r="AB28" s="149"/>
      <c r="AC28" s="150"/>
    </row>
    <row r="29" spans="1:29" ht="13.8" x14ac:dyDescent="0.25">
      <c r="A29" s="31" t="str">
        <f>IFERROR(INDEX('G-8 Condition Look up'!$I$4:$I$130,MATCH(F29,'G-8 Condition Look up'!$A$4:$A$130,0)),"")</f>
        <v/>
      </c>
      <c r="C29" s="244" t="str">
        <f>IFERROR(INDEX('G-1 All Habitats'!$AG$3:$AG$15,MATCH(D29,'G-1 All Habitats'!$AF$3:$AF$15,0)),"")</f>
        <v/>
      </c>
      <c r="D29" s="154"/>
      <c r="E29" s="203"/>
      <c r="F29" s="243" t="str">
        <f>IFERROR(INDEX('G-1 All Habitats'!$B$3:$B$129,MATCH(E29,'G-1 All Habitats'!$A$3:$A$129,0)),"")</f>
        <v/>
      </c>
      <c r="G29" s="386"/>
      <c r="H29" s="537" t="str">
        <f>IF(F29="","",VLOOKUP(F29,'G-1 All Habitats'!$B$2:$M$129,10,FALSE))</f>
        <v/>
      </c>
      <c r="I29" s="524" t="str">
        <f>IFERROR(VLOOKUP(H29,'G-1 All Habitats'!$V$3:$W$7,2,FALSE),"")</f>
        <v/>
      </c>
      <c r="J29" s="199"/>
      <c r="K29" s="524" t="str">
        <f>IFERROR(INDEX('G-8 Condition Look up'!$A$3:$H$130,MATCH(F29,'G-8 Condition Look up'!$A$3:$A$130,0),MATCH(J29,'G-8 Condition Look up'!$A$3:$H$3,0)),"")</f>
        <v/>
      </c>
      <c r="L29" s="145"/>
      <c r="M29" s="540" t="str">
        <f>IF(L29="","",IF(VLOOKUP(L29,'G-3 Multipliers'!$L$3:$N$6,2,FALSE)=0,"Spatial Data Missing ⚠",VLOOKUP(L29,'G-3 Multipliers'!$L$3:$N$6,2,FALSE)))</f>
        <v/>
      </c>
      <c r="N29" s="499" t="str">
        <f>IF(L29="","",IF(VLOOKUP(L29,'G-3 Multipliers'!$L$3:$N$6,3,FALSE)=0,"Spatial Data Missing ⚠",VLOOKUP(L29,'G-3 Multipliers'!$L$3:$N$6,3,FALSE)))</f>
        <v/>
      </c>
      <c r="O29" s="498" t="str">
        <f t="shared" si="1"/>
        <v/>
      </c>
      <c r="P29" s="195"/>
      <c r="Q29" s="195"/>
      <c r="R29" s="520" t="str">
        <f t="shared" si="2"/>
        <v/>
      </c>
      <c r="S29" s="544" t="str">
        <f t="shared" si="3"/>
        <v/>
      </c>
      <c r="T29" s="525"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 ⚠",P29&gt;=O29),"Low",VLOOKUP(F29,'G-3 Multipliers'!$A$2:$E$129,4,FALSE))))</f>
        <v/>
      </c>
      <c r="X29" s="524" t="str">
        <f>IFERROR(IF(E29="","",VLOOKUP(W29, 'G-3 Multipliers'!$P$2:$Q$6,2,FALSE)),"")</f>
        <v/>
      </c>
      <c r="Y29" s="197"/>
      <c r="Z29" s="499" t="str">
        <f>IF(Y29="","",IF(VLOOKUP(Y29,'G-3 Multipliers'!$S$3:$T$9,2,FALSE)=0,"Spatial Data Missing ⚠",VLOOKUP(Y29,'G-3 Multipliers'!$S$3:$T$9,2,FALSE)))</f>
        <v/>
      </c>
      <c r="AA29" s="545" t="str">
        <f t="shared" si="0"/>
        <v/>
      </c>
      <c r="AB29" s="149"/>
      <c r="AC29" s="150"/>
    </row>
    <row r="30" spans="1:29" ht="13.8" x14ac:dyDescent="0.25">
      <c r="A30" s="31" t="str">
        <f>IFERROR(INDEX('G-8 Condition Look up'!$I$4:$I$130,MATCH(F30,'G-8 Condition Look up'!$A$4:$A$130,0)),"")</f>
        <v/>
      </c>
      <c r="C30" s="244" t="str">
        <f>IFERROR(INDEX('G-1 All Habitats'!$AG$3:$AG$15,MATCH(D30,'G-1 All Habitats'!$AF$3:$AF$15,0)),"")</f>
        <v/>
      </c>
      <c r="D30" s="154"/>
      <c r="E30" s="203"/>
      <c r="F30" s="243" t="str">
        <f>IFERROR(INDEX('G-1 All Habitats'!$B$3:$B$129,MATCH(E30,'G-1 All Habitats'!$A$3:$A$129,0)),"")</f>
        <v/>
      </c>
      <c r="G30" s="386"/>
      <c r="H30" s="537" t="str">
        <f>IF(F30="","",VLOOKUP(F30,'G-1 All Habitats'!$B$2:$M$129,10,FALSE))</f>
        <v/>
      </c>
      <c r="I30" s="524" t="str">
        <f>IFERROR(VLOOKUP(H30,'G-1 All Habitats'!$V$3:$W$7,2,FALSE),"")</f>
        <v/>
      </c>
      <c r="J30" s="199"/>
      <c r="K30" s="524" t="str">
        <f>IFERROR(INDEX('G-8 Condition Look up'!$A$3:$H$130,MATCH(F30,'G-8 Condition Look up'!$A$3:$A$130,0),MATCH(J30,'G-8 Condition Look up'!$A$3:$H$3,0)),"")</f>
        <v/>
      </c>
      <c r="L30" s="145"/>
      <c r="M30" s="540" t="str">
        <f>IF(L30="","",IF(VLOOKUP(L30,'G-3 Multipliers'!$L$3:$N$6,2,FALSE)=0,"Spatial Data Missing ⚠",VLOOKUP(L30,'G-3 Multipliers'!$L$3:$N$6,2,FALSE)))</f>
        <v/>
      </c>
      <c r="N30" s="499" t="str">
        <f>IF(L30="","",IF(VLOOKUP(L30,'G-3 Multipliers'!$L$3:$N$6,3,FALSE)=0,"Spatial Data Missing ⚠",VLOOKUP(L30,'G-3 Multipliers'!$L$3:$N$6,3,FALSE)))</f>
        <v/>
      </c>
      <c r="O30" s="498" t="str">
        <f t="shared" si="1"/>
        <v/>
      </c>
      <c r="P30" s="195"/>
      <c r="Q30" s="195"/>
      <c r="R30" s="520" t="str">
        <f t="shared" si="2"/>
        <v/>
      </c>
      <c r="S30" s="544" t="str">
        <f t="shared" si="3"/>
        <v/>
      </c>
      <c r="T30" s="525"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 ⚠",P30&gt;=O30),"Low",VLOOKUP(F30,'G-3 Multipliers'!$A$2:$E$129,4,FALSE))))</f>
        <v/>
      </c>
      <c r="X30" s="524" t="str">
        <f>IFERROR(IF(E30="","",VLOOKUP(W30, 'G-3 Multipliers'!$P$2:$Q$6,2,FALSE)),"")</f>
        <v/>
      </c>
      <c r="Y30" s="197"/>
      <c r="Z30" s="499" t="str">
        <f>IF(Y30="","",IF(VLOOKUP(Y30,'G-3 Multipliers'!$S$3:$T$9,2,FALSE)=0,"Spatial Data Missing ⚠",VLOOKUP(Y30,'G-3 Multipliers'!$S$3:$T$9,2,FALSE)))</f>
        <v/>
      </c>
      <c r="AA30" s="545" t="str">
        <f t="shared" si="0"/>
        <v/>
      </c>
      <c r="AB30" s="149"/>
      <c r="AC30" s="150"/>
    </row>
    <row r="31" spans="1:29" ht="13.8" x14ac:dyDescent="0.25">
      <c r="A31" s="31" t="str">
        <f>IFERROR(INDEX('G-8 Condition Look up'!$I$4:$I$130,MATCH(F31,'G-8 Condition Look up'!$A$4:$A$130,0)),"")</f>
        <v/>
      </c>
      <c r="C31" s="244" t="str">
        <f>IFERROR(INDEX('G-1 All Habitats'!$AG$3:$AG$15,MATCH(D31,'G-1 All Habitats'!$AF$3:$AF$15,0)),"")</f>
        <v/>
      </c>
      <c r="D31" s="154"/>
      <c r="E31" s="203"/>
      <c r="F31" s="243" t="str">
        <f>IFERROR(INDEX('G-1 All Habitats'!$B$3:$B$129,MATCH(E31,'G-1 All Habitats'!$A$3:$A$129,0)),"")</f>
        <v/>
      </c>
      <c r="G31" s="386"/>
      <c r="H31" s="537" t="str">
        <f>IF(F31="","",VLOOKUP(F31,'G-1 All Habitats'!$B$2:$M$129,10,FALSE))</f>
        <v/>
      </c>
      <c r="I31" s="524" t="str">
        <f>IFERROR(VLOOKUP(H31,'G-1 All Habitats'!$V$3:$W$7,2,FALSE),"")</f>
        <v/>
      </c>
      <c r="J31" s="199"/>
      <c r="K31" s="524" t="str">
        <f>IFERROR(INDEX('G-8 Condition Look up'!$A$3:$H$130,MATCH(F31,'G-8 Condition Look up'!$A$3:$A$130,0),MATCH(J31,'G-8 Condition Look up'!$A$3:$H$3,0)),"")</f>
        <v/>
      </c>
      <c r="L31" s="145"/>
      <c r="M31" s="540" t="str">
        <f>IF(L31="","",IF(VLOOKUP(L31,'G-3 Multipliers'!$L$3:$N$6,2,FALSE)=0,"Spatial Data Missing ⚠",VLOOKUP(L31,'G-3 Multipliers'!$L$3:$N$6,2,FALSE)))</f>
        <v/>
      </c>
      <c r="N31" s="499" t="str">
        <f>IF(L31="","",IF(VLOOKUP(L31,'G-3 Multipliers'!$L$3:$N$6,3,FALSE)=0,"Spatial Data Missing ⚠",VLOOKUP(L31,'G-3 Multipliers'!$L$3:$N$6,3,FALSE)))</f>
        <v/>
      </c>
      <c r="O31" s="498" t="str">
        <f t="shared" si="1"/>
        <v/>
      </c>
      <c r="P31" s="195"/>
      <c r="Q31" s="195"/>
      <c r="R31" s="520" t="str">
        <f t="shared" si="2"/>
        <v/>
      </c>
      <c r="S31" s="544" t="str">
        <f t="shared" si="3"/>
        <v/>
      </c>
      <c r="T31" s="525"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 ⚠",P31&gt;=O31),"Low",VLOOKUP(F31,'G-3 Multipliers'!$A$2:$E$129,4,FALSE))))</f>
        <v/>
      </c>
      <c r="X31" s="524" t="str">
        <f>IFERROR(IF(E31="","",VLOOKUP(W31, 'G-3 Multipliers'!$P$2:$Q$6,2,FALSE)),"")</f>
        <v/>
      </c>
      <c r="Y31" s="197"/>
      <c r="Z31" s="499" t="str">
        <f>IF(Y31="","",IF(VLOOKUP(Y31,'G-3 Multipliers'!$S$3:$T$9,2,FALSE)=0,"Spatial Data Missing ⚠",VLOOKUP(Y31,'G-3 Multipliers'!$S$3:$T$9,2,FALSE)))</f>
        <v/>
      </c>
      <c r="AA31" s="545" t="str">
        <f t="shared" si="0"/>
        <v/>
      </c>
      <c r="AB31" s="149"/>
      <c r="AC31" s="150"/>
    </row>
    <row r="32" spans="1:29" ht="13.8" x14ac:dyDescent="0.25">
      <c r="A32" s="31" t="str">
        <f>IFERROR(INDEX('G-8 Condition Look up'!$I$4:$I$130,MATCH(F32,'G-8 Condition Look up'!$A$4:$A$130,0)),"")</f>
        <v/>
      </c>
      <c r="C32" s="244" t="str">
        <f>IFERROR(INDEX('G-1 All Habitats'!$AG$3:$AG$15,MATCH(D32,'G-1 All Habitats'!$AF$3:$AF$15,0)),"")</f>
        <v/>
      </c>
      <c r="D32" s="154"/>
      <c r="E32" s="203"/>
      <c r="F32" s="243" t="str">
        <f>IFERROR(INDEX('G-1 All Habitats'!$B$3:$B$129,MATCH(E32,'G-1 All Habitats'!$A$3:$A$129,0)),"")</f>
        <v/>
      </c>
      <c r="G32" s="386"/>
      <c r="H32" s="537" t="str">
        <f>IF(F32="","",VLOOKUP(F32,'G-1 All Habitats'!$B$2:$M$129,10,FALSE))</f>
        <v/>
      </c>
      <c r="I32" s="524" t="str">
        <f>IFERROR(VLOOKUP(H32,'G-1 All Habitats'!$V$3:$W$7,2,FALSE),"")</f>
        <v/>
      </c>
      <c r="J32" s="199"/>
      <c r="K32" s="524" t="str">
        <f>IFERROR(INDEX('G-8 Condition Look up'!$A$3:$H$130,MATCH(F32,'G-8 Condition Look up'!$A$3:$A$130,0),MATCH(J32,'G-8 Condition Look up'!$A$3:$H$3,0)),"")</f>
        <v/>
      </c>
      <c r="L32" s="145"/>
      <c r="M32" s="540" t="str">
        <f>IF(L32="","",IF(VLOOKUP(L32,'G-3 Multipliers'!$L$3:$N$6,2,FALSE)=0,"Spatial Data Missing ⚠",VLOOKUP(L32,'G-3 Multipliers'!$L$3:$N$6,2,FALSE)))</f>
        <v/>
      </c>
      <c r="N32" s="499" t="str">
        <f>IF(L32="","",IF(VLOOKUP(L32,'G-3 Multipliers'!$L$3:$N$6,3,FALSE)=0,"Spatial Data Missing ⚠",VLOOKUP(L32,'G-3 Multipliers'!$L$3:$N$6,3,FALSE)))</f>
        <v/>
      </c>
      <c r="O32" s="498" t="str">
        <f t="shared" si="1"/>
        <v/>
      </c>
      <c r="P32" s="195"/>
      <c r="Q32" s="195"/>
      <c r="R32" s="520" t="str">
        <f t="shared" si="2"/>
        <v/>
      </c>
      <c r="S32" s="544" t="str">
        <f t="shared" si="3"/>
        <v/>
      </c>
      <c r="T32" s="525"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 ⚠",P32&gt;=O32),"Low",VLOOKUP(F32,'G-3 Multipliers'!$A$2:$E$129,4,FALSE))))</f>
        <v/>
      </c>
      <c r="X32" s="524" t="str">
        <f>IFERROR(IF(E32="","",VLOOKUP(W32, 'G-3 Multipliers'!$P$2:$Q$6,2,FALSE)),"")</f>
        <v/>
      </c>
      <c r="Y32" s="197"/>
      <c r="Z32" s="499" t="str">
        <f>IF(Y32="","",IF(VLOOKUP(Y32,'G-3 Multipliers'!$S$3:$T$9,2,FALSE)=0,"Spatial Data Missing ⚠",VLOOKUP(Y32,'G-3 Multipliers'!$S$3:$T$9,2,FALSE)))</f>
        <v/>
      </c>
      <c r="AA32" s="545" t="str">
        <f t="shared" si="0"/>
        <v/>
      </c>
      <c r="AB32" s="149"/>
      <c r="AC32" s="150"/>
    </row>
    <row r="33" spans="1:29" ht="13.8" x14ac:dyDescent="0.25">
      <c r="A33" s="31" t="str">
        <f>IFERROR(INDEX('G-8 Condition Look up'!$I$4:$I$130,MATCH(F33,'G-8 Condition Look up'!$A$4:$A$130,0)),"")</f>
        <v/>
      </c>
      <c r="C33" s="244" t="str">
        <f>IFERROR(INDEX('G-1 All Habitats'!$AG$3:$AG$15,MATCH(D33,'G-1 All Habitats'!$AF$3:$AF$15,0)),"")</f>
        <v/>
      </c>
      <c r="D33" s="154"/>
      <c r="E33" s="203"/>
      <c r="F33" s="243" t="str">
        <f>IFERROR(INDEX('G-1 All Habitats'!$B$3:$B$129,MATCH(E33,'G-1 All Habitats'!$A$3:$A$129,0)),"")</f>
        <v/>
      </c>
      <c r="G33" s="386"/>
      <c r="H33" s="537" t="str">
        <f>IF(F33="","",VLOOKUP(F33,'G-1 All Habitats'!$B$2:$M$129,10,FALSE))</f>
        <v/>
      </c>
      <c r="I33" s="524" t="str">
        <f>IFERROR(VLOOKUP(H33,'G-1 All Habitats'!$V$3:$W$7,2,FALSE),"")</f>
        <v/>
      </c>
      <c r="J33" s="199"/>
      <c r="K33" s="524" t="str">
        <f>IFERROR(INDEX('G-8 Condition Look up'!$A$3:$H$130,MATCH(F33,'G-8 Condition Look up'!$A$3:$A$130,0),MATCH(J33,'G-8 Condition Look up'!$A$3:$H$3,0)),"")</f>
        <v/>
      </c>
      <c r="L33" s="145"/>
      <c r="M33" s="540" t="str">
        <f>IF(L33="","",IF(VLOOKUP(L33,'G-3 Multipliers'!$L$3:$N$6,2,FALSE)=0,"Spatial Data Missing ⚠",VLOOKUP(L33,'G-3 Multipliers'!$L$3:$N$6,2,FALSE)))</f>
        <v/>
      </c>
      <c r="N33" s="499" t="str">
        <f>IF(L33="","",IF(VLOOKUP(L33,'G-3 Multipliers'!$L$3:$N$6,3,FALSE)=0,"Spatial Data Missing ⚠",VLOOKUP(L33,'G-3 Multipliers'!$L$3:$N$6,3,FALSE)))</f>
        <v/>
      </c>
      <c r="O33" s="498" t="str">
        <f t="shared" si="1"/>
        <v/>
      </c>
      <c r="P33" s="195"/>
      <c r="Q33" s="195"/>
      <c r="R33" s="520" t="str">
        <f t="shared" si="2"/>
        <v/>
      </c>
      <c r="S33" s="544" t="str">
        <f t="shared" si="3"/>
        <v/>
      </c>
      <c r="T33" s="525"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 ⚠",P33&gt;=O33),"Low",VLOOKUP(F33,'G-3 Multipliers'!$A$2:$E$129,4,FALSE))))</f>
        <v/>
      </c>
      <c r="X33" s="524" t="str">
        <f>IFERROR(IF(E33="","",VLOOKUP(W33, 'G-3 Multipliers'!$P$2:$Q$6,2,FALSE)),"")</f>
        <v/>
      </c>
      <c r="Y33" s="197"/>
      <c r="Z33" s="499" t="str">
        <f>IF(Y33="","",IF(VLOOKUP(Y33,'G-3 Multipliers'!$S$3:$T$9,2,FALSE)=0,"Spatial Data Missing ⚠",VLOOKUP(Y33,'G-3 Multipliers'!$S$3:$T$9,2,FALSE)))</f>
        <v/>
      </c>
      <c r="AA33" s="545" t="str">
        <f t="shared" si="0"/>
        <v/>
      </c>
      <c r="AB33" s="149"/>
      <c r="AC33" s="150"/>
    </row>
    <row r="34" spans="1:29" ht="13.8" x14ac:dyDescent="0.25">
      <c r="A34" s="31" t="str">
        <f>IFERROR(INDEX('G-8 Condition Look up'!$I$4:$I$130,MATCH(F34,'G-8 Condition Look up'!$A$4:$A$130,0)),"")</f>
        <v/>
      </c>
      <c r="C34" s="244" t="str">
        <f>IFERROR(INDEX('G-1 All Habitats'!$AG$3:$AG$15,MATCH(D34,'G-1 All Habitats'!$AF$3:$AF$15,0)),"")</f>
        <v/>
      </c>
      <c r="D34" s="154"/>
      <c r="E34" s="203"/>
      <c r="F34" s="243" t="str">
        <f>IFERROR(INDEX('G-1 All Habitats'!$B$3:$B$129,MATCH(E34,'G-1 All Habitats'!$A$3:$A$129,0)),"")</f>
        <v/>
      </c>
      <c r="G34" s="386"/>
      <c r="H34" s="537" t="str">
        <f>IF(F34="","",VLOOKUP(F34,'G-1 All Habitats'!$B$2:$M$129,10,FALSE))</f>
        <v/>
      </c>
      <c r="I34" s="524" t="str">
        <f>IFERROR(VLOOKUP(H34,'G-1 All Habitats'!$V$3:$W$7,2,FALSE),"")</f>
        <v/>
      </c>
      <c r="J34" s="199"/>
      <c r="K34" s="524" t="str">
        <f>IFERROR(INDEX('G-8 Condition Look up'!$A$3:$H$130,MATCH(F34,'G-8 Condition Look up'!$A$3:$A$130,0),MATCH(J34,'G-8 Condition Look up'!$A$3:$H$3,0)),"")</f>
        <v/>
      </c>
      <c r="L34" s="145"/>
      <c r="M34" s="540" t="str">
        <f>IF(L34="","",IF(VLOOKUP(L34,'G-3 Multipliers'!$L$3:$N$6,2,FALSE)=0,"Spatial Data Missing ⚠",VLOOKUP(L34,'G-3 Multipliers'!$L$3:$N$6,2,FALSE)))</f>
        <v/>
      </c>
      <c r="N34" s="499" t="str">
        <f>IF(L34="","",IF(VLOOKUP(L34,'G-3 Multipliers'!$L$3:$N$6,3,FALSE)=0,"Spatial Data Missing ⚠",VLOOKUP(L34,'G-3 Multipliers'!$L$3:$N$6,3,FALSE)))</f>
        <v/>
      </c>
      <c r="O34" s="498" t="str">
        <f t="shared" si="1"/>
        <v/>
      </c>
      <c r="P34" s="195"/>
      <c r="Q34" s="195"/>
      <c r="R34" s="520" t="str">
        <f t="shared" si="2"/>
        <v/>
      </c>
      <c r="S34" s="544" t="str">
        <f t="shared" si="3"/>
        <v/>
      </c>
      <c r="T34" s="525"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 ⚠",P34&gt;=O34),"Low",VLOOKUP(F34,'G-3 Multipliers'!$A$2:$E$129,4,FALSE))))</f>
        <v/>
      </c>
      <c r="X34" s="524" t="str">
        <f>IFERROR(IF(E34="","",VLOOKUP(W34, 'G-3 Multipliers'!$P$2:$Q$6,2,FALSE)),"")</f>
        <v/>
      </c>
      <c r="Y34" s="197"/>
      <c r="Z34" s="499" t="str">
        <f>IF(Y34="","",IF(VLOOKUP(Y34,'G-3 Multipliers'!$S$3:$T$9,2,FALSE)=0,"Spatial Data Missing ⚠",VLOOKUP(Y34,'G-3 Multipliers'!$S$3:$T$9,2,FALSE)))</f>
        <v/>
      </c>
      <c r="AA34" s="545" t="str">
        <f t="shared" si="0"/>
        <v/>
      </c>
      <c r="AB34" s="149"/>
      <c r="AC34" s="150"/>
    </row>
    <row r="35" spans="1:29" ht="13.8" x14ac:dyDescent="0.25">
      <c r="A35" s="31" t="str">
        <f>IFERROR(INDEX('G-8 Condition Look up'!$I$4:$I$130,MATCH(F35,'G-8 Condition Look up'!$A$4:$A$130,0)),"")</f>
        <v/>
      </c>
      <c r="C35" s="244" t="str">
        <f>IFERROR(INDEX('G-1 All Habitats'!$AG$3:$AG$15,MATCH(D35,'G-1 All Habitats'!$AF$3:$AF$15,0)),"")</f>
        <v/>
      </c>
      <c r="D35" s="154"/>
      <c r="E35" s="203"/>
      <c r="F35" s="243" t="str">
        <f>IFERROR(INDEX('G-1 All Habitats'!$B$3:$B$129,MATCH(E35,'G-1 All Habitats'!$A$3:$A$129,0)),"")</f>
        <v/>
      </c>
      <c r="G35" s="386"/>
      <c r="H35" s="537" t="str">
        <f>IF(F35="","",VLOOKUP(F35,'G-1 All Habitats'!$B$2:$M$129,10,FALSE))</f>
        <v/>
      </c>
      <c r="I35" s="524" t="str">
        <f>IFERROR(VLOOKUP(H35,'G-1 All Habitats'!$V$3:$W$7,2,FALSE),"")</f>
        <v/>
      </c>
      <c r="J35" s="199"/>
      <c r="K35" s="524" t="str">
        <f>IFERROR(INDEX('G-8 Condition Look up'!$A$3:$H$130,MATCH(F35,'G-8 Condition Look up'!$A$3:$A$130,0),MATCH(J35,'G-8 Condition Look up'!$A$3:$H$3,0)),"")</f>
        <v/>
      </c>
      <c r="L35" s="145"/>
      <c r="M35" s="540" t="str">
        <f>IF(L35="","",IF(VLOOKUP(L35,'G-3 Multipliers'!$L$3:$N$6,2,FALSE)=0,"Spatial Data Missing ⚠",VLOOKUP(L35,'G-3 Multipliers'!$L$3:$N$6,2,FALSE)))</f>
        <v/>
      </c>
      <c r="N35" s="499" t="str">
        <f>IF(L35="","",IF(VLOOKUP(L35,'G-3 Multipliers'!$L$3:$N$6,3,FALSE)=0,"Spatial Data Missing ⚠",VLOOKUP(L35,'G-3 Multipliers'!$L$3:$N$6,3,FALSE)))</f>
        <v/>
      </c>
      <c r="O35" s="498" t="str">
        <f t="shared" si="1"/>
        <v/>
      </c>
      <c r="P35" s="195"/>
      <c r="Q35" s="195"/>
      <c r="R35" s="520" t="str">
        <f t="shared" si="2"/>
        <v/>
      </c>
      <c r="S35" s="544" t="str">
        <f t="shared" si="3"/>
        <v/>
      </c>
      <c r="T35" s="525"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 ⚠",P35&gt;=O35),"Low",VLOOKUP(F35,'G-3 Multipliers'!$A$2:$E$129,4,FALSE))))</f>
        <v/>
      </c>
      <c r="X35" s="524" t="str">
        <f>IFERROR(IF(E35="","",VLOOKUP(W35, 'G-3 Multipliers'!$P$2:$Q$6,2,FALSE)),"")</f>
        <v/>
      </c>
      <c r="Y35" s="197"/>
      <c r="Z35" s="499" t="str">
        <f>IF(Y35="","",IF(VLOOKUP(Y35,'G-3 Multipliers'!$S$3:$T$9,2,FALSE)=0,"Spatial Data Missing ⚠",VLOOKUP(Y35,'G-3 Multipliers'!$S$3:$T$9,2,FALSE)))</f>
        <v/>
      </c>
      <c r="AA35" s="545" t="str">
        <f t="shared" si="0"/>
        <v/>
      </c>
      <c r="AB35" s="149"/>
      <c r="AC35" s="150"/>
    </row>
    <row r="36" spans="1:29" ht="13.8" x14ac:dyDescent="0.25">
      <c r="A36" s="31" t="str">
        <f>IFERROR(INDEX('G-8 Condition Look up'!$I$4:$I$130,MATCH(F36,'G-8 Condition Look up'!$A$4:$A$130,0)),"")</f>
        <v/>
      </c>
      <c r="C36" s="244" t="str">
        <f>IFERROR(INDEX('G-1 All Habitats'!$AG$3:$AG$15,MATCH(D36,'G-1 All Habitats'!$AF$3:$AF$15,0)),"")</f>
        <v/>
      </c>
      <c r="D36" s="154"/>
      <c r="E36" s="203"/>
      <c r="F36" s="243" t="str">
        <f>IFERROR(INDEX('G-1 All Habitats'!$B$3:$B$129,MATCH(E36,'G-1 All Habitats'!$A$3:$A$129,0)),"")</f>
        <v/>
      </c>
      <c r="G36" s="386"/>
      <c r="H36" s="537" t="str">
        <f>IF(F36="","",VLOOKUP(F36,'G-1 All Habitats'!$B$2:$M$129,10,FALSE))</f>
        <v/>
      </c>
      <c r="I36" s="524" t="str">
        <f>IFERROR(VLOOKUP(H36,'G-1 All Habitats'!$V$3:$W$7,2,FALSE),"")</f>
        <v/>
      </c>
      <c r="J36" s="199"/>
      <c r="K36" s="524" t="str">
        <f>IFERROR(INDEX('G-8 Condition Look up'!$A$3:$H$130,MATCH(F36,'G-8 Condition Look up'!$A$3:$A$130,0),MATCH(J36,'G-8 Condition Look up'!$A$3:$H$3,0)),"")</f>
        <v/>
      </c>
      <c r="L36" s="145"/>
      <c r="M36" s="540" t="str">
        <f>IF(L36="","",IF(VLOOKUP(L36,'G-3 Multipliers'!$L$3:$N$6,2,FALSE)=0,"Spatial Data Missing ⚠",VLOOKUP(L36,'G-3 Multipliers'!$L$3:$N$6,2,FALSE)))</f>
        <v/>
      </c>
      <c r="N36" s="499" t="str">
        <f>IF(L36="","",IF(VLOOKUP(L36,'G-3 Multipliers'!$L$3:$N$6,3,FALSE)=0,"Spatial Data Missing ⚠",VLOOKUP(L36,'G-3 Multipliers'!$L$3:$N$6,3,FALSE)))</f>
        <v/>
      </c>
      <c r="O36" s="498" t="str">
        <f t="shared" si="1"/>
        <v/>
      </c>
      <c r="P36" s="195"/>
      <c r="Q36" s="195"/>
      <c r="R36" s="520" t="str">
        <f t="shared" si="2"/>
        <v/>
      </c>
      <c r="S36" s="544" t="str">
        <f t="shared" si="3"/>
        <v/>
      </c>
      <c r="T36" s="525"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 ⚠",P36&gt;=O36),"Low",VLOOKUP(F36,'G-3 Multipliers'!$A$2:$E$129,4,FALSE))))</f>
        <v/>
      </c>
      <c r="X36" s="524" t="str">
        <f>IFERROR(IF(E36="","",VLOOKUP(W36, 'G-3 Multipliers'!$P$2:$Q$6,2,FALSE)),"")</f>
        <v/>
      </c>
      <c r="Y36" s="197"/>
      <c r="Z36" s="499" t="str">
        <f>IF(Y36="","",IF(VLOOKUP(Y36,'G-3 Multipliers'!$S$3:$T$9,2,FALSE)=0,"Spatial Data Missing ⚠",VLOOKUP(Y36,'G-3 Multipliers'!$S$3:$T$9,2,FALSE)))</f>
        <v/>
      </c>
      <c r="AA36" s="545" t="str">
        <f t="shared" si="0"/>
        <v/>
      </c>
      <c r="AB36" s="149"/>
      <c r="AC36" s="150"/>
    </row>
    <row r="37" spans="1:29" ht="13.8" x14ac:dyDescent="0.25">
      <c r="A37" s="31" t="str">
        <f>IFERROR(INDEX('G-8 Condition Look up'!$I$4:$I$130,MATCH(F37,'G-8 Condition Look up'!$A$4:$A$130,0)),"")</f>
        <v/>
      </c>
      <c r="C37" s="244" t="str">
        <f>IFERROR(INDEX('G-1 All Habitats'!$AG$3:$AG$15,MATCH(D37,'G-1 All Habitats'!$AF$3:$AF$15,0)),"")</f>
        <v/>
      </c>
      <c r="D37" s="154"/>
      <c r="E37" s="203"/>
      <c r="F37" s="243" t="str">
        <f>IFERROR(INDEX('G-1 All Habitats'!$B$3:$B$129,MATCH(E37,'G-1 All Habitats'!$A$3:$A$129,0)),"")</f>
        <v/>
      </c>
      <c r="G37" s="386"/>
      <c r="H37" s="537" t="str">
        <f>IF(F37="","",VLOOKUP(F37,'G-1 All Habitats'!$B$2:$M$129,10,FALSE))</f>
        <v/>
      </c>
      <c r="I37" s="524" t="str">
        <f>IFERROR(VLOOKUP(H37,'G-1 All Habitats'!$V$3:$W$7,2,FALSE),"")</f>
        <v/>
      </c>
      <c r="J37" s="199"/>
      <c r="K37" s="524" t="str">
        <f>IFERROR(INDEX('G-8 Condition Look up'!$A$3:$H$130,MATCH(F37,'G-8 Condition Look up'!$A$3:$A$130,0),MATCH(J37,'G-8 Condition Look up'!$A$3:$H$3,0)),"")</f>
        <v/>
      </c>
      <c r="L37" s="145"/>
      <c r="M37" s="540" t="str">
        <f>IF(L37="","",IF(VLOOKUP(L37,'G-3 Multipliers'!$L$3:$N$6,2,FALSE)=0,"Spatial Data Missing ⚠",VLOOKUP(L37,'G-3 Multipliers'!$L$3:$N$6,2,FALSE)))</f>
        <v/>
      </c>
      <c r="N37" s="499" t="str">
        <f>IF(L37="","",IF(VLOOKUP(L37,'G-3 Multipliers'!$L$3:$N$6,3,FALSE)=0,"Spatial Data Missing ⚠",VLOOKUP(L37,'G-3 Multipliers'!$L$3:$N$6,3,FALSE)))</f>
        <v/>
      </c>
      <c r="O37" s="498" t="str">
        <f t="shared" si="1"/>
        <v/>
      </c>
      <c r="P37" s="195"/>
      <c r="Q37" s="195"/>
      <c r="R37" s="520" t="str">
        <f t="shared" si="2"/>
        <v/>
      </c>
      <c r="S37" s="544" t="str">
        <f t="shared" si="3"/>
        <v/>
      </c>
      <c r="T37" s="525"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 ⚠",P37&gt;=O37),"Low",VLOOKUP(F37,'G-3 Multipliers'!$A$2:$E$129,4,FALSE))))</f>
        <v/>
      </c>
      <c r="X37" s="524" t="str">
        <f>IFERROR(IF(E37="","",VLOOKUP(W37, 'G-3 Multipliers'!$P$2:$Q$6,2,FALSE)),"")</f>
        <v/>
      </c>
      <c r="Y37" s="197"/>
      <c r="Z37" s="499" t="str">
        <f>IF(Y37="","",IF(VLOOKUP(Y37,'G-3 Multipliers'!$S$3:$T$9,2,FALSE)=0,"Spatial Data Missing ⚠",VLOOKUP(Y37,'G-3 Multipliers'!$S$3:$T$9,2,FALSE)))</f>
        <v/>
      </c>
      <c r="AA37" s="545" t="str">
        <f t="shared" si="0"/>
        <v/>
      </c>
      <c r="AB37" s="149"/>
      <c r="AC37" s="150"/>
    </row>
    <row r="38" spans="1:29" ht="13.8" x14ac:dyDescent="0.25">
      <c r="A38" s="31" t="str">
        <f>IFERROR(INDEX('G-8 Condition Look up'!$I$4:$I$130,MATCH(F38,'G-8 Condition Look up'!$A$4:$A$130,0)),"")</f>
        <v/>
      </c>
      <c r="C38" s="244" t="str">
        <f>IFERROR(INDEX('G-1 All Habitats'!$AG$3:$AG$15,MATCH(D38,'G-1 All Habitats'!$AF$3:$AF$15,0)),"")</f>
        <v/>
      </c>
      <c r="D38" s="154"/>
      <c r="E38" s="203"/>
      <c r="F38" s="243" t="str">
        <f>IFERROR(INDEX('G-1 All Habitats'!$B$3:$B$129,MATCH(E38,'G-1 All Habitats'!$A$3:$A$129,0)),"")</f>
        <v/>
      </c>
      <c r="G38" s="386"/>
      <c r="H38" s="537" t="str">
        <f>IF(F38="","",VLOOKUP(F38,'G-1 All Habitats'!$B$2:$M$129,10,FALSE))</f>
        <v/>
      </c>
      <c r="I38" s="524" t="str">
        <f>IFERROR(VLOOKUP(H38,'G-1 All Habitats'!$V$3:$W$7,2,FALSE),"")</f>
        <v/>
      </c>
      <c r="J38" s="199"/>
      <c r="K38" s="524" t="str">
        <f>IFERROR(INDEX('G-8 Condition Look up'!$A$3:$H$130,MATCH(F38,'G-8 Condition Look up'!$A$3:$A$130,0),MATCH(J38,'G-8 Condition Look up'!$A$3:$H$3,0)),"")</f>
        <v/>
      </c>
      <c r="L38" s="145"/>
      <c r="M38" s="540" t="str">
        <f>IF(L38="","",IF(VLOOKUP(L38,'G-3 Multipliers'!$L$3:$N$6,2,FALSE)=0,"Spatial Data Missing ⚠",VLOOKUP(L38,'G-3 Multipliers'!$L$3:$N$6,2,FALSE)))</f>
        <v/>
      </c>
      <c r="N38" s="499" t="str">
        <f>IF(L38="","",IF(VLOOKUP(L38,'G-3 Multipliers'!$L$3:$N$6,3,FALSE)=0,"Spatial Data Missing ⚠",VLOOKUP(L38,'G-3 Multipliers'!$L$3:$N$6,3,FALSE)))</f>
        <v/>
      </c>
      <c r="O38" s="498" t="str">
        <f t="shared" si="1"/>
        <v/>
      </c>
      <c r="P38" s="195"/>
      <c r="Q38" s="195"/>
      <c r="R38" s="520" t="str">
        <f t="shared" si="2"/>
        <v/>
      </c>
      <c r="S38" s="544" t="str">
        <f t="shared" si="3"/>
        <v/>
      </c>
      <c r="T38" s="525"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 ⚠",P38&gt;=O38),"Low",VLOOKUP(F38,'G-3 Multipliers'!$A$2:$E$129,4,FALSE))))</f>
        <v/>
      </c>
      <c r="X38" s="524" t="str">
        <f>IFERROR(IF(E38="","",VLOOKUP(W38, 'G-3 Multipliers'!$P$2:$Q$6,2,FALSE)),"")</f>
        <v/>
      </c>
      <c r="Y38" s="197"/>
      <c r="Z38" s="499" t="str">
        <f>IF(Y38="","",IF(VLOOKUP(Y38,'G-3 Multipliers'!$S$3:$T$9,2,FALSE)=0,"Spatial Data Missing ⚠",VLOOKUP(Y38,'G-3 Multipliers'!$S$3:$T$9,2,FALSE)))</f>
        <v/>
      </c>
      <c r="AA38" s="545" t="str">
        <f t="shared" si="0"/>
        <v/>
      </c>
      <c r="AB38" s="149"/>
      <c r="AC38" s="150"/>
    </row>
    <row r="39" spans="1:29" ht="13.8" x14ac:dyDescent="0.25">
      <c r="A39" s="31" t="str">
        <f>IFERROR(INDEX('G-8 Condition Look up'!$I$4:$I$130,MATCH(F39,'G-8 Condition Look up'!$A$4:$A$130,0)),"")</f>
        <v/>
      </c>
      <c r="C39" s="244" t="str">
        <f>IFERROR(INDEX('G-1 All Habitats'!$AG$3:$AG$15,MATCH(D39,'G-1 All Habitats'!$AF$3:$AF$15,0)),"")</f>
        <v/>
      </c>
      <c r="D39" s="154"/>
      <c r="E39" s="203"/>
      <c r="F39" s="243" t="str">
        <f>IFERROR(INDEX('G-1 All Habitats'!$B$3:$B$129,MATCH(E39,'G-1 All Habitats'!$A$3:$A$129,0)),"")</f>
        <v/>
      </c>
      <c r="G39" s="386"/>
      <c r="H39" s="537" t="str">
        <f>IF(F39="","",VLOOKUP(F39,'G-1 All Habitats'!$B$2:$M$129,10,FALSE))</f>
        <v/>
      </c>
      <c r="I39" s="524" t="str">
        <f>IFERROR(VLOOKUP(H39,'G-1 All Habitats'!$V$3:$W$7,2,FALSE),"")</f>
        <v/>
      </c>
      <c r="J39" s="199"/>
      <c r="K39" s="524" t="str">
        <f>IFERROR(INDEX('G-8 Condition Look up'!$A$3:$H$130,MATCH(F39,'G-8 Condition Look up'!$A$3:$A$130,0),MATCH(J39,'G-8 Condition Look up'!$A$3:$H$3,0)),"")</f>
        <v/>
      </c>
      <c r="L39" s="145"/>
      <c r="M39" s="540" t="str">
        <f>IF(L39="","",IF(VLOOKUP(L39,'G-3 Multipliers'!$L$3:$N$6,2,FALSE)=0,"Spatial Data Missing ⚠",VLOOKUP(L39,'G-3 Multipliers'!$L$3:$N$6,2,FALSE)))</f>
        <v/>
      </c>
      <c r="N39" s="499" t="str">
        <f>IF(L39="","",IF(VLOOKUP(L39,'G-3 Multipliers'!$L$3:$N$6,3,FALSE)=0,"Spatial Data Missing ⚠",VLOOKUP(L39,'G-3 Multipliers'!$L$3:$N$6,3,FALSE)))</f>
        <v/>
      </c>
      <c r="O39" s="498" t="str">
        <f t="shared" si="1"/>
        <v/>
      </c>
      <c r="P39" s="195"/>
      <c r="Q39" s="195"/>
      <c r="R39" s="520" t="str">
        <f t="shared" si="2"/>
        <v/>
      </c>
      <c r="S39" s="544" t="str">
        <f t="shared" si="3"/>
        <v/>
      </c>
      <c r="T39" s="525"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 ⚠",P39&gt;=O39),"Low",VLOOKUP(F39,'G-3 Multipliers'!$A$2:$E$129,4,FALSE))))</f>
        <v/>
      </c>
      <c r="X39" s="524" t="str">
        <f>IFERROR(IF(E39="","",VLOOKUP(W39, 'G-3 Multipliers'!$P$2:$Q$6,2,FALSE)),"")</f>
        <v/>
      </c>
      <c r="Y39" s="197"/>
      <c r="Z39" s="499" t="str">
        <f>IF(Y39="","",IF(VLOOKUP(Y39,'G-3 Multipliers'!$S$3:$T$9,2,FALSE)=0,"Spatial Data Missing ⚠",VLOOKUP(Y39,'G-3 Multipliers'!$S$3:$T$9,2,FALSE)))</f>
        <v/>
      </c>
      <c r="AA39" s="545" t="str">
        <f t="shared" si="0"/>
        <v/>
      </c>
      <c r="AB39" s="149"/>
      <c r="AC39" s="150"/>
    </row>
    <row r="40" spans="1:29" ht="13.8" x14ac:dyDescent="0.25">
      <c r="A40" s="31" t="str">
        <f>IFERROR(INDEX('G-8 Condition Look up'!$I$4:$I$130,MATCH(F40,'G-8 Condition Look up'!$A$4:$A$130,0)),"")</f>
        <v/>
      </c>
      <c r="C40" s="244" t="str">
        <f>IFERROR(INDEX('G-1 All Habitats'!$AG$3:$AG$15,MATCH(D40,'G-1 All Habitats'!$AF$3:$AF$15,0)),"")</f>
        <v/>
      </c>
      <c r="D40" s="154"/>
      <c r="E40" s="203"/>
      <c r="F40" s="243" t="str">
        <f>IFERROR(INDEX('G-1 All Habitats'!$B$3:$B$129,MATCH(E40,'G-1 All Habitats'!$A$3:$A$129,0)),"")</f>
        <v/>
      </c>
      <c r="G40" s="386"/>
      <c r="H40" s="537" t="str">
        <f>IF(F40="","",VLOOKUP(F40,'G-1 All Habitats'!$B$2:$M$129,10,FALSE))</f>
        <v/>
      </c>
      <c r="I40" s="524" t="str">
        <f>IFERROR(VLOOKUP(H40,'G-1 All Habitats'!$V$3:$W$7,2,FALSE),"")</f>
        <v/>
      </c>
      <c r="J40" s="199"/>
      <c r="K40" s="524" t="str">
        <f>IFERROR(INDEX('G-8 Condition Look up'!$A$3:$H$130,MATCH(F40,'G-8 Condition Look up'!$A$3:$A$130,0),MATCH(J40,'G-8 Condition Look up'!$A$3:$H$3,0)),"")</f>
        <v/>
      </c>
      <c r="L40" s="145"/>
      <c r="M40" s="540" t="str">
        <f>IF(L40="","",IF(VLOOKUP(L40,'G-3 Multipliers'!$L$3:$N$6,2,FALSE)=0,"Spatial Data Missing ⚠",VLOOKUP(L40,'G-3 Multipliers'!$L$3:$N$6,2,FALSE)))</f>
        <v/>
      </c>
      <c r="N40" s="499" t="str">
        <f>IF(L40="","",IF(VLOOKUP(L40,'G-3 Multipliers'!$L$3:$N$6,3,FALSE)=0,"Spatial Data Missing ⚠",VLOOKUP(L40,'G-3 Multipliers'!$L$3:$N$6,3,FALSE)))</f>
        <v/>
      </c>
      <c r="O40" s="498" t="str">
        <f t="shared" si="1"/>
        <v/>
      </c>
      <c r="P40" s="195"/>
      <c r="Q40" s="195"/>
      <c r="R40" s="520" t="str">
        <f t="shared" si="2"/>
        <v/>
      </c>
      <c r="S40" s="544" t="str">
        <f t="shared" si="3"/>
        <v/>
      </c>
      <c r="T40" s="525"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 ⚠",P40&gt;=O40),"Low",VLOOKUP(F40,'G-3 Multipliers'!$A$2:$E$129,4,FALSE))))</f>
        <v/>
      </c>
      <c r="X40" s="524" t="str">
        <f>IFERROR(IF(E40="","",VLOOKUP(W40, 'G-3 Multipliers'!$P$2:$Q$6,2,FALSE)),"")</f>
        <v/>
      </c>
      <c r="Y40" s="197"/>
      <c r="Z40" s="499" t="str">
        <f>IF(Y40="","",IF(VLOOKUP(Y40,'G-3 Multipliers'!$S$3:$T$9,2,FALSE)=0,"Spatial Data Missing ⚠",VLOOKUP(Y40,'G-3 Multipliers'!$S$3:$T$9,2,FALSE)))</f>
        <v/>
      </c>
      <c r="AA40" s="545" t="str">
        <f t="shared" si="0"/>
        <v/>
      </c>
      <c r="AB40" s="149"/>
      <c r="AC40" s="150"/>
    </row>
    <row r="41" spans="1:29" ht="13.8" x14ac:dyDescent="0.25">
      <c r="A41" s="31" t="str">
        <f>IFERROR(INDEX('G-8 Condition Look up'!$I$4:$I$130,MATCH(F41,'G-8 Condition Look up'!$A$4:$A$130,0)),"")</f>
        <v/>
      </c>
      <c r="C41" s="244" t="str">
        <f>IFERROR(INDEX('G-1 All Habitats'!$AG$3:$AG$15,MATCH(D41,'G-1 All Habitats'!$AF$3:$AF$15,0)),"")</f>
        <v/>
      </c>
      <c r="D41" s="154"/>
      <c r="E41" s="203"/>
      <c r="F41" s="243" t="str">
        <f>IFERROR(INDEX('G-1 All Habitats'!$B$3:$B$129,MATCH(E41,'G-1 All Habitats'!$A$3:$A$129,0)),"")</f>
        <v/>
      </c>
      <c r="G41" s="386"/>
      <c r="H41" s="537" t="str">
        <f>IF(F41="","",VLOOKUP(F41,'G-1 All Habitats'!$B$2:$M$129,10,FALSE))</f>
        <v/>
      </c>
      <c r="I41" s="524" t="str">
        <f>IFERROR(VLOOKUP(H41,'G-1 All Habitats'!$V$3:$W$7,2,FALSE),"")</f>
        <v/>
      </c>
      <c r="J41" s="199"/>
      <c r="K41" s="524" t="str">
        <f>IFERROR(INDEX('G-8 Condition Look up'!$A$3:$H$130,MATCH(F41,'G-8 Condition Look up'!$A$3:$A$130,0),MATCH(J41,'G-8 Condition Look up'!$A$3:$H$3,0)),"")</f>
        <v/>
      </c>
      <c r="L41" s="145"/>
      <c r="M41" s="540" t="str">
        <f>IF(L41="","",IF(VLOOKUP(L41,'G-3 Multipliers'!$L$3:$N$6,2,FALSE)=0,"Spatial Data Missing ⚠",VLOOKUP(L41,'G-3 Multipliers'!$L$3:$N$6,2,FALSE)))</f>
        <v/>
      </c>
      <c r="N41" s="499" t="str">
        <f>IF(L41="","",IF(VLOOKUP(L41,'G-3 Multipliers'!$L$3:$N$6,3,FALSE)=0,"Spatial Data Missing ⚠",VLOOKUP(L41,'G-3 Multipliers'!$L$3:$N$6,3,FALSE)))</f>
        <v/>
      </c>
      <c r="O41" s="498" t="str">
        <f t="shared" si="1"/>
        <v/>
      </c>
      <c r="P41" s="195"/>
      <c r="Q41" s="195"/>
      <c r="R41" s="520" t="str">
        <f t="shared" si="2"/>
        <v/>
      </c>
      <c r="S41" s="544" t="str">
        <f t="shared" si="3"/>
        <v/>
      </c>
      <c r="T41" s="525"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 ⚠",P41&gt;=O41),"Low",VLOOKUP(F41,'G-3 Multipliers'!$A$2:$E$129,4,FALSE))))</f>
        <v/>
      </c>
      <c r="X41" s="524" t="str">
        <f>IFERROR(IF(E41="","",VLOOKUP(W41, 'G-3 Multipliers'!$P$2:$Q$6,2,FALSE)),"")</f>
        <v/>
      </c>
      <c r="Y41" s="197"/>
      <c r="Z41" s="499" t="str">
        <f>IF(Y41="","",IF(VLOOKUP(Y41,'G-3 Multipliers'!$S$3:$T$9,2,FALSE)=0,"Spatial Data Missing ⚠",VLOOKUP(Y41,'G-3 Multipliers'!$S$3:$T$9,2,FALSE)))</f>
        <v/>
      </c>
      <c r="AA41" s="545" t="str">
        <f t="shared" si="0"/>
        <v/>
      </c>
      <c r="AB41" s="149"/>
      <c r="AC41" s="150"/>
    </row>
    <row r="42" spans="1:29" ht="13.8" x14ac:dyDescent="0.25">
      <c r="A42" s="31" t="str">
        <f>IFERROR(INDEX('G-8 Condition Look up'!$I$4:$I$130,MATCH(F42,'G-8 Condition Look up'!$A$4:$A$130,0)),"")</f>
        <v/>
      </c>
      <c r="C42" s="244" t="str">
        <f>IFERROR(INDEX('G-1 All Habitats'!$AG$3:$AG$15,MATCH(D42,'G-1 All Habitats'!$AF$3:$AF$15,0)),"")</f>
        <v/>
      </c>
      <c r="D42" s="154"/>
      <c r="E42" s="203"/>
      <c r="F42" s="243" t="str">
        <f>IFERROR(INDEX('G-1 All Habitats'!$B$3:$B$129,MATCH(E42,'G-1 All Habitats'!$A$3:$A$129,0)),"")</f>
        <v/>
      </c>
      <c r="G42" s="386"/>
      <c r="H42" s="537" t="str">
        <f>IF(F42="","",VLOOKUP(F42,'G-1 All Habitats'!$B$2:$M$129,10,FALSE))</f>
        <v/>
      </c>
      <c r="I42" s="524" t="str">
        <f>IFERROR(VLOOKUP(H42,'G-1 All Habitats'!$V$3:$W$7,2,FALSE),"")</f>
        <v/>
      </c>
      <c r="J42" s="199"/>
      <c r="K42" s="524" t="str">
        <f>IFERROR(INDEX('G-8 Condition Look up'!$A$3:$H$130,MATCH(F42,'G-8 Condition Look up'!$A$3:$A$130,0),MATCH(J42,'G-8 Condition Look up'!$A$3:$H$3,0)),"")</f>
        <v/>
      </c>
      <c r="L42" s="145"/>
      <c r="M42" s="540" t="str">
        <f>IF(L42="","",IF(VLOOKUP(L42,'G-3 Multipliers'!$L$3:$N$6,2,FALSE)=0,"Spatial Data Missing ⚠",VLOOKUP(L42,'G-3 Multipliers'!$L$3:$N$6,2,FALSE)))</f>
        <v/>
      </c>
      <c r="N42" s="499" t="str">
        <f>IF(L42="","",IF(VLOOKUP(L42,'G-3 Multipliers'!$L$3:$N$6,3,FALSE)=0,"Spatial Data Missing ⚠",VLOOKUP(L42,'G-3 Multipliers'!$L$3:$N$6,3,FALSE)))</f>
        <v/>
      </c>
      <c r="O42" s="498" t="str">
        <f t="shared" si="1"/>
        <v/>
      </c>
      <c r="P42" s="195"/>
      <c r="Q42" s="195"/>
      <c r="R42" s="520" t="str">
        <f t="shared" si="2"/>
        <v/>
      </c>
      <c r="S42" s="544" t="str">
        <f t="shared" si="3"/>
        <v/>
      </c>
      <c r="T42" s="525"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 ⚠",P42&gt;=O42),"Low",VLOOKUP(F42,'G-3 Multipliers'!$A$2:$E$129,4,FALSE))))</f>
        <v/>
      </c>
      <c r="X42" s="524" t="str">
        <f>IFERROR(IF(E42="","",VLOOKUP(W42, 'G-3 Multipliers'!$P$2:$Q$6,2,FALSE)),"")</f>
        <v/>
      </c>
      <c r="Y42" s="197"/>
      <c r="Z42" s="499" t="str">
        <f>IF(Y42="","",IF(VLOOKUP(Y42,'G-3 Multipliers'!$S$3:$T$9,2,FALSE)=0,"Spatial Data Missing ⚠",VLOOKUP(Y42,'G-3 Multipliers'!$S$3:$T$9,2,FALSE)))</f>
        <v/>
      </c>
      <c r="AA42" s="545" t="str">
        <f t="shared" si="0"/>
        <v/>
      </c>
      <c r="AB42" s="149"/>
      <c r="AC42" s="150"/>
    </row>
    <row r="43" spans="1:29" ht="13.8" x14ac:dyDescent="0.25">
      <c r="A43" s="31" t="str">
        <f>IFERROR(INDEX('G-8 Condition Look up'!$I$4:$I$130,MATCH(F43,'G-8 Condition Look up'!$A$4:$A$130,0)),"")</f>
        <v/>
      </c>
      <c r="C43" s="244" t="str">
        <f>IFERROR(INDEX('G-1 All Habitats'!$AG$3:$AG$15,MATCH(D43,'G-1 All Habitats'!$AF$3:$AF$15,0)),"")</f>
        <v/>
      </c>
      <c r="D43" s="154"/>
      <c r="E43" s="203"/>
      <c r="F43" s="243" t="str">
        <f>IFERROR(INDEX('G-1 All Habitats'!$B$3:$B$129,MATCH(E43,'G-1 All Habitats'!$A$3:$A$129,0)),"")</f>
        <v/>
      </c>
      <c r="G43" s="386"/>
      <c r="H43" s="537" t="str">
        <f>IF(F43="","",VLOOKUP(F43,'G-1 All Habitats'!$B$2:$M$129,10,FALSE))</f>
        <v/>
      </c>
      <c r="I43" s="524" t="str">
        <f>IFERROR(VLOOKUP(H43,'G-1 All Habitats'!$V$3:$W$7,2,FALSE),"")</f>
        <v/>
      </c>
      <c r="J43" s="199"/>
      <c r="K43" s="524" t="str">
        <f>IFERROR(INDEX('G-8 Condition Look up'!$A$3:$H$130,MATCH(F43,'G-8 Condition Look up'!$A$3:$A$130,0),MATCH(J43,'G-8 Condition Look up'!$A$3:$H$3,0)),"")</f>
        <v/>
      </c>
      <c r="L43" s="145"/>
      <c r="M43" s="540" t="str">
        <f>IF(L43="","",IF(VLOOKUP(L43,'G-3 Multipliers'!$L$3:$N$6,2,FALSE)=0,"Spatial Data Missing ⚠",VLOOKUP(L43,'G-3 Multipliers'!$L$3:$N$6,2,FALSE)))</f>
        <v/>
      </c>
      <c r="N43" s="499" t="str">
        <f>IF(L43="","",IF(VLOOKUP(L43,'G-3 Multipliers'!$L$3:$N$6,3,FALSE)=0,"Spatial Data Missing ⚠",VLOOKUP(L43,'G-3 Multipliers'!$L$3:$N$6,3,FALSE)))</f>
        <v/>
      </c>
      <c r="O43" s="498" t="str">
        <f t="shared" si="1"/>
        <v/>
      </c>
      <c r="P43" s="195"/>
      <c r="Q43" s="195"/>
      <c r="R43" s="520" t="str">
        <f t="shared" si="2"/>
        <v/>
      </c>
      <c r="S43" s="544" t="str">
        <f t="shared" si="3"/>
        <v/>
      </c>
      <c r="T43" s="525"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 ⚠",P43&gt;=O43),"Low",VLOOKUP(F43,'G-3 Multipliers'!$A$2:$E$129,4,FALSE))))</f>
        <v/>
      </c>
      <c r="X43" s="524" t="str">
        <f>IFERROR(IF(E43="","",VLOOKUP(W43, 'G-3 Multipliers'!$P$2:$Q$6,2,FALSE)),"")</f>
        <v/>
      </c>
      <c r="Y43" s="197"/>
      <c r="Z43" s="499" t="str">
        <f>IF(Y43="","",IF(VLOOKUP(Y43,'G-3 Multipliers'!$S$3:$T$9,2,FALSE)=0,"Spatial Data Missing ⚠",VLOOKUP(Y43,'G-3 Multipliers'!$S$3:$T$9,2,FALSE)))</f>
        <v/>
      </c>
      <c r="AA43" s="545" t="str">
        <f t="shared" si="0"/>
        <v/>
      </c>
      <c r="AB43" s="149"/>
      <c r="AC43" s="150"/>
    </row>
    <row r="44" spans="1:29" ht="13.8" x14ac:dyDescent="0.25">
      <c r="A44" s="31" t="str">
        <f>IFERROR(INDEX('G-8 Condition Look up'!$I$4:$I$130,MATCH(F44,'G-8 Condition Look up'!$A$4:$A$130,0)),"")</f>
        <v/>
      </c>
      <c r="C44" s="244" t="str">
        <f>IFERROR(INDEX('G-1 All Habitats'!$AG$3:$AG$15,MATCH(D44,'G-1 All Habitats'!$AF$3:$AF$15,0)),"")</f>
        <v/>
      </c>
      <c r="D44" s="154"/>
      <c r="E44" s="203"/>
      <c r="F44" s="243" t="str">
        <f>IFERROR(INDEX('G-1 All Habitats'!$B$3:$B$129,MATCH(E44,'G-1 All Habitats'!$A$3:$A$129,0)),"")</f>
        <v/>
      </c>
      <c r="G44" s="386"/>
      <c r="H44" s="537" t="str">
        <f>IF(F44="","",VLOOKUP(F44,'G-1 All Habitats'!$B$2:$M$129,10,FALSE))</f>
        <v/>
      </c>
      <c r="I44" s="524" t="str">
        <f>IFERROR(VLOOKUP(H44,'G-1 All Habitats'!$V$3:$W$7,2,FALSE),"")</f>
        <v/>
      </c>
      <c r="J44" s="199"/>
      <c r="K44" s="524" t="str">
        <f>IFERROR(INDEX('G-8 Condition Look up'!$A$3:$H$130,MATCH(F44,'G-8 Condition Look up'!$A$3:$A$130,0),MATCH(J44,'G-8 Condition Look up'!$A$3:$H$3,0)),"")</f>
        <v/>
      </c>
      <c r="L44" s="145"/>
      <c r="M44" s="540" t="str">
        <f>IF(L44="","",IF(VLOOKUP(L44,'G-3 Multipliers'!$L$3:$N$6,2,FALSE)=0,"Spatial Data Missing ⚠",VLOOKUP(L44,'G-3 Multipliers'!$L$3:$N$6,2,FALSE)))</f>
        <v/>
      </c>
      <c r="N44" s="499" t="str">
        <f>IF(L44="","",IF(VLOOKUP(L44,'G-3 Multipliers'!$L$3:$N$6,3,FALSE)=0,"Spatial Data Missing ⚠",VLOOKUP(L44,'G-3 Multipliers'!$L$3:$N$6,3,FALSE)))</f>
        <v/>
      </c>
      <c r="O44" s="498" t="str">
        <f t="shared" si="1"/>
        <v/>
      </c>
      <c r="P44" s="195"/>
      <c r="Q44" s="195"/>
      <c r="R44" s="520" t="str">
        <f t="shared" si="2"/>
        <v/>
      </c>
      <c r="S44" s="544" t="str">
        <f t="shared" si="3"/>
        <v/>
      </c>
      <c r="T44" s="525"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 ⚠",P44&gt;=O44),"Low",VLOOKUP(F44,'G-3 Multipliers'!$A$2:$E$129,4,FALSE))))</f>
        <v/>
      </c>
      <c r="X44" s="524" t="str">
        <f>IFERROR(IF(E44="","",VLOOKUP(W44, 'G-3 Multipliers'!$P$2:$Q$6,2,FALSE)),"")</f>
        <v/>
      </c>
      <c r="Y44" s="197"/>
      <c r="Z44" s="499" t="str">
        <f>IF(Y44="","",IF(VLOOKUP(Y44,'G-3 Multipliers'!$S$3:$T$9,2,FALSE)=0,"Spatial Data Missing ⚠",VLOOKUP(Y44,'G-3 Multipliers'!$S$3:$T$9,2,FALSE)))</f>
        <v/>
      </c>
      <c r="AA44" s="545" t="str">
        <f t="shared" si="0"/>
        <v/>
      </c>
      <c r="AB44" s="149"/>
      <c r="AC44" s="150"/>
    </row>
    <row r="45" spans="1:29" ht="13.8" x14ac:dyDescent="0.25">
      <c r="A45" s="31" t="str">
        <f>IFERROR(INDEX('G-8 Condition Look up'!$I$4:$I$130,MATCH(F45,'G-8 Condition Look up'!$A$4:$A$130,0)),"")</f>
        <v/>
      </c>
      <c r="C45" s="244" t="str">
        <f>IFERROR(INDEX('G-1 All Habitats'!$AG$3:$AG$15,MATCH(D45,'G-1 All Habitats'!$AF$3:$AF$15,0)),"")</f>
        <v/>
      </c>
      <c r="D45" s="154"/>
      <c r="E45" s="203"/>
      <c r="F45" s="243" t="str">
        <f>IFERROR(INDEX('G-1 All Habitats'!$B$3:$B$129,MATCH(E45,'G-1 All Habitats'!$A$3:$A$129,0)),"")</f>
        <v/>
      </c>
      <c r="G45" s="386"/>
      <c r="H45" s="537" t="str">
        <f>IF(F45="","",VLOOKUP(F45,'G-1 All Habitats'!$B$2:$M$129,10,FALSE))</f>
        <v/>
      </c>
      <c r="I45" s="524" t="str">
        <f>IFERROR(VLOOKUP(H45,'G-1 All Habitats'!$V$3:$W$7,2,FALSE),"")</f>
        <v/>
      </c>
      <c r="J45" s="199"/>
      <c r="K45" s="524" t="str">
        <f>IFERROR(INDEX('G-8 Condition Look up'!$A$3:$H$130,MATCH(F45,'G-8 Condition Look up'!$A$3:$A$130,0),MATCH(J45,'G-8 Condition Look up'!$A$3:$H$3,0)),"")</f>
        <v/>
      </c>
      <c r="L45" s="145"/>
      <c r="M45" s="540" t="str">
        <f>IF(L45="","",IF(VLOOKUP(L45,'G-3 Multipliers'!$L$3:$N$6,2,FALSE)=0,"Spatial Data Missing ⚠",VLOOKUP(L45,'G-3 Multipliers'!$L$3:$N$6,2,FALSE)))</f>
        <v/>
      </c>
      <c r="N45" s="499" t="str">
        <f>IF(L45="","",IF(VLOOKUP(L45,'G-3 Multipliers'!$L$3:$N$6,3,FALSE)=0,"Spatial Data Missing ⚠",VLOOKUP(L45,'G-3 Multipliers'!$L$3:$N$6,3,FALSE)))</f>
        <v/>
      </c>
      <c r="O45" s="498" t="str">
        <f t="shared" si="1"/>
        <v/>
      </c>
      <c r="P45" s="195"/>
      <c r="Q45" s="195"/>
      <c r="R45" s="520" t="str">
        <f t="shared" si="2"/>
        <v/>
      </c>
      <c r="S45" s="544" t="str">
        <f t="shared" si="3"/>
        <v/>
      </c>
      <c r="T45" s="525"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 ⚠",P45&gt;=O45),"Low",VLOOKUP(F45,'G-3 Multipliers'!$A$2:$E$129,4,FALSE))))</f>
        <v/>
      </c>
      <c r="X45" s="524" t="str">
        <f>IFERROR(IF(E45="","",VLOOKUP(W45, 'G-3 Multipliers'!$P$2:$Q$6,2,FALSE)),"")</f>
        <v/>
      </c>
      <c r="Y45" s="197"/>
      <c r="Z45" s="499" t="str">
        <f>IF(Y45="","",IF(VLOOKUP(Y45,'G-3 Multipliers'!$S$3:$T$9,2,FALSE)=0,"Spatial Data Missing ⚠",VLOOKUP(Y45,'G-3 Multipliers'!$S$3:$T$9,2,FALSE)))</f>
        <v/>
      </c>
      <c r="AA45" s="545" t="str">
        <f t="shared" si="0"/>
        <v/>
      </c>
      <c r="AB45" s="149"/>
      <c r="AC45" s="150"/>
    </row>
    <row r="46" spans="1:29" ht="13.8" x14ac:dyDescent="0.25">
      <c r="A46" s="31" t="str">
        <f>IFERROR(INDEX('G-8 Condition Look up'!$I$4:$I$130,MATCH(F46,'G-8 Condition Look up'!$A$4:$A$130,0)),"")</f>
        <v/>
      </c>
      <c r="C46" s="244" t="str">
        <f>IFERROR(INDEX('G-1 All Habitats'!$AG$3:$AG$15,MATCH(D46,'G-1 All Habitats'!$AF$3:$AF$15,0)),"")</f>
        <v/>
      </c>
      <c r="D46" s="154"/>
      <c r="E46" s="203"/>
      <c r="F46" s="243" t="str">
        <f>IFERROR(INDEX('G-1 All Habitats'!$B$3:$B$129,MATCH(E46,'G-1 All Habitats'!$A$3:$A$129,0)),"")</f>
        <v/>
      </c>
      <c r="G46" s="386"/>
      <c r="H46" s="537" t="str">
        <f>IF(F46="","",VLOOKUP(F46,'G-1 All Habitats'!$B$2:$M$129,10,FALSE))</f>
        <v/>
      </c>
      <c r="I46" s="524" t="str">
        <f>IFERROR(VLOOKUP(H46,'G-1 All Habitats'!$V$3:$W$7,2,FALSE),"")</f>
        <v/>
      </c>
      <c r="J46" s="199"/>
      <c r="K46" s="524" t="str">
        <f>IFERROR(INDEX('G-8 Condition Look up'!$A$3:$H$130,MATCH(F46,'G-8 Condition Look up'!$A$3:$A$130,0),MATCH(J46,'G-8 Condition Look up'!$A$3:$H$3,0)),"")</f>
        <v/>
      </c>
      <c r="L46" s="145"/>
      <c r="M46" s="540" t="str">
        <f>IF(L46="","",IF(VLOOKUP(L46,'G-3 Multipliers'!$L$3:$N$6,2,FALSE)=0,"Spatial Data Missing ⚠",VLOOKUP(L46,'G-3 Multipliers'!$L$3:$N$6,2,FALSE)))</f>
        <v/>
      </c>
      <c r="N46" s="499" t="str">
        <f>IF(L46="","",IF(VLOOKUP(L46,'G-3 Multipliers'!$L$3:$N$6,3,FALSE)=0,"Spatial Data Missing ⚠",VLOOKUP(L46,'G-3 Multipliers'!$L$3:$N$6,3,FALSE)))</f>
        <v/>
      </c>
      <c r="O46" s="498" t="str">
        <f t="shared" si="1"/>
        <v/>
      </c>
      <c r="P46" s="195"/>
      <c r="Q46" s="195"/>
      <c r="R46" s="520" t="str">
        <f t="shared" si="2"/>
        <v/>
      </c>
      <c r="S46" s="544" t="str">
        <f t="shared" si="3"/>
        <v/>
      </c>
      <c r="T46" s="525"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 ⚠",P46&gt;=O46),"Low",VLOOKUP(F46,'G-3 Multipliers'!$A$2:$E$129,4,FALSE))))</f>
        <v/>
      </c>
      <c r="X46" s="524" t="str">
        <f>IFERROR(IF(E46="","",VLOOKUP(W46, 'G-3 Multipliers'!$P$2:$Q$6,2,FALSE)),"")</f>
        <v/>
      </c>
      <c r="Y46" s="197"/>
      <c r="Z46" s="499" t="str">
        <f>IF(Y46="","",IF(VLOOKUP(Y46,'G-3 Multipliers'!$S$3:$T$9,2,FALSE)=0,"Spatial Data Missing ⚠",VLOOKUP(Y46,'G-3 Multipliers'!$S$3:$T$9,2,FALSE)))</f>
        <v/>
      </c>
      <c r="AA46" s="545" t="str">
        <f t="shared" si="0"/>
        <v/>
      </c>
      <c r="AB46" s="149"/>
      <c r="AC46" s="150"/>
    </row>
    <row r="47" spans="1:29" ht="13.8" x14ac:dyDescent="0.25">
      <c r="A47" s="31" t="str">
        <f>IFERROR(INDEX('G-8 Condition Look up'!$I$4:$I$130,MATCH(F47,'G-8 Condition Look up'!$A$4:$A$130,0)),"")</f>
        <v/>
      </c>
      <c r="C47" s="244" t="str">
        <f>IFERROR(INDEX('G-1 All Habitats'!$AG$3:$AG$15,MATCH(D47,'G-1 All Habitats'!$AF$3:$AF$15,0)),"")</f>
        <v/>
      </c>
      <c r="D47" s="154"/>
      <c r="E47" s="203"/>
      <c r="F47" s="243" t="str">
        <f>IFERROR(INDEX('G-1 All Habitats'!$B$3:$B$129,MATCH(E47,'G-1 All Habitats'!$A$3:$A$129,0)),"")</f>
        <v/>
      </c>
      <c r="G47" s="386"/>
      <c r="H47" s="537" t="str">
        <f>IF(F47="","",VLOOKUP(F47,'G-1 All Habitats'!$B$2:$M$129,10,FALSE))</f>
        <v/>
      </c>
      <c r="I47" s="524" t="str">
        <f>IFERROR(VLOOKUP(H47,'G-1 All Habitats'!$V$3:$W$7,2,FALSE),"")</f>
        <v/>
      </c>
      <c r="J47" s="199"/>
      <c r="K47" s="524" t="str">
        <f>IFERROR(INDEX('G-8 Condition Look up'!$A$3:$H$130,MATCH(F47,'G-8 Condition Look up'!$A$3:$A$130,0),MATCH(J47,'G-8 Condition Look up'!$A$3:$H$3,0)),"")</f>
        <v/>
      </c>
      <c r="L47" s="145"/>
      <c r="M47" s="540" t="str">
        <f>IF(L47="","",IF(VLOOKUP(L47,'G-3 Multipliers'!$L$3:$N$6,2,FALSE)=0,"Spatial Data Missing ⚠",VLOOKUP(L47,'G-3 Multipliers'!$L$3:$N$6,2,FALSE)))</f>
        <v/>
      </c>
      <c r="N47" s="499" t="str">
        <f>IF(L47="","",IF(VLOOKUP(L47,'G-3 Multipliers'!$L$3:$N$6,3,FALSE)=0,"Spatial Data Missing ⚠",VLOOKUP(L47,'G-3 Multipliers'!$L$3:$N$6,3,FALSE)))</f>
        <v/>
      </c>
      <c r="O47" s="498" t="str">
        <f t="shared" si="1"/>
        <v/>
      </c>
      <c r="P47" s="195"/>
      <c r="Q47" s="195"/>
      <c r="R47" s="520" t="str">
        <f t="shared" si="2"/>
        <v/>
      </c>
      <c r="S47" s="544" t="str">
        <f t="shared" si="3"/>
        <v/>
      </c>
      <c r="T47" s="525"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 ⚠",P47&gt;=O47),"Low",VLOOKUP(F47,'G-3 Multipliers'!$A$2:$E$129,4,FALSE))))</f>
        <v/>
      </c>
      <c r="X47" s="524" t="str">
        <f>IFERROR(IF(E47="","",VLOOKUP(W47, 'G-3 Multipliers'!$P$2:$Q$6,2,FALSE)),"")</f>
        <v/>
      </c>
      <c r="Y47" s="197"/>
      <c r="Z47" s="499" t="str">
        <f>IF(Y47="","",IF(VLOOKUP(Y47,'G-3 Multipliers'!$S$3:$T$9,2,FALSE)=0,"Spatial Data Missing ⚠",VLOOKUP(Y47,'G-3 Multipliers'!$S$3:$T$9,2,FALSE)))</f>
        <v/>
      </c>
      <c r="AA47" s="545" t="str">
        <f t="shared" si="0"/>
        <v/>
      </c>
      <c r="AB47" s="149"/>
      <c r="AC47" s="150"/>
    </row>
    <row r="48" spans="1:29" ht="13.8" x14ac:dyDescent="0.25">
      <c r="A48" s="31" t="str">
        <f>IFERROR(INDEX('G-8 Condition Look up'!$I$4:$I$130,MATCH(F48,'G-8 Condition Look up'!$A$4:$A$130,0)),"")</f>
        <v/>
      </c>
      <c r="C48" s="244" t="str">
        <f>IFERROR(INDEX('G-1 All Habitats'!$AG$3:$AG$15,MATCH(D48,'G-1 All Habitats'!$AF$3:$AF$15,0)),"")</f>
        <v/>
      </c>
      <c r="D48" s="154"/>
      <c r="E48" s="203"/>
      <c r="F48" s="243" t="str">
        <f>IFERROR(INDEX('G-1 All Habitats'!$B$3:$B$129,MATCH(E48,'G-1 All Habitats'!$A$3:$A$129,0)),"")</f>
        <v/>
      </c>
      <c r="G48" s="386"/>
      <c r="H48" s="537" t="str">
        <f>IF(F48="","",VLOOKUP(F48,'G-1 All Habitats'!$B$2:$M$129,10,FALSE))</f>
        <v/>
      </c>
      <c r="I48" s="524" t="str">
        <f>IFERROR(VLOOKUP(H48,'G-1 All Habitats'!$V$3:$W$7,2,FALSE),"")</f>
        <v/>
      </c>
      <c r="J48" s="199"/>
      <c r="K48" s="524" t="str">
        <f>IFERROR(INDEX('G-8 Condition Look up'!$A$3:$H$130,MATCH(F48,'G-8 Condition Look up'!$A$3:$A$130,0),MATCH(J48,'G-8 Condition Look up'!$A$3:$H$3,0)),"")</f>
        <v/>
      </c>
      <c r="L48" s="145"/>
      <c r="M48" s="540" t="str">
        <f>IF(L48="","",IF(VLOOKUP(L48,'G-3 Multipliers'!$L$3:$N$6,2,FALSE)=0,"Spatial Data Missing ⚠",VLOOKUP(L48,'G-3 Multipliers'!$L$3:$N$6,2,FALSE)))</f>
        <v/>
      </c>
      <c r="N48" s="499" t="str">
        <f>IF(L48="","",IF(VLOOKUP(L48,'G-3 Multipliers'!$L$3:$N$6,3,FALSE)=0,"Spatial Data Missing ⚠",VLOOKUP(L48,'G-3 Multipliers'!$L$3:$N$6,3,FALSE)))</f>
        <v/>
      </c>
      <c r="O48" s="498" t="str">
        <f t="shared" si="1"/>
        <v/>
      </c>
      <c r="P48" s="195"/>
      <c r="Q48" s="195"/>
      <c r="R48" s="520" t="str">
        <f t="shared" si="2"/>
        <v/>
      </c>
      <c r="S48" s="544" t="str">
        <f t="shared" si="3"/>
        <v/>
      </c>
      <c r="T48" s="525"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 ⚠",P48&gt;=O48),"Low",VLOOKUP(F48,'G-3 Multipliers'!$A$2:$E$129,4,FALSE))))</f>
        <v/>
      </c>
      <c r="X48" s="524" t="str">
        <f>IFERROR(IF(E48="","",VLOOKUP(W48, 'G-3 Multipliers'!$P$2:$Q$6,2,FALSE)),"")</f>
        <v/>
      </c>
      <c r="Y48" s="197"/>
      <c r="Z48" s="499" t="str">
        <f>IF(Y48="","",IF(VLOOKUP(Y48,'G-3 Multipliers'!$S$3:$T$9,2,FALSE)=0,"Spatial Data Missing ⚠",VLOOKUP(Y48,'G-3 Multipliers'!$S$3:$T$9,2,FALSE)))</f>
        <v/>
      </c>
      <c r="AA48" s="545" t="str">
        <f t="shared" si="0"/>
        <v/>
      </c>
      <c r="AB48" s="149"/>
      <c r="AC48" s="150"/>
    </row>
    <row r="49" spans="1:29" ht="13.8" x14ac:dyDescent="0.25">
      <c r="A49" s="31" t="str">
        <f>IFERROR(INDEX('G-8 Condition Look up'!$I$4:$I$130,MATCH(F49,'G-8 Condition Look up'!$A$4:$A$130,0)),"")</f>
        <v/>
      </c>
      <c r="C49" s="244" t="str">
        <f>IFERROR(INDEX('G-1 All Habitats'!$AG$3:$AG$15,MATCH(D49,'G-1 All Habitats'!$AF$3:$AF$15,0)),"")</f>
        <v/>
      </c>
      <c r="D49" s="154"/>
      <c r="E49" s="203"/>
      <c r="F49" s="243" t="str">
        <f>IFERROR(INDEX('G-1 All Habitats'!$B$3:$B$129,MATCH(E49,'G-1 All Habitats'!$A$3:$A$129,0)),"")</f>
        <v/>
      </c>
      <c r="G49" s="386"/>
      <c r="H49" s="537" t="str">
        <f>IF(F49="","",VLOOKUP(F49,'G-1 All Habitats'!$B$2:$M$129,10,FALSE))</f>
        <v/>
      </c>
      <c r="I49" s="524" t="str">
        <f>IFERROR(VLOOKUP(H49,'G-1 All Habitats'!$V$3:$W$7,2,FALSE),"")</f>
        <v/>
      </c>
      <c r="J49" s="199"/>
      <c r="K49" s="524" t="str">
        <f>IFERROR(INDEX('G-8 Condition Look up'!$A$3:$H$130,MATCH(F49,'G-8 Condition Look up'!$A$3:$A$130,0),MATCH(J49,'G-8 Condition Look up'!$A$3:$H$3,0)),"")</f>
        <v/>
      </c>
      <c r="L49" s="145"/>
      <c r="M49" s="540" t="str">
        <f>IF(L49="","",IF(VLOOKUP(L49,'G-3 Multipliers'!$L$3:$N$6,2,FALSE)=0,"Spatial Data Missing ⚠",VLOOKUP(L49,'G-3 Multipliers'!$L$3:$N$6,2,FALSE)))</f>
        <v/>
      </c>
      <c r="N49" s="499" t="str">
        <f>IF(L49="","",IF(VLOOKUP(L49,'G-3 Multipliers'!$L$3:$N$6,3,FALSE)=0,"Spatial Data Missing ⚠",VLOOKUP(L49,'G-3 Multipliers'!$L$3:$N$6,3,FALSE)))</f>
        <v/>
      </c>
      <c r="O49" s="498" t="str">
        <f t="shared" si="1"/>
        <v/>
      </c>
      <c r="P49" s="195"/>
      <c r="Q49" s="195"/>
      <c r="R49" s="520" t="str">
        <f t="shared" si="2"/>
        <v/>
      </c>
      <c r="S49" s="544" t="str">
        <f t="shared" si="3"/>
        <v/>
      </c>
      <c r="T49" s="525"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 ⚠",P49&gt;=O49),"Low",VLOOKUP(F49,'G-3 Multipliers'!$A$2:$E$129,4,FALSE))))</f>
        <v/>
      </c>
      <c r="X49" s="524" t="str">
        <f>IFERROR(IF(E49="","",VLOOKUP(W49, 'G-3 Multipliers'!$P$2:$Q$6,2,FALSE)),"")</f>
        <v/>
      </c>
      <c r="Y49" s="197"/>
      <c r="Z49" s="499" t="str">
        <f>IF(Y49="","",IF(VLOOKUP(Y49,'G-3 Multipliers'!$S$3:$T$9,2,FALSE)=0,"Spatial Data Missing ⚠",VLOOKUP(Y49,'G-3 Multipliers'!$S$3:$T$9,2,FALSE)))</f>
        <v/>
      </c>
      <c r="AA49" s="545" t="str">
        <f t="shared" si="0"/>
        <v/>
      </c>
      <c r="AB49" s="149"/>
      <c r="AC49" s="150"/>
    </row>
    <row r="50" spans="1:29" ht="13.8" x14ac:dyDescent="0.25">
      <c r="A50" s="31" t="str">
        <f>IFERROR(INDEX('G-8 Condition Look up'!$I$4:$I$130,MATCH(F50,'G-8 Condition Look up'!$A$4:$A$130,0)),"")</f>
        <v/>
      </c>
      <c r="C50" s="244" t="str">
        <f>IFERROR(INDEX('G-1 All Habitats'!$AG$3:$AG$15,MATCH(D50,'G-1 All Habitats'!$AF$3:$AF$15,0)),"")</f>
        <v/>
      </c>
      <c r="D50" s="154"/>
      <c r="E50" s="203"/>
      <c r="F50" s="243" t="str">
        <f>IFERROR(INDEX('G-1 All Habitats'!$B$3:$B$129,MATCH(E50,'G-1 All Habitats'!$A$3:$A$129,0)),"")</f>
        <v/>
      </c>
      <c r="G50" s="386"/>
      <c r="H50" s="537" t="str">
        <f>IF(F50="","",VLOOKUP(F50,'G-1 All Habitats'!$B$2:$M$129,10,FALSE))</f>
        <v/>
      </c>
      <c r="I50" s="524" t="str">
        <f>IFERROR(VLOOKUP(H50,'G-1 All Habitats'!$V$3:$W$7,2,FALSE),"")</f>
        <v/>
      </c>
      <c r="J50" s="199"/>
      <c r="K50" s="524" t="str">
        <f>IFERROR(INDEX('G-8 Condition Look up'!$A$3:$H$130,MATCH(F50,'G-8 Condition Look up'!$A$3:$A$130,0),MATCH(J50,'G-8 Condition Look up'!$A$3:$H$3,0)),"")</f>
        <v/>
      </c>
      <c r="L50" s="145"/>
      <c r="M50" s="540" t="str">
        <f>IF(L50="","",IF(VLOOKUP(L50,'G-3 Multipliers'!$L$3:$N$6,2,FALSE)=0,"Spatial Data Missing ⚠",VLOOKUP(L50,'G-3 Multipliers'!$L$3:$N$6,2,FALSE)))</f>
        <v/>
      </c>
      <c r="N50" s="499" t="str">
        <f>IF(L50="","",IF(VLOOKUP(L50,'G-3 Multipliers'!$L$3:$N$6,3,FALSE)=0,"Spatial Data Missing ⚠",VLOOKUP(L50,'G-3 Multipliers'!$L$3:$N$6,3,FALSE)))</f>
        <v/>
      </c>
      <c r="O50" s="498" t="str">
        <f t="shared" si="1"/>
        <v/>
      </c>
      <c r="P50" s="195"/>
      <c r="Q50" s="195"/>
      <c r="R50" s="520" t="str">
        <f t="shared" si="2"/>
        <v/>
      </c>
      <c r="S50" s="544" t="str">
        <f t="shared" si="3"/>
        <v/>
      </c>
      <c r="T50" s="525"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 ⚠",P50&gt;=O50),"Low",VLOOKUP(F50,'G-3 Multipliers'!$A$2:$E$129,4,FALSE))))</f>
        <v/>
      </c>
      <c r="X50" s="524" t="str">
        <f>IFERROR(IF(E50="","",VLOOKUP(W50, 'G-3 Multipliers'!$P$2:$Q$6,2,FALSE)),"")</f>
        <v/>
      </c>
      <c r="Y50" s="197"/>
      <c r="Z50" s="499" t="str">
        <f>IF(Y50="","",IF(VLOOKUP(Y50,'G-3 Multipliers'!$S$3:$T$9,2,FALSE)=0,"Spatial Data Missing ⚠",VLOOKUP(Y50,'G-3 Multipliers'!$S$3:$T$9,2,FALSE)))</f>
        <v/>
      </c>
      <c r="AA50" s="545" t="str">
        <f t="shared" si="0"/>
        <v/>
      </c>
      <c r="AB50" s="149"/>
      <c r="AC50" s="150"/>
    </row>
    <row r="51" spans="1:29" ht="13.8" x14ac:dyDescent="0.25">
      <c r="A51" s="31" t="str">
        <f>IFERROR(INDEX('G-8 Condition Look up'!$I$4:$I$130,MATCH(F51,'G-8 Condition Look up'!$A$4:$A$130,0)),"")</f>
        <v/>
      </c>
      <c r="C51" s="244" t="str">
        <f>IFERROR(INDEX('G-1 All Habitats'!$AG$3:$AG$15,MATCH(D51,'G-1 All Habitats'!$AF$3:$AF$15,0)),"")</f>
        <v/>
      </c>
      <c r="D51" s="154"/>
      <c r="E51" s="203"/>
      <c r="F51" s="243" t="str">
        <f>IFERROR(INDEX('G-1 All Habitats'!$B$3:$B$129,MATCH(E51,'G-1 All Habitats'!$A$3:$A$129,0)),"")</f>
        <v/>
      </c>
      <c r="G51" s="386"/>
      <c r="H51" s="537" t="str">
        <f>IF(F51="","",VLOOKUP(F51,'G-1 All Habitats'!$B$2:$M$129,10,FALSE))</f>
        <v/>
      </c>
      <c r="I51" s="524" t="str">
        <f>IFERROR(VLOOKUP(H51,'G-1 All Habitats'!$V$3:$W$7,2,FALSE),"")</f>
        <v/>
      </c>
      <c r="J51" s="199"/>
      <c r="K51" s="524" t="str">
        <f>IFERROR(INDEX('G-8 Condition Look up'!$A$3:$H$130,MATCH(F51,'G-8 Condition Look up'!$A$3:$A$130,0),MATCH(J51,'G-8 Condition Look up'!$A$3:$H$3,0)),"")</f>
        <v/>
      </c>
      <c r="L51" s="145"/>
      <c r="M51" s="540" t="str">
        <f>IF(L51="","",IF(VLOOKUP(L51,'G-3 Multipliers'!$L$3:$N$6,2,FALSE)=0,"Spatial Data Missing ⚠",VLOOKUP(L51,'G-3 Multipliers'!$L$3:$N$6,2,FALSE)))</f>
        <v/>
      </c>
      <c r="N51" s="499" t="str">
        <f>IF(L51="","",IF(VLOOKUP(L51,'G-3 Multipliers'!$L$3:$N$6,3,FALSE)=0,"Spatial Data Missing ⚠",VLOOKUP(L51,'G-3 Multipliers'!$L$3:$N$6,3,FALSE)))</f>
        <v/>
      </c>
      <c r="O51" s="498" t="str">
        <f t="shared" si="1"/>
        <v/>
      </c>
      <c r="P51" s="195"/>
      <c r="Q51" s="195"/>
      <c r="R51" s="520" t="str">
        <f t="shared" si="2"/>
        <v/>
      </c>
      <c r="S51" s="544" t="str">
        <f t="shared" si="3"/>
        <v/>
      </c>
      <c r="T51" s="525"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 ⚠",P51&gt;=O51),"Low",VLOOKUP(F51,'G-3 Multipliers'!$A$2:$E$129,4,FALSE))))</f>
        <v/>
      </c>
      <c r="X51" s="524" t="str">
        <f>IFERROR(IF(E51="","",VLOOKUP(W51, 'G-3 Multipliers'!$P$2:$Q$6,2,FALSE)),"")</f>
        <v/>
      </c>
      <c r="Y51" s="197"/>
      <c r="Z51" s="499" t="str">
        <f>IF(Y51="","",IF(VLOOKUP(Y51,'G-3 Multipliers'!$S$3:$T$9,2,FALSE)=0,"Spatial Data Missing ⚠",VLOOKUP(Y51,'G-3 Multipliers'!$S$3:$T$9,2,FALSE)))</f>
        <v/>
      </c>
      <c r="AA51" s="545" t="str">
        <f t="shared" si="0"/>
        <v/>
      </c>
      <c r="AB51" s="149"/>
      <c r="AC51" s="150"/>
    </row>
    <row r="52" spans="1:29" ht="13.8" x14ac:dyDescent="0.25">
      <c r="A52" s="31" t="str">
        <f>IFERROR(INDEX('G-8 Condition Look up'!$I$4:$I$130,MATCH(F52,'G-8 Condition Look up'!$A$4:$A$130,0)),"")</f>
        <v/>
      </c>
      <c r="C52" s="244" t="str">
        <f>IFERROR(INDEX('G-1 All Habitats'!$AG$3:$AG$15,MATCH(D52,'G-1 All Habitats'!$AF$3:$AF$15,0)),"")</f>
        <v/>
      </c>
      <c r="D52" s="154"/>
      <c r="E52" s="203"/>
      <c r="F52" s="243" t="str">
        <f>IFERROR(INDEX('G-1 All Habitats'!$B$3:$B$129,MATCH(E52,'G-1 All Habitats'!$A$3:$A$129,0)),"")</f>
        <v/>
      </c>
      <c r="G52" s="386"/>
      <c r="H52" s="537" t="str">
        <f>IF(F52="","",VLOOKUP(F52,'G-1 All Habitats'!$B$2:$M$129,10,FALSE))</f>
        <v/>
      </c>
      <c r="I52" s="524" t="str">
        <f>IFERROR(VLOOKUP(H52,'G-1 All Habitats'!$V$3:$W$7,2,FALSE),"")</f>
        <v/>
      </c>
      <c r="J52" s="199"/>
      <c r="K52" s="524" t="str">
        <f>IFERROR(INDEX('G-8 Condition Look up'!$A$3:$H$130,MATCH(F52,'G-8 Condition Look up'!$A$3:$A$130,0),MATCH(J52,'G-8 Condition Look up'!$A$3:$H$3,0)),"")</f>
        <v/>
      </c>
      <c r="L52" s="145"/>
      <c r="M52" s="540" t="str">
        <f>IF(L52="","",IF(VLOOKUP(L52,'G-3 Multipliers'!$L$3:$N$6,2,FALSE)=0,"Spatial Data Missing ⚠",VLOOKUP(L52,'G-3 Multipliers'!$L$3:$N$6,2,FALSE)))</f>
        <v/>
      </c>
      <c r="N52" s="499" t="str">
        <f>IF(L52="","",IF(VLOOKUP(L52,'G-3 Multipliers'!$L$3:$N$6,3,FALSE)=0,"Spatial Data Missing ⚠",VLOOKUP(L52,'G-3 Multipliers'!$L$3:$N$6,3,FALSE)))</f>
        <v/>
      </c>
      <c r="O52" s="498" t="str">
        <f t="shared" si="1"/>
        <v/>
      </c>
      <c r="P52" s="195"/>
      <c r="Q52" s="195"/>
      <c r="R52" s="520" t="str">
        <f t="shared" si="2"/>
        <v/>
      </c>
      <c r="S52" s="544" t="str">
        <f t="shared" si="3"/>
        <v/>
      </c>
      <c r="T52" s="525"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 ⚠",P52&gt;=O52),"Low",VLOOKUP(F52,'G-3 Multipliers'!$A$2:$E$129,4,FALSE))))</f>
        <v/>
      </c>
      <c r="X52" s="524" t="str">
        <f>IFERROR(IF(E52="","",VLOOKUP(W52, 'G-3 Multipliers'!$P$2:$Q$6,2,FALSE)),"")</f>
        <v/>
      </c>
      <c r="Y52" s="197"/>
      <c r="Z52" s="499" t="str">
        <f>IF(Y52="","",IF(VLOOKUP(Y52,'G-3 Multipliers'!$S$3:$T$9,2,FALSE)=0,"Spatial Data Missing ⚠",VLOOKUP(Y52,'G-3 Multipliers'!$S$3:$T$9,2,FALSE)))</f>
        <v/>
      </c>
      <c r="AA52" s="545" t="str">
        <f t="shared" si="0"/>
        <v/>
      </c>
      <c r="AB52" s="149"/>
      <c r="AC52" s="150"/>
    </row>
    <row r="53" spans="1:29" ht="13.8" x14ac:dyDescent="0.25">
      <c r="A53" s="31" t="str">
        <f>IFERROR(INDEX('G-8 Condition Look up'!$I$4:$I$130,MATCH(F53,'G-8 Condition Look up'!$A$4:$A$130,0)),"")</f>
        <v/>
      </c>
      <c r="C53" s="244" t="str">
        <f>IFERROR(INDEX('G-1 All Habitats'!$AG$3:$AG$15,MATCH(D53,'G-1 All Habitats'!$AF$3:$AF$15,0)),"")</f>
        <v/>
      </c>
      <c r="D53" s="154"/>
      <c r="E53" s="203"/>
      <c r="F53" s="243" t="str">
        <f>IFERROR(INDEX('G-1 All Habitats'!$B$3:$B$129,MATCH(E53,'G-1 All Habitats'!$A$3:$A$129,0)),"")</f>
        <v/>
      </c>
      <c r="G53" s="386"/>
      <c r="H53" s="537" t="str">
        <f>IF(F53="","",VLOOKUP(F53,'G-1 All Habitats'!$B$2:$M$129,10,FALSE))</f>
        <v/>
      </c>
      <c r="I53" s="524" t="str">
        <f>IFERROR(VLOOKUP(H53,'G-1 All Habitats'!$V$3:$W$7,2,FALSE),"")</f>
        <v/>
      </c>
      <c r="J53" s="199"/>
      <c r="K53" s="524" t="str">
        <f>IFERROR(INDEX('G-8 Condition Look up'!$A$3:$H$130,MATCH(F53,'G-8 Condition Look up'!$A$3:$A$130,0),MATCH(J53,'G-8 Condition Look up'!$A$3:$H$3,0)),"")</f>
        <v/>
      </c>
      <c r="L53" s="145"/>
      <c r="M53" s="540" t="str">
        <f>IF(L53="","",IF(VLOOKUP(L53,'G-3 Multipliers'!$L$3:$N$6,2,FALSE)=0,"Spatial Data Missing ⚠",VLOOKUP(L53,'G-3 Multipliers'!$L$3:$N$6,2,FALSE)))</f>
        <v/>
      </c>
      <c r="N53" s="499" t="str">
        <f>IF(L53="","",IF(VLOOKUP(L53,'G-3 Multipliers'!$L$3:$N$6,3,FALSE)=0,"Spatial Data Missing ⚠",VLOOKUP(L53,'G-3 Multipliers'!$L$3:$N$6,3,FALSE)))</f>
        <v/>
      </c>
      <c r="O53" s="498" t="str">
        <f t="shared" si="1"/>
        <v/>
      </c>
      <c r="P53" s="195"/>
      <c r="Q53" s="195"/>
      <c r="R53" s="520" t="str">
        <f t="shared" si="2"/>
        <v/>
      </c>
      <c r="S53" s="544" t="str">
        <f t="shared" si="3"/>
        <v/>
      </c>
      <c r="T53" s="525"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 ⚠",P53&gt;=O53),"Low",VLOOKUP(F53,'G-3 Multipliers'!$A$2:$E$129,4,FALSE))))</f>
        <v/>
      </c>
      <c r="X53" s="524" t="str">
        <f>IFERROR(IF(E53="","",VLOOKUP(W53, 'G-3 Multipliers'!$P$2:$Q$6,2,FALSE)),"")</f>
        <v/>
      </c>
      <c r="Y53" s="197"/>
      <c r="Z53" s="499" t="str">
        <f>IF(Y53="","",IF(VLOOKUP(Y53,'G-3 Multipliers'!$S$3:$T$9,2,FALSE)=0,"Spatial Data Missing ⚠",VLOOKUP(Y53,'G-3 Multipliers'!$S$3:$T$9,2,FALSE)))</f>
        <v/>
      </c>
      <c r="AA53" s="545" t="str">
        <f t="shared" si="0"/>
        <v/>
      </c>
      <c r="AB53" s="149"/>
      <c r="AC53" s="150"/>
    </row>
    <row r="54" spans="1:29" ht="13.8" x14ac:dyDescent="0.25">
      <c r="A54" s="31" t="str">
        <f>IFERROR(INDEX('G-8 Condition Look up'!$I$4:$I$130,MATCH(F54,'G-8 Condition Look up'!$A$4:$A$130,0)),"")</f>
        <v/>
      </c>
      <c r="C54" s="244" t="str">
        <f>IFERROR(INDEX('G-1 All Habitats'!$AG$3:$AG$15,MATCH(D54,'G-1 All Habitats'!$AF$3:$AF$15,0)),"")</f>
        <v/>
      </c>
      <c r="D54" s="154"/>
      <c r="E54" s="203"/>
      <c r="F54" s="243" t="str">
        <f>IFERROR(INDEX('G-1 All Habitats'!$B$3:$B$129,MATCH(E54,'G-1 All Habitats'!$A$3:$A$129,0)),"")</f>
        <v/>
      </c>
      <c r="G54" s="386"/>
      <c r="H54" s="537" t="str">
        <f>IF(F54="","",VLOOKUP(F54,'G-1 All Habitats'!$B$2:$M$129,10,FALSE))</f>
        <v/>
      </c>
      <c r="I54" s="524" t="str">
        <f>IFERROR(VLOOKUP(H54,'G-1 All Habitats'!$V$3:$W$7,2,FALSE),"")</f>
        <v/>
      </c>
      <c r="J54" s="199"/>
      <c r="K54" s="524" t="str">
        <f>IFERROR(INDEX('G-8 Condition Look up'!$A$3:$H$130,MATCH(F54,'G-8 Condition Look up'!$A$3:$A$130,0),MATCH(J54,'G-8 Condition Look up'!$A$3:$H$3,0)),"")</f>
        <v/>
      </c>
      <c r="L54" s="145"/>
      <c r="M54" s="540" t="str">
        <f>IF(L54="","",IF(VLOOKUP(L54,'G-3 Multipliers'!$L$3:$N$6,2,FALSE)=0,"Spatial Data Missing ⚠",VLOOKUP(L54,'G-3 Multipliers'!$L$3:$N$6,2,FALSE)))</f>
        <v/>
      </c>
      <c r="N54" s="499" t="str">
        <f>IF(L54="","",IF(VLOOKUP(L54,'G-3 Multipliers'!$L$3:$N$6,3,FALSE)=0,"Spatial Data Missing ⚠",VLOOKUP(L54,'G-3 Multipliers'!$L$3:$N$6,3,FALSE)))</f>
        <v/>
      </c>
      <c r="O54" s="498" t="str">
        <f t="shared" si="1"/>
        <v/>
      </c>
      <c r="P54" s="195"/>
      <c r="Q54" s="195"/>
      <c r="R54" s="520" t="str">
        <f t="shared" si="2"/>
        <v/>
      </c>
      <c r="S54" s="544" t="str">
        <f t="shared" si="3"/>
        <v/>
      </c>
      <c r="T54" s="525"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 ⚠",P54&gt;=O54),"Low",VLOOKUP(F54,'G-3 Multipliers'!$A$2:$E$129,4,FALSE))))</f>
        <v/>
      </c>
      <c r="X54" s="524" t="str">
        <f>IFERROR(IF(E54="","",VLOOKUP(W54, 'G-3 Multipliers'!$P$2:$Q$6,2,FALSE)),"")</f>
        <v/>
      </c>
      <c r="Y54" s="197"/>
      <c r="Z54" s="499" t="str">
        <f>IF(Y54="","",IF(VLOOKUP(Y54,'G-3 Multipliers'!$S$3:$T$9,2,FALSE)=0,"Spatial Data Missing ⚠",VLOOKUP(Y54,'G-3 Multipliers'!$S$3:$T$9,2,FALSE)))</f>
        <v/>
      </c>
      <c r="AA54" s="545" t="str">
        <f t="shared" si="0"/>
        <v/>
      </c>
      <c r="AB54" s="149"/>
      <c r="AC54" s="150"/>
    </row>
    <row r="55" spans="1:29" ht="13.8" x14ac:dyDescent="0.25">
      <c r="A55" s="31" t="str">
        <f>IFERROR(INDEX('G-8 Condition Look up'!$I$4:$I$130,MATCH(F55,'G-8 Condition Look up'!$A$4:$A$130,0)),"")</f>
        <v/>
      </c>
      <c r="C55" s="244" t="str">
        <f>IFERROR(INDEX('G-1 All Habitats'!$AG$3:$AG$15,MATCH(D55,'G-1 All Habitats'!$AF$3:$AF$15,0)),"")</f>
        <v/>
      </c>
      <c r="D55" s="154"/>
      <c r="E55" s="203"/>
      <c r="F55" s="243" t="str">
        <f>IFERROR(INDEX('G-1 All Habitats'!$B$3:$B$129,MATCH(E55,'G-1 All Habitats'!$A$3:$A$129,0)),"")</f>
        <v/>
      </c>
      <c r="G55" s="386"/>
      <c r="H55" s="537" t="str">
        <f>IF(F55="","",VLOOKUP(F55,'G-1 All Habitats'!$B$2:$M$129,10,FALSE))</f>
        <v/>
      </c>
      <c r="I55" s="524" t="str">
        <f>IFERROR(VLOOKUP(H55,'G-1 All Habitats'!$V$3:$W$7,2,FALSE),"")</f>
        <v/>
      </c>
      <c r="J55" s="199"/>
      <c r="K55" s="524" t="str">
        <f>IFERROR(INDEX('G-8 Condition Look up'!$A$3:$H$130,MATCH(F55,'G-8 Condition Look up'!$A$3:$A$130,0),MATCH(J55,'G-8 Condition Look up'!$A$3:$H$3,0)),"")</f>
        <v/>
      </c>
      <c r="L55" s="145"/>
      <c r="M55" s="540" t="str">
        <f>IF(L55="","",IF(VLOOKUP(L55,'G-3 Multipliers'!$L$3:$N$6,2,FALSE)=0,"Spatial Data Missing ⚠",VLOOKUP(L55,'G-3 Multipliers'!$L$3:$N$6,2,FALSE)))</f>
        <v/>
      </c>
      <c r="N55" s="499" t="str">
        <f>IF(L55="","",IF(VLOOKUP(L55,'G-3 Multipliers'!$L$3:$N$6,3,FALSE)=0,"Spatial Data Missing ⚠",VLOOKUP(L55,'G-3 Multipliers'!$L$3:$N$6,3,FALSE)))</f>
        <v/>
      </c>
      <c r="O55" s="498" t="str">
        <f t="shared" si="1"/>
        <v/>
      </c>
      <c r="P55" s="195"/>
      <c r="Q55" s="195"/>
      <c r="R55" s="520" t="str">
        <f t="shared" si="2"/>
        <v/>
      </c>
      <c r="S55" s="544" t="str">
        <f t="shared" si="3"/>
        <v/>
      </c>
      <c r="T55" s="525"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 ⚠",P55&gt;=O55),"Low",VLOOKUP(F55,'G-3 Multipliers'!$A$2:$E$129,4,FALSE))))</f>
        <v/>
      </c>
      <c r="X55" s="524" t="str">
        <f>IFERROR(IF(E55="","",VLOOKUP(W55, 'G-3 Multipliers'!$P$2:$Q$6,2,FALSE)),"")</f>
        <v/>
      </c>
      <c r="Y55" s="197"/>
      <c r="Z55" s="499" t="str">
        <f>IF(Y55="","",IF(VLOOKUP(Y55,'G-3 Multipliers'!$S$3:$T$9,2,FALSE)=0,"Spatial Data Missing ⚠",VLOOKUP(Y55,'G-3 Multipliers'!$S$3:$T$9,2,FALSE)))</f>
        <v/>
      </c>
      <c r="AA55" s="545" t="str">
        <f t="shared" si="0"/>
        <v/>
      </c>
      <c r="AB55" s="149"/>
      <c r="AC55" s="150"/>
    </row>
    <row r="56" spans="1:29" ht="13.8" x14ac:dyDescent="0.25">
      <c r="A56" s="31" t="str">
        <f>IFERROR(INDEX('G-8 Condition Look up'!$I$4:$I$130,MATCH(F56,'G-8 Condition Look up'!$A$4:$A$130,0)),"")</f>
        <v/>
      </c>
      <c r="C56" s="244" t="str">
        <f>IFERROR(INDEX('G-1 All Habitats'!$AG$3:$AG$15,MATCH(D56,'G-1 All Habitats'!$AF$3:$AF$15,0)),"")</f>
        <v/>
      </c>
      <c r="D56" s="154"/>
      <c r="E56" s="203"/>
      <c r="F56" s="243" t="str">
        <f>IFERROR(INDEX('G-1 All Habitats'!$B$3:$B$129,MATCH(E56,'G-1 All Habitats'!$A$3:$A$129,0)),"")</f>
        <v/>
      </c>
      <c r="G56" s="386"/>
      <c r="H56" s="537" t="str">
        <f>IF(F56="","",VLOOKUP(F56,'G-1 All Habitats'!$B$2:$M$129,10,FALSE))</f>
        <v/>
      </c>
      <c r="I56" s="524" t="str">
        <f>IFERROR(VLOOKUP(H56,'G-1 All Habitats'!$V$3:$W$7,2,FALSE),"")</f>
        <v/>
      </c>
      <c r="J56" s="199"/>
      <c r="K56" s="524" t="str">
        <f>IFERROR(INDEX('G-8 Condition Look up'!$A$3:$H$130,MATCH(F56,'G-8 Condition Look up'!$A$3:$A$130,0),MATCH(J56,'G-8 Condition Look up'!$A$3:$H$3,0)),"")</f>
        <v/>
      </c>
      <c r="L56" s="145"/>
      <c r="M56" s="540" t="str">
        <f>IF(L56="","",IF(VLOOKUP(L56,'G-3 Multipliers'!$L$3:$N$6,2,FALSE)=0,"Spatial Data Missing ⚠",VLOOKUP(L56,'G-3 Multipliers'!$L$3:$N$6,2,FALSE)))</f>
        <v/>
      </c>
      <c r="N56" s="499" t="str">
        <f>IF(L56="","",IF(VLOOKUP(L56,'G-3 Multipliers'!$L$3:$N$6,3,FALSE)=0,"Spatial Data Missing ⚠",VLOOKUP(L56,'G-3 Multipliers'!$L$3:$N$6,3,FALSE)))</f>
        <v/>
      </c>
      <c r="O56" s="498" t="str">
        <f t="shared" si="1"/>
        <v/>
      </c>
      <c r="P56" s="195"/>
      <c r="Q56" s="195"/>
      <c r="R56" s="520" t="str">
        <f t="shared" si="2"/>
        <v/>
      </c>
      <c r="S56" s="544" t="str">
        <f t="shared" si="3"/>
        <v/>
      </c>
      <c r="T56" s="525"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 ⚠",P56&gt;=O56),"Low",VLOOKUP(F56,'G-3 Multipliers'!$A$2:$E$129,4,FALSE))))</f>
        <v/>
      </c>
      <c r="X56" s="524" t="str">
        <f>IFERROR(IF(E56="","",VLOOKUP(W56, 'G-3 Multipliers'!$P$2:$Q$6,2,FALSE)),"")</f>
        <v/>
      </c>
      <c r="Y56" s="197"/>
      <c r="Z56" s="499" t="str">
        <f>IF(Y56="","",IF(VLOOKUP(Y56,'G-3 Multipliers'!$S$3:$T$9,2,FALSE)=0,"Spatial Data Missing ⚠",VLOOKUP(Y56,'G-3 Multipliers'!$S$3:$T$9,2,FALSE)))</f>
        <v/>
      </c>
      <c r="AA56" s="545" t="str">
        <f t="shared" si="0"/>
        <v/>
      </c>
      <c r="AB56" s="149"/>
      <c r="AC56" s="150"/>
    </row>
    <row r="57" spans="1:29" ht="13.8" x14ac:dyDescent="0.25">
      <c r="A57" s="31" t="str">
        <f>IFERROR(INDEX('G-8 Condition Look up'!$I$4:$I$130,MATCH(F57,'G-8 Condition Look up'!$A$4:$A$130,0)),"")</f>
        <v/>
      </c>
      <c r="C57" s="244" t="str">
        <f>IFERROR(INDEX('G-1 All Habitats'!$AG$3:$AG$15,MATCH(D57,'G-1 All Habitats'!$AF$3:$AF$15,0)),"")</f>
        <v/>
      </c>
      <c r="D57" s="154"/>
      <c r="E57" s="203"/>
      <c r="F57" s="243" t="str">
        <f>IFERROR(INDEX('G-1 All Habitats'!$B$3:$B$129,MATCH(E57,'G-1 All Habitats'!$A$3:$A$129,0)),"")</f>
        <v/>
      </c>
      <c r="G57" s="386"/>
      <c r="H57" s="537" t="str">
        <f>IF(F57="","",VLOOKUP(F57,'G-1 All Habitats'!$B$2:$M$129,10,FALSE))</f>
        <v/>
      </c>
      <c r="I57" s="524" t="str">
        <f>IFERROR(VLOOKUP(H57,'G-1 All Habitats'!$V$3:$W$7,2,FALSE),"")</f>
        <v/>
      </c>
      <c r="J57" s="199"/>
      <c r="K57" s="524" t="str">
        <f>IFERROR(INDEX('G-8 Condition Look up'!$A$3:$H$130,MATCH(F57,'G-8 Condition Look up'!$A$3:$A$130,0),MATCH(J57,'G-8 Condition Look up'!$A$3:$H$3,0)),"")</f>
        <v/>
      </c>
      <c r="L57" s="145"/>
      <c r="M57" s="540" t="str">
        <f>IF(L57="","",IF(VLOOKUP(L57,'G-3 Multipliers'!$L$3:$N$6,2,FALSE)=0,"Spatial Data Missing ⚠",VLOOKUP(L57,'G-3 Multipliers'!$L$3:$N$6,2,FALSE)))</f>
        <v/>
      </c>
      <c r="N57" s="499" t="str">
        <f>IF(L57="","",IF(VLOOKUP(L57,'G-3 Multipliers'!$L$3:$N$6,3,FALSE)=0,"Spatial Data Missing ⚠",VLOOKUP(L57,'G-3 Multipliers'!$L$3:$N$6,3,FALSE)))</f>
        <v/>
      </c>
      <c r="O57" s="498" t="str">
        <f t="shared" si="1"/>
        <v/>
      </c>
      <c r="P57" s="195"/>
      <c r="Q57" s="195"/>
      <c r="R57" s="520" t="str">
        <f t="shared" si="2"/>
        <v/>
      </c>
      <c r="S57" s="544" t="str">
        <f t="shared" si="3"/>
        <v/>
      </c>
      <c r="T57" s="525"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 ⚠",P57&gt;=O57),"Low",VLOOKUP(F57,'G-3 Multipliers'!$A$2:$E$129,4,FALSE))))</f>
        <v/>
      </c>
      <c r="X57" s="524" t="str">
        <f>IFERROR(IF(E57="","",VLOOKUP(W57, 'G-3 Multipliers'!$P$2:$Q$6,2,FALSE)),"")</f>
        <v/>
      </c>
      <c r="Y57" s="197"/>
      <c r="Z57" s="499" t="str">
        <f>IF(Y57="","",IF(VLOOKUP(Y57,'G-3 Multipliers'!$S$3:$T$9,2,FALSE)=0,"Spatial Data Missing ⚠",VLOOKUP(Y57,'G-3 Multipliers'!$S$3:$T$9,2,FALSE)))</f>
        <v/>
      </c>
      <c r="AA57" s="545" t="str">
        <f t="shared" si="0"/>
        <v/>
      </c>
      <c r="AB57" s="149"/>
      <c r="AC57" s="150"/>
    </row>
    <row r="58" spans="1:29" ht="13.8" x14ac:dyDescent="0.25">
      <c r="A58" s="31" t="str">
        <f>IFERROR(INDEX('G-8 Condition Look up'!$I$4:$I$130,MATCH(F58,'G-8 Condition Look up'!$A$4:$A$130,0)),"")</f>
        <v/>
      </c>
      <c r="C58" s="244" t="str">
        <f>IFERROR(INDEX('G-1 All Habitats'!$AG$3:$AG$15,MATCH(D58,'G-1 All Habitats'!$AF$3:$AF$15,0)),"")</f>
        <v/>
      </c>
      <c r="D58" s="154"/>
      <c r="E58" s="203"/>
      <c r="F58" s="243" t="str">
        <f>IFERROR(INDEX('G-1 All Habitats'!$B$3:$B$129,MATCH(E58,'G-1 All Habitats'!$A$3:$A$129,0)),"")</f>
        <v/>
      </c>
      <c r="G58" s="386"/>
      <c r="H58" s="537" t="str">
        <f>IF(F58="","",VLOOKUP(F58,'G-1 All Habitats'!$B$2:$M$129,10,FALSE))</f>
        <v/>
      </c>
      <c r="I58" s="524" t="str">
        <f>IFERROR(VLOOKUP(H58,'G-1 All Habitats'!$V$3:$W$7,2,FALSE),"")</f>
        <v/>
      </c>
      <c r="J58" s="199"/>
      <c r="K58" s="524" t="str">
        <f>IFERROR(INDEX('G-8 Condition Look up'!$A$3:$H$130,MATCH(F58,'G-8 Condition Look up'!$A$3:$A$130,0),MATCH(J58,'G-8 Condition Look up'!$A$3:$H$3,0)),"")</f>
        <v/>
      </c>
      <c r="L58" s="145"/>
      <c r="M58" s="540" t="str">
        <f>IF(L58="","",IF(VLOOKUP(L58,'G-3 Multipliers'!$L$3:$N$6,2,FALSE)=0,"Spatial Data Missing ⚠",VLOOKUP(L58,'G-3 Multipliers'!$L$3:$N$6,2,FALSE)))</f>
        <v/>
      </c>
      <c r="N58" s="499" t="str">
        <f>IF(L58="","",IF(VLOOKUP(L58,'G-3 Multipliers'!$L$3:$N$6,3,FALSE)=0,"Spatial Data Missing ⚠",VLOOKUP(L58,'G-3 Multipliers'!$L$3:$N$6,3,FALSE)))</f>
        <v/>
      </c>
      <c r="O58" s="498" t="str">
        <f t="shared" si="1"/>
        <v/>
      </c>
      <c r="P58" s="195"/>
      <c r="Q58" s="195"/>
      <c r="R58" s="520" t="str">
        <f t="shared" si="2"/>
        <v/>
      </c>
      <c r="S58" s="544" t="str">
        <f t="shared" si="3"/>
        <v/>
      </c>
      <c r="T58" s="525"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 ⚠",P58&gt;=O58),"Low",VLOOKUP(F58,'G-3 Multipliers'!$A$2:$E$129,4,FALSE))))</f>
        <v/>
      </c>
      <c r="X58" s="524" t="str">
        <f>IFERROR(IF(E58="","",VLOOKUP(W58, 'G-3 Multipliers'!$P$2:$Q$6,2,FALSE)),"")</f>
        <v/>
      </c>
      <c r="Y58" s="197"/>
      <c r="Z58" s="499" t="str">
        <f>IF(Y58="","",IF(VLOOKUP(Y58,'G-3 Multipliers'!$S$3:$T$9,2,FALSE)=0,"Spatial Data Missing ⚠",VLOOKUP(Y58,'G-3 Multipliers'!$S$3:$T$9,2,FALSE)))</f>
        <v/>
      </c>
      <c r="AA58" s="545" t="str">
        <f t="shared" si="0"/>
        <v/>
      </c>
      <c r="AB58" s="149"/>
      <c r="AC58" s="150"/>
    </row>
    <row r="59" spans="1:29" ht="13.8" x14ac:dyDescent="0.25">
      <c r="A59" s="31" t="str">
        <f>IFERROR(INDEX('G-8 Condition Look up'!$I$4:$I$130,MATCH(F59,'G-8 Condition Look up'!$A$4:$A$130,0)),"")</f>
        <v/>
      </c>
      <c r="C59" s="244" t="str">
        <f>IFERROR(INDEX('G-1 All Habitats'!$AG$3:$AG$15,MATCH(D59,'G-1 All Habitats'!$AF$3:$AF$15,0)),"")</f>
        <v/>
      </c>
      <c r="D59" s="154"/>
      <c r="E59" s="203"/>
      <c r="F59" s="243" t="str">
        <f>IFERROR(INDEX('G-1 All Habitats'!$B$3:$B$129,MATCH(E59,'G-1 All Habitats'!$A$3:$A$129,0)),"")</f>
        <v/>
      </c>
      <c r="G59" s="386"/>
      <c r="H59" s="537" t="str">
        <f>IF(F59="","",VLOOKUP(F59,'G-1 All Habitats'!$B$2:$M$129,10,FALSE))</f>
        <v/>
      </c>
      <c r="I59" s="524" t="str">
        <f>IFERROR(VLOOKUP(H59,'G-1 All Habitats'!$V$3:$W$7,2,FALSE),"")</f>
        <v/>
      </c>
      <c r="J59" s="199"/>
      <c r="K59" s="524" t="str">
        <f>IFERROR(INDEX('G-8 Condition Look up'!$A$3:$H$130,MATCH(F59,'G-8 Condition Look up'!$A$3:$A$130,0),MATCH(J59,'G-8 Condition Look up'!$A$3:$H$3,0)),"")</f>
        <v/>
      </c>
      <c r="L59" s="145"/>
      <c r="M59" s="540" t="str">
        <f>IF(L59="","",IF(VLOOKUP(L59,'G-3 Multipliers'!$L$3:$N$6,2,FALSE)=0,"Spatial Data Missing ⚠",VLOOKUP(L59,'G-3 Multipliers'!$L$3:$N$6,2,FALSE)))</f>
        <v/>
      </c>
      <c r="N59" s="499" t="str">
        <f>IF(L59="","",IF(VLOOKUP(L59,'G-3 Multipliers'!$L$3:$N$6,3,FALSE)=0,"Spatial Data Missing ⚠",VLOOKUP(L59,'G-3 Multipliers'!$L$3:$N$6,3,FALSE)))</f>
        <v/>
      </c>
      <c r="O59" s="498" t="str">
        <f t="shared" si="1"/>
        <v/>
      </c>
      <c r="P59" s="195"/>
      <c r="Q59" s="195"/>
      <c r="R59" s="520" t="str">
        <f t="shared" si="2"/>
        <v/>
      </c>
      <c r="S59" s="544" t="str">
        <f t="shared" si="3"/>
        <v/>
      </c>
      <c r="T59" s="525"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 ⚠",P59&gt;=O59),"Low",VLOOKUP(F59,'G-3 Multipliers'!$A$2:$E$129,4,FALSE))))</f>
        <v/>
      </c>
      <c r="X59" s="524" t="str">
        <f>IFERROR(IF(E59="","",VLOOKUP(W59, 'G-3 Multipliers'!$P$2:$Q$6,2,FALSE)),"")</f>
        <v/>
      </c>
      <c r="Y59" s="197"/>
      <c r="Z59" s="499" t="str">
        <f>IF(Y59="","",IF(VLOOKUP(Y59,'G-3 Multipliers'!$S$3:$T$9,2,FALSE)=0,"Spatial Data Missing ⚠",VLOOKUP(Y59,'G-3 Multipliers'!$S$3:$T$9,2,FALSE)))</f>
        <v/>
      </c>
      <c r="AA59" s="545" t="str">
        <f t="shared" si="0"/>
        <v/>
      </c>
      <c r="AB59" s="149"/>
      <c r="AC59" s="150"/>
    </row>
    <row r="60" spans="1:29" ht="13.8" x14ac:dyDescent="0.25">
      <c r="A60" s="31" t="str">
        <f>IFERROR(INDEX('G-8 Condition Look up'!$I$4:$I$130,MATCH(F60,'G-8 Condition Look up'!$A$4:$A$130,0)),"")</f>
        <v/>
      </c>
      <c r="C60" s="244" t="str">
        <f>IFERROR(INDEX('G-1 All Habitats'!$AG$3:$AG$15,MATCH(D60,'G-1 All Habitats'!$AF$3:$AF$15,0)),"")</f>
        <v/>
      </c>
      <c r="D60" s="154"/>
      <c r="E60" s="203"/>
      <c r="F60" s="243" t="str">
        <f>IFERROR(INDEX('G-1 All Habitats'!$B$3:$B$129,MATCH(E60,'G-1 All Habitats'!$A$3:$A$129,0)),"")</f>
        <v/>
      </c>
      <c r="G60" s="386"/>
      <c r="H60" s="537" t="str">
        <f>IF(F60="","",VLOOKUP(F60,'G-1 All Habitats'!$B$2:$M$129,10,FALSE))</f>
        <v/>
      </c>
      <c r="I60" s="524" t="str">
        <f>IFERROR(VLOOKUP(H60,'G-1 All Habitats'!$V$3:$W$7,2,FALSE),"")</f>
        <v/>
      </c>
      <c r="J60" s="199"/>
      <c r="K60" s="524" t="str">
        <f>IFERROR(INDEX('G-8 Condition Look up'!$A$3:$H$130,MATCH(F60,'G-8 Condition Look up'!$A$3:$A$130,0),MATCH(J60,'G-8 Condition Look up'!$A$3:$H$3,0)),"")</f>
        <v/>
      </c>
      <c r="L60" s="145"/>
      <c r="M60" s="540" t="str">
        <f>IF(L60="","",IF(VLOOKUP(L60,'G-3 Multipliers'!$L$3:$N$6,2,FALSE)=0,"Spatial Data Missing ⚠",VLOOKUP(L60,'G-3 Multipliers'!$L$3:$N$6,2,FALSE)))</f>
        <v/>
      </c>
      <c r="N60" s="499" t="str">
        <f>IF(L60="","",IF(VLOOKUP(L60,'G-3 Multipliers'!$L$3:$N$6,3,FALSE)=0,"Spatial Data Missing ⚠",VLOOKUP(L60,'G-3 Multipliers'!$L$3:$N$6,3,FALSE)))</f>
        <v/>
      </c>
      <c r="O60" s="498" t="str">
        <f t="shared" si="1"/>
        <v/>
      </c>
      <c r="P60" s="195"/>
      <c r="Q60" s="195"/>
      <c r="R60" s="520" t="str">
        <f t="shared" si="2"/>
        <v/>
      </c>
      <c r="S60" s="544" t="str">
        <f t="shared" si="3"/>
        <v/>
      </c>
      <c r="T60" s="525"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 ⚠",P60&gt;=O60),"Low",VLOOKUP(F60,'G-3 Multipliers'!$A$2:$E$129,4,FALSE))))</f>
        <v/>
      </c>
      <c r="X60" s="524" t="str">
        <f>IFERROR(IF(E60="","",VLOOKUP(W60, 'G-3 Multipliers'!$P$2:$Q$6,2,FALSE)),"")</f>
        <v/>
      </c>
      <c r="Y60" s="197"/>
      <c r="Z60" s="499" t="str">
        <f>IF(Y60="","",IF(VLOOKUP(Y60,'G-3 Multipliers'!$S$3:$T$9,2,FALSE)=0,"Spatial Data Missing ⚠",VLOOKUP(Y60,'G-3 Multipliers'!$S$3:$T$9,2,FALSE)))</f>
        <v/>
      </c>
      <c r="AA60" s="545" t="str">
        <f t="shared" si="0"/>
        <v/>
      </c>
      <c r="AB60" s="149"/>
      <c r="AC60" s="150"/>
    </row>
    <row r="61" spans="1:29" ht="13.8" x14ac:dyDescent="0.25">
      <c r="A61" s="31" t="str">
        <f>IFERROR(INDEX('G-8 Condition Look up'!$I$4:$I$130,MATCH(F61,'G-8 Condition Look up'!$A$4:$A$130,0)),"")</f>
        <v/>
      </c>
      <c r="C61" s="244" t="str">
        <f>IFERROR(INDEX('G-1 All Habitats'!$AG$3:$AG$15,MATCH(D61,'G-1 All Habitats'!$AF$3:$AF$15,0)),"")</f>
        <v/>
      </c>
      <c r="D61" s="154"/>
      <c r="E61" s="203"/>
      <c r="F61" s="243" t="str">
        <f>IFERROR(INDEX('G-1 All Habitats'!$B$3:$B$129,MATCH(E61,'G-1 All Habitats'!$A$3:$A$129,0)),"")</f>
        <v/>
      </c>
      <c r="G61" s="386"/>
      <c r="H61" s="537" t="str">
        <f>IF(F61="","",VLOOKUP(F61,'G-1 All Habitats'!$B$2:$M$129,10,FALSE))</f>
        <v/>
      </c>
      <c r="I61" s="524" t="str">
        <f>IFERROR(VLOOKUP(H61,'G-1 All Habitats'!$V$3:$W$7,2,FALSE),"")</f>
        <v/>
      </c>
      <c r="J61" s="199"/>
      <c r="K61" s="524" t="str">
        <f>IFERROR(INDEX('G-8 Condition Look up'!$A$3:$H$130,MATCH(F61,'G-8 Condition Look up'!$A$3:$A$130,0),MATCH(J61,'G-8 Condition Look up'!$A$3:$H$3,0)),"")</f>
        <v/>
      </c>
      <c r="L61" s="145"/>
      <c r="M61" s="540" t="str">
        <f>IF(L61="","",IF(VLOOKUP(L61,'G-3 Multipliers'!$L$3:$N$6,2,FALSE)=0,"Spatial Data Missing ⚠",VLOOKUP(L61,'G-3 Multipliers'!$L$3:$N$6,2,FALSE)))</f>
        <v/>
      </c>
      <c r="N61" s="499" t="str">
        <f>IF(L61="","",IF(VLOOKUP(L61,'G-3 Multipliers'!$L$3:$N$6,3,FALSE)=0,"Spatial Data Missing ⚠",VLOOKUP(L61,'G-3 Multipliers'!$L$3:$N$6,3,FALSE)))</f>
        <v/>
      </c>
      <c r="O61" s="498" t="str">
        <f t="shared" si="1"/>
        <v/>
      </c>
      <c r="P61" s="195"/>
      <c r="Q61" s="195"/>
      <c r="R61" s="520" t="str">
        <f t="shared" si="2"/>
        <v/>
      </c>
      <c r="S61" s="544" t="str">
        <f t="shared" si="3"/>
        <v/>
      </c>
      <c r="T61" s="525"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 ⚠",P61&gt;=O61),"Low",VLOOKUP(F61,'G-3 Multipliers'!$A$2:$E$129,4,FALSE))))</f>
        <v/>
      </c>
      <c r="X61" s="524" t="str">
        <f>IFERROR(IF(E61="","",VLOOKUP(W61, 'G-3 Multipliers'!$P$2:$Q$6,2,FALSE)),"")</f>
        <v/>
      </c>
      <c r="Y61" s="197"/>
      <c r="Z61" s="499" t="str">
        <f>IF(Y61="","",IF(VLOOKUP(Y61,'G-3 Multipliers'!$S$3:$T$9,2,FALSE)=0,"Spatial Data Missing ⚠",VLOOKUP(Y61,'G-3 Multipliers'!$S$3:$T$9,2,FALSE)))</f>
        <v/>
      </c>
      <c r="AA61" s="545" t="str">
        <f t="shared" si="0"/>
        <v/>
      </c>
      <c r="AB61" s="149"/>
      <c r="AC61" s="150"/>
    </row>
    <row r="62" spans="1:29" ht="13.8" x14ac:dyDescent="0.25">
      <c r="A62" s="31" t="str">
        <f>IFERROR(INDEX('G-8 Condition Look up'!$I$4:$I$130,MATCH(F62,'G-8 Condition Look up'!$A$4:$A$130,0)),"")</f>
        <v/>
      </c>
      <c r="C62" s="244" t="str">
        <f>IFERROR(INDEX('G-1 All Habitats'!$AG$3:$AG$15,MATCH(D62,'G-1 All Habitats'!$AF$3:$AF$15,0)),"")</f>
        <v/>
      </c>
      <c r="D62" s="154"/>
      <c r="E62" s="203"/>
      <c r="F62" s="243" t="str">
        <f>IFERROR(INDEX('G-1 All Habitats'!$B$3:$B$129,MATCH(E62,'G-1 All Habitats'!$A$3:$A$129,0)),"")</f>
        <v/>
      </c>
      <c r="G62" s="386"/>
      <c r="H62" s="537" t="str">
        <f>IF(F62="","",VLOOKUP(F62,'G-1 All Habitats'!$B$2:$M$129,10,FALSE))</f>
        <v/>
      </c>
      <c r="I62" s="524" t="str">
        <f>IFERROR(VLOOKUP(H62,'G-1 All Habitats'!$V$3:$W$7,2,FALSE),"")</f>
        <v/>
      </c>
      <c r="J62" s="199"/>
      <c r="K62" s="524" t="str">
        <f>IFERROR(INDEX('G-8 Condition Look up'!$A$3:$H$130,MATCH(F62,'G-8 Condition Look up'!$A$3:$A$130,0),MATCH(J62,'G-8 Condition Look up'!$A$3:$H$3,0)),"")</f>
        <v/>
      </c>
      <c r="L62" s="145"/>
      <c r="M62" s="540" t="str">
        <f>IF(L62="","",IF(VLOOKUP(L62,'G-3 Multipliers'!$L$3:$N$6,2,FALSE)=0,"Spatial Data Missing ⚠",VLOOKUP(L62,'G-3 Multipliers'!$L$3:$N$6,2,FALSE)))</f>
        <v/>
      </c>
      <c r="N62" s="499" t="str">
        <f>IF(L62="","",IF(VLOOKUP(L62,'G-3 Multipliers'!$L$3:$N$6,3,FALSE)=0,"Spatial Data Missing ⚠",VLOOKUP(L62,'G-3 Multipliers'!$L$3:$N$6,3,FALSE)))</f>
        <v/>
      </c>
      <c r="O62" s="498" t="str">
        <f t="shared" si="1"/>
        <v/>
      </c>
      <c r="P62" s="195"/>
      <c r="Q62" s="195"/>
      <c r="R62" s="520" t="str">
        <f t="shared" si="2"/>
        <v/>
      </c>
      <c r="S62" s="544" t="str">
        <f t="shared" si="3"/>
        <v/>
      </c>
      <c r="T62" s="525"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 ⚠",P62&gt;=O62),"Low",VLOOKUP(F62,'G-3 Multipliers'!$A$2:$E$129,4,FALSE))))</f>
        <v/>
      </c>
      <c r="X62" s="524" t="str">
        <f>IFERROR(IF(E62="","",VLOOKUP(W62, 'G-3 Multipliers'!$P$2:$Q$6,2,FALSE)),"")</f>
        <v/>
      </c>
      <c r="Y62" s="197"/>
      <c r="Z62" s="499" t="str">
        <f>IF(Y62="","",IF(VLOOKUP(Y62,'G-3 Multipliers'!$S$3:$T$9,2,FALSE)=0,"Spatial Data Missing ⚠",VLOOKUP(Y62,'G-3 Multipliers'!$S$3:$T$9,2,FALSE)))</f>
        <v/>
      </c>
      <c r="AA62" s="545" t="str">
        <f t="shared" si="0"/>
        <v/>
      </c>
      <c r="AB62" s="149"/>
      <c r="AC62" s="150"/>
    </row>
    <row r="63" spans="1:29" ht="13.8" x14ac:dyDescent="0.25">
      <c r="A63" s="31" t="str">
        <f>IFERROR(INDEX('G-8 Condition Look up'!$I$4:$I$130,MATCH(F63,'G-8 Condition Look up'!$A$4:$A$130,0)),"")</f>
        <v/>
      </c>
      <c r="C63" s="244" t="str">
        <f>IFERROR(INDEX('G-1 All Habitats'!$AG$3:$AG$15,MATCH(D63,'G-1 All Habitats'!$AF$3:$AF$15,0)),"")</f>
        <v/>
      </c>
      <c r="D63" s="154"/>
      <c r="E63" s="203"/>
      <c r="F63" s="243" t="str">
        <f>IFERROR(INDEX('G-1 All Habitats'!$B$3:$B$129,MATCH(E63,'G-1 All Habitats'!$A$3:$A$129,0)),"")</f>
        <v/>
      </c>
      <c r="G63" s="386"/>
      <c r="H63" s="537" t="str">
        <f>IF(F63="","",VLOOKUP(F63,'G-1 All Habitats'!$B$2:$M$129,10,FALSE))</f>
        <v/>
      </c>
      <c r="I63" s="524" t="str">
        <f>IFERROR(VLOOKUP(H63,'G-1 All Habitats'!$V$3:$W$7,2,FALSE),"")</f>
        <v/>
      </c>
      <c r="J63" s="199"/>
      <c r="K63" s="524" t="str">
        <f>IFERROR(INDEX('G-8 Condition Look up'!$A$3:$H$130,MATCH(F63,'G-8 Condition Look up'!$A$3:$A$130,0),MATCH(J63,'G-8 Condition Look up'!$A$3:$H$3,0)),"")</f>
        <v/>
      </c>
      <c r="L63" s="145"/>
      <c r="M63" s="540" t="str">
        <f>IF(L63="","",IF(VLOOKUP(L63,'G-3 Multipliers'!$L$3:$N$6,2,FALSE)=0,"Spatial Data Missing ⚠",VLOOKUP(L63,'G-3 Multipliers'!$L$3:$N$6,2,FALSE)))</f>
        <v/>
      </c>
      <c r="N63" s="499" t="str">
        <f>IF(L63="","",IF(VLOOKUP(L63,'G-3 Multipliers'!$L$3:$N$6,3,FALSE)=0,"Spatial Data Missing ⚠",VLOOKUP(L63,'G-3 Multipliers'!$L$3:$N$6,3,FALSE)))</f>
        <v/>
      </c>
      <c r="O63" s="498" t="str">
        <f t="shared" si="1"/>
        <v/>
      </c>
      <c r="P63" s="195"/>
      <c r="Q63" s="195"/>
      <c r="R63" s="520" t="str">
        <f t="shared" si="2"/>
        <v/>
      </c>
      <c r="S63" s="544" t="str">
        <f t="shared" si="3"/>
        <v/>
      </c>
      <c r="T63" s="525"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 ⚠",P63&gt;=O63),"Low",VLOOKUP(F63,'G-3 Multipliers'!$A$2:$E$129,4,FALSE))))</f>
        <v/>
      </c>
      <c r="X63" s="524" t="str">
        <f>IFERROR(IF(E63="","",VLOOKUP(W63, 'G-3 Multipliers'!$P$2:$Q$6,2,FALSE)),"")</f>
        <v/>
      </c>
      <c r="Y63" s="197"/>
      <c r="Z63" s="499" t="str">
        <f>IF(Y63="","",IF(VLOOKUP(Y63,'G-3 Multipliers'!$S$3:$T$9,2,FALSE)=0,"Spatial Data Missing ⚠",VLOOKUP(Y63,'G-3 Multipliers'!$S$3:$T$9,2,FALSE)))</f>
        <v/>
      </c>
      <c r="AA63" s="545" t="str">
        <f t="shared" si="0"/>
        <v/>
      </c>
      <c r="AB63" s="149"/>
      <c r="AC63" s="150"/>
    </row>
    <row r="64" spans="1:29" ht="13.8" x14ac:dyDescent="0.25">
      <c r="A64" s="31" t="str">
        <f>IFERROR(INDEX('G-8 Condition Look up'!$I$4:$I$130,MATCH(F64,'G-8 Condition Look up'!$A$4:$A$130,0)),"")</f>
        <v/>
      </c>
      <c r="C64" s="244" t="str">
        <f>IFERROR(INDEX('G-1 All Habitats'!$AG$3:$AG$15,MATCH(D64,'G-1 All Habitats'!$AF$3:$AF$15,0)),"")</f>
        <v/>
      </c>
      <c r="D64" s="154"/>
      <c r="E64" s="203"/>
      <c r="F64" s="243" t="str">
        <f>IFERROR(INDEX('G-1 All Habitats'!$B$3:$B$129,MATCH(E64,'G-1 All Habitats'!$A$3:$A$129,0)),"")</f>
        <v/>
      </c>
      <c r="G64" s="386"/>
      <c r="H64" s="537" t="str">
        <f>IF(F64="","",VLOOKUP(F64,'G-1 All Habitats'!$B$2:$M$129,10,FALSE))</f>
        <v/>
      </c>
      <c r="I64" s="524" t="str">
        <f>IFERROR(VLOOKUP(H64,'G-1 All Habitats'!$V$3:$W$7,2,FALSE),"")</f>
        <v/>
      </c>
      <c r="J64" s="199"/>
      <c r="K64" s="524" t="str">
        <f>IFERROR(INDEX('G-8 Condition Look up'!$A$3:$H$130,MATCH(F64,'G-8 Condition Look up'!$A$3:$A$130,0),MATCH(J64,'G-8 Condition Look up'!$A$3:$H$3,0)),"")</f>
        <v/>
      </c>
      <c r="L64" s="145"/>
      <c r="M64" s="540" t="str">
        <f>IF(L64="","",IF(VLOOKUP(L64,'G-3 Multipliers'!$L$3:$N$6,2,FALSE)=0,"Spatial Data Missing ⚠",VLOOKUP(L64,'G-3 Multipliers'!$L$3:$N$6,2,FALSE)))</f>
        <v/>
      </c>
      <c r="N64" s="499" t="str">
        <f>IF(L64="","",IF(VLOOKUP(L64,'G-3 Multipliers'!$L$3:$N$6,3,FALSE)=0,"Spatial Data Missing ⚠",VLOOKUP(L64,'G-3 Multipliers'!$L$3:$N$6,3,FALSE)))</f>
        <v/>
      </c>
      <c r="O64" s="498" t="str">
        <f t="shared" si="1"/>
        <v/>
      </c>
      <c r="P64" s="195"/>
      <c r="Q64" s="195"/>
      <c r="R64" s="520" t="str">
        <f t="shared" si="2"/>
        <v/>
      </c>
      <c r="S64" s="544" t="str">
        <f t="shared" si="3"/>
        <v/>
      </c>
      <c r="T64" s="525"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 ⚠",P64&gt;=O64),"Low",VLOOKUP(F64,'G-3 Multipliers'!$A$2:$E$129,4,FALSE))))</f>
        <v/>
      </c>
      <c r="X64" s="524" t="str">
        <f>IFERROR(IF(E64="","",VLOOKUP(W64, 'G-3 Multipliers'!$P$2:$Q$6,2,FALSE)),"")</f>
        <v/>
      </c>
      <c r="Y64" s="197"/>
      <c r="Z64" s="499" t="str">
        <f>IF(Y64="","",IF(VLOOKUP(Y64,'G-3 Multipliers'!$S$3:$T$9,2,FALSE)=0,"Spatial Data Missing ⚠",VLOOKUP(Y64,'G-3 Multipliers'!$S$3:$T$9,2,FALSE)))</f>
        <v/>
      </c>
      <c r="AA64" s="545" t="str">
        <f t="shared" si="0"/>
        <v/>
      </c>
      <c r="AB64" s="149"/>
      <c r="AC64" s="150"/>
    </row>
    <row r="65" spans="1:29" ht="13.8" x14ac:dyDescent="0.25">
      <c r="A65" s="31" t="str">
        <f>IFERROR(INDEX('G-8 Condition Look up'!$I$4:$I$130,MATCH(F65,'G-8 Condition Look up'!$A$4:$A$130,0)),"")</f>
        <v/>
      </c>
      <c r="C65" s="244" t="str">
        <f>IFERROR(INDEX('G-1 All Habitats'!$AG$3:$AG$15,MATCH(D65,'G-1 All Habitats'!$AF$3:$AF$15,0)),"")</f>
        <v/>
      </c>
      <c r="D65" s="154"/>
      <c r="E65" s="203"/>
      <c r="F65" s="243" t="str">
        <f>IFERROR(INDEX('G-1 All Habitats'!$B$3:$B$129,MATCH(E65,'G-1 All Habitats'!$A$3:$A$129,0)),"")</f>
        <v/>
      </c>
      <c r="G65" s="386"/>
      <c r="H65" s="537" t="str">
        <f>IF(F65="","",VLOOKUP(F65,'G-1 All Habitats'!$B$2:$M$129,10,FALSE))</f>
        <v/>
      </c>
      <c r="I65" s="524" t="str">
        <f>IFERROR(VLOOKUP(H65,'G-1 All Habitats'!$V$3:$W$7,2,FALSE),"")</f>
        <v/>
      </c>
      <c r="J65" s="199"/>
      <c r="K65" s="524" t="str">
        <f>IFERROR(INDEX('G-8 Condition Look up'!$A$3:$H$130,MATCH(F65,'G-8 Condition Look up'!$A$3:$A$130,0),MATCH(J65,'G-8 Condition Look up'!$A$3:$H$3,0)),"")</f>
        <v/>
      </c>
      <c r="L65" s="145"/>
      <c r="M65" s="540" t="str">
        <f>IF(L65="","",IF(VLOOKUP(L65,'G-3 Multipliers'!$L$3:$N$6,2,FALSE)=0,"Spatial Data Missing ⚠",VLOOKUP(L65,'G-3 Multipliers'!$L$3:$N$6,2,FALSE)))</f>
        <v/>
      </c>
      <c r="N65" s="499" t="str">
        <f>IF(L65="","",IF(VLOOKUP(L65,'G-3 Multipliers'!$L$3:$N$6,3,FALSE)=0,"Spatial Data Missing ⚠",VLOOKUP(L65,'G-3 Multipliers'!$L$3:$N$6,3,FALSE)))</f>
        <v/>
      </c>
      <c r="O65" s="498" t="str">
        <f t="shared" si="1"/>
        <v/>
      </c>
      <c r="P65" s="195"/>
      <c r="Q65" s="195"/>
      <c r="R65" s="520" t="str">
        <f t="shared" si="2"/>
        <v/>
      </c>
      <c r="S65" s="544" t="str">
        <f t="shared" si="3"/>
        <v/>
      </c>
      <c r="T65" s="525"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 ⚠",P65&gt;=O65),"Low",VLOOKUP(F65,'G-3 Multipliers'!$A$2:$E$129,4,FALSE))))</f>
        <v/>
      </c>
      <c r="X65" s="524" t="str">
        <f>IFERROR(IF(E65="","",VLOOKUP(W65, 'G-3 Multipliers'!$P$2:$Q$6,2,FALSE)),"")</f>
        <v/>
      </c>
      <c r="Y65" s="197"/>
      <c r="Z65" s="499" t="str">
        <f>IF(Y65="","",IF(VLOOKUP(Y65,'G-3 Multipliers'!$S$3:$T$9,2,FALSE)=0,"Spatial Data Missing ⚠",VLOOKUP(Y65,'G-3 Multipliers'!$S$3:$T$9,2,FALSE)))</f>
        <v/>
      </c>
      <c r="AA65" s="545" t="str">
        <f t="shared" si="0"/>
        <v/>
      </c>
      <c r="AB65" s="149"/>
      <c r="AC65" s="150"/>
    </row>
    <row r="66" spans="1:29" ht="13.8" x14ac:dyDescent="0.25">
      <c r="A66" s="31" t="str">
        <f>IFERROR(INDEX('G-8 Condition Look up'!$I$4:$I$130,MATCH(F66,'G-8 Condition Look up'!$A$4:$A$130,0)),"")</f>
        <v/>
      </c>
      <c r="C66" s="244" t="str">
        <f>IFERROR(INDEX('G-1 All Habitats'!$AG$3:$AG$15,MATCH(D66,'G-1 All Habitats'!$AF$3:$AF$15,0)),"")</f>
        <v/>
      </c>
      <c r="D66" s="154"/>
      <c r="E66" s="203"/>
      <c r="F66" s="243" t="str">
        <f>IFERROR(INDEX('G-1 All Habitats'!$B$3:$B$129,MATCH(E66,'G-1 All Habitats'!$A$3:$A$129,0)),"")</f>
        <v/>
      </c>
      <c r="G66" s="386"/>
      <c r="H66" s="537" t="str">
        <f>IF(F66="","",VLOOKUP(F66,'G-1 All Habitats'!$B$2:$M$129,10,FALSE))</f>
        <v/>
      </c>
      <c r="I66" s="524" t="str">
        <f>IFERROR(VLOOKUP(H66,'G-1 All Habitats'!$V$3:$W$7,2,FALSE),"")</f>
        <v/>
      </c>
      <c r="J66" s="199"/>
      <c r="K66" s="524" t="str">
        <f>IFERROR(INDEX('G-8 Condition Look up'!$A$3:$H$130,MATCH(F66,'G-8 Condition Look up'!$A$3:$A$130,0),MATCH(J66,'G-8 Condition Look up'!$A$3:$H$3,0)),"")</f>
        <v/>
      </c>
      <c r="L66" s="145"/>
      <c r="M66" s="540" t="str">
        <f>IF(L66="","",IF(VLOOKUP(L66,'G-3 Multipliers'!$L$3:$N$6,2,FALSE)=0,"Spatial Data Missing ⚠",VLOOKUP(L66,'G-3 Multipliers'!$L$3:$N$6,2,FALSE)))</f>
        <v/>
      </c>
      <c r="N66" s="499" t="str">
        <f>IF(L66="","",IF(VLOOKUP(L66,'G-3 Multipliers'!$L$3:$N$6,3,FALSE)=0,"Spatial Data Missing ⚠",VLOOKUP(L66,'G-3 Multipliers'!$L$3:$N$6,3,FALSE)))</f>
        <v/>
      </c>
      <c r="O66" s="498" t="str">
        <f t="shared" si="1"/>
        <v/>
      </c>
      <c r="P66" s="195"/>
      <c r="Q66" s="195"/>
      <c r="R66" s="520" t="str">
        <f t="shared" si="2"/>
        <v/>
      </c>
      <c r="S66" s="544" t="str">
        <f t="shared" si="3"/>
        <v/>
      </c>
      <c r="T66" s="525"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 ⚠",P66&gt;=O66),"Low",VLOOKUP(F66,'G-3 Multipliers'!$A$2:$E$129,4,FALSE))))</f>
        <v/>
      </c>
      <c r="X66" s="524" t="str">
        <f>IFERROR(IF(E66="","",VLOOKUP(W66, 'G-3 Multipliers'!$P$2:$Q$6,2,FALSE)),"")</f>
        <v/>
      </c>
      <c r="Y66" s="197"/>
      <c r="Z66" s="499" t="str">
        <f>IF(Y66="","",IF(VLOOKUP(Y66,'G-3 Multipliers'!$S$3:$T$9,2,FALSE)=0,"Spatial Data Missing ⚠",VLOOKUP(Y66,'G-3 Multipliers'!$S$3:$T$9,2,FALSE)))</f>
        <v/>
      </c>
      <c r="AA66" s="545" t="str">
        <f t="shared" si="0"/>
        <v/>
      </c>
      <c r="AB66" s="149"/>
      <c r="AC66" s="150"/>
    </row>
    <row r="67" spans="1:29" ht="13.8" x14ac:dyDescent="0.25">
      <c r="A67" s="31" t="str">
        <f>IFERROR(INDEX('G-8 Condition Look up'!$I$4:$I$130,MATCH(F67,'G-8 Condition Look up'!$A$4:$A$130,0)),"")</f>
        <v/>
      </c>
      <c r="C67" s="244" t="str">
        <f>IFERROR(INDEX('G-1 All Habitats'!$AG$3:$AG$15,MATCH(D67,'G-1 All Habitats'!$AF$3:$AF$15,0)),"")</f>
        <v/>
      </c>
      <c r="D67" s="154"/>
      <c r="E67" s="203"/>
      <c r="F67" s="243" t="str">
        <f>IFERROR(INDEX('G-1 All Habitats'!$B$3:$B$129,MATCH(E67,'G-1 All Habitats'!$A$3:$A$129,0)),"")</f>
        <v/>
      </c>
      <c r="G67" s="386"/>
      <c r="H67" s="537" t="str">
        <f>IF(F67="","",VLOOKUP(F67,'G-1 All Habitats'!$B$2:$M$129,10,FALSE))</f>
        <v/>
      </c>
      <c r="I67" s="524" t="str">
        <f>IFERROR(VLOOKUP(H67,'G-1 All Habitats'!$V$3:$W$7,2,FALSE),"")</f>
        <v/>
      </c>
      <c r="J67" s="199"/>
      <c r="K67" s="524" t="str">
        <f>IFERROR(INDEX('G-8 Condition Look up'!$A$3:$H$130,MATCH(F67,'G-8 Condition Look up'!$A$3:$A$130,0),MATCH(J67,'G-8 Condition Look up'!$A$3:$H$3,0)),"")</f>
        <v/>
      </c>
      <c r="L67" s="145"/>
      <c r="M67" s="540" t="str">
        <f>IF(L67="","",IF(VLOOKUP(L67,'G-3 Multipliers'!$L$3:$N$6,2,FALSE)=0,"Spatial Data Missing ⚠",VLOOKUP(L67,'G-3 Multipliers'!$L$3:$N$6,2,FALSE)))</f>
        <v/>
      </c>
      <c r="N67" s="499" t="str">
        <f>IF(L67="","",IF(VLOOKUP(L67,'G-3 Multipliers'!$L$3:$N$6,3,FALSE)=0,"Spatial Data Missing ⚠",VLOOKUP(L67,'G-3 Multipliers'!$L$3:$N$6,3,FALSE)))</f>
        <v/>
      </c>
      <c r="O67" s="498" t="str">
        <f t="shared" si="1"/>
        <v/>
      </c>
      <c r="P67" s="195"/>
      <c r="Q67" s="195"/>
      <c r="R67" s="520" t="str">
        <f t="shared" si="2"/>
        <v/>
      </c>
      <c r="S67" s="544" t="str">
        <f t="shared" si="3"/>
        <v/>
      </c>
      <c r="T67" s="525"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 ⚠",P67&gt;=O67),"Low",VLOOKUP(F67,'G-3 Multipliers'!$A$2:$E$129,4,FALSE))))</f>
        <v/>
      </c>
      <c r="X67" s="524" t="str">
        <f>IFERROR(IF(E67="","",VLOOKUP(W67, 'G-3 Multipliers'!$P$2:$Q$6,2,FALSE)),"")</f>
        <v/>
      </c>
      <c r="Y67" s="197"/>
      <c r="Z67" s="499" t="str">
        <f>IF(Y67="","",IF(VLOOKUP(Y67,'G-3 Multipliers'!$S$3:$T$9,2,FALSE)=0,"Spatial Data Missing ⚠",VLOOKUP(Y67,'G-3 Multipliers'!$S$3:$T$9,2,FALSE)))</f>
        <v/>
      </c>
      <c r="AA67" s="545" t="str">
        <f t="shared" si="0"/>
        <v/>
      </c>
      <c r="AB67" s="149"/>
      <c r="AC67" s="150"/>
    </row>
    <row r="68" spans="1:29" ht="13.8" x14ac:dyDescent="0.25">
      <c r="A68" s="31" t="str">
        <f>IFERROR(INDEX('G-8 Condition Look up'!$I$4:$I$130,MATCH(F68,'G-8 Condition Look up'!$A$4:$A$130,0)),"")</f>
        <v/>
      </c>
      <c r="C68" s="244" t="str">
        <f>IFERROR(INDEX('G-1 All Habitats'!$AG$3:$AG$15,MATCH(D68,'G-1 All Habitats'!$AF$3:$AF$15,0)),"")</f>
        <v/>
      </c>
      <c r="D68" s="154"/>
      <c r="E68" s="203"/>
      <c r="F68" s="243" t="str">
        <f>IFERROR(INDEX('G-1 All Habitats'!$B$3:$B$129,MATCH(E68,'G-1 All Habitats'!$A$3:$A$129,0)),"")</f>
        <v/>
      </c>
      <c r="G68" s="386"/>
      <c r="H68" s="537" t="str">
        <f>IF(F68="","",VLOOKUP(F68,'G-1 All Habitats'!$B$2:$M$129,10,FALSE))</f>
        <v/>
      </c>
      <c r="I68" s="524" t="str">
        <f>IFERROR(VLOOKUP(H68,'G-1 All Habitats'!$V$3:$W$7,2,FALSE),"")</f>
        <v/>
      </c>
      <c r="J68" s="199"/>
      <c r="K68" s="524" t="str">
        <f>IFERROR(INDEX('G-8 Condition Look up'!$A$3:$H$130,MATCH(F68,'G-8 Condition Look up'!$A$3:$A$130,0),MATCH(J68,'G-8 Condition Look up'!$A$3:$H$3,0)),"")</f>
        <v/>
      </c>
      <c r="L68" s="145"/>
      <c r="M68" s="540" t="str">
        <f>IF(L68="","",IF(VLOOKUP(L68,'G-3 Multipliers'!$L$3:$N$6,2,FALSE)=0,"Spatial Data Missing ⚠",VLOOKUP(L68,'G-3 Multipliers'!$L$3:$N$6,2,FALSE)))</f>
        <v/>
      </c>
      <c r="N68" s="499" t="str">
        <f>IF(L68="","",IF(VLOOKUP(L68,'G-3 Multipliers'!$L$3:$N$6,3,FALSE)=0,"Spatial Data Missing ⚠",VLOOKUP(L68,'G-3 Multipliers'!$L$3:$N$6,3,FALSE)))</f>
        <v/>
      </c>
      <c r="O68" s="498" t="str">
        <f t="shared" si="1"/>
        <v/>
      </c>
      <c r="P68" s="195"/>
      <c r="Q68" s="195"/>
      <c r="R68" s="520" t="str">
        <f t="shared" si="2"/>
        <v/>
      </c>
      <c r="S68" s="544" t="str">
        <f t="shared" si="3"/>
        <v/>
      </c>
      <c r="T68" s="525"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 ⚠",P68&gt;=O68),"Low",VLOOKUP(F68,'G-3 Multipliers'!$A$2:$E$129,4,FALSE))))</f>
        <v/>
      </c>
      <c r="X68" s="524" t="str">
        <f>IFERROR(IF(E68="","",VLOOKUP(W68, 'G-3 Multipliers'!$P$2:$Q$6,2,FALSE)),"")</f>
        <v/>
      </c>
      <c r="Y68" s="197"/>
      <c r="Z68" s="499" t="str">
        <f>IF(Y68="","",IF(VLOOKUP(Y68,'G-3 Multipliers'!$S$3:$T$9,2,FALSE)=0,"Spatial Data Missing ⚠",VLOOKUP(Y68,'G-3 Multipliers'!$S$3:$T$9,2,FALSE)))</f>
        <v/>
      </c>
      <c r="AA68" s="545" t="str">
        <f t="shared" si="0"/>
        <v/>
      </c>
      <c r="AB68" s="149"/>
      <c r="AC68" s="150"/>
    </row>
    <row r="69" spans="1:29" ht="13.8" x14ac:dyDescent="0.25">
      <c r="A69" s="31" t="str">
        <f>IFERROR(INDEX('G-8 Condition Look up'!$I$4:$I$130,MATCH(F69,'G-8 Condition Look up'!$A$4:$A$130,0)),"")</f>
        <v/>
      </c>
      <c r="C69" s="244" t="str">
        <f>IFERROR(INDEX('G-1 All Habitats'!$AG$3:$AG$15,MATCH(D69,'G-1 All Habitats'!$AF$3:$AF$15,0)),"")</f>
        <v/>
      </c>
      <c r="D69" s="154"/>
      <c r="E69" s="203"/>
      <c r="F69" s="243" t="str">
        <f>IFERROR(INDEX('G-1 All Habitats'!$B$3:$B$129,MATCH(E69,'G-1 All Habitats'!$A$3:$A$129,0)),"")</f>
        <v/>
      </c>
      <c r="G69" s="386"/>
      <c r="H69" s="537" t="str">
        <f>IF(F69="","",VLOOKUP(F69,'G-1 All Habitats'!$B$2:$M$129,10,FALSE))</f>
        <v/>
      </c>
      <c r="I69" s="524" t="str">
        <f>IFERROR(VLOOKUP(H69,'G-1 All Habitats'!$V$3:$W$7,2,FALSE),"")</f>
        <v/>
      </c>
      <c r="J69" s="199"/>
      <c r="K69" s="524" t="str">
        <f>IFERROR(INDEX('G-8 Condition Look up'!$A$3:$H$130,MATCH(F69,'G-8 Condition Look up'!$A$3:$A$130,0),MATCH(J69,'G-8 Condition Look up'!$A$3:$H$3,0)),"")</f>
        <v/>
      </c>
      <c r="L69" s="145"/>
      <c r="M69" s="540" t="str">
        <f>IF(L69="","",IF(VLOOKUP(L69,'G-3 Multipliers'!$L$3:$N$6,2,FALSE)=0,"Spatial Data Missing ⚠",VLOOKUP(L69,'G-3 Multipliers'!$L$3:$N$6,2,FALSE)))</f>
        <v/>
      </c>
      <c r="N69" s="499" t="str">
        <f>IF(L69="","",IF(VLOOKUP(L69,'G-3 Multipliers'!$L$3:$N$6,3,FALSE)=0,"Spatial Data Missing ⚠",VLOOKUP(L69,'G-3 Multipliers'!$L$3:$N$6,3,FALSE)))</f>
        <v/>
      </c>
      <c r="O69" s="498" t="str">
        <f t="shared" si="1"/>
        <v/>
      </c>
      <c r="P69" s="195"/>
      <c r="Q69" s="195"/>
      <c r="R69" s="520" t="str">
        <f t="shared" si="2"/>
        <v/>
      </c>
      <c r="S69" s="544" t="str">
        <f t="shared" si="3"/>
        <v/>
      </c>
      <c r="T69" s="525"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 ⚠",P69&gt;=O69),"Low",VLOOKUP(F69,'G-3 Multipliers'!$A$2:$E$129,4,FALSE))))</f>
        <v/>
      </c>
      <c r="X69" s="524" t="str">
        <f>IFERROR(IF(E69="","",VLOOKUP(W69, 'G-3 Multipliers'!$P$2:$Q$6,2,FALSE)),"")</f>
        <v/>
      </c>
      <c r="Y69" s="197"/>
      <c r="Z69" s="499" t="str">
        <f>IF(Y69="","",IF(VLOOKUP(Y69,'G-3 Multipliers'!$S$3:$T$9,2,FALSE)=0,"Spatial Data Missing ⚠",VLOOKUP(Y69,'G-3 Multipliers'!$S$3:$T$9,2,FALSE)))</f>
        <v/>
      </c>
      <c r="AA69" s="545" t="str">
        <f t="shared" si="0"/>
        <v/>
      </c>
      <c r="AB69" s="149"/>
      <c r="AC69" s="150"/>
    </row>
    <row r="70" spans="1:29" ht="13.8" x14ac:dyDescent="0.25">
      <c r="A70" s="31" t="str">
        <f>IFERROR(INDEX('G-8 Condition Look up'!$I$4:$I$130,MATCH(F70,'G-8 Condition Look up'!$A$4:$A$130,0)),"")</f>
        <v/>
      </c>
      <c r="C70" s="244" t="str">
        <f>IFERROR(INDEX('G-1 All Habitats'!$AG$3:$AG$15,MATCH(D70,'G-1 All Habitats'!$AF$3:$AF$15,0)),"")</f>
        <v/>
      </c>
      <c r="D70" s="154"/>
      <c r="E70" s="203"/>
      <c r="F70" s="243" t="str">
        <f>IFERROR(INDEX('G-1 All Habitats'!$B$3:$B$129,MATCH(E70,'G-1 All Habitats'!$A$3:$A$129,0)),"")</f>
        <v/>
      </c>
      <c r="G70" s="386"/>
      <c r="H70" s="537" t="str">
        <f>IF(F70="","",VLOOKUP(F70,'G-1 All Habitats'!$B$2:$M$129,10,FALSE))</f>
        <v/>
      </c>
      <c r="I70" s="524" t="str">
        <f>IFERROR(VLOOKUP(H70,'G-1 All Habitats'!$V$3:$W$7,2,FALSE),"")</f>
        <v/>
      </c>
      <c r="J70" s="199"/>
      <c r="K70" s="524" t="str">
        <f>IFERROR(INDEX('G-8 Condition Look up'!$A$3:$H$130,MATCH(F70,'G-8 Condition Look up'!$A$3:$A$130,0),MATCH(J70,'G-8 Condition Look up'!$A$3:$H$3,0)),"")</f>
        <v/>
      </c>
      <c r="L70" s="145"/>
      <c r="M70" s="540" t="str">
        <f>IF(L70="","",IF(VLOOKUP(L70,'G-3 Multipliers'!$L$3:$N$6,2,FALSE)=0,"Spatial Data Missing ⚠",VLOOKUP(L70,'G-3 Multipliers'!$L$3:$N$6,2,FALSE)))</f>
        <v/>
      </c>
      <c r="N70" s="499" t="str">
        <f>IF(L70="","",IF(VLOOKUP(L70,'G-3 Multipliers'!$L$3:$N$6,3,FALSE)=0,"Spatial Data Missing ⚠",VLOOKUP(L70,'G-3 Multipliers'!$L$3:$N$6,3,FALSE)))</f>
        <v/>
      </c>
      <c r="O70" s="498" t="str">
        <f t="shared" si="1"/>
        <v/>
      </c>
      <c r="P70" s="195"/>
      <c r="Q70" s="195"/>
      <c r="R70" s="520" t="str">
        <f t="shared" si="2"/>
        <v/>
      </c>
      <c r="S70" s="544" t="str">
        <f t="shared" si="3"/>
        <v/>
      </c>
      <c r="T70" s="525"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 ⚠",P70&gt;=O70),"Low",VLOOKUP(F70,'G-3 Multipliers'!$A$2:$E$129,4,FALSE))))</f>
        <v/>
      </c>
      <c r="X70" s="524" t="str">
        <f>IFERROR(IF(E70="","",VLOOKUP(W70, 'G-3 Multipliers'!$P$2:$Q$6,2,FALSE)),"")</f>
        <v/>
      </c>
      <c r="Y70" s="197"/>
      <c r="Z70" s="499" t="str">
        <f>IF(Y70="","",IF(VLOOKUP(Y70,'G-3 Multipliers'!$S$3:$T$9,2,FALSE)=0,"Spatial Data Missing ⚠",VLOOKUP(Y70,'G-3 Multipliers'!$S$3:$T$9,2,FALSE)))</f>
        <v/>
      </c>
      <c r="AA70" s="545" t="str">
        <f t="shared" si="0"/>
        <v/>
      </c>
      <c r="AB70" s="149"/>
      <c r="AC70" s="150"/>
    </row>
    <row r="71" spans="1:29" ht="13.8" x14ac:dyDescent="0.25">
      <c r="A71" s="31" t="str">
        <f>IFERROR(INDEX('G-8 Condition Look up'!$I$4:$I$130,MATCH(F71,'G-8 Condition Look up'!$A$4:$A$130,0)),"")</f>
        <v/>
      </c>
      <c r="C71" s="244" t="str">
        <f>IFERROR(INDEX('G-1 All Habitats'!$AG$3:$AG$15,MATCH(D71,'G-1 All Habitats'!$AF$3:$AF$15,0)),"")</f>
        <v/>
      </c>
      <c r="D71" s="154"/>
      <c r="E71" s="203"/>
      <c r="F71" s="243" t="str">
        <f>IFERROR(INDEX('G-1 All Habitats'!$B$3:$B$129,MATCH(E71,'G-1 All Habitats'!$A$3:$A$129,0)),"")</f>
        <v/>
      </c>
      <c r="G71" s="386"/>
      <c r="H71" s="537" t="str">
        <f>IF(F71="","",VLOOKUP(F71,'G-1 All Habitats'!$B$2:$M$129,10,FALSE))</f>
        <v/>
      </c>
      <c r="I71" s="524" t="str">
        <f>IFERROR(VLOOKUP(H71,'G-1 All Habitats'!$V$3:$W$7,2,FALSE),"")</f>
        <v/>
      </c>
      <c r="J71" s="199"/>
      <c r="K71" s="524" t="str">
        <f>IFERROR(INDEX('G-8 Condition Look up'!$A$3:$H$130,MATCH(F71,'G-8 Condition Look up'!$A$3:$A$130,0),MATCH(J71,'G-8 Condition Look up'!$A$3:$H$3,0)),"")</f>
        <v/>
      </c>
      <c r="L71" s="145"/>
      <c r="M71" s="540" t="str">
        <f>IF(L71="","",IF(VLOOKUP(L71,'G-3 Multipliers'!$L$3:$N$6,2,FALSE)=0,"Spatial Data Missing ⚠",VLOOKUP(L71,'G-3 Multipliers'!$L$3:$N$6,2,FALSE)))</f>
        <v/>
      </c>
      <c r="N71" s="499" t="str">
        <f>IF(L71="","",IF(VLOOKUP(L71,'G-3 Multipliers'!$L$3:$N$6,3,FALSE)=0,"Spatial Data Missing ⚠",VLOOKUP(L71,'G-3 Multipliers'!$L$3:$N$6,3,FALSE)))</f>
        <v/>
      </c>
      <c r="O71" s="498" t="str">
        <f t="shared" si="1"/>
        <v/>
      </c>
      <c r="P71" s="195"/>
      <c r="Q71" s="195"/>
      <c r="R71" s="520" t="str">
        <f t="shared" si="2"/>
        <v/>
      </c>
      <c r="S71" s="544" t="str">
        <f t="shared" si="3"/>
        <v/>
      </c>
      <c r="T71" s="525"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 ⚠",P71&gt;=O71),"Low",VLOOKUP(F71,'G-3 Multipliers'!$A$2:$E$129,4,FALSE))))</f>
        <v/>
      </c>
      <c r="X71" s="524" t="str">
        <f>IFERROR(IF(E71="","",VLOOKUP(W71, 'G-3 Multipliers'!$P$2:$Q$6,2,FALSE)),"")</f>
        <v/>
      </c>
      <c r="Y71" s="197"/>
      <c r="Z71" s="499" t="str">
        <f>IF(Y71="","",IF(VLOOKUP(Y71,'G-3 Multipliers'!$S$3:$T$9,2,FALSE)=0,"Spatial Data Missing ⚠",VLOOKUP(Y71,'G-3 Multipliers'!$S$3:$T$9,2,FALSE)))</f>
        <v/>
      </c>
      <c r="AA71" s="545" t="str">
        <f t="shared" si="0"/>
        <v/>
      </c>
      <c r="AB71" s="149"/>
      <c r="AC71" s="150"/>
    </row>
    <row r="72" spans="1:29" ht="13.8" x14ac:dyDescent="0.25">
      <c r="A72" s="31" t="str">
        <f>IFERROR(INDEX('G-8 Condition Look up'!$I$4:$I$130,MATCH(F72,'G-8 Condition Look up'!$A$4:$A$130,0)),"")</f>
        <v/>
      </c>
      <c r="C72" s="244" t="str">
        <f>IFERROR(INDEX('G-1 All Habitats'!$AG$3:$AG$15,MATCH(D72,'G-1 All Habitats'!$AF$3:$AF$15,0)),"")</f>
        <v/>
      </c>
      <c r="D72" s="154"/>
      <c r="E72" s="203"/>
      <c r="F72" s="243" t="str">
        <f>IFERROR(INDEX('G-1 All Habitats'!$B$3:$B$129,MATCH(E72,'G-1 All Habitats'!$A$3:$A$129,0)),"")</f>
        <v/>
      </c>
      <c r="G72" s="386"/>
      <c r="H72" s="537" t="str">
        <f>IF(F72="","",VLOOKUP(F72,'G-1 All Habitats'!$B$2:$M$129,10,FALSE))</f>
        <v/>
      </c>
      <c r="I72" s="524" t="str">
        <f>IFERROR(VLOOKUP(H72,'G-1 All Habitats'!$V$3:$W$7,2,FALSE),"")</f>
        <v/>
      </c>
      <c r="J72" s="199"/>
      <c r="K72" s="524" t="str">
        <f>IFERROR(INDEX('G-8 Condition Look up'!$A$3:$H$130,MATCH(F72,'G-8 Condition Look up'!$A$3:$A$130,0),MATCH(J72,'G-8 Condition Look up'!$A$3:$H$3,0)),"")</f>
        <v/>
      </c>
      <c r="L72" s="145"/>
      <c r="M72" s="540" t="str">
        <f>IF(L72="","",IF(VLOOKUP(L72,'G-3 Multipliers'!$L$3:$N$6,2,FALSE)=0,"Spatial Data Missing ⚠",VLOOKUP(L72,'G-3 Multipliers'!$L$3:$N$6,2,FALSE)))</f>
        <v/>
      </c>
      <c r="N72" s="499" t="str">
        <f>IF(L72="","",IF(VLOOKUP(L72,'G-3 Multipliers'!$L$3:$N$6,3,FALSE)=0,"Spatial Data Missing ⚠",VLOOKUP(L72,'G-3 Multipliers'!$L$3:$N$6,3,FALSE)))</f>
        <v/>
      </c>
      <c r="O72" s="498" t="str">
        <f t="shared" si="1"/>
        <v/>
      </c>
      <c r="P72" s="195"/>
      <c r="Q72" s="195"/>
      <c r="R72" s="520" t="str">
        <f t="shared" si="2"/>
        <v/>
      </c>
      <c r="S72" s="544" t="str">
        <f t="shared" si="3"/>
        <v/>
      </c>
      <c r="T72" s="525"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 ⚠",P72&gt;=O72),"Low",VLOOKUP(F72,'G-3 Multipliers'!$A$2:$E$129,4,FALSE))))</f>
        <v/>
      </c>
      <c r="X72" s="524" t="str">
        <f>IFERROR(IF(E72="","",VLOOKUP(W72, 'G-3 Multipliers'!$P$2:$Q$6,2,FALSE)),"")</f>
        <v/>
      </c>
      <c r="Y72" s="197"/>
      <c r="Z72" s="499" t="str">
        <f>IF(Y72="","",IF(VLOOKUP(Y72,'G-3 Multipliers'!$S$3:$T$9,2,FALSE)=0,"Spatial Data Missing ⚠",VLOOKUP(Y72,'G-3 Multipliers'!$S$3:$T$9,2,FALSE)))</f>
        <v/>
      </c>
      <c r="AA72" s="545" t="str">
        <f t="shared" si="0"/>
        <v/>
      </c>
      <c r="AB72" s="149"/>
      <c r="AC72" s="150"/>
    </row>
    <row r="73" spans="1:29" ht="13.8" x14ac:dyDescent="0.25">
      <c r="A73" s="31" t="str">
        <f>IFERROR(INDEX('G-8 Condition Look up'!$I$4:$I$130,MATCH(F73,'G-8 Condition Look up'!$A$4:$A$130,0)),"")</f>
        <v/>
      </c>
      <c r="C73" s="244" t="str">
        <f>IFERROR(INDEX('G-1 All Habitats'!$AG$3:$AG$15,MATCH(D73,'G-1 All Habitats'!$AF$3:$AF$15,0)),"")</f>
        <v/>
      </c>
      <c r="D73" s="154"/>
      <c r="E73" s="203"/>
      <c r="F73" s="243" t="str">
        <f>IFERROR(INDEX('G-1 All Habitats'!$B$3:$B$129,MATCH(E73,'G-1 All Habitats'!$A$3:$A$129,0)),"")</f>
        <v/>
      </c>
      <c r="G73" s="386"/>
      <c r="H73" s="537" t="str">
        <f>IF(F73="","",VLOOKUP(F73,'G-1 All Habitats'!$B$2:$M$129,10,FALSE))</f>
        <v/>
      </c>
      <c r="I73" s="524" t="str">
        <f>IFERROR(VLOOKUP(H73,'G-1 All Habitats'!$V$3:$W$7,2,FALSE),"")</f>
        <v/>
      </c>
      <c r="J73" s="199"/>
      <c r="K73" s="524" t="str">
        <f>IFERROR(INDEX('G-8 Condition Look up'!$A$3:$H$130,MATCH(F73,'G-8 Condition Look up'!$A$3:$A$130,0),MATCH(J73,'G-8 Condition Look up'!$A$3:$H$3,0)),"")</f>
        <v/>
      </c>
      <c r="L73" s="145"/>
      <c r="M73" s="540" t="str">
        <f>IF(L73="","",IF(VLOOKUP(L73,'G-3 Multipliers'!$L$3:$N$6,2,FALSE)=0,"Spatial Data Missing ⚠",VLOOKUP(L73,'G-3 Multipliers'!$L$3:$N$6,2,FALSE)))</f>
        <v/>
      </c>
      <c r="N73" s="499" t="str">
        <f>IF(L73="","",IF(VLOOKUP(L73,'G-3 Multipliers'!$L$3:$N$6,3,FALSE)=0,"Spatial Data Missing ⚠",VLOOKUP(L73,'G-3 Multipliers'!$L$3:$N$6,3,FALSE)))</f>
        <v/>
      </c>
      <c r="O73" s="498" t="str">
        <f t="shared" si="1"/>
        <v/>
      </c>
      <c r="P73" s="195"/>
      <c r="Q73" s="195"/>
      <c r="R73" s="520" t="str">
        <f t="shared" si="2"/>
        <v/>
      </c>
      <c r="S73" s="544" t="str">
        <f t="shared" si="3"/>
        <v/>
      </c>
      <c r="T73" s="525"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 ⚠",P73&gt;=O73),"Low",VLOOKUP(F73,'G-3 Multipliers'!$A$2:$E$129,4,FALSE))))</f>
        <v/>
      </c>
      <c r="X73" s="524" t="str">
        <f>IFERROR(IF(E73="","",VLOOKUP(W73, 'G-3 Multipliers'!$P$2:$Q$6,2,FALSE)),"")</f>
        <v/>
      </c>
      <c r="Y73" s="197"/>
      <c r="Z73" s="499" t="str">
        <f>IF(Y73="","",IF(VLOOKUP(Y73,'G-3 Multipliers'!$S$3:$T$9,2,FALSE)=0,"Spatial Data Missing ⚠",VLOOKUP(Y73,'G-3 Multipliers'!$S$3:$T$9,2,FALSE)))</f>
        <v/>
      </c>
      <c r="AA73" s="545" t="str">
        <f t="shared" si="0"/>
        <v/>
      </c>
      <c r="AB73" s="149"/>
      <c r="AC73" s="150"/>
    </row>
    <row r="74" spans="1:29" ht="13.8" x14ac:dyDescent="0.25">
      <c r="A74" s="31" t="str">
        <f>IFERROR(INDEX('G-8 Condition Look up'!$I$4:$I$130,MATCH(F74,'G-8 Condition Look up'!$A$4:$A$130,0)),"")</f>
        <v/>
      </c>
      <c r="C74" s="244" t="str">
        <f>IFERROR(INDEX('G-1 All Habitats'!$AG$3:$AG$15,MATCH(D74,'G-1 All Habitats'!$AF$3:$AF$15,0)),"")</f>
        <v/>
      </c>
      <c r="D74" s="154"/>
      <c r="E74" s="203"/>
      <c r="F74" s="243" t="str">
        <f>IFERROR(INDEX('G-1 All Habitats'!$B$3:$B$129,MATCH(E74,'G-1 All Habitats'!$A$3:$A$129,0)),"")</f>
        <v/>
      </c>
      <c r="G74" s="386"/>
      <c r="H74" s="537" t="str">
        <f>IF(F74="","",VLOOKUP(F74,'G-1 All Habitats'!$B$2:$M$129,10,FALSE))</f>
        <v/>
      </c>
      <c r="I74" s="524" t="str">
        <f>IFERROR(VLOOKUP(H74,'G-1 All Habitats'!$V$3:$W$7,2,FALSE),"")</f>
        <v/>
      </c>
      <c r="J74" s="199"/>
      <c r="K74" s="524" t="str">
        <f>IFERROR(INDEX('G-8 Condition Look up'!$A$3:$H$130,MATCH(F74,'G-8 Condition Look up'!$A$3:$A$130,0),MATCH(J74,'G-8 Condition Look up'!$A$3:$H$3,0)),"")</f>
        <v/>
      </c>
      <c r="L74" s="145"/>
      <c r="M74" s="540" t="str">
        <f>IF(L74="","",IF(VLOOKUP(L74,'G-3 Multipliers'!$L$3:$N$6,2,FALSE)=0,"Spatial Data Missing ⚠",VLOOKUP(L74,'G-3 Multipliers'!$L$3:$N$6,2,FALSE)))</f>
        <v/>
      </c>
      <c r="N74" s="499" t="str">
        <f>IF(L74="","",IF(VLOOKUP(L74,'G-3 Multipliers'!$L$3:$N$6,3,FALSE)=0,"Spatial Data Missing ⚠",VLOOKUP(L74,'G-3 Multipliers'!$L$3:$N$6,3,FALSE)))</f>
        <v/>
      </c>
      <c r="O74" s="498" t="str">
        <f t="shared" si="1"/>
        <v/>
      </c>
      <c r="P74" s="195"/>
      <c r="Q74" s="195"/>
      <c r="R74" s="520" t="str">
        <f t="shared" si="2"/>
        <v/>
      </c>
      <c r="S74" s="544" t="str">
        <f t="shared" si="3"/>
        <v/>
      </c>
      <c r="T74" s="525"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 ⚠",P74&gt;=O74),"Low",VLOOKUP(F74,'G-3 Multipliers'!$A$2:$E$129,4,FALSE))))</f>
        <v/>
      </c>
      <c r="X74" s="524" t="str">
        <f>IFERROR(IF(E74="","",VLOOKUP(W74, 'G-3 Multipliers'!$P$2:$Q$6,2,FALSE)),"")</f>
        <v/>
      </c>
      <c r="Y74" s="197"/>
      <c r="Z74" s="499" t="str">
        <f>IF(Y74="","",IF(VLOOKUP(Y74,'G-3 Multipliers'!$S$3:$T$9,2,FALSE)=0,"Spatial Data Missing ⚠",VLOOKUP(Y74,'G-3 Multipliers'!$S$3:$T$9,2,FALSE)))</f>
        <v/>
      </c>
      <c r="AA74" s="545" t="str">
        <f t="shared" si="0"/>
        <v/>
      </c>
      <c r="AB74" s="149"/>
      <c r="AC74" s="150"/>
    </row>
    <row r="75" spans="1:29" ht="13.8" x14ac:dyDescent="0.25">
      <c r="A75" s="31" t="str">
        <f>IFERROR(INDEX('G-8 Condition Look up'!$I$4:$I$130,MATCH(F75,'G-8 Condition Look up'!$A$4:$A$130,0)),"")</f>
        <v/>
      </c>
      <c r="C75" s="244" t="str">
        <f>IFERROR(INDEX('G-1 All Habitats'!$AG$3:$AG$15,MATCH(D75,'G-1 All Habitats'!$AF$3:$AF$15,0)),"")</f>
        <v/>
      </c>
      <c r="D75" s="154"/>
      <c r="E75" s="203"/>
      <c r="F75" s="243" t="str">
        <f>IFERROR(INDEX('G-1 All Habitats'!$B$3:$B$129,MATCH(E75,'G-1 All Habitats'!$A$3:$A$129,0)),"")</f>
        <v/>
      </c>
      <c r="G75" s="386"/>
      <c r="H75" s="537" t="str">
        <f>IF(F75="","",VLOOKUP(F75,'G-1 All Habitats'!$B$2:$M$129,10,FALSE))</f>
        <v/>
      </c>
      <c r="I75" s="524" t="str">
        <f>IFERROR(VLOOKUP(H75,'G-1 All Habitats'!$V$3:$W$7,2,FALSE),"")</f>
        <v/>
      </c>
      <c r="J75" s="199"/>
      <c r="K75" s="524" t="str">
        <f>IFERROR(INDEX('G-8 Condition Look up'!$A$3:$H$130,MATCH(F75,'G-8 Condition Look up'!$A$3:$A$130,0),MATCH(J75,'G-8 Condition Look up'!$A$3:$H$3,0)),"")</f>
        <v/>
      </c>
      <c r="L75" s="145"/>
      <c r="M75" s="540" t="str">
        <f>IF(L75="","",IF(VLOOKUP(L75,'G-3 Multipliers'!$L$3:$N$6,2,FALSE)=0,"Spatial Data Missing ⚠",VLOOKUP(L75,'G-3 Multipliers'!$L$3:$N$6,2,FALSE)))</f>
        <v/>
      </c>
      <c r="N75" s="499" t="str">
        <f>IF(L75="","",IF(VLOOKUP(L75,'G-3 Multipliers'!$L$3:$N$6,3,FALSE)=0,"Spatial Data Missing ⚠",VLOOKUP(L75,'G-3 Multipliers'!$L$3:$N$6,3,FALSE)))</f>
        <v/>
      </c>
      <c r="O75" s="498" t="str">
        <f t="shared" ref="O75:O138" si="5">IFERROR(INDEX(TemporalData,MATCH(F75,TemporalHabitats,0),MATCH(J75,TemporalConditions,0)),"")</f>
        <v/>
      </c>
      <c r="P75" s="195"/>
      <c r="Q75" s="195"/>
      <c r="R75" s="520" t="str">
        <f t="shared" si="2"/>
        <v/>
      </c>
      <c r="S75" s="544" t="str">
        <f t="shared" si="3"/>
        <v/>
      </c>
      <c r="T75" s="525"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 ⚠",P75&gt;=O75),"Low",VLOOKUP(F75,'G-3 Multipliers'!$A$2:$E$129,4,FALSE))))</f>
        <v/>
      </c>
      <c r="X75" s="524" t="str">
        <f>IFERROR(IF(E75="","",VLOOKUP(W75, 'G-3 Multipliers'!$P$2:$Q$6,2,FALSE)),"")</f>
        <v/>
      </c>
      <c r="Y75" s="197"/>
      <c r="Z75" s="499" t="str">
        <f>IF(Y75="","",IF(VLOOKUP(Y75,'G-3 Multipliers'!$S$3:$T$9,2,FALSE)=0,"Spatial Data Missing ⚠",VLOOKUP(Y75,'G-3 Multipliers'!$S$3:$T$9,2,FALSE)))</f>
        <v/>
      </c>
      <c r="AA75" s="545" t="str">
        <f t="shared" si="0"/>
        <v/>
      </c>
      <c r="AB75" s="149"/>
      <c r="AC75" s="150"/>
    </row>
    <row r="76" spans="1:29" ht="13.8" x14ac:dyDescent="0.25">
      <c r="A76" s="31" t="str">
        <f>IFERROR(INDEX('G-8 Condition Look up'!$I$4:$I$130,MATCH(F76,'G-8 Condition Look up'!$A$4:$A$130,0)),"")</f>
        <v/>
      </c>
      <c r="C76" s="244" t="str">
        <f>IFERROR(INDEX('G-1 All Habitats'!$AG$3:$AG$15,MATCH(D76,'G-1 All Habitats'!$AF$3:$AF$15,0)),"")</f>
        <v/>
      </c>
      <c r="D76" s="154"/>
      <c r="E76" s="203"/>
      <c r="F76" s="243" t="str">
        <f>IFERROR(INDEX('G-1 All Habitats'!$B$3:$B$129,MATCH(E76,'G-1 All Habitats'!$A$3:$A$129,0)),"")</f>
        <v/>
      </c>
      <c r="G76" s="386"/>
      <c r="H76" s="537" t="str">
        <f>IF(F76="","",VLOOKUP(F76,'G-1 All Habitats'!$B$2:$M$129,10,FALSE))</f>
        <v/>
      </c>
      <c r="I76" s="524" t="str">
        <f>IFERROR(VLOOKUP(H76,'G-1 All Habitats'!$V$3:$W$7,2,FALSE),"")</f>
        <v/>
      </c>
      <c r="J76" s="199"/>
      <c r="K76" s="524" t="str">
        <f>IFERROR(INDEX('G-8 Condition Look up'!$A$3:$H$130,MATCH(F76,'G-8 Condition Look up'!$A$3:$A$130,0),MATCH(J76,'G-8 Condition Look up'!$A$3:$H$3,0)),"")</f>
        <v/>
      </c>
      <c r="L76" s="145"/>
      <c r="M76" s="540" t="str">
        <f>IF(L76="","",IF(VLOOKUP(L76,'G-3 Multipliers'!$L$3:$N$6,2,FALSE)=0,"Spatial Data Missing ⚠",VLOOKUP(L76,'G-3 Multipliers'!$L$3:$N$6,2,FALSE)))</f>
        <v/>
      </c>
      <c r="N76" s="499" t="str">
        <f>IF(L76="","",IF(VLOOKUP(L76,'G-3 Multipliers'!$L$3:$N$6,3,FALSE)=0,"Spatial Data Missing ⚠",VLOOKUP(L76,'G-3 Multipliers'!$L$3:$N$6,3,FALSE)))</f>
        <v/>
      </c>
      <c r="O76" s="498" t="str">
        <f t="shared" si="5"/>
        <v/>
      </c>
      <c r="P76" s="195"/>
      <c r="Q76" s="195"/>
      <c r="R76" s="520"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4"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5" t="str">
        <f>IFERROR(IF(S76="Check Data ⚠","Check Data ⚠",VLOOKUP(S76,'G-4 Temporal multipliers'!$A$4:$C$37,3,FALSE)),"")</f>
        <v/>
      </c>
      <c r="U76" s="523" t="str">
        <f>IF(F76="","",VLOOKUP(F76,'G-3 Multipliers'!$A$2:$E$129,2,FALSE))</f>
        <v/>
      </c>
      <c r="V76" s="520" t="str">
        <f t="shared" si="4"/>
        <v/>
      </c>
      <c r="W76" s="520" t="str">
        <f>IF(E76="","",IF(AND(V76="Standard difficulty applied",O76&gt;P76),U76,IF(AND(V76="Low Difficulty - only applicable if all habitat created before losses ⚠",P76&gt;=O76),"Low",VLOOKUP(F76,'G-3 Multipliers'!$A$2:$E$129,4,FALSE))))</f>
        <v/>
      </c>
      <c r="X76" s="524" t="str">
        <f>IFERROR(IF(E76="","",VLOOKUP(W76, 'G-3 Multipliers'!$P$2:$Q$6,2,FALSE)),"")</f>
        <v/>
      </c>
      <c r="Y76" s="197"/>
      <c r="Z76" s="499" t="str">
        <f>IF(Y76="","",IF(VLOOKUP(Y76,'G-3 Multipliers'!$S$3:$T$9,2,FALSE)=0,"Spatial Data Missing ⚠",VLOOKUP(Y76,'G-3 Multipliers'!$S$3:$T$9,2,FALSE)))</f>
        <v/>
      </c>
      <c r="AA76" s="545" t="str">
        <f t="shared" ref="AA76:AA139" si="8">IFERROR(G76*I76*K76*N76*T76*X76*Z76,"")</f>
        <v/>
      </c>
      <c r="AB76" s="149"/>
      <c r="AC76" s="150"/>
    </row>
    <row r="77" spans="1:29" ht="13.8" x14ac:dyDescent="0.25">
      <c r="A77" s="31" t="str">
        <f>IFERROR(INDEX('G-8 Condition Look up'!$I$4:$I$130,MATCH(F77,'G-8 Condition Look up'!$A$4:$A$130,0)),"")</f>
        <v/>
      </c>
      <c r="C77" s="244" t="str">
        <f>IFERROR(INDEX('G-1 All Habitats'!$AG$3:$AG$15,MATCH(D77,'G-1 All Habitats'!$AF$3:$AF$15,0)),"")</f>
        <v/>
      </c>
      <c r="D77" s="154"/>
      <c r="E77" s="203"/>
      <c r="F77" s="243" t="str">
        <f>IFERROR(INDEX('G-1 All Habitats'!$B$3:$B$129,MATCH(E77,'G-1 All Habitats'!$A$3:$A$129,0)),"")</f>
        <v/>
      </c>
      <c r="G77" s="386"/>
      <c r="H77" s="537" t="str">
        <f>IF(F77="","",VLOOKUP(F77,'G-1 All Habitats'!$B$2:$M$129,10,FALSE))</f>
        <v/>
      </c>
      <c r="I77" s="524" t="str">
        <f>IFERROR(VLOOKUP(H77,'G-1 All Habitats'!$V$3:$W$7,2,FALSE),"")</f>
        <v/>
      </c>
      <c r="J77" s="199"/>
      <c r="K77" s="524" t="str">
        <f>IFERROR(INDEX('G-8 Condition Look up'!$A$3:$H$130,MATCH(F77,'G-8 Condition Look up'!$A$3:$A$130,0),MATCH(J77,'G-8 Condition Look up'!$A$3:$H$3,0)),"")</f>
        <v/>
      </c>
      <c r="L77" s="145"/>
      <c r="M77" s="540" t="str">
        <f>IF(L77="","",IF(VLOOKUP(L77,'G-3 Multipliers'!$L$3:$N$6,2,FALSE)=0,"Spatial Data Missing ⚠",VLOOKUP(L77,'G-3 Multipliers'!$L$3:$N$6,2,FALSE)))</f>
        <v/>
      </c>
      <c r="N77" s="499" t="str">
        <f>IF(L77="","",IF(VLOOKUP(L77,'G-3 Multipliers'!$L$3:$N$6,3,FALSE)=0,"Spatial Data Missing ⚠",VLOOKUP(L77,'G-3 Multipliers'!$L$3:$N$6,3,FALSE)))</f>
        <v/>
      </c>
      <c r="O77" s="498" t="str">
        <f t="shared" si="5"/>
        <v/>
      </c>
      <c r="P77" s="195"/>
      <c r="Q77" s="195"/>
      <c r="R77" s="520" t="str">
        <f t="shared" si="6"/>
        <v/>
      </c>
      <c r="S77" s="544" t="str">
        <f t="shared" si="7"/>
        <v/>
      </c>
      <c r="T77" s="525" t="str">
        <f>IFERROR(IF(S77="Check Data ⚠","Check Data ⚠",VLOOKUP(S77,'G-4 Temporal multipliers'!$A$4:$C$37,3,FALSE)),"")</f>
        <v/>
      </c>
      <c r="U77" s="523" t="str">
        <f>IF(F77="","",VLOOKUP(F77,'G-3 Multipliers'!$A$2:$E$129,2,FALSE))</f>
        <v/>
      </c>
      <c r="V77" s="520"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20" t="str">
        <f>IF(E77="","",IF(AND(V77="Standard difficulty applied",O77&gt;P77),U77,IF(AND(V77="Low Difficulty - only applicable if all habitat created before losses ⚠",P77&gt;=O77),"Low",VLOOKUP(F77,'G-3 Multipliers'!$A$2:$E$129,4,FALSE))))</f>
        <v/>
      </c>
      <c r="X77" s="524" t="str">
        <f>IFERROR(IF(E77="","",VLOOKUP(W77, 'G-3 Multipliers'!$P$2:$Q$6,2,FALSE)),"")</f>
        <v/>
      </c>
      <c r="Y77" s="197"/>
      <c r="Z77" s="499" t="str">
        <f>IF(Y77="","",IF(VLOOKUP(Y77,'G-3 Multipliers'!$S$3:$T$9,2,FALSE)=0,"Spatial Data Missing ⚠",VLOOKUP(Y77,'G-3 Multipliers'!$S$3:$T$9,2,FALSE)))</f>
        <v/>
      </c>
      <c r="AA77" s="545" t="str">
        <f t="shared" si="8"/>
        <v/>
      </c>
      <c r="AB77" s="149"/>
      <c r="AC77" s="150"/>
    </row>
    <row r="78" spans="1:29" ht="13.8" x14ac:dyDescent="0.25">
      <c r="A78" s="31" t="str">
        <f>IFERROR(INDEX('G-8 Condition Look up'!$I$4:$I$130,MATCH(F78,'G-8 Condition Look up'!$A$4:$A$130,0)),"")</f>
        <v/>
      </c>
      <c r="C78" s="244" t="str">
        <f>IFERROR(INDEX('G-1 All Habitats'!$AG$3:$AG$15,MATCH(D78,'G-1 All Habitats'!$AF$3:$AF$15,0)),"")</f>
        <v/>
      </c>
      <c r="D78" s="154"/>
      <c r="E78" s="203"/>
      <c r="F78" s="243" t="str">
        <f>IFERROR(INDEX('G-1 All Habitats'!$B$3:$B$129,MATCH(E78,'G-1 All Habitats'!$A$3:$A$129,0)),"")</f>
        <v/>
      </c>
      <c r="G78" s="386"/>
      <c r="H78" s="537" t="str">
        <f>IF(F78="","",VLOOKUP(F78,'G-1 All Habitats'!$B$2:$M$129,10,FALSE))</f>
        <v/>
      </c>
      <c r="I78" s="524" t="str">
        <f>IFERROR(VLOOKUP(H78,'G-1 All Habitats'!$V$3:$W$7,2,FALSE),"")</f>
        <v/>
      </c>
      <c r="J78" s="199"/>
      <c r="K78" s="524" t="str">
        <f>IFERROR(INDEX('G-8 Condition Look up'!$A$3:$H$130,MATCH(F78,'G-8 Condition Look up'!$A$3:$A$130,0),MATCH(J78,'G-8 Condition Look up'!$A$3:$H$3,0)),"")</f>
        <v/>
      </c>
      <c r="L78" s="145"/>
      <c r="M78" s="540" t="str">
        <f>IF(L78="","",IF(VLOOKUP(L78,'G-3 Multipliers'!$L$3:$N$6,2,FALSE)=0,"Spatial Data Missing ⚠",VLOOKUP(L78,'G-3 Multipliers'!$L$3:$N$6,2,FALSE)))</f>
        <v/>
      </c>
      <c r="N78" s="499" t="str">
        <f>IF(L78="","",IF(VLOOKUP(L78,'G-3 Multipliers'!$L$3:$N$6,3,FALSE)=0,"Spatial Data Missing ⚠",VLOOKUP(L78,'G-3 Multipliers'!$L$3:$N$6,3,FALSE)))</f>
        <v/>
      </c>
      <c r="O78" s="498" t="str">
        <f t="shared" si="5"/>
        <v/>
      </c>
      <c r="P78" s="195"/>
      <c r="Q78" s="195"/>
      <c r="R78" s="520" t="str">
        <f t="shared" si="6"/>
        <v/>
      </c>
      <c r="S78" s="544" t="str">
        <f t="shared" si="7"/>
        <v/>
      </c>
      <c r="T78" s="525" t="str">
        <f>IFERROR(IF(S78="Check Data ⚠","Check Data ⚠",VLOOKUP(S78,'G-4 Temporal multipliers'!$A$4:$C$37,3,FALSE)),"")</f>
        <v/>
      </c>
      <c r="U78" s="523" t="str">
        <f>IF(F78="","",VLOOKUP(F78,'G-3 Multipliers'!$A$2:$E$129,2,FALSE))</f>
        <v/>
      </c>
      <c r="V78" s="520" t="str">
        <f t="shared" si="9"/>
        <v/>
      </c>
      <c r="W78" s="520" t="str">
        <f>IF(E78="","",IF(AND(V78="Standard difficulty applied",O78&gt;P78),U78,IF(AND(V78="Low Difficulty - only applicable if all habitat created before losses ⚠",P78&gt;=O78),"Low",VLOOKUP(F78,'G-3 Multipliers'!$A$2:$E$129,4,FALSE))))</f>
        <v/>
      </c>
      <c r="X78" s="524" t="str">
        <f>IFERROR(IF(E78="","",VLOOKUP(W78, 'G-3 Multipliers'!$P$2:$Q$6,2,FALSE)),"")</f>
        <v/>
      </c>
      <c r="Y78" s="197"/>
      <c r="Z78" s="499" t="str">
        <f>IF(Y78="","",IF(VLOOKUP(Y78,'G-3 Multipliers'!$S$3:$T$9,2,FALSE)=0,"Spatial Data Missing ⚠",VLOOKUP(Y78,'G-3 Multipliers'!$S$3:$T$9,2,FALSE)))</f>
        <v/>
      </c>
      <c r="AA78" s="545" t="str">
        <f t="shared" si="8"/>
        <v/>
      </c>
      <c r="AB78" s="149"/>
      <c r="AC78" s="150"/>
    </row>
    <row r="79" spans="1:29" ht="13.8" x14ac:dyDescent="0.25">
      <c r="A79" s="31" t="str">
        <f>IFERROR(INDEX('G-8 Condition Look up'!$I$4:$I$130,MATCH(F79,'G-8 Condition Look up'!$A$4:$A$130,0)),"")</f>
        <v/>
      </c>
      <c r="C79" s="244" t="str">
        <f>IFERROR(INDEX('G-1 All Habitats'!$AG$3:$AG$15,MATCH(D79,'G-1 All Habitats'!$AF$3:$AF$15,0)),"")</f>
        <v/>
      </c>
      <c r="D79" s="154"/>
      <c r="E79" s="203"/>
      <c r="F79" s="243" t="str">
        <f>IFERROR(INDEX('G-1 All Habitats'!$B$3:$B$129,MATCH(E79,'G-1 All Habitats'!$A$3:$A$129,0)),"")</f>
        <v/>
      </c>
      <c r="G79" s="386"/>
      <c r="H79" s="537" t="str">
        <f>IF(F79="","",VLOOKUP(F79,'G-1 All Habitats'!$B$2:$M$129,10,FALSE))</f>
        <v/>
      </c>
      <c r="I79" s="524" t="str">
        <f>IFERROR(VLOOKUP(H79,'G-1 All Habitats'!$V$3:$W$7,2,FALSE),"")</f>
        <v/>
      </c>
      <c r="J79" s="199"/>
      <c r="K79" s="524" t="str">
        <f>IFERROR(INDEX('G-8 Condition Look up'!$A$3:$H$130,MATCH(F79,'G-8 Condition Look up'!$A$3:$A$130,0),MATCH(J79,'G-8 Condition Look up'!$A$3:$H$3,0)),"")</f>
        <v/>
      </c>
      <c r="L79" s="145"/>
      <c r="M79" s="540" t="str">
        <f>IF(L79="","",IF(VLOOKUP(L79,'G-3 Multipliers'!$L$3:$N$6,2,FALSE)=0,"Spatial Data Missing ⚠",VLOOKUP(L79,'G-3 Multipliers'!$L$3:$N$6,2,FALSE)))</f>
        <v/>
      </c>
      <c r="N79" s="499" t="str">
        <f>IF(L79="","",IF(VLOOKUP(L79,'G-3 Multipliers'!$L$3:$N$6,3,FALSE)=0,"Spatial Data Missing ⚠",VLOOKUP(L79,'G-3 Multipliers'!$L$3:$N$6,3,FALSE)))</f>
        <v/>
      </c>
      <c r="O79" s="498" t="str">
        <f t="shared" si="5"/>
        <v/>
      </c>
      <c r="P79" s="195"/>
      <c r="Q79" s="195"/>
      <c r="R79" s="520" t="str">
        <f t="shared" si="6"/>
        <v/>
      </c>
      <c r="S79" s="544" t="str">
        <f t="shared" si="7"/>
        <v/>
      </c>
      <c r="T79" s="525" t="str">
        <f>IFERROR(IF(S79="Check Data ⚠","Check Data ⚠",VLOOKUP(S79,'G-4 Temporal multipliers'!$A$4:$C$37,3,FALSE)),"")</f>
        <v/>
      </c>
      <c r="U79" s="523" t="str">
        <f>IF(F79="","",VLOOKUP(F79,'G-3 Multipliers'!$A$2:$E$129,2,FALSE))</f>
        <v/>
      </c>
      <c r="V79" s="520" t="str">
        <f t="shared" si="9"/>
        <v/>
      </c>
      <c r="W79" s="520" t="str">
        <f>IF(E79="","",IF(AND(V79="Standard difficulty applied",O79&gt;P79),U79,IF(AND(V79="Low Difficulty - only applicable if all habitat created before losses ⚠",P79&gt;=O79),"Low",VLOOKUP(F79,'G-3 Multipliers'!$A$2:$E$129,4,FALSE))))</f>
        <v/>
      </c>
      <c r="X79" s="524" t="str">
        <f>IFERROR(IF(E79="","",VLOOKUP(W79, 'G-3 Multipliers'!$P$2:$Q$6,2,FALSE)),"")</f>
        <v/>
      </c>
      <c r="Y79" s="197"/>
      <c r="Z79" s="499" t="str">
        <f>IF(Y79="","",IF(VLOOKUP(Y79,'G-3 Multipliers'!$S$3:$T$9,2,FALSE)=0,"Spatial Data Missing ⚠",VLOOKUP(Y79,'G-3 Multipliers'!$S$3:$T$9,2,FALSE)))</f>
        <v/>
      </c>
      <c r="AA79" s="545" t="str">
        <f t="shared" si="8"/>
        <v/>
      </c>
      <c r="AB79" s="149"/>
      <c r="AC79" s="150"/>
    </row>
    <row r="80" spans="1:29" ht="13.8" x14ac:dyDescent="0.25">
      <c r="A80" s="31" t="str">
        <f>IFERROR(INDEX('G-8 Condition Look up'!$I$4:$I$130,MATCH(F80,'G-8 Condition Look up'!$A$4:$A$130,0)),"")</f>
        <v/>
      </c>
      <c r="C80" s="244" t="str">
        <f>IFERROR(INDEX('G-1 All Habitats'!$AG$3:$AG$15,MATCH(D80,'G-1 All Habitats'!$AF$3:$AF$15,0)),"")</f>
        <v/>
      </c>
      <c r="D80" s="154"/>
      <c r="E80" s="203"/>
      <c r="F80" s="243" t="str">
        <f>IFERROR(INDEX('G-1 All Habitats'!$B$3:$B$129,MATCH(E80,'G-1 All Habitats'!$A$3:$A$129,0)),"")</f>
        <v/>
      </c>
      <c r="G80" s="386"/>
      <c r="H80" s="537" t="str">
        <f>IF(F80="","",VLOOKUP(F80,'G-1 All Habitats'!$B$2:$M$129,10,FALSE))</f>
        <v/>
      </c>
      <c r="I80" s="524" t="str">
        <f>IFERROR(VLOOKUP(H80,'G-1 All Habitats'!$V$3:$W$7,2,FALSE),"")</f>
        <v/>
      </c>
      <c r="J80" s="199"/>
      <c r="K80" s="524" t="str">
        <f>IFERROR(INDEX('G-8 Condition Look up'!$A$3:$H$130,MATCH(F80,'G-8 Condition Look up'!$A$3:$A$130,0),MATCH(J80,'G-8 Condition Look up'!$A$3:$H$3,0)),"")</f>
        <v/>
      </c>
      <c r="L80" s="145"/>
      <c r="M80" s="540" t="str">
        <f>IF(L80="","",IF(VLOOKUP(L80,'G-3 Multipliers'!$L$3:$N$6,2,FALSE)=0,"Spatial Data Missing ⚠",VLOOKUP(L80,'G-3 Multipliers'!$L$3:$N$6,2,FALSE)))</f>
        <v/>
      </c>
      <c r="N80" s="499" t="str">
        <f>IF(L80="","",IF(VLOOKUP(L80,'G-3 Multipliers'!$L$3:$N$6,3,FALSE)=0,"Spatial Data Missing ⚠",VLOOKUP(L80,'G-3 Multipliers'!$L$3:$N$6,3,FALSE)))</f>
        <v/>
      </c>
      <c r="O80" s="498" t="str">
        <f t="shared" si="5"/>
        <v/>
      </c>
      <c r="P80" s="195"/>
      <c r="Q80" s="195"/>
      <c r="R80" s="520" t="str">
        <f t="shared" si="6"/>
        <v/>
      </c>
      <c r="S80" s="544" t="str">
        <f t="shared" si="7"/>
        <v/>
      </c>
      <c r="T80" s="525" t="str">
        <f>IFERROR(IF(S80="Check Data ⚠","Check Data ⚠",VLOOKUP(S80,'G-4 Temporal multipliers'!$A$4:$C$37,3,FALSE)),"")</f>
        <v/>
      </c>
      <c r="U80" s="523" t="str">
        <f>IF(F80="","",VLOOKUP(F80,'G-3 Multipliers'!$A$2:$E$129,2,FALSE))</f>
        <v/>
      </c>
      <c r="V80" s="520" t="str">
        <f t="shared" si="9"/>
        <v/>
      </c>
      <c r="W80" s="520" t="str">
        <f>IF(E80="","",IF(AND(V80="Standard difficulty applied",O80&gt;P80),U80,IF(AND(V80="Low Difficulty - only applicable if all habitat created before losses ⚠",P80&gt;=O80),"Low",VLOOKUP(F80,'G-3 Multipliers'!$A$2:$E$129,4,FALSE))))</f>
        <v/>
      </c>
      <c r="X80" s="524" t="str">
        <f>IFERROR(IF(E80="","",VLOOKUP(W80, 'G-3 Multipliers'!$P$2:$Q$6,2,FALSE)),"")</f>
        <v/>
      </c>
      <c r="Y80" s="197"/>
      <c r="Z80" s="499" t="str">
        <f>IF(Y80="","",IF(VLOOKUP(Y80,'G-3 Multipliers'!$S$3:$T$9,2,FALSE)=0,"Spatial Data Missing ⚠",VLOOKUP(Y80,'G-3 Multipliers'!$S$3:$T$9,2,FALSE)))</f>
        <v/>
      </c>
      <c r="AA80" s="545" t="str">
        <f t="shared" si="8"/>
        <v/>
      </c>
      <c r="AB80" s="149"/>
      <c r="AC80" s="150"/>
    </row>
    <row r="81" spans="1:29" ht="13.8" x14ac:dyDescent="0.25">
      <c r="A81" s="31" t="str">
        <f>IFERROR(INDEX('G-8 Condition Look up'!$I$4:$I$130,MATCH(F81,'G-8 Condition Look up'!$A$4:$A$130,0)),"")</f>
        <v/>
      </c>
      <c r="C81" s="244" t="str">
        <f>IFERROR(INDEX('G-1 All Habitats'!$AG$3:$AG$15,MATCH(D81,'G-1 All Habitats'!$AF$3:$AF$15,0)),"")</f>
        <v/>
      </c>
      <c r="D81" s="154"/>
      <c r="E81" s="203"/>
      <c r="F81" s="243" t="str">
        <f>IFERROR(INDEX('G-1 All Habitats'!$B$3:$B$129,MATCH(E81,'G-1 All Habitats'!$A$3:$A$129,0)),"")</f>
        <v/>
      </c>
      <c r="G81" s="386"/>
      <c r="H81" s="537" t="str">
        <f>IF(F81="","",VLOOKUP(F81,'G-1 All Habitats'!$B$2:$M$129,10,FALSE))</f>
        <v/>
      </c>
      <c r="I81" s="524" t="str">
        <f>IFERROR(VLOOKUP(H81,'G-1 All Habitats'!$V$3:$W$7,2,FALSE),"")</f>
        <v/>
      </c>
      <c r="J81" s="199"/>
      <c r="K81" s="524" t="str">
        <f>IFERROR(INDEX('G-8 Condition Look up'!$A$3:$H$130,MATCH(F81,'G-8 Condition Look up'!$A$3:$A$130,0),MATCH(J81,'G-8 Condition Look up'!$A$3:$H$3,0)),"")</f>
        <v/>
      </c>
      <c r="L81" s="145"/>
      <c r="M81" s="540" t="str">
        <f>IF(L81="","",IF(VLOOKUP(L81,'G-3 Multipliers'!$L$3:$N$6,2,FALSE)=0,"Spatial Data Missing ⚠",VLOOKUP(L81,'G-3 Multipliers'!$L$3:$N$6,2,FALSE)))</f>
        <v/>
      </c>
      <c r="N81" s="499" t="str">
        <f>IF(L81="","",IF(VLOOKUP(L81,'G-3 Multipliers'!$L$3:$N$6,3,FALSE)=0,"Spatial Data Missing ⚠",VLOOKUP(L81,'G-3 Multipliers'!$L$3:$N$6,3,FALSE)))</f>
        <v/>
      </c>
      <c r="O81" s="498" t="str">
        <f t="shared" si="5"/>
        <v/>
      </c>
      <c r="P81" s="195"/>
      <c r="Q81" s="195"/>
      <c r="R81" s="520" t="str">
        <f t="shared" si="6"/>
        <v/>
      </c>
      <c r="S81" s="544" t="str">
        <f t="shared" si="7"/>
        <v/>
      </c>
      <c r="T81" s="525" t="str">
        <f>IFERROR(IF(S81="Check Data ⚠","Check Data ⚠",VLOOKUP(S81,'G-4 Temporal multipliers'!$A$4:$C$37,3,FALSE)),"")</f>
        <v/>
      </c>
      <c r="U81" s="523" t="str">
        <f>IF(F81="","",VLOOKUP(F81,'G-3 Multipliers'!$A$2:$E$129,2,FALSE))</f>
        <v/>
      </c>
      <c r="V81" s="520" t="str">
        <f t="shared" si="9"/>
        <v/>
      </c>
      <c r="W81" s="520" t="str">
        <f>IF(E81="","",IF(AND(V81="Standard difficulty applied",O81&gt;P81),U81,IF(AND(V81="Low Difficulty - only applicable if all habitat created before losses ⚠",P81&gt;=O81),"Low",VLOOKUP(F81,'G-3 Multipliers'!$A$2:$E$129,4,FALSE))))</f>
        <v/>
      </c>
      <c r="X81" s="524" t="str">
        <f>IFERROR(IF(E81="","",VLOOKUP(W81, 'G-3 Multipliers'!$P$2:$Q$6,2,FALSE)),"")</f>
        <v/>
      </c>
      <c r="Y81" s="197"/>
      <c r="Z81" s="499" t="str">
        <f>IF(Y81="","",IF(VLOOKUP(Y81,'G-3 Multipliers'!$S$3:$T$9,2,FALSE)=0,"Spatial Data Missing ⚠",VLOOKUP(Y81,'G-3 Multipliers'!$S$3:$T$9,2,FALSE)))</f>
        <v/>
      </c>
      <c r="AA81" s="545" t="str">
        <f t="shared" si="8"/>
        <v/>
      </c>
      <c r="AB81" s="149"/>
      <c r="AC81" s="150"/>
    </row>
    <row r="82" spans="1:29" ht="13.8" x14ac:dyDescent="0.25">
      <c r="A82" s="31" t="str">
        <f>IFERROR(INDEX('G-8 Condition Look up'!$I$4:$I$130,MATCH(F82,'G-8 Condition Look up'!$A$4:$A$130,0)),"")</f>
        <v/>
      </c>
      <c r="C82" s="244" t="str">
        <f>IFERROR(INDEX('G-1 All Habitats'!$AG$3:$AG$15,MATCH(D82,'G-1 All Habitats'!$AF$3:$AF$15,0)),"")</f>
        <v/>
      </c>
      <c r="D82" s="154"/>
      <c r="E82" s="203"/>
      <c r="F82" s="243" t="str">
        <f>IFERROR(INDEX('G-1 All Habitats'!$B$3:$B$129,MATCH(E82,'G-1 All Habitats'!$A$3:$A$129,0)),"")</f>
        <v/>
      </c>
      <c r="G82" s="386"/>
      <c r="H82" s="537" t="str">
        <f>IF(F82="","",VLOOKUP(F82,'G-1 All Habitats'!$B$2:$M$129,10,FALSE))</f>
        <v/>
      </c>
      <c r="I82" s="524" t="str">
        <f>IFERROR(VLOOKUP(H82,'G-1 All Habitats'!$V$3:$W$7,2,FALSE),"")</f>
        <v/>
      </c>
      <c r="J82" s="199"/>
      <c r="K82" s="524" t="str">
        <f>IFERROR(INDEX('G-8 Condition Look up'!$A$3:$H$130,MATCH(F82,'G-8 Condition Look up'!$A$3:$A$130,0),MATCH(J82,'G-8 Condition Look up'!$A$3:$H$3,0)),"")</f>
        <v/>
      </c>
      <c r="L82" s="145"/>
      <c r="M82" s="540" t="str">
        <f>IF(L82="","",IF(VLOOKUP(L82,'G-3 Multipliers'!$L$3:$N$6,2,FALSE)=0,"Spatial Data Missing ⚠",VLOOKUP(L82,'G-3 Multipliers'!$L$3:$N$6,2,FALSE)))</f>
        <v/>
      </c>
      <c r="N82" s="499" t="str">
        <f>IF(L82="","",IF(VLOOKUP(L82,'G-3 Multipliers'!$L$3:$N$6,3,FALSE)=0,"Spatial Data Missing ⚠",VLOOKUP(L82,'G-3 Multipliers'!$L$3:$N$6,3,FALSE)))</f>
        <v/>
      </c>
      <c r="O82" s="498" t="str">
        <f t="shared" si="5"/>
        <v/>
      </c>
      <c r="P82" s="195"/>
      <c r="Q82" s="195"/>
      <c r="R82" s="520" t="str">
        <f t="shared" si="6"/>
        <v/>
      </c>
      <c r="S82" s="544" t="str">
        <f t="shared" si="7"/>
        <v/>
      </c>
      <c r="T82" s="525" t="str">
        <f>IFERROR(IF(S82="Check Data ⚠","Check Data ⚠",VLOOKUP(S82,'G-4 Temporal multipliers'!$A$4:$C$37,3,FALSE)),"")</f>
        <v/>
      </c>
      <c r="U82" s="523" t="str">
        <f>IF(F82="","",VLOOKUP(F82,'G-3 Multipliers'!$A$2:$E$129,2,FALSE))</f>
        <v/>
      </c>
      <c r="V82" s="520" t="str">
        <f t="shared" si="9"/>
        <v/>
      </c>
      <c r="W82" s="520" t="str">
        <f>IF(E82="","",IF(AND(V82="Standard difficulty applied",O82&gt;P82),U82,IF(AND(V82="Low Difficulty - only applicable if all habitat created before losses ⚠",P82&gt;=O82),"Low",VLOOKUP(F82,'G-3 Multipliers'!$A$2:$E$129,4,FALSE))))</f>
        <v/>
      </c>
      <c r="X82" s="524" t="str">
        <f>IFERROR(IF(E82="","",VLOOKUP(W82, 'G-3 Multipliers'!$P$2:$Q$6,2,FALSE)),"")</f>
        <v/>
      </c>
      <c r="Y82" s="197"/>
      <c r="Z82" s="499" t="str">
        <f>IF(Y82="","",IF(VLOOKUP(Y82,'G-3 Multipliers'!$S$3:$T$9,2,FALSE)=0,"Spatial Data Missing ⚠",VLOOKUP(Y82,'G-3 Multipliers'!$S$3:$T$9,2,FALSE)))</f>
        <v/>
      </c>
      <c r="AA82" s="545" t="str">
        <f t="shared" si="8"/>
        <v/>
      </c>
      <c r="AB82" s="149"/>
      <c r="AC82" s="150"/>
    </row>
    <row r="83" spans="1:29" ht="13.8" x14ac:dyDescent="0.25">
      <c r="A83" s="31" t="str">
        <f>IFERROR(INDEX('G-8 Condition Look up'!$I$4:$I$130,MATCH(F83,'G-8 Condition Look up'!$A$4:$A$130,0)),"")</f>
        <v/>
      </c>
      <c r="C83" s="244" t="str">
        <f>IFERROR(INDEX('G-1 All Habitats'!$AG$3:$AG$15,MATCH(D83,'G-1 All Habitats'!$AF$3:$AF$15,0)),"")</f>
        <v/>
      </c>
      <c r="D83" s="154"/>
      <c r="E83" s="203"/>
      <c r="F83" s="243" t="str">
        <f>IFERROR(INDEX('G-1 All Habitats'!$B$3:$B$129,MATCH(E83,'G-1 All Habitats'!$A$3:$A$129,0)),"")</f>
        <v/>
      </c>
      <c r="G83" s="386"/>
      <c r="H83" s="537" t="str">
        <f>IF(F83="","",VLOOKUP(F83,'G-1 All Habitats'!$B$2:$M$129,10,FALSE))</f>
        <v/>
      </c>
      <c r="I83" s="524" t="str">
        <f>IFERROR(VLOOKUP(H83,'G-1 All Habitats'!$V$3:$W$7,2,FALSE),"")</f>
        <v/>
      </c>
      <c r="J83" s="199"/>
      <c r="K83" s="524" t="str">
        <f>IFERROR(INDEX('G-8 Condition Look up'!$A$3:$H$130,MATCH(F83,'G-8 Condition Look up'!$A$3:$A$130,0),MATCH(J83,'G-8 Condition Look up'!$A$3:$H$3,0)),"")</f>
        <v/>
      </c>
      <c r="L83" s="145"/>
      <c r="M83" s="540" t="str">
        <f>IF(L83="","",IF(VLOOKUP(L83,'G-3 Multipliers'!$L$3:$N$6,2,FALSE)=0,"Spatial Data Missing ⚠",VLOOKUP(L83,'G-3 Multipliers'!$L$3:$N$6,2,FALSE)))</f>
        <v/>
      </c>
      <c r="N83" s="499" t="str">
        <f>IF(L83="","",IF(VLOOKUP(L83,'G-3 Multipliers'!$L$3:$N$6,3,FALSE)=0,"Spatial Data Missing ⚠",VLOOKUP(L83,'G-3 Multipliers'!$L$3:$N$6,3,FALSE)))</f>
        <v/>
      </c>
      <c r="O83" s="498" t="str">
        <f t="shared" si="5"/>
        <v/>
      </c>
      <c r="P83" s="195"/>
      <c r="Q83" s="195"/>
      <c r="R83" s="520" t="str">
        <f t="shared" si="6"/>
        <v/>
      </c>
      <c r="S83" s="544" t="str">
        <f t="shared" si="7"/>
        <v/>
      </c>
      <c r="T83" s="525" t="str">
        <f>IFERROR(IF(S83="Check Data ⚠","Check Data ⚠",VLOOKUP(S83,'G-4 Temporal multipliers'!$A$4:$C$37,3,FALSE)),"")</f>
        <v/>
      </c>
      <c r="U83" s="523" t="str">
        <f>IF(F83="","",VLOOKUP(F83,'G-3 Multipliers'!$A$2:$E$129,2,FALSE))</f>
        <v/>
      </c>
      <c r="V83" s="520" t="str">
        <f t="shared" si="9"/>
        <v/>
      </c>
      <c r="W83" s="520" t="str">
        <f>IF(E83="","",IF(AND(V83="Standard difficulty applied",O83&gt;P83),U83,IF(AND(V83="Low Difficulty - only applicable if all habitat created before losses ⚠",P83&gt;=O83),"Low",VLOOKUP(F83,'G-3 Multipliers'!$A$2:$E$129,4,FALSE))))</f>
        <v/>
      </c>
      <c r="X83" s="524" t="str">
        <f>IFERROR(IF(E83="","",VLOOKUP(W83, 'G-3 Multipliers'!$P$2:$Q$6,2,FALSE)),"")</f>
        <v/>
      </c>
      <c r="Y83" s="197"/>
      <c r="Z83" s="499" t="str">
        <f>IF(Y83="","",IF(VLOOKUP(Y83,'G-3 Multipliers'!$S$3:$T$9,2,FALSE)=0,"Spatial Data Missing ⚠",VLOOKUP(Y83,'G-3 Multipliers'!$S$3:$T$9,2,FALSE)))</f>
        <v/>
      </c>
      <c r="AA83" s="545" t="str">
        <f t="shared" si="8"/>
        <v/>
      </c>
      <c r="AB83" s="149"/>
      <c r="AC83" s="150"/>
    </row>
    <row r="84" spans="1:29" ht="13.8" x14ac:dyDescent="0.25">
      <c r="A84" s="31" t="str">
        <f>IFERROR(INDEX('G-8 Condition Look up'!$I$4:$I$130,MATCH(F84,'G-8 Condition Look up'!$A$4:$A$130,0)),"")</f>
        <v/>
      </c>
      <c r="C84" s="244" t="str">
        <f>IFERROR(INDEX('G-1 All Habitats'!$AG$3:$AG$15,MATCH(D84,'G-1 All Habitats'!$AF$3:$AF$15,0)),"")</f>
        <v/>
      </c>
      <c r="D84" s="154"/>
      <c r="E84" s="203"/>
      <c r="F84" s="243" t="str">
        <f>IFERROR(INDEX('G-1 All Habitats'!$B$3:$B$129,MATCH(E84,'G-1 All Habitats'!$A$3:$A$129,0)),"")</f>
        <v/>
      </c>
      <c r="G84" s="386"/>
      <c r="H84" s="537" t="str">
        <f>IF(F84="","",VLOOKUP(F84,'G-1 All Habitats'!$B$2:$M$129,10,FALSE))</f>
        <v/>
      </c>
      <c r="I84" s="524" t="str">
        <f>IFERROR(VLOOKUP(H84,'G-1 All Habitats'!$V$3:$W$7,2,FALSE),"")</f>
        <v/>
      </c>
      <c r="J84" s="199"/>
      <c r="K84" s="524" t="str">
        <f>IFERROR(INDEX('G-8 Condition Look up'!$A$3:$H$130,MATCH(F84,'G-8 Condition Look up'!$A$3:$A$130,0),MATCH(J84,'G-8 Condition Look up'!$A$3:$H$3,0)),"")</f>
        <v/>
      </c>
      <c r="L84" s="145"/>
      <c r="M84" s="540" t="str">
        <f>IF(L84="","",IF(VLOOKUP(L84,'G-3 Multipliers'!$L$3:$N$6,2,FALSE)=0,"Spatial Data Missing ⚠",VLOOKUP(L84,'G-3 Multipliers'!$L$3:$N$6,2,FALSE)))</f>
        <v/>
      </c>
      <c r="N84" s="499" t="str">
        <f>IF(L84="","",IF(VLOOKUP(L84,'G-3 Multipliers'!$L$3:$N$6,3,FALSE)=0,"Spatial Data Missing ⚠",VLOOKUP(L84,'G-3 Multipliers'!$L$3:$N$6,3,FALSE)))</f>
        <v/>
      </c>
      <c r="O84" s="498" t="str">
        <f t="shared" si="5"/>
        <v/>
      </c>
      <c r="P84" s="195"/>
      <c r="Q84" s="195"/>
      <c r="R84" s="520" t="str">
        <f t="shared" si="6"/>
        <v/>
      </c>
      <c r="S84" s="544" t="str">
        <f t="shared" si="7"/>
        <v/>
      </c>
      <c r="T84" s="525" t="str">
        <f>IFERROR(IF(S84="Check Data ⚠","Check Data ⚠",VLOOKUP(S84,'G-4 Temporal multipliers'!$A$4:$C$37,3,FALSE)),"")</f>
        <v/>
      </c>
      <c r="U84" s="523" t="str">
        <f>IF(F84="","",VLOOKUP(F84,'G-3 Multipliers'!$A$2:$E$129,2,FALSE))</f>
        <v/>
      </c>
      <c r="V84" s="520" t="str">
        <f t="shared" si="9"/>
        <v/>
      </c>
      <c r="W84" s="520" t="str">
        <f>IF(E84="","",IF(AND(V84="Standard difficulty applied",O84&gt;P84),U84,IF(AND(V84="Low Difficulty - only applicable if all habitat created before losses ⚠",P84&gt;=O84),"Low",VLOOKUP(F84,'G-3 Multipliers'!$A$2:$E$129,4,FALSE))))</f>
        <v/>
      </c>
      <c r="X84" s="524" t="str">
        <f>IFERROR(IF(E84="","",VLOOKUP(W84, 'G-3 Multipliers'!$P$2:$Q$6,2,FALSE)),"")</f>
        <v/>
      </c>
      <c r="Y84" s="197"/>
      <c r="Z84" s="499" t="str">
        <f>IF(Y84="","",IF(VLOOKUP(Y84,'G-3 Multipliers'!$S$3:$T$9,2,FALSE)=0,"Spatial Data Missing ⚠",VLOOKUP(Y84,'G-3 Multipliers'!$S$3:$T$9,2,FALSE)))</f>
        <v/>
      </c>
      <c r="AA84" s="545" t="str">
        <f t="shared" si="8"/>
        <v/>
      </c>
      <c r="AB84" s="149"/>
      <c r="AC84" s="150"/>
    </row>
    <row r="85" spans="1:29" ht="13.8" x14ac:dyDescent="0.25">
      <c r="A85" s="31" t="str">
        <f>IFERROR(INDEX('G-8 Condition Look up'!$I$4:$I$130,MATCH(F85,'G-8 Condition Look up'!$A$4:$A$130,0)),"")</f>
        <v/>
      </c>
      <c r="C85" s="244" t="str">
        <f>IFERROR(INDEX('G-1 All Habitats'!$AG$3:$AG$15,MATCH(D85,'G-1 All Habitats'!$AF$3:$AF$15,0)),"")</f>
        <v/>
      </c>
      <c r="D85" s="154"/>
      <c r="E85" s="203"/>
      <c r="F85" s="243" t="str">
        <f>IFERROR(INDEX('G-1 All Habitats'!$B$3:$B$129,MATCH(E85,'G-1 All Habitats'!$A$3:$A$129,0)),"")</f>
        <v/>
      </c>
      <c r="G85" s="386"/>
      <c r="H85" s="537" t="str">
        <f>IF(F85="","",VLOOKUP(F85,'G-1 All Habitats'!$B$2:$M$129,10,FALSE))</f>
        <v/>
      </c>
      <c r="I85" s="524" t="str">
        <f>IFERROR(VLOOKUP(H85,'G-1 All Habitats'!$V$3:$W$7,2,FALSE),"")</f>
        <v/>
      </c>
      <c r="J85" s="199"/>
      <c r="K85" s="524" t="str">
        <f>IFERROR(INDEX('G-8 Condition Look up'!$A$3:$H$130,MATCH(F85,'G-8 Condition Look up'!$A$3:$A$130,0),MATCH(J85,'G-8 Condition Look up'!$A$3:$H$3,0)),"")</f>
        <v/>
      </c>
      <c r="L85" s="145"/>
      <c r="M85" s="540" t="str">
        <f>IF(L85="","",IF(VLOOKUP(L85,'G-3 Multipliers'!$L$3:$N$6,2,FALSE)=0,"Spatial Data Missing ⚠",VLOOKUP(L85,'G-3 Multipliers'!$L$3:$N$6,2,FALSE)))</f>
        <v/>
      </c>
      <c r="N85" s="499" t="str">
        <f>IF(L85="","",IF(VLOOKUP(L85,'G-3 Multipliers'!$L$3:$N$6,3,FALSE)=0,"Spatial Data Missing ⚠",VLOOKUP(L85,'G-3 Multipliers'!$L$3:$N$6,3,FALSE)))</f>
        <v/>
      </c>
      <c r="O85" s="498" t="str">
        <f t="shared" si="5"/>
        <v/>
      </c>
      <c r="P85" s="195"/>
      <c r="Q85" s="195"/>
      <c r="R85" s="520" t="str">
        <f t="shared" si="6"/>
        <v/>
      </c>
      <c r="S85" s="544" t="str">
        <f t="shared" si="7"/>
        <v/>
      </c>
      <c r="T85" s="525" t="str">
        <f>IFERROR(IF(S85="Check Data ⚠","Check Data ⚠",VLOOKUP(S85,'G-4 Temporal multipliers'!$A$4:$C$37,3,FALSE)),"")</f>
        <v/>
      </c>
      <c r="U85" s="523" t="str">
        <f>IF(F85="","",VLOOKUP(F85,'G-3 Multipliers'!$A$2:$E$129,2,FALSE))</f>
        <v/>
      </c>
      <c r="V85" s="520" t="str">
        <f t="shared" si="9"/>
        <v/>
      </c>
      <c r="W85" s="520" t="str">
        <f>IF(E85="","",IF(AND(V85="Standard difficulty applied",O85&gt;P85),U85,IF(AND(V85="Low Difficulty - only applicable if all habitat created before losses ⚠",P85&gt;=O85),"Low",VLOOKUP(F85,'G-3 Multipliers'!$A$2:$E$129,4,FALSE))))</f>
        <v/>
      </c>
      <c r="X85" s="524" t="str">
        <f>IFERROR(IF(E85="","",VLOOKUP(W85, 'G-3 Multipliers'!$P$2:$Q$6,2,FALSE)),"")</f>
        <v/>
      </c>
      <c r="Y85" s="197"/>
      <c r="Z85" s="499" t="str">
        <f>IF(Y85="","",IF(VLOOKUP(Y85,'G-3 Multipliers'!$S$3:$T$9,2,FALSE)=0,"Spatial Data Missing ⚠",VLOOKUP(Y85,'G-3 Multipliers'!$S$3:$T$9,2,FALSE)))</f>
        <v/>
      </c>
      <c r="AA85" s="545" t="str">
        <f t="shared" si="8"/>
        <v/>
      </c>
      <c r="AB85" s="149"/>
      <c r="AC85" s="150"/>
    </row>
    <row r="86" spans="1:29" ht="13.8" x14ac:dyDescent="0.25">
      <c r="A86" s="31" t="str">
        <f>IFERROR(INDEX('G-8 Condition Look up'!$I$4:$I$130,MATCH(F86,'G-8 Condition Look up'!$A$4:$A$130,0)),"")</f>
        <v/>
      </c>
      <c r="C86" s="244" t="str">
        <f>IFERROR(INDEX('G-1 All Habitats'!$AG$3:$AG$15,MATCH(D86,'G-1 All Habitats'!$AF$3:$AF$15,0)),"")</f>
        <v/>
      </c>
      <c r="D86" s="154"/>
      <c r="E86" s="203"/>
      <c r="F86" s="243" t="str">
        <f>IFERROR(INDEX('G-1 All Habitats'!$B$3:$B$129,MATCH(E86,'G-1 All Habitats'!$A$3:$A$129,0)),"")</f>
        <v/>
      </c>
      <c r="G86" s="386"/>
      <c r="H86" s="537" t="str">
        <f>IF(F86="","",VLOOKUP(F86,'G-1 All Habitats'!$B$2:$M$129,10,FALSE))</f>
        <v/>
      </c>
      <c r="I86" s="524" t="str">
        <f>IFERROR(VLOOKUP(H86,'G-1 All Habitats'!$V$3:$W$7,2,FALSE),"")</f>
        <v/>
      </c>
      <c r="J86" s="199"/>
      <c r="K86" s="524" t="str">
        <f>IFERROR(INDEX('G-8 Condition Look up'!$A$3:$H$130,MATCH(F86,'G-8 Condition Look up'!$A$3:$A$130,0),MATCH(J86,'G-8 Condition Look up'!$A$3:$H$3,0)),"")</f>
        <v/>
      </c>
      <c r="L86" s="145"/>
      <c r="M86" s="540" t="str">
        <f>IF(L86="","",IF(VLOOKUP(L86,'G-3 Multipliers'!$L$3:$N$6,2,FALSE)=0,"Spatial Data Missing ⚠",VLOOKUP(L86,'G-3 Multipliers'!$L$3:$N$6,2,FALSE)))</f>
        <v/>
      </c>
      <c r="N86" s="499" t="str">
        <f>IF(L86="","",IF(VLOOKUP(L86,'G-3 Multipliers'!$L$3:$N$6,3,FALSE)=0,"Spatial Data Missing ⚠",VLOOKUP(L86,'G-3 Multipliers'!$L$3:$N$6,3,FALSE)))</f>
        <v/>
      </c>
      <c r="O86" s="498" t="str">
        <f t="shared" si="5"/>
        <v/>
      </c>
      <c r="P86" s="195"/>
      <c r="Q86" s="195"/>
      <c r="R86" s="520" t="str">
        <f t="shared" si="6"/>
        <v/>
      </c>
      <c r="S86" s="544" t="str">
        <f t="shared" si="7"/>
        <v/>
      </c>
      <c r="T86" s="525" t="str">
        <f>IFERROR(IF(S86="Check Data ⚠","Check Data ⚠",VLOOKUP(S86,'G-4 Temporal multipliers'!$A$4:$C$37,3,FALSE)),"")</f>
        <v/>
      </c>
      <c r="U86" s="523" t="str">
        <f>IF(F86="","",VLOOKUP(F86,'G-3 Multipliers'!$A$2:$E$129,2,FALSE))</f>
        <v/>
      </c>
      <c r="V86" s="520" t="str">
        <f t="shared" si="9"/>
        <v/>
      </c>
      <c r="W86" s="520" t="str">
        <f>IF(E86="","",IF(AND(V86="Standard difficulty applied",O86&gt;P86),U86,IF(AND(V86="Low Difficulty - only applicable if all habitat created before losses ⚠",P86&gt;=O86),"Low",VLOOKUP(F86,'G-3 Multipliers'!$A$2:$E$129,4,FALSE))))</f>
        <v/>
      </c>
      <c r="X86" s="524" t="str">
        <f>IFERROR(IF(E86="","",VLOOKUP(W86, 'G-3 Multipliers'!$P$2:$Q$6,2,FALSE)),"")</f>
        <v/>
      </c>
      <c r="Y86" s="197"/>
      <c r="Z86" s="499" t="str">
        <f>IF(Y86="","",IF(VLOOKUP(Y86,'G-3 Multipliers'!$S$3:$T$9,2,FALSE)=0,"Spatial Data Missing ⚠",VLOOKUP(Y86,'G-3 Multipliers'!$S$3:$T$9,2,FALSE)))</f>
        <v/>
      </c>
      <c r="AA86" s="545" t="str">
        <f t="shared" si="8"/>
        <v/>
      </c>
      <c r="AB86" s="149"/>
      <c r="AC86" s="150"/>
    </row>
    <row r="87" spans="1:29" ht="13.8" x14ac:dyDescent="0.25">
      <c r="A87" s="31" t="str">
        <f>IFERROR(INDEX('G-8 Condition Look up'!$I$4:$I$130,MATCH(F87,'G-8 Condition Look up'!$A$4:$A$130,0)),"")</f>
        <v/>
      </c>
      <c r="C87" s="244" t="str">
        <f>IFERROR(INDEX('G-1 All Habitats'!$AG$3:$AG$15,MATCH(D87,'G-1 All Habitats'!$AF$3:$AF$15,0)),"")</f>
        <v/>
      </c>
      <c r="D87" s="154"/>
      <c r="E87" s="203"/>
      <c r="F87" s="243" t="str">
        <f>IFERROR(INDEX('G-1 All Habitats'!$B$3:$B$129,MATCH(E87,'G-1 All Habitats'!$A$3:$A$129,0)),"")</f>
        <v/>
      </c>
      <c r="G87" s="386"/>
      <c r="H87" s="537" t="str">
        <f>IF(F87="","",VLOOKUP(F87,'G-1 All Habitats'!$B$2:$M$129,10,FALSE))</f>
        <v/>
      </c>
      <c r="I87" s="524" t="str">
        <f>IFERROR(VLOOKUP(H87,'G-1 All Habitats'!$V$3:$W$7,2,FALSE),"")</f>
        <v/>
      </c>
      <c r="J87" s="199"/>
      <c r="K87" s="524" t="str">
        <f>IFERROR(INDEX('G-8 Condition Look up'!$A$3:$H$130,MATCH(F87,'G-8 Condition Look up'!$A$3:$A$130,0),MATCH(J87,'G-8 Condition Look up'!$A$3:$H$3,0)),"")</f>
        <v/>
      </c>
      <c r="L87" s="145"/>
      <c r="M87" s="540" t="str">
        <f>IF(L87="","",IF(VLOOKUP(L87,'G-3 Multipliers'!$L$3:$N$6,2,FALSE)=0,"Spatial Data Missing ⚠",VLOOKUP(L87,'G-3 Multipliers'!$L$3:$N$6,2,FALSE)))</f>
        <v/>
      </c>
      <c r="N87" s="499" t="str">
        <f>IF(L87="","",IF(VLOOKUP(L87,'G-3 Multipliers'!$L$3:$N$6,3,FALSE)=0,"Spatial Data Missing ⚠",VLOOKUP(L87,'G-3 Multipliers'!$L$3:$N$6,3,FALSE)))</f>
        <v/>
      </c>
      <c r="O87" s="498" t="str">
        <f t="shared" si="5"/>
        <v/>
      </c>
      <c r="P87" s="195"/>
      <c r="Q87" s="195"/>
      <c r="R87" s="520" t="str">
        <f t="shared" si="6"/>
        <v/>
      </c>
      <c r="S87" s="544" t="str">
        <f t="shared" si="7"/>
        <v/>
      </c>
      <c r="T87" s="525" t="str">
        <f>IFERROR(IF(S87="Check Data ⚠","Check Data ⚠",VLOOKUP(S87,'G-4 Temporal multipliers'!$A$4:$C$37,3,FALSE)),"")</f>
        <v/>
      </c>
      <c r="U87" s="523" t="str">
        <f>IF(F87="","",VLOOKUP(F87,'G-3 Multipliers'!$A$2:$E$129,2,FALSE))</f>
        <v/>
      </c>
      <c r="V87" s="520" t="str">
        <f t="shared" si="9"/>
        <v/>
      </c>
      <c r="W87" s="520" t="str">
        <f>IF(E87="","",IF(AND(V87="Standard difficulty applied",O87&gt;P87),U87,IF(AND(V87="Low Difficulty - only applicable if all habitat created before losses ⚠",P87&gt;=O87),"Low",VLOOKUP(F87,'G-3 Multipliers'!$A$2:$E$129,4,FALSE))))</f>
        <v/>
      </c>
      <c r="X87" s="524" t="str">
        <f>IFERROR(IF(E87="","",VLOOKUP(W87, 'G-3 Multipliers'!$P$2:$Q$6,2,FALSE)),"")</f>
        <v/>
      </c>
      <c r="Y87" s="197"/>
      <c r="Z87" s="499" t="str">
        <f>IF(Y87="","",IF(VLOOKUP(Y87,'G-3 Multipliers'!$S$3:$T$9,2,FALSE)=0,"Spatial Data Missing ⚠",VLOOKUP(Y87,'G-3 Multipliers'!$S$3:$T$9,2,FALSE)))</f>
        <v/>
      </c>
      <c r="AA87" s="545" t="str">
        <f t="shared" si="8"/>
        <v/>
      </c>
      <c r="AB87" s="149"/>
      <c r="AC87" s="150"/>
    </row>
    <row r="88" spans="1:29" ht="13.8" x14ac:dyDescent="0.25">
      <c r="A88" s="31" t="str">
        <f>IFERROR(INDEX('G-8 Condition Look up'!$I$4:$I$130,MATCH(F88,'G-8 Condition Look up'!$A$4:$A$130,0)),"")</f>
        <v/>
      </c>
      <c r="C88" s="244" t="str">
        <f>IFERROR(INDEX('G-1 All Habitats'!$AG$3:$AG$15,MATCH(D88,'G-1 All Habitats'!$AF$3:$AF$15,0)),"")</f>
        <v/>
      </c>
      <c r="D88" s="154"/>
      <c r="E88" s="203"/>
      <c r="F88" s="243" t="str">
        <f>IFERROR(INDEX('G-1 All Habitats'!$B$3:$B$129,MATCH(E88,'G-1 All Habitats'!$A$3:$A$129,0)),"")</f>
        <v/>
      </c>
      <c r="G88" s="386"/>
      <c r="H88" s="537" t="str">
        <f>IF(F88="","",VLOOKUP(F88,'G-1 All Habitats'!$B$2:$M$129,10,FALSE))</f>
        <v/>
      </c>
      <c r="I88" s="524" t="str">
        <f>IFERROR(VLOOKUP(H88,'G-1 All Habitats'!$V$3:$W$7,2,FALSE),"")</f>
        <v/>
      </c>
      <c r="J88" s="199"/>
      <c r="K88" s="524" t="str">
        <f>IFERROR(INDEX('G-8 Condition Look up'!$A$3:$H$130,MATCH(F88,'G-8 Condition Look up'!$A$3:$A$130,0),MATCH(J88,'G-8 Condition Look up'!$A$3:$H$3,0)),"")</f>
        <v/>
      </c>
      <c r="L88" s="145"/>
      <c r="M88" s="540" t="str">
        <f>IF(L88="","",IF(VLOOKUP(L88,'G-3 Multipliers'!$L$3:$N$6,2,FALSE)=0,"Spatial Data Missing ⚠",VLOOKUP(L88,'G-3 Multipliers'!$L$3:$N$6,2,FALSE)))</f>
        <v/>
      </c>
      <c r="N88" s="499" t="str">
        <f>IF(L88="","",IF(VLOOKUP(L88,'G-3 Multipliers'!$L$3:$N$6,3,FALSE)=0,"Spatial Data Missing ⚠",VLOOKUP(L88,'G-3 Multipliers'!$L$3:$N$6,3,FALSE)))</f>
        <v/>
      </c>
      <c r="O88" s="498" t="str">
        <f t="shared" si="5"/>
        <v/>
      </c>
      <c r="P88" s="195"/>
      <c r="Q88" s="195"/>
      <c r="R88" s="520" t="str">
        <f t="shared" si="6"/>
        <v/>
      </c>
      <c r="S88" s="544" t="str">
        <f t="shared" si="7"/>
        <v/>
      </c>
      <c r="T88" s="525" t="str">
        <f>IFERROR(IF(S88="Check Data ⚠","Check Data ⚠",VLOOKUP(S88,'G-4 Temporal multipliers'!$A$4:$C$37,3,FALSE)),"")</f>
        <v/>
      </c>
      <c r="U88" s="523" t="str">
        <f>IF(F88="","",VLOOKUP(F88,'G-3 Multipliers'!$A$2:$E$129,2,FALSE))</f>
        <v/>
      </c>
      <c r="V88" s="520" t="str">
        <f t="shared" si="9"/>
        <v/>
      </c>
      <c r="W88" s="520" t="str">
        <f>IF(E88="","",IF(AND(V88="Standard difficulty applied",O88&gt;P88),U88,IF(AND(V88="Low Difficulty - only applicable if all habitat created before losses ⚠",P88&gt;=O88),"Low",VLOOKUP(F88,'G-3 Multipliers'!$A$2:$E$129,4,FALSE))))</f>
        <v/>
      </c>
      <c r="X88" s="524" t="str">
        <f>IFERROR(IF(E88="","",VLOOKUP(W88, 'G-3 Multipliers'!$P$2:$Q$6,2,FALSE)),"")</f>
        <v/>
      </c>
      <c r="Y88" s="197"/>
      <c r="Z88" s="499" t="str">
        <f>IF(Y88="","",IF(VLOOKUP(Y88,'G-3 Multipliers'!$S$3:$T$9,2,FALSE)=0,"Spatial Data Missing ⚠",VLOOKUP(Y88,'G-3 Multipliers'!$S$3:$T$9,2,FALSE)))</f>
        <v/>
      </c>
      <c r="AA88" s="545" t="str">
        <f t="shared" si="8"/>
        <v/>
      </c>
      <c r="AB88" s="149"/>
      <c r="AC88" s="150"/>
    </row>
    <row r="89" spans="1:29" ht="13.8" x14ac:dyDescent="0.25">
      <c r="A89" s="31" t="str">
        <f>IFERROR(INDEX('G-8 Condition Look up'!$I$4:$I$130,MATCH(F89,'G-8 Condition Look up'!$A$4:$A$130,0)),"")</f>
        <v/>
      </c>
      <c r="C89" s="244" t="str">
        <f>IFERROR(INDEX('G-1 All Habitats'!$AG$3:$AG$15,MATCH(D89,'G-1 All Habitats'!$AF$3:$AF$15,0)),"")</f>
        <v/>
      </c>
      <c r="D89" s="154"/>
      <c r="E89" s="203"/>
      <c r="F89" s="243" t="str">
        <f>IFERROR(INDEX('G-1 All Habitats'!$B$3:$B$129,MATCH(E89,'G-1 All Habitats'!$A$3:$A$129,0)),"")</f>
        <v/>
      </c>
      <c r="G89" s="386"/>
      <c r="H89" s="537" t="str">
        <f>IF(F89="","",VLOOKUP(F89,'G-1 All Habitats'!$B$2:$M$129,10,FALSE))</f>
        <v/>
      </c>
      <c r="I89" s="524" t="str">
        <f>IFERROR(VLOOKUP(H89,'G-1 All Habitats'!$V$3:$W$7,2,FALSE),"")</f>
        <v/>
      </c>
      <c r="J89" s="199"/>
      <c r="K89" s="524" t="str">
        <f>IFERROR(INDEX('G-8 Condition Look up'!$A$3:$H$130,MATCH(F89,'G-8 Condition Look up'!$A$3:$A$130,0),MATCH(J89,'G-8 Condition Look up'!$A$3:$H$3,0)),"")</f>
        <v/>
      </c>
      <c r="L89" s="145"/>
      <c r="M89" s="540" t="str">
        <f>IF(L89="","",IF(VLOOKUP(L89,'G-3 Multipliers'!$L$3:$N$6,2,FALSE)=0,"Spatial Data Missing ⚠",VLOOKUP(L89,'G-3 Multipliers'!$L$3:$N$6,2,FALSE)))</f>
        <v/>
      </c>
      <c r="N89" s="499" t="str">
        <f>IF(L89="","",IF(VLOOKUP(L89,'G-3 Multipliers'!$L$3:$N$6,3,FALSE)=0,"Spatial Data Missing ⚠",VLOOKUP(L89,'G-3 Multipliers'!$L$3:$N$6,3,FALSE)))</f>
        <v/>
      </c>
      <c r="O89" s="498" t="str">
        <f t="shared" si="5"/>
        <v/>
      </c>
      <c r="P89" s="195"/>
      <c r="Q89" s="195"/>
      <c r="R89" s="520" t="str">
        <f t="shared" si="6"/>
        <v/>
      </c>
      <c r="S89" s="544" t="str">
        <f t="shared" si="7"/>
        <v/>
      </c>
      <c r="T89" s="525" t="str">
        <f>IFERROR(IF(S89="Check Data ⚠","Check Data ⚠",VLOOKUP(S89,'G-4 Temporal multipliers'!$A$4:$C$37,3,FALSE)),"")</f>
        <v/>
      </c>
      <c r="U89" s="523" t="str">
        <f>IF(F89="","",VLOOKUP(F89,'G-3 Multipliers'!$A$2:$E$129,2,FALSE))</f>
        <v/>
      </c>
      <c r="V89" s="520" t="str">
        <f t="shared" si="9"/>
        <v/>
      </c>
      <c r="W89" s="520" t="str">
        <f>IF(E89="","",IF(AND(V89="Standard difficulty applied",O89&gt;P89),U89,IF(AND(V89="Low Difficulty - only applicable if all habitat created before losses ⚠",P89&gt;=O89),"Low",VLOOKUP(F89,'G-3 Multipliers'!$A$2:$E$129,4,FALSE))))</f>
        <v/>
      </c>
      <c r="X89" s="524" t="str">
        <f>IFERROR(IF(E89="","",VLOOKUP(W89, 'G-3 Multipliers'!$P$2:$Q$6,2,FALSE)),"")</f>
        <v/>
      </c>
      <c r="Y89" s="197"/>
      <c r="Z89" s="499" t="str">
        <f>IF(Y89="","",IF(VLOOKUP(Y89,'G-3 Multipliers'!$S$3:$T$9,2,FALSE)=0,"Spatial Data Missing ⚠",VLOOKUP(Y89,'G-3 Multipliers'!$S$3:$T$9,2,FALSE)))</f>
        <v/>
      </c>
      <c r="AA89" s="545" t="str">
        <f t="shared" si="8"/>
        <v/>
      </c>
      <c r="AB89" s="149"/>
      <c r="AC89" s="150"/>
    </row>
    <row r="90" spans="1:29" ht="13.8" x14ac:dyDescent="0.25">
      <c r="A90" s="31" t="str">
        <f>IFERROR(INDEX('G-8 Condition Look up'!$I$4:$I$130,MATCH(F90,'G-8 Condition Look up'!$A$4:$A$130,0)),"")</f>
        <v/>
      </c>
      <c r="C90" s="244" t="str">
        <f>IFERROR(INDEX('G-1 All Habitats'!$AG$3:$AG$15,MATCH(D90,'G-1 All Habitats'!$AF$3:$AF$15,0)),"")</f>
        <v/>
      </c>
      <c r="D90" s="154"/>
      <c r="E90" s="203"/>
      <c r="F90" s="243" t="str">
        <f>IFERROR(INDEX('G-1 All Habitats'!$B$3:$B$129,MATCH(E90,'G-1 All Habitats'!$A$3:$A$129,0)),"")</f>
        <v/>
      </c>
      <c r="G90" s="386"/>
      <c r="H90" s="537" t="str">
        <f>IF(F90="","",VLOOKUP(F90,'G-1 All Habitats'!$B$2:$M$129,10,FALSE))</f>
        <v/>
      </c>
      <c r="I90" s="524" t="str">
        <f>IFERROR(VLOOKUP(H90,'G-1 All Habitats'!$V$3:$W$7,2,FALSE),"")</f>
        <v/>
      </c>
      <c r="J90" s="199"/>
      <c r="K90" s="524" t="str">
        <f>IFERROR(INDEX('G-8 Condition Look up'!$A$3:$H$130,MATCH(F90,'G-8 Condition Look up'!$A$3:$A$130,0),MATCH(J90,'G-8 Condition Look up'!$A$3:$H$3,0)),"")</f>
        <v/>
      </c>
      <c r="L90" s="145"/>
      <c r="M90" s="540" t="str">
        <f>IF(L90="","",IF(VLOOKUP(L90,'G-3 Multipliers'!$L$3:$N$6,2,FALSE)=0,"Spatial Data Missing ⚠",VLOOKUP(L90,'G-3 Multipliers'!$L$3:$N$6,2,FALSE)))</f>
        <v/>
      </c>
      <c r="N90" s="499" t="str">
        <f>IF(L90="","",IF(VLOOKUP(L90,'G-3 Multipliers'!$L$3:$N$6,3,FALSE)=0,"Spatial Data Missing ⚠",VLOOKUP(L90,'G-3 Multipliers'!$L$3:$N$6,3,FALSE)))</f>
        <v/>
      </c>
      <c r="O90" s="498" t="str">
        <f t="shared" si="5"/>
        <v/>
      </c>
      <c r="P90" s="195"/>
      <c r="Q90" s="195"/>
      <c r="R90" s="520" t="str">
        <f t="shared" si="6"/>
        <v/>
      </c>
      <c r="S90" s="544" t="str">
        <f t="shared" si="7"/>
        <v/>
      </c>
      <c r="T90" s="525" t="str">
        <f>IFERROR(IF(S90="Check Data ⚠","Check Data ⚠",VLOOKUP(S90,'G-4 Temporal multipliers'!$A$4:$C$37,3,FALSE)),"")</f>
        <v/>
      </c>
      <c r="U90" s="523" t="str">
        <f>IF(F90="","",VLOOKUP(F90,'G-3 Multipliers'!$A$2:$E$129,2,FALSE))</f>
        <v/>
      </c>
      <c r="V90" s="520" t="str">
        <f t="shared" si="9"/>
        <v/>
      </c>
      <c r="W90" s="520" t="str">
        <f>IF(E90="","",IF(AND(V90="Standard difficulty applied",O90&gt;P90),U90,IF(AND(V90="Low Difficulty - only applicable if all habitat created before losses ⚠",P90&gt;=O90),"Low",VLOOKUP(F90,'G-3 Multipliers'!$A$2:$E$129,4,FALSE))))</f>
        <v/>
      </c>
      <c r="X90" s="524" t="str">
        <f>IFERROR(IF(E90="","",VLOOKUP(W90, 'G-3 Multipliers'!$P$2:$Q$6,2,FALSE)),"")</f>
        <v/>
      </c>
      <c r="Y90" s="197"/>
      <c r="Z90" s="499" t="str">
        <f>IF(Y90="","",IF(VLOOKUP(Y90,'G-3 Multipliers'!$S$3:$T$9,2,FALSE)=0,"Spatial Data Missing ⚠",VLOOKUP(Y90,'G-3 Multipliers'!$S$3:$T$9,2,FALSE)))</f>
        <v/>
      </c>
      <c r="AA90" s="545" t="str">
        <f t="shared" si="8"/>
        <v/>
      </c>
      <c r="AB90" s="149"/>
      <c r="AC90" s="150"/>
    </row>
    <row r="91" spans="1:29" ht="13.8" x14ac:dyDescent="0.25">
      <c r="A91" s="31" t="str">
        <f>IFERROR(INDEX('G-8 Condition Look up'!$I$4:$I$130,MATCH(F91,'G-8 Condition Look up'!$A$4:$A$130,0)),"")</f>
        <v/>
      </c>
      <c r="C91" s="244" t="str">
        <f>IFERROR(INDEX('G-1 All Habitats'!$AG$3:$AG$15,MATCH(D91,'G-1 All Habitats'!$AF$3:$AF$15,0)),"")</f>
        <v/>
      </c>
      <c r="D91" s="154"/>
      <c r="E91" s="203"/>
      <c r="F91" s="243" t="str">
        <f>IFERROR(INDEX('G-1 All Habitats'!$B$3:$B$129,MATCH(E91,'G-1 All Habitats'!$A$3:$A$129,0)),"")</f>
        <v/>
      </c>
      <c r="G91" s="386"/>
      <c r="H91" s="537" t="str">
        <f>IF(F91="","",VLOOKUP(F91,'G-1 All Habitats'!$B$2:$M$129,10,FALSE))</f>
        <v/>
      </c>
      <c r="I91" s="524" t="str">
        <f>IFERROR(VLOOKUP(H91,'G-1 All Habitats'!$V$3:$W$7,2,FALSE),"")</f>
        <v/>
      </c>
      <c r="J91" s="199"/>
      <c r="K91" s="524" t="str">
        <f>IFERROR(INDEX('G-8 Condition Look up'!$A$3:$H$130,MATCH(F91,'G-8 Condition Look up'!$A$3:$A$130,0),MATCH(J91,'G-8 Condition Look up'!$A$3:$H$3,0)),"")</f>
        <v/>
      </c>
      <c r="L91" s="145"/>
      <c r="M91" s="540" t="str">
        <f>IF(L91="","",IF(VLOOKUP(L91,'G-3 Multipliers'!$L$3:$N$6,2,FALSE)=0,"Spatial Data Missing ⚠",VLOOKUP(L91,'G-3 Multipliers'!$L$3:$N$6,2,FALSE)))</f>
        <v/>
      </c>
      <c r="N91" s="499" t="str">
        <f>IF(L91="","",IF(VLOOKUP(L91,'G-3 Multipliers'!$L$3:$N$6,3,FALSE)=0,"Spatial Data Missing ⚠",VLOOKUP(L91,'G-3 Multipliers'!$L$3:$N$6,3,FALSE)))</f>
        <v/>
      </c>
      <c r="O91" s="498" t="str">
        <f t="shared" si="5"/>
        <v/>
      </c>
      <c r="P91" s="195"/>
      <c r="Q91" s="195"/>
      <c r="R91" s="520" t="str">
        <f t="shared" si="6"/>
        <v/>
      </c>
      <c r="S91" s="544" t="str">
        <f t="shared" si="7"/>
        <v/>
      </c>
      <c r="T91" s="525" t="str">
        <f>IFERROR(IF(S91="Check Data ⚠","Check Data ⚠",VLOOKUP(S91,'G-4 Temporal multipliers'!$A$4:$C$37,3,FALSE)),"")</f>
        <v/>
      </c>
      <c r="U91" s="523" t="str">
        <f>IF(F91="","",VLOOKUP(F91,'G-3 Multipliers'!$A$2:$E$129,2,FALSE))</f>
        <v/>
      </c>
      <c r="V91" s="520" t="str">
        <f t="shared" si="9"/>
        <v/>
      </c>
      <c r="W91" s="520" t="str">
        <f>IF(E91="","",IF(AND(V91="Standard difficulty applied",O91&gt;P91),U91,IF(AND(V91="Low Difficulty - only applicable if all habitat created before losses ⚠",P91&gt;=O91),"Low",VLOOKUP(F91,'G-3 Multipliers'!$A$2:$E$129,4,FALSE))))</f>
        <v/>
      </c>
      <c r="X91" s="524" t="str">
        <f>IFERROR(IF(E91="","",VLOOKUP(W91, 'G-3 Multipliers'!$P$2:$Q$6,2,FALSE)),"")</f>
        <v/>
      </c>
      <c r="Y91" s="197"/>
      <c r="Z91" s="499" t="str">
        <f>IF(Y91="","",IF(VLOOKUP(Y91,'G-3 Multipliers'!$S$3:$T$9,2,FALSE)=0,"Spatial Data Missing ⚠",VLOOKUP(Y91,'G-3 Multipliers'!$S$3:$T$9,2,FALSE)))</f>
        <v/>
      </c>
      <c r="AA91" s="545" t="str">
        <f t="shared" si="8"/>
        <v/>
      </c>
      <c r="AB91" s="149"/>
      <c r="AC91" s="150"/>
    </row>
    <row r="92" spans="1:29" ht="13.8" x14ac:dyDescent="0.25">
      <c r="A92" s="31" t="str">
        <f>IFERROR(INDEX('G-8 Condition Look up'!$I$4:$I$130,MATCH(F92,'G-8 Condition Look up'!$A$4:$A$130,0)),"")</f>
        <v/>
      </c>
      <c r="C92" s="244" t="str">
        <f>IFERROR(INDEX('G-1 All Habitats'!$AG$3:$AG$15,MATCH(D92,'G-1 All Habitats'!$AF$3:$AF$15,0)),"")</f>
        <v/>
      </c>
      <c r="D92" s="154"/>
      <c r="E92" s="203"/>
      <c r="F92" s="243" t="str">
        <f>IFERROR(INDEX('G-1 All Habitats'!$B$3:$B$129,MATCH(E92,'G-1 All Habitats'!$A$3:$A$129,0)),"")</f>
        <v/>
      </c>
      <c r="G92" s="386"/>
      <c r="H92" s="537" t="str">
        <f>IF(F92="","",VLOOKUP(F92,'G-1 All Habitats'!$B$2:$M$129,10,FALSE))</f>
        <v/>
      </c>
      <c r="I92" s="524" t="str">
        <f>IFERROR(VLOOKUP(H92,'G-1 All Habitats'!$V$3:$W$7,2,FALSE),"")</f>
        <v/>
      </c>
      <c r="J92" s="199"/>
      <c r="K92" s="524" t="str">
        <f>IFERROR(INDEX('G-8 Condition Look up'!$A$3:$H$130,MATCH(F92,'G-8 Condition Look up'!$A$3:$A$130,0),MATCH(J92,'G-8 Condition Look up'!$A$3:$H$3,0)),"")</f>
        <v/>
      </c>
      <c r="L92" s="145"/>
      <c r="M92" s="540" t="str">
        <f>IF(L92="","",IF(VLOOKUP(L92,'G-3 Multipliers'!$L$3:$N$6,2,FALSE)=0,"Spatial Data Missing ⚠",VLOOKUP(L92,'G-3 Multipliers'!$L$3:$N$6,2,FALSE)))</f>
        <v/>
      </c>
      <c r="N92" s="499" t="str">
        <f>IF(L92="","",IF(VLOOKUP(L92,'G-3 Multipliers'!$L$3:$N$6,3,FALSE)=0,"Spatial Data Missing ⚠",VLOOKUP(L92,'G-3 Multipliers'!$L$3:$N$6,3,FALSE)))</f>
        <v/>
      </c>
      <c r="O92" s="498" t="str">
        <f t="shared" si="5"/>
        <v/>
      </c>
      <c r="P92" s="195"/>
      <c r="Q92" s="195"/>
      <c r="R92" s="520" t="str">
        <f t="shared" si="6"/>
        <v/>
      </c>
      <c r="S92" s="544" t="str">
        <f t="shared" si="7"/>
        <v/>
      </c>
      <c r="T92" s="525" t="str">
        <f>IFERROR(IF(S92="Check Data ⚠","Check Data ⚠",VLOOKUP(S92,'G-4 Temporal multipliers'!$A$4:$C$37,3,FALSE)),"")</f>
        <v/>
      </c>
      <c r="U92" s="523" t="str">
        <f>IF(F92="","",VLOOKUP(F92,'G-3 Multipliers'!$A$2:$E$129,2,FALSE))</f>
        <v/>
      </c>
      <c r="V92" s="520" t="str">
        <f t="shared" si="9"/>
        <v/>
      </c>
      <c r="W92" s="520" t="str">
        <f>IF(E92="","",IF(AND(V92="Standard difficulty applied",O92&gt;P92),U92,IF(AND(V92="Low Difficulty - only applicable if all habitat created before losses ⚠",P92&gt;=O92),"Low",VLOOKUP(F92,'G-3 Multipliers'!$A$2:$E$129,4,FALSE))))</f>
        <v/>
      </c>
      <c r="X92" s="524" t="str">
        <f>IFERROR(IF(E92="","",VLOOKUP(W92, 'G-3 Multipliers'!$P$2:$Q$6,2,FALSE)),"")</f>
        <v/>
      </c>
      <c r="Y92" s="197"/>
      <c r="Z92" s="499" t="str">
        <f>IF(Y92="","",IF(VLOOKUP(Y92,'G-3 Multipliers'!$S$3:$T$9,2,FALSE)=0,"Spatial Data Missing ⚠",VLOOKUP(Y92,'G-3 Multipliers'!$S$3:$T$9,2,FALSE)))</f>
        <v/>
      </c>
      <c r="AA92" s="545" t="str">
        <f t="shared" si="8"/>
        <v/>
      </c>
      <c r="AB92" s="149"/>
      <c r="AC92" s="150"/>
    </row>
    <row r="93" spans="1:29" ht="13.8" x14ac:dyDescent="0.25">
      <c r="A93" s="31" t="str">
        <f>IFERROR(INDEX('G-8 Condition Look up'!$I$4:$I$130,MATCH(F93,'G-8 Condition Look up'!$A$4:$A$130,0)),"")</f>
        <v/>
      </c>
      <c r="C93" s="244" t="str">
        <f>IFERROR(INDEX('G-1 All Habitats'!$AG$3:$AG$15,MATCH(D93,'G-1 All Habitats'!$AF$3:$AF$15,0)),"")</f>
        <v/>
      </c>
      <c r="D93" s="154"/>
      <c r="E93" s="203"/>
      <c r="F93" s="243" t="str">
        <f>IFERROR(INDEX('G-1 All Habitats'!$B$3:$B$129,MATCH(E93,'G-1 All Habitats'!$A$3:$A$129,0)),"")</f>
        <v/>
      </c>
      <c r="G93" s="386"/>
      <c r="H93" s="537" t="str">
        <f>IF(F93="","",VLOOKUP(F93,'G-1 All Habitats'!$B$2:$M$129,10,FALSE))</f>
        <v/>
      </c>
      <c r="I93" s="524" t="str">
        <f>IFERROR(VLOOKUP(H93,'G-1 All Habitats'!$V$3:$W$7,2,FALSE),"")</f>
        <v/>
      </c>
      <c r="J93" s="199"/>
      <c r="K93" s="524" t="str">
        <f>IFERROR(INDEX('G-8 Condition Look up'!$A$3:$H$130,MATCH(F93,'G-8 Condition Look up'!$A$3:$A$130,0),MATCH(J93,'G-8 Condition Look up'!$A$3:$H$3,0)),"")</f>
        <v/>
      </c>
      <c r="L93" s="145"/>
      <c r="M93" s="540" t="str">
        <f>IF(L93="","",IF(VLOOKUP(L93,'G-3 Multipliers'!$L$3:$N$6,2,FALSE)=0,"Spatial Data Missing ⚠",VLOOKUP(L93,'G-3 Multipliers'!$L$3:$N$6,2,FALSE)))</f>
        <v/>
      </c>
      <c r="N93" s="499" t="str">
        <f>IF(L93="","",IF(VLOOKUP(L93,'G-3 Multipliers'!$L$3:$N$6,3,FALSE)=0,"Spatial Data Missing ⚠",VLOOKUP(L93,'G-3 Multipliers'!$L$3:$N$6,3,FALSE)))</f>
        <v/>
      </c>
      <c r="O93" s="498" t="str">
        <f t="shared" si="5"/>
        <v/>
      </c>
      <c r="P93" s="195"/>
      <c r="Q93" s="195"/>
      <c r="R93" s="520" t="str">
        <f t="shared" si="6"/>
        <v/>
      </c>
      <c r="S93" s="544" t="str">
        <f t="shared" si="7"/>
        <v/>
      </c>
      <c r="T93" s="525" t="str">
        <f>IFERROR(IF(S93="Check Data ⚠","Check Data ⚠",VLOOKUP(S93,'G-4 Temporal multipliers'!$A$4:$C$37,3,FALSE)),"")</f>
        <v/>
      </c>
      <c r="U93" s="523" t="str">
        <f>IF(F93="","",VLOOKUP(F93,'G-3 Multipliers'!$A$2:$E$129,2,FALSE))</f>
        <v/>
      </c>
      <c r="V93" s="520" t="str">
        <f t="shared" si="9"/>
        <v/>
      </c>
      <c r="W93" s="520" t="str">
        <f>IF(E93="","",IF(AND(V93="Standard difficulty applied",O93&gt;P93),U93,IF(AND(V93="Low Difficulty - only applicable if all habitat created before losses ⚠",P93&gt;=O93),"Low",VLOOKUP(F93,'G-3 Multipliers'!$A$2:$E$129,4,FALSE))))</f>
        <v/>
      </c>
      <c r="X93" s="524" t="str">
        <f>IFERROR(IF(E93="","",VLOOKUP(W93, 'G-3 Multipliers'!$P$2:$Q$6,2,FALSE)),"")</f>
        <v/>
      </c>
      <c r="Y93" s="197"/>
      <c r="Z93" s="499" t="str">
        <f>IF(Y93="","",IF(VLOOKUP(Y93,'G-3 Multipliers'!$S$3:$T$9,2,FALSE)=0,"Spatial Data Missing ⚠",VLOOKUP(Y93,'G-3 Multipliers'!$S$3:$T$9,2,FALSE)))</f>
        <v/>
      </c>
      <c r="AA93" s="545" t="str">
        <f t="shared" si="8"/>
        <v/>
      </c>
      <c r="AB93" s="149"/>
      <c r="AC93" s="150"/>
    </row>
    <row r="94" spans="1:29" ht="13.8" x14ac:dyDescent="0.25">
      <c r="A94" s="31" t="str">
        <f>IFERROR(INDEX('G-8 Condition Look up'!$I$4:$I$130,MATCH(F94,'G-8 Condition Look up'!$A$4:$A$130,0)),"")</f>
        <v/>
      </c>
      <c r="C94" s="244" t="str">
        <f>IFERROR(INDEX('G-1 All Habitats'!$AG$3:$AG$15,MATCH(D94,'G-1 All Habitats'!$AF$3:$AF$15,0)),"")</f>
        <v/>
      </c>
      <c r="D94" s="154"/>
      <c r="E94" s="203"/>
      <c r="F94" s="243" t="str">
        <f>IFERROR(INDEX('G-1 All Habitats'!$B$3:$B$129,MATCH(E94,'G-1 All Habitats'!$A$3:$A$129,0)),"")</f>
        <v/>
      </c>
      <c r="G94" s="386"/>
      <c r="H94" s="537" t="str">
        <f>IF(F94="","",VLOOKUP(F94,'G-1 All Habitats'!$B$2:$M$129,10,FALSE))</f>
        <v/>
      </c>
      <c r="I94" s="524" t="str">
        <f>IFERROR(VLOOKUP(H94,'G-1 All Habitats'!$V$3:$W$7,2,FALSE),"")</f>
        <v/>
      </c>
      <c r="J94" s="199"/>
      <c r="K94" s="524" t="str">
        <f>IFERROR(INDEX('G-8 Condition Look up'!$A$3:$H$130,MATCH(F94,'G-8 Condition Look up'!$A$3:$A$130,0),MATCH(J94,'G-8 Condition Look up'!$A$3:$H$3,0)),"")</f>
        <v/>
      </c>
      <c r="L94" s="145"/>
      <c r="M94" s="540" t="str">
        <f>IF(L94="","",IF(VLOOKUP(L94,'G-3 Multipliers'!$L$3:$N$6,2,FALSE)=0,"Spatial Data Missing ⚠",VLOOKUP(L94,'G-3 Multipliers'!$L$3:$N$6,2,FALSE)))</f>
        <v/>
      </c>
      <c r="N94" s="499" t="str">
        <f>IF(L94="","",IF(VLOOKUP(L94,'G-3 Multipliers'!$L$3:$N$6,3,FALSE)=0,"Spatial Data Missing ⚠",VLOOKUP(L94,'G-3 Multipliers'!$L$3:$N$6,3,FALSE)))</f>
        <v/>
      </c>
      <c r="O94" s="498" t="str">
        <f t="shared" si="5"/>
        <v/>
      </c>
      <c r="P94" s="195"/>
      <c r="Q94" s="195"/>
      <c r="R94" s="520" t="str">
        <f t="shared" si="6"/>
        <v/>
      </c>
      <c r="S94" s="544" t="str">
        <f t="shared" si="7"/>
        <v/>
      </c>
      <c r="T94" s="525" t="str">
        <f>IFERROR(IF(S94="Check Data ⚠","Check Data ⚠",VLOOKUP(S94,'G-4 Temporal multipliers'!$A$4:$C$37,3,FALSE)),"")</f>
        <v/>
      </c>
      <c r="U94" s="523" t="str">
        <f>IF(F94="","",VLOOKUP(F94,'G-3 Multipliers'!$A$2:$E$129,2,FALSE))</f>
        <v/>
      </c>
      <c r="V94" s="520" t="str">
        <f t="shared" si="9"/>
        <v/>
      </c>
      <c r="W94" s="520" t="str">
        <f>IF(E94="","",IF(AND(V94="Standard difficulty applied",O94&gt;P94),U94,IF(AND(V94="Low Difficulty - only applicable if all habitat created before losses ⚠",P94&gt;=O94),"Low",VLOOKUP(F94,'G-3 Multipliers'!$A$2:$E$129,4,FALSE))))</f>
        <v/>
      </c>
      <c r="X94" s="524" t="str">
        <f>IFERROR(IF(E94="","",VLOOKUP(W94, 'G-3 Multipliers'!$P$2:$Q$6,2,FALSE)),"")</f>
        <v/>
      </c>
      <c r="Y94" s="197"/>
      <c r="Z94" s="499" t="str">
        <f>IF(Y94="","",IF(VLOOKUP(Y94,'G-3 Multipliers'!$S$3:$T$9,2,FALSE)=0,"Spatial Data Missing ⚠",VLOOKUP(Y94,'G-3 Multipliers'!$S$3:$T$9,2,FALSE)))</f>
        <v/>
      </c>
      <c r="AA94" s="545" t="str">
        <f t="shared" si="8"/>
        <v/>
      </c>
      <c r="AB94" s="149"/>
      <c r="AC94" s="150"/>
    </row>
    <row r="95" spans="1:29" ht="13.8" x14ac:dyDescent="0.25">
      <c r="A95" s="31" t="str">
        <f>IFERROR(INDEX('G-8 Condition Look up'!$I$4:$I$130,MATCH(F95,'G-8 Condition Look up'!$A$4:$A$130,0)),"")</f>
        <v/>
      </c>
      <c r="C95" s="244" t="str">
        <f>IFERROR(INDEX('G-1 All Habitats'!$AG$3:$AG$15,MATCH(D95,'G-1 All Habitats'!$AF$3:$AF$15,0)),"")</f>
        <v/>
      </c>
      <c r="D95" s="154"/>
      <c r="E95" s="203"/>
      <c r="F95" s="243" t="str">
        <f>IFERROR(INDEX('G-1 All Habitats'!$B$3:$B$129,MATCH(E95,'G-1 All Habitats'!$A$3:$A$129,0)),"")</f>
        <v/>
      </c>
      <c r="G95" s="386"/>
      <c r="H95" s="537" t="str">
        <f>IF(F95="","",VLOOKUP(F95,'G-1 All Habitats'!$B$2:$M$129,10,FALSE))</f>
        <v/>
      </c>
      <c r="I95" s="524" t="str">
        <f>IFERROR(VLOOKUP(H95,'G-1 All Habitats'!$V$3:$W$7,2,FALSE),"")</f>
        <v/>
      </c>
      <c r="J95" s="199"/>
      <c r="K95" s="524" t="str">
        <f>IFERROR(INDEX('G-8 Condition Look up'!$A$3:$H$130,MATCH(F95,'G-8 Condition Look up'!$A$3:$A$130,0),MATCH(J95,'G-8 Condition Look up'!$A$3:$H$3,0)),"")</f>
        <v/>
      </c>
      <c r="L95" s="145"/>
      <c r="M95" s="540" t="str">
        <f>IF(L95="","",IF(VLOOKUP(L95,'G-3 Multipliers'!$L$3:$N$6,2,FALSE)=0,"Spatial Data Missing ⚠",VLOOKUP(L95,'G-3 Multipliers'!$L$3:$N$6,2,FALSE)))</f>
        <v/>
      </c>
      <c r="N95" s="499" t="str">
        <f>IF(L95="","",IF(VLOOKUP(L95,'G-3 Multipliers'!$L$3:$N$6,3,FALSE)=0,"Spatial Data Missing ⚠",VLOOKUP(L95,'G-3 Multipliers'!$L$3:$N$6,3,FALSE)))</f>
        <v/>
      </c>
      <c r="O95" s="498" t="str">
        <f t="shared" si="5"/>
        <v/>
      </c>
      <c r="P95" s="195"/>
      <c r="Q95" s="195"/>
      <c r="R95" s="520" t="str">
        <f t="shared" si="6"/>
        <v/>
      </c>
      <c r="S95" s="544" t="str">
        <f t="shared" si="7"/>
        <v/>
      </c>
      <c r="T95" s="525" t="str">
        <f>IFERROR(IF(S95="Check Data ⚠","Check Data ⚠",VLOOKUP(S95,'G-4 Temporal multipliers'!$A$4:$C$37,3,FALSE)),"")</f>
        <v/>
      </c>
      <c r="U95" s="523" t="str">
        <f>IF(F95="","",VLOOKUP(F95,'G-3 Multipliers'!$A$2:$E$129,2,FALSE))</f>
        <v/>
      </c>
      <c r="V95" s="520" t="str">
        <f t="shared" si="9"/>
        <v/>
      </c>
      <c r="W95" s="520" t="str">
        <f>IF(E95="","",IF(AND(V95="Standard difficulty applied",O95&gt;P95),U95,IF(AND(V95="Low Difficulty - only applicable if all habitat created before losses ⚠",P95&gt;=O95),"Low",VLOOKUP(F95,'G-3 Multipliers'!$A$2:$E$129,4,FALSE))))</f>
        <v/>
      </c>
      <c r="X95" s="524" t="str">
        <f>IFERROR(IF(E95="","",VLOOKUP(W95, 'G-3 Multipliers'!$P$2:$Q$6,2,FALSE)),"")</f>
        <v/>
      </c>
      <c r="Y95" s="197"/>
      <c r="Z95" s="499" t="str">
        <f>IF(Y95="","",IF(VLOOKUP(Y95,'G-3 Multipliers'!$S$3:$T$9,2,FALSE)=0,"Spatial Data Missing ⚠",VLOOKUP(Y95,'G-3 Multipliers'!$S$3:$T$9,2,FALSE)))</f>
        <v/>
      </c>
      <c r="AA95" s="545" t="str">
        <f t="shared" si="8"/>
        <v/>
      </c>
      <c r="AB95" s="149"/>
      <c r="AC95" s="150"/>
    </row>
    <row r="96" spans="1:29" ht="13.8" x14ac:dyDescent="0.25">
      <c r="A96" s="31" t="str">
        <f>IFERROR(INDEX('G-8 Condition Look up'!$I$4:$I$130,MATCH(F96,'G-8 Condition Look up'!$A$4:$A$130,0)),"")</f>
        <v/>
      </c>
      <c r="C96" s="244" t="str">
        <f>IFERROR(INDEX('G-1 All Habitats'!$AG$3:$AG$15,MATCH(D96,'G-1 All Habitats'!$AF$3:$AF$15,0)),"")</f>
        <v/>
      </c>
      <c r="D96" s="154"/>
      <c r="E96" s="203"/>
      <c r="F96" s="243" t="str">
        <f>IFERROR(INDEX('G-1 All Habitats'!$B$3:$B$129,MATCH(E96,'G-1 All Habitats'!$A$3:$A$129,0)),"")</f>
        <v/>
      </c>
      <c r="G96" s="386"/>
      <c r="H96" s="537" t="str">
        <f>IF(F96="","",VLOOKUP(F96,'G-1 All Habitats'!$B$2:$M$129,10,FALSE))</f>
        <v/>
      </c>
      <c r="I96" s="524" t="str">
        <f>IFERROR(VLOOKUP(H96,'G-1 All Habitats'!$V$3:$W$7,2,FALSE),"")</f>
        <v/>
      </c>
      <c r="J96" s="199"/>
      <c r="K96" s="524" t="str">
        <f>IFERROR(INDEX('G-8 Condition Look up'!$A$3:$H$130,MATCH(F96,'G-8 Condition Look up'!$A$3:$A$130,0),MATCH(J96,'G-8 Condition Look up'!$A$3:$H$3,0)),"")</f>
        <v/>
      </c>
      <c r="L96" s="145"/>
      <c r="M96" s="540" t="str">
        <f>IF(L96="","",IF(VLOOKUP(L96,'G-3 Multipliers'!$L$3:$N$6,2,FALSE)=0,"Spatial Data Missing ⚠",VLOOKUP(L96,'G-3 Multipliers'!$L$3:$N$6,2,FALSE)))</f>
        <v/>
      </c>
      <c r="N96" s="499" t="str">
        <f>IF(L96="","",IF(VLOOKUP(L96,'G-3 Multipliers'!$L$3:$N$6,3,FALSE)=0,"Spatial Data Missing ⚠",VLOOKUP(L96,'G-3 Multipliers'!$L$3:$N$6,3,FALSE)))</f>
        <v/>
      </c>
      <c r="O96" s="498" t="str">
        <f t="shared" si="5"/>
        <v/>
      </c>
      <c r="P96" s="195"/>
      <c r="Q96" s="195"/>
      <c r="R96" s="520" t="str">
        <f t="shared" si="6"/>
        <v/>
      </c>
      <c r="S96" s="544" t="str">
        <f t="shared" si="7"/>
        <v/>
      </c>
      <c r="T96" s="525" t="str">
        <f>IFERROR(IF(S96="Check Data ⚠","Check Data ⚠",VLOOKUP(S96,'G-4 Temporal multipliers'!$A$4:$C$37,3,FALSE)),"")</f>
        <v/>
      </c>
      <c r="U96" s="523" t="str">
        <f>IF(F96="","",VLOOKUP(F96,'G-3 Multipliers'!$A$2:$E$129,2,FALSE))</f>
        <v/>
      </c>
      <c r="V96" s="520" t="str">
        <f t="shared" si="9"/>
        <v/>
      </c>
      <c r="W96" s="520" t="str">
        <f>IF(E96="","",IF(AND(V96="Standard difficulty applied",O96&gt;P96),U96,IF(AND(V96="Low Difficulty - only applicable if all habitat created before losses ⚠",P96&gt;=O96),"Low",VLOOKUP(F96,'G-3 Multipliers'!$A$2:$E$129,4,FALSE))))</f>
        <v/>
      </c>
      <c r="X96" s="524" t="str">
        <f>IFERROR(IF(E96="","",VLOOKUP(W96, 'G-3 Multipliers'!$P$2:$Q$6,2,FALSE)),"")</f>
        <v/>
      </c>
      <c r="Y96" s="197"/>
      <c r="Z96" s="499" t="str">
        <f>IF(Y96="","",IF(VLOOKUP(Y96,'G-3 Multipliers'!$S$3:$T$9,2,FALSE)=0,"Spatial Data Missing ⚠",VLOOKUP(Y96,'G-3 Multipliers'!$S$3:$T$9,2,FALSE)))</f>
        <v/>
      </c>
      <c r="AA96" s="545" t="str">
        <f t="shared" si="8"/>
        <v/>
      </c>
      <c r="AB96" s="149"/>
      <c r="AC96" s="150"/>
    </row>
    <row r="97" spans="1:29" ht="13.8" x14ac:dyDescent="0.25">
      <c r="A97" s="31" t="str">
        <f>IFERROR(INDEX('G-8 Condition Look up'!$I$4:$I$130,MATCH(F97,'G-8 Condition Look up'!$A$4:$A$130,0)),"")</f>
        <v/>
      </c>
      <c r="C97" s="244" t="str">
        <f>IFERROR(INDEX('G-1 All Habitats'!$AG$3:$AG$15,MATCH(D97,'G-1 All Habitats'!$AF$3:$AF$15,0)),"")</f>
        <v/>
      </c>
      <c r="D97" s="154"/>
      <c r="E97" s="203"/>
      <c r="F97" s="243" t="str">
        <f>IFERROR(INDEX('G-1 All Habitats'!$B$3:$B$129,MATCH(E97,'G-1 All Habitats'!$A$3:$A$129,0)),"")</f>
        <v/>
      </c>
      <c r="G97" s="386"/>
      <c r="H97" s="537" t="str">
        <f>IF(F97="","",VLOOKUP(F97,'G-1 All Habitats'!$B$2:$M$129,10,FALSE))</f>
        <v/>
      </c>
      <c r="I97" s="524" t="str">
        <f>IFERROR(VLOOKUP(H97,'G-1 All Habitats'!$V$3:$W$7,2,FALSE),"")</f>
        <v/>
      </c>
      <c r="J97" s="199"/>
      <c r="K97" s="524" t="str">
        <f>IFERROR(INDEX('G-8 Condition Look up'!$A$3:$H$130,MATCH(F97,'G-8 Condition Look up'!$A$3:$A$130,0),MATCH(J97,'G-8 Condition Look up'!$A$3:$H$3,0)),"")</f>
        <v/>
      </c>
      <c r="L97" s="145"/>
      <c r="M97" s="540" t="str">
        <f>IF(L97="","",IF(VLOOKUP(L97,'G-3 Multipliers'!$L$3:$N$6,2,FALSE)=0,"Spatial Data Missing ⚠",VLOOKUP(L97,'G-3 Multipliers'!$L$3:$N$6,2,FALSE)))</f>
        <v/>
      </c>
      <c r="N97" s="499" t="str">
        <f>IF(L97="","",IF(VLOOKUP(L97,'G-3 Multipliers'!$L$3:$N$6,3,FALSE)=0,"Spatial Data Missing ⚠",VLOOKUP(L97,'G-3 Multipliers'!$L$3:$N$6,3,FALSE)))</f>
        <v/>
      </c>
      <c r="O97" s="498" t="str">
        <f t="shared" si="5"/>
        <v/>
      </c>
      <c r="P97" s="195"/>
      <c r="Q97" s="195"/>
      <c r="R97" s="520" t="str">
        <f t="shared" si="6"/>
        <v/>
      </c>
      <c r="S97" s="544" t="str">
        <f t="shared" si="7"/>
        <v/>
      </c>
      <c r="T97" s="525" t="str">
        <f>IFERROR(IF(S97="Check Data ⚠","Check Data ⚠",VLOOKUP(S97,'G-4 Temporal multipliers'!$A$4:$C$37,3,FALSE)),"")</f>
        <v/>
      </c>
      <c r="U97" s="523" t="str">
        <f>IF(F97="","",VLOOKUP(F97,'G-3 Multipliers'!$A$2:$E$129,2,FALSE))</f>
        <v/>
      </c>
      <c r="V97" s="520" t="str">
        <f t="shared" si="9"/>
        <v/>
      </c>
      <c r="W97" s="520" t="str">
        <f>IF(E97="","",IF(AND(V97="Standard difficulty applied",O97&gt;P97),U97,IF(AND(V97="Low Difficulty - only applicable if all habitat created before losses ⚠",P97&gt;=O97),"Low",VLOOKUP(F97,'G-3 Multipliers'!$A$2:$E$129,4,FALSE))))</f>
        <v/>
      </c>
      <c r="X97" s="524" t="str">
        <f>IFERROR(IF(E97="","",VLOOKUP(W97, 'G-3 Multipliers'!$P$2:$Q$6,2,FALSE)),"")</f>
        <v/>
      </c>
      <c r="Y97" s="197"/>
      <c r="Z97" s="499" t="str">
        <f>IF(Y97="","",IF(VLOOKUP(Y97,'G-3 Multipliers'!$S$3:$T$9,2,FALSE)=0,"Spatial Data Missing ⚠",VLOOKUP(Y97,'G-3 Multipliers'!$S$3:$T$9,2,FALSE)))</f>
        <v/>
      </c>
      <c r="AA97" s="545" t="str">
        <f t="shared" si="8"/>
        <v/>
      </c>
      <c r="AB97" s="149"/>
      <c r="AC97" s="150"/>
    </row>
    <row r="98" spans="1:29" ht="13.8" x14ac:dyDescent="0.25">
      <c r="A98" s="31" t="str">
        <f>IFERROR(INDEX('G-8 Condition Look up'!$I$4:$I$130,MATCH(F98,'G-8 Condition Look up'!$A$4:$A$130,0)),"")</f>
        <v/>
      </c>
      <c r="C98" s="244" t="str">
        <f>IFERROR(INDEX('G-1 All Habitats'!$AG$3:$AG$15,MATCH(D98,'G-1 All Habitats'!$AF$3:$AF$15,0)),"")</f>
        <v/>
      </c>
      <c r="D98" s="154"/>
      <c r="E98" s="203"/>
      <c r="F98" s="243" t="str">
        <f>IFERROR(INDEX('G-1 All Habitats'!$B$3:$B$129,MATCH(E98,'G-1 All Habitats'!$A$3:$A$129,0)),"")</f>
        <v/>
      </c>
      <c r="G98" s="386"/>
      <c r="H98" s="537" t="str">
        <f>IF(F98="","",VLOOKUP(F98,'G-1 All Habitats'!$B$2:$M$129,10,FALSE))</f>
        <v/>
      </c>
      <c r="I98" s="524" t="str">
        <f>IFERROR(VLOOKUP(H98,'G-1 All Habitats'!$V$3:$W$7,2,FALSE),"")</f>
        <v/>
      </c>
      <c r="J98" s="199"/>
      <c r="K98" s="524" t="str">
        <f>IFERROR(INDEX('G-8 Condition Look up'!$A$3:$H$130,MATCH(F98,'G-8 Condition Look up'!$A$3:$A$130,0),MATCH(J98,'G-8 Condition Look up'!$A$3:$H$3,0)),"")</f>
        <v/>
      </c>
      <c r="L98" s="145"/>
      <c r="M98" s="540" t="str">
        <f>IF(L98="","",IF(VLOOKUP(L98,'G-3 Multipliers'!$L$3:$N$6,2,FALSE)=0,"Spatial Data Missing ⚠",VLOOKUP(L98,'G-3 Multipliers'!$L$3:$N$6,2,FALSE)))</f>
        <v/>
      </c>
      <c r="N98" s="499" t="str">
        <f>IF(L98="","",IF(VLOOKUP(L98,'G-3 Multipliers'!$L$3:$N$6,3,FALSE)=0,"Spatial Data Missing ⚠",VLOOKUP(L98,'G-3 Multipliers'!$L$3:$N$6,3,FALSE)))</f>
        <v/>
      </c>
      <c r="O98" s="498" t="str">
        <f t="shared" si="5"/>
        <v/>
      </c>
      <c r="P98" s="195"/>
      <c r="Q98" s="195"/>
      <c r="R98" s="520" t="str">
        <f t="shared" si="6"/>
        <v/>
      </c>
      <c r="S98" s="544" t="str">
        <f t="shared" si="7"/>
        <v/>
      </c>
      <c r="T98" s="525" t="str">
        <f>IFERROR(IF(S98="Check Data ⚠","Check Data ⚠",VLOOKUP(S98,'G-4 Temporal multipliers'!$A$4:$C$37,3,FALSE)),"")</f>
        <v/>
      </c>
      <c r="U98" s="523" t="str">
        <f>IF(F98="","",VLOOKUP(F98,'G-3 Multipliers'!$A$2:$E$129,2,FALSE))</f>
        <v/>
      </c>
      <c r="V98" s="520" t="str">
        <f t="shared" si="9"/>
        <v/>
      </c>
      <c r="W98" s="520" t="str">
        <f>IF(E98="","",IF(AND(V98="Standard difficulty applied",O98&gt;P98),U98,IF(AND(V98="Low Difficulty - only applicable if all habitat created before losses ⚠",P98&gt;=O98),"Low",VLOOKUP(F98,'G-3 Multipliers'!$A$2:$E$129,4,FALSE))))</f>
        <v/>
      </c>
      <c r="X98" s="524" t="str">
        <f>IFERROR(IF(E98="","",VLOOKUP(W98, 'G-3 Multipliers'!$P$2:$Q$6,2,FALSE)),"")</f>
        <v/>
      </c>
      <c r="Y98" s="197"/>
      <c r="Z98" s="499" t="str">
        <f>IF(Y98="","",IF(VLOOKUP(Y98,'G-3 Multipliers'!$S$3:$T$9,2,FALSE)=0,"Spatial Data Missing ⚠",VLOOKUP(Y98,'G-3 Multipliers'!$S$3:$T$9,2,FALSE)))</f>
        <v/>
      </c>
      <c r="AA98" s="545" t="str">
        <f t="shared" si="8"/>
        <v/>
      </c>
      <c r="AB98" s="149"/>
      <c r="AC98" s="150"/>
    </row>
    <row r="99" spans="1:29" ht="13.8" x14ac:dyDescent="0.25">
      <c r="A99" s="31" t="str">
        <f>IFERROR(INDEX('G-8 Condition Look up'!$I$4:$I$130,MATCH(F99,'G-8 Condition Look up'!$A$4:$A$130,0)),"")</f>
        <v/>
      </c>
      <c r="C99" s="244" t="str">
        <f>IFERROR(INDEX('G-1 All Habitats'!$AG$3:$AG$15,MATCH(D99,'G-1 All Habitats'!$AF$3:$AF$15,0)),"")</f>
        <v/>
      </c>
      <c r="D99" s="154"/>
      <c r="E99" s="203"/>
      <c r="F99" s="243" t="str">
        <f>IFERROR(INDEX('G-1 All Habitats'!$B$3:$B$129,MATCH(E99,'G-1 All Habitats'!$A$3:$A$129,0)),"")</f>
        <v/>
      </c>
      <c r="G99" s="386"/>
      <c r="H99" s="537" t="str">
        <f>IF(F99="","",VLOOKUP(F99,'G-1 All Habitats'!$B$2:$M$129,10,FALSE))</f>
        <v/>
      </c>
      <c r="I99" s="524" t="str">
        <f>IFERROR(VLOOKUP(H99,'G-1 All Habitats'!$V$3:$W$7,2,FALSE),"")</f>
        <v/>
      </c>
      <c r="J99" s="199"/>
      <c r="K99" s="524" t="str">
        <f>IFERROR(INDEX('G-8 Condition Look up'!$A$3:$H$130,MATCH(F99,'G-8 Condition Look up'!$A$3:$A$130,0),MATCH(J99,'G-8 Condition Look up'!$A$3:$H$3,0)),"")</f>
        <v/>
      </c>
      <c r="L99" s="145"/>
      <c r="M99" s="540" t="str">
        <f>IF(L99="","",IF(VLOOKUP(L99,'G-3 Multipliers'!$L$3:$N$6,2,FALSE)=0,"Spatial Data Missing ⚠",VLOOKUP(L99,'G-3 Multipliers'!$L$3:$N$6,2,FALSE)))</f>
        <v/>
      </c>
      <c r="N99" s="499" t="str">
        <f>IF(L99="","",IF(VLOOKUP(L99,'G-3 Multipliers'!$L$3:$N$6,3,FALSE)=0,"Spatial Data Missing ⚠",VLOOKUP(L99,'G-3 Multipliers'!$L$3:$N$6,3,FALSE)))</f>
        <v/>
      </c>
      <c r="O99" s="498" t="str">
        <f t="shared" si="5"/>
        <v/>
      </c>
      <c r="P99" s="195"/>
      <c r="Q99" s="195"/>
      <c r="R99" s="520" t="str">
        <f t="shared" si="6"/>
        <v/>
      </c>
      <c r="S99" s="544" t="str">
        <f t="shared" si="7"/>
        <v/>
      </c>
      <c r="T99" s="525" t="str">
        <f>IFERROR(IF(S99="Check Data ⚠","Check Data ⚠",VLOOKUP(S99,'G-4 Temporal multipliers'!$A$4:$C$37,3,FALSE)),"")</f>
        <v/>
      </c>
      <c r="U99" s="523" t="str">
        <f>IF(F99="","",VLOOKUP(F99,'G-3 Multipliers'!$A$2:$E$129,2,FALSE))</f>
        <v/>
      </c>
      <c r="V99" s="520" t="str">
        <f t="shared" si="9"/>
        <v/>
      </c>
      <c r="W99" s="520" t="str">
        <f>IF(E99="","",IF(AND(V99="Standard difficulty applied",O99&gt;P99),U99,IF(AND(V99="Low Difficulty - only applicable if all habitat created before losses ⚠",P99&gt;=O99),"Low",VLOOKUP(F99,'G-3 Multipliers'!$A$2:$E$129,4,FALSE))))</f>
        <v/>
      </c>
      <c r="X99" s="524" t="str">
        <f>IFERROR(IF(E99="","",VLOOKUP(W99, 'G-3 Multipliers'!$P$2:$Q$6,2,FALSE)),"")</f>
        <v/>
      </c>
      <c r="Y99" s="197"/>
      <c r="Z99" s="499" t="str">
        <f>IF(Y99="","",IF(VLOOKUP(Y99,'G-3 Multipliers'!$S$3:$T$9,2,FALSE)=0,"Spatial Data Missing ⚠",VLOOKUP(Y99,'G-3 Multipliers'!$S$3:$T$9,2,FALSE)))</f>
        <v/>
      </c>
      <c r="AA99" s="545" t="str">
        <f t="shared" si="8"/>
        <v/>
      </c>
      <c r="AB99" s="149"/>
      <c r="AC99" s="150"/>
    </row>
    <row r="100" spans="1:29" ht="13.8" x14ac:dyDescent="0.25">
      <c r="A100" s="31" t="str">
        <f>IFERROR(INDEX('G-8 Condition Look up'!$I$4:$I$130,MATCH(F100,'G-8 Condition Look up'!$A$4:$A$130,0)),"")</f>
        <v/>
      </c>
      <c r="C100" s="244" t="str">
        <f>IFERROR(INDEX('G-1 All Habitats'!$AG$3:$AG$15,MATCH(D100,'G-1 All Habitats'!$AF$3:$AF$15,0)),"")</f>
        <v/>
      </c>
      <c r="D100" s="154"/>
      <c r="E100" s="203"/>
      <c r="F100" s="243" t="str">
        <f>IFERROR(INDEX('G-1 All Habitats'!$B$3:$B$129,MATCH(E100,'G-1 All Habitats'!$A$3:$A$129,0)),"")</f>
        <v/>
      </c>
      <c r="G100" s="386"/>
      <c r="H100" s="537" t="str">
        <f>IF(F100="","",VLOOKUP(F100,'G-1 All Habitats'!$B$2:$M$129,10,FALSE))</f>
        <v/>
      </c>
      <c r="I100" s="524" t="str">
        <f>IFERROR(VLOOKUP(H100,'G-1 All Habitats'!$V$3:$W$7,2,FALSE),"")</f>
        <v/>
      </c>
      <c r="J100" s="199"/>
      <c r="K100" s="524" t="str">
        <f>IFERROR(INDEX('G-8 Condition Look up'!$A$3:$H$130,MATCH(F100,'G-8 Condition Look up'!$A$3:$A$130,0),MATCH(J100,'G-8 Condition Look up'!$A$3:$H$3,0)),"")</f>
        <v/>
      </c>
      <c r="L100" s="145"/>
      <c r="M100" s="540" t="str">
        <f>IF(L100="","",IF(VLOOKUP(L100,'G-3 Multipliers'!$L$3:$N$6,2,FALSE)=0,"Spatial Data Missing ⚠",VLOOKUP(L100,'G-3 Multipliers'!$L$3:$N$6,2,FALSE)))</f>
        <v/>
      </c>
      <c r="N100" s="499" t="str">
        <f>IF(L100="","",IF(VLOOKUP(L100,'G-3 Multipliers'!$L$3:$N$6,3,FALSE)=0,"Spatial Data Missing ⚠",VLOOKUP(L100,'G-3 Multipliers'!$L$3:$N$6,3,FALSE)))</f>
        <v/>
      </c>
      <c r="O100" s="498" t="str">
        <f t="shared" si="5"/>
        <v/>
      </c>
      <c r="P100" s="195"/>
      <c r="Q100" s="195"/>
      <c r="R100" s="520" t="str">
        <f t="shared" si="6"/>
        <v/>
      </c>
      <c r="S100" s="544" t="str">
        <f t="shared" si="7"/>
        <v/>
      </c>
      <c r="T100" s="525" t="str">
        <f>IFERROR(IF(S100="Check Data ⚠","Check Data ⚠",VLOOKUP(S100,'G-4 Temporal multipliers'!$A$4:$C$37,3,FALSE)),"")</f>
        <v/>
      </c>
      <c r="U100" s="523" t="str">
        <f>IF(F100="","",VLOOKUP(F100,'G-3 Multipliers'!$A$2:$E$129,2,FALSE))</f>
        <v/>
      </c>
      <c r="V100" s="520" t="str">
        <f t="shared" si="9"/>
        <v/>
      </c>
      <c r="W100" s="520" t="str">
        <f>IF(E100="","",IF(AND(V100="Standard difficulty applied",O100&gt;P100),U100,IF(AND(V100="Low Difficulty - only applicable if all habitat created before losses ⚠",P100&gt;=O100),"Low",VLOOKUP(F100,'G-3 Multipliers'!$A$2:$E$129,4,FALSE))))</f>
        <v/>
      </c>
      <c r="X100" s="524" t="str">
        <f>IFERROR(IF(E100="","",VLOOKUP(W100, 'G-3 Multipliers'!$P$2:$Q$6,2,FALSE)),"")</f>
        <v/>
      </c>
      <c r="Y100" s="197"/>
      <c r="Z100" s="499" t="str">
        <f>IF(Y100="","",IF(VLOOKUP(Y100,'G-3 Multipliers'!$S$3:$T$9,2,FALSE)=0,"Spatial Data Missing ⚠",VLOOKUP(Y100,'G-3 Multipliers'!$S$3:$T$9,2,FALSE)))</f>
        <v/>
      </c>
      <c r="AA100" s="545" t="str">
        <f t="shared" si="8"/>
        <v/>
      </c>
      <c r="AB100" s="149"/>
      <c r="AC100" s="150"/>
    </row>
    <row r="101" spans="1:29" ht="13.8" x14ac:dyDescent="0.25">
      <c r="A101" s="31" t="str">
        <f>IFERROR(INDEX('G-8 Condition Look up'!$I$4:$I$130,MATCH(F101,'G-8 Condition Look up'!$A$4:$A$130,0)),"")</f>
        <v/>
      </c>
      <c r="C101" s="244" t="str">
        <f>IFERROR(INDEX('G-1 All Habitats'!$AG$3:$AG$15,MATCH(D101,'G-1 All Habitats'!$AF$3:$AF$15,0)),"")</f>
        <v/>
      </c>
      <c r="D101" s="154"/>
      <c r="E101" s="203"/>
      <c r="F101" s="243" t="str">
        <f>IFERROR(INDEX('G-1 All Habitats'!$B$3:$B$129,MATCH(E101,'G-1 All Habitats'!$A$3:$A$129,0)),"")</f>
        <v/>
      </c>
      <c r="G101" s="386"/>
      <c r="H101" s="537" t="str">
        <f>IF(F101="","",VLOOKUP(F101,'G-1 All Habitats'!$B$2:$M$129,10,FALSE))</f>
        <v/>
      </c>
      <c r="I101" s="524" t="str">
        <f>IFERROR(VLOOKUP(H101,'G-1 All Habitats'!$V$3:$W$7,2,FALSE),"")</f>
        <v/>
      </c>
      <c r="J101" s="199"/>
      <c r="K101" s="524" t="str">
        <f>IFERROR(INDEX('G-8 Condition Look up'!$A$3:$H$130,MATCH(F101,'G-8 Condition Look up'!$A$3:$A$130,0),MATCH(J101,'G-8 Condition Look up'!$A$3:$H$3,0)),"")</f>
        <v/>
      </c>
      <c r="L101" s="145"/>
      <c r="M101" s="540" t="str">
        <f>IF(L101="","",IF(VLOOKUP(L101,'G-3 Multipliers'!$L$3:$N$6,2,FALSE)=0,"Spatial Data Missing ⚠",VLOOKUP(L101,'G-3 Multipliers'!$L$3:$N$6,2,FALSE)))</f>
        <v/>
      </c>
      <c r="N101" s="499" t="str">
        <f>IF(L101="","",IF(VLOOKUP(L101,'G-3 Multipliers'!$L$3:$N$6,3,FALSE)=0,"Spatial Data Missing ⚠",VLOOKUP(L101,'G-3 Multipliers'!$L$3:$N$6,3,FALSE)))</f>
        <v/>
      </c>
      <c r="O101" s="498" t="str">
        <f t="shared" si="5"/>
        <v/>
      </c>
      <c r="P101" s="195"/>
      <c r="Q101" s="195"/>
      <c r="R101" s="520" t="str">
        <f t="shared" si="6"/>
        <v/>
      </c>
      <c r="S101" s="544" t="str">
        <f t="shared" si="7"/>
        <v/>
      </c>
      <c r="T101" s="525" t="str">
        <f>IFERROR(IF(S101="Check Data ⚠","Check Data ⚠",VLOOKUP(S101,'G-4 Temporal multipliers'!$A$4:$C$37,3,FALSE)),"")</f>
        <v/>
      </c>
      <c r="U101" s="523" t="str">
        <f>IF(F101="","",VLOOKUP(F101,'G-3 Multipliers'!$A$2:$E$129,2,FALSE))</f>
        <v/>
      </c>
      <c r="V101" s="520" t="str">
        <f t="shared" si="9"/>
        <v/>
      </c>
      <c r="W101" s="520" t="str">
        <f>IF(E101="","",IF(AND(V101="Standard difficulty applied",O101&gt;P101),U101,IF(AND(V101="Low Difficulty - only applicable if all habitat created before losses ⚠",P101&gt;=O101),"Low",VLOOKUP(F101,'G-3 Multipliers'!$A$2:$E$129,4,FALSE))))</f>
        <v/>
      </c>
      <c r="X101" s="524" t="str">
        <f>IFERROR(IF(E101="","",VLOOKUP(W101, 'G-3 Multipliers'!$P$2:$Q$6,2,FALSE)),"")</f>
        <v/>
      </c>
      <c r="Y101" s="197"/>
      <c r="Z101" s="499" t="str">
        <f>IF(Y101="","",IF(VLOOKUP(Y101,'G-3 Multipliers'!$S$3:$T$9,2,FALSE)=0,"Spatial Data Missing ⚠",VLOOKUP(Y101,'G-3 Multipliers'!$S$3:$T$9,2,FALSE)))</f>
        <v/>
      </c>
      <c r="AA101" s="545" t="str">
        <f t="shared" si="8"/>
        <v/>
      </c>
      <c r="AB101" s="149"/>
      <c r="AC101" s="150"/>
    </row>
    <row r="102" spans="1:29" ht="13.8" x14ac:dyDescent="0.25">
      <c r="A102" s="31" t="str">
        <f>IFERROR(INDEX('G-8 Condition Look up'!$I$4:$I$130,MATCH(F102,'G-8 Condition Look up'!$A$4:$A$130,0)),"")</f>
        <v/>
      </c>
      <c r="C102" s="244" t="str">
        <f>IFERROR(INDEX('G-1 All Habitats'!$AG$3:$AG$15,MATCH(D102,'G-1 All Habitats'!$AF$3:$AF$15,0)),"")</f>
        <v/>
      </c>
      <c r="D102" s="154"/>
      <c r="E102" s="203"/>
      <c r="F102" s="243" t="str">
        <f>IFERROR(INDEX('G-1 All Habitats'!$B$3:$B$129,MATCH(E102,'G-1 All Habitats'!$A$3:$A$129,0)),"")</f>
        <v/>
      </c>
      <c r="G102" s="386"/>
      <c r="H102" s="537" t="str">
        <f>IF(F102="","",VLOOKUP(F102,'G-1 All Habitats'!$B$2:$M$129,10,FALSE))</f>
        <v/>
      </c>
      <c r="I102" s="524" t="str">
        <f>IFERROR(VLOOKUP(H102,'G-1 All Habitats'!$V$3:$W$7,2,FALSE),"")</f>
        <v/>
      </c>
      <c r="J102" s="199"/>
      <c r="K102" s="524" t="str">
        <f>IFERROR(INDEX('G-8 Condition Look up'!$A$3:$H$130,MATCH(F102,'G-8 Condition Look up'!$A$3:$A$130,0),MATCH(J102,'G-8 Condition Look up'!$A$3:$H$3,0)),"")</f>
        <v/>
      </c>
      <c r="L102" s="145"/>
      <c r="M102" s="540" t="str">
        <f>IF(L102="","",IF(VLOOKUP(L102,'G-3 Multipliers'!$L$3:$N$6,2,FALSE)=0,"Spatial Data Missing ⚠",VLOOKUP(L102,'G-3 Multipliers'!$L$3:$N$6,2,FALSE)))</f>
        <v/>
      </c>
      <c r="N102" s="499" t="str">
        <f>IF(L102="","",IF(VLOOKUP(L102,'G-3 Multipliers'!$L$3:$N$6,3,FALSE)=0,"Spatial Data Missing ⚠",VLOOKUP(L102,'G-3 Multipliers'!$L$3:$N$6,3,FALSE)))</f>
        <v/>
      </c>
      <c r="O102" s="498" t="str">
        <f t="shared" si="5"/>
        <v/>
      </c>
      <c r="P102" s="195"/>
      <c r="Q102" s="195"/>
      <c r="R102" s="520" t="str">
        <f t="shared" si="6"/>
        <v/>
      </c>
      <c r="S102" s="544" t="str">
        <f t="shared" si="7"/>
        <v/>
      </c>
      <c r="T102" s="525" t="str">
        <f>IFERROR(IF(S102="Check Data ⚠","Check Data ⚠",VLOOKUP(S102,'G-4 Temporal multipliers'!$A$4:$C$37,3,FALSE)),"")</f>
        <v/>
      </c>
      <c r="U102" s="523" t="str">
        <f>IF(F102="","",VLOOKUP(F102,'G-3 Multipliers'!$A$2:$E$129,2,FALSE))</f>
        <v/>
      </c>
      <c r="V102" s="520" t="str">
        <f t="shared" si="9"/>
        <v/>
      </c>
      <c r="W102" s="520" t="str">
        <f>IF(E102="","",IF(AND(V102="Standard difficulty applied",O102&gt;P102),U102,IF(AND(V102="Low Difficulty - only applicable if all habitat created before losses ⚠",P102&gt;=O102),"Low",VLOOKUP(F102,'G-3 Multipliers'!$A$2:$E$129,4,FALSE))))</f>
        <v/>
      </c>
      <c r="X102" s="524" t="str">
        <f>IFERROR(IF(E102="","",VLOOKUP(W102, 'G-3 Multipliers'!$P$2:$Q$6,2,FALSE)),"")</f>
        <v/>
      </c>
      <c r="Y102" s="197"/>
      <c r="Z102" s="499" t="str">
        <f>IF(Y102="","",IF(VLOOKUP(Y102,'G-3 Multipliers'!$S$3:$T$9,2,FALSE)=0,"Spatial Data Missing ⚠",VLOOKUP(Y102,'G-3 Multipliers'!$S$3:$T$9,2,FALSE)))</f>
        <v/>
      </c>
      <c r="AA102" s="545" t="str">
        <f t="shared" si="8"/>
        <v/>
      </c>
      <c r="AB102" s="149"/>
      <c r="AC102" s="150"/>
    </row>
    <row r="103" spans="1:29" ht="13.8" x14ac:dyDescent="0.25">
      <c r="A103" s="31" t="str">
        <f>IFERROR(INDEX('G-8 Condition Look up'!$I$4:$I$130,MATCH(F103,'G-8 Condition Look up'!$A$4:$A$130,0)),"")</f>
        <v/>
      </c>
      <c r="C103" s="244" t="str">
        <f>IFERROR(INDEX('G-1 All Habitats'!$AG$3:$AG$15,MATCH(D103,'G-1 All Habitats'!$AF$3:$AF$15,0)),"")</f>
        <v/>
      </c>
      <c r="D103" s="154"/>
      <c r="E103" s="203"/>
      <c r="F103" s="243" t="str">
        <f>IFERROR(INDEX('G-1 All Habitats'!$B$3:$B$129,MATCH(E103,'G-1 All Habitats'!$A$3:$A$129,0)),"")</f>
        <v/>
      </c>
      <c r="G103" s="386"/>
      <c r="H103" s="537" t="str">
        <f>IF(F103="","",VLOOKUP(F103,'G-1 All Habitats'!$B$2:$M$129,10,FALSE))</f>
        <v/>
      </c>
      <c r="I103" s="524" t="str">
        <f>IFERROR(VLOOKUP(H103,'G-1 All Habitats'!$V$3:$W$7,2,FALSE),"")</f>
        <v/>
      </c>
      <c r="J103" s="199"/>
      <c r="K103" s="524" t="str">
        <f>IFERROR(INDEX('G-8 Condition Look up'!$A$3:$H$130,MATCH(F103,'G-8 Condition Look up'!$A$3:$A$130,0),MATCH(J103,'G-8 Condition Look up'!$A$3:$H$3,0)),"")</f>
        <v/>
      </c>
      <c r="L103" s="145"/>
      <c r="M103" s="540" t="str">
        <f>IF(L103="","",IF(VLOOKUP(L103,'G-3 Multipliers'!$L$3:$N$6,2,FALSE)=0,"Spatial Data Missing ⚠",VLOOKUP(L103,'G-3 Multipliers'!$L$3:$N$6,2,FALSE)))</f>
        <v/>
      </c>
      <c r="N103" s="499" t="str">
        <f>IF(L103="","",IF(VLOOKUP(L103,'G-3 Multipliers'!$L$3:$N$6,3,FALSE)=0,"Spatial Data Missing ⚠",VLOOKUP(L103,'G-3 Multipliers'!$L$3:$N$6,3,FALSE)))</f>
        <v/>
      </c>
      <c r="O103" s="498" t="str">
        <f t="shared" si="5"/>
        <v/>
      </c>
      <c r="P103" s="195"/>
      <c r="Q103" s="195"/>
      <c r="R103" s="520" t="str">
        <f t="shared" si="6"/>
        <v/>
      </c>
      <c r="S103" s="544" t="str">
        <f t="shared" si="7"/>
        <v/>
      </c>
      <c r="T103" s="525" t="str">
        <f>IFERROR(IF(S103="Check Data ⚠","Check Data ⚠",VLOOKUP(S103,'G-4 Temporal multipliers'!$A$4:$C$37,3,FALSE)),"")</f>
        <v/>
      </c>
      <c r="U103" s="523" t="str">
        <f>IF(F103="","",VLOOKUP(F103,'G-3 Multipliers'!$A$2:$E$129,2,FALSE))</f>
        <v/>
      </c>
      <c r="V103" s="520" t="str">
        <f t="shared" si="9"/>
        <v/>
      </c>
      <c r="W103" s="520" t="str">
        <f>IF(E103="","",IF(AND(V103="Standard difficulty applied",O103&gt;P103),U103,IF(AND(V103="Low Difficulty - only applicable if all habitat created before losses ⚠",P103&gt;=O103),"Low",VLOOKUP(F103,'G-3 Multipliers'!$A$2:$E$129,4,FALSE))))</f>
        <v/>
      </c>
      <c r="X103" s="524" t="str">
        <f>IFERROR(IF(E103="","",VLOOKUP(W103, 'G-3 Multipliers'!$P$2:$Q$6,2,FALSE)),"")</f>
        <v/>
      </c>
      <c r="Y103" s="197"/>
      <c r="Z103" s="499" t="str">
        <f>IF(Y103="","",IF(VLOOKUP(Y103,'G-3 Multipliers'!$S$3:$T$9,2,FALSE)=0,"Spatial Data Missing ⚠",VLOOKUP(Y103,'G-3 Multipliers'!$S$3:$T$9,2,FALSE)))</f>
        <v/>
      </c>
      <c r="AA103" s="545" t="str">
        <f t="shared" si="8"/>
        <v/>
      </c>
      <c r="AB103" s="149"/>
      <c r="AC103" s="150"/>
    </row>
    <row r="104" spans="1:29" ht="13.8" x14ac:dyDescent="0.25">
      <c r="A104" s="31" t="str">
        <f>IFERROR(INDEX('G-8 Condition Look up'!$I$4:$I$130,MATCH(F104,'G-8 Condition Look up'!$A$4:$A$130,0)),"")</f>
        <v/>
      </c>
      <c r="C104" s="244" t="str">
        <f>IFERROR(INDEX('G-1 All Habitats'!$AG$3:$AG$15,MATCH(D104,'G-1 All Habitats'!$AF$3:$AF$15,0)),"")</f>
        <v/>
      </c>
      <c r="D104" s="154"/>
      <c r="E104" s="203"/>
      <c r="F104" s="243" t="str">
        <f>IFERROR(INDEX('G-1 All Habitats'!$B$3:$B$129,MATCH(E104,'G-1 All Habitats'!$A$3:$A$129,0)),"")</f>
        <v/>
      </c>
      <c r="G104" s="386"/>
      <c r="H104" s="537" t="str">
        <f>IF(F104="","",VLOOKUP(F104,'G-1 All Habitats'!$B$2:$M$129,10,FALSE))</f>
        <v/>
      </c>
      <c r="I104" s="524" t="str">
        <f>IFERROR(VLOOKUP(H104,'G-1 All Habitats'!$V$3:$W$7,2,FALSE),"")</f>
        <v/>
      </c>
      <c r="J104" s="199"/>
      <c r="K104" s="524" t="str">
        <f>IFERROR(INDEX('G-8 Condition Look up'!$A$3:$H$130,MATCH(F104,'G-8 Condition Look up'!$A$3:$A$130,0),MATCH(J104,'G-8 Condition Look up'!$A$3:$H$3,0)),"")</f>
        <v/>
      </c>
      <c r="L104" s="145"/>
      <c r="M104" s="540" t="str">
        <f>IF(L104="","",IF(VLOOKUP(L104,'G-3 Multipliers'!$L$3:$N$6,2,FALSE)=0,"Spatial Data Missing ⚠",VLOOKUP(L104,'G-3 Multipliers'!$L$3:$N$6,2,FALSE)))</f>
        <v/>
      </c>
      <c r="N104" s="499" t="str">
        <f>IF(L104="","",IF(VLOOKUP(L104,'G-3 Multipliers'!$L$3:$N$6,3,FALSE)=0,"Spatial Data Missing ⚠",VLOOKUP(L104,'G-3 Multipliers'!$L$3:$N$6,3,FALSE)))</f>
        <v/>
      </c>
      <c r="O104" s="498" t="str">
        <f t="shared" si="5"/>
        <v/>
      </c>
      <c r="P104" s="195"/>
      <c r="Q104" s="195"/>
      <c r="R104" s="520" t="str">
        <f t="shared" si="6"/>
        <v/>
      </c>
      <c r="S104" s="544" t="str">
        <f t="shared" si="7"/>
        <v/>
      </c>
      <c r="T104" s="525" t="str">
        <f>IFERROR(IF(S104="Check Data ⚠","Check Data ⚠",VLOOKUP(S104,'G-4 Temporal multipliers'!$A$4:$C$37,3,FALSE)),"")</f>
        <v/>
      </c>
      <c r="U104" s="523" t="str">
        <f>IF(F104="","",VLOOKUP(F104,'G-3 Multipliers'!$A$2:$E$129,2,FALSE))</f>
        <v/>
      </c>
      <c r="V104" s="520" t="str">
        <f t="shared" si="9"/>
        <v/>
      </c>
      <c r="W104" s="520" t="str">
        <f>IF(E104="","",IF(AND(V104="Standard difficulty applied",O104&gt;P104),U104,IF(AND(V104="Low Difficulty - only applicable if all habitat created before losses ⚠",P104&gt;=O104),"Low",VLOOKUP(F104,'G-3 Multipliers'!$A$2:$E$129,4,FALSE))))</f>
        <v/>
      </c>
      <c r="X104" s="524" t="str">
        <f>IFERROR(IF(E104="","",VLOOKUP(W104, 'G-3 Multipliers'!$P$2:$Q$6,2,FALSE)),"")</f>
        <v/>
      </c>
      <c r="Y104" s="197"/>
      <c r="Z104" s="499" t="str">
        <f>IF(Y104="","",IF(VLOOKUP(Y104,'G-3 Multipliers'!$S$3:$T$9,2,FALSE)=0,"Spatial Data Missing ⚠",VLOOKUP(Y104,'G-3 Multipliers'!$S$3:$T$9,2,FALSE)))</f>
        <v/>
      </c>
      <c r="AA104" s="545" t="str">
        <f t="shared" si="8"/>
        <v/>
      </c>
      <c r="AB104" s="149"/>
      <c r="AC104" s="150"/>
    </row>
    <row r="105" spans="1:29" ht="13.8" x14ac:dyDescent="0.25">
      <c r="A105" s="31" t="str">
        <f>IFERROR(INDEX('G-8 Condition Look up'!$I$4:$I$130,MATCH(F105,'G-8 Condition Look up'!$A$4:$A$130,0)),"")</f>
        <v/>
      </c>
      <c r="C105" s="244" t="str">
        <f>IFERROR(INDEX('G-1 All Habitats'!$AG$3:$AG$15,MATCH(D105,'G-1 All Habitats'!$AF$3:$AF$15,0)),"")</f>
        <v/>
      </c>
      <c r="D105" s="154"/>
      <c r="E105" s="203"/>
      <c r="F105" s="243" t="str">
        <f>IFERROR(INDEX('G-1 All Habitats'!$B$3:$B$129,MATCH(E105,'G-1 All Habitats'!$A$3:$A$129,0)),"")</f>
        <v/>
      </c>
      <c r="G105" s="386"/>
      <c r="H105" s="537" t="str">
        <f>IF(F105="","",VLOOKUP(F105,'G-1 All Habitats'!$B$2:$M$129,10,FALSE))</f>
        <v/>
      </c>
      <c r="I105" s="524" t="str">
        <f>IFERROR(VLOOKUP(H105,'G-1 All Habitats'!$V$3:$W$7,2,FALSE),"")</f>
        <v/>
      </c>
      <c r="J105" s="199"/>
      <c r="K105" s="524" t="str">
        <f>IFERROR(INDEX('G-8 Condition Look up'!$A$3:$H$130,MATCH(F105,'G-8 Condition Look up'!$A$3:$A$130,0),MATCH(J105,'G-8 Condition Look up'!$A$3:$H$3,0)),"")</f>
        <v/>
      </c>
      <c r="L105" s="145"/>
      <c r="M105" s="540" t="str">
        <f>IF(L105="","",IF(VLOOKUP(L105,'G-3 Multipliers'!$L$3:$N$6,2,FALSE)=0,"Spatial Data Missing ⚠",VLOOKUP(L105,'G-3 Multipliers'!$L$3:$N$6,2,FALSE)))</f>
        <v/>
      </c>
      <c r="N105" s="499" t="str">
        <f>IF(L105="","",IF(VLOOKUP(L105,'G-3 Multipliers'!$L$3:$N$6,3,FALSE)=0,"Spatial Data Missing ⚠",VLOOKUP(L105,'G-3 Multipliers'!$L$3:$N$6,3,FALSE)))</f>
        <v/>
      </c>
      <c r="O105" s="498" t="str">
        <f t="shared" si="5"/>
        <v/>
      </c>
      <c r="P105" s="195"/>
      <c r="Q105" s="195"/>
      <c r="R105" s="520" t="str">
        <f t="shared" si="6"/>
        <v/>
      </c>
      <c r="S105" s="544" t="str">
        <f t="shared" si="7"/>
        <v/>
      </c>
      <c r="T105" s="525" t="str">
        <f>IFERROR(IF(S105="Check Data ⚠","Check Data ⚠",VLOOKUP(S105,'G-4 Temporal multipliers'!$A$4:$C$37,3,FALSE)),"")</f>
        <v/>
      </c>
      <c r="U105" s="523" t="str">
        <f>IF(F105="","",VLOOKUP(F105,'G-3 Multipliers'!$A$2:$E$129,2,FALSE))</f>
        <v/>
      </c>
      <c r="V105" s="520" t="str">
        <f t="shared" si="9"/>
        <v/>
      </c>
      <c r="W105" s="520" t="str">
        <f>IF(E105="","",IF(AND(V105="Standard difficulty applied",O105&gt;P105),U105,IF(AND(V105="Low Difficulty - only applicable if all habitat created before losses ⚠",P105&gt;=O105),"Low",VLOOKUP(F105,'G-3 Multipliers'!$A$2:$E$129,4,FALSE))))</f>
        <v/>
      </c>
      <c r="X105" s="524" t="str">
        <f>IFERROR(IF(E105="","",VLOOKUP(W105, 'G-3 Multipliers'!$P$2:$Q$6,2,FALSE)),"")</f>
        <v/>
      </c>
      <c r="Y105" s="197"/>
      <c r="Z105" s="499" t="str">
        <f>IF(Y105="","",IF(VLOOKUP(Y105,'G-3 Multipliers'!$S$3:$T$9,2,FALSE)=0,"Spatial Data Missing ⚠",VLOOKUP(Y105,'G-3 Multipliers'!$S$3:$T$9,2,FALSE)))</f>
        <v/>
      </c>
      <c r="AA105" s="545" t="str">
        <f t="shared" si="8"/>
        <v/>
      </c>
      <c r="AB105" s="149"/>
      <c r="AC105" s="150"/>
    </row>
    <row r="106" spans="1:29" ht="13.8" x14ac:dyDescent="0.25">
      <c r="A106" s="31" t="str">
        <f>IFERROR(INDEX('G-8 Condition Look up'!$I$4:$I$130,MATCH(F106,'G-8 Condition Look up'!$A$4:$A$130,0)),"")</f>
        <v/>
      </c>
      <c r="C106" s="244" t="str">
        <f>IFERROR(INDEX('G-1 All Habitats'!$AG$3:$AG$15,MATCH(D106,'G-1 All Habitats'!$AF$3:$AF$15,0)),"")</f>
        <v/>
      </c>
      <c r="D106" s="154"/>
      <c r="E106" s="203"/>
      <c r="F106" s="243" t="str">
        <f>IFERROR(INDEX('G-1 All Habitats'!$B$3:$B$129,MATCH(E106,'G-1 All Habitats'!$A$3:$A$129,0)),"")</f>
        <v/>
      </c>
      <c r="G106" s="386"/>
      <c r="H106" s="537" t="str">
        <f>IF(F106="","",VLOOKUP(F106,'G-1 All Habitats'!$B$2:$M$129,10,FALSE))</f>
        <v/>
      </c>
      <c r="I106" s="524" t="str">
        <f>IFERROR(VLOOKUP(H106,'G-1 All Habitats'!$V$3:$W$7,2,FALSE),"")</f>
        <v/>
      </c>
      <c r="J106" s="199"/>
      <c r="K106" s="524" t="str">
        <f>IFERROR(INDEX('G-8 Condition Look up'!$A$3:$H$130,MATCH(F106,'G-8 Condition Look up'!$A$3:$A$130,0),MATCH(J106,'G-8 Condition Look up'!$A$3:$H$3,0)),"")</f>
        <v/>
      </c>
      <c r="L106" s="145"/>
      <c r="M106" s="540" t="str">
        <f>IF(L106="","",IF(VLOOKUP(L106,'G-3 Multipliers'!$L$3:$N$6,2,FALSE)=0,"Spatial Data Missing ⚠",VLOOKUP(L106,'G-3 Multipliers'!$L$3:$N$6,2,FALSE)))</f>
        <v/>
      </c>
      <c r="N106" s="499" t="str">
        <f>IF(L106="","",IF(VLOOKUP(L106,'G-3 Multipliers'!$L$3:$N$6,3,FALSE)=0,"Spatial Data Missing ⚠",VLOOKUP(L106,'G-3 Multipliers'!$L$3:$N$6,3,FALSE)))</f>
        <v/>
      </c>
      <c r="O106" s="498" t="str">
        <f t="shared" si="5"/>
        <v/>
      </c>
      <c r="P106" s="195"/>
      <c r="Q106" s="195"/>
      <c r="R106" s="520" t="str">
        <f t="shared" si="6"/>
        <v/>
      </c>
      <c r="S106" s="544" t="str">
        <f t="shared" si="7"/>
        <v/>
      </c>
      <c r="T106" s="525" t="str">
        <f>IFERROR(IF(S106="Check Data ⚠","Check Data ⚠",VLOOKUP(S106,'G-4 Temporal multipliers'!$A$4:$C$37,3,FALSE)),"")</f>
        <v/>
      </c>
      <c r="U106" s="523" t="str">
        <f>IF(F106="","",VLOOKUP(F106,'G-3 Multipliers'!$A$2:$E$129,2,FALSE))</f>
        <v/>
      </c>
      <c r="V106" s="520" t="str">
        <f t="shared" si="9"/>
        <v/>
      </c>
      <c r="W106" s="520" t="str">
        <f>IF(E106="","",IF(AND(V106="Standard difficulty applied",O106&gt;P106),U106,IF(AND(V106="Low Difficulty - only applicable if all habitat created before losses ⚠",P106&gt;=O106),"Low",VLOOKUP(F106,'G-3 Multipliers'!$A$2:$E$129,4,FALSE))))</f>
        <v/>
      </c>
      <c r="X106" s="524" t="str">
        <f>IFERROR(IF(E106="","",VLOOKUP(W106, 'G-3 Multipliers'!$P$2:$Q$6,2,FALSE)),"")</f>
        <v/>
      </c>
      <c r="Y106" s="197"/>
      <c r="Z106" s="499" t="str">
        <f>IF(Y106="","",IF(VLOOKUP(Y106,'G-3 Multipliers'!$S$3:$T$9,2,FALSE)=0,"Spatial Data Missing ⚠",VLOOKUP(Y106,'G-3 Multipliers'!$S$3:$T$9,2,FALSE)))</f>
        <v/>
      </c>
      <c r="AA106" s="545" t="str">
        <f t="shared" si="8"/>
        <v/>
      </c>
      <c r="AB106" s="149"/>
      <c r="AC106" s="150"/>
    </row>
    <row r="107" spans="1:29" ht="13.8" x14ac:dyDescent="0.25">
      <c r="A107" s="31" t="str">
        <f>IFERROR(INDEX('G-8 Condition Look up'!$I$4:$I$130,MATCH(F107,'G-8 Condition Look up'!$A$4:$A$130,0)),"")</f>
        <v/>
      </c>
      <c r="C107" s="244" t="str">
        <f>IFERROR(INDEX('G-1 All Habitats'!$AG$3:$AG$15,MATCH(D107,'G-1 All Habitats'!$AF$3:$AF$15,0)),"")</f>
        <v/>
      </c>
      <c r="D107" s="154"/>
      <c r="E107" s="203"/>
      <c r="F107" s="243" t="str">
        <f>IFERROR(INDEX('G-1 All Habitats'!$B$3:$B$129,MATCH(E107,'G-1 All Habitats'!$A$3:$A$129,0)),"")</f>
        <v/>
      </c>
      <c r="G107" s="386"/>
      <c r="H107" s="537" t="str">
        <f>IF(F107="","",VLOOKUP(F107,'G-1 All Habitats'!$B$2:$M$129,10,FALSE))</f>
        <v/>
      </c>
      <c r="I107" s="524" t="str">
        <f>IFERROR(VLOOKUP(H107,'G-1 All Habitats'!$V$3:$W$7,2,FALSE),"")</f>
        <v/>
      </c>
      <c r="J107" s="199"/>
      <c r="K107" s="524" t="str">
        <f>IFERROR(INDEX('G-8 Condition Look up'!$A$3:$H$130,MATCH(F107,'G-8 Condition Look up'!$A$3:$A$130,0),MATCH(J107,'G-8 Condition Look up'!$A$3:$H$3,0)),"")</f>
        <v/>
      </c>
      <c r="L107" s="145"/>
      <c r="M107" s="540" t="str">
        <f>IF(L107="","",IF(VLOOKUP(L107,'G-3 Multipliers'!$L$3:$N$6,2,FALSE)=0,"Spatial Data Missing ⚠",VLOOKUP(L107,'G-3 Multipliers'!$L$3:$N$6,2,FALSE)))</f>
        <v/>
      </c>
      <c r="N107" s="499" t="str">
        <f>IF(L107="","",IF(VLOOKUP(L107,'G-3 Multipliers'!$L$3:$N$6,3,FALSE)=0,"Spatial Data Missing ⚠",VLOOKUP(L107,'G-3 Multipliers'!$L$3:$N$6,3,FALSE)))</f>
        <v/>
      </c>
      <c r="O107" s="498" t="str">
        <f t="shared" si="5"/>
        <v/>
      </c>
      <c r="P107" s="195"/>
      <c r="Q107" s="195"/>
      <c r="R107" s="520" t="str">
        <f t="shared" si="6"/>
        <v/>
      </c>
      <c r="S107" s="544" t="str">
        <f t="shared" si="7"/>
        <v/>
      </c>
      <c r="T107" s="525" t="str">
        <f>IFERROR(IF(S107="Check Data ⚠","Check Data ⚠",VLOOKUP(S107,'G-4 Temporal multipliers'!$A$4:$C$37,3,FALSE)),"")</f>
        <v/>
      </c>
      <c r="U107" s="523" t="str">
        <f>IF(F107="","",VLOOKUP(F107,'G-3 Multipliers'!$A$2:$E$129,2,FALSE))</f>
        <v/>
      </c>
      <c r="V107" s="520" t="str">
        <f t="shared" si="9"/>
        <v/>
      </c>
      <c r="W107" s="520" t="str">
        <f>IF(E107="","",IF(AND(V107="Standard difficulty applied",O107&gt;P107),U107,IF(AND(V107="Low Difficulty - only applicable if all habitat created before losses ⚠",P107&gt;=O107),"Low",VLOOKUP(F107,'G-3 Multipliers'!$A$2:$E$129,4,FALSE))))</f>
        <v/>
      </c>
      <c r="X107" s="524" t="str">
        <f>IFERROR(IF(E107="","",VLOOKUP(W107, 'G-3 Multipliers'!$P$2:$Q$6,2,FALSE)),"")</f>
        <v/>
      </c>
      <c r="Y107" s="197"/>
      <c r="Z107" s="499" t="str">
        <f>IF(Y107="","",IF(VLOOKUP(Y107,'G-3 Multipliers'!$S$3:$T$9,2,FALSE)=0,"Spatial Data Missing ⚠",VLOOKUP(Y107,'G-3 Multipliers'!$S$3:$T$9,2,FALSE)))</f>
        <v/>
      </c>
      <c r="AA107" s="545" t="str">
        <f t="shared" si="8"/>
        <v/>
      </c>
      <c r="AB107" s="149"/>
      <c r="AC107" s="150"/>
    </row>
    <row r="108" spans="1:29" ht="13.8" x14ac:dyDescent="0.25">
      <c r="A108" s="31" t="str">
        <f>IFERROR(INDEX('G-8 Condition Look up'!$I$4:$I$130,MATCH(F108,'G-8 Condition Look up'!$A$4:$A$130,0)),"")</f>
        <v/>
      </c>
      <c r="C108" s="244" t="str">
        <f>IFERROR(INDEX('G-1 All Habitats'!$AG$3:$AG$15,MATCH(D108,'G-1 All Habitats'!$AF$3:$AF$15,0)),"")</f>
        <v/>
      </c>
      <c r="D108" s="154"/>
      <c r="E108" s="203"/>
      <c r="F108" s="243" t="str">
        <f>IFERROR(INDEX('G-1 All Habitats'!$B$3:$B$129,MATCH(E108,'G-1 All Habitats'!$A$3:$A$129,0)),"")</f>
        <v/>
      </c>
      <c r="G108" s="386"/>
      <c r="H108" s="537" t="str">
        <f>IF(F108="","",VLOOKUP(F108,'G-1 All Habitats'!$B$2:$M$129,10,FALSE))</f>
        <v/>
      </c>
      <c r="I108" s="524" t="str">
        <f>IFERROR(VLOOKUP(H108,'G-1 All Habitats'!$V$3:$W$7,2,FALSE),"")</f>
        <v/>
      </c>
      <c r="J108" s="199"/>
      <c r="K108" s="524" t="str">
        <f>IFERROR(INDEX('G-8 Condition Look up'!$A$3:$H$130,MATCH(F108,'G-8 Condition Look up'!$A$3:$A$130,0),MATCH(J108,'G-8 Condition Look up'!$A$3:$H$3,0)),"")</f>
        <v/>
      </c>
      <c r="L108" s="145"/>
      <c r="M108" s="540" t="str">
        <f>IF(L108="","",IF(VLOOKUP(L108,'G-3 Multipliers'!$L$3:$N$6,2,FALSE)=0,"Spatial Data Missing ⚠",VLOOKUP(L108,'G-3 Multipliers'!$L$3:$N$6,2,FALSE)))</f>
        <v/>
      </c>
      <c r="N108" s="499" t="str">
        <f>IF(L108="","",IF(VLOOKUP(L108,'G-3 Multipliers'!$L$3:$N$6,3,FALSE)=0,"Spatial Data Missing ⚠",VLOOKUP(L108,'G-3 Multipliers'!$L$3:$N$6,3,FALSE)))</f>
        <v/>
      </c>
      <c r="O108" s="498" t="str">
        <f t="shared" si="5"/>
        <v/>
      </c>
      <c r="P108" s="195"/>
      <c r="Q108" s="195"/>
      <c r="R108" s="520" t="str">
        <f t="shared" si="6"/>
        <v/>
      </c>
      <c r="S108" s="544" t="str">
        <f t="shared" si="7"/>
        <v/>
      </c>
      <c r="T108" s="525" t="str">
        <f>IFERROR(IF(S108="Check Data ⚠","Check Data ⚠",VLOOKUP(S108,'G-4 Temporal multipliers'!$A$4:$C$37,3,FALSE)),"")</f>
        <v/>
      </c>
      <c r="U108" s="523" t="str">
        <f>IF(F108="","",VLOOKUP(F108,'G-3 Multipliers'!$A$2:$E$129,2,FALSE))</f>
        <v/>
      </c>
      <c r="V108" s="520" t="str">
        <f t="shared" si="9"/>
        <v/>
      </c>
      <c r="W108" s="520" t="str">
        <f>IF(E108="","",IF(AND(V108="Standard difficulty applied",O108&gt;P108),U108,IF(AND(V108="Low Difficulty - only applicable if all habitat created before losses ⚠",P108&gt;=O108),"Low",VLOOKUP(F108,'G-3 Multipliers'!$A$2:$E$129,4,FALSE))))</f>
        <v/>
      </c>
      <c r="X108" s="524" t="str">
        <f>IFERROR(IF(E108="","",VLOOKUP(W108, 'G-3 Multipliers'!$P$2:$Q$6,2,FALSE)),"")</f>
        <v/>
      </c>
      <c r="Y108" s="197"/>
      <c r="Z108" s="499" t="str">
        <f>IF(Y108="","",IF(VLOOKUP(Y108,'G-3 Multipliers'!$S$3:$T$9,2,FALSE)=0,"Spatial Data Missing ⚠",VLOOKUP(Y108,'G-3 Multipliers'!$S$3:$T$9,2,FALSE)))</f>
        <v/>
      </c>
      <c r="AA108" s="545" t="str">
        <f t="shared" si="8"/>
        <v/>
      </c>
      <c r="AB108" s="149"/>
      <c r="AC108" s="150"/>
    </row>
    <row r="109" spans="1:29" ht="13.8" x14ac:dyDescent="0.25">
      <c r="A109" s="31" t="str">
        <f>IFERROR(INDEX('G-8 Condition Look up'!$I$4:$I$130,MATCH(F109,'G-8 Condition Look up'!$A$4:$A$130,0)),"")</f>
        <v/>
      </c>
      <c r="C109" s="244" t="str">
        <f>IFERROR(INDEX('G-1 All Habitats'!$AG$3:$AG$15,MATCH(D109,'G-1 All Habitats'!$AF$3:$AF$15,0)),"")</f>
        <v/>
      </c>
      <c r="D109" s="154"/>
      <c r="E109" s="203"/>
      <c r="F109" s="243" t="str">
        <f>IFERROR(INDEX('G-1 All Habitats'!$B$3:$B$129,MATCH(E109,'G-1 All Habitats'!$A$3:$A$129,0)),"")</f>
        <v/>
      </c>
      <c r="G109" s="386"/>
      <c r="H109" s="537" t="str">
        <f>IF(F109="","",VLOOKUP(F109,'G-1 All Habitats'!$B$2:$M$129,10,FALSE))</f>
        <v/>
      </c>
      <c r="I109" s="524" t="str">
        <f>IFERROR(VLOOKUP(H109,'G-1 All Habitats'!$V$3:$W$7,2,FALSE),"")</f>
        <v/>
      </c>
      <c r="J109" s="199"/>
      <c r="K109" s="524" t="str">
        <f>IFERROR(INDEX('G-8 Condition Look up'!$A$3:$H$130,MATCH(F109,'G-8 Condition Look up'!$A$3:$A$130,0),MATCH(J109,'G-8 Condition Look up'!$A$3:$H$3,0)),"")</f>
        <v/>
      </c>
      <c r="L109" s="145"/>
      <c r="M109" s="540" t="str">
        <f>IF(L109="","",IF(VLOOKUP(L109,'G-3 Multipliers'!$L$3:$N$6,2,FALSE)=0,"Spatial Data Missing ⚠",VLOOKUP(L109,'G-3 Multipliers'!$L$3:$N$6,2,FALSE)))</f>
        <v/>
      </c>
      <c r="N109" s="499" t="str">
        <f>IF(L109="","",IF(VLOOKUP(L109,'G-3 Multipliers'!$L$3:$N$6,3,FALSE)=0,"Spatial Data Missing ⚠",VLOOKUP(L109,'G-3 Multipliers'!$L$3:$N$6,3,FALSE)))</f>
        <v/>
      </c>
      <c r="O109" s="498" t="str">
        <f t="shared" si="5"/>
        <v/>
      </c>
      <c r="P109" s="195"/>
      <c r="Q109" s="195"/>
      <c r="R109" s="520" t="str">
        <f t="shared" si="6"/>
        <v/>
      </c>
      <c r="S109" s="544" t="str">
        <f t="shared" si="7"/>
        <v/>
      </c>
      <c r="T109" s="525" t="str">
        <f>IFERROR(IF(S109="Check Data ⚠","Check Data ⚠",VLOOKUP(S109,'G-4 Temporal multipliers'!$A$4:$C$37,3,FALSE)),"")</f>
        <v/>
      </c>
      <c r="U109" s="523" t="str">
        <f>IF(F109="","",VLOOKUP(F109,'G-3 Multipliers'!$A$2:$E$129,2,FALSE))</f>
        <v/>
      </c>
      <c r="V109" s="520" t="str">
        <f t="shared" si="9"/>
        <v/>
      </c>
      <c r="W109" s="520" t="str">
        <f>IF(E109="","",IF(AND(V109="Standard difficulty applied",O109&gt;P109),U109,IF(AND(V109="Low Difficulty - only applicable if all habitat created before losses ⚠",P109&gt;=O109),"Low",VLOOKUP(F109,'G-3 Multipliers'!$A$2:$E$129,4,FALSE))))</f>
        <v/>
      </c>
      <c r="X109" s="524" t="str">
        <f>IFERROR(IF(E109="","",VLOOKUP(W109, 'G-3 Multipliers'!$P$2:$Q$6,2,FALSE)),"")</f>
        <v/>
      </c>
      <c r="Y109" s="197"/>
      <c r="Z109" s="499" t="str">
        <f>IF(Y109="","",IF(VLOOKUP(Y109,'G-3 Multipliers'!$S$3:$T$9,2,FALSE)=0,"Spatial Data Missing ⚠",VLOOKUP(Y109,'G-3 Multipliers'!$S$3:$T$9,2,FALSE)))</f>
        <v/>
      </c>
      <c r="AA109" s="545" t="str">
        <f t="shared" si="8"/>
        <v/>
      </c>
      <c r="AB109" s="149"/>
      <c r="AC109" s="150"/>
    </row>
    <row r="110" spans="1:29" ht="13.8" x14ac:dyDescent="0.25">
      <c r="A110" s="31" t="str">
        <f>IFERROR(INDEX('G-8 Condition Look up'!$I$4:$I$130,MATCH(F110,'G-8 Condition Look up'!$A$4:$A$130,0)),"")</f>
        <v/>
      </c>
      <c r="C110" s="244" t="str">
        <f>IFERROR(INDEX('G-1 All Habitats'!$AG$3:$AG$15,MATCH(D110,'G-1 All Habitats'!$AF$3:$AF$15,0)),"")</f>
        <v/>
      </c>
      <c r="D110" s="154"/>
      <c r="E110" s="203"/>
      <c r="F110" s="243" t="str">
        <f>IFERROR(INDEX('G-1 All Habitats'!$B$3:$B$129,MATCH(E110,'G-1 All Habitats'!$A$3:$A$129,0)),"")</f>
        <v/>
      </c>
      <c r="G110" s="386"/>
      <c r="H110" s="537" t="str">
        <f>IF(F110="","",VLOOKUP(F110,'G-1 All Habitats'!$B$2:$M$129,10,FALSE))</f>
        <v/>
      </c>
      <c r="I110" s="524" t="str">
        <f>IFERROR(VLOOKUP(H110,'G-1 All Habitats'!$V$3:$W$7,2,FALSE),"")</f>
        <v/>
      </c>
      <c r="J110" s="199"/>
      <c r="K110" s="524" t="str">
        <f>IFERROR(INDEX('G-8 Condition Look up'!$A$3:$H$130,MATCH(F110,'G-8 Condition Look up'!$A$3:$A$130,0),MATCH(J110,'G-8 Condition Look up'!$A$3:$H$3,0)),"")</f>
        <v/>
      </c>
      <c r="L110" s="145"/>
      <c r="M110" s="540" t="str">
        <f>IF(L110="","",IF(VLOOKUP(L110,'G-3 Multipliers'!$L$3:$N$6,2,FALSE)=0,"Spatial Data Missing ⚠",VLOOKUP(L110,'G-3 Multipliers'!$L$3:$N$6,2,FALSE)))</f>
        <v/>
      </c>
      <c r="N110" s="499" t="str">
        <f>IF(L110="","",IF(VLOOKUP(L110,'G-3 Multipliers'!$L$3:$N$6,3,FALSE)=0,"Spatial Data Missing ⚠",VLOOKUP(L110,'G-3 Multipliers'!$L$3:$N$6,3,FALSE)))</f>
        <v/>
      </c>
      <c r="O110" s="498" t="str">
        <f t="shared" si="5"/>
        <v/>
      </c>
      <c r="P110" s="195"/>
      <c r="Q110" s="195"/>
      <c r="R110" s="520" t="str">
        <f t="shared" si="6"/>
        <v/>
      </c>
      <c r="S110" s="544" t="str">
        <f t="shared" si="7"/>
        <v/>
      </c>
      <c r="T110" s="525" t="str">
        <f>IFERROR(IF(S110="Check Data ⚠","Check Data ⚠",VLOOKUP(S110,'G-4 Temporal multipliers'!$A$4:$C$37,3,FALSE)),"")</f>
        <v/>
      </c>
      <c r="U110" s="523" t="str">
        <f>IF(F110="","",VLOOKUP(F110,'G-3 Multipliers'!$A$2:$E$129,2,FALSE))</f>
        <v/>
      </c>
      <c r="V110" s="520" t="str">
        <f t="shared" si="9"/>
        <v/>
      </c>
      <c r="W110" s="520" t="str">
        <f>IF(E110="","",IF(AND(V110="Standard difficulty applied",O110&gt;P110),U110,IF(AND(V110="Low Difficulty - only applicable if all habitat created before losses ⚠",P110&gt;=O110),"Low",VLOOKUP(F110,'G-3 Multipliers'!$A$2:$E$129,4,FALSE))))</f>
        <v/>
      </c>
      <c r="X110" s="524" t="str">
        <f>IFERROR(IF(E110="","",VLOOKUP(W110, 'G-3 Multipliers'!$P$2:$Q$6,2,FALSE)),"")</f>
        <v/>
      </c>
      <c r="Y110" s="197"/>
      <c r="Z110" s="499" t="str">
        <f>IF(Y110="","",IF(VLOOKUP(Y110,'G-3 Multipliers'!$S$3:$T$9,2,FALSE)=0,"Spatial Data Missing ⚠",VLOOKUP(Y110,'G-3 Multipliers'!$S$3:$T$9,2,FALSE)))</f>
        <v/>
      </c>
      <c r="AA110" s="545" t="str">
        <f t="shared" si="8"/>
        <v/>
      </c>
      <c r="AB110" s="149"/>
      <c r="AC110" s="150"/>
    </row>
    <row r="111" spans="1:29" ht="13.8" x14ac:dyDescent="0.25">
      <c r="A111" s="31" t="str">
        <f>IFERROR(INDEX('G-8 Condition Look up'!$I$4:$I$130,MATCH(F111,'G-8 Condition Look up'!$A$4:$A$130,0)),"")</f>
        <v/>
      </c>
      <c r="C111" s="244" t="str">
        <f>IFERROR(INDEX('G-1 All Habitats'!$AG$3:$AG$15,MATCH(D111,'G-1 All Habitats'!$AF$3:$AF$15,0)),"")</f>
        <v/>
      </c>
      <c r="D111" s="154"/>
      <c r="E111" s="203"/>
      <c r="F111" s="243" t="str">
        <f>IFERROR(INDEX('G-1 All Habitats'!$B$3:$B$129,MATCH(E111,'G-1 All Habitats'!$A$3:$A$129,0)),"")</f>
        <v/>
      </c>
      <c r="G111" s="386"/>
      <c r="H111" s="537" t="str">
        <f>IF(F111="","",VLOOKUP(F111,'G-1 All Habitats'!$B$2:$M$129,10,FALSE))</f>
        <v/>
      </c>
      <c r="I111" s="524" t="str">
        <f>IFERROR(VLOOKUP(H111,'G-1 All Habitats'!$V$3:$W$7,2,FALSE),"")</f>
        <v/>
      </c>
      <c r="J111" s="199"/>
      <c r="K111" s="524" t="str">
        <f>IFERROR(INDEX('G-8 Condition Look up'!$A$3:$H$130,MATCH(F111,'G-8 Condition Look up'!$A$3:$A$130,0),MATCH(J111,'G-8 Condition Look up'!$A$3:$H$3,0)),"")</f>
        <v/>
      </c>
      <c r="L111" s="145"/>
      <c r="M111" s="540" t="str">
        <f>IF(L111="","",IF(VLOOKUP(L111,'G-3 Multipliers'!$L$3:$N$6,2,FALSE)=0,"Spatial Data Missing ⚠",VLOOKUP(L111,'G-3 Multipliers'!$L$3:$N$6,2,FALSE)))</f>
        <v/>
      </c>
      <c r="N111" s="499" t="str">
        <f>IF(L111="","",IF(VLOOKUP(L111,'G-3 Multipliers'!$L$3:$N$6,3,FALSE)=0,"Spatial Data Missing ⚠",VLOOKUP(L111,'G-3 Multipliers'!$L$3:$N$6,3,FALSE)))</f>
        <v/>
      </c>
      <c r="O111" s="498" t="str">
        <f t="shared" si="5"/>
        <v/>
      </c>
      <c r="P111" s="195"/>
      <c r="Q111" s="195"/>
      <c r="R111" s="520" t="str">
        <f t="shared" si="6"/>
        <v/>
      </c>
      <c r="S111" s="544" t="str">
        <f t="shared" si="7"/>
        <v/>
      </c>
      <c r="T111" s="525" t="str">
        <f>IFERROR(IF(S111="Check Data ⚠","Check Data ⚠",VLOOKUP(S111,'G-4 Temporal multipliers'!$A$4:$C$37,3,FALSE)),"")</f>
        <v/>
      </c>
      <c r="U111" s="523" t="str">
        <f>IF(F111="","",VLOOKUP(F111,'G-3 Multipliers'!$A$2:$E$129,2,FALSE))</f>
        <v/>
      </c>
      <c r="V111" s="520" t="str">
        <f t="shared" si="9"/>
        <v/>
      </c>
      <c r="W111" s="520" t="str">
        <f>IF(E111="","",IF(AND(V111="Standard difficulty applied",O111&gt;P111),U111,IF(AND(V111="Low Difficulty - only applicable if all habitat created before losses ⚠",P111&gt;=O111),"Low",VLOOKUP(F111,'G-3 Multipliers'!$A$2:$E$129,4,FALSE))))</f>
        <v/>
      </c>
      <c r="X111" s="524" t="str">
        <f>IFERROR(IF(E111="","",VLOOKUP(W111, 'G-3 Multipliers'!$P$2:$Q$6,2,FALSE)),"")</f>
        <v/>
      </c>
      <c r="Y111" s="197"/>
      <c r="Z111" s="499" t="str">
        <f>IF(Y111="","",IF(VLOOKUP(Y111,'G-3 Multipliers'!$S$3:$T$9,2,FALSE)=0,"Spatial Data Missing ⚠",VLOOKUP(Y111,'G-3 Multipliers'!$S$3:$T$9,2,FALSE)))</f>
        <v/>
      </c>
      <c r="AA111" s="545" t="str">
        <f t="shared" si="8"/>
        <v/>
      </c>
      <c r="AB111" s="149"/>
      <c r="AC111" s="150"/>
    </row>
    <row r="112" spans="1:29" ht="13.8" x14ac:dyDescent="0.25">
      <c r="A112" s="31" t="str">
        <f>IFERROR(INDEX('G-8 Condition Look up'!$I$4:$I$130,MATCH(F112,'G-8 Condition Look up'!$A$4:$A$130,0)),"")</f>
        <v/>
      </c>
      <c r="C112" s="244" t="str">
        <f>IFERROR(INDEX('G-1 All Habitats'!$AG$3:$AG$15,MATCH(D112,'G-1 All Habitats'!$AF$3:$AF$15,0)),"")</f>
        <v/>
      </c>
      <c r="D112" s="154"/>
      <c r="E112" s="203"/>
      <c r="F112" s="243" t="str">
        <f>IFERROR(INDEX('G-1 All Habitats'!$B$3:$B$129,MATCH(E112,'G-1 All Habitats'!$A$3:$A$129,0)),"")</f>
        <v/>
      </c>
      <c r="G112" s="386"/>
      <c r="H112" s="537" t="str">
        <f>IF(F112="","",VLOOKUP(F112,'G-1 All Habitats'!$B$2:$M$129,10,FALSE))</f>
        <v/>
      </c>
      <c r="I112" s="524" t="str">
        <f>IFERROR(VLOOKUP(H112,'G-1 All Habitats'!$V$3:$W$7,2,FALSE),"")</f>
        <v/>
      </c>
      <c r="J112" s="199"/>
      <c r="K112" s="524" t="str">
        <f>IFERROR(INDEX('G-8 Condition Look up'!$A$3:$H$130,MATCH(F112,'G-8 Condition Look up'!$A$3:$A$130,0),MATCH(J112,'G-8 Condition Look up'!$A$3:$H$3,0)),"")</f>
        <v/>
      </c>
      <c r="L112" s="145"/>
      <c r="M112" s="540" t="str">
        <f>IF(L112="","",IF(VLOOKUP(L112,'G-3 Multipliers'!$L$3:$N$6,2,FALSE)=0,"Spatial Data Missing ⚠",VLOOKUP(L112,'G-3 Multipliers'!$L$3:$N$6,2,FALSE)))</f>
        <v/>
      </c>
      <c r="N112" s="499" t="str">
        <f>IF(L112="","",IF(VLOOKUP(L112,'G-3 Multipliers'!$L$3:$N$6,3,FALSE)=0,"Spatial Data Missing ⚠",VLOOKUP(L112,'G-3 Multipliers'!$L$3:$N$6,3,FALSE)))</f>
        <v/>
      </c>
      <c r="O112" s="498" t="str">
        <f t="shared" si="5"/>
        <v/>
      </c>
      <c r="P112" s="195"/>
      <c r="Q112" s="195"/>
      <c r="R112" s="520" t="str">
        <f t="shared" si="6"/>
        <v/>
      </c>
      <c r="S112" s="544" t="str">
        <f t="shared" si="7"/>
        <v/>
      </c>
      <c r="T112" s="525" t="str">
        <f>IFERROR(IF(S112="Check Data ⚠","Check Data ⚠",VLOOKUP(S112,'G-4 Temporal multipliers'!$A$4:$C$37,3,FALSE)),"")</f>
        <v/>
      </c>
      <c r="U112" s="523" t="str">
        <f>IF(F112="","",VLOOKUP(F112,'G-3 Multipliers'!$A$2:$E$129,2,FALSE))</f>
        <v/>
      </c>
      <c r="V112" s="520" t="str">
        <f t="shared" si="9"/>
        <v/>
      </c>
      <c r="W112" s="520" t="str">
        <f>IF(E112="","",IF(AND(V112="Standard difficulty applied",O112&gt;P112),U112,IF(AND(V112="Low Difficulty - only applicable if all habitat created before losses ⚠",P112&gt;=O112),"Low",VLOOKUP(F112,'G-3 Multipliers'!$A$2:$E$129,4,FALSE))))</f>
        <v/>
      </c>
      <c r="X112" s="524" t="str">
        <f>IFERROR(IF(E112="","",VLOOKUP(W112, 'G-3 Multipliers'!$P$2:$Q$6,2,FALSE)),"")</f>
        <v/>
      </c>
      <c r="Y112" s="197"/>
      <c r="Z112" s="499" t="str">
        <f>IF(Y112="","",IF(VLOOKUP(Y112,'G-3 Multipliers'!$S$3:$T$9,2,FALSE)=0,"Spatial Data Missing ⚠",VLOOKUP(Y112,'G-3 Multipliers'!$S$3:$T$9,2,FALSE)))</f>
        <v/>
      </c>
      <c r="AA112" s="545" t="str">
        <f t="shared" si="8"/>
        <v/>
      </c>
      <c r="AB112" s="149"/>
      <c r="AC112" s="150"/>
    </row>
    <row r="113" spans="1:29" ht="13.8" x14ac:dyDescent="0.25">
      <c r="A113" s="31" t="str">
        <f>IFERROR(INDEX('G-8 Condition Look up'!$I$4:$I$130,MATCH(F113,'G-8 Condition Look up'!$A$4:$A$130,0)),"")</f>
        <v/>
      </c>
      <c r="C113" s="244" t="str">
        <f>IFERROR(INDEX('G-1 All Habitats'!$AG$3:$AG$15,MATCH(D113,'G-1 All Habitats'!$AF$3:$AF$15,0)),"")</f>
        <v/>
      </c>
      <c r="D113" s="154"/>
      <c r="E113" s="203"/>
      <c r="F113" s="243" t="str">
        <f>IFERROR(INDEX('G-1 All Habitats'!$B$3:$B$129,MATCH(E113,'G-1 All Habitats'!$A$3:$A$129,0)),"")</f>
        <v/>
      </c>
      <c r="G113" s="386"/>
      <c r="H113" s="537" t="str">
        <f>IF(F113="","",VLOOKUP(F113,'G-1 All Habitats'!$B$2:$M$129,10,FALSE))</f>
        <v/>
      </c>
      <c r="I113" s="524" t="str">
        <f>IFERROR(VLOOKUP(H113,'G-1 All Habitats'!$V$3:$W$7,2,FALSE),"")</f>
        <v/>
      </c>
      <c r="J113" s="199"/>
      <c r="K113" s="524" t="str">
        <f>IFERROR(INDEX('G-8 Condition Look up'!$A$3:$H$130,MATCH(F113,'G-8 Condition Look up'!$A$3:$A$130,0),MATCH(J113,'G-8 Condition Look up'!$A$3:$H$3,0)),"")</f>
        <v/>
      </c>
      <c r="L113" s="145"/>
      <c r="M113" s="540" t="str">
        <f>IF(L113="","",IF(VLOOKUP(L113,'G-3 Multipliers'!$L$3:$N$6,2,FALSE)=0,"Spatial Data Missing ⚠",VLOOKUP(L113,'G-3 Multipliers'!$L$3:$N$6,2,FALSE)))</f>
        <v/>
      </c>
      <c r="N113" s="499" t="str">
        <f>IF(L113="","",IF(VLOOKUP(L113,'G-3 Multipliers'!$L$3:$N$6,3,FALSE)=0,"Spatial Data Missing ⚠",VLOOKUP(L113,'G-3 Multipliers'!$L$3:$N$6,3,FALSE)))</f>
        <v/>
      </c>
      <c r="O113" s="498" t="str">
        <f t="shared" si="5"/>
        <v/>
      </c>
      <c r="P113" s="195"/>
      <c r="Q113" s="195"/>
      <c r="R113" s="520" t="str">
        <f t="shared" si="6"/>
        <v/>
      </c>
      <c r="S113" s="544" t="str">
        <f t="shared" si="7"/>
        <v/>
      </c>
      <c r="T113" s="525" t="str">
        <f>IFERROR(IF(S113="Check Data ⚠","Check Data ⚠",VLOOKUP(S113,'G-4 Temporal multipliers'!$A$4:$C$37,3,FALSE)),"")</f>
        <v/>
      </c>
      <c r="U113" s="523" t="str">
        <f>IF(F113="","",VLOOKUP(F113,'G-3 Multipliers'!$A$2:$E$129,2,FALSE))</f>
        <v/>
      </c>
      <c r="V113" s="520" t="str">
        <f t="shared" si="9"/>
        <v/>
      </c>
      <c r="W113" s="520" t="str">
        <f>IF(E113="","",IF(AND(V113="Standard difficulty applied",O113&gt;P113),U113,IF(AND(V113="Low Difficulty - only applicable if all habitat created before losses ⚠",P113&gt;=O113),"Low",VLOOKUP(F113,'G-3 Multipliers'!$A$2:$E$129,4,FALSE))))</f>
        <v/>
      </c>
      <c r="X113" s="524" t="str">
        <f>IFERROR(IF(E113="","",VLOOKUP(W113, 'G-3 Multipliers'!$P$2:$Q$6,2,FALSE)),"")</f>
        <v/>
      </c>
      <c r="Y113" s="197"/>
      <c r="Z113" s="499" t="str">
        <f>IF(Y113="","",IF(VLOOKUP(Y113,'G-3 Multipliers'!$S$3:$T$9,2,FALSE)=0,"Spatial Data Missing ⚠",VLOOKUP(Y113,'G-3 Multipliers'!$S$3:$T$9,2,FALSE)))</f>
        <v/>
      </c>
      <c r="AA113" s="545" t="str">
        <f t="shared" si="8"/>
        <v/>
      </c>
      <c r="AB113" s="149"/>
      <c r="AC113" s="150"/>
    </row>
    <row r="114" spans="1:29" ht="13.8" x14ac:dyDescent="0.25">
      <c r="A114" s="31" t="str">
        <f>IFERROR(INDEX('G-8 Condition Look up'!$I$4:$I$130,MATCH(F114,'G-8 Condition Look up'!$A$4:$A$130,0)),"")</f>
        <v/>
      </c>
      <c r="C114" s="244" t="str">
        <f>IFERROR(INDEX('G-1 All Habitats'!$AG$3:$AG$15,MATCH(D114,'G-1 All Habitats'!$AF$3:$AF$15,0)),"")</f>
        <v/>
      </c>
      <c r="D114" s="154"/>
      <c r="E114" s="203"/>
      <c r="F114" s="243" t="str">
        <f>IFERROR(INDEX('G-1 All Habitats'!$B$3:$B$129,MATCH(E114,'G-1 All Habitats'!$A$3:$A$129,0)),"")</f>
        <v/>
      </c>
      <c r="G114" s="386"/>
      <c r="H114" s="537" t="str">
        <f>IF(F114="","",VLOOKUP(F114,'G-1 All Habitats'!$B$2:$M$129,10,FALSE))</f>
        <v/>
      </c>
      <c r="I114" s="524" t="str">
        <f>IFERROR(VLOOKUP(H114,'G-1 All Habitats'!$V$3:$W$7,2,FALSE),"")</f>
        <v/>
      </c>
      <c r="J114" s="199"/>
      <c r="K114" s="524" t="str">
        <f>IFERROR(INDEX('G-8 Condition Look up'!$A$3:$H$130,MATCH(F114,'G-8 Condition Look up'!$A$3:$A$130,0),MATCH(J114,'G-8 Condition Look up'!$A$3:$H$3,0)),"")</f>
        <v/>
      </c>
      <c r="L114" s="145"/>
      <c r="M114" s="540" t="str">
        <f>IF(L114="","",IF(VLOOKUP(L114,'G-3 Multipliers'!$L$3:$N$6,2,FALSE)=0,"Spatial Data Missing ⚠",VLOOKUP(L114,'G-3 Multipliers'!$L$3:$N$6,2,FALSE)))</f>
        <v/>
      </c>
      <c r="N114" s="499" t="str">
        <f>IF(L114="","",IF(VLOOKUP(L114,'G-3 Multipliers'!$L$3:$N$6,3,FALSE)=0,"Spatial Data Missing ⚠",VLOOKUP(L114,'G-3 Multipliers'!$L$3:$N$6,3,FALSE)))</f>
        <v/>
      </c>
      <c r="O114" s="498" t="str">
        <f t="shared" si="5"/>
        <v/>
      </c>
      <c r="P114" s="195"/>
      <c r="Q114" s="195"/>
      <c r="R114" s="520" t="str">
        <f t="shared" si="6"/>
        <v/>
      </c>
      <c r="S114" s="544" t="str">
        <f t="shared" si="7"/>
        <v/>
      </c>
      <c r="T114" s="525" t="str">
        <f>IFERROR(IF(S114="Check Data ⚠","Check Data ⚠",VLOOKUP(S114,'G-4 Temporal multipliers'!$A$4:$C$37,3,FALSE)),"")</f>
        <v/>
      </c>
      <c r="U114" s="523" t="str">
        <f>IF(F114="","",VLOOKUP(F114,'G-3 Multipliers'!$A$2:$E$129,2,FALSE))</f>
        <v/>
      </c>
      <c r="V114" s="520" t="str">
        <f t="shared" si="9"/>
        <v/>
      </c>
      <c r="W114" s="520" t="str">
        <f>IF(E114="","",IF(AND(V114="Standard difficulty applied",O114&gt;P114),U114,IF(AND(V114="Low Difficulty - only applicable if all habitat created before losses ⚠",P114&gt;=O114),"Low",VLOOKUP(F114,'G-3 Multipliers'!$A$2:$E$129,4,FALSE))))</f>
        <v/>
      </c>
      <c r="X114" s="524" t="str">
        <f>IFERROR(IF(E114="","",VLOOKUP(W114, 'G-3 Multipliers'!$P$2:$Q$6,2,FALSE)),"")</f>
        <v/>
      </c>
      <c r="Y114" s="197"/>
      <c r="Z114" s="499" t="str">
        <f>IF(Y114="","",IF(VLOOKUP(Y114,'G-3 Multipliers'!$S$3:$T$9,2,FALSE)=0,"Spatial Data Missing ⚠",VLOOKUP(Y114,'G-3 Multipliers'!$S$3:$T$9,2,FALSE)))</f>
        <v/>
      </c>
      <c r="AA114" s="545" t="str">
        <f t="shared" si="8"/>
        <v/>
      </c>
      <c r="AB114" s="149"/>
      <c r="AC114" s="150"/>
    </row>
    <row r="115" spans="1:29" ht="13.8" x14ac:dyDescent="0.25">
      <c r="A115" s="31" t="str">
        <f>IFERROR(INDEX('G-8 Condition Look up'!$I$4:$I$130,MATCH(F115,'G-8 Condition Look up'!$A$4:$A$130,0)),"")</f>
        <v/>
      </c>
      <c r="C115" s="244" t="str">
        <f>IFERROR(INDEX('G-1 All Habitats'!$AG$3:$AG$15,MATCH(D115,'G-1 All Habitats'!$AF$3:$AF$15,0)),"")</f>
        <v/>
      </c>
      <c r="D115" s="154"/>
      <c r="E115" s="203"/>
      <c r="F115" s="243" t="str">
        <f>IFERROR(INDEX('G-1 All Habitats'!$B$3:$B$129,MATCH(E115,'G-1 All Habitats'!$A$3:$A$129,0)),"")</f>
        <v/>
      </c>
      <c r="G115" s="386"/>
      <c r="H115" s="537" t="str">
        <f>IF(F115="","",VLOOKUP(F115,'G-1 All Habitats'!$B$2:$M$129,10,FALSE))</f>
        <v/>
      </c>
      <c r="I115" s="524" t="str">
        <f>IFERROR(VLOOKUP(H115,'G-1 All Habitats'!$V$3:$W$7,2,FALSE),"")</f>
        <v/>
      </c>
      <c r="J115" s="199"/>
      <c r="K115" s="524" t="str">
        <f>IFERROR(INDEX('G-8 Condition Look up'!$A$3:$H$130,MATCH(F115,'G-8 Condition Look up'!$A$3:$A$130,0),MATCH(J115,'G-8 Condition Look up'!$A$3:$H$3,0)),"")</f>
        <v/>
      </c>
      <c r="L115" s="145"/>
      <c r="M115" s="540" t="str">
        <f>IF(L115="","",IF(VLOOKUP(L115,'G-3 Multipliers'!$L$3:$N$6,2,FALSE)=0,"Spatial Data Missing ⚠",VLOOKUP(L115,'G-3 Multipliers'!$L$3:$N$6,2,FALSE)))</f>
        <v/>
      </c>
      <c r="N115" s="499" t="str">
        <f>IF(L115="","",IF(VLOOKUP(L115,'G-3 Multipliers'!$L$3:$N$6,3,FALSE)=0,"Spatial Data Missing ⚠",VLOOKUP(L115,'G-3 Multipliers'!$L$3:$N$6,3,FALSE)))</f>
        <v/>
      </c>
      <c r="O115" s="498" t="str">
        <f t="shared" si="5"/>
        <v/>
      </c>
      <c r="P115" s="195"/>
      <c r="Q115" s="195"/>
      <c r="R115" s="520" t="str">
        <f t="shared" si="6"/>
        <v/>
      </c>
      <c r="S115" s="544" t="str">
        <f t="shared" si="7"/>
        <v/>
      </c>
      <c r="T115" s="525" t="str">
        <f>IFERROR(IF(S115="Check Data ⚠","Check Data ⚠",VLOOKUP(S115,'G-4 Temporal multipliers'!$A$4:$C$37,3,FALSE)),"")</f>
        <v/>
      </c>
      <c r="U115" s="523" t="str">
        <f>IF(F115="","",VLOOKUP(F115,'G-3 Multipliers'!$A$2:$E$129,2,FALSE))</f>
        <v/>
      </c>
      <c r="V115" s="520" t="str">
        <f t="shared" si="9"/>
        <v/>
      </c>
      <c r="W115" s="520" t="str">
        <f>IF(E115="","",IF(AND(V115="Standard difficulty applied",O115&gt;P115),U115,IF(AND(V115="Low Difficulty - only applicable if all habitat created before losses ⚠",P115&gt;=O115),"Low",VLOOKUP(F115,'G-3 Multipliers'!$A$2:$E$129,4,FALSE))))</f>
        <v/>
      </c>
      <c r="X115" s="524" t="str">
        <f>IFERROR(IF(E115="","",VLOOKUP(W115, 'G-3 Multipliers'!$P$2:$Q$6,2,FALSE)),"")</f>
        <v/>
      </c>
      <c r="Y115" s="197"/>
      <c r="Z115" s="499" t="str">
        <f>IF(Y115="","",IF(VLOOKUP(Y115,'G-3 Multipliers'!$S$3:$T$9,2,FALSE)=0,"Spatial Data Missing ⚠",VLOOKUP(Y115,'G-3 Multipliers'!$S$3:$T$9,2,FALSE)))</f>
        <v/>
      </c>
      <c r="AA115" s="545" t="str">
        <f t="shared" si="8"/>
        <v/>
      </c>
      <c r="AB115" s="149"/>
      <c r="AC115" s="150"/>
    </row>
    <row r="116" spans="1:29" ht="13.8" x14ac:dyDescent="0.25">
      <c r="A116" s="31" t="str">
        <f>IFERROR(INDEX('G-8 Condition Look up'!$I$4:$I$130,MATCH(F116,'G-8 Condition Look up'!$A$4:$A$130,0)),"")</f>
        <v/>
      </c>
      <c r="C116" s="244" t="str">
        <f>IFERROR(INDEX('G-1 All Habitats'!$AG$3:$AG$15,MATCH(D116,'G-1 All Habitats'!$AF$3:$AF$15,0)),"")</f>
        <v/>
      </c>
      <c r="D116" s="154"/>
      <c r="E116" s="203"/>
      <c r="F116" s="243" t="str">
        <f>IFERROR(INDEX('G-1 All Habitats'!$B$3:$B$129,MATCH(E116,'G-1 All Habitats'!$A$3:$A$129,0)),"")</f>
        <v/>
      </c>
      <c r="G116" s="386"/>
      <c r="H116" s="537" t="str">
        <f>IF(F116="","",VLOOKUP(F116,'G-1 All Habitats'!$B$2:$M$129,10,FALSE))</f>
        <v/>
      </c>
      <c r="I116" s="524" t="str">
        <f>IFERROR(VLOOKUP(H116,'G-1 All Habitats'!$V$3:$W$7,2,FALSE),"")</f>
        <v/>
      </c>
      <c r="J116" s="199"/>
      <c r="K116" s="524" t="str">
        <f>IFERROR(INDEX('G-8 Condition Look up'!$A$3:$H$130,MATCH(F116,'G-8 Condition Look up'!$A$3:$A$130,0),MATCH(J116,'G-8 Condition Look up'!$A$3:$H$3,0)),"")</f>
        <v/>
      </c>
      <c r="L116" s="145"/>
      <c r="M116" s="540" t="str">
        <f>IF(L116="","",IF(VLOOKUP(L116,'G-3 Multipliers'!$L$3:$N$6,2,FALSE)=0,"Spatial Data Missing ⚠",VLOOKUP(L116,'G-3 Multipliers'!$L$3:$N$6,2,FALSE)))</f>
        <v/>
      </c>
      <c r="N116" s="499" t="str">
        <f>IF(L116="","",IF(VLOOKUP(L116,'G-3 Multipliers'!$L$3:$N$6,3,FALSE)=0,"Spatial Data Missing ⚠",VLOOKUP(L116,'G-3 Multipliers'!$L$3:$N$6,3,FALSE)))</f>
        <v/>
      </c>
      <c r="O116" s="498" t="str">
        <f t="shared" si="5"/>
        <v/>
      </c>
      <c r="P116" s="195"/>
      <c r="Q116" s="195"/>
      <c r="R116" s="520" t="str">
        <f t="shared" si="6"/>
        <v/>
      </c>
      <c r="S116" s="544" t="str">
        <f t="shared" si="7"/>
        <v/>
      </c>
      <c r="T116" s="525" t="str">
        <f>IFERROR(IF(S116="Check Data ⚠","Check Data ⚠",VLOOKUP(S116,'G-4 Temporal multipliers'!$A$4:$C$37,3,FALSE)),"")</f>
        <v/>
      </c>
      <c r="U116" s="523" t="str">
        <f>IF(F116="","",VLOOKUP(F116,'G-3 Multipliers'!$A$2:$E$129,2,FALSE))</f>
        <v/>
      </c>
      <c r="V116" s="520" t="str">
        <f t="shared" si="9"/>
        <v/>
      </c>
      <c r="W116" s="520" t="str">
        <f>IF(E116="","",IF(AND(V116="Standard difficulty applied",O116&gt;P116),U116,IF(AND(V116="Low Difficulty - only applicable if all habitat created before losses ⚠",P116&gt;=O116),"Low",VLOOKUP(F116,'G-3 Multipliers'!$A$2:$E$129,4,FALSE))))</f>
        <v/>
      </c>
      <c r="X116" s="524" t="str">
        <f>IFERROR(IF(E116="","",VLOOKUP(W116, 'G-3 Multipliers'!$P$2:$Q$6,2,FALSE)),"")</f>
        <v/>
      </c>
      <c r="Y116" s="197"/>
      <c r="Z116" s="499" t="str">
        <f>IF(Y116="","",IF(VLOOKUP(Y116,'G-3 Multipliers'!$S$3:$T$9,2,FALSE)=0,"Spatial Data Missing ⚠",VLOOKUP(Y116,'G-3 Multipliers'!$S$3:$T$9,2,FALSE)))</f>
        <v/>
      </c>
      <c r="AA116" s="545" t="str">
        <f t="shared" si="8"/>
        <v/>
      </c>
      <c r="AB116" s="149"/>
      <c r="AC116" s="150"/>
    </row>
    <row r="117" spans="1:29" ht="13.8" x14ac:dyDescent="0.25">
      <c r="A117" s="31" t="str">
        <f>IFERROR(INDEX('G-8 Condition Look up'!$I$4:$I$130,MATCH(F117,'G-8 Condition Look up'!$A$4:$A$130,0)),"")</f>
        <v/>
      </c>
      <c r="C117" s="244" t="str">
        <f>IFERROR(INDEX('G-1 All Habitats'!$AG$3:$AG$15,MATCH(D117,'G-1 All Habitats'!$AF$3:$AF$15,0)),"")</f>
        <v/>
      </c>
      <c r="D117" s="154"/>
      <c r="E117" s="203"/>
      <c r="F117" s="243" t="str">
        <f>IFERROR(INDEX('G-1 All Habitats'!$B$3:$B$129,MATCH(E117,'G-1 All Habitats'!$A$3:$A$129,0)),"")</f>
        <v/>
      </c>
      <c r="G117" s="386"/>
      <c r="H117" s="537" t="str">
        <f>IF(F117="","",VLOOKUP(F117,'G-1 All Habitats'!$B$2:$M$129,10,FALSE))</f>
        <v/>
      </c>
      <c r="I117" s="524" t="str">
        <f>IFERROR(VLOOKUP(H117,'G-1 All Habitats'!$V$3:$W$7,2,FALSE),"")</f>
        <v/>
      </c>
      <c r="J117" s="199"/>
      <c r="K117" s="524" t="str">
        <f>IFERROR(INDEX('G-8 Condition Look up'!$A$3:$H$130,MATCH(F117,'G-8 Condition Look up'!$A$3:$A$130,0),MATCH(J117,'G-8 Condition Look up'!$A$3:$H$3,0)),"")</f>
        <v/>
      </c>
      <c r="L117" s="145"/>
      <c r="M117" s="540" t="str">
        <f>IF(L117="","",IF(VLOOKUP(L117,'G-3 Multipliers'!$L$3:$N$6,2,FALSE)=0,"Spatial Data Missing ⚠",VLOOKUP(L117,'G-3 Multipliers'!$L$3:$N$6,2,FALSE)))</f>
        <v/>
      </c>
      <c r="N117" s="499" t="str">
        <f>IF(L117="","",IF(VLOOKUP(L117,'G-3 Multipliers'!$L$3:$N$6,3,FALSE)=0,"Spatial Data Missing ⚠",VLOOKUP(L117,'G-3 Multipliers'!$L$3:$N$6,3,FALSE)))</f>
        <v/>
      </c>
      <c r="O117" s="498" t="str">
        <f t="shared" si="5"/>
        <v/>
      </c>
      <c r="P117" s="195"/>
      <c r="Q117" s="195"/>
      <c r="R117" s="520" t="str">
        <f t="shared" si="6"/>
        <v/>
      </c>
      <c r="S117" s="544" t="str">
        <f t="shared" si="7"/>
        <v/>
      </c>
      <c r="T117" s="525" t="str">
        <f>IFERROR(IF(S117="Check Data ⚠","Check Data ⚠",VLOOKUP(S117,'G-4 Temporal multipliers'!$A$4:$C$37,3,FALSE)),"")</f>
        <v/>
      </c>
      <c r="U117" s="523" t="str">
        <f>IF(F117="","",VLOOKUP(F117,'G-3 Multipliers'!$A$2:$E$129,2,FALSE))</f>
        <v/>
      </c>
      <c r="V117" s="520" t="str">
        <f t="shared" si="9"/>
        <v/>
      </c>
      <c r="W117" s="520" t="str">
        <f>IF(E117="","",IF(AND(V117="Standard difficulty applied",O117&gt;P117),U117,IF(AND(V117="Low Difficulty - only applicable if all habitat created before losses ⚠",P117&gt;=O117),"Low",VLOOKUP(F117,'G-3 Multipliers'!$A$2:$E$129,4,FALSE))))</f>
        <v/>
      </c>
      <c r="X117" s="524" t="str">
        <f>IFERROR(IF(E117="","",VLOOKUP(W117, 'G-3 Multipliers'!$P$2:$Q$6,2,FALSE)),"")</f>
        <v/>
      </c>
      <c r="Y117" s="197"/>
      <c r="Z117" s="499" t="str">
        <f>IF(Y117="","",IF(VLOOKUP(Y117,'G-3 Multipliers'!$S$3:$T$9,2,FALSE)=0,"Spatial Data Missing ⚠",VLOOKUP(Y117,'G-3 Multipliers'!$S$3:$T$9,2,FALSE)))</f>
        <v/>
      </c>
      <c r="AA117" s="545" t="str">
        <f t="shared" si="8"/>
        <v/>
      </c>
      <c r="AB117" s="149"/>
      <c r="AC117" s="150"/>
    </row>
    <row r="118" spans="1:29" ht="13.8" x14ac:dyDescent="0.25">
      <c r="A118" s="31" t="str">
        <f>IFERROR(INDEX('G-8 Condition Look up'!$I$4:$I$130,MATCH(F118,'G-8 Condition Look up'!$A$4:$A$130,0)),"")</f>
        <v/>
      </c>
      <c r="C118" s="244" t="str">
        <f>IFERROR(INDEX('G-1 All Habitats'!$AG$3:$AG$15,MATCH(D118,'G-1 All Habitats'!$AF$3:$AF$15,0)),"")</f>
        <v/>
      </c>
      <c r="D118" s="154"/>
      <c r="E118" s="203"/>
      <c r="F118" s="243" t="str">
        <f>IFERROR(INDEX('G-1 All Habitats'!$B$3:$B$129,MATCH(E118,'G-1 All Habitats'!$A$3:$A$129,0)),"")</f>
        <v/>
      </c>
      <c r="G118" s="386"/>
      <c r="H118" s="537" t="str">
        <f>IF(F118="","",VLOOKUP(F118,'G-1 All Habitats'!$B$2:$M$129,10,FALSE))</f>
        <v/>
      </c>
      <c r="I118" s="524" t="str">
        <f>IFERROR(VLOOKUP(H118,'G-1 All Habitats'!$V$3:$W$7,2,FALSE),"")</f>
        <v/>
      </c>
      <c r="J118" s="199"/>
      <c r="K118" s="524" t="str">
        <f>IFERROR(INDEX('G-8 Condition Look up'!$A$3:$H$130,MATCH(F118,'G-8 Condition Look up'!$A$3:$A$130,0),MATCH(J118,'G-8 Condition Look up'!$A$3:$H$3,0)),"")</f>
        <v/>
      </c>
      <c r="L118" s="145"/>
      <c r="M118" s="540" t="str">
        <f>IF(L118="","",IF(VLOOKUP(L118,'G-3 Multipliers'!$L$3:$N$6,2,FALSE)=0,"Spatial Data Missing ⚠",VLOOKUP(L118,'G-3 Multipliers'!$L$3:$N$6,2,FALSE)))</f>
        <v/>
      </c>
      <c r="N118" s="499" t="str">
        <f>IF(L118="","",IF(VLOOKUP(L118,'G-3 Multipliers'!$L$3:$N$6,3,FALSE)=0,"Spatial Data Missing ⚠",VLOOKUP(L118,'G-3 Multipliers'!$L$3:$N$6,3,FALSE)))</f>
        <v/>
      </c>
      <c r="O118" s="498" t="str">
        <f t="shared" si="5"/>
        <v/>
      </c>
      <c r="P118" s="195"/>
      <c r="Q118" s="195"/>
      <c r="R118" s="520" t="str">
        <f t="shared" si="6"/>
        <v/>
      </c>
      <c r="S118" s="544" t="str">
        <f t="shared" si="7"/>
        <v/>
      </c>
      <c r="T118" s="525" t="str">
        <f>IFERROR(IF(S118="Check Data ⚠","Check Data ⚠",VLOOKUP(S118,'G-4 Temporal multipliers'!$A$4:$C$37,3,FALSE)),"")</f>
        <v/>
      </c>
      <c r="U118" s="523" t="str">
        <f>IF(F118="","",VLOOKUP(F118,'G-3 Multipliers'!$A$2:$E$129,2,FALSE))</f>
        <v/>
      </c>
      <c r="V118" s="520" t="str">
        <f t="shared" si="9"/>
        <v/>
      </c>
      <c r="W118" s="520" t="str">
        <f>IF(E118="","",IF(AND(V118="Standard difficulty applied",O118&gt;P118),U118,IF(AND(V118="Low Difficulty - only applicable if all habitat created before losses ⚠",P118&gt;=O118),"Low",VLOOKUP(F118,'G-3 Multipliers'!$A$2:$E$129,4,FALSE))))</f>
        <v/>
      </c>
      <c r="X118" s="524" t="str">
        <f>IFERROR(IF(E118="","",VLOOKUP(W118, 'G-3 Multipliers'!$P$2:$Q$6,2,FALSE)),"")</f>
        <v/>
      </c>
      <c r="Y118" s="197"/>
      <c r="Z118" s="499" t="str">
        <f>IF(Y118="","",IF(VLOOKUP(Y118,'G-3 Multipliers'!$S$3:$T$9,2,FALSE)=0,"Spatial Data Missing ⚠",VLOOKUP(Y118,'G-3 Multipliers'!$S$3:$T$9,2,FALSE)))</f>
        <v/>
      </c>
      <c r="AA118" s="545" t="str">
        <f t="shared" si="8"/>
        <v/>
      </c>
      <c r="AB118" s="149"/>
      <c r="AC118" s="150"/>
    </row>
    <row r="119" spans="1:29" ht="13.8" x14ac:dyDescent="0.25">
      <c r="A119" s="31" t="str">
        <f>IFERROR(INDEX('G-8 Condition Look up'!$I$4:$I$130,MATCH(F119,'G-8 Condition Look up'!$A$4:$A$130,0)),"")</f>
        <v/>
      </c>
      <c r="C119" s="244" t="str">
        <f>IFERROR(INDEX('G-1 All Habitats'!$AG$3:$AG$15,MATCH(D119,'G-1 All Habitats'!$AF$3:$AF$15,0)),"")</f>
        <v/>
      </c>
      <c r="D119" s="154"/>
      <c r="E119" s="203"/>
      <c r="F119" s="243" t="str">
        <f>IFERROR(INDEX('G-1 All Habitats'!$B$3:$B$129,MATCH(E119,'G-1 All Habitats'!$A$3:$A$129,0)),"")</f>
        <v/>
      </c>
      <c r="G119" s="386"/>
      <c r="H119" s="537" t="str">
        <f>IF(F119="","",VLOOKUP(F119,'G-1 All Habitats'!$B$2:$M$129,10,FALSE))</f>
        <v/>
      </c>
      <c r="I119" s="524" t="str">
        <f>IFERROR(VLOOKUP(H119,'G-1 All Habitats'!$V$3:$W$7,2,FALSE),"")</f>
        <v/>
      </c>
      <c r="J119" s="199"/>
      <c r="K119" s="524" t="str">
        <f>IFERROR(INDEX('G-8 Condition Look up'!$A$3:$H$130,MATCH(F119,'G-8 Condition Look up'!$A$3:$A$130,0),MATCH(J119,'G-8 Condition Look up'!$A$3:$H$3,0)),"")</f>
        <v/>
      </c>
      <c r="L119" s="145"/>
      <c r="M119" s="540" t="str">
        <f>IF(L119="","",IF(VLOOKUP(L119,'G-3 Multipliers'!$L$3:$N$6,2,FALSE)=0,"Spatial Data Missing ⚠",VLOOKUP(L119,'G-3 Multipliers'!$L$3:$N$6,2,FALSE)))</f>
        <v/>
      </c>
      <c r="N119" s="499" t="str">
        <f>IF(L119="","",IF(VLOOKUP(L119,'G-3 Multipliers'!$L$3:$N$6,3,FALSE)=0,"Spatial Data Missing ⚠",VLOOKUP(L119,'G-3 Multipliers'!$L$3:$N$6,3,FALSE)))</f>
        <v/>
      </c>
      <c r="O119" s="498" t="str">
        <f t="shared" si="5"/>
        <v/>
      </c>
      <c r="P119" s="195"/>
      <c r="Q119" s="195"/>
      <c r="R119" s="520" t="str">
        <f t="shared" si="6"/>
        <v/>
      </c>
      <c r="S119" s="544" t="str">
        <f t="shared" si="7"/>
        <v/>
      </c>
      <c r="T119" s="525" t="str">
        <f>IFERROR(IF(S119="Check Data ⚠","Check Data ⚠",VLOOKUP(S119,'G-4 Temporal multipliers'!$A$4:$C$37,3,FALSE)),"")</f>
        <v/>
      </c>
      <c r="U119" s="523" t="str">
        <f>IF(F119="","",VLOOKUP(F119,'G-3 Multipliers'!$A$2:$E$129,2,FALSE))</f>
        <v/>
      </c>
      <c r="V119" s="520" t="str">
        <f t="shared" si="9"/>
        <v/>
      </c>
      <c r="W119" s="520" t="str">
        <f>IF(E119="","",IF(AND(V119="Standard difficulty applied",O119&gt;P119),U119,IF(AND(V119="Low Difficulty - only applicable if all habitat created before losses ⚠",P119&gt;=O119),"Low",VLOOKUP(F119,'G-3 Multipliers'!$A$2:$E$129,4,FALSE))))</f>
        <v/>
      </c>
      <c r="X119" s="524" t="str">
        <f>IFERROR(IF(E119="","",VLOOKUP(W119, 'G-3 Multipliers'!$P$2:$Q$6,2,FALSE)),"")</f>
        <v/>
      </c>
      <c r="Y119" s="197"/>
      <c r="Z119" s="499" t="str">
        <f>IF(Y119="","",IF(VLOOKUP(Y119,'G-3 Multipliers'!$S$3:$T$9,2,FALSE)=0,"Spatial Data Missing ⚠",VLOOKUP(Y119,'G-3 Multipliers'!$S$3:$T$9,2,FALSE)))</f>
        <v/>
      </c>
      <c r="AA119" s="545" t="str">
        <f t="shared" si="8"/>
        <v/>
      </c>
      <c r="AB119" s="149"/>
      <c r="AC119" s="150"/>
    </row>
    <row r="120" spans="1:29" ht="13.8" x14ac:dyDescent="0.25">
      <c r="A120" s="31" t="str">
        <f>IFERROR(INDEX('G-8 Condition Look up'!$I$4:$I$130,MATCH(F120,'G-8 Condition Look up'!$A$4:$A$130,0)),"")</f>
        <v/>
      </c>
      <c r="C120" s="244" t="str">
        <f>IFERROR(INDEX('G-1 All Habitats'!$AG$3:$AG$15,MATCH(D120,'G-1 All Habitats'!$AF$3:$AF$15,0)),"")</f>
        <v/>
      </c>
      <c r="D120" s="154"/>
      <c r="E120" s="203"/>
      <c r="F120" s="243" t="str">
        <f>IFERROR(INDEX('G-1 All Habitats'!$B$3:$B$129,MATCH(E120,'G-1 All Habitats'!$A$3:$A$129,0)),"")</f>
        <v/>
      </c>
      <c r="G120" s="386"/>
      <c r="H120" s="537" t="str">
        <f>IF(F120="","",VLOOKUP(F120,'G-1 All Habitats'!$B$2:$M$129,10,FALSE))</f>
        <v/>
      </c>
      <c r="I120" s="524" t="str">
        <f>IFERROR(VLOOKUP(H120,'G-1 All Habitats'!$V$3:$W$7,2,FALSE),"")</f>
        <v/>
      </c>
      <c r="J120" s="199"/>
      <c r="K120" s="524" t="str">
        <f>IFERROR(INDEX('G-8 Condition Look up'!$A$3:$H$130,MATCH(F120,'G-8 Condition Look up'!$A$3:$A$130,0),MATCH(J120,'G-8 Condition Look up'!$A$3:$H$3,0)),"")</f>
        <v/>
      </c>
      <c r="L120" s="145"/>
      <c r="M120" s="540" t="str">
        <f>IF(L120="","",IF(VLOOKUP(L120,'G-3 Multipliers'!$L$3:$N$6,2,FALSE)=0,"Spatial Data Missing ⚠",VLOOKUP(L120,'G-3 Multipliers'!$L$3:$N$6,2,FALSE)))</f>
        <v/>
      </c>
      <c r="N120" s="499" t="str">
        <f>IF(L120="","",IF(VLOOKUP(L120,'G-3 Multipliers'!$L$3:$N$6,3,FALSE)=0,"Spatial Data Missing ⚠",VLOOKUP(L120,'G-3 Multipliers'!$L$3:$N$6,3,FALSE)))</f>
        <v/>
      </c>
      <c r="O120" s="498" t="str">
        <f t="shared" si="5"/>
        <v/>
      </c>
      <c r="P120" s="195"/>
      <c r="Q120" s="195"/>
      <c r="R120" s="520" t="str">
        <f t="shared" si="6"/>
        <v/>
      </c>
      <c r="S120" s="544" t="str">
        <f t="shared" si="7"/>
        <v/>
      </c>
      <c r="T120" s="525" t="str">
        <f>IFERROR(IF(S120="Check Data ⚠","Check Data ⚠",VLOOKUP(S120,'G-4 Temporal multipliers'!$A$4:$C$37,3,FALSE)),"")</f>
        <v/>
      </c>
      <c r="U120" s="523" t="str">
        <f>IF(F120="","",VLOOKUP(F120,'G-3 Multipliers'!$A$2:$E$129,2,FALSE))</f>
        <v/>
      </c>
      <c r="V120" s="520" t="str">
        <f t="shared" si="9"/>
        <v/>
      </c>
      <c r="W120" s="520" t="str">
        <f>IF(E120="","",IF(AND(V120="Standard difficulty applied",O120&gt;P120),U120,IF(AND(V120="Low Difficulty - only applicable if all habitat created before losses ⚠",P120&gt;=O120),"Low",VLOOKUP(F120,'G-3 Multipliers'!$A$2:$E$129,4,FALSE))))</f>
        <v/>
      </c>
      <c r="X120" s="524" t="str">
        <f>IFERROR(IF(E120="","",VLOOKUP(W120, 'G-3 Multipliers'!$P$2:$Q$6,2,FALSE)),"")</f>
        <v/>
      </c>
      <c r="Y120" s="197"/>
      <c r="Z120" s="499" t="str">
        <f>IF(Y120="","",IF(VLOOKUP(Y120,'G-3 Multipliers'!$S$3:$T$9,2,FALSE)=0,"Spatial Data Missing ⚠",VLOOKUP(Y120,'G-3 Multipliers'!$S$3:$T$9,2,FALSE)))</f>
        <v/>
      </c>
      <c r="AA120" s="545" t="str">
        <f t="shared" si="8"/>
        <v/>
      </c>
      <c r="AB120" s="149"/>
      <c r="AC120" s="150"/>
    </row>
    <row r="121" spans="1:29" ht="13.8" x14ac:dyDescent="0.25">
      <c r="A121" s="31" t="str">
        <f>IFERROR(INDEX('G-8 Condition Look up'!$I$4:$I$130,MATCH(F121,'G-8 Condition Look up'!$A$4:$A$130,0)),"")</f>
        <v/>
      </c>
      <c r="C121" s="244" t="str">
        <f>IFERROR(INDEX('G-1 All Habitats'!$AG$3:$AG$15,MATCH(D121,'G-1 All Habitats'!$AF$3:$AF$15,0)),"")</f>
        <v/>
      </c>
      <c r="D121" s="154"/>
      <c r="E121" s="203"/>
      <c r="F121" s="243" t="str">
        <f>IFERROR(INDEX('G-1 All Habitats'!$B$3:$B$129,MATCH(E121,'G-1 All Habitats'!$A$3:$A$129,0)),"")</f>
        <v/>
      </c>
      <c r="G121" s="386"/>
      <c r="H121" s="537" t="str">
        <f>IF(F121="","",VLOOKUP(F121,'G-1 All Habitats'!$B$2:$M$129,10,FALSE))</f>
        <v/>
      </c>
      <c r="I121" s="524" t="str">
        <f>IFERROR(VLOOKUP(H121,'G-1 All Habitats'!$V$3:$W$7,2,FALSE),"")</f>
        <v/>
      </c>
      <c r="J121" s="199"/>
      <c r="K121" s="524" t="str">
        <f>IFERROR(INDEX('G-8 Condition Look up'!$A$3:$H$130,MATCH(F121,'G-8 Condition Look up'!$A$3:$A$130,0),MATCH(J121,'G-8 Condition Look up'!$A$3:$H$3,0)),"")</f>
        <v/>
      </c>
      <c r="L121" s="145"/>
      <c r="M121" s="540" t="str">
        <f>IF(L121="","",IF(VLOOKUP(L121,'G-3 Multipliers'!$L$3:$N$6,2,FALSE)=0,"Spatial Data Missing ⚠",VLOOKUP(L121,'G-3 Multipliers'!$L$3:$N$6,2,FALSE)))</f>
        <v/>
      </c>
      <c r="N121" s="499" t="str">
        <f>IF(L121="","",IF(VLOOKUP(L121,'G-3 Multipliers'!$L$3:$N$6,3,FALSE)=0,"Spatial Data Missing ⚠",VLOOKUP(L121,'G-3 Multipliers'!$L$3:$N$6,3,FALSE)))</f>
        <v/>
      </c>
      <c r="O121" s="498" t="str">
        <f t="shared" si="5"/>
        <v/>
      </c>
      <c r="P121" s="195"/>
      <c r="Q121" s="195"/>
      <c r="R121" s="520" t="str">
        <f t="shared" si="6"/>
        <v/>
      </c>
      <c r="S121" s="544" t="str">
        <f t="shared" si="7"/>
        <v/>
      </c>
      <c r="T121" s="525" t="str">
        <f>IFERROR(IF(S121="Check Data ⚠","Check Data ⚠",VLOOKUP(S121,'G-4 Temporal multipliers'!$A$4:$C$37,3,FALSE)),"")</f>
        <v/>
      </c>
      <c r="U121" s="523" t="str">
        <f>IF(F121="","",VLOOKUP(F121,'G-3 Multipliers'!$A$2:$E$129,2,FALSE))</f>
        <v/>
      </c>
      <c r="V121" s="520" t="str">
        <f t="shared" si="9"/>
        <v/>
      </c>
      <c r="W121" s="520" t="str">
        <f>IF(E121="","",IF(AND(V121="Standard difficulty applied",O121&gt;P121),U121,IF(AND(V121="Low Difficulty - only applicable if all habitat created before losses ⚠",P121&gt;=O121),"Low",VLOOKUP(F121,'G-3 Multipliers'!$A$2:$E$129,4,FALSE))))</f>
        <v/>
      </c>
      <c r="X121" s="524" t="str">
        <f>IFERROR(IF(E121="","",VLOOKUP(W121, 'G-3 Multipliers'!$P$2:$Q$6,2,FALSE)),"")</f>
        <v/>
      </c>
      <c r="Y121" s="197"/>
      <c r="Z121" s="499" t="str">
        <f>IF(Y121="","",IF(VLOOKUP(Y121,'G-3 Multipliers'!$S$3:$T$9,2,FALSE)=0,"Spatial Data Missing ⚠",VLOOKUP(Y121,'G-3 Multipliers'!$S$3:$T$9,2,FALSE)))</f>
        <v/>
      </c>
      <c r="AA121" s="545" t="str">
        <f t="shared" si="8"/>
        <v/>
      </c>
      <c r="AB121" s="149"/>
      <c r="AC121" s="150"/>
    </row>
    <row r="122" spans="1:29" ht="13.8" x14ac:dyDescent="0.25">
      <c r="A122" s="31" t="str">
        <f>IFERROR(INDEX('G-8 Condition Look up'!$I$4:$I$130,MATCH(F122,'G-8 Condition Look up'!$A$4:$A$130,0)),"")</f>
        <v/>
      </c>
      <c r="C122" s="244" t="str">
        <f>IFERROR(INDEX('G-1 All Habitats'!$AG$3:$AG$15,MATCH(D122,'G-1 All Habitats'!$AF$3:$AF$15,0)),"")</f>
        <v/>
      </c>
      <c r="D122" s="154"/>
      <c r="E122" s="203"/>
      <c r="F122" s="243" t="str">
        <f>IFERROR(INDEX('G-1 All Habitats'!$B$3:$B$129,MATCH(E122,'G-1 All Habitats'!$A$3:$A$129,0)),"")</f>
        <v/>
      </c>
      <c r="G122" s="386"/>
      <c r="H122" s="537" t="str">
        <f>IF(F122="","",VLOOKUP(F122,'G-1 All Habitats'!$B$2:$M$129,10,FALSE))</f>
        <v/>
      </c>
      <c r="I122" s="524" t="str">
        <f>IFERROR(VLOOKUP(H122,'G-1 All Habitats'!$V$3:$W$7,2,FALSE),"")</f>
        <v/>
      </c>
      <c r="J122" s="199"/>
      <c r="K122" s="524" t="str">
        <f>IFERROR(INDEX('G-8 Condition Look up'!$A$3:$H$130,MATCH(F122,'G-8 Condition Look up'!$A$3:$A$130,0),MATCH(J122,'G-8 Condition Look up'!$A$3:$H$3,0)),"")</f>
        <v/>
      </c>
      <c r="L122" s="145"/>
      <c r="M122" s="540" t="str">
        <f>IF(L122="","",IF(VLOOKUP(L122,'G-3 Multipliers'!$L$3:$N$6,2,FALSE)=0,"Spatial Data Missing ⚠",VLOOKUP(L122,'G-3 Multipliers'!$L$3:$N$6,2,FALSE)))</f>
        <v/>
      </c>
      <c r="N122" s="499" t="str">
        <f>IF(L122="","",IF(VLOOKUP(L122,'G-3 Multipliers'!$L$3:$N$6,3,FALSE)=0,"Spatial Data Missing ⚠",VLOOKUP(L122,'G-3 Multipliers'!$L$3:$N$6,3,FALSE)))</f>
        <v/>
      </c>
      <c r="O122" s="498" t="str">
        <f t="shared" si="5"/>
        <v/>
      </c>
      <c r="P122" s="195"/>
      <c r="Q122" s="195"/>
      <c r="R122" s="520" t="str">
        <f t="shared" si="6"/>
        <v/>
      </c>
      <c r="S122" s="544" t="str">
        <f t="shared" si="7"/>
        <v/>
      </c>
      <c r="T122" s="525" t="str">
        <f>IFERROR(IF(S122="Check Data ⚠","Check Data ⚠",VLOOKUP(S122,'G-4 Temporal multipliers'!$A$4:$C$37,3,FALSE)),"")</f>
        <v/>
      </c>
      <c r="U122" s="523" t="str">
        <f>IF(F122="","",VLOOKUP(F122,'G-3 Multipliers'!$A$2:$E$129,2,FALSE))</f>
        <v/>
      </c>
      <c r="V122" s="520" t="str">
        <f t="shared" si="9"/>
        <v/>
      </c>
      <c r="W122" s="520" t="str">
        <f>IF(E122="","",IF(AND(V122="Standard difficulty applied",O122&gt;P122),U122,IF(AND(V122="Low Difficulty - only applicable if all habitat created before losses ⚠",P122&gt;=O122),"Low",VLOOKUP(F122,'G-3 Multipliers'!$A$2:$E$129,4,FALSE))))</f>
        <v/>
      </c>
      <c r="X122" s="524" t="str">
        <f>IFERROR(IF(E122="","",VLOOKUP(W122, 'G-3 Multipliers'!$P$2:$Q$6,2,FALSE)),"")</f>
        <v/>
      </c>
      <c r="Y122" s="197"/>
      <c r="Z122" s="499" t="str">
        <f>IF(Y122="","",IF(VLOOKUP(Y122,'G-3 Multipliers'!$S$3:$T$9,2,FALSE)=0,"Spatial Data Missing ⚠",VLOOKUP(Y122,'G-3 Multipliers'!$S$3:$T$9,2,FALSE)))</f>
        <v/>
      </c>
      <c r="AA122" s="545" t="str">
        <f t="shared" si="8"/>
        <v/>
      </c>
      <c r="AB122" s="149"/>
      <c r="AC122" s="150"/>
    </row>
    <row r="123" spans="1:29" ht="13.8" x14ac:dyDescent="0.25">
      <c r="A123" s="31" t="str">
        <f>IFERROR(INDEX('G-8 Condition Look up'!$I$4:$I$130,MATCH(F123,'G-8 Condition Look up'!$A$4:$A$130,0)),"")</f>
        <v/>
      </c>
      <c r="C123" s="244" t="str">
        <f>IFERROR(INDEX('G-1 All Habitats'!$AG$3:$AG$15,MATCH(D123,'G-1 All Habitats'!$AF$3:$AF$15,0)),"")</f>
        <v/>
      </c>
      <c r="D123" s="154"/>
      <c r="E123" s="203"/>
      <c r="F123" s="243" t="str">
        <f>IFERROR(INDEX('G-1 All Habitats'!$B$3:$B$129,MATCH(E123,'G-1 All Habitats'!$A$3:$A$129,0)),"")</f>
        <v/>
      </c>
      <c r="G123" s="386"/>
      <c r="H123" s="537" t="str">
        <f>IF(F123="","",VLOOKUP(F123,'G-1 All Habitats'!$B$2:$M$129,10,FALSE))</f>
        <v/>
      </c>
      <c r="I123" s="524" t="str">
        <f>IFERROR(VLOOKUP(H123,'G-1 All Habitats'!$V$3:$W$7,2,FALSE),"")</f>
        <v/>
      </c>
      <c r="J123" s="199"/>
      <c r="K123" s="524" t="str">
        <f>IFERROR(INDEX('G-8 Condition Look up'!$A$3:$H$130,MATCH(F123,'G-8 Condition Look up'!$A$3:$A$130,0),MATCH(J123,'G-8 Condition Look up'!$A$3:$H$3,0)),"")</f>
        <v/>
      </c>
      <c r="L123" s="145"/>
      <c r="M123" s="540" t="str">
        <f>IF(L123="","",IF(VLOOKUP(L123,'G-3 Multipliers'!$L$3:$N$6,2,FALSE)=0,"Spatial Data Missing ⚠",VLOOKUP(L123,'G-3 Multipliers'!$L$3:$N$6,2,FALSE)))</f>
        <v/>
      </c>
      <c r="N123" s="499" t="str">
        <f>IF(L123="","",IF(VLOOKUP(L123,'G-3 Multipliers'!$L$3:$N$6,3,FALSE)=0,"Spatial Data Missing ⚠",VLOOKUP(L123,'G-3 Multipliers'!$L$3:$N$6,3,FALSE)))</f>
        <v/>
      </c>
      <c r="O123" s="498" t="str">
        <f t="shared" si="5"/>
        <v/>
      </c>
      <c r="P123" s="195"/>
      <c r="Q123" s="195"/>
      <c r="R123" s="520" t="str">
        <f t="shared" si="6"/>
        <v/>
      </c>
      <c r="S123" s="544" t="str">
        <f t="shared" si="7"/>
        <v/>
      </c>
      <c r="T123" s="525" t="str">
        <f>IFERROR(IF(S123="Check Data ⚠","Check Data ⚠",VLOOKUP(S123,'G-4 Temporal multipliers'!$A$4:$C$37,3,FALSE)),"")</f>
        <v/>
      </c>
      <c r="U123" s="523" t="str">
        <f>IF(F123="","",VLOOKUP(F123,'G-3 Multipliers'!$A$2:$E$129,2,FALSE))</f>
        <v/>
      </c>
      <c r="V123" s="520" t="str">
        <f t="shared" si="9"/>
        <v/>
      </c>
      <c r="W123" s="520" t="str">
        <f>IF(E123="","",IF(AND(V123="Standard difficulty applied",O123&gt;P123),U123,IF(AND(V123="Low Difficulty - only applicable if all habitat created before losses ⚠",P123&gt;=O123),"Low",VLOOKUP(F123,'G-3 Multipliers'!$A$2:$E$129,4,FALSE))))</f>
        <v/>
      </c>
      <c r="X123" s="524" t="str">
        <f>IFERROR(IF(E123="","",VLOOKUP(W123, 'G-3 Multipliers'!$P$2:$Q$6,2,FALSE)),"")</f>
        <v/>
      </c>
      <c r="Y123" s="197"/>
      <c r="Z123" s="499" t="str">
        <f>IF(Y123="","",IF(VLOOKUP(Y123,'G-3 Multipliers'!$S$3:$T$9,2,FALSE)=0,"Spatial Data Missing ⚠",VLOOKUP(Y123,'G-3 Multipliers'!$S$3:$T$9,2,FALSE)))</f>
        <v/>
      </c>
      <c r="AA123" s="545" t="str">
        <f t="shared" si="8"/>
        <v/>
      </c>
      <c r="AB123" s="149"/>
      <c r="AC123" s="150"/>
    </row>
    <row r="124" spans="1:29" ht="13.8" x14ac:dyDescent="0.25">
      <c r="A124" s="31" t="str">
        <f>IFERROR(INDEX('G-8 Condition Look up'!$I$4:$I$130,MATCH(F124,'G-8 Condition Look up'!$A$4:$A$130,0)),"")</f>
        <v/>
      </c>
      <c r="C124" s="244" t="str">
        <f>IFERROR(INDEX('G-1 All Habitats'!$AG$3:$AG$15,MATCH(D124,'G-1 All Habitats'!$AF$3:$AF$15,0)),"")</f>
        <v/>
      </c>
      <c r="D124" s="154"/>
      <c r="E124" s="203"/>
      <c r="F124" s="243" t="str">
        <f>IFERROR(INDEX('G-1 All Habitats'!$B$3:$B$129,MATCH(E124,'G-1 All Habitats'!$A$3:$A$129,0)),"")</f>
        <v/>
      </c>
      <c r="G124" s="386"/>
      <c r="H124" s="537" t="str">
        <f>IF(F124="","",VLOOKUP(F124,'G-1 All Habitats'!$B$2:$M$129,10,FALSE))</f>
        <v/>
      </c>
      <c r="I124" s="524" t="str">
        <f>IFERROR(VLOOKUP(H124,'G-1 All Habitats'!$V$3:$W$7,2,FALSE),"")</f>
        <v/>
      </c>
      <c r="J124" s="199"/>
      <c r="K124" s="524" t="str">
        <f>IFERROR(INDEX('G-8 Condition Look up'!$A$3:$H$130,MATCH(F124,'G-8 Condition Look up'!$A$3:$A$130,0),MATCH(J124,'G-8 Condition Look up'!$A$3:$H$3,0)),"")</f>
        <v/>
      </c>
      <c r="L124" s="145"/>
      <c r="M124" s="540" t="str">
        <f>IF(L124="","",IF(VLOOKUP(L124,'G-3 Multipliers'!$L$3:$N$6,2,FALSE)=0,"Spatial Data Missing ⚠",VLOOKUP(L124,'G-3 Multipliers'!$L$3:$N$6,2,FALSE)))</f>
        <v/>
      </c>
      <c r="N124" s="499" t="str">
        <f>IF(L124="","",IF(VLOOKUP(L124,'G-3 Multipliers'!$L$3:$N$6,3,FALSE)=0,"Spatial Data Missing ⚠",VLOOKUP(L124,'G-3 Multipliers'!$L$3:$N$6,3,FALSE)))</f>
        <v/>
      </c>
      <c r="O124" s="498" t="str">
        <f t="shared" si="5"/>
        <v/>
      </c>
      <c r="P124" s="195"/>
      <c r="Q124" s="195"/>
      <c r="R124" s="520" t="str">
        <f t="shared" si="6"/>
        <v/>
      </c>
      <c r="S124" s="544" t="str">
        <f t="shared" si="7"/>
        <v/>
      </c>
      <c r="T124" s="525" t="str">
        <f>IFERROR(IF(S124="Check Data ⚠","Check Data ⚠",VLOOKUP(S124,'G-4 Temporal multipliers'!$A$4:$C$37,3,FALSE)),"")</f>
        <v/>
      </c>
      <c r="U124" s="523" t="str">
        <f>IF(F124="","",VLOOKUP(F124,'G-3 Multipliers'!$A$2:$E$129,2,FALSE))</f>
        <v/>
      </c>
      <c r="V124" s="520" t="str">
        <f t="shared" si="9"/>
        <v/>
      </c>
      <c r="W124" s="520" t="str">
        <f>IF(E124="","",IF(AND(V124="Standard difficulty applied",O124&gt;P124),U124,IF(AND(V124="Low Difficulty - only applicable if all habitat created before losses ⚠",P124&gt;=O124),"Low",VLOOKUP(F124,'G-3 Multipliers'!$A$2:$E$129,4,FALSE))))</f>
        <v/>
      </c>
      <c r="X124" s="524" t="str">
        <f>IFERROR(IF(E124="","",VLOOKUP(W124, 'G-3 Multipliers'!$P$2:$Q$6,2,FALSE)),"")</f>
        <v/>
      </c>
      <c r="Y124" s="197"/>
      <c r="Z124" s="499" t="str">
        <f>IF(Y124="","",IF(VLOOKUP(Y124,'G-3 Multipliers'!$S$3:$T$9,2,FALSE)=0,"Spatial Data Missing ⚠",VLOOKUP(Y124,'G-3 Multipliers'!$S$3:$T$9,2,FALSE)))</f>
        <v/>
      </c>
      <c r="AA124" s="545" t="str">
        <f t="shared" si="8"/>
        <v/>
      </c>
      <c r="AB124" s="149"/>
      <c r="AC124" s="150"/>
    </row>
    <row r="125" spans="1:29" ht="13.8" x14ac:dyDescent="0.25">
      <c r="A125" s="31" t="str">
        <f>IFERROR(INDEX('G-8 Condition Look up'!$I$4:$I$130,MATCH(F125,'G-8 Condition Look up'!$A$4:$A$130,0)),"")</f>
        <v/>
      </c>
      <c r="C125" s="244" t="str">
        <f>IFERROR(INDEX('G-1 All Habitats'!$AG$3:$AG$15,MATCH(D125,'G-1 All Habitats'!$AF$3:$AF$15,0)),"")</f>
        <v/>
      </c>
      <c r="D125" s="154"/>
      <c r="E125" s="203"/>
      <c r="F125" s="243" t="str">
        <f>IFERROR(INDEX('G-1 All Habitats'!$B$3:$B$129,MATCH(E125,'G-1 All Habitats'!$A$3:$A$129,0)),"")</f>
        <v/>
      </c>
      <c r="G125" s="386"/>
      <c r="H125" s="537" t="str">
        <f>IF(F125="","",VLOOKUP(F125,'G-1 All Habitats'!$B$2:$M$129,10,FALSE))</f>
        <v/>
      </c>
      <c r="I125" s="524" t="str">
        <f>IFERROR(VLOOKUP(H125,'G-1 All Habitats'!$V$3:$W$7,2,FALSE),"")</f>
        <v/>
      </c>
      <c r="J125" s="199"/>
      <c r="K125" s="524" t="str">
        <f>IFERROR(INDEX('G-8 Condition Look up'!$A$3:$H$130,MATCH(F125,'G-8 Condition Look up'!$A$3:$A$130,0),MATCH(J125,'G-8 Condition Look up'!$A$3:$H$3,0)),"")</f>
        <v/>
      </c>
      <c r="L125" s="145"/>
      <c r="M125" s="540" t="str">
        <f>IF(L125="","",IF(VLOOKUP(L125,'G-3 Multipliers'!$L$3:$N$6,2,FALSE)=0,"Spatial Data Missing ⚠",VLOOKUP(L125,'G-3 Multipliers'!$L$3:$N$6,2,FALSE)))</f>
        <v/>
      </c>
      <c r="N125" s="499" t="str">
        <f>IF(L125="","",IF(VLOOKUP(L125,'G-3 Multipliers'!$L$3:$N$6,3,FALSE)=0,"Spatial Data Missing ⚠",VLOOKUP(L125,'G-3 Multipliers'!$L$3:$N$6,3,FALSE)))</f>
        <v/>
      </c>
      <c r="O125" s="498" t="str">
        <f t="shared" si="5"/>
        <v/>
      </c>
      <c r="P125" s="195"/>
      <c r="Q125" s="195"/>
      <c r="R125" s="520" t="str">
        <f t="shared" si="6"/>
        <v/>
      </c>
      <c r="S125" s="544" t="str">
        <f t="shared" si="7"/>
        <v/>
      </c>
      <c r="T125" s="525" t="str">
        <f>IFERROR(IF(S125="Check Data ⚠","Check Data ⚠",VLOOKUP(S125,'G-4 Temporal multipliers'!$A$4:$C$37,3,FALSE)),"")</f>
        <v/>
      </c>
      <c r="U125" s="523" t="str">
        <f>IF(F125="","",VLOOKUP(F125,'G-3 Multipliers'!$A$2:$E$129,2,FALSE))</f>
        <v/>
      </c>
      <c r="V125" s="520" t="str">
        <f t="shared" si="9"/>
        <v/>
      </c>
      <c r="W125" s="520" t="str">
        <f>IF(E125="","",IF(AND(V125="Standard difficulty applied",O125&gt;P125),U125,IF(AND(V125="Low Difficulty - only applicable if all habitat created before losses ⚠",P125&gt;=O125),"Low",VLOOKUP(F125,'G-3 Multipliers'!$A$2:$E$129,4,FALSE))))</f>
        <v/>
      </c>
      <c r="X125" s="524" t="str">
        <f>IFERROR(IF(E125="","",VLOOKUP(W125, 'G-3 Multipliers'!$P$2:$Q$6,2,FALSE)),"")</f>
        <v/>
      </c>
      <c r="Y125" s="197"/>
      <c r="Z125" s="499" t="str">
        <f>IF(Y125="","",IF(VLOOKUP(Y125,'G-3 Multipliers'!$S$3:$T$9,2,FALSE)=0,"Spatial Data Missing ⚠",VLOOKUP(Y125,'G-3 Multipliers'!$S$3:$T$9,2,FALSE)))</f>
        <v/>
      </c>
      <c r="AA125" s="545" t="str">
        <f t="shared" si="8"/>
        <v/>
      </c>
      <c r="AB125" s="149"/>
      <c r="AC125" s="150"/>
    </row>
    <row r="126" spans="1:29" ht="13.8" x14ac:dyDescent="0.25">
      <c r="A126" s="31" t="str">
        <f>IFERROR(INDEX('G-8 Condition Look up'!$I$4:$I$130,MATCH(F126,'G-8 Condition Look up'!$A$4:$A$130,0)),"")</f>
        <v/>
      </c>
      <c r="C126" s="244" t="str">
        <f>IFERROR(INDEX('G-1 All Habitats'!$AG$3:$AG$15,MATCH(D126,'G-1 All Habitats'!$AF$3:$AF$15,0)),"")</f>
        <v/>
      </c>
      <c r="D126" s="154"/>
      <c r="E126" s="203"/>
      <c r="F126" s="243" t="str">
        <f>IFERROR(INDEX('G-1 All Habitats'!$B$3:$B$129,MATCH(E126,'G-1 All Habitats'!$A$3:$A$129,0)),"")</f>
        <v/>
      </c>
      <c r="G126" s="386"/>
      <c r="H126" s="537" t="str">
        <f>IF(F126="","",VLOOKUP(F126,'G-1 All Habitats'!$B$2:$M$129,10,FALSE))</f>
        <v/>
      </c>
      <c r="I126" s="524" t="str">
        <f>IFERROR(VLOOKUP(H126,'G-1 All Habitats'!$V$3:$W$7,2,FALSE),"")</f>
        <v/>
      </c>
      <c r="J126" s="199"/>
      <c r="K126" s="524" t="str">
        <f>IFERROR(INDEX('G-8 Condition Look up'!$A$3:$H$130,MATCH(F126,'G-8 Condition Look up'!$A$3:$A$130,0),MATCH(J126,'G-8 Condition Look up'!$A$3:$H$3,0)),"")</f>
        <v/>
      </c>
      <c r="L126" s="145"/>
      <c r="M126" s="540" t="str">
        <f>IF(L126="","",IF(VLOOKUP(L126,'G-3 Multipliers'!$L$3:$N$6,2,FALSE)=0,"Spatial Data Missing ⚠",VLOOKUP(L126,'G-3 Multipliers'!$L$3:$N$6,2,FALSE)))</f>
        <v/>
      </c>
      <c r="N126" s="499" t="str">
        <f>IF(L126="","",IF(VLOOKUP(L126,'G-3 Multipliers'!$L$3:$N$6,3,FALSE)=0,"Spatial Data Missing ⚠",VLOOKUP(L126,'G-3 Multipliers'!$L$3:$N$6,3,FALSE)))</f>
        <v/>
      </c>
      <c r="O126" s="498" t="str">
        <f t="shared" si="5"/>
        <v/>
      </c>
      <c r="P126" s="195"/>
      <c r="Q126" s="195"/>
      <c r="R126" s="520" t="str">
        <f t="shared" si="6"/>
        <v/>
      </c>
      <c r="S126" s="544" t="str">
        <f t="shared" si="7"/>
        <v/>
      </c>
      <c r="T126" s="525" t="str">
        <f>IFERROR(IF(S126="Check Data ⚠","Check Data ⚠",VLOOKUP(S126,'G-4 Temporal multipliers'!$A$4:$C$37,3,FALSE)),"")</f>
        <v/>
      </c>
      <c r="U126" s="523" t="str">
        <f>IF(F126="","",VLOOKUP(F126,'G-3 Multipliers'!$A$2:$E$129,2,FALSE))</f>
        <v/>
      </c>
      <c r="V126" s="520" t="str">
        <f t="shared" si="9"/>
        <v/>
      </c>
      <c r="W126" s="520" t="str">
        <f>IF(E126="","",IF(AND(V126="Standard difficulty applied",O126&gt;P126),U126,IF(AND(V126="Low Difficulty - only applicable if all habitat created before losses ⚠",P126&gt;=O126),"Low",VLOOKUP(F126,'G-3 Multipliers'!$A$2:$E$129,4,FALSE))))</f>
        <v/>
      </c>
      <c r="X126" s="524" t="str">
        <f>IFERROR(IF(E126="","",VLOOKUP(W126, 'G-3 Multipliers'!$P$2:$Q$6,2,FALSE)),"")</f>
        <v/>
      </c>
      <c r="Y126" s="197"/>
      <c r="Z126" s="499" t="str">
        <f>IF(Y126="","",IF(VLOOKUP(Y126,'G-3 Multipliers'!$S$3:$T$9,2,FALSE)=0,"Spatial Data Missing ⚠",VLOOKUP(Y126,'G-3 Multipliers'!$S$3:$T$9,2,FALSE)))</f>
        <v/>
      </c>
      <c r="AA126" s="545" t="str">
        <f t="shared" si="8"/>
        <v/>
      </c>
      <c r="AB126" s="149"/>
      <c r="AC126" s="150"/>
    </row>
    <row r="127" spans="1:29" ht="13.8" x14ac:dyDescent="0.25">
      <c r="A127" s="31" t="str">
        <f>IFERROR(INDEX('G-8 Condition Look up'!$I$4:$I$130,MATCH(F127,'G-8 Condition Look up'!$A$4:$A$130,0)),"")</f>
        <v/>
      </c>
      <c r="C127" s="244" t="str">
        <f>IFERROR(INDEX('G-1 All Habitats'!$AG$3:$AG$15,MATCH(D127,'G-1 All Habitats'!$AF$3:$AF$15,0)),"")</f>
        <v/>
      </c>
      <c r="D127" s="154"/>
      <c r="E127" s="203"/>
      <c r="F127" s="243" t="str">
        <f>IFERROR(INDEX('G-1 All Habitats'!$B$3:$B$129,MATCH(E127,'G-1 All Habitats'!$A$3:$A$129,0)),"")</f>
        <v/>
      </c>
      <c r="G127" s="386"/>
      <c r="H127" s="537" t="str">
        <f>IF(F127="","",VLOOKUP(F127,'G-1 All Habitats'!$B$2:$M$129,10,FALSE))</f>
        <v/>
      </c>
      <c r="I127" s="524" t="str">
        <f>IFERROR(VLOOKUP(H127,'G-1 All Habitats'!$V$3:$W$7,2,FALSE),"")</f>
        <v/>
      </c>
      <c r="J127" s="199"/>
      <c r="K127" s="524" t="str">
        <f>IFERROR(INDEX('G-8 Condition Look up'!$A$3:$H$130,MATCH(F127,'G-8 Condition Look up'!$A$3:$A$130,0),MATCH(J127,'G-8 Condition Look up'!$A$3:$H$3,0)),"")</f>
        <v/>
      </c>
      <c r="L127" s="145"/>
      <c r="M127" s="540" t="str">
        <f>IF(L127="","",IF(VLOOKUP(L127,'G-3 Multipliers'!$L$3:$N$6,2,FALSE)=0,"Spatial Data Missing ⚠",VLOOKUP(L127,'G-3 Multipliers'!$L$3:$N$6,2,FALSE)))</f>
        <v/>
      </c>
      <c r="N127" s="499" t="str">
        <f>IF(L127="","",IF(VLOOKUP(L127,'G-3 Multipliers'!$L$3:$N$6,3,FALSE)=0,"Spatial Data Missing ⚠",VLOOKUP(L127,'G-3 Multipliers'!$L$3:$N$6,3,FALSE)))</f>
        <v/>
      </c>
      <c r="O127" s="498" t="str">
        <f t="shared" si="5"/>
        <v/>
      </c>
      <c r="P127" s="195"/>
      <c r="Q127" s="195"/>
      <c r="R127" s="520" t="str">
        <f t="shared" si="6"/>
        <v/>
      </c>
      <c r="S127" s="544" t="str">
        <f t="shared" si="7"/>
        <v/>
      </c>
      <c r="T127" s="525" t="str">
        <f>IFERROR(IF(S127="Check Data ⚠","Check Data ⚠",VLOOKUP(S127,'G-4 Temporal multipliers'!$A$4:$C$37,3,FALSE)),"")</f>
        <v/>
      </c>
      <c r="U127" s="523" t="str">
        <f>IF(F127="","",VLOOKUP(F127,'G-3 Multipliers'!$A$2:$E$129,2,FALSE))</f>
        <v/>
      </c>
      <c r="V127" s="520" t="str">
        <f t="shared" si="9"/>
        <v/>
      </c>
      <c r="W127" s="520" t="str">
        <f>IF(E127="","",IF(AND(V127="Standard difficulty applied",O127&gt;P127),U127,IF(AND(V127="Low Difficulty - only applicable if all habitat created before losses ⚠",P127&gt;=O127),"Low",VLOOKUP(F127,'G-3 Multipliers'!$A$2:$E$129,4,FALSE))))</f>
        <v/>
      </c>
      <c r="X127" s="524" t="str">
        <f>IFERROR(IF(E127="","",VLOOKUP(W127, 'G-3 Multipliers'!$P$2:$Q$6,2,FALSE)),"")</f>
        <v/>
      </c>
      <c r="Y127" s="197"/>
      <c r="Z127" s="499" t="str">
        <f>IF(Y127="","",IF(VLOOKUP(Y127,'G-3 Multipliers'!$S$3:$T$9,2,FALSE)=0,"Spatial Data Missing ⚠",VLOOKUP(Y127,'G-3 Multipliers'!$S$3:$T$9,2,FALSE)))</f>
        <v/>
      </c>
      <c r="AA127" s="545" t="str">
        <f t="shared" si="8"/>
        <v/>
      </c>
      <c r="AB127" s="149"/>
      <c r="AC127" s="150"/>
    </row>
    <row r="128" spans="1:29" ht="13.8" x14ac:dyDescent="0.25">
      <c r="A128" s="31" t="str">
        <f>IFERROR(INDEX('G-8 Condition Look up'!$I$4:$I$130,MATCH(F128,'G-8 Condition Look up'!$A$4:$A$130,0)),"")</f>
        <v/>
      </c>
      <c r="C128" s="244" t="str">
        <f>IFERROR(INDEX('G-1 All Habitats'!$AG$3:$AG$15,MATCH(D128,'G-1 All Habitats'!$AF$3:$AF$15,0)),"")</f>
        <v/>
      </c>
      <c r="D128" s="154"/>
      <c r="E128" s="203"/>
      <c r="F128" s="243" t="str">
        <f>IFERROR(INDEX('G-1 All Habitats'!$B$3:$B$129,MATCH(E128,'G-1 All Habitats'!$A$3:$A$129,0)),"")</f>
        <v/>
      </c>
      <c r="G128" s="386"/>
      <c r="H128" s="537" t="str">
        <f>IF(F128="","",VLOOKUP(F128,'G-1 All Habitats'!$B$2:$M$129,10,FALSE))</f>
        <v/>
      </c>
      <c r="I128" s="524" t="str">
        <f>IFERROR(VLOOKUP(H128,'G-1 All Habitats'!$V$3:$W$7,2,FALSE),"")</f>
        <v/>
      </c>
      <c r="J128" s="199"/>
      <c r="K128" s="524" t="str">
        <f>IFERROR(INDEX('G-8 Condition Look up'!$A$3:$H$130,MATCH(F128,'G-8 Condition Look up'!$A$3:$A$130,0),MATCH(J128,'G-8 Condition Look up'!$A$3:$H$3,0)),"")</f>
        <v/>
      </c>
      <c r="L128" s="145"/>
      <c r="M128" s="540" t="str">
        <f>IF(L128="","",IF(VLOOKUP(L128,'G-3 Multipliers'!$L$3:$N$6,2,FALSE)=0,"Spatial Data Missing ⚠",VLOOKUP(L128,'G-3 Multipliers'!$L$3:$N$6,2,FALSE)))</f>
        <v/>
      </c>
      <c r="N128" s="499" t="str">
        <f>IF(L128="","",IF(VLOOKUP(L128,'G-3 Multipliers'!$L$3:$N$6,3,FALSE)=0,"Spatial Data Missing ⚠",VLOOKUP(L128,'G-3 Multipliers'!$L$3:$N$6,3,FALSE)))</f>
        <v/>
      </c>
      <c r="O128" s="498" t="str">
        <f t="shared" si="5"/>
        <v/>
      </c>
      <c r="P128" s="195"/>
      <c r="Q128" s="195"/>
      <c r="R128" s="520" t="str">
        <f t="shared" si="6"/>
        <v/>
      </c>
      <c r="S128" s="544" t="str">
        <f t="shared" si="7"/>
        <v/>
      </c>
      <c r="T128" s="525" t="str">
        <f>IFERROR(IF(S128="Check Data ⚠","Check Data ⚠",VLOOKUP(S128,'G-4 Temporal multipliers'!$A$4:$C$37,3,FALSE)),"")</f>
        <v/>
      </c>
      <c r="U128" s="523" t="str">
        <f>IF(F128="","",VLOOKUP(F128,'G-3 Multipliers'!$A$2:$E$129,2,FALSE))</f>
        <v/>
      </c>
      <c r="V128" s="520" t="str">
        <f t="shared" si="9"/>
        <v/>
      </c>
      <c r="W128" s="520" t="str">
        <f>IF(E128="","",IF(AND(V128="Standard difficulty applied",O128&gt;P128),U128,IF(AND(V128="Low Difficulty - only applicable if all habitat created before losses ⚠",P128&gt;=O128),"Low",VLOOKUP(F128,'G-3 Multipliers'!$A$2:$E$129,4,FALSE))))</f>
        <v/>
      </c>
      <c r="X128" s="524" t="str">
        <f>IFERROR(IF(E128="","",VLOOKUP(W128, 'G-3 Multipliers'!$P$2:$Q$6,2,FALSE)),"")</f>
        <v/>
      </c>
      <c r="Y128" s="197"/>
      <c r="Z128" s="499" t="str">
        <f>IF(Y128="","",IF(VLOOKUP(Y128,'G-3 Multipliers'!$S$3:$T$9,2,FALSE)=0,"Spatial Data Missing ⚠",VLOOKUP(Y128,'G-3 Multipliers'!$S$3:$T$9,2,FALSE)))</f>
        <v/>
      </c>
      <c r="AA128" s="545" t="str">
        <f t="shared" si="8"/>
        <v/>
      </c>
      <c r="AB128" s="149"/>
      <c r="AC128" s="150"/>
    </row>
    <row r="129" spans="1:29" ht="13.8" x14ac:dyDescent="0.25">
      <c r="A129" s="31" t="str">
        <f>IFERROR(INDEX('G-8 Condition Look up'!$I$4:$I$130,MATCH(F129,'G-8 Condition Look up'!$A$4:$A$130,0)),"")</f>
        <v/>
      </c>
      <c r="C129" s="244" t="str">
        <f>IFERROR(INDEX('G-1 All Habitats'!$AG$3:$AG$15,MATCH(D129,'G-1 All Habitats'!$AF$3:$AF$15,0)),"")</f>
        <v/>
      </c>
      <c r="D129" s="154"/>
      <c r="E129" s="203"/>
      <c r="F129" s="243" t="str">
        <f>IFERROR(INDEX('G-1 All Habitats'!$B$3:$B$129,MATCH(E129,'G-1 All Habitats'!$A$3:$A$129,0)),"")</f>
        <v/>
      </c>
      <c r="G129" s="386"/>
      <c r="H129" s="537" t="str">
        <f>IF(F129="","",VLOOKUP(F129,'G-1 All Habitats'!$B$2:$M$129,10,FALSE))</f>
        <v/>
      </c>
      <c r="I129" s="524" t="str">
        <f>IFERROR(VLOOKUP(H129,'G-1 All Habitats'!$V$3:$W$7,2,FALSE),"")</f>
        <v/>
      </c>
      <c r="J129" s="199"/>
      <c r="K129" s="524" t="str">
        <f>IFERROR(INDEX('G-8 Condition Look up'!$A$3:$H$130,MATCH(F129,'G-8 Condition Look up'!$A$3:$A$130,0),MATCH(J129,'G-8 Condition Look up'!$A$3:$H$3,0)),"")</f>
        <v/>
      </c>
      <c r="L129" s="145"/>
      <c r="M129" s="540" t="str">
        <f>IF(L129="","",IF(VLOOKUP(L129,'G-3 Multipliers'!$L$3:$N$6,2,FALSE)=0,"Spatial Data Missing ⚠",VLOOKUP(L129,'G-3 Multipliers'!$L$3:$N$6,2,FALSE)))</f>
        <v/>
      </c>
      <c r="N129" s="499" t="str">
        <f>IF(L129="","",IF(VLOOKUP(L129,'G-3 Multipliers'!$L$3:$N$6,3,FALSE)=0,"Spatial Data Missing ⚠",VLOOKUP(L129,'G-3 Multipliers'!$L$3:$N$6,3,FALSE)))</f>
        <v/>
      </c>
      <c r="O129" s="498" t="str">
        <f t="shared" si="5"/>
        <v/>
      </c>
      <c r="P129" s="195"/>
      <c r="Q129" s="195"/>
      <c r="R129" s="520" t="str">
        <f t="shared" si="6"/>
        <v/>
      </c>
      <c r="S129" s="544" t="str">
        <f t="shared" si="7"/>
        <v/>
      </c>
      <c r="T129" s="525" t="str">
        <f>IFERROR(IF(S129="Check Data ⚠","Check Data ⚠",VLOOKUP(S129,'G-4 Temporal multipliers'!$A$4:$C$37,3,FALSE)),"")</f>
        <v/>
      </c>
      <c r="U129" s="523" t="str">
        <f>IF(F129="","",VLOOKUP(F129,'G-3 Multipliers'!$A$2:$E$129,2,FALSE))</f>
        <v/>
      </c>
      <c r="V129" s="520" t="str">
        <f t="shared" si="9"/>
        <v/>
      </c>
      <c r="W129" s="520" t="str">
        <f>IF(E129="","",IF(AND(V129="Standard difficulty applied",O129&gt;P129),U129,IF(AND(V129="Low Difficulty - only applicable if all habitat created before losses ⚠",P129&gt;=O129),"Low",VLOOKUP(F129,'G-3 Multipliers'!$A$2:$E$129,4,FALSE))))</f>
        <v/>
      </c>
      <c r="X129" s="524" t="str">
        <f>IFERROR(IF(E129="","",VLOOKUP(W129, 'G-3 Multipliers'!$P$2:$Q$6,2,FALSE)),"")</f>
        <v/>
      </c>
      <c r="Y129" s="197"/>
      <c r="Z129" s="499" t="str">
        <f>IF(Y129="","",IF(VLOOKUP(Y129,'G-3 Multipliers'!$S$3:$T$9,2,FALSE)=0,"Spatial Data Missing ⚠",VLOOKUP(Y129,'G-3 Multipliers'!$S$3:$T$9,2,FALSE)))</f>
        <v/>
      </c>
      <c r="AA129" s="545" t="str">
        <f t="shared" si="8"/>
        <v/>
      </c>
      <c r="AB129" s="149"/>
      <c r="AC129" s="150"/>
    </row>
    <row r="130" spans="1:29" ht="13.8" x14ac:dyDescent="0.25">
      <c r="A130" s="31" t="str">
        <f>IFERROR(INDEX('G-8 Condition Look up'!$I$4:$I$130,MATCH(F130,'G-8 Condition Look up'!$A$4:$A$130,0)),"")</f>
        <v/>
      </c>
      <c r="C130" s="244" t="str">
        <f>IFERROR(INDEX('G-1 All Habitats'!$AG$3:$AG$15,MATCH(D130,'G-1 All Habitats'!$AF$3:$AF$15,0)),"")</f>
        <v/>
      </c>
      <c r="D130" s="154"/>
      <c r="E130" s="203"/>
      <c r="F130" s="243" t="str">
        <f>IFERROR(INDEX('G-1 All Habitats'!$B$3:$B$129,MATCH(E130,'G-1 All Habitats'!$A$3:$A$129,0)),"")</f>
        <v/>
      </c>
      <c r="G130" s="386"/>
      <c r="H130" s="537" t="str">
        <f>IF(F130="","",VLOOKUP(F130,'G-1 All Habitats'!$B$2:$M$129,10,FALSE))</f>
        <v/>
      </c>
      <c r="I130" s="524" t="str">
        <f>IFERROR(VLOOKUP(H130,'G-1 All Habitats'!$V$3:$W$7,2,FALSE),"")</f>
        <v/>
      </c>
      <c r="J130" s="199"/>
      <c r="K130" s="524" t="str">
        <f>IFERROR(INDEX('G-8 Condition Look up'!$A$3:$H$130,MATCH(F130,'G-8 Condition Look up'!$A$3:$A$130,0),MATCH(J130,'G-8 Condition Look up'!$A$3:$H$3,0)),"")</f>
        <v/>
      </c>
      <c r="L130" s="145"/>
      <c r="M130" s="540" t="str">
        <f>IF(L130="","",IF(VLOOKUP(L130,'G-3 Multipliers'!$L$3:$N$6,2,FALSE)=0,"Spatial Data Missing ⚠",VLOOKUP(L130,'G-3 Multipliers'!$L$3:$N$6,2,FALSE)))</f>
        <v/>
      </c>
      <c r="N130" s="499" t="str">
        <f>IF(L130="","",IF(VLOOKUP(L130,'G-3 Multipliers'!$L$3:$N$6,3,FALSE)=0,"Spatial Data Missing ⚠",VLOOKUP(L130,'G-3 Multipliers'!$L$3:$N$6,3,FALSE)))</f>
        <v/>
      </c>
      <c r="O130" s="498" t="str">
        <f t="shared" si="5"/>
        <v/>
      </c>
      <c r="P130" s="195"/>
      <c r="Q130" s="195"/>
      <c r="R130" s="520" t="str">
        <f t="shared" si="6"/>
        <v/>
      </c>
      <c r="S130" s="544" t="str">
        <f t="shared" si="7"/>
        <v/>
      </c>
      <c r="T130" s="525" t="str">
        <f>IFERROR(IF(S130="Check Data ⚠","Check Data ⚠",VLOOKUP(S130,'G-4 Temporal multipliers'!$A$4:$C$37,3,FALSE)),"")</f>
        <v/>
      </c>
      <c r="U130" s="523" t="str">
        <f>IF(F130="","",VLOOKUP(F130,'G-3 Multipliers'!$A$2:$E$129,2,FALSE))</f>
        <v/>
      </c>
      <c r="V130" s="520" t="str">
        <f t="shared" si="9"/>
        <v/>
      </c>
      <c r="W130" s="520" t="str">
        <f>IF(E130="","",IF(AND(V130="Standard difficulty applied",O130&gt;P130),U130,IF(AND(V130="Low Difficulty - only applicable if all habitat created before losses ⚠",P130&gt;=O130),"Low",VLOOKUP(F130,'G-3 Multipliers'!$A$2:$E$129,4,FALSE))))</f>
        <v/>
      </c>
      <c r="X130" s="524" t="str">
        <f>IFERROR(IF(E130="","",VLOOKUP(W130, 'G-3 Multipliers'!$P$2:$Q$6,2,FALSE)),"")</f>
        <v/>
      </c>
      <c r="Y130" s="197"/>
      <c r="Z130" s="499" t="str">
        <f>IF(Y130="","",IF(VLOOKUP(Y130,'G-3 Multipliers'!$S$3:$T$9,2,FALSE)=0,"Spatial Data Missing ⚠",VLOOKUP(Y130,'G-3 Multipliers'!$S$3:$T$9,2,FALSE)))</f>
        <v/>
      </c>
      <c r="AA130" s="545" t="str">
        <f t="shared" si="8"/>
        <v/>
      </c>
      <c r="AB130" s="149"/>
      <c r="AC130" s="150"/>
    </row>
    <row r="131" spans="1:29" ht="13.8" x14ac:dyDescent="0.25">
      <c r="A131" s="31" t="str">
        <f>IFERROR(INDEX('G-8 Condition Look up'!$I$4:$I$130,MATCH(F131,'G-8 Condition Look up'!$A$4:$A$130,0)),"")</f>
        <v/>
      </c>
      <c r="C131" s="244" t="str">
        <f>IFERROR(INDEX('G-1 All Habitats'!$AG$3:$AG$15,MATCH(D131,'G-1 All Habitats'!$AF$3:$AF$15,0)),"")</f>
        <v/>
      </c>
      <c r="D131" s="154"/>
      <c r="E131" s="203"/>
      <c r="F131" s="243" t="str">
        <f>IFERROR(INDEX('G-1 All Habitats'!$B$3:$B$129,MATCH(E131,'G-1 All Habitats'!$A$3:$A$129,0)),"")</f>
        <v/>
      </c>
      <c r="G131" s="386"/>
      <c r="H131" s="537" t="str">
        <f>IF(F131="","",VLOOKUP(F131,'G-1 All Habitats'!$B$2:$M$129,10,FALSE))</f>
        <v/>
      </c>
      <c r="I131" s="524" t="str">
        <f>IFERROR(VLOOKUP(H131,'G-1 All Habitats'!$V$3:$W$7,2,FALSE),"")</f>
        <v/>
      </c>
      <c r="J131" s="199"/>
      <c r="K131" s="524" t="str">
        <f>IFERROR(INDEX('G-8 Condition Look up'!$A$3:$H$130,MATCH(F131,'G-8 Condition Look up'!$A$3:$A$130,0),MATCH(J131,'G-8 Condition Look up'!$A$3:$H$3,0)),"")</f>
        <v/>
      </c>
      <c r="L131" s="145"/>
      <c r="M131" s="540" t="str">
        <f>IF(L131="","",IF(VLOOKUP(L131,'G-3 Multipliers'!$L$3:$N$6,2,FALSE)=0,"Spatial Data Missing ⚠",VLOOKUP(L131,'G-3 Multipliers'!$L$3:$N$6,2,FALSE)))</f>
        <v/>
      </c>
      <c r="N131" s="499" t="str">
        <f>IF(L131="","",IF(VLOOKUP(L131,'G-3 Multipliers'!$L$3:$N$6,3,FALSE)=0,"Spatial Data Missing ⚠",VLOOKUP(L131,'G-3 Multipliers'!$L$3:$N$6,3,FALSE)))</f>
        <v/>
      </c>
      <c r="O131" s="498" t="str">
        <f t="shared" si="5"/>
        <v/>
      </c>
      <c r="P131" s="195"/>
      <c r="Q131" s="195"/>
      <c r="R131" s="520" t="str">
        <f t="shared" si="6"/>
        <v/>
      </c>
      <c r="S131" s="544" t="str">
        <f t="shared" si="7"/>
        <v/>
      </c>
      <c r="T131" s="525" t="str">
        <f>IFERROR(IF(S131="Check Data ⚠","Check Data ⚠",VLOOKUP(S131,'G-4 Temporal multipliers'!$A$4:$C$37,3,FALSE)),"")</f>
        <v/>
      </c>
      <c r="U131" s="523" t="str">
        <f>IF(F131="","",VLOOKUP(F131,'G-3 Multipliers'!$A$2:$E$129,2,FALSE))</f>
        <v/>
      </c>
      <c r="V131" s="520" t="str">
        <f t="shared" si="9"/>
        <v/>
      </c>
      <c r="W131" s="520" t="str">
        <f>IF(E131="","",IF(AND(V131="Standard difficulty applied",O131&gt;P131),U131,IF(AND(V131="Low Difficulty - only applicable if all habitat created before losses ⚠",P131&gt;=O131),"Low",VLOOKUP(F131,'G-3 Multipliers'!$A$2:$E$129,4,FALSE))))</f>
        <v/>
      </c>
      <c r="X131" s="524" t="str">
        <f>IFERROR(IF(E131="","",VLOOKUP(W131, 'G-3 Multipliers'!$P$2:$Q$6,2,FALSE)),"")</f>
        <v/>
      </c>
      <c r="Y131" s="197"/>
      <c r="Z131" s="499" t="str">
        <f>IF(Y131="","",IF(VLOOKUP(Y131,'G-3 Multipliers'!$S$3:$T$9,2,FALSE)=0,"Spatial Data Missing ⚠",VLOOKUP(Y131,'G-3 Multipliers'!$S$3:$T$9,2,FALSE)))</f>
        <v/>
      </c>
      <c r="AA131" s="545" t="str">
        <f t="shared" si="8"/>
        <v/>
      </c>
      <c r="AB131" s="149"/>
      <c r="AC131" s="150"/>
    </row>
    <row r="132" spans="1:29" ht="13.8" x14ac:dyDescent="0.25">
      <c r="A132" s="31" t="str">
        <f>IFERROR(INDEX('G-8 Condition Look up'!$I$4:$I$130,MATCH(F132,'G-8 Condition Look up'!$A$4:$A$130,0)),"")</f>
        <v/>
      </c>
      <c r="C132" s="244" t="str">
        <f>IFERROR(INDEX('G-1 All Habitats'!$AG$3:$AG$15,MATCH(D132,'G-1 All Habitats'!$AF$3:$AF$15,0)),"")</f>
        <v/>
      </c>
      <c r="D132" s="154"/>
      <c r="E132" s="203"/>
      <c r="F132" s="243" t="str">
        <f>IFERROR(INDEX('G-1 All Habitats'!$B$3:$B$129,MATCH(E132,'G-1 All Habitats'!$A$3:$A$129,0)),"")</f>
        <v/>
      </c>
      <c r="G132" s="386"/>
      <c r="H132" s="537" t="str">
        <f>IF(F132="","",VLOOKUP(F132,'G-1 All Habitats'!$B$2:$M$129,10,FALSE))</f>
        <v/>
      </c>
      <c r="I132" s="524" t="str">
        <f>IFERROR(VLOOKUP(H132,'G-1 All Habitats'!$V$3:$W$7,2,FALSE),"")</f>
        <v/>
      </c>
      <c r="J132" s="199"/>
      <c r="K132" s="524" t="str">
        <f>IFERROR(INDEX('G-8 Condition Look up'!$A$3:$H$130,MATCH(F132,'G-8 Condition Look up'!$A$3:$A$130,0),MATCH(J132,'G-8 Condition Look up'!$A$3:$H$3,0)),"")</f>
        <v/>
      </c>
      <c r="L132" s="145"/>
      <c r="M132" s="540" t="str">
        <f>IF(L132="","",IF(VLOOKUP(L132,'G-3 Multipliers'!$L$3:$N$6,2,FALSE)=0,"Spatial Data Missing ⚠",VLOOKUP(L132,'G-3 Multipliers'!$L$3:$N$6,2,FALSE)))</f>
        <v/>
      </c>
      <c r="N132" s="499" t="str">
        <f>IF(L132="","",IF(VLOOKUP(L132,'G-3 Multipliers'!$L$3:$N$6,3,FALSE)=0,"Spatial Data Missing ⚠",VLOOKUP(L132,'G-3 Multipliers'!$L$3:$N$6,3,FALSE)))</f>
        <v/>
      </c>
      <c r="O132" s="498" t="str">
        <f t="shared" si="5"/>
        <v/>
      </c>
      <c r="P132" s="195"/>
      <c r="Q132" s="195"/>
      <c r="R132" s="520" t="str">
        <f t="shared" si="6"/>
        <v/>
      </c>
      <c r="S132" s="544" t="str">
        <f t="shared" si="7"/>
        <v/>
      </c>
      <c r="T132" s="525" t="str">
        <f>IFERROR(IF(S132="Check Data ⚠","Check Data ⚠",VLOOKUP(S132,'G-4 Temporal multipliers'!$A$4:$C$37,3,FALSE)),"")</f>
        <v/>
      </c>
      <c r="U132" s="523" t="str">
        <f>IF(F132="","",VLOOKUP(F132,'G-3 Multipliers'!$A$2:$E$129,2,FALSE))</f>
        <v/>
      </c>
      <c r="V132" s="520" t="str">
        <f t="shared" si="9"/>
        <v/>
      </c>
      <c r="W132" s="520" t="str">
        <f>IF(E132="","",IF(AND(V132="Standard difficulty applied",O132&gt;P132),U132,IF(AND(V132="Low Difficulty - only applicable if all habitat created before losses ⚠",P132&gt;=O132),"Low",VLOOKUP(F132,'G-3 Multipliers'!$A$2:$E$129,4,FALSE))))</f>
        <v/>
      </c>
      <c r="X132" s="524" t="str">
        <f>IFERROR(IF(E132="","",VLOOKUP(W132, 'G-3 Multipliers'!$P$2:$Q$6,2,FALSE)),"")</f>
        <v/>
      </c>
      <c r="Y132" s="197"/>
      <c r="Z132" s="499" t="str">
        <f>IF(Y132="","",IF(VLOOKUP(Y132,'G-3 Multipliers'!$S$3:$T$9,2,FALSE)=0,"Spatial Data Missing ⚠",VLOOKUP(Y132,'G-3 Multipliers'!$S$3:$T$9,2,FALSE)))</f>
        <v/>
      </c>
      <c r="AA132" s="545" t="str">
        <f t="shared" si="8"/>
        <v/>
      </c>
      <c r="AB132" s="149"/>
      <c r="AC132" s="150"/>
    </row>
    <row r="133" spans="1:29" ht="13.8" x14ac:dyDescent="0.25">
      <c r="A133" s="31" t="str">
        <f>IFERROR(INDEX('G-8 Condition Look up'!$I$4:$I$130,MATCH(F133,'G-8 Condition Look up'!$A$4:$A$130,0)),"")</f>
        <v/>
      </c>
      <c r="C133" s="244" t="str">
        <f>IFERROR(INDEX('G-1 All Habitats'!$AG$3:$AG$15,MATCH(D133,'G-1 All Habitats'!$AF$3:$AF$15,0)),"")</f>
        <v/>
      </c>
      <c r="D133" s="154"/>
      <c r="E133" s="203"/>
      <c r="F133" s="243" t="str">
        <f>IFERROR(INDEX('G-1 All Habitats'!$B$3:$B$129,MATCH(E133,'G-1 All Habitats'!$A$3:$A$129,0)),"")</f>
        <v/>
      </c>
      <c r="G133" s="386"/>
      <c r="H133" s="537" t="str">
        <f>IF(F133="","",VLOOKUP(F133,'G-1 All Habitats'!$B$2:$M$129,10,FALSE))</f>
        <v/>
      </c>
      <c r="I133" s="524" t="str">
        <f>IFERROR(VLOOKUP(H133,'G-1 All Habitats'!$V$3:$W$7,2,FALSE),"")</f>
        <v/>
      </c>
      <c r="J133" s="199"/>
      <c r="K133" s="524" t="str">
        <f>IFERROR(INDEX('G-8 Condition Look up'!$A$3:$H$130,MATCH(F133,'G-8 Condition Look up'!$A$3:$A$130,0),MATCH(J133,'G-8 Condition Look up'!$A$3:$H$3,0)),"")</f>
        <v/>
      </c>
      <c r="L133" s="145"/>
      <c r="M133" s="540" t="str">
        <f>IF(L133="","",IF(VLOOKUP(L133,'G-3 Multipliers'!$L$3:$N$6,2,FALSE)=0,"Spatial Data Missing ⚠",VLOOKUP(L133,'G-3 Multipliers'!$L$3:$N$6,2,FALSE)))</f>
        <v/>
      </c>
      <c r="N133" s="499" t="str">
        <f>IF(L133="","",IF(VLOOKUP(L133,'G-3 Multipliers'!$L$3:$N$6,3,FALSE)=0,"Spatial Data Missing ⚠",VLOOKUP(L133,'G-3 Multipliers'!$L$3:$N$6,3,FALSE)))</f>
        <v/>
      </c>
      <c r="O133" s="498" t="str">
        <f t="shared" si="5"/>
        <v/>
      </c>
      <c r="P133" s="195"/>
      <c r="Q133" s="195"/>
      <c r="R133" s="520" t="str">
        <f t="shared" si="6"/>
        <v/>
      </c>
      <c r="S133" s="544" t="str">
        <f t="shared" si="7"/>
        <v/>
      </c>
      <c r="T133" s="525" t="str">
        <f>IFERROR(IF(S133="Check Data ⚠","Check Data ⚠",VLOOKUP(S133,'G-4 Temporal multipliers'!$A$4:$C$37,3,FALSE)),"")</f>
        <v/>
      </c>
      <c r="U133" s="523" t="str">
        <f>IF(F133="","",VLOOKUP(F133,'G-3 Multipliers'!$A$2:$E$129,2,FALSE))</f>
        <v/>
      </c>
      <c r="V133" s="520" t="str">
        <f t="shared" si="9"/>
        <v/>
      </c>
      <c r="W133" s="520" t="str">
        <f>IF(E133="","",IF(AND(V133="Standard difficulty applied",O133&gt;P133),U133,IF(AND(V133="Low Difficulty - only applicable if all habitat created before losses ⚠",P133&gt;=O133),"Low",VLOOKUP(F133,'G-3 Multipliers'!$A$2:$E$129,4,FALSE))))</f>
        <v/>
      </c>
      <c r="X133" s="524" t="str">
        <f>IFERROR(IF(E133="","",VLOOKUP(W133, 'G-3 Multipliers'!$P$2:$Q$6,2,FALSE)),"")</f>
        <v/>
      </c>
      <c r="Y133" s="197"/>
      <c r="Z133" s="499" t="str">
        <f>IF(Y133="","",IF(VLOOKUP(Y133,'G-3 Multipliers'!$S$3:$T$9,2,FALSE)=0,"Spatial Data Missing ⚠",VLOOKUP(Y133,'G-3 Multipliers'!$S$3:$T$9,2,FALSE)))</f>
        <v/>
      </c>
      <c r="AA133" s="545" t="str">
        <f t="shared" si="8"/>
        <v/>
      </c>
      <c r="AB133" s="149"/>
      <c r="AC133" s="150"/>
    </row>
    <row r="134" spans="1:29" ht="13.8" x14ac:dyDescent="0.25">
      <c r="A134" s="31" t="str">
        <f>IFERROR(INDEX('G-8 Condition Look up'!$I$4:$I$130,MATCH(F134,'G-8 Condition Look up'!$A$4:$A$130,0)),"")</f>
        <v/>
      </c>
      <c r="C134" s="244" t="str">
        <f>IFERROR(INDEX('G-1 All Habitats'!$AG$3:$AG$15,MATCH(D134,'G-1 All Habitats'!$AF$3:$AF$15,0)),"")</f>
        <v/>
      </c>
      <c r="D134" s="154"/>
      <c r="E134" s="203"/>
      <c r="F134" s="243" t="str">
        <f>IFERROR(INDEX('G-1 All Habitats'!$B$3:$B$129,MATCH(E134,'G-1 All Habitats'!$A$3:$A$129,0)),"")</f>
        <v/>
      </c>
      <c r="G134" s="386"/>
      <c r="H134" s="537" t="str">
        <f>IF(F134="","",VLOOKUP(F134,'G-1 All Habitats'!$B$2:$M$129,10,FALSE))</f>
        <v/>
      </c>
      <c r="I134" s="524" t="str">
        <f>IFERROR(VLOOKUP(H134,'G-1 All Habitats'!$V$3:$W$7,2,FALSE),"")</f>
        <v/>
      </c>
      <c r="J134" s="199"/>
      <c r="K134" s="524" t="str">
        <f>IFERROR(INDEX('G-8 Condition Look up'!$A$3:$H$130,MATCH(F134,'G-8 Condition Look up'!$A$3:$A$130,0),MATCH(J134,'G-8 Condition Look up'!$A$3:$H$3,0)),"")</f>
        <v/>
      </c>
      <c r="L134" s="145"/>
      <c r="M134" s="540" t="str">
        <f>IF(L134="","",IF(VLOOKUP(L134,'G-3 Multipliers'!$L$3:$N$6,2,FALSE)=0,"Spatial Data Missing ⚠",VLOOKUP(L134,'G-3 Multipliers'!$L$3:$N$6,2,FALSE)))</f>
        <v/>
      </c>
      <c r="N134" s="499" t="str">
        <f>IF(L134="","",IF(VLOOKUP(L134,'G-3 Multipliers'!$L$3:$N$6,3,FALSE)=0,"Spatial Data Missing ⚠",VLOOKUP(L134,'G-3 Multipliers'!$L$3:$N$6,3,FALSE)))</f>
        <v/>
      </c>
      <c r="O134" s="498" t="str">
        <f t="shared" si="5"/>
        <v/>
      </c>
      <c r="P134" s="195"/>
      <c r="Q134" s="195"/>
      <c r="R134" s="520" t="str">
        <f t="shared" si="6"/>
        <v/>
      </c>
      <c r="S134" s="544" t="str">
        <f t="shared" si="7"/>
        <v/>
      </c>
      <c r="T134" s="525" t="str">
        <f>IFERROR(IF(S134="Check Data ⚠","Check Data ⚠",VLOOKUP(S134,'G-4 Temporal multipliers'!$A$4:$C$37,3,FALSE)),"")</f>
        <v/>
      </c>
      <c r="U134" s="523" t="str">
        <f>IF(F134="","",VLOOKUP(F134,'G-3 Multipliers'!$A$2:$E$129,2,FALSE))</f>
        <v/>
      </c>
      <c r="V134" s="520" t="str">
        <f t="shared" si="9"/>
        <v/>
      </c>
      <c r="W134" s="520" t="str">
        <f>IF(E134="","",IF(AND(V134="Standard difficulty applied",O134&gt;P134),U134,IF(AND(V134="Low Difficulty - only applicable if all habitat created before losses ⚠",P134&gt;=O134),"Low",VLOOKUP(F134,'G-3 Multipliers'!$A$2:$E$129,4,FALSE))))</f>
        <v/>
      </c>
      <c r="X134" s="524" t="str">
        <f>IFERROR(IF(E134="","",VLOOKUP(W134, 'G-3 Multipliers'!$P$2:$Q$6,2,FALSE)),"")</f>
        <v/>
      </c>
      <c r="Y134" s="197"/>
      <c r="Z134" s="499" t="str">
        <f>IF(Y134="","",IF(VLOOKUP(Y134,'G-3 Multipliers'!$S$3:$T$9,2,FALSE)=0,"Spatial Data Missing ⚠",VLOOKUP(Y134,'G-3 Multipliers'!$S$3:$T$9,2,FALSE)))</f>
        <v/>
      </c>
      <c r="AA134" s="545" t="str">
        <f t="shared" si="8"/>
        <v/>
      </c>
      <c r="AB134" s="149"/>
      <c r="AC134" s="150"/>
    </row>
    <row r="135" spans="1:29" ht="13.8" x14ac:dyDescent="0.25">
      <c r="A135" s="31" t="str">
        <f>IFERROR(INDEX('G-8 Condition Look up'!$I$4:$I$130,MATCH(F135,'G-8 Condition Look up'!$A$4:$A$130,0)),"")</f>
        <v/>
      </c>
      <c r="C135" s="244" t="str">
        <f>IFERROR(INDEX('G-1 All Habitats'!$AG$3:$AG$15,MATCH(D135,'G-1 All Habitats'!$AF$3:$AF$15,0)),"")</f>
        <v/>
      </c>
      <c r="D135" s="154"/>
      <c r="E135" s="203"/>
      <c r="F135" s="243" t="str">
        <f>IFERROR(INDEX('G-1 All Habitats'!$B$3:$B$129,MATCH(E135,'G-1 All Habitats'!$A$3:$A$129,0)),"")</f>
        <v/>
      </c>
      <c r="G135" s="386"/>
      <c r="H135" s="537" t="str">
        <f>IF(F135="","",VLOOKUP(F135,'G-1 All Habitats'!$B$2:$M$129,10,FALSE))</f>
        <v/>
      </c>
      <c r="I135" s="524" t="str">
        <f>IFERROR(VLOOKUP(H135,'G-1 All Habitats'!$V$3:$W$7,2,FALSE),"")</f>
        <v/>
      </c>
      <c r="J135" s="199"/>
      <c r="K135" s="524" t="str">
        <f>IFERROR(INDEX('G-8 Condition Look up'!$A$3:$H$130,MATCH(F135,'G-8 Condition Look up'!$A$3:$A$130,0),MATCH(J135,'G-8 Condition Look up'!$A$3:$H$3,0)),"")</f>
        <v/>
      </c>
      <c r="L135" s="145"/>
      <c r="M135" s="540" t="str">
        <f>IF(L135="","",IF(VLOOKUP(L135,'G-3 Multipliers'!$L$3:$N$6,2,FALSE)=0,"Spatial Data Missing ⚠",VLOOKUP(L135,'G-3 Multipliers'!$L$3:$N$6,2,FALSE)))</f>
        <v/>
      </c>
      <c r="N135" s="499" t="str">
        <f>IF(L135="","",IF(VLOOKUP(L135,'G-3 Multipliers'!$L$3:$N$6,3,FALSE)=0,"Spatial Data Missing ⚠",VLOOKUP(L135,'G-3 Multipliers'!$L$3:$N$6,3,FALSE)))</f>
        <v/>
      </c>
      <c r="O135" s="498" t="str">
        <f t="shared" si="5"/>
        <v/>
      </c>
      <c r="P135" s="195"/>
      <c r="Q135" s="195"/>
      <c r="R135" s="520" t="str">
        <f t="shared" si="6"/>
        <v/>
      </c>
      <c r="S135" s="544" t="str">
        <f t="shared" si="7"/>
        <v/>
      </c>
      <c r="T135" s="525" t="str">
        <f>IFERROR(IF(S135="Check Data ⚠","Check Data ⚠",VLOOKUP(S135,'G-4 Temporal multipliers'!$A$4:$C$37,3,FALSE)),"")</f>
        <v/>
      </c>
      <c r="U135" s="523" t="str">
        <f>IF(F135="","",VLOOKUP(F135,'G-3 Multipliers'!$A$2:$E$129,2,FALSE))</f>
        <v/>
      </c>
      <c r="V135" s="520" t="str">
        <f t="shared" si="9"/>
        <v/>
      </c>
      <c r="W135" s="520" t="str">
        <f>IF(E135="","",IF(AND(V135="Standard difficulty applied",O135&gt;P135),U135,IF(AND(V135="Low Difficulty - only applicable if all habitat created before losses ⚠",P135&gt;=O135),"Low",VLOOKUP(F135,'G-3 Multipliers'!$A$2:$E$129,4,FALSE))))</f>
        <v/>
      </c>
      <c r="X135" s="524" t="str">
        <f>IFERROR(IF(E135="","",VLOOKUP(W135, 'G-3 Multipliers'!$P$2:$Q$6,2,FALSE)),"")</f>
        <v/>
      </c>
      <c r="Y135" s="197"/>
      <c r="Z135" s="499" t="str">
        <f>IF(Y135="","",IF(VLOOKUP(Y135,'G-3 Multipliers'!$S$3:$T$9,2,FALSE)=0,"Spatial Data Missing ⚠",VLOOKUP(Y135,'G-3 Multipliers'!$S$3:$T$9,2,FALSE)))</f>
        <v/>
      </c>
      <c r="AA135" s="545" t="str">
        <f t="shared" si="8"/>
        <v/>
      </c>
      <c r="AB135" s="149"/>
      <c r="AC135" s="150"/>
    </row>
    <row r="136" spans="1:29" ht="13.8" x14ac:dyDescent="0.25">
      <c r="A136" s="31" t="str">
        <f>IFERROR(INDEX('G-8 Condition Look up'!$I$4:$I$130,MATCH(F136,'G-8 Condition Look up'!$A$4:$A$130,0)),"")</f>
        <v/>
      </c>
      <c r="C136" s="244" t="str">
        <f>IFERROR(INDEX('G-1 All Habitats'!$AG$3:$AG$15,MATCH(D136,'G-1 All Habitats'!$AF$3:$AF$15,0)),"")</f>
        <v/>
      </c>
      <c r="D136" s="154"/>
      <c r="E136" s="203"/>
      <c r="F136" s="243" t="str">
        <f>IFERROR(INDEX('G-1 All Habitats'!$B$3:$B$129,MATCH(E136,'G-1 All Habitats'!$A$3:$A$129,0)),"")</f>
        <v/>
      </c>
      <c r="G136" s="386"/>
      <c r="H136" s="537" t="str">
        <f>IF(F136="","",VLOOKUP(F136,'G-1 All Habitats'!$B$2:$M$129,10,FALSE))</f>
        <v/>
      </c>
      <c r="I136" s="524" t="str">
        <f>IFERROR(VLOOKUP(H136,'G-1 All Habitats'!$V$3:$W$7,2,FALSE),"")</f>
        <v/>
      </c>
      <c r="J136" s="199"/>
      <c r="K136" s="524" t="str">
        <f>IFERROR(INDEX('G-8 Condition Look up'!$A$3:$H$130,MATCH(F136,'G-8 Condition Look up'!$A$3:$A$130,0),MATCH(J136,'G-8 Condition Look up'!$A$3:$H$3,0)),"")</f>
        <v/>
      </c>
      <c r="L136" s="145"/>
      <c r="M136" s="540" t="str">
        <f>IF(L136="","",IF(VLOOKUP(L136,'G-3 Multipliers'!$L$3:$N$6,2,FALSE)=0,"Spatial Data Missing ⚠",VLOOKUP(L136,'G-3 Multipliers'!$L$3:$N$6,2,FALSE)))</f>
        <v/>
      </c>
      <c r="N136" s="499" t="str">
        <f>IF(L136="","",IF(VLOOKUP(L136,'G-3 Multipliers'!$L$3:$N$6,3,FALSE)=0,"Spatial Data Missing ⚠",VLOOKUP(L136,'G-3 Multipliers'!$L$3:$N$6,3,FALSE)))</f>
        <v/>
      </c>
      <c r="O136" s="498" t="str">
        <f t="shared" si="5"/>
        <v/>
      </c>
      <c r="P136" s="195"/>
      <c r="Q136" s="195"/>
      <c r="R136" s="520" t="str">
        <f t="shared" si="6"/>
        <v/>
      </c>
      <c r="S136" s="544" t="str">
        <f t="shared" si="7"/>
        <v/>
      </c>
      <c r="T136" s="525" t="str">
        <f>IFERROR(IF(S136="Check Data ⚠","Check Data ⚠",VLOOKUP(S136,'G-4 Temporal multipliers'!$A$4:$C$37,3,FALSE)),"")</f>
        <v/>
      </c>
      <c r="U136" s="523" t="str">
        <f>IF(F136="","",VLOOKUP(F136,'G-3 Multipliers'!$A$2:$E$129,2,FALSE))</f>
        <v/>
      </c>
      <c r="V136" s="520" t="str">
        <f t="shared" si="9"/>
        <v/>
      </c>
      <c r="W136" s="520" t="str">
        <f>IF(E136="","",IF(AND(V136="Standard difficulty applied",O136&gt;P136),U136,IF(AND(V136="Low Difficulty - only applicable if all habitat created before losses ⚠",P136&gt;=O136),"Low",VLOOKUP(F136,'G-3 Multipliers'!$A$2:$E$129,4,FALSE))))</f>
        <v/>
      </c>
      <c r="X136" s="524" t="str">
        <f>IFERROR(IF(E136="","",VLOOKUP(W136, 'G-3 Multipliers'!$P$2:$Q$6,2,FALSE)),"")</f>
        <v/>
      </c>
      <c r="Y136" s="197"/>
      <c r="Z136" s="499" t="str">
        <f>IF(Y136="","",IF(VLOOKUP(Y136,'G-3 Multipliers'!$S$3:$T$9,2,FALSE)=0,"Spatial Data Missing ⚠",VLOOKUP(Y136,'G-3 Multipliers'!$S$3:$T$9,2,FALSE)))</f>
        <v/>
      </c>
      <c r="AA136" s="545" t="str">
        <f t="shared" si="8"/>
        <v/>
      </c>
      <c r="AB136" s="149"/>
      <c r="AC136" s="150"/>
    </row>
    <row r="137" spans="1:29" ht="13.8" x14ac:dyDescent="0.25">
      <c r="A137" s="31" t="str">
        <f>IFERROR(INDEX('G-8 Condition Look up'!$I$4:$I$130,MATCH(F137,'G-8 Condition Look up'!$A$4:$A$130,0)),"")</f>
        <v/>
      </c>
      <c r="C137" s="244" t="str">
        <f>IFERROR(INDEX('G-1 All Habitats'!$AG$3:$AG$15,MATCH(D137,'G-1 All Habitats'!$AF$3:$AF$15,0)),"")</f>
        <v/>
      </c>
      <c r="D137" s="154"/>
      <c r="E137" s="203"/>
      <c r="F137" s="243" t="str">
        <f>IFERROR(INDEX('G-1 All Habitats'!$B$3:$B$129,MATCH(E137,'G-1 All Habitats'!$A$3:$A$129,0)),"")</f>
        <v/>
      </c>
      <c r="G137" s="386"/>
      <c r="H137" s="537" t="str">
        <f>IF(F137="","",VLOOKUP(F137,'G-1 All Habitats'!$B$2:$M$129,10,FALSE))</f>
        <v/>
      </c>
      <c r="I137" s="524" t="str">
        <f>IFERROR(VLOOKUP(H137,'G-1 All Habitats'!$V$3:$W$7,2,FALSE),"")</f>
        <v/>
      </c>
      <c r="J137" s="199"/>
      <c r="K137" s="524" t="str">
        <f>IFERROR(INDEX('G-8 Condition Look up'!$A$3:$H$130,MATCH(F137,'G-8 Condition Look up'!$A$3:$A$130,0),MATCH(J137,'G-8 Condition Look up'!$A$3:$H$3,0)),"")</f>
        <v/>
      </c>
      <c r="L137" s="145"/>
      <c r="M137" s="540" t="str">
        <f>IF(L137="","",IF(VLOOKUP(L137,'G-3 Multipliers'!$L$3:$N$6,2,FALSE)=0,"Spatial Data Missing ⚠",VLOOKUP(L137,'G-3 Multipliers'!$L$3:$N$6,2,FALSE)))</f>
        <v/>
      </c>
      <c r="N137" s="499" t="str">
        <f>IF(L137="","",IF(VLOOKUP(L137,'G-3 Multipliers'!$L$3:$N$6,3,FALSE)=0,"Spatial Data Missing ⚠",VLOOKUP(L137,'G-3 Multipliers'!$L$3:$N$6,3,FALSE)))</f>
        <v/>
      </c>
      <c r="O137" s="498" t="str">
        <f t="shared" si="5"/>
        <v/>
      </c>
      <c r="P137" s="195"/>
      <c r="Q137" s="195"/>
      <c r="R137" s="520" t="str">
        <f t="shared" si="6"/>
        <v/>
      </c>
      <c r="S137" s="544" t="str">
        <f t="shared" si="7"/>
        <v/>
      </c>
      <c r="T137" s="525" t="str">
        <f>IFERROR(IF(S137="Check Data ⚠","Check Data ⚠",VLOOKUP(S137,'G-4 Temporal multipliers'!$A$4:$C$37,3,FALSE)),"")</f>
        <v/>
      </c>
      <c r="U137" s="523" t="str">
        <f>IF(F137="","",VLOOKUP(F137,'G-3 Multipliers'!$A$2:$E$129,2,FALSE))</f>
        <v/>
      </c>
      <c r="V137" s="520" t="str">
        <f t="shared" si="9"/>
        <v/>
      </c>
      <c r="W137" s="520" t="str">
        <f>IF(E137="","",IF(AND(V137="Standard difficulty applied",O137&gt;P137),U137,IF(AND(V137="Low Difficulty - only applicable if all habitat created before losses ⚠",P137&gt;=O137),"Low",VLOOKUP(F137,'G-3 Multipliers'!$A$2:$E$129,4,FALSE))))</f>
        <v/>
      </c>
      <c r="X137" s="524" t="str">
        <f>IFERROR(IF(E137="","",VLOOKUP(W137, 'G-3 Multipliers'!$P$2:$Q$6,2,FALSE)),"")</f>
        <v/>
      </c>
      <c r="Y137" s="197"/>
      <c r="Z137" s="499" t="str">
        <f>IF(Y137="","",IF(VLOOKUP(Y137,'G-3 Multipliers'!$S$3:$T$9,2,FALSE)=0,"Spatial Data Missing ⚠",VLOOKUP(Y137,'G-3 Multipliers'!$S$3:$T$9,2,FALSE)))</f>
        <v/>
      </c>
      <c r="AA137" s="545" t="str">
        <f t="shared" si="8"/>
        <v/>
      </c>
      <c r="AB137" s="149"/>
      <c r="AC137" s="150"/>
    </row>
    <row r="138" spans="1:29" ht="13.8" x14ac:dyDescent="0.25">
      <c r="A138" s="31" t="str">
        <f>IFERROR(INDEX('G-8 Condition Look up'!$I$4:$I$130,MATCH(F138,'G-8 Condition Look up'!$A$4:$A$130,0)),"")</f>
        <v/>
      </c>
      <c r="C138" s="244" t="str">
        <f>IFERROR(INDEX('G-1 All Habitats'!$AG$3:$AG$15,MATCH(D138,'G-1 All Habitats'!$AF$3:$AF$15,0)),"")</f>
        <v/>
      </c>
      <c r="D138" s="154"/>
      <c r="E138" s="203"/>
      <c r="F138" s="243" t="str">
        <f>IFERROR(INDEX('G-1 All Habitats'!$B$3:$B$129,MATCH(E138,'G-1 All Habitats'!$A$3:$A$129,0)),"")</f>
        <v/>
      </c>
      <c r="G138" s="386"/>
      <c r="H138" s="537" t="str">
        <f>IF(F138="","",VLOOKUP(F138,'G-1 All Habitats'!$B$2:$M$129,10,FALSE))</f>
        <v/>
      </c>
      <c r="I138" s="524" t="str">
        <f>IFERROR(VLOOKUP(H138,'G-1 All Habitats'!$V$3:$W$7,2,FALSE),"")</f>
        <v/>
      </c>
      <c r="J138" s="199"/>
      <c r="K138" s="524" t="str">
        <f>IFERROR(INDEX('G-8 Condition Look up'!$A$3:$H$130,MATCH(F138,'G-8 Condition Look up'!$A$3:$A$130,0),MATCH(J138,'G-8 Condition Look up'!$A$3:$H$3,0)),"")</f>
        <v/>
      </c>
      <c r="L138" s="145"/>
      <c r="M138" s="540" t="str">
        <f>IF(L138="","",IF(VLOOKUP(L138,'G-3 Multipliers'!$L$3:$N$6,2,FALSE)=0,"Spatial Data Missing ⚠",VLOOKUP(L138,'G-3 Multipliers'!$L$3:$N$6,2,FALSE)))</f>
        <v/>
      </c>
      <c r="N138" s="499" t="str">
        <f>IF(L138="","",IF(VLOOKUP(L138,'G-3 Multipliers'!$L$3:$N$6,3,FALSE)=0,"Spatial Data Missing ⚠",VLOOKUP(L138,'G-3 Multipliers'!$L$3:$N$6,3,FALSE)))</f>
        <v/>
      </c>
      <c r="O138" s="498" t="str">
        <f t="shared" si="5"/>
        <v/>
      </c>
      <c r="P138" s="195"/>
      <c r="Q138" s="195"/>
      <c r="R138" s="520" t="str">
        <f t="shared" si="6"/>
        <v/>
      </c>
      <c r="S138" s="544" t="str">
        <f t="shared" si="7"/>
        <v/>
      </c>
      <c r="T138" s="525" t="str">
        <f>IFERROR(IF(S138="Check Data ⚠","Check Data ⚠",VLOOKUP(S138,'G-4 Temporal multipliers'!$A$4:$C$37,3,FALSE)),"")</f>
        <v/>
      </c>
      <c r="U138" s="523" t="str">
        <f>IF(F138="","",VLOOKUP(F138,'G-3 Multipliers'!$A$2:$E$129,2,FALSE))</f>
        <v/>
      </c>
      <c r="V138" s="520" t="str">
        <f t="shared" si="9"/>
        <v/>
      </c>
      <c r="W138" s="520" t="str">
        <f>IF(E138="","",IF(AND(V138="Standard difficulty applied",O138&gt;P138),U138,IF(AND(V138="Low Difficulty - only applicable if all habitat created before losses ⚠",P138&gt;=O138),"Low",VLOOKUP(F138,'G-3 Multipliers'!$A$2:$E$129,4,FALSE))))</f>
        <v/>
      </c>
      <c r="X138" s="524" t="str">
        <f>IFERROR(IF(E138="","",VLOOKUP(W138, 'G-3 Multipliers'!$P$2:$Q$6,2,FALSE)),"")</f>
        <v/>
      </c>
      <c r="Y138" s="197"/>
      <c r="Z138" s="499" t="str">
        <f>IF(Y138="","",IF(VLOOKUP(Y138,'G-3 Multipliers'!$S$3:$T$9,2,FALSE)=0,"Spatial Data Missing ⚠",VLOOKUP(Y138,'G-3 Multipliers'!$S$3:$T$9,2,FALSE)))</f>
        <v/>
      </c>
      <c r="AA138" s="545" t="str">
        <f t="shared" si="8"/>
        <v/>
      </c>
      <c r="AB138" s="149"/>
      <c r="AC138" s="150"/>
    </row>
    <row r="139" spans="1:29" ht="13.8" x14ac:dyDescent="0.25">
      <c r="A139" s="31" t="str">
        <f>IFERROR(INDEX('G-8 Condition Look up'!$I$4:$I$130,MATCH(F139,'G-8 Condition Look up'!$A$4:$A$130,0)),"")</f>
        <v/>
      </c>
      <c r="C139" s="244" t="str">
        <f>IFERROR(INDEX('G-1 All Habitats'!$AG$3:$AG$15,MATCH(D139,'G-1 All Habitats'!$AF$3:$AF$15,0)),"")</f>
        <v/>
      </c>
      <c r="D139" s="154"/>
      <c r="E139" s="203"/>
      <c r="F139" s="243" t="str">
        <f>IFERROR(INDEX('G-1 All Habitats'!$B$3:$B$129,MATCH(E139,'G-1 All Habitats'!$A$3:$A$129,0)),"")</f>
        <v/>
      </c>
      <c r="G139" s="386"/>
      <c r="H139" s="537" t="str">
        <f>IF(F139="","",VLOOKUP(F139,'G-1 All Habitats'!$B$2:$M$129,10,FALSE))</f>
        <v/>
      </c>
      <c r="I139" s="524" t="str">
        <f>IFERROR(VLOOKUP(H139,'G-1 All Habitats'!$V$3:$W$7,2,FALSE),"")</f>
        <v/>
      </c>
      <c r="J139" s="199"/>
      <c r="K139" s="524" t="str">
        <f>IFERROR(INDEX('G-8 Condition Look up'!$A$3:$H$130,MATCH(F139,'G-8 Condition Look up'!$A$3:$A$130,0),MATCH(J139,'G-8 Condition Look up'!$A$3:$H$3,0)),"")</f>
        <v/>
      </c>
      <c r="L139" s="145"/>
      <c r="M139" s="540" t="str">
        <f>IF(L139="","",IF(VLOOKUP(L139,'G-3 Multipliers'!$L$3:$N$6,2,FALSE)=0,"Spatial Data Missing ⚠",VLOOKUP(L139,'G-3 Multipliers'!$L$3:$N$6,2,FALSE)))</f>
        <v/>
      </c>
      <c r="N139" s="499" t="str">
        <f>IF(L139="","",IF(VLOOKUP(L139,'G-3 Multipliers'!$L$3:$N$6,3,FALSE)=0,"Spatial Data Missing ⚠",VLOOKUP(L139,'G-3 Multipliers'!$L$3:$N$6,3,FALSE)))</f>
        <v/>
      </c>
      <c r="O139" s="498" t="str">
        <f t="shared" ref="O139:O202" si="10">IFERROR(INDEX(TemporalData,MATCH(F139,TemporalHabitats,0),MATCH(J139,TemporalConditions,0)),"")</f>
        <v/>
      </c>
      <c r="P139" s="195"/>
      <c r="Q139" s="195"/>
      <c r="R139" s="520" t="str">
        <f t="shared" si="6"/>
        <v/>
      </c>
      <c r="S139" s="544" t="str">
        <f t="shared" si="7"/>
        <v/>
      </c>
      <c r="T139" s="525" t="str">
        <f>IFERROR(IF(S139="Check Data ⚠","Check Data ⚠",VLOOKUP(S139,'G-4 Temporal multipliers'!$A$4:$C$37,3,FALSE)),"")</f>
        <v/>
      </c>
      <c r="U139" s="523" t="str">
        <f>IF(F139="","",VLOOKUP(F139,'G-3 Multipliers'!$A$2:$E$129,2,FALSE))</f>
        <v/>
      </c>
      <c r="V139" s="520" t="str">
        <f t="shared" si="9"/>
        <v/>
      </c>
      <c r="W139" s="520" t="str">
        <f>IF(E139="","",IF(AND(V139="Standard difficulty applied",O139&gt;P139),U139,IF(AND(V139="Low Difficulty - only applicable if all habitat created before losses ⚠",P139&gt;=O139),"Low",VLOOKUP(F139,'G-3 Multipliers'!$A$2:$E$129,4,FALSE))))</f>
        <v/>
      </c>
      <c r="X139" s="524" t="str">
        <f>IFERROR(IF(E139="","",VLOOKUP(W139, 'G-3 Multipliers'!$P$2:$Q$6,2,FALSE)),"")</f>
        <v/>
      </c>
      <c r="Y139" s="197"/>
      <c r="Z139" s="499" t="str">
        <f>IF(Y139="","",IF(VLOOKUP(Y139,'G-3 Multipliers'!$S$3:$T$9,2,FALSE)=0,"Spatial Data Missing ⚠",VLOOKUP(Y139,'G-3 Multipliers'!$S$3:$T$9,2,FALSE)))</f>
        <v/>
      </c>
      <c r="AA139" s="545" t="str">
        <f t="shared" si="8"/>
        <v/>
      </c>
      <c r="AB139" s="149"/>
      <c r="AC139" s="150"/>
    </row>
    <row r="140" spans="1:29" ht="13.8" x14ac:dyDescent="0.25">
      <c r="A140" s="31" t="str">
        <f>IFERROR(INDEX('G-8 Condition Look up'!$I$4:$I$130,MATCH(F140,'G-8 Condition Look up'!$A$4:$A$130,0)),"")</f>
        <v/>
      </c>
      <c r="C140" s="244" t="str">
        <f>IFERROR(INDEX('G-1 All Habitats'!$AG$3:$AG$15,MATCH(D140,'G-1 All Habitats'!$AF$3:$AF$15,0)),"")</f>
        <v/>
      </c>
      <c r="D140" s="154"/>
      <c r="E140" s="203"/>
      <c r="F140" s="243" t="str">
        <f>IFERROR(INDEX('G-1 All Habitats'!$B$3:$B$129,MATCH(E140,'G-1 All Habitats'!$A$3:$A$129,0)),"")</f>
        <v/>
      </c>
      <c r="G140" s="386"/>
      <c r="H140" s="537" t="str">
        <f>IF(F140="","",VLOOKUP(F140,'G-1 All Habitats'!$B$2:$M$129,10,FALSE))</f>
        <v/>
      </c>
      <c r="I140" s="524" t="str">
        <f>IFERROR(VLOOKUP(H140,'G-1 All Habitats'!$V$3:$W$7,2,FALSE),"")</f>
        <v/>
      </c>
      <c r="J140" s="199"/>
      <c r="K140" s="524" t="str">
        <f>IFERROR(INDEX('G-8 Condition Look up'!$A$3:$H$130,MATCH(F140,'G-8 Condition Look up'!$A$3:$A$130,0),MATCH(J140,'G-8 Condition Look up'!$A$3:$H$3,0)),"")</f>
        <v/>
      </c>
      <c r="L140" s="145"/>
      <c r="M140" s="540" t="str">
        <f>IF(L140="","",IF(VLOOKUP(L140,'G-3 Multipliers'!$L$3:$N$6,2,FALSE)=0,"Spatial Data Missing ⚠",VLOOKUP(L140,'G-3 Multipliers'!$L$3:$N$6,2,FALSE)))</f>
        <v/>
      </c>
      <c r="N140" s="499" t="str">
        <f>IF(L140="","",IF(VLOOKUP(L140,'G-3 Multipliers'!$L$3:$N$6,3,FALSE)=0,"Spatial Data Missing ⚠",VLOOKUP(L140,'G-3 Multipliers'!$L$3:$N$6,3,FALSE)))</f>
        <v/>
      </c>
      <c r="O140" s="498" t="str">
        <f t="shared" si="10"/>
        <v/>
      </c>
      <c r="P140" s="195"/>
      <c r="Q140" s="195"/>
      <c r="R140" s="520"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4"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5" t="str">
        <f>IFERROR(IF(S140="Check Data ⚠","Check Data ⚠",VLOOKUP(S140,'G-4 Temporal multipliers'!$A$4:$C$37,3,FALSE)),"")</f>
        <v/>
      </c>
      <c r="U140" s="523" t="str">
        <f>IF(F140="","",VLOOKUP(F140,'G-3 Multipliers'!$A$2:$E$129,2,FALSE))</f>
        <v/>
      </c>
      <c r="V140" s="520" t="str">
        <f t="shared" si="9"/>
        <v/>
      </c>
      <c r="W140" s="520" t="str">
        <f>IF(E140="","",IF(AND(V140="Standard difficulty applied",O140&gt;P140),U140,IF(AND(V140="Low Difficulty - only applicable if all habitat created before losses ⚠",P140&gt;=O140),"Low",VLOOKUP(F140,'G-3 Multipliers'!$A$2:$E$129,4,FALSE))))</f>
        <v/>
      </c>
      <c r="X140" s="524" t="str">
        <f>IFERROR(IF(E140="","",VLOOKUP(W140, 'G-3 Multipliers'!$P$2:$Q$6,2,FALSE)),"")</f>
        <v/>
      </c>
      <c r="Y140" s="197"/>
      <c r="Z140" s="499" t="str">
        <f>IF(Y140="","",IF(VLOOKUP(Y140,'G-3 Multipliers'!$S$3:$T$9,2,FALSE)=0,"Spatial Data Missing ⚠",VLOOKUP(Y140,'G-3 Multipliers'!$S$3:$T$9,2,FALSE)))</f>
        <v/>
      </c>
      <c r="AA140" s="545" t="str">
        <f t="shared" ref="AA140:AA203" si="13">IFERROR(G140*I140*K140*N140*T140*X140*Z140,"")</f>
        <v/>
      </c>
      <c r="AB140" s="149"/>
      <c r="AC140" s="150"/>
    </row>
    <row r="141" spans="1:29" ht="13.8" x14ac:dyDescent="0.25">
      <c r="A141" s="31" t="str">
        <f>IFERROR(INDEX('G-8 Condition Look up'!$I$4:$I$130,MATCH(F141,'G-8 Condition Look up'!$A$4:$A$130,0)),"")</f>
        <v/>
      </c>
      <c r="C141" s="244" t="str">
        <f>IFERROR(INDEX('G-1 All Habitats'!$AG$3:$AG$15,MATCH(D141,'G-1 All Habitats'!$AF$3:$AF$15,0)),"")</f>
        <v/>
      </c>
      <c r="D141" s="154"/>
      <c r="E141" s="203"/>
      <c r="F141" s="243" t="str">
        <f>IFERROR(INDEX('G-1 All Habitats'!$B$3:$B$129,MATCH(E141,'G-1 All Habitats'!$A$3:$A$129,0)),"")</f>
        <v/>
      </c>
      <c r="G141" s="386"/>
      <c r="H141" s="537" t="str">
        <f>IF(F141="","",VLOOKUP(F141,'G-1 All Habitats'!$B$2:$M$129,10,FALSE))</f>
        <v/>
      </c>
      <c r="I141" s="524" t="str">
        <f>IFERROR(VLOOKUP(H141,'G-1 All Habitats'!$V$3:$W$7,2,FALSE),"")</f>
        <v/>
      </c>
      <c r="J141" s="199"/>
      <c r="K141" s="524" t="str">
        <f>IFERROR(INDEX('G-8 Condition Look up'!$A$3:$H$130,MATCH(F141,'G-8 Condition Look up'!$A$3:$A$130,0),MATCH(J141,'G-8 Condition Look up'!$A$3:$H$3,0)),"")</f>
        <v/>
      </c>
      <c r="L141" s="145"/>
      <c r="M141" s="540" t="str">
        <f>IF(L141="","",IF(VLOOKUP(L141,'G-3 Multipliers'!$L$3:$N$6,2,FALSE)=0,"Spatial Data Missing ⚠",VLOOKUP(L141,'G-3 Multipliers'!$L$3:$N$6,2,FALSE)))</f>
        <v/>
      </c>
      <c r="N141" s="499" t="str">
        <f>IF(L141="","",IF(VLOOKUP(L141,'G-3 Multipliers'!$L$3:$N$6,3,FALSE)=0,"Spatial Data Missing ⚠",VLOOKUP(L141,'G-3 Multipliers'!$L$3:$N$6,3,FALSE)))</f>
        <v/>
      </c>
      <c r="O141" s="498" t="str">
        <f t="shared" si="10"/>
        <v/>
      </c>
      <c r="P141" s="195"/>
      <c r="Q141" s="195"/>
      <c r="R141" s="520" t="str">
        <f t="shared" si="11"/>
        <v/>
      </c>
      <c r="S141" s="544" t="str">
        <f t="shared" si="12"/>
        <v/>
      </c>
      <c r="T141" s="525" t="str">
        <f>IFERROR(IF(S141="Check Data ⚠","Check Data ⚠",VLOOKUP(S141,'G-4 Temporal multipliers'!$A$4:$C$37,3,FALSE)),"")</f>
        <v/>
      </c>
      <c r="U141" s="523" t="str">
        <f>IF(F141="","",VLOOKUP(F141,'G-3 Multipliers'!$A$2:$E$129,2,FALSE))</f>
        <v/>
      </c>
      <c r="V141" s="520"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20" t="str">
        <f>IF(E141="","",IF(AND(V141="Standard difficulty applied",O141&gt;P141),U141,IF(AND(V141="Low Difficulty - only applicable if all habitat created before losses ⚠",P141&gt;=O141),"Low",VLOOKUP(F141,'G-3 Multipliers'!$A$2:$E$129,4,FALSE))))</f>
        <v/>
      </c>
      <c r="X141" s="524" t="str">
        <f>IFERROR(IF(E141="","",VLOOKUP(W141, 'G-3 Multipliers'!$P$2:$Q$6,2,FALSE)),"")</f>
        <v/>
      </c>
      <c r="Y141" s="197"/>
      <c r="Z141" s="499" t="str">
        <f>IF(Y141="","",IF(VLOOKUP(Y141,'G-3 Multipliers'!$S$3:$T$9,2,FALSE)=0,"Spatial Data Missing ⚠",VLOOKUP(Y141,'G-3 Multipliers'!$S$3:$T$9,2,FALSE)))</f>
        <v/>
      </c>
      <c r="AA141" s="545" t="str">
        <f t="shared" si="13"/>
        <v/>
      </c>
      <c r="AB141" s="149"/>
      <c r="AC141" s="150"/>
    </row>
    <row r="142" spans="1:29" ht="13.8" x14ac:dyDescent="0.25">
      <c r="A142" s="31" t="str">
        <f>IFERROR(INDEX('G-8 Condition Look up'!$I$4:$I$130,MATCH(F142,'G-8 Condition Look up'!$A$4:$A$130,0)),"")</f>
        <v/>
      </c>
      <c r="C142" s="244" t="str">
        <f>IFERROR(INDEX('G-1 All Habitats'!$AG$3:$AG$15,MATCH(D142,'G-1 All Habitats'!$AF$3:$AF$15,0)),"")</f>
        <v/>
      </c>
      <c r="D142" s="154"/>
      <c r="E142" s="203"/>
      <c r="F142" s="243" t="str">
        <f>IFERROR(INDEX('G-1 All Habitats'!$B$3:$B$129,MATCH(E142,'G-1 All Habitats'!$A$3:$A$129,0)),"")</f>
        <v/>
      </c>
      <c r="G142" s="386"/>
      <c r="H142" s="537" t="str">
        <f>IF(F142="","",VLOOKUP(F142,'G-1 All Habitats'!$B$2:$M$129,10,FALSE))</f>
        <v/>
      </c>
      <c r="I142" s="524" t="str">
        <f>IFERROR(VLOOKUP(H142,'G-1 All Habitats'!$V$3:$W$7,2,FALSE),"")</f>
        <v/>
      </c>
      <c r="J142" s="199"/>
      <c r="K142" s="524" t="str">
        <f>IFERROR(INDEX('G-8 Condition Look up'!$A$3:$H$130,MATCH(F142,'G-8 Condition Look up'!$A$3:$A$130,0),MATCH(J142,'G-8 Condition Look up'!$A$3:$H$3,0)),"")</f>
        <v/>
      </c>
      <c r="L142" s="145"/>
      <c r="M142" s="540" t="str">
        <f>IF(L142="","",IF(VLOOKUP(L142,'G-3 Multipliers'!$L$3:$N$6,2,FALSE)=0,"Spatial Data Missing ⚠",VLOOKUP(L142,'G-3 Multipliers'!$L$3:$N$6,2,FALSE)))</f>
        <v/>
      </c>
      <c r="N142" s="499" t="str">
        <f>IF(L142="","",IF(VLOOKUP(L142,'G-3 Multipliers'!$L$3:$N$6,3,FALSE)=0,"Spatial Data Missing ⚠",VLOOKUP(L142,'G-3 Multipliers'!$L$3:$N$6,3,FALSE)))</f>
        <v/>
      </c>
      <c r="O142" s="498" t="str">
        <f t="shared" si="10"/>
        <v/>
      </c>
      <c r="P142" s="195"/>
      <c r="Q142" s="195"/>
      <c r="R142" s="520" t="str">
        <f t="shared" si="11"/>
        <v/>
      </c>
      <c r="S142" s="544" t="str">
        <f t="shared" si="12"/>
        <v/>
      </c>
      <c r="T142" s="525" t="str">
        <f>IFERROR(IF(S142="Check Data ⚠","Check Data ⚠",VLOOKUP(S142,'G-4 Temporal multipliers'!$A$4:$C$37,3,FALSE)),"")</f>
        <v/>
      </c>
      <c r="U142" s="523" t="str">
        <f>IF(F142="","",VLOOKUP(F142,'G-3 Multipliers'!$A$2:$E$129,2,FALSE))</f>
        <v/>
      </c>
      <c r="V142" s="520" t="str">
        <f t="shared" si="14"/>
        <v/>
      </c>
      <c r="W142" s="520" t="str">
        <f>IF(E142="","",IF(AND(V142="Standard difficulty applied",O142&gt;P142),U142,IF(AND(V142="Low Difficulty - only applicable if all habitat created before losses ⚠",P142&gt;=O142),"Low",VLOOKUP(F142,'G-3 Multipliers'!$A$2:$E$129,4,FALSE))))</f>
        <v/>
      </c>
      <c r="X142" s="524" t="str">
        <f>IFERROR(IF(E142="","",VLOOKUP(W142, 'G-3 Multipliers'!$P$2:$Q$6,2,FALSE)),"")</f>
        <v/>
      </c>
      <c r="Y142" s="197"/>
      <c r="Z142" s="499" t="str">
        <f>IF(Y142="","",IF(VLOOKUP(Y142,'G-3 Multipliers'!$S$3:$T$9,2,FALSE)=0,"Spatial Data Missing ⚠",VLOOKUP(Y142,'G-3 Multipliers'!$S$3:$T$9,2,FALSE)))</f>
        <v/>
      </c>
      <c r="AA142" s="545" t="str">
        <f t="shared" si="13"/>
        <v/>
      </c>
      <c r="AB142" s="149"/>
      <c r="AC142" s="150"/>
    </row>
    <row r="143" spans="1:29" ht="13.8" x14ac:dyDescent="0.25">
      <c r="A143" s="31" t="str">
        <f>IFERROR(INDEX('G-8 Condition Look up'!$I$4:$I$130,MATCH(F143,'G-8 Condition Look up'!$A$4:$A$130,0)),"")</f>
        <v/>
      </c>
      <c r="C143" s="244" t="str">
        <f>IFERROR(INDEX('G-1 All Habitats'!$AG$3:$AG$15,MATCH(D143,'G-1 All Habitats'!$AF$3:$AF$15,0)),"")</f>
        <v/>
      </c>
      <c r="D143" s="154"/>
      <c r="E143" s="203"/>
      <c r="F143" s="243" t="str">
        <f>IFERROR(INDEX('G-1 All Habitats'!$B$3:$B$129,MATCH(E143,'G-1 All Habitats'!$A$3:$A$129,0)),"")</f>
        <v/>
      </c>
      <c r="G143" s="386"/>
      <c r="H143" s="537" t="str">
        <f>IF(F143="","",VLOOKUP(F143,'G-1 All Habitats'!$B$2:$M$129,10,FALSE))</f>
        <v/>
      </c>
      <c r="I143" s="524" t="str">
        <f>IFERROR(VLOOKUP(H143,'G-1 All Habitats'!$V$3:$W$7,2,FALSE),"")</f>
        <v/>
      </c>
      <c r="J143" s="199"/>
      <c r="K143" s="524" t="str">
        <f>IFERROR(INDEX('G-8 Condition Look up'!$A$3:$H$130,MATCH(F143,'G-8 Condition Look up'!$A$3:$A$130,0),MATCH(J143,'G-8 Condition Look up'!$A$3:$H$3,0)),"")</f>
        <v/>
      </c>
      <c r="L143" s="145"/>
      <c r="M143" s="540" t="str">
        <f>IF(L143="","",IF(VLOOKUP(L143,'G-3 Multipliers'!$L$3:$N$6,2,FALSE)=0,"Spatial Data Missing ⚠",VLOOKUP(L143,'G-3 Multipliers'!$L$3:$N$6,2,FALSE)))</f>
        <v/>
      </c>
      <c r="N143" s="499" t="str">
        <f>IF(L143="","",IF(VLOOKUP(L143,'G-3 Multipliers'!$L$3:$N$6,3,FALSE)=0,"Spatial Data Missing ⚠",VLOOKUP(L143,'G-3 Multipliers'!$L$3:$N$6,3,FALSE)))</f>
        <v/>
      </c>
      <c r="O143" s="498" t="str">
        <f t="shared" si="10"/>
        <v/>
      </c>
      <c r="P143" s="195"/>
      <c r="Q143" s="195"/>
      <c r="R143" s="520" t="str">
        <f t="shared" si="11"/>
        <v/>
      </c>
      <c r="S143" s="544" t="str">
        <f t="shared" si="12"/>
        <v/>
      </c>
      <c r="T143" s="525" t="str">
        <f>IFERROR(IF(S143="Check Data ⚠","Check Data ⚠",VLOOKUP(S143,'G-4 Temporal multipliers'!$A$4:$C$37,3,FALSE)),"")</f>
        <v/>
      </c>
      <c r="U143" s="523" t="str">
        <f>IF(F143="","",VLOOKUP(F143,'G-3 Multipliers'!$A$2:$E$129,2,FALSE))</f>
        <v/>
      </c>
      <c r="V143" s="520" t="str">
        <f t="shared" si="14"/>
        <v/>
      </c>
      <c r="W143" s="520" t="str">
        <f>IF(E143="","",IF(AND(V143="Standard difficulty applied",O143&gt;P143),U143,IF(AND(V143="Low Difficulty - only applicable if all habitat created before losses ⚠",P143&gt;=O143),"Low",VLOOKUP(F143,'G-3 Multipliers'!$A$2:$E$129,4,FALSE))))</f>
        <v/>
      </c>
      <c r="X143" s="524" t="str">
        <f>IFERROR(IF(E143="","",VLOOKUP(W143, 'G-3 Multipliers'!$P$2:$Q$6,2,FALSE)),"")</f>
        <v/>
      </c>
      <c r="Y143" s="197"/>
      <c r="Z143" s="499" t="str">
        <f>IF(Y143="","",IF(VLOOKUP(Y143,'G-3 Multipliers'!$S$3:$T$9,2,FALSE)=0,"Spatial Data Missing ⚠",VLOOKUP(Y143,'G-3 Multipliers'!$S$3:$T$9,2,FALSE)))</f>
        <v/>
      </c>
      <c r="AA143" s="545" t="str">
        <f t="shared" si="13"/>
        <v/>
      </c>
      <c r="AB143" s="149"/>
      <c r="AC143" s="150"/>
    </row>
    <row r="144" spans="1:29" ht="13.8" x14ac:dyDescent="0.25">
      <c r="A144" s="31" t="str">
        <f>IFERROR(INDEX('G-8 Condition Look up'!$I$4:$I$130,MATCH(F144,'G-8 Condition Look up'!$A$4:$A$130,0)),"")</f>
        <v/>
      </c>
      <c r="C144" s="244" t="str">
        <f>IFERROR(INDEX('G-1 All Habitats'!$AG$3:$AG$15,MATCH(D144,'G-1 All Habitats'!$AF$3:$AF$15,0)),"")</f>
        <v/>
      </c>
      <c r="D144" s="154"/>
      <c r="E144" s="203"/>
      <c r="F144" s="243" t="str">
        <f>IFERROR(INDEX('G-1 All Habitats'!$B$3:$B$129,MATCH(E144,'G-1 All Habitats'!$A$3:$A$129,0)),"")</f>
        <v/>
      </c>
      <c r="G144" s="386"/>
      <c r="H144" s="537" t="str">
        <f>IF(F144="","",VLOOKUP(F144,'G-1 All Habitats'!$B$2:$M$129,10,FALSE))</f>
        <v/>
      </c>
      <c r="I144" s="524" t="str">
        <f>IFERROR(VLOOKUP(H144,'G-1 All Habitats'!$V$3:$W$7,2,FALSE),"")</f>
        <v/>
      </c>
      <c r="J144" s="199"/>
      <c r="K144" s="524" t="str">
        <f>IFERROR(INDEX('G-8 Condition Look up'!$A$3:$H$130,MATCH(F144,'G-8 Condition Look up'!$A$3:$A$130,0),MATCH(J144,'G-8 Condition Look up'!$A$3:$H$3,0)),"")</f>
        <v/>
      </c>
      <c r="L144" s="145"/>
      <c r="M144" s="540" t="str">
        <f>IF(L144="","",IF(VLOOKUP(L144,'G-3 Multipliers'!$L$3:$N$6,2,FALSE)=0,"Spatial Data Missing ⚠",VLOOKUP(L144,'G-3 Multipliers'!$L$3:$N$6,2,FALSE)))</f>
        <v/>
      </c>
      <c r="N144" s="499" t="str">
        <f>IF(L144="","",IF(VLOOKUP(L144,'G-3 Multipliers'!$L$3:$N$6,3,FALSE)=0,"Spatial Data Missing ⚠",VLOOKUP(L144,'G-3 Multipliers'!$L$3:$N$6,3,FALSE)))</f>
        <v/>
      </c>
      <c r="O144" s="498" t="str">
        <f t="shared" si="10"/>
        <v/>
      </c>
      <c r="P144" s="195"/>
      <c r="Q144" s="195"/>
      <c r="R144" s="520" t="str">
        <f t="shared" si="11"/>
        <v/>
      </c>
      <c r="S144" s="544" t="str">
        <f t="shared" si="12"/>
        <v/>
      </c>
      <c r="T144" s="525" t="str">
        <f>IFERROR(IF(S144="Check Data ⚠","Check Data ⚠",VLOOKUP(S144,'G-4 Temporal multipliers'!$A$4:$C$37,3,FALSE)),"")</f>
        <v/>
      </c>
      <c r="U144" s="523" t="str">
        <f>IF(F144="","",VLOOKUP(F144,'G-3 Multipliers'!$A$2:$E$129,2,FALSE))</f>
        <v/>
      </c>
      <c r="V144" s="520" t="str">
        <f t="shared" si="14"/>
        <v/>
      </c>
      <c r="W144" s="520" t="str">
        <f>IF(E144="","",IF(AND(V144="Standard difficulty applied",O144&gt;P144),U144,IF(AND(V144="Low Difficulty - only applicable if all habitat created before losses ⚠",P144&gt;=O144),"Low",VLOOKUP(F144,'G-3 Multipliers'!$A$2:$E$129,4,FALSE))))</f>
        <v/>
      </c>
      <c r="X144" s="524" t="str">
        <f>IFERROR(IF(E144="","",VLOOKUP(W144, 'G-3 Multipliers'!$P$2:$Q$6,2,FALSE)),"")</f>
        <v/>
      </c>
      <c r="Y144" s="197"/>
      <c r="Z144" s="499" t="str">
        <f>IF(Y144="","",IF(VLOOKUP(Y144,'G-3 Multipliers'!$S$3:$T$9,2,FALSE)=0,"Spatial Data Missing ⚠",VLOOKUP(Y144,'G-3 Multipliers'!$S$3:$T$9,2,FALSE)))</f>
        <v/>
      </c>
      <c r="AA144" s="545" t="str">
        <f t="shared" si="13"/>
        <v/>
      </c>
      <c r="AB144" s="149"/>
      <c r="AC144" s="150"/>
    </row>
    <row r="145" spans="1:29" ht="13.8" x14ac:dyDescent="0.25">
      <c r="A145" s="31" t="str">
        <f>IFERROR(INDEX('G-8 Condition Look up'!$I$4:$I$130,MATCH(F145,'G-8 Condition Look up'!$A$4:$A$130,0)),"")</f>
        <v/>
      </c>
      <c r="C145" s="244" t="str">
        <f>IFERROR(INDEX('G-1 All Habitats'!$AG$3:$AG$15,MATCH(D145,'G-1 All Habitats'!$AF$3:$AF$15,0)),"")</f>
        <v/>
      </c>
      <c r="D145" s="154"/>
      <c r="E145" s="203"/>
      <c r="F145" s="243" t="str">
        <f>IFERROR(INDEX('G-1 All Habitats'!$B$3:$B$129,MATCH(E145,'G-1 All Habitats'!$A$3:$A$129,0)),"")</f>
        <v/>
      </c>
      <c r="G145" s="386"/>
      <c r="H145" s="537" t="str">
        <f>IF(F145="","",VLOOKUP(F145,'G-1 All Habitats'!$B$2:$M$129,10,FALSE))</f>
        <v/>
      </c>
      <c r="I145" s="524" t="str">
        <f>IFERROR(VLOOKUP(H145,'G-1 All Habitats'!$V$3:$W$7,2,FALSE),"")</f>
        <v/>
      </c>
      <c r="J145" s="199"/>
      <c r="K145" s="524" t="str">
        <f>IFERROR(INDEX('G-8 Condition Look up'!$A$3:$H$130,MATCH(F145,'G-8 Condition Look up'!$A$3:$A$130,0),MATCH(J145,'G-8 Condition Look up'!$A$3:$H$3,0)),"")</f>
        <v/>
      </c>
      <c r="L145" s="145"/>
      <c r="M145" s="540" t="str">
        <f>IF(L145="","",IF(VLOOKUP(L145,'G-3 Multipliers'!$L$3:$N$6,2,FALSE)=0,"Spatial Data Missing ⚠",VLOOKUP(L145,'G-3 Multipliers'!$L$3:$N$6,2,FALSE)))</f>
        <v/>
      </c>
      <c r="N145" s="499" t="str">
        <f>IF(L145="","",IF(VLOOKUP(L145,'G-3 Multipliers'!$L$3:$N$6,3,FALSE)=0,"Spatial Data Missing ⚠",VLOOKUP(L145,'G-3 Multipliers'!$L$3:$N$6,3,FALSE)))</f>
        <v/>
      </c>
      <c r="O145" s="498" t="str">
        <f t="shared" si="10"/>
        <v/>
      </c>
      <c r="P145" s="195"/>
      <c r="Q145" s="195"/>
      <c r="R145" s="520" t="str">
        <f t="shared" si="11"/>
        <v/>
      </c>
      <c r="S145" s="544" t="str">
        <f t="shared" si="12"/>
        <v/>
      </c>
      <c r="T145" s="525" t="str">
        <f>IFERROR(IF(S145="Check Data ⚠","Check Data ⚠",VLOOKUP(S145,'G-4 Temporal multipliers'!$A$4:$C$37,3,FALSE)),"")</f>
        <v/>
      </c>
      <c r="U145" s="523" t="str">
        <f>IF(F145="","",VLOOKUP(F145,'G-3 Multipliers'!$A$2:$E$129,2,FALSE))</f>
        <v/>
      </c>
      <c r="V145" s="520" t="str">
        <f t="shared" si="14"/>
        <v/>
      </c>
      <c r="W145" s="520" t="str">
        <f>IF(E145="","",IF(AND(V145="Standard difficulty applied",O145&gt;P145),U145,IF(AND(V145="Low Difficulty - only applicable if all habitat created before losses ⚠",P145&gt;=O145),"Low",VLOOKUP(F145,'G-3 Multipliers'!$A$2:$E$129,4,FALSE))))</f>
        <v/>
      </c>
      <c r="X145" s="524" t="str">
        <f>IFERROR(IF(E145="","",VLOOKUP(W145, 'G-3 Multipliers'!$P$2:$Q$6,2,FALSE)),"")</f>
        <v/>
      </c>
      <c r="Y145" s="197"/>
      <c r="Z145" s="499" t="str">
        <f>IF(Y145="","",IF(VLOOKUP(Y145,'G-3 Multipliers'!$S$3:$T$9,2,FALSE)=0,"Spatial Data Missing ⚠",VLOOKUP(Y145,'G-3 Multipliers'!$S$3:$T$9,2,FALSE)))</f>
        <v/>
      </c>
      <c r="AA145" s="545" t="str">
        <f t="shared" si="13"/>
        <v/>
      </c>
      <c r="AB145" s="149"/>
      <c r="AC145" s="150"/>
    </row>
    <row r="146" spans="1:29" ht="13.8" x14ac:dyDescent="0.25">
      <c r="A146" s="31" t="str">
        <f>IFERROR(INDEX('G-8 Condition Look up'!$I$4:$I$130,MATCH(F146,'G-8 Condition Look up'!$A$4:$A$130,0)),"")</f>
        <v/>
      </c>
      <c r="C146" s="244" t="str">
        <f>IFERROR(INDEX('G-1 All Habitats'!$AG$3:$AG$15,MATCH(D146,'G-1 All Habitats'!$AF$3:$AF$15,0)),"")</f>
        <v/>
      </c>
      <c r="D146" s="154"/>
      <c r="E146" s="203"/>
      <c r="F146" s="243" t="str">
        <f>IFERROR(INDEX('G-1 All Habitats'!$B$3:$B$129,MATCH(E146,'G-1 All Habitats'!$A$3:$A$129,0)),"")</f>
        <v/>
      </c>
      <c r="G146" s="386"/>
      <c r="H146" s="537" t="str">
        <f>IF(F146="","",VLOOKUP(F146,'G-1 All Habitats'!$B$2:$M$129,10,FALSE))</f>
        <v/>
      </c>
      <c r="I146" s="524" t="str">
        <f>IFERROR(VLOOKUP(H146,'G-1 All Habitats'!$V$3:$W$7,2,FALSE),"")</f>
        <v/>
      </c>
      <c r="J146" s="199"/>
      <c r="K146" s="524" t="str">
        <f>IFERROR(INDEX('G-8 Condition Look up'!$A$3:$H$130,MATCH(F146,'G-8 Condition Look up'!$A$3:$A$130,0),MATCH(J146,'G-8 Condition Look up'!$A$3:$H$3,0)),"")</f>
        <v/>
      </c>
      <c r="L146" s="145"/>
      <c r="M146" s="540" t="str">
        <f>IF(L146="","",IF(VLOOKUP(L146,'G-3 Multipliers'!$L$3:$N$6,2,FALSE)=0,"Spatial Data Missing ⚠",VLOOKUP(L146,'G-3 Multipliers'!$L$3:$N$6,2,FALSE)))</f>
        <v/>
      </c>
      <c r="N146" s="499" t="str">
        <f>IF(L146="","",IF(VLOOKUP(L146,'G-3 Multipliers'!$L$3:$N$6,3,FALSE)=0,"Spatial Data Missing ⚠",VLOOKUP(L146,'G-3 Multipliers'!$L$3:$N$6,3,FALSE)))</f>
        <v/>
      </c>
      <c r="O146" s="498" t="str">
        <f t="shared" si="10"/>
        <v/>
      </c>
      <c r="P146" s="195"/>
      <c r="Q146" s="195"/>
      <c r="R146" s="520" t="str">
        <f t="shared" si="11"/>
        <v/>
      </c>
      <c r="S146" s="544" t="str">
        <f t="shared" si="12"/>
        <v/>
      </c>
      <c r="T146" s="525" t="str">
        <f>IFERROR(IF(S146="Check Data ⚠","Check Data ⚠",VLOOKUP(S146,'G-4 Temporal multipliers'!$A$4:$C$37,3,FALSE)),"")</f>
        <v/>
      </c>
      <c r="U146" s="523" t="str">
        <f>IF(F146="","",VLOOKUP(F146,'G-3 Multipliers'!$A$2:$E$129,2,FALSE))</f>
        <v/>
      </c>
      <c r="V146" s="520" t="str">
        <f t="shared" si="14"/>
        <v/>
      </c>
      <c r="W146" s="520" t="str">
        <f>IF(E146="","",IF(AND(V146="Standard difficulty applied",O146&gt;P146),U146,IF(AND(V146="Low Difficulty - only applicable if all habitat created before losses ⚠",P146&gt;=O146),"Low",VLOOKUP(F146,'G-3 Multipliers'!$A$2:$E$129,4,FALSE))))</f>
        <v/>
      </c>
      <c r="X146" s="524" t="str">
        <f>IFERROR(IF(E146="","",VLOOKUP(W146, 'G-3 Multipliers'!$P$2:$Q$6,2,FALSE)),"")</f>
        <v/>
      </c>
      <c r="Y146" s="197"/>
      <c r="Z146" s="499" t="str">
        <f>IF(Y146="","",IF(VLOOKUP(Y146,'G-3 Multipliers'!$S$3:$T$9,2,FALSE)=0,"Spatial Data Missing ⚠",VLOOKUP(Y146,'G-3 Multipliers'!$S$3:$T$9,2,FALSE)))</f>
        <v/>
      </c>
      <c r="AA146" s="545" t="str">
        <f t="shared" si="13"/>
        <v/>
      </c>
      <c r="AB146" s="149"/>
      <c r="AC146" s="150"/>
    </row>
    <row r="147" spans="1:29" ht="13.8" x14ac:dyDescent="0.25">
      <c r="A147" s="31" t="str">
        <f>IFERROR(INDEX('G-8 Condition Look up'!$I$4:$I$130,MATCH(F147,'G-8 Condition Look up'!$A$4:$A$130,0)),"")</f>
        <v/>
      </c>
      <c r="C147" s="244" t="str">
        <f>IFERROR(INDEX('G-1 All Habitats'!$AG$3:$AG$15,MATCH(D147,'G-1 All Habitats'!$AF$3:$AF$15,0)),"")</f>
        <v/>
      </c>
      <c r="D147" s="154"/>
      <c r="E147" s="203"/>
      <c r="F147" s="243" t="str">
        <f>IFERROR(INDEX('G-1 All Habitats'!$B$3:$B$129,MATCH(E147,'G-1 All Habitats'!$A$3:$A$129,0)),"")</f>
        <v/>
      </c>
      <c r="G147" s="386"/>
      <c r="H147" s="537" t="str">
        <f>IF(F147="","",VLOOKUP(F147,'G-1 All Habitats'!$B$2:$M$129,10,FALSE))</f>
        <v/>
      </c>
      <c r="I147" s="524" t="str">
        <f>IFERROR(VLOOKUP(H147,'G-1 All Habitats'!$V$3:$W$7,2,FALSE),"")</f>
        <v/>
      </c>
      <c r="J147" s="199"/>
      <c r="K147" s="524" t="str">
        <f>IFERROR(INDEX('G-8 Condition Look up'!$A$3:$H$130,MATCH(F147,'G-8 Condition Look up'!$A$3:$A$130,0),MATCH(J147,'G-8 Condition Look up'!$A$3:$H$3,0)),"")</f>
        <v/>
      </c>
      <c r="L147" s="145"/>
      <c r="M147" s="540" t="str">
        <f>IF(L147="","",IF(VLOOKUP(L147,'G-3 Multipliers'!$L$3:$N$6,2,FALSE)=0,"Spatial Data Missing ⚠",VLOOKUP(L147,'G-3 Multipliers'!$L$3:$N$6,2,FALSE)))</f>
        <v/>
      </c>
      <c r="N147" s="499" t="str">
        <f>IF(L147="","",IF(VLOOKUP(L147,'G-3 Multipliers'!$L$3:$N$6,3,FALSE)=0,"Spatial Data Missing ⚠",VLOOKUP(L147,'G-3 Multipliers'!$L$3:$N$6,3,FALSE)))</f>
        <v/>
      </c>
      <c r="O147" s="498" t="str">
        <f t="shared" si="10"/>
        <v/>
      </c>
      <c r="P147" s="195"/>
      <c r="Q147" s="195"/>
      <c r="R147" s="520" t="str">
        <f t="shared" si="11"/>
        <v/>
      </c>
      <c r="S147" s="544" t="str">
        <f t="shared" si="12"/>
        <v/>
      </c>
      <c r="T147" s="525" t="str">
        <f>IFERROR(IF(S147="Check Data ⚠","Check Data ⚠",VLOOKUP(S147,'G-4 Temporal multipliers'!$A$4:$C$37,3,FALSE)),"")</f>
        <v/>
      </c>
      <c r="U147" s="523" t="str">
        <f>IF(F147="","",VLOOKUP(F147,'G-3 Multipliers'!$A$2:$E$129,2,FALSE))</f>
        <v/>
      </c>
      <c r="V147" s="520" t="str">
        <f t="shared" si="14"/>
        <v/>
      </c>
      <c r="W147" s="520" t="str">
        <f>IF(E147="","",IF(AND(V147="Standard difficulty applied",O147&gt;P147),U147,IF(AND(V147="Low Difficulty - only applicable if all habitat created before losses ⚠",P147&gt;=O147),"Low",VLOOKUP(F147,'G-3 Multipliers'!$A$2:$E$129,4,FALSE))))</f>
        <v/>
      </c>
      <c r="X147" s="524" t="str">
        <f>IFERROR(IF(E147="","",VLOOKUP(W147, 'G-3 Multipliers'!$P$2:$Q$6,2,FALSE)),"")</f>
        <v/>
      </c>
      <c r="Y147" s="197"/>
      <c r="Z147" s="499" t="str">
        <f>IF(Y147="","",IF(VLOOKUP(Y147,'G-3 Multipliers'!$S$3:$T$9,2,FALSE)=0,"Spatial Data Missing ⚠",VLOOKUP(Y147,'G-3 Multipliers'!$S$3:$T$9,2,FALSE)))</f>
        <v/>
      </c>
      <c r="AA147" s="545" t="str">
        <f t="shared" si="13"/>
        <v/>
      </c>
      <c r="AB147" s="149"/>
      <c r="AC147" s="150"/>
    </row>
    <row r="148" spans="1:29" ht="13.8" x14ac:dyDescent="0.25">
      <c r="A148" s="31" t="str">
        <f>IFERROR(INDEX('G-8 Condition Look up'!$I$4:$I$130,MATCH(F148,'G-8 Condition Look up'!$A$4:$A$130,0)),"")</f>
        <v/>
      </c>
      <c r="C148" s="244" t="str">
        <f>IFERROR(INDEX('G-1 All Habitats'!$AG$3:$AG$15,MATCH(D148,'G-1 All Habitats'!$AF$3:$AF$15,0)),"")</f>
        <v/>
      </c>
      <c r="D148" s="154"/>
      <c r="E148" s="203"/>
      <c r="F148" s="243" t="str">
        <f>IFERROR(INDEX('G-1 All Habitats'!$B$3:$B$129,MATCH(E148,'G-1 All Habitats'!$A$3:$A$129,0)),"")</f>
        <v/>
      </c>
      <c r="G148" s="386"/>
      <c r="H148" s="537" t="str">
        <f>IF(F148="","",VLOOKUP(F148,'G-1 All Habitats'!$B$2:$M$129,10,FALSE))</f>
        <v/>
      </c>
      <c r="I148" s="524" t="str">
        <f>IFERROR(VLOOKUP(H148,'G-1 All Habitats'!$V$3:$W$7,2,FALSE),"")</f>
        <v/>
      </c>
      <c r="J148" s="199"/>
      <c r="K148" s="524" t="str">
        <f>IFERROR(INDEX('G-8 Condition Look up'!$A$3:$H$130,MATCH(F148,'G-8 Condition Look up'!$A$3:$A$130,0),MATCH(J148,'G-8 Condition Look up'!$A$3:$H$3,0)),"")</f>
        <v/>
      </c>
      <c r="L148" s="145"/>
      <c r="M148" s="540" t="str">
        <f>IF(L148="","",IF(VLOOKUP(L148,'G-3 Multipliers'!$L$3:$N$6,2,FALSE)=0,"Spatial Data Missing ⚠",VLOOKUP(L148,'G-3 Multipliers'!$L$3:$N$6,2,FALSE)))</f>
        <v/>
      </c>
      <c r="N148" s="499" t="str">
        <f>IF(L148="","",IF(VLOOKUP(L148,'G-3 Multipliers'!$L$3:$N$6,3,FALSE)=0,"Spatial Data Missing ⚠",VLOOKUP(L148,'G-3 Multipliers'!$L$3:$N$6,3,FALSE)))</f>
        <v/>
      </c>
      <c r="O148" s="498" t="str">
        <f t="shared" si="10"/>
        <v/>
      </c>
      <c r="P148" s="195"/>
      <c r="Q148" s="195"/>
      <c r="R148" s="520" t="str">
        <f t="shared" si="11"/>
        <v/>
      </c>
      <c r="S148" s="544" t="str">
        <f t="shared" si="12"/>
        <v/>
      </c>
      <c r="T148" s="525" t="str">
        <f>IFERROR(IF(S148="Check Data ⚠","Check Data ⚠",VLOOKUP(S148,'G-4 Temporal multipliers'!$A$4:$C$37,3,FALSE)),"")</f>
        <v/>
      </c>
      <c r="U148" s="523" t="str">
        <f>IF(F148="","",VLOOKUP(F148,'G-3 Multipliers'!$A$2:$E$129,2,FALSE))</f>
        <v/>
      </c>
      <c r="V148" s="520" t="str">
        <f t="shared" si="14"/>
        <v/>
      </c>
      <c r="W148" s="520" t="str">
        <f>IF(E148="","",IF(AND(V148="Standard difficulty applied",O148&gt;P148),U148,IF(AND(V148="Low Difficulty - only applicable if all habitat created before losses ⚠",P148&gt;=O148),"Low",VLOOKUP(F148,'G-3 Multipliers'!$A$2:$E$129,4,FALSE))))</f>
        <v/>
      </c>
      <c r="X148" s="524" t="str">
        <f>IFERROR(IF(E148="","",VLOOKUP(W148, 'G-3 Multipliers'!$P$2:$Q$6,2,FALSE)),"")</f>
        <v/>
      </c>
      <c r="Y148" s="197"/>
      <c r="Z148" s="499" t="str">
        <f>IF(Y148="","",IF(VLOOKUP(Y148,'G-3 Multipliers'!$S$3:$T$9,2,FALSE)=0,"Spatial Data Missing ⚠",VLOOKUP(Y148,'G-3 Multipliers'!$S$3:$T$9,2,FALSE)))</f>
        <v/>
      </c>
      <c r="AA148" s="545" t="str">
        <f t="shared" si="13"/>
        <v/>
      </c>
      <c r="AB148" s="149"/>
      <c r="AC148" s="150"/>
    </row>
    <row r="149" spans="1:29" ht="13.8" x14ac:dyDescent="0.25">
      <c r="A149" s="31" t="str">
        <f>IFERROR(INDEX('G-8 Condition Look up'!$I$4:$I$130,MATCH(F149,'G-8 Condition Look up'!$A$4:$A$130,0)),"")</f>
        <v/>
      </c>
      <c r="C149" s="244" t="str">
        <f>IFERROR(INDEX('G-1 All Habitats'!$AG$3:$AG$15,MATCH(D149,'G-1 All Habitats'!$AF$3:$AF$15,0)),"")</f>
        <v/>
      </c>
      <c r="D149" s="154"/>
      <c r="E149" s="203"/>
      <c r="F149" s="243" t="str">
        <f>IFERROR(INDEX('G-1 All Habitats'!$B$3:$B$129,MATCH(E149,'G-1 All Habitats'!$A$3:$A$129,0)),"")</f>
        <v/>
      </c>
      <c r="G149" s="386"/>
      <c r="H149" s="537" t="str">
        <f>IF(F149="","",VLOOKUP(F149,'G-1 All Habitats'!$B$2:$M$129,10,FALSE))</f>
        <v/>
      </c>
      <c r="I149" s="524" t="str">
        <f>IFERROR(VLOOKUP(H149,'G-1 All Habitats'!$V$3:$W$7,2,FALSE),"")</f>
        <v/>
      </c>
      <c r="J149" s="199"/>
      <c r="K149" s="524" t="str">
        <f>IFERROR(INDEX('G-8 Condition Look up'!$A$3:$H$130,MATCH(F149,'G-8 Condition Look up'!$A$3:$A$130,0),MATCH(J149,'G-8 Condition Look up'!$A$3:$H$3,0)),"")</f>
        <v/>
      </c>
      <c r="L149" s="145"/>
      <c r="M149" s="540" t="str">
        <f>IF(L149="","",IF(VLOOKUP(L149,'G-3 Multipliers'!$L$3:$N$6,2,FALSE)=0,"Spatial Data Missing ⚠",VLOOKUP(L149,'G-3 Multipliers'!$L$3:$N$6,2,FALSE)))</f>
        <v/>
      </c>
      <c r="N149" s="499" t="str">
        <f>IF(L149="","",IF(VLOOKUP(L149,'G-3 Multipliers'!$L$3:$N$6,3,FALSE)=0,"Spatial Data Missing ⚠",VLOOKUP(L149,'G-3 Multipliers'!$L$3:$N$6,3,FALSE)))</f>
        <v/>
      </c>
      <c r="O149" s="498" t="str">
        <f t="shared" si="10"/>
        <v/>
      </c>
      <c r="P149" s="195"/>
      <c r="Q149" s="195"/>
      <c r="R149" s="520" t="str">
        <f t="shared" si="11"/>
        <v/>
      </c>
      <c r="S149" s="544" t="str">
        <f t="shared" si="12"/>
        <v/>
      </c>
      <c r="T149" s="525" t="str">
        <f>IFERROR(IF(S149="Check Data ⚠","Check Data ⚠",VLOOKUP(S149,'G-4 Temporal multipliers'!$A$4:$C$37,3,FALSE)),"")</f>
        <v/>
      </c>
      <c r="U149" s="523" t="str">
        <f>IF(F149="","",VLOOKUP(F149,'G-3 Multipliers'!$A$2:$E$129,2,FALSE))</f>
        <v/>
      </c>
      <c r="V149" s="520" t="str">
        <f t="shared" si="14"/>
        <v/>
      </c>
      <c r="W149" s="520" t="str">
        <f>IF(E149="","",IF(AND(V149="Standard difficulty applied",O149&gt;P149),U149,IF(AND(V149="Low Difficulty - only applicable if all habitat created before losses ⚠",P149&gt;=O149),"Low",VLOOKUP(F149,'G-3 Multipliers'!$A$2:$E$129,4,FALSE))))</f>
        <v/>
      </c>
      <c r="X149" s="524" t="str">
        <f>IFERROR(IF(E149="","",VLOOKUP(W149, 'G-3 Multipliers'!$P$2:$Q$6,2,FALSE)),"")</f>
        <v/>
      </c>
      <c r="Y149" s="197"/>
      <c r="Z149" s="499" t="str">
        <f>IF(Y149="","",IF(VLOOKUP(Y149,'G-3 Multipliers'!$S$3:$T$9,2,FALSE)=0,"Spatial Data Missing ⚠",VLOOKUP(Y149,'G-3 Multipliers'!$S$3:$T$9,2,FALSE)))</f>
        <v/>
      </c>
      <c r="AA149" s="545" t="str">
        <f t="shared" si="13"/>
        <v/>
      </c>
      <c r="AB149" s="149"/>
      <c r="AC149" s="150"/>
    </row>
    <row r="150" spans="1:29" ht="13.8" x14ac:dyDescent="0.25">
      <c r="A150" s="31" t="str">
        <f>IFERROR(INDEX('G-8 Condition Look up'!$I$4:$I$130,MATCH(F150,'G-8 Condition Look up'!$A$4:$A$130,0)),"")</f>
        <v/>
      </c>
      <c r="C150" s="244" t="str">
        <f>IFERROR(INDEX('G-1 All Habitats'!$AG$3:$AG$15,MATCH(D150,'G-1 All Habitats'!$AF$3:$AF$15,0)),"")</f>
        <v/>
      </c>
      <c r="D150" s="154"/>
      <c r="E150" s="203"/>
      <c r="F150" s="243" t="str">
        <f>IFERROR(INDEX('G-1 All Habitats'!$B$3:$B$129,MATCH(E150,'G-1 All Habitats'!$A$3:$A$129,0)),"")</f>
        <v/>
      </c>
      <c r="G150" s="386"/>
      <c r="H150" s="537" t="str">
        <f>IF(F150="","",VLOOKUP(F150,'G-1 All Habitats'!$B$2:$M$129,10,FALSE))</f>
        <v/>
      </c>
      <c r="I150" s="524" t="str">
        <f>IFERROR(VLOOKUP(H150,'G-1 All Habitats'!$V$3:$W$7,2,FALSE),"")</f>
        <v/>
      </c>
      <c r="J150" s="199"/>
      <c r="K150" s="524" t="str">
        <f>IFERROR(INDEX('G-8 Condition Look up'!$A$3:$H$130,MATCH(F150,'G-8 Condition Look up'!$A$3:$A$130,0),MATCH(J150,'G-8 Condition Look up'!$A$3:$H$3,0)),"")</f>
        <v/>
      </c>
      <c r="L150" s="145"/>
      <c r="M150" s="540" t="str">
        <f>IF(L150="","",IF(VLOOKUP(L150,'G-3 Multipliers'!$L$3:$N$6,2,FALSE)=0,"Spatial Data Missing ⚠",VLOOKUP(L150,'G-3 Multipliers'!$L$3:$N$6,2,FALSE)))</f>
        <v/>
      </c>
      <c r="N150" s="499" t="str">
        <f>IF(L150="","",IF(VLOOKUP(L150,'G-3 Multipliers'!$L$3:$N$6,3,FALSE)=0,"Spatial Data Missing ⚠",VLOOKUP(L150,'G-3 Multipliers'!$L$3:$N$6,3,FALSE)))</f>
        <v/>
      </c>
      <c r="O150" s="498" t="str">
        <f t="shared" si="10"/>
        <v/>
      </c>
      <c r="P150" s="195"/>
      <c r="Q150" s="195"/>
      <c r="R150" s="520" t="str">
        <f t="shared" si="11"/>
        <v/>
      </c>
      <c r="S150" s="544" t="str">
        <f t="shared" si="12"/>
        <v/>
      </c>
      <c r="T150" s="525" t="str">
        <f>IFERROR(IF(S150="Check Data ⚠","Check Data ⚠",VLOOKUP(S150,'G-4 Temporal multipliers'!$A$4:$C$37,3,FALSE)),"")</f>
        <v/>
      </c>
      <c r="U150" s="523" t="str">
        <f>IF(F150="","",VLOOKUP(F150,'G-3 Multipliers'!$A$2:$E$129,2,FALSE))</f>
        <v/>
      </c>
      <c r="V150" s="520" t="str">
        <f t="shared" si="14"/>
        <v/>
      </c>
      <c r="W150" s="520" t="str">
        <f>IF(E150="","",IF(AND(V150="Standard difficulty applied",O150&gt;P150),U150,IF(AND(V150="Low Difficulty - only applicable if all habitat created before losses ⚠",P150&gt;=O150),"Low",VLOOKUP(F150,'G-3 Multipliers'!$A$2:$E$129,4,FALSE))))</f>
        <v/>
      </c>
      <c r="X150" s="524" t="str">
        <f>IFERROR(IF(E150="","",VLOOKUP(W150, 'G-3 Multipliers'!$P$2:$Q$6,2,FALSE)),"")</f>
        <v/>
      </c>
      <c r="Y150" s="197"/>
      <c r="Z150" s="499" t="str">
        <f>IF(Y150="","",IF(VLOOKUP(Y150,'G-3 Multipliers'!$S$3:$T$9,2,FALSE)=0,"Spatial Data Missing ⚠",VLOOKUP(Y150,'G-3 Multipliers'!$S$3:$T$9,2,FALSE)))</f>
        <v/>
      </c>
      <c r="AA150" s="545" t="str">
        <f t="shared" si="13"/>
        <v/>
      </c>
      <c r="AB150" s="149"/>
      <c r="AC150" s="150"/>
    </row>
    <row r="151" spans="1:29" ht="13.8" x14ac:dyDescent="0.25">
      <c r="A151" s="31" t="str">
        <f>IFERROR(INDEX('G-8 Condition Look up'!$I$4:$I$130,MATCH(F151,'G-8 Condition Look up'!$A$4:$A$130,0)),"")</f>
        <v/>
      </c>
      <c r="C151" s="244" t="str">
        <f>IFERROR(INDEX('G-1 All Habitats'!$AG$3:$AG$15,MATCH(D151,'G-1 All Habitats'!$AF$3:$AF$15,0)),"")</f>
        <v/>
      </c>
      <c r="D151" s="154"/>
      <c r="E151" s="203"/>
      <c r="F151" s="243" t="str">
        <f>IFERROR(INDEX('G-1 All Habitats'!$B$3:$B$129,MATCH(E151,'G-1 All Habitats'!$A$3:$A$129,0)),"")</f>
        <v/>
      </c>
      <c r="G151" s="386"/>
      <c r="H151" s="537" t="str">
        <f>IF(F151="","",VLOOKUP(F151,'G-1 All Habitats'!$B$2:$M$129,10,FALSE))</f>
        <v/>
      </c>
      <c r="I151" s="524" t="str">
        <f>IFERROR(VLOOKUP(H151,'G-1 All Habitats'!$V$3:$W$7,2,FALSE),"")</f>
        <v/>
      </c>
      <c r="J151" s="199"/>
      <c r="K151" s="524" t="str">
        <f>IFERROR(INDEX('G-8 Condition Look up'!$A$3:$H$130,MATCH(F151,'G-8 Condition Look up'!$A$3:$A$130,0),MATCH(J151,'G-8 Condition Look up'!$A$3:$H$3,0)),"")</f>
        <v/>
      </c>
      <c r="L151" s="145"/>
      <c r="M151" s="540" t="str">
        <f>IF(L151="","",IF(VLOOKUP(L151,'G-3 Multipliers'!$L$3:$N$6,2,FALSE)=0,"Spatial Data Missing ⚠",VLOOKUP(L151,'G-3 Multipliers'!$L$3:$N$6,2,FALSE)))</f>
        <v/>
      </c>
      <c r="N151" s="499" t="str">
        <f>IF(L151="","",IF(VLOOKUP(L151,'G-3 Multipliers'!$L$3:$N$6,3,FALSE)=0,"Spatial Data Missing ⚠",VLOOKUP(L151,'G-3 Multipliers'!$L$3:$N$6,3,FALSE)))</f>
        <v/>
      </c>
      <c r="O151" s="498" t="str">
        <f t="shared" si="10"/>
        <v/>
      </c>
      <c r="P151" s="195"/>
      <c r="Q151" s="195"/>
      <c r="R151" s="520" t="str">
        <f t="shared" si="11"/>
        <v/>
      </c>
      <c r="S151" s="544" t="str">
        <f t="shared" si="12"/>
        <v/>
      </c>
      <c r="T151" s="525" t="str">
        <f>IFERROR(IF(S151="Check Data ⚠","Check Data ⚠",VLOOKUP(S151,'G-4 Temporal multipliers'!$A$4:$C$37,3,FALSE)),"")</f>
        <v/>
      </c>
      <c r="U151" s="523" t="str">
        <f>IF(F151="","",VLOOKUP(F151,'G-3 Multipliers'!$A$2:$E$129,2,FALSE))</f>
        <v/>
      </c>
      <c r="V151" s="520" t="str">
        <f t="shared" si="14"/>
        <v/>
      </c>
      <c r="W151" s="520" t="str">
        <f>IF(E151="","",IF(AND(V151="Standard difficulty applied",O151&gt;P151),U151,IF(AND(V151="Low Difficulty - only applicable if all habitat created before losses ⚠",P151&gt;=O151),"Low",VLOOKUP(F151,'G-3 Multipliers'!$A$2:$E$129,4,FALSE))))</f>
        <v/>
      </c>
      <c r="X151" s="524" t="str">
        <f>IFERROR(IF(E151="","",VLOOKUP(W151, 'G-3 Multipliers'!$P$2:$Q$6,2,FALSE)),"")</f>
        <v/>
      </c>
      <c r="Y151" s="197"/>
      <c r="Z151" s="499" t="str">
        <f>IF(Y151="","",IF(VLOOKUP(Y151,'G-3 Multipliers'!$S$3:$T$9,2,FALSE)=0,"Spatial Data Missing ⚠",VLOOKUP(Y151,'G-3 Multipliers'!$S$3:$T$9,2,FALSE)))</f>
        <v/>
      </c>
      <c r="AA151" s="545" t="str">
        <f t="shared" si="13"/>
        <v/>
      </c>
      <c r="AB151" s="149"/>
      <c r="AC151" s="150"/>
    </row>
    <row r="152" spans="1:29" ht="13.8" x14ac:dyDescent="0.25">
      <c r="A152" s="31" t="str">
        <f>IFERROR(INDEX('G-8 Condition Look up'!$I$4:$I$130,MATCH(F152,'G-8 Condition Look up'!$A$4:$A$130,0)),"")</f>
        <v/>
      </c>
      <c r="C152" s="244" t="str">
        <f>IFERROR(INDEX('G-1 All Habitats'!$AG$3:$AG$15,MATCH(D152,'G-1 All Habitats'!$AF$3:$AF$15,0)),"")</f>
        <v/>
      </c>
      <c r="D152" s="154"/>
      <c r="E152" s="203"/>
      <c r="F152" s="243" t="str">
        <f>IFERROR(INDEX('G-1 All Habitats'!$B$3:$B$129,MATCH(E152,'G-1 All Habitats'!$A$3:$A$129,0)),"")</f>
        <v/>
      </c>
      <c r="G152" s="386"/>
      <c r="H152" s="537" t="str">
        <f>IF(F152="","",VLOOKUP(F152,'G-1 All Habitats'!$B$2:$M$129,10,FALSE))</f>
        <v/>
      </c>
      <c r="I152" s="524" t="str">
        <f>IFERROR(VLOOKUP(H152,'G-1 All Habitats'!$V$3:$W$7,2,FALSE),"")</f>
        <v/>
      </c>
      <c r="J152" s="199"/>
      <c r="K152" s="524" t="str">
        <f>IFERROR(INDEX('G-8 Condition Look up'!$A$3:$H$130,MATCH(F152,'G-8 Condition Look up'!$A$3:$A$130,0),MATCH(J152,'G-8 Condition Look up'!$A$3:$H$3,0)),"")</f>
        <v/>
      </c>
      <c r="L152" s="145"/>
      <c r="M152" s="540" t="str">
        <f>IF(L152="","",IF(VLOOKUP(L152,'G-3 Multipliers'!$L$3:$N$6,2,FALSE)=0,"Spatial Data Missing ⚠",VLOOKUP(L152,'G-3 Multipliers'!$L$3:$N$6,2,FALSE)))</f>
        <v/>
      </c>
      <c r="N152" s="499" t="str">
        <f>IF(L152="","",IF(VLOOKUP(L152,'G-3 Multipliers'!$L$3:$N$6,3,FALSE)=0,"Spatial Data Missing ⚠",VLOOKUP(L152,'G-3 Multipliers'!$L$3:$N$6,3,FALSE)))</f>
        <v/>
      </c>
      <c r="O152" s="498" t="str">
        <f t="shared" si="10"/>
        <v/>
      </c>
      <c r="P152" s="195"/>
      <c r="Q152" s="195"/>
      <c r="R152" s="520" t="str">
        <f t="shared" si="11"/>
        <v/>
      </c>
      <c r="S152" s="544" t="str">
        <f t="shared" si="12"/>
        <v/>
      </c>
      <c r="T152" s="525" t="str">
        <f>IFERROR(IF(S152="Check Data ⚠","Check Data ⚠",VLOOKUP(S152,'G-4 Temporal multipliers'!$A$4:$C$37,3,FALSE)),"")</f>
        <v/>
      </c>
      <c r="U152" s="523" t="str">
        <f>IF(F152="","",VLOOKUP(F152,'G-3 Multipliers'!$A$2:$E$129,2,FALSE))</f>
        <v/>
      </c>
      <c r="V152" s="520" t="str">
        <f t="shared" si="14"/>
        <v/>
      </c>
      <c r="W152" s="520" t="str">
        <f>IF(E152="","",IF(AND(V152="Standard difficulty applied",O152&gt;P152),U152,IF(AND(V152="Low Difficulty - only applicable if all habitat created before losses ⚠",P152&gt;=O152),"Low",VLOOKUP(F152,'G-3 Multipliers'!$A$2:$E$129,4,FALSE))))</f>
        <v/>
      </c>
      <c r="X152" s="524" t="str">
        <f>IFERROR(IF(E152="","",VLOOKUP(W152, 'G-3 Multipliers'!$P$2:$Q$6,2,FALSE)),"")</f>
        <v/>
      </c>
      <c r="Y152" s="197"/>
      <c r="Z152" s="499" t="str">
        <f>IF(Y152="","",IF(VLOOKUP(Y152,'G-3 Multipliers'!$S$3:$T$9,2,FALSE)=0,"Spatial Data Missing ⚠",VLOOKUP(Y152,'G-3 Multipliers'!$S$3:$T$9,2,FALSE)))</f>
        <v/>
      </c>
      <c r="AA152" s="545" t="str">
        <f t="shared" si="13"/>
        <v/>
      </c>
      <c r="AB152" s="149"/>
      <c r="AC152" s="150"/>
    </row>
    <row r="153" spans="1:29" ht="13.8" x14ac:dyDescent="0.25">
      <c r="A153" s="31" t="str">
        <f>IFERROR(INDEX('G-8 Condition Look up'!$I$4:$I$130,MATCH(F153,'G-8 Condition Look up'!$A$4:$A$130,0)),"")</f>
        <v/>
      </c>
      <c r="C153" s="244" t="str">
        <f>IFERROR(INDEX('G-1 All Habitats'!$AG$3:$AG$15,MATCH(D153,'G-1 All Habitats'!$AF$3:$AF$15,0)),"")</f>
        <v/>
      </c>
      <c r="D153" s="154"/>
      <c r="E153" s="203"/>
      <c r="F153" s="243" t="str">
        <f>IFERROR(INDEX('G-1 All Habitats'!$B$3:$B$129,MATCH(E153,'G-1 All Habitats'!$A$3:$A$129,0)),"")</f>
        <v/>
      </c>
      <c r="G153" s="386"/>
      <c r="H153" s="537" t="str">
        <f>IF(F153="","",VLOOKUP(F153,'G-1 All Habitats'!$B$2:$M$129,10,FALSE))</f>
        <v/>
      </c>
      <c r="I153" s="524" t="str">
        <f>IFERROR(VLOOKUP(H153,'G-1 All Habitats'!$V$3:$W$7,2,FALSE),"")</f>
        <v/>
      </c>
      <c r="J153" s="199"/>
      <c r="K153" s="524" t="str">
        <f>IFERROR(INDEX('G-8 Condition Look up'!$A$3:$H$130,MATCH(F153,'G-8 Condition Look up'!$A$3:$A$130,0),MATCH(J153,'G-8 Condition Look up'!$A$3:$H$3,0)),"")</f>
        <v/>
      </c>
      <c r="L153" s="145"/>
      <c r="M153" s="540" t="str">
        <f>IF(L153="","",IF(VLOOKUP(L153,'G-3 Multipliers'!$L$3:$N$6,2,FALSE)=0,"Spatial Data Missing ⚠",VLOOKUP(L153,'G-3 Multipliers'!$L$3:$N$6,2,FALSE)))</f>
        <v/>
      </c>
      <c r="N153" s="499" t="str">
        <f>IF(L153="","",IF(VLOOKUP(L153,'G-3 Multipliers'!$L$3:$N$6,3,FALSE)=0,"Spatial Data Missing ⚠",VLOOKUP(L153,'G-3 Multipliers'!$L$3:$N$6,3,FALSE)))</f>
        <v/>
      </c>
      <c r="O153" s="498" t="str">
        <f t="shared" si="10"/>
        <v/>
      </c>
      <c r="P153" s="195"/>
      <c r="Q153" s="195"/>
      <c r="R153" s="520" t="str">
        <f t="shared" si="11"/>
        <v/>
      </c>
      <c r="S153" s="544" t="str">
        <f t="shared" si="12"/>
        <v/>
      </c>
      <c r="T153" s="525" t="str">
        <f>IFERROR(IF(S153="Check Data ⚠","Check Data ⚠",VLOOKUP(S153,'G-4 Temporal multipliers'!$A$4:$C$37,3,FALSE)),"")</f>
        <v/>
      </c>
      <c r="U153" s="523" t="str">
        <f>IF(F153="","",VLOOKUP(F153,'G-3 Multipliers'!$A$2:$E$129,2,FALSE))</f>
        <v/>
      </c>
      <c r="V153" s="520" t="str">
        <f t="shared" si="14"/>
        <v/>
      </c>
      <c r="W153" s="520" t="str">
        <f>IF(E153="","",IF(AND(V153="Standard difficulty applied",O153&gt;P153),U153,IF(AND(V153="Low Difficulty - only applicable if all habitat created before losses ⚠",P153&gt;=O153),"Low",VLOOKUP(F153,'G-3 Multipliers'!$A$2:$E$129,4,FALSE))))</f>
        <v/>
      </c>
      <c r="X153" s="524" t="str">
        <f>IFERROR(IF(E153="","",VLOOKUP(W153, 'G-3 Multipliers'!$P$2:$Q$6,2,FALSE)),"")</f>
        <v/>
      </c>
      <c r="Y153" s="197"/>
      <c r="Z153" s="499" t="str">
        <f>IF(Y153="","",IF(VLOOKUP(Y153,'G-3 Multipliers'!$S$3:$T$9,2,FALSE)=0,"Spatial Data Missing ⚠",VLOOKUP(Y153,'G-3 Multipliers'!$S$3:$T$9,2,FALSE)))</f>
        <v/>
      </c>
      <c r="AA153" s="545" t="str">
        <f t="shared" si="13"/>
        <v/>
      </c>
      <c r="AB153" s="149"/>
      <c r="AC153" s="150"/>
    </row>
    <row r="154" spans="1:29" ht="13.8" x14ac:dyDescent="0.25">
      <c r="A154" s="31" t="str">
        <f>IFERROR(INDEX('G-8 Condition Look up'!$I$4:$I$130,MATCH(F154,'G-8 Condition Look up'!$A$4:$A$130,0)),"")</f>
        <v/>
      </c>
      <c r="C154" s="244" t="str">
        <f>IFERROR(INDEX('G-1 All Habitats'!$AG$3:$AG$15,MATCH(D154,'G-1 All Habitats'!$AF$3:$AF$15,0)),"")</f>
        <v/>
      </c>
      <c r="D154" s="154"/>
      <c r="E154" s="203"/>
      <c r="F154" s="243" t="str">
        <f>IFERROR(INDEX('G-1 All Habitats'!$B$3:$B$129,MATCH(E154,'G-1 All Habitats'!$A$3:$A$129,0)),"")</f>
        <v/>
      </c>
      <c r="G154" s="386"/>
      <c r="H154" s="537" t="str">
        <f>IF(F154="","",VLOOKUP(F154,'G-1 All Habitats'!$B$2:$M$129,10,FALSE))</f>
        <v/>
      </c>
      <c r="I154" s="524" t="str">
        <f>IFERROR(VLOOKUP(H154,'G-1 All Habitats'!$V$3:$W$7,2,FALSE),"")</f>
        <v/>
      </c>
      <c r="J154" s="199"/>
      <c r="K154" s="524" t="str">
        <f>IFERROR(INDEX('G-8 Condition Look up'!$A$3:$H$130,MATCH(F154,'G-8 Condition Look up'!$A$3:$A$130,0),MATCH(J154,'G-8 Condition Look up'!$A$3:$H$3,0)),"")</f>
        <v/>
      </c>
      <c r="L154" s="145"/>
      <c r="M154" s="540" t="str">
        <f>IF(L154="","",IF(VLOOKUP(L154,'G-3 Multipliers'!$L$3:$N$6,2,FALSE)=0,"Spatial Data Missing ⚠",VLOOKUP(L154,'G-3 Multipliers'!$L$3:$N$6,2,FALSE)))</f>
        <v/>
      </c>
      <c r="N154" s="499" t="str">
        <f>IF(L154="","",IF(VLOOKUP(L154,'G-3 Multipliers'!$L$3:$N$6,3,FALSE)=0,"Spatial Data Missing ⚠",VLOOKUP(L154,'G-3 Multipliers'!$L$3:$N$6,3,FALSE)))</f>
        <v/>
      </c>
      <c r="O154" s="498" t="str">
        <f t="shared" si="10"/>
        <v/>
      </c>
      <c r="P154" s="195"/>
      <c r="Q154" s="195"/>
      <c r="R154" s="520" t="str">
        <f t="shared" si="11"/>
        <v/>
      </c>
      <c r="S154" s="544" t="str">
        <f t="shared" si="12"/>
        <v/>
      </c>
      <c r="T154" s="525" t="str">
        <f>IFERROR(IF(S154="Check Data ⚠","Check Data ⚠",VLOOKUP(S154,'G-4 Temporal multipliers'!$A$4:$C$37,3,FALSE)),"")</f>
        <v/>
      </c>
      <c r="U154" s="523" t="str">
        <f>IF(F154="","",VLOOKUP(F154,'G-3 Multipliers'!$A$2:$E$129,2,FALSE))</f>
        <v/>
      </c>
      <c r="V154" s="520" t="str">
        <f t="shared" si="14"/>
        <v/>
      </c>
      <c r="W154" s="520" t="str">
        <f>IF(E154="","",IF(AND(V154="Standard difficulty applied",O154&gt;P154),U154,IF(AND(V154="Low Difficulty - only applicable if all habitat created before losses ⚠",P154&gt;=O154),"Low",VLOOKUP(F154,'G-3 Multipliers'!$A$2:$E$129,4,FALSE))))</f>
        <v/>
      </c>
      <c r="X154" s="524" t="str">
        <f>IFERROR(IF(E154="","",VLOOKUP(W154, 'G-3 Multipliers'!$P$2:$Q$6,2,FALSE)),"")</f>
        <v/>
      </c>
      <c r="Y154" s="197"/>
      <c r="Z154" s="499" t="str">
        <f>IF(Y154="","",IF(VLOOKUP(Y154,'G-3 Multipliers'!$S$3:$T$9,2,FALSE)=0,"Spatial Data Missing ⚠",VLOOKUP(Y154,'G-3 Multipliers'!$S$3:$T$9,2,FALSE)))</f>
        <v/>
      </c>
      <c r="AA154" s="545" t="str">
        <f t="shared" si="13"/>
        <v/>
      </c>
      <c r="AB154" s="149"/>
      <c r="AC154" s="150"/>
    </row>
    <row r="155" spans="1:29" ht="13.8" x14ac:dyDescent="0.25">
      <c r="A155" s="31" t="str">
        <f>IFERROR(INDEX('G-8 Condition Look up'!$I$4:$I$130,MATCH(F155,'G-8 Condition Look up'!$A$4:$A$130,0)),"")</f>
        <v/>
      </c>
      <c r="C155" s="244" t="str">
        <f>IFERROR(INDEX('G-1 All Habitats'!$AG$3:$AG$15,MATCH(D155,'G-1 All Habitats'!$AF$3:$AF$15,0)),"")</f>
        <v/>
      </c>
      <c r="D155" s="154"/>
      <c r="E155" s="203"/>
      <c r="F155" s="243" t="str">
        <f>IFERROR(INDEX('G-1 All Habitats'!$B$3:$B$129,MATCH(E155,'G-1 All Habitats'!$A$3:$A$129,0)),"")</f>
        <v/>
      </c>
      <c r="G155" s="386"/>
      <c r="H155" s="537" t="str">
        <f>IF(F155="","",VLOOKUP(F155,'G-1 All Habitats'!$B$2:$M$129,10,FALSE))</f>
        <v/>
      </c>
      <c r="I155" s="524" t="str">
        <f>IFERROR(VLOOKUP(H155,'G-1 All Habitats'!$V$3:$W$7,2,FALSE),"")</f>
        <v/>
      </c>
      <c r="J155" s="199"/>
      <c r="K155" s="524" t="str">
        <f>IFERROR(INDEX('G-8 Condition Look up'!$A$3:$H$130,MATCH(F155,'G-8 Condition Look up'!$A$3:$A$130,0),MATCH(J155,'G-8 Condition Look up'!$A$3:$H$3,0)),"")</f>
        <v/>
      </c>
      <c r="L155" s="145"/>
      <c r="M155" s="540" t="str">
        <f>IF(L155="","",IF(VLOOKUP(L155,'G-3 Multipliers'!$L$3:$N$6,2,FALSE)=0,"Spatial Data Missing ⚠",VLOOKUP(L155,'G-3 Multipliers'!$L$3:$N$6,2,FALSE)))</f>
        <v/>
      </c>
      <c r="N155" s="499" t="str">
        <f>IF(L155="","",IF(VLOOKUP(L155,'G-3 Multipliers'!$L$3:$N$6,3,FALSE)=0,"Spatial Data Missing ⚠",VLOOKUP(L155,'G-3 Multipliers'!$L$3:$N$6,3,FALSE)))</f>
        <v/>
      </c>
      <c r="O155" s="498" t="str">
        <f t="shared" si="10"/>
        <v/>
      </c>
      <c r="P155" s="195"/>
      <c r="Q155" s="195"/>
      <c r="R155" s="520" t="str">
        <f t="shared" si="11"/>
        <v/>
      </c>
      <c r="S155" s="544" t="str">
        <f t="shared" si="12"/>
        <v/>
      </c>
      <c r="T155" s="525" t="str">
        <f>IFERROR(IF(S155="Check Data ⚠","Check Data ⚠",VLOOKUP(S155,'G-4 Temporal multipliers'!$A$4:$C$37,3,FALSE)),"")</f>
        <v/>
      </c>
      <c r="U155" s="523" t="str">
        <f>IF(F155="","",VLOOKUP(F155,'G-3 Multipliers'!$A$2:$E$129,2,FALSE))</f>
        <v/>
      </c>
      <c r="V155" s="520" t="str">
        <f t="shared" si="14"/>
        <v/>
      </c>
      <c r="W155" s="520" t="str">
        <f>IF(E155="","",IF(AND(V155="Standard difficulty applied",O155&gt;P155),U155,IF(AND(V155="Low Difficulty - only applicable if all habitat created before losses ⚠",P155&gt;=O155),"Low",VLOOKUP(F155,'G-3 Multipliers'!$A$2:$E$129,4,FALSE))))</f>
        <v/>
      </c>
      <c r="X155" s="524" t="str">
        <f>IFERROR(IF(E155="","",VLOOKUP(W155, 'G-3 Multipliers'!$P$2:$Q$6,2,FALSE)),"")</f>
        <v/>
      </c>
      <c r="Y155" s="197"/>
      <c r="Z155" s="499" t="str">
        <f>IF(Y155="","",IF(VLOOKUP(Y155,'G-3 Multipliers'!$S$3:$T$9,2,FALSE)=0,"Spatial Data Missing ⚠",VLOOKUP(Y155,'G-3 Multipliers'!$S$3:$T$9,2,FALSE)))</f>
        <v/>
      </c>
      <c r="AA155" s="545" t="str">
        <f t="shared" si="13"/>
        <v/>
      </c>
      <c r="AB155" s="149"/>
      <c r="AC155" s="150"/>
    </row>
    <row r="156" spans="1:29" ht="13.8" x14ac:dyDescent="0.25">
      <c r="A156" s="31" t="str">
        <f>IFERROR(INDEX('G-8 Condition Look up'!$I$4:$I$130,MATCH(F156,'G-8 Condition Look up'!$A$4:$A$130,0)),"")</f>
        <v/>
      </c>
      <c r="C156" s="244" t="str">
        <f>IFERROR(INDEX('G-1 All Habitats'!$AG$3:$AG$15,MATCH(D156,'G-1 All Habitats'!$AF$3:$AF$15,0)),"")</f>
        <v/>
      </c>
      <c r="D156" s="154"/>
      <c r="E156" s="203"/>
      <c r="F156" s="243" t="str">
        <f>IFERROR(INDEX('G-1 All Habitats'!$B$3:$B$129,MATCH(E156,'G-1 All Habitats'!$A$3:$A$129,0)),"")</f>
        <v/>
      </c>
      <c r="G156" s="386"/>
      <c r="H156" s="537" t="str">
        <f>IF(F156="","",VLOOKUP(F156,'G-1 All Habitats'!$B$2:$M$129,10,FALSE))</f>
        <v/>
      </c>
      <c r="I156" s="524" t="str">
        <f>IFERROR(VLOOKUP(H156,'G-1 All Habitats'!$V$3:$W$7,2,FALSE),"")</f>
        <v/>
      </c>
      <c r="J156" s="199"/>
      <c r="K156" s="524" t="str">
        <f>IFERROR(INDEX('G-8 Condition Look up'!$A$3:$H$130,MATCH(F156,'G-8 Condition Look up'!$A$3:$A$130,0),MATCH(J156,'G-8 Condition Look up'!$A$3:$H$3,0)),"")</f>
        <v/>
      </c>
      <c r="L156" s="145"/>
      <c r="M156" s="540" t="str">
        <f>IF(L156="","",IF(VLOOKUP(L156,'G-3 Multipliers'!$L$3:$N$6,2,FALSE)=0,"Spatial Data Missing ⚠",VLOOKUP(L156,'G-3 Multipliers'!$L$3:$N$6,2,FALSE)))</f>
        <v/>
      </c>
      <c r="N156" s="499" t="str">
        <f>IF(L156="","",IF(VLOOKUP(L156,'G-3 Multipliers'!$L$3:$N$6,3,FALSE)=0,"Spatial Data Missing ⚠",VLOOKUP(L156,'G-3 Multipliers'!$L$3:$N$6,3,FALSE)))</f>
        <v/>
      </c>
      <c r="O156" s="498" t="str">
        <f t="shared" si="10"/>
        <v/>
      </c>
      <c r="P156" s="195"/>
      <c r="Q156" s="195"/>
      <c r="R156" s="520" t="str">
        <f t="shared" si="11"/>
        <v/>
      </c>
      <c r="S156" s="544" t="str">
        <f t="shared" si="12"/>
        <v/>
      </c>
      <c r="T156" s="525" t="str">
        <f>IFERROR(IF(S156="Check Data ⚠","Check Data ⚠",VLOOKUP(S156,'G-4 Temporal multipliers'!$A$4:$C$37,3,FALSE)),"")</f>
        <v/>
      </c>
      <c r="U156" s="523" t="str">
        <f>IF(F156="","",VLOOKUP(F156,'G-3 Multipliers'!$A$2:$E$129,2,FALSE))</f>
        <v/>
      </c>
      <c r="V156" s="520" t="str">
        <f t="shared" si="14"/>
        <v/>
      </c>
      <c r="W156" s="520" t="str">
        <f>IF(E156="","",IF(AND(V156="Standard difficulty applied",O156&gt;P156),U156,IF(AND(V156="Low Difficulty - only applicable if all habitat created before losses ⚠",P156&gt;=O156),"Low",VLOOKUP(F156,'G-3 Multipliers'!$A$2:$E$129,4,FALSE))))</f>
        <v/>
      </c>
      <c r="X156" s="524" t="str">
        <f>IFERROR(IF(E156="","",VLOOKUP(W156, 'G-3 Multipliers'!$P$2:$Q$6,2,FALSE)),"")</f>
        <v/>
      </c>
      <c r="Y156" s="197"/>
      <c r="Z156" s="499" t="str">
        <f>IF(Y156="","",IF(VLOOKUP(Y156,'G-3 Multipliers'!$S$3:$T$9,2,FALSE)=0,"Spatial Data Missing ⚠",VLOOKUP(Y156,'G-3 Multipliers'!$S$3:$T$9,2,FALSE)))</f>
        <v/>
      </c>
      <c r="AA156" s="545" t="str">
        <f t="shared" si="13"/>
        <v/>
      </c>
      <c r="AB156" s="149"/>
      <c r="AC156" s="150"/>
    </row>
    <row r="157" spans="1:29" ht="13.8" x14ac:dyDescent="0.25">
      <c r="A157" s="31" t="str">
        <f>IFERROR(INDEX('G-8 Condition Look up'!$I$4:$I$130,MATCH(F157,'G-8 Condition Look up'!$A$4:$A$130,0)),"")</f>
        <v/>
      </c>
      <c r="C157" s="244" t="str">
        <f>IFERROR(INDEX('G-1 All Habitats'!$AG$3:$AG$15,MATCH(D157,'G-1 All Habitats'!$AF$3:$AF$15,0)),"")</f>
        <v/>
      </c>
      <c r="D157" s="154"/>
      <c r="E157" s="203"/>
      <c r="F157" s="243" t="str">
        <f>IFERROR(INDEX('G-1 All Habitats'!$B$3:$B$129,MATCH(E157,'G-1 All Habitats'!$A$3:$A$129,0)),"")</f>
        <v/>
      </c>
      <c r="G157" s="386"/>
      <c r="H157" s="537" t="str">
        <f>IF(F157="","",VLOOKUP(F157,'G-1 All Habitats'!$B$2:$M$129,10,FALSE))</f>
        <v/>
      </c>
      <c r="I157" s="524" t="str">
        <f>IFERROR(VLOOKUP(H157,'G-1 All Habitats'!$V$3:$W$7,2,FALSE),"")</f>
        <v/>
      </c>
      <c r="J157" s="199"/>
      <c r="K157" s="524" t="str">
        <f>IFERROR(INDEX('G-8 Condition Look up'!$A$3:$H$130,MATCH(F157,'G-8 Condition Look up'!$A$3:$A$130,0),MATCH(J157,'G-8 Condition Look up'!$A$3:$H$3,0)),"")</f>
        <v/>
      </c>
      <c r="L157" s="145"/>
      <c r="M157" s="540" t="str">
        <f>IF(L157="","",IF(VLOOKUP(L157,'G-3 Multipliers'!$L$3:$N$6,2,FALSE)=0,"Spatial Data Missing ⚠",VLOOKUP(L157,'G-3 Multipliers'!$L$3:$N$6,2,FALSE)))</f>
        <v/>
      </c>
      <c r="N157" s="499" t="str">
        <f>IF(L157="","",IF(VLOOKUP(L157,'G-3 Multipliers'!$L$3:$N$6,3,FALSE)=0,"Spatial Data Missing ⚠",VLOOKUP(L157,'G-3 Multipliers'!$L$3:$N$6,3,FALSE)))</f>
        <v/>
      </c>
      <c r="O157" s="498" t="str">
        <f t="shared" si="10"/>
        <v/>
      </c>
      <c r="P157" s="195"/>
      <c r="Q157" s="195"/>
      <c r="R157" s="520" t="str">
        <f t="shared" si="11"/>
        <v/>
      </c>
      <c r="S157" s="544" t="str">
        <f t="shared" si="12"/>
        <v/>
      </c>
      <c r="T157" s="525" t="str">
        <f>IFERROR(IF(S157="Check Data ⚠","Check Data ⚠",VLOOKUP(S157,'G-4 Temporal multipliers'!$A$4:$C$37,3,FALSE)),"")</f>
        <v/>
      </c>
      <c r="U157" s="523" t="str">
        <f>IF(F157="","",VLOOKUP(F157,'G-3 Multipliers'!$A$2:$E$129,2,FALSE))</f>
        <v/>
      </c>
      <c r="V157" s="520" t="str">
        <f t="shared" si="14"/>
        <v/>
      </c>
      <c r="W157" s="520" t="str">
        <f>IF(E157="","",IF(AND(V157="Standard difficulty applied",O157&gt;P157),U157,IF(AND(V157="Low Difficulty - only applicable if all habitat created before losses ⚠",P157&gt;=O157),"Low",VLOOKUP(F157,'G-3 Multipliers'!$A$2:$E$129,4,FALSE))))</f>
        <v/>
      </c>
      <c r="X157" s="524" t="str">
        <f>IFERROR(IF(E157="","",VLOOKUP(W157, 'G-3 Multipliers'!$P$2:$Q$6,2,FALSE)),"")</f>
        <v/>
      </c>
      <c r="Y157" s="197"/>
      <c r="Z157" s="499" t="str">
        <f>IF(Y157="","",IF(VLOOKUP(Y157,'G-3 Multipliers'!$S$3:$T$9,2,FALSE)=0,"Spatial Data Missing ⚠",VLOOKUP(Y157,'G-3 Multipliers'!$S$3:$T$9,2,FALSE)))</f>
        <v/>
      </c>
      <c r="AA157" s="545" t="str">
        <f t="shared" si="13"/>
        <v/>
      </c>
      <c r="AB157" s="149"/>
      <c r="AC157" s="150"/>
    </row>
    <row r="158" spans="1:29" ht="13.8" x14ac:dyDescent="0.25">
      <c r="A158" s="31" t="str">
        <f>IFERROR(INDEX('G-8 Condition Look up'!$I$4:$I$130,MATCH(F158,'G-8 Condition Look up'!$A$4:$A$130,0)),"")</f>
        <v/>
      </c>
      <c r="C158" s="244" t="str">
        <f>IFERROR(INDEX('G-1 All Habitats'!$AG$3:$AG$15,MATCH(D158,'G-1 All Habitats'!$AF$3:$AF$15,0)),"")</f>
        <v/>
      </c>
      <c r="D158" s="154"/>
      <c r="E158" s="203"/>
      <c r="F158" s="243" t="str">
        <f>IFERROR(INDEX('G-1 All Habitats'!$B$3:$B$129,MATCH(E158,'G-1 All Habitats'!$A$3:$A$129,0)),"")</f>
        <v/>
      </c>
      <c r="G158" s="386"/>
      <c r="H158" s="537" t="str">
        <f>IF(F158="","",VLOOKUP(F158,'G-1 All Habitats'!$B$2:$M$129,10,FALSE))</f>
        <v/>
      </c>
      <c r="I158" s="524" t="str">
        <f>IFERROR(VLOOKUP(H158,'G-1 All Habitats'!$V$3:$W$7,2,FALSE),"")</f>
        <v/>
      </c>
      <c r="J158" s="199"/>
      <c r="K158" s="524" t="str">
        <f>IFERROR(INDEX('G-8 Condition Look up'!$A$3:$H$130,MATCH(F158,'G-8 Condition Look up'!$A$3:$A$130,0),MATCH(J158,'G-8 Condition Look up'!$A$3:$H$3,0)),"")</f>
        <v/>
      </c>
      <c r="L158" s="145"/>
      <c r="M158" s="540" t="str">
        <f>IF(L158="","",IF(VLOOKUP(L158,'G-3 Multipliers'!$L$3:$N$6,2,FALSE)=0,"Spatial Data Missing ⚠",VLOOKUP(L158,'G-3 Multipliers'!$L$3:$N$6,2,FALSE)))</f>
        <v/>
      </c>
      <c r="N158" s="499" t="str">
        <f>IF(L158="","",IF(VLOOKUP(L158,'G-3 Multipliers'!$L$3:$N$6,3,FALSE)=0,"Spatial Data Missing ⚠",VLOOKUP(L158,'G-3 Multipliers'!$L$3:$N$6,3,FALSE)))</f>
        <v/>
      </c>
      <c r="O158" s="498" t="str">
        <f t="shared" si="10"/>
        <v/>
      </c>
      <c r="P158" s="195"/>
      <c r="Q158" s="195"/>
      <c r="R158" s="520" t="str">
        <f t="shared" si="11"/>
        <v/>
      </c>
      <c r="S158" s="544" t="str">
        <f t="shared" si="12"/>
        <v/>
      </c>
      <c r="T158" s="525" t="str">
        <f>IFERROR(IF(S158="Check Data ⚠","Check Data ⚠",VLOOKUP(S158,'G-4 Temporal multipliers'!$A$4:$C$37,3,FALSE)),"")</f>
        <v/>
      </c>
      <c r="U158" s="523" t="str">
        <f>IF(F158="","",VLOOKUP(F158,'G-3 Multipliers'!$A$2:$E$129,2,FALSE))</f>
        <v/>
      </c>
      <c r="V158" s="520" t="str">
        <f t="shared" si="14"/>
        <v/>
      </c>
      <c r="W158" s="520" t="str">
        <f>IF(E158="","",IF(AND(V158="Standard difficulty applied",O158&gt;P158),U158,IF(AND(V158="Low Difficulty - only applicable if all habitat created before losses ⚠",P158&gt;=O158),"Low",VLOOKUP(F158,'G-3 Multipliers'!$A$2:$E$129,4,FALSE))))</f>
        <v/>
      </c>
      <c r="X158" s="524" t="str">
        <f>IFERROR(IF(E158="","",VLOOKUP(W158, 'G-3 Multipliers'!$P$2:$Q$6,2,FALSE)),"")</f>
        <v/>
      </c>
      <c r="Y158" s="197"/>
      <c r="Z158" s="499" t="str">
        <f>IF(Y158="","",IF(VLOOKUP(Y158,'G-3 Multipliers'!$S$3:$T$9,2,FALSE)=0,"Spatial Data Missing ⚠",VLOOKUP(Y158,'G-3 Multipliers'!$S$3:$T$9,2,FALSE)))</f>
        <v/>
      </c>
      <c r="AA158" s="545" t="str">
        <f t="shared" si="13"/>
        <v/>
      </c>
      <c r="AB158" s="149"/>
      <c r="AC158" s="150"/>
    </row>
    <row r="159" spans="1:29" ht="13.8" x14ac:dyDescent="0.25">
      <c r="A159" s="31" t="str">
        <f>IFERROR(INDEX('G-8 Condition Look up'!$I$4:$I$130,MATCH(F159,'G-8 Condition Look up'!$A$4:$A$130,0)),"")</f>
        <v/>
      </c>
      <c r="C159" s="244" t="str">
        <f>IFERROR(INDEX('G-1 All Habitats'!$AG$3:$AG$15,MATCH(D159,'G-1 All Habitats'!$AF$3:$AF$15,0)),"")</f>
        <v/>
      </c>
      <c r="D159" s="154"/>
      <c r="E159" s="203"/>
      <c r="F159" s="243" t="str">
        <f>IFERROR(INDEX('G-1 All Habitats'!$B$3:$B$129,MATCH(E159,'G-1 All Habitats'!$A$3:$A$129,0)),"")</f>
        <v/>
      </c>
      <c r="G159" s="386"/>
      <c r="H159" s="537" t="str">
        <f>IF(F159="","",VLOOKUP(F159,'G-1 All Habitats'!$B$2:$M$129,10,FALSE))</f>
        <v/>
      </c>
      <c r="I159" s="524" t="str">
        <f>IFERROR(VLOOKUP(H159,'G-1 All Habitats'!$V$3:$W$7,2,FALSE),"")</f>
        <v/>
      </c>
      <c r="J159" s="199"/>
      <c r="K159" s="524" t="str">
        <f>IFERROR(INDEX('G-8 Condition Look up'!$A$3:$H$130,MATCH(F159,'G-8 Condition Look up'!$A$3:$A$130,0),MATCH(J159,'G-8 Condition Look up'!$A$3:$H$3,0)),"")</f>
        <v/>
      </c>
      <c r="L159" s="145"/>
      <c r="M159" s="540" t="str">
        <f>IF(L159="","",IF(VLOOKUP(L159,'G-3 Multipliers'!$L$3:$N$6,2,FALSE)=0,"Spatial Data Missing ⚠",VLOOKUP(L159,'G-3 Multipliers'!$L$3:$N$6,2,FALSE)))</f>
        <v/>
      </c>
      <c r="N159" s="499" t="str">
        <f>IF(L159="","",IF(VLOOKUP(L159,'G-3 Multipliers'!$L$3:$N$6,3,FALSE)=0,"Spatial Data Missing ⚠",VLOOKUP(L159,'G-3 Multipliers'!$L$3:$N$6,3,FALSE)))</f>
        <v/>
      </c>
      <c r="O159" s="498" t="str">
        <f t="shared" si="10"/>
        <v/>
      </c>
      <c r="P159" s="195"/>
      <c r="Q159" s="195"/>
      <c r="R159" s="520" t="str">
        <f t="shared" si="11"/>
        <v/>
      </c>
      <c r="S159" s="544" t="str">
        <f t="shared" si="12"/>
        <v/>
      </c>
      <c r="T159" s="525" t="str">
        <f>IFERROR(IF(S159="Check Data ⚠","Check Data ⚠",VLOOKUP(S159,'G-4 Temporal multipliers'!$A$4:$C$37,3,FALSE)),"")</f>
        <v/>
      </c>
      <c r="U159" s="523" t="str">
        <f>IF(F159="","",VLOOKUP(F159,'G-3 Multipliers'!$A$2:$E$129,2,FALSE))</f>
        <v/>
      </c>
      <c r="V159" s="520" t="str">
        <f t="shared" si="14"/>
        <v/>
      </c>
      <c r="W159" s="520" t="str">
        <f>IF(E159="","",IF(AND(V159="Standard difficulty applied",O159&gt;P159),U159,IF(AND(V159="Low Difficulty - only applicable if all habitat created before losses ⚠",P159&gt;=O159),"Low",VLOOKUP(F159,'G-3 Multipliers'!$A$2:$E$129,4,FALSE))))</f>
        <v/>
      </c>
      <c r="X159" s="524" t="str">
        <f>IFERROR(IF(E159="","",VLOOKUP(W159, 'G-3 Multipliers'!$P$2:$Q$6,2,FALSE)),"")</f>
        <v/>
      </c>
      <c r="Y159" s="197"/>
      <c r="Z159" s="499" t="str">
        <f>IF(Y159="","",IF(VLOOKUP(Y159,'G-3 Multipliers'!$S$3:$T$9,2,FALSE)=0,"Spatial Data Missing ⚠",VLOOKUP(Y159,'G-3 Multipliers'!$S$3:$T$9,2,FALSE)))</f>
        <v/>
      </c>
      <c r="AA159" s="545" t="str">
        <f t="shared" si="13"/>
        <v/>
      </c>
      <c r="AB159" s="149"/>
      <c r="AC159" s="150"/>
    </row>
    <row r="160" spans="1:29" ht="13.8" x14ac:dyDescent="0.25">
      <c r="A160" s="31" t="str">
        <f>IFERROR(INDEX('G-8 Condition Look up'!$I$4:$I$130,MATCH(F160,'G-8 Condition Look up'!$A$4:$A$130,0)),"")</f>
        <v/>
      </c>
      <c r="C160" s="244" t="str">
        <f>IFERROR(INDEX('G-1 All Habitats'!$AG$3:$AG$15,MATCH(D160,'G-1 All Habitats'!$AF$3:$AF$15,0)),"")</f>
        <v/>
      </c>
      <c r="D160" s="154"/>
      <c r="E160" s="203"/>
      <c r="F160" s="243" t="str">
        <f>IFERROR(INDEX('G-1 All Habitats'!$B$3:$B$129,MATCH(E160,'G-1 All Habitats'!$A$3:$A$129,0)),"")</f>
        <v/>
      </c>
      <c r="G160" s="386"/>
      <c r="H160" s="537" t="str">
        <f>IF(F160="","",VLOOKUP(F160,'G-1 All Habitats'!$B$2:$M$129,10,FALSE))</f>
        <v/>
      </c>
      <c r="I160" s="524" t="str">
        <f>IFERROR(VLOOKUP(H160,'G-1 All Habitats'!$V$3:$W$7,2,FALSE),"")</f>
        <v/>
      </c>
      <c r="J160" s="199"/>
      <c r="K160" s="524" t="str">
        <f>IFERROR(INDEX('G-8 Condition Look up'!$A$3:$H$130,MATCH(F160,'G-8 Condition Look up'!$A$3:$A$130,0),MATCH(J160,'G-8 Condition Look up'!$A$3:$H$3,0)),"")</f>
        <v/>
      </c>
      <c r="L160" s="145"/>
      <c r="M160" s="540" t="str">
        <f>IF(L160="","",IF(VLOOKUP(L160,'G-3 Multipliers'!$L$3:$N$6,2,FALSE)=0,"Spatial Data Missing ⚠",VLOOKUP(L160,'G-3 Multipliers'!$L$3:$N$6,2,FALSE)))</f>
        <v/>
      </c>
      <c r="N160" s="499" t="str">
        <f>IF(L160="","",IF(VLOOKUP(L160,'G-3 Multipliers'!$L$3:$N$6,3,FALSE)=0,"Spatial Data Missing ⚠",VLOOKUP(L160,'G-3 Multipliers'!$L$3:$N$6,3,FALSE)))</f>
        <v/>
      </c>
      <c r="O160" s="498" t="str">
        <f t="shared" si="10"/>
        <v/>
      </c>
      <c r="P160" s="195"/>
      <c r="Q160" s="195"/>
      <c r="R160" s="520" t="str">
        <f t="shared" si="11"/>
        <v/>
      </c>
      <c r="S160" s="544" t="str">
        <f t="shared" si="12"/>
        <v/>
      </c>
      <c r="T160" s="525" t="str">
        <f>IFERROR(IF(S160="Check Data ⚠","Check Data ⚠",VLOOKUP(S160,'G-4 Temporal multipliers'!$A$4:$C$37,3,FALSE)),"")</f>
        <v/>
      </c>
      <c r="U160" s="523" t="str">
        <f>IF(F160="","",VLOOKUP(F160,'G-3 Multipliers'!$A$2:$E$129,2,FALSE))</f>
        <v/>
      </c>
      <c r="V160" s="520" t="str">
        <f t="shared" si="14"/>
        <v/>
      </c>
      <c r="W160" s="520" t="str">
        <f>IF(E160="","",IF(AND(V160="Standard difficulty applied",O160&gt;P160),U160,IF(AND(V160="Low Difficulty - only applicable if all habitat created before losses ⚠",P160&gt;=O160),"Low",VLOOKUP(F160,'G-3 Multipliers'!$A$2:$E$129,4,FALSE))))</f>
        <v/>
      </c>
      <c r="X160" s="524" t="str">
        <f>IFERROR(IF(E160="","",VLOOKUP(W160, 'G-3 Multipliers'!$P$2:$Q$6,2,FALSE)),"")</f>
        <v/>
      </c>
      <c r="Y160" s="197"/>
      <c r="Z160" s="499" t="str">
        <f>IF(Y160="","",IF(VLOOKUP(Y160,'G-3 Multipliers'!$S$3:$T$9,2,FALSE)=0,"Spatial Data Missing ⚠",VLOOKUP(Y160,'G-3 Multipliers'!$S$3:$T$9,2,FALSE)))</f>
        <v/>
      </c>
      <c r="AA160" s="545" t="str">
        <f t="shared" si="13"/>
        <v/>
      </c>
      <c r="AB160" s="149"/>
      <c r="AC160" s="150"/>
    </row>
    <row r="161" spans="1:29" ht="13.8" x14ac:dyDescent="0.25">
      <c r="A161" s="31" t="str">
        <f>IFERROR(INDEX('G-8 Condition Look up'!$I$4:$I$130,MATCH(F161,'G-8 Condition Look up'!$A$4:$A$130,0)),"")</f>
        <v/>
      </c>
      <c r="C161" s="244" t="str">
        <f>IFERROR(INDEX('G-1 All Habitats'!$AG$3:$AG$15,MATCH(D161,'G-1 All Habitats'!$AF$3:$AF$15,0)),"")</f>
        <v/>
      </c>
      <c r="D161" s="154"/>
      <c r="E161" s="203"/>
      <c r="F161" s="243" t="str">
        <f>IFERROR(INDEX('G-1 All Habitats'!$B$3:$B$129,MATCH(E161,'G-1 All Habitats'!$A$3:$A$129,0)),"")</f>
        <v/>
      </c>
      <c r="G161" s="386"/>
      <c r="H161" s="537" t="str">
        <f>IF(F161="","",VLOOKUP(F161,'G-1 All Habitats'!$B$2:$M$129,10,FALSE))</f>
        <v/>
      </c>
      <c r="I161" s="524" t="str">
        <f>IFERROR(VLOOKUP(H161,'G-1 All Habitats'!$V$3:$W$7,2,FALSE),"")</f>
        <v/>
      </c>
      <c r="J161" s="199"/>
      <c r="K161" s="524" t="str">
        <f>IFERROR(INDEX('G-8 Condition Look up'!$A$3:$H$130,MATCH(F161,'G-8 Condition Look up'!$A$3:$A$130,0),MATCH(J161,'G-8 Condition Look up'!$A$3:$H$3,0)),"")</f>
        <v/>
      </c>
      <c r="L161" s="145"/>
      <c r="M161" s="540" t="str">
        <f>IF(L161="","",IF(VLOOKUP(L161,'G-3 Multipliers'!$L$3:$N$6,2,FALSE)=0,"Spatial Data Missing ⚠",VLOOKUP(L161,'G-3 Multipliers'!$L$3:$N$6,2,FALSE)))</f>
        <v/>
      </c>
      <c r="N161" s="499" t="str">
        <f>IF(L161="","",IF(VLOOKUP(L161,'G-3 Multipliers'!$L$3:$N$6,3,FALSE)=0,"Spatial Data Missing ⚠",VLOOKUP(L161,'G-3 Multipliers'!$L$3:$N$6,3,FALSE)))</f>
        <v/>
      </c>
      <c r="O161" s="498" t="str">
        <f t="shared" si="10"/>
        <v/>
      </c>
      <c r="P161" s="195"/>
      <c r="Q161" s="195"/>
      <c r="R161" s="520" t="str">
        <f t="shared" si="11"/>
        <v/>
      </c>
      <c r="S161" s="544" t="str">
        <f t="shared" si="12"/>
        <v/>
      </c>
      <c r="T161" s="525" t="str">
        <f>IFERROR(IF(S161="Check Data ⚠","Check Data ⚠",VLOOKUP(S161,'G-4 Temporal multipliers'!$A$4:$C$37,3,FALSE)),"")</f>
        <v/>
      </c>
      <c r="U161" s="523" t="str">
        <f>IF(F161="","",VLOOKUP(F161,'G-3 Multipliers'!$A$2:$E$129,2,FALSE))</f>
        <v/>
      </c>
      <c r="V161" s="520" t="str">
        <f t="shared" si="14"/>
        <v/>
      </c>
      <c r="W161" s="520" t="str">
        <f>IF(E161="","",IF(AND(V161="Standard difficulty applied",O161&gt;P161),U161,IF(AND(V161="Low Difficulty - only applicable if all habitat created before losses ⚠",P161&gt;=O161),"Low",VLOOKUP(F161,'G-3 Multipliers'!$A$2:$E$129,4,FALSE))))</f>
        <v/>
      </c>
      <c r="X161" s="524" t="str">
        <f>IFERROR(IF(E161="","",VLOOKUP(W161, 'G-3 Multipliers'!$P$2:$Q$6,2,FALSE)),"")</f>
        <v/>
      </c>
      <c r="Y161" s="197"/>
      <c r="Z161" s="499" t="str">
        <f>IF(Y161="","",IF(VLOOKUP(Y161,'G-3 Multipliers'!$S$3:$T$9,2,FALSE)=0,"Spatial Data Missing ⚠",VLOOKUP(Y161,'G-3 Multipliers'!$S$3:$T$9,2,FALSE)))</f>
        <v/>
      </c>
      <c r="AA161" s="545" t="str">
        <f t="shared" si="13"/>
        <v/>
      </c>
      <c r="AB161" s="149"/>
      <c r="AC161" s="150"/>
    </row>
    <row r="162" spans="1:29" ht="13.8" x14ac:dyDescent="0.25">
      <c r="A162" s="31" t="str">
        <f>IFERROR(INDEX('G-8 Condition Look up'!$I$4:$I$130,MATCH(F162,'G-8 Condition Look up'!$A$4:$A$130,0)),"")</f>
        <v/>
      </c>
      <c r="C162" s="244" t="str">
        <f>IFERROR(INDEX('G-1 All Habitats'!$AG$3:$AG$15,MATCH(D162,'G-1 All Habitats'!$AF$3:$AF$15,0)),"")</f>
        <v/>
      </c>
      <c r="D162" s="154"/>
      <c r="E162" s="203"/>
      <c r="F162" s="243" t="str">
        <f>IFERROR(INDEX('G-1 All Habitats'!$B$3:$B$129,MATCH(E162,'G-1 All Habitats'!$A$3:$A$129,0)),"")</f>
        <v/>
      </c>
      <c r="G162" s="386"/>
      <c r="H162" s="537" t="str">
        <f>IF(F162="","",VLOOKUP(F162,'G-1 All Habitats'!$B$2:$M$129,10,FALSE))</f>
        <v/>
      </c>
      <c r="I162" s="524" t="str">
        <f>IFERROR(VLOOKUP(H162,'G-1 All Habitats'!$V$3:$W$7,2,FALSE),"")</f>
        <v/>
      </c>
      <c r="J162" s="199"/>
      <c r="K162" s="524" t="str">
        <f>IFERROR(INDEX('G-8 Condition Look up'!$A$3:$H$130,MATCH(F162,'G-8 Condition Look up'!$A$3:$A$130,0),MATCH(J162,'G-8 Condition Look up'!$A$3:$H$3,0)),"")</f>
        <v/>
      </c>
      <c r="L162" s="145"/>
      <c r="M162" s="540" t="str">
        <f>IF(L162="","",IF(VLOOKUP(L162,'G-3 Multipliers'!$L$3:$N$6,2,FALSE)=0,"Spatial Data Missing ⚠",VLOOKUP(L162,'G-3 Multipliers'!$L$3:$N$6,2,FALSE)))</f>
        <v/>
      </c>
      <c r="N162" s="499" t="str">
        <f>IF(L162="","",IF(VLOOKUP(L162,'G-3 Multipliers'!$L$3:$N$6,3,FALSE)=0,"Spatial Data Missing ⚠",VLOOKUP(L162,'G-3 Multipliers'!$L$3:$N$6,3,FALSE)))</f>
        <v/>
      </c>
      <c r="O162" s="498" t="str">
        <f t="shared" si="10"/>
        <v/>
      </c>
      <c r="P162" s="195"/>
      <c r="Q162" s="195"/>
      <c r="R162" s="520" t="str">
        <f t="shared" si="11"/>
        <v/>
      </c>
      <c r="S162" s="544" t="str">
        <f t="shared" si="12"/>
        <v/>
      </c>
      <c r="T162" s="525" t="str">
        <f>IFERROR(IF(S162="Check Data ⚠","Check Data ⚠",VLOOKUP(S162,'G-4 Temporal multipliers'!$A$4:$C$37,3,FALSE)),"")</f>
        <v/>
      </c>
      <c r="U162" s="523" t="str">
        <f>IF(F162="","",VLOOKUP(F162,'G-3 Multipliers'!$A$2:$E$129,2,FALSE))</f>
        <v/>
      </c>
      <c r="V162" s="520" t="str">
        <f t="shared" si="14"/>
        <v/>
      </c>
      <c r="W162" s="520" t="str">
        <f>IF(E162="","",IF(AND(V162="Standard difficulty applied",O162&gt;P162),U162,IF(AND(V162="Low Difficulty - only applicable if all habitat created before losses ⚠",P162&gt;=O162),"Low",VLOOKUP(F162,'G-3 Multipliers'!$A$2:$E$129,4,FALSE))))</f>
        <v/>
      </c>
      <c r="X162" s="524" t="str">
        <f>IFERROR(IF(E162="","",VLOOKUP(W162, 'G-3 Multipliers'!$P$2:$Q$6,2,FALSE)),"")</f>
        <v/>
      </c>
      <c r="Y162" s="197"/>
      <c r="Z162" s="499" t="str">
        <f>IF(Y162="","",IF(VLOOKUP(Y162,'G-3 Multipliers'!$S$3:$T$9,2,FALSE)=0,"Spatial Data Missing ⚠",VLOOKUP(Y162,'G-3 Multipliers'!$S$3:$T$9,2,FALSE)))</f>
        <v/>
      </c>
      <c r="AA162" s="545" t="str">
        <f t="shared" si="13"/>
        <v/>
      </c>
      <c r="AB162" s="149"/>
      <c r="AC162" s="150"/>
    </row>
    <row r="163" spans="1:29" ht="13.8" x14ac:dyDescent="0.25">
      <c r="A163" s="31" t="str">
        <f>IFERROR(INDEX('G-8 Condition Look up'!$I$4:$I$130,MATCH(F163,'G-8 Condition Look up'!$A$4:$A$130,0)),"")</f>
        <v/>
      </c>
      <c r="C163" s="244" t="str">
        <f>IFERROR(INDEX('G-1 All Habitats'!$AG$3:$AG$15,MATCH(D163,'G-1 All Habitats'!$AF$3:$AF$15,0)),"")</f>
        <v/>
      </c>
      <c r="D163" s="154"/>
      <c r="E163" s="203"/>
      <c r="F163" s="243" t="str">
        <f>IFERROR(INDEX('G-1 All Habitats'!$B$3:$B$129,MATCH(E163,'G-1 All Habitats'!$A$3:$A$129,0)),"")</f>
        <v/>
      </c>
      <c r="G163" s="386"/>
      <c r="H163" s="537" t="str">
        <f>IF(F163="","",VLOOKUP(F163,'G-1 All Habitats'!$B$2:$M$129,10,FALSE))</f>
        <v/>
      </c>
      <c r="I163" s="524" t="str">
        <f>IFERROR(VLOOKUP(H163,'G-1 All Habitats'!$V$3:$W$7,2,FALSE),"")</f>
        <v/>
      </c>
      <c r="J163" s="199"/>
      <c r="K163" s="524" t="str">
        <f>IFERROR(INDEX('G-8 Condition Look up'!$A$3:$H$130,MATCH(F163,'G-8 Condition Look up'!$A$3:$A$130,0),MATCH(J163,'G-8 Condition Look up'!$A$3:$H$3,0)),"")</f>
        <v/>
      </c>
      <c r="L163" s="145"/>
      <c r="M163" s="540" t="str">
        <f>IF(L163="","",IF(VLOOKUP(L163,'G-3 Multipliers'!$L$3:$N$6,2,FALSE)=0,"Spatial Data Missing ⚠",VLOOKUP(L163,'G-3 Multipliers'!$L$3:$N$6,2,FALSE)))</f>
        <v/>
      </c>
      <c r="N163" s="499" t="str">
        <f>IF(L163="","",IF(VLOOKUP(L163,'G-3 Multipliers'!$L$3:$N$6,3,FALSE)=0,"Spatial Data Missing ⚠",VLOOKUP(L163,'G-3 Multipliers'!$L$3:$N$6,3,FALSE)))</f>
        <v/>
      </c>
      <c r="O163" s="498" t="str">
        <f t="shared" si="10"/>
        <v/>
      </c>
      <c r="P163" s="195"/>
      <c r="Q163" s="195"/>
      <c r="R163" s="520" t="str">
        <f t="shared" si="11"/>
        <v/>
      </c>
      <c r="S163" s="544" t="str">
        <f t="shared" si="12"/>
        <v/>
      </c>
      <c r="T163" s="525" t="str">
        <f>IFERROR(IF(S163="Check Data ⚠","Check Data ⚠",VLOOKUP(S163,'G-4 Temporal multipliers'!$A$4:$C$37,3,FALSE)),"")</f>
        <v/>
      </c>
      <c r="U163" s="523" t="str">
        <f>IF(F163="","",VLOOKUP(F163,'G-3 Multipliers'!$A$2:$E$129,2,FALSE))</f>
        <v/>
      </c>
      <c r="V163" s="520" t="str">
        <f t="shared" si="14"/>
        <v/>
      </c>
      <c r="W163" s="520" t="str">
        <f>IF(E163="","",IF(AND(V163="Standard difficulty applied",O163&gt;P163),U163,IF(AND(V163="Low Difficulty - only applicable if all habitat created before losses ⚠",P163&gt;=O163),"Low",VLOOKUP(F163,'G-3 Multipliers'!$A$2:$E$129,4,FALSE))))</f>
        <v/>
      </c>
      <c r="X163" s="524" t="str">
        <f>IFERROR(IF(E163="","",VLOOKUP(W163, 'G-3 Multipliers'!$P$2:$Q$6,2,FALSE)),"")</f>
        <v/>
      </c>
      <c r="Y163" s="197"/>
      <c r="Z163" s="499" t="str">
        <f>IF(Y163="","",IF(VLOOKUP(Y163,'G-3 Multipliers'!$S$3:$T$9,2,FALSE)=0,"Spatial Data Missing ⚠",VLOOKUP(Y163,'G-3 Multipliers'!$S$3:$T$9,2,FALSE)))</f>
        <v/>
      </c>
      <c r="AA163" s="545" t="str">
        <f t="shared" si="13"/>
        <v/>
      </c>
      <c r="AB163" s="149"/>
      <c r="AC163" s="150"/>
    </row>
    <row r="164" spans="1:29" ht="13.8" x14ac:dyDescent="0.25">
      <c r="A164" s="31" t="str">
        <f>IFERROR(INDEX('G-8 Condition Look up'!$I$4:$I$130,MATCH(F164,'G-8 Condition Look up'!$A$4:$A$130,0)),"")</f>
        <v/>
      </c>
      <c r="C164" s="244" t="str">
        <f>IFERROR(INDEX('G-1 All Habitats'!$AG$3:$AG$15,MATCH(D164,'G-1 All Habitats'!$AF$3:$AF$15,0)),"")</f>
        <v/>
      </c>
      <c r="D164" s="154"/>
      <c r="E164" s="203"/>
      <c r="F164" s="243" t="str">
        <f>IFERROR(INDEX('G-1 All Habitats'!$B$3:$B$129,MATCH(E164,'G-1 All Habitats'!$A$3:$A$129,0)),"")</f>
        <v/>
      </c>
      <c r="G164" s="386"/>
      <c r="H164" s="537" t="str">
        <f>IF(F164="","",VLOOKUP(F164,'G-1 All Habitats'!$B$2:$M$129,10,FALSE))</f>
        <v/>
      </c>
      <c r="I164" s="524" t="str">
        <f>IFERROR(VLOOKUP(H164,'G-1 All Habitats'!$V$3:$W$7,2,FALSE),"")</f>
        <v/>
      </c>
      <c r="J164" s="199"/>
      <c r="K164" s="524" t="str">
        <f>IFERROR(INDEX('G-8 Condition Look up'!$A$3:$H$130,MATCH(F164,'G-8 Condition Look up'!$A$3:$A$130,0),MATCH(J164,'G-8 Condition Look up'!$A$3:$H$3,0)),"")</f>
        <v/>
      </c>
      <c r="L164" s="145"/>
      <c r="M164" s="540" t="str">
        <f>IF(L164="","",IF(VLOOKUP(L164,'G-3 Multipliers'!$L$3:$N$6,2,FALSE)=0,"Spatial Data Missing ⚠",VLOOKUP(L164,'G-3 Multipliers'!$L$3:$N$6,2,FALSE)))</f>
        <v/>
      </c>
      <c r="N164" s="499" t="str">
        <f>IF(L164="","",IF(VLOOKUP(L164,'G-3 Multipliers'!$L$3:$N$6,3,FALSE)=0,"Spatial Data Missing ⚠",VLOOKUP(L164,'G-3 Multipliers'!$L$3:$N$6,3,FALSE)))</f>
        <v/>
      </c>
      <c r="O164" s="498" t="str">
        <f t="shared" si="10"/>
        <v/>
      </c>
      <c r="P164" s="195"/>
      <c r="Q164" s="195"/>
      <c r="R164" s="520" t="str">
        <f t="shared" si="11"/>
        <v/>
      </c>
      <c r="S164" s="544" t="str">
        <f t="shared" si="12"/>
        <v/>
      </c>
      <c r="T164" s="525" t="str">
        <f>IFERROR(IF(S164="Check Data ⚠","Check Data ⚠",VLOOKUP(S164,'G-4 Temporal multipliers'!$A$4:$C$37,3,FALSE)),"")</f>
        <v/>
      </c>
      <c r="U164" s="523" t="str">
        <f>IF(F164="","",VLOOKUP(F164,'G-3 Multipliers'!$A$2:$E$129,2,FALSE))</f>
        <v/>
      </c>
      <c r="V164" s="520" t="str">
        <f t="shared" si="14"/>
        <v/>
      </c>
      <c r="W164" s="520" t="str">
        <f>IF(E164="","",IF(AND(V164="Standard difficulty applied",O164&gt;P164),U164,IF(AND(V164="Low Difficulty - only applicable if all habitat created before losses ⚠",P164&gt;=O164),"Low",VLOOKUP(F164,'G-3 Multipliers'!$A$2:$E$129,4,FALSE))))</f>
        <v/>
      </c>
      <c r="X164" s="524" t="str">
        <f>IFERROR(IF(E164="","",VLOOKUP(W164, 'G-3 Multipliers'!$P$2:$Q$6,2,FALSE)),"")</f>
        <v/>
      </c>
      <c r="Y164" s="197"/>
      <c r="Z164" s="499" t="str">
        <f>IF(Y164="","",IF(VLOOKUP(Y164,'G-3 Multipliers'!$S$3:$T$9,2,FALSE)=0,"Spatial Data Missing ⚠",VLOOKUP(Y164,'G-3 Multipliers'!$S$3:$T$9,2,FALSE)))</f>
        <v/>
      </c>
      <c r="AA164" s="545" t="str">
        <f t="shared" si="13"/>
        <v/>
      </c>
      <c r="AB164" s="149"/>
      <c r="AC164" s="150"/>
    </row>
    <row r="165" spans="1:29" ht="13.8" x14ac:dyDescent="0.25">
      <c r="A165" s="31" t="str">
        <f>IFERROR(INDEX('G-8 Condition Look up'!$I$4:$I$130,MATCH(F165,'G-8 Condition Look up'!$A$4:$A$130,0)),"")</f>
        <v/>
      </c>
      <c r="C165" s="244" t="str">
        <f>IFERROR(INDEX('G-1 All Habitats'!$AG$3:$AG$15,MATCH(D165,'G-1 All Habitats'!$AF$3:$AF$15,0)),"")</f>
        <v/>
      </c>
      <c r="D165" s="154"/>
      <c r="E165" s="203"/>
      <c r="F165" s="243" t="str">
        <f>IFERROR(INDEX('G-1 All Habitats'!$B$3:$B$129,MATCH(E165,'G-1 All Habitats'!$A$3:$A$129,0)),"")</f>
        <v/>
      </c>
      <c r="G165" s="386"/>
      <c r="H165" s="537" t="str">
        <f>IF(F165="","",VLOOKUP(F165,'G-1 All Habitats'!$B$2:$M$129,10,FALSE))</f>
        <v/>
      </c>
      <c r="I165" s="524" t="str">
        <f>IFERROR(VLOOKUP(H165,'G-1 All Habitats'!$V$3:$W$7,2,FALSE),"")</f>
        <v/>
      </c>
      <c r="J165" s="199"/>
      <c r="K165" s="524" t="str">
        <f>IFERROR(INDEX('G-8 Condition Look up'!$A$3:$H$130,MATCH(F165,'G-8 Condition Look up'!$A$3:$A$130,0),MATCH(J165,'G-8 Condition Look up'!$A$3:$H$3,0)),"")</f>
        <v/>
      </c>
      <c r="L165" s="145"/>
      <c r="M165" s="540" t="str">
        <f>IF(L165="","",IF(VLOOKUP(L165,'G-3 Multipliers'!$L$3:$N$6,2,FALSE)=0,"Spatial Data Missing ⚠",VLOOKUP(L165,'G-3 Multipliers'!$L$3:$N$6,2,FALSE)))</f>
        <v/>
      </c>
      <c r="N165" s="499" t="str">
        <f>IF(L165="","",IF(VLOOKUP(L165,'G-3 Multipliers'!$L$3:$N$6,3,FALSE)=0,"Spatial Data Missing ⚠",VLOOKUP(L165,'G-3 Multipliers'!$L$3:$N$6,3,FALSE)))</f>
        <v/>
      </c>
      <c r="O165" s="498" t="str">
        <f t="shared" si="10"/>
        <v/>
      </c>
      <c r="P165" s="195"/>
      <c r="Q165" s="195"/>
      <c r="R165" s="520" t="str">
        <f t="shared" si="11"/>
        <v/>
      </c>
      <c r="S165" s="544" t="str">
        <f t="shared" si="12"/>
        <v/>
      </c>
      <c r="T165" s="525" t="str">
        <f>IFERROR(IF(S165="Check Data ⚠","Check Data ⚠",VLOOKUP(S165,'G-4 Temporal multipliers'!$A$4:$C$37,3,FALSE)),"")</f>
        <v/>
      </c>
      <c r="U165" s="523" t="str">
        <f>IF(F165="","",VLOOKUP(F165,'G-3 Multipliers'!$A$2:$E$129,2,FALSE))</f>
        <v/>
      </c>
      <c r="V165" s="520" t="str">
        <f t="shared" si="14"/>
        <v/>
      </c>
      <c r="W165" s="520" t="str">
        <f>IF(E165="","",IF(AND(V165="Standard difficulty applied",O165&gt;P165),U165,IF(AND(V165="Low Difficulty - only applicable if all habitat created before losses ⚠",P165&gt;=O165),"Low",VLOOKUP(F165,'G-3 Multipliers'!$A$2:$E$129,4,FALSE))))</f>
        <v/>
      </c>
      <c r="X165" s="524" t="str">
        <f>IFERROR(IF(E165="","",VLOOKUP(W165, 'G-3 Multipliers'!$P$2:$Q$6,2,FALSE)),"")</f>
        <v/>
      </c>
      <c r="Y165" s="197"/>
      <c r="Z165" s="499" t="str">
        <f>IF(Y165="","",IF(VLOOKUP(Y165,'G-3 Multipliers'!$S$3:$T$9,2,FALSE)=0,"Spatial Data Missing ⚠",VLOOKUP(Y165,'G-3 Multipliers'!$S$3:$T$9,2,FALSE)))</f>
        <v/>
      </c>
      <c r="AA165" s="545" t="str">
        <f t="shared" si="13"/>
        <v/>
      </c>
      <c r="AB165" s="149"/>
      <c r="AC165" s="150"/>
    </row>
    <row r="166" spans="1:29" ht="13.8" x14ac:dyDescent="0.25">
      <c r="A166" s="31" t="str">
        <f>IFERROR(INDEX('G-8 Condition Look up'!$I$4:$I$130,MATCH(F166,'G-8 Condition Look up'!$A$4:$A$130,0)),"")</f>
        <v/>
      </c>
      <c r="C166" s="244" t="str">
        <f>IFERROR(INDEX('G-1 All Habitats'!$AG$3:$AG$15,MATCH(D166,'G-1 All Habitats'!$AF$3:$AF$15,0)),"")</f>
        <v/>
      </c>
      <c r="D166" s="154"/>
      <c r="E166" s="203"/>
      <c r="F166" s="243" t="str">
        <f>IFERROR(INDEX('G-1 All Habitats'!$B$3:$B$129,MATCH(E166,'G-1 All Habitats'!$A$3:$A$129,0)),"")</f>
        <v/>
      </c>
      <c r="G166" s="386"/>
      <c r="H166" s="537" t="str">
        <f>IF(F166="","",VLOOKUP(F166,'G-1 All Habitats'!$B$2:$M$129,10,FALSE))</f>
        <v/>
      </c>
      <c r="I166" s="524" t="str">
        <f>IFERROR(VLOOKUP(H166,'G-1 All Habitats'!$V$3:$W$7,2,FALSE),"")</f>
        <v/>
      </c>
      <c r="J166" s="199"/>
      <c r="K166" s="524" t="str">
        <f>IFERROR(INDEX('G-8 Condition Look up'!$A$3:$H$130,MATCH(F166,'G-8 Condition Look up'!$A$3:$A$130,0),MATCH(J166,'G-8 Condition Look up'!$A$3:$H$3,0)),"")</f>
        <v/>
      </c>
      <c r="L166" s="145"/>
      <c r="M166" s="540" t="str">
        <f>IF(L166="","",IF(VLOOKUP(L166,'G-3 Multipliers'!$L$3:$N$6,2,FALSE)=0,"Spatial Data Missing ⚠",VLOOKUP(L166,'G-3 Multipliers'!$L$3:$N$6,2,FALSE)))</f>
        <v/>
      </c>
      <c r="N166" s="499" t="str">
        <f>IF(L166="","",IF(VLOOKUP(L166,'G-3 Multipliers'!$L$3:$N$6,3,FALSE)=0,"Spatial Data Missing ⚠",VLOOKUP(L166,'G-3 Multipliers'!$L$3:$N$6,3,FALSE)))</f>
        <v/>
      </c>
      <c r="O166" s="498" t="str">
        <f t="shared" si="10"/>
        <v/>
      </c>
      <c r="P166" s="195"/>
      <c r="Q166" s="195"/>
      <c r="R166" s="520" t="str">
        <f t="shared" si="11"/>
        <v/>
      </c>
      <c r="S166" s="544" t="str">
        <f t="shared" si="12"/>
        <v/>
      </c>
      <c r="T166" s="525" t="str">
        <f>IFERROR(IF(S166="Check Data ⚠","Check Data ⚠",VLOOKUP(S166,'G-4 Temporal multipliers'!$A$4:$C$37,3,FALSE)),"")</f>
        <v/>
      </c>
      <c r="U166" s="523" t="str">
        <f>IF(F166="","",VLOOKUP(F166,'G-3 Multipliers'!$A$2:$E$129,2,FALSE))</f>
        <v/>
      </c>
      <c r="V166" s="520" t="str">
        <f t="shared" si="14"/>
        <v/>
      </c>
      <c r="W166" s="520" t="str">
        <f>IF(E166="","",IF(AND(V166="Standard difficulty applied",O166&gt;P166),U166,IF(AND(V166="Low Difficulty - only applicable if all habitat created before losses ⚠",P166&gt;=O166),"Low",VLOOKUP(F166,'G-3 Multipliers'!$A$2:$E$129,4,FALSE))))</f>
        <v/>
      </c>
      <c r="X166" s="524" t="str">
        <f>IFERROR(IF(E166="","",VLOOKUP(W166, 'G-3 Multipliers'!$P$2:$Q$6,2,FALSE)),"")</f>
        <v/>
      </c>
      <c r="Y166" s="197"/>
      <c r="Z166" s="499" t="str">
        <f>IF(Y166="","",IF(VLOOKUP(Y166,'G-3 Multipliers'!$S$3:$T$9,2,FALSE)=0,"Spatial Data Missing ⚠",VLOOKUP(Y166,'G-3 Multipliers'!$S$3:$T$9,2,FALSE)))</f>
        <v/>
      </c>
      <c r="AA166" s="545" t="str">
        <f t="shared" si="13"/>
        <v/>
      </c>
      <c r="AB166" s="149"/>
      <c r="AC166" s="150"/>
    </row>
    <row r="167" spans="1:29" ht="13.8" x14ac:dyDescent="0.25">
      <c r="A167" s="31" t="str">
        <f>IFERROR(INDEX('G-8 Condition Look up'!$I$4:$I$130,MATCH(F167,'G-8 Condition Look up'!$A$4:$A$130,0)),"")</f>
        <v/>
      </c>
      <c r="C167" s="244" t="str">
        <f>IFERROR(INDEX('G-1 All Habitats'!$AG$3:$AG$15,MATCH(D167,'G-1 All Habitats'!$AF$3:$AF$15,0)),"")</f>
        <v/>
      </c>
      <c r="D167" s="154"/>
      <c r="E167" s="203"/>
      <c r="F167" s="243" t="str">
        <f>IFERROR(INDEX('G-1 All Habitats'!$B$3:$B$129,MATCH(E167,'G-1 All Habitats'!$A$3:$A$129,0)),"")</f>
        <v/>
      </c>
      <c r="G167" s="386"/>
      <c r="H167" s="537" t="str">
        <f>IF(F167="","",VLOOKUP(F167,'G-1 All Habitats'!$B$2:$M$129,10,FALSE))</f>
        <v/>
      </c>
      <c r="I167" s="524" t="str">
        <f>IFERROR(VLOOKUP(H167,'G-1 All Habitats'!$V$3:$W$7,2,FALSE),"")</f>
        <v/>
      </c>
      <c r="J167" s="199"/>
      <c r="K167" s="524" t="str">
        <f>IFERROR(INDEX('G-8 Condition Look up'!$A$3:$H$130,MATCH(F167,'G-8 Condition Look up'!$A$3:$A$130,0),MATCH(J167,'G-8 Condition Look up'!$A$3:$H$3,0)),"")</f>
        <v/>
      </c>
      <c r="L167" s="145"/>
      <c r="M167" s="540" t="str">
        <f>IF(L167="","",IF(VLOOKUP(L167,'G-3 Multipliers'!$L$3:$N$6,2,FALSE)=0,"Spatial Data Missing ⚠",VLOOKUP(L167,'G-3 Multipliers'!$L$3:$N$6,2,FALSE)))</f>
        <v/>
      </c>
      <c r="N167" s="499" t="str">
        <f>IF(L167="","",IF(VLOOKUP(L167,'G-3 Multipliers'!$L$3:$N$6,3,FALSE)=0,"Spatial Data Missing ⚠",VLOOKUP(L167,'G-3 Multipliers'!$L$3:$N$6,3,FALSE)))</f>
        <v/>
      </c>
      <c r="O167" s="498" t="str">
        <f t="shared" si="10"/>
        <v/>
      </c>
      <c r="P167" s="195"/>
      <c r="Q167" s="195"/>
      <c r="R167" s="520" t="str">
        <f t="shared" si="11"/>
        <v/>
      </c>
      <c r="S167" s="544" t="str">
        <f t="shared" si="12"/>
        <v/>
      </c>
      <c r="T167" s="525" t="str">
        <f>IFERROR(IF(S167="Check Data ⚠","Check Data ⚠",VLOOKUP(S167,'G-4 Temporal multipliers'!$A$4:$C$37,3,FALSE)),"")</f>
        <v/>
      </c>
      <c r="U167" s="523" t="str">
        <f>IF(F167="","",VLOOKUP(F167,'G-3 Multipliers'!$A$2:$E$129,2,FALSE))</f>
        <v/>
      </c>
      <c r="V167" s="520" t="str">
        <f t="shared" si="14"/>
        <v/>
      </c>
      <c r="W167" s="520" t="str">
        <f>IF(E167="","",IF(AND(V167="Standard difficulty applied",O167&gt;P167),U167,IF(AND(V167="Low Difficulty - only applicable if all habitat created before losses ⚠",P167&gt;=O167),"Low",VLOOKUP(F167,'G-3 Multipliers'!$A$2:$E$129,4,FALSE))))</f>
        <v/>
      </c>
      <c r="X167" s="524" t="str">
        <f>IFERROR(IF(E167="","",VLOOKUP(W167, 'G-3 Multipliers'!$P$2:$Q$6,2,FALSE)),"")</f>
        <v/>
      </c>
      <c r="Y167" s="197"/>
      <c r="Z167" s="499" t="str">
        <f>IF(Y167="","",IF(VLOOKUP(Y167,'G-3 Multipliers'!$S$3:$T$9,2,FALSE)=0,"Spatial Data Missing ⚠",VLOOKUP(Y167,'G-3 Multipliers'!$S$3:$T$9,2,FALSE)))</f>
        <v/>
      </c>
      <c r="AA167" s="545" t="str">
        <f t="shared" si="13"/>
        <v/>
      </c>
      <c r="AB167" s="149"/>
      <c r="AC167" s="150"/>
    </row>
    <row r="168" spans="1:29" ht="13.8" x14ac:dyDescent="0.25">
      <c r="A168" s="31" t="str">
        <f>IFERROR(INDEX('G-8 Condition Look up'!$I$4:$I$130,MATCH(F168,'G-8 Condition Look up'!$A$4:$A$130,0)),"")</f>
        <v/>
      </c>
      <c r="C168" s="244" t="str">
        <f>IFERROR(INDEX('G-1 All Habitats'!$AG$3:$AG$15,MATCH(D168,'G-1 All Habitats'!$AF$3:$AF$15,0)),"")</f>
        <v/>
      </c>
      <c r="D168" s="154"/>
      <c r="E168" s="203"/>
      <c r="F168" s="243" t="str">
        <f>IFERROR(INDEX('G-1 All Habitats'!$B$3:$B$129,MATCH(E168,'G-1 All Habitats'!$A$3:$A$129,0)),"")</f>
        <v/>
      </c>
      <c r="G168" s="386"/>
      <c r="H168" s="537" t="str">
        <f>IF(F168="","",VLOOKUP(F168,'G-1 All Habitats'!$B$2:$M$129,10,FALSE))</f>
        <v/>
      </c>
      <c r="I168" s="524" t="str">
        <f>IFERROR(VLOOKUP(H168,'G-1 All Habitats'!$V$3:$W$7,2,FALSE),"")</f>
        <v/>
      </c>
      <c r="J168" s="199"/>
      <c r="K168" s="524" t="str">
        <f>IFERROR(INDEX('G-8 Condition Look up'!$A$3:$H$130,MATCH(F168,'G-8 Condition Look up'!$A$3:$A$130,0),MATCH(J168,'G-8 Condition Look up'!$A$3:$H$3,0)),"")</f>
        <v/>
      </c>
      <c r="L168" s="145"/>
      <c r="M168" s="540" t="str">
        <f>IF(L168="","",IF(VLOOKUP(L168,'G-3 Multipliers'!$L$3:$N$6,2,FALSE)=0,"Spatial Data Missing ⚠",VLOOKUP(L168,'G-3 Multipliers'!$L$3:$N$6,2,FALSE)))</f>
        <v/>
      </c>
      <c r="N168" s="499" t="str">
        <f>IF(L168="","",IF(VLOOKUP(L168,'G-3 Multipliers'!$L$3:$N$6,3,FALSE)=0,"Spatial Data Missing ⚠",VLOOKUP(L168,'G-3 Multipliers'!$L$3:$N$6,3,FALSE)))</f>
        <v/>
      </c>
      <c r="O168" s="498" t="str">
        <f t="shared" si="10"/>
        <v/>
      </c>
      <c r="P168" s="195"/>
      <c r="Q168" s="195"/>
      <c r="R168" s="520" t="str">
        <f t="shared" si="11"/>
        <v/>
      </c>
      <c r="S168" s="544" t="str">
        <f t="shared" si="12"/>
        <v/>
      </c>
      <c r="T168" s="525" t="str">
        <f>IFERROR(IF(S168="Check Data ⚠","Check Data ⚠",VLOOKUP(S168,'G-4 Temporal multipliers'!$A$4:$C$37,3,FALSE)),"")</f>
        <v/>
      </c>
      <c r="U168" s="523" t="str">
        <f>IF(F168="","",VLOOKUP(F168,'G-3 Multipliers'!$A$2:$E$129,2,FALSE))</f>
        <v/>
      </c>
      <c r="V168" s="520" t="str">
        <f t="shared" si="14"/>
        <v/>
      </c>
      <c r="W168" s="520" t="str">
        <f>IF(E168="","",IF(AND(V168="Standard difficulty applied",O168&gt;P168),U168,IF(AND(V168="Low Difficulty - only applicable if all habitat created before losses ⚠",P168&gt;=O168),"Low",VLOOKUP(F168,'G-3 Multipliers'!$A$2:$E$129,4,FALSE))))</f>
        <v/>
      </c>
      <c r="X168" s="524" t="str">
        <f>IFERROR(IF(E168="","",VLOOKUP(W168, 'G-3 Multipliers'!$P$2:$Q$6,2,FALSE)),"")</f>
        <v/>
      </c>
      <c r="Y168" s="197"/>
      <c r="Z168" s="499" t="str">
        <f>IF(Y168="","",IF(VLOOKUP(Y168,'G-3 Multipliers'!$S$3:$T$9,2,FALSE)=0,"Spatial Data Missing ⚠",VLOOKUP(Y168,'G-3 Multipliers'!$S$3:$T$9,2,FALSE)))</f>
        <v/>
      </c>
      <c r="AA168" s="545" t="str">
        <f t="shared" si="13"/>
        <v/>
      </c>
      <c r="AB168" s="149"/>
      <c r="AC168" s="150"/>
    </row>
    <row r="169" spans="1:29" ht="13.8" x14ac:dyDescent="0.25">
      <c r="A169" s="31" t="str">
        <f>IFERROR(INDEX('G-8 Condition Look up'!$I$4:$I$130,MATCH(F169,'G-8 Condition Look up'!$A$4:$A$130,0)),"")</f>
        <v/>
      </c>
      <c r="C169" s="244" t="str">
        <f>IFERROR(INDEX('G-1 All Habitats'!$AG$3:$AG$15,MATCH(D169,'G-1 All Habitats'!$AF$3:$AF$15,0)),"")</f>
        <v/>
      </c>
      <c r="D169" s="154"/>
      <c r="E169" s="203"/>
      <c r="F169" s="243" t="str">
        <f>IFERROR(INDEX('G-1 All Habitats'!$B$3:$B$129,MATCH(E169,'G-1 All Habitats'!$A$3:$A$129,0)),"")</f>
        <v/>
      </c>
      <c r="G169" s="386"/>
      <c r="H169" s="537" t="str">
        <f>IF(F169="","",VLOOKUP(F169,'G-1 All Habitats'!$B$2:$M$129,10,FALSE))</f>
        <v/>
      </c>
      <c r="I169" s="524" t="str">
        <f>IFERROR(VLOOKUP(H169,'G-1 All Habitats'!$V$3:$W$7,2,FALSE),"")</f>
        <v/>
      </c>
      <c r="J169" s="199"/>
      <c r="K169" s="524" t="str">
        <f>IFERROR(INDEX('G-8 Condition Look up'!$A$3:$H$130,MATCH(F169,'G-8 Condition Look up'!$A$3:$A$130,0),MATCH(J169,'G-8 Condition Look up'!$A$3:$H$3,0)),"")</f>
        <v/>
      </c>
      <c r="L169" s="145"/>
      <c r="M169" s="540" t="str">
        <f>IF(L169="","",IF(VLOOKUP(L169,'G-3 Multipliers'!$L$3:$N$6,2,FALSE)=0,"Spatial Data Missing ⚠",VLOOKUP(L169,'G-3 Multipliers'!$L$3:$N$6,2,FALSE)))</f>
        <v/>
      </c>
      <c r="N169" s="499" t="str">
        <f>IF(L169="","",IF(VLOOKUP(L169,'G-3 Multipliers'!$L$3:$N$6,3,FALSE)=0,"Spatial Data Missing ⚠",VLOOKUP(L169,'G-3 Multipliers'!$L$3:$N$6,3,FALSE)))</f>
        <v/>
      </c>
      <c r="O169" s="498" t="str">
        <f t="shared" si="10"/>
        <v/>
      </c>
      <c r="P169" s="195"/>
      <c r="Q169" s="195"/>
      <c r="R169" s="520" t="str">
        <f t="shared" si="11"/>
        <v/>
      </c>
      <c r="S169" s="544" t="str">
        <f t="shared" si="12"/>
        <v/>
      </c>
      <c r="T169" s="525" t="str">
        <f>IFERROR(IF(S169="Check Data ⚠","Check Data ⚠",VLOOKUP(S169,'G-4 Temporal multipliers'!$A$4:$C$37,3,FALSE)),"")</f>
        <v/>
      </c>
      <c r="U169" s="523" t="str">
        <f>IF(F169="","",VLOOKUP(F169,'G-3 Multipliers'!$A$2:$E$129,2,FALSE))</f>
        <v/>
      </c>
      <c r="V169" s="520" t="str">
        <f t="shared" si="14"/>
        <v/>
      </c>
      <c r="W169" s="520" t="str">
        <f>IF(E169="","",IF(AND(V169="Standard difficulty applied",O169&gt;P169),U169,IF(AND(V169="Low Difficulty - only applicable if all habitat created before losses ⚠",P169&gt;=O169),"Low",VLOOKUP(F169,'G-3 Multipliers'!$A$2:$E$129,4,FALSE))))</f>
        <v/>
      </c>
      <c r="X169" s="524" t="str">
        <f>IFERROR(IF(E169="","",VLOOKUP(W169, 'G-3 Multipliers'!$P$2:$Q$6,2,FALSE)),"")</f>
        <v/>
      </c>
      <c r="Y169" s="197"/>
      <c r="Z169" s="499" t="str">
        <f>IF(Y169="","",IF(VLOOKUP(Y169,'G-3 Multipliers'!$S$3:$T$9,2,FALSE)=0,"Spatial Data Missing ⚠",VLOOKUP(Y169,'G-3 Multipliers'!$S$3:$T$9,2,FALSE)))</f>
        <v/>
      </c>
      <c r="AA169" s="545" t="str">
        <f t="shared" si="13"/>
        <v/>
      </c>
      <c r="AB169" s="149"/>
      <c r="AC169" s="150"/>
    </row>
    <row r="170" spans="1:29" ht="13.8" x14ac:dyDescent="0.25">
      <c r="A170" s="31" t="str">
        <f>IFERROR(INDEX('G-8 Condition Look up'!$I$4:$I$130,MATCH(F170,'G-8 Condition Look up'!$A$4:$A$130,0)),"")</f>
        <v/>
      </c>
      <c r="C170" s="244" t="str">
        <f>IFERROR(INDEX('G-1 All Habitats'!$AG$3:$AG$15,MATCH(D170,'G-1 All Habitats'!$AF$3:$AF$15,0)),"")</f>
        <v/>
      </c>
      <c r="D170" s="154"/>
      <c r="E170" s="203"/>
      <c r="F170" s="243" t="str">
        <f>IFERROR(INDEX('G-1 All Habitats'!$B$3:$B$129,MATCH(E170,'G-1 All Habitats'!$A$3:$A$129,0)),"")</f>
        <v/>
      </c>
      <c r="G170" s="386"/>
      <c r="H170" s="537" t="str">
        <f>IF(F170="","",VLOOKUP(F170,'G-1 All Habitats'!$B$2:$M$129,10,FALSE))</f>
        <v/>
      </c>
      <c r="I170" s="524" t="str">
        <f>IFERROR(VLOOKUP(H170,'G-1 All Habitats'!$V$3:$W$7,2,FALSE),"")</f>
        <v/>
      </c>
      <c r="J170" s="199"/>
      <c r="K170" s="524" t="str">
        <f>IFERROR(INDEX('G-8 Condition Look up'!$A$3:$H$130,MATCH(F170,'G-8 Condition Look up'!$A$3:$A$130,0),MATCH(J170,'G-8 Condition Look up'!$A$3:$H$3,0)),"")</f>
        <v/>
      </c>
      <c r="L170" s="145"/>
      <c r="M170" s="540" t="str">
        <f>IF(L170="","",IF(VLOOKUP(L170,'G-3 Multipliers'!$L$3:$N$6,2,FALSE)=0,"Spatial Data Missing ⚠",VLOOKUP(L170,'G-3 Multipliers'!$L$3:$N$6,2,FALSE)))</f>
        <v/>
      </c>
      <c r="N170" s="499" t="str">
        <f>IF(L170="","",IF(VLOOKUP(L170,'G-3 Multipliers'!$L$3:$N$6,3,FALSE)=0,"Spatial Data Missing ⚠",VLOOKUP(L170,'G-3 Multipliers'!$L$3:$N$6,3,FALSE)))</f>
        <v/>
      </c>
      <c r="O170" s="498" t="str">
        <f t="shared" si="10"/>
        <v/>
      </c>
      <c r="P170" s="195"/>
      <c r="Q170" s="195"/>
      <c r="R170" s="520" t="str">
        <f t="shared" si="11"/>
        <v/>
      </c>
      <c r="S170" s="544" t="str">
        <f t="shared" si="12"/>
        <v/>
      </c>
      <c r="T170" s="525" t="str">
        <f>IFERROR(IF(S170="Check Data ⚠","Check Data ⚠",VLOOKUP(S170,'G-4 Temporal multipliers'!$A$4:$C$37,3,FALSE)),"")</f>
        <v/>
      </c>
      <c r="U170" s="523" t="str">
        <f>IF(F170="","",VLOOKUP(F170,'G-3 Multipliers'!$A$2:$E$129,2,FALSE))</f>
        <v/>
      </c>
      <c r="V170" s="520" t="str">
        <f t="shared" si="14"/>
        <v/>
      </c>
      <c r="W170" s="520" t="str">
        <f>IF(E170="","",IF(AND(V170="Standard difficulty applied",O170&gt;P170),U170,IF(AND(V170="Low Difficulty - only applicable if all habitat created before losses ⚠",P170&gt;=O170),"Low",VLOOKUP(F170,'G-3 Multipliers'!$A$2:$E$129,4,FALSE))))</f>
        <v/>
      </c>
      <c r="X170" s="524" t="str">
        <f>IFERROR(IF(E170="","",VLOOKUP(W170, 'G-3 Multipliers'!$P$2:$Q$6,2,FALSE)),"")</f>
        <v/>
      </c>
      <c r="Y170" s="197"/>
      <c r="Z170" s="499" t="str">
        <f>IF(Y170="","",IF(VLOOKUP(Y170,'G-3 Multipliers'!$S$3:$T$9,2,FALSE)=0,"Spatial Data Missing ⚠",VLOOKUP(Y170,'G-3 Multipliers'!$S$3:$T$9,2,FALSE)))</f>
        <v/>
      </c>
      <c r="AA170" s="545" t="str">
        <f t="shared" si="13"/>
        <v/>
      </c>
      <c r="AB170" s="149"/>
      <c r="AC170" s="150"/>
    </row>
    <row r="171" spans="1:29" ht="13.8" x14ac:dyDescent="0.25">
      <c r="A171" s="31" t="str">
        <f>IFERROR(INDEX('G-8 Condition Look up'!$I$4:$I$130,MATCH(F171,'G-8 Condition Look up'!$A$4:$A$130,0)),"")</f>
        <v/>
      </c>
      <c r="C171" s="244" t="str">
        <f>IFERROR(INDEX('G-1 All Habitats'!$AG$3:$AG$15,MATCH(D171,'G-1 All Habitats'!$AF$3:$AF$15,0)),"")</f>
        <v/>
      </c>
      <c r="D171" s="154"/>
      <c r="E171" s="203"/>
      <c r="F171" s="243" t="str">
        <f>IFERROR(INDEX('G-1 All Habitats'!$B$3:$B$129,MATCH(E171,'G-1 All Habitats'!$A$3:$A$129,0)),"")</f>
        <v/>
      </c>
      <c r="G171" s="386"/>
      <c r="H171" s="537" t="str">
        <f>IF(F171="","",VLOOKUP(F171,'G-1 All Habitats'!$B$2:$M$129,10,FALSE))</f>
        <v/>
      </c>
      <c r="I171" s="524" t="str">
        <f>IFERROR(VLOOKUP(H171,'G-1 All Habitats'!$V$3:$W$7,2,FALSE),"")</f>
        <v/>
      </c>
      <c r="J171" s="199"/>
      <c r="K171" s="524" t="str">
        <f>IFERROR(INDEX('G-8 Condition Look up'!$A$3:$H$130,MATCH(F171,'G-8 Condition Look up'!$A$3:$A$130,0),MATCH(J171,'G-8 Condition Look up'!$A$3:$H$3,0)),"")</f>
        <v/>
      </c>
      <c r="L171" s="145"/>
      <c r="M171" s="540" t="str">
        <f>IF(L171="","",IF(VLOOKUP(L171,'G-3 Multipliers'!$L$3:$N$6,2,FALSE)=0,"Spatial Data Missing ⚠",VLOOKUP(L171,'G-3 Multipliers'!$L$3:$N$6,2,FALSE)))</f>
        <v/>
      </c>
      <c r="N171" s="499" t="str">
        <f>IF(L171="","",IF(VLOOKUP(L171,'G-3 Multipliers'!$L$3:$N$6,3,FALSE)=0,"Spatial Data Missing ⚠",VLOOKUP(L171,'G-3 Multipliers'!$L$3:$N$6,3,FALSE)))</f>
        <v/>
      </c>
      <c r="O171" s="498" t="str">
        <f t="shared" si="10"/>
        <v/>
      </c>
      <c r="P171" s="195"/>
      <c r="Q171" s="195"/>
      <c r="R171" s="520" t="str">
        <f t="shared" si="11"/>
        <v/>
      </c>
      <c r="S171" s="544" t="str">
        <f t="shared" si="12"/>
        <v/>
      </c>
      <c r="T171" s="525" t="str">
        <f>IFERROR(IF(S171="Check Data ⚠","Check Data ⚠",VLOOKUP(S171,'G-4 Temporal multipliers'!$A$4:$C$37,3,FALSE)),"")</f>
        <v/>
      </c>
      <c r="U171" s="523" t="str">
        <f>IF(F171="","",VLOOKUP(F171,'G-3 Multipliers'!$A$2:$E$129,2,FALSE))</f>
        <v/>
      </c>
      <c r="V171" s="520" t="str">
        <f t="shared" si="14"/>
        <v/>
      </c>
      <c r="W171" s="520" t="str">
        <f>IF(E171="","",IF(AND(V171="Standard difficulty applied",O171&gt;P171),U171,IF(AND(V171="Low Difficulty - only applicable if all habitat created before losses ⚠",P171&gt;=O171),"Low",VLOOKUP(F171,'G-3 Multipliers'!$A$2:$E$129,4,FALSE))))</f>
        <v/>
      </c>
      <c r="X171" s="524" t="str">
        <f>IFERROR(IF(E171="","",VLOOKUP(W171, 'G-3 Multipliers'!$P$2:$Q$6,2,FALSE)),"")</f>
        <v/>
      </c>
      <c r="Y171" s="197"/>
      <c r="Z171" s="499" t="str">
        <f>IF(Y171="","",IF(VLOOKUP(Y171,'G-3 Multipliers'!$S$3:$T$9,2,FALSE)=0,"Spatial Data Missing ⚠",VLOOKUP(Y171,'G-3 Multipliers'!$S$3:$T$9,2,FALSE)))</f>
        <v/>
      </c>
      <c r="AA171" s="545" t="str">
        <f t="shared" si="13"/>
        <v/>
      </c>
      <c r="AB171" s="149"/>
      <c r="AC171" s="150"/>
    </row>
    <row r="172" spans="1:29" ht="13.8" x14ac:dyDescent="0.25">
      <c r="A172" s="31" t="str">
        <f>IFERROR(INDEX('G-8 Condition Look up'!$I$4:$I$130,MATCH(F172,'G-8 Condition Look up'!$A$4:$A$130,0)),"")</f>
        <v/>
      </c>
      <c r="C172" s="244" t="str">
        <f>IFERROR(INDEX('G-1 All Habitats'!$AG$3:$AG$15,MATCH(D172,'G-1 All Habitats'!$AF$3:$AF$15,0)),"")</f>
        <v/>
      </c>
      <c r="D172" s="154"/>
      <c r="E172" s="203"/>
      <c r="F172" s="243" t="str">
        <f>IFERROR(INDEX('G-1 All Habitats'!$B$3:$B$129,MATCH(E172,'G-1 All Habitats'!$A$3:$A$129,0)),"")</f>
        <v/>
      </c>
      <c r="G172" s="386"/>
      <c r="H172" s="537" t="str">
        <f>IF(F172="","",VLOOKUP(F172,'G-1 All Habitats'!$B$2:$M$129,10,FALSE))</f>
        <v/>
      </c>
      <c r="I172" s="524" t="str">
        <f>IFERROR(VLOOKUP(H172,'G-1 All Habitats'!$V$3:$W$7,2,FALSE),"")</f>
        <v/>
      </c>
      <c r="J172" s="199"/>
      <c r="K172" s="524" t="str">
        <f>IFERROR(INDEX('G-8 Condition Look up'!$A$3:$H$130,MATCH(F172,'G-8 Condition Look up'!$A$3:$A$130,0),MATCH(J172,'G-8 Condition Look up'!$A$3:$H$3,0)),"")</f>
        <v/>
      </c>
      <c r="L172" s="145"/>
      <c r="M172" s="540" t="str">
        <f>IF(L172="","",IF(VLOOKUP(L172,'G-3 Multipliers'!$L$3:$N$6,2,FALSE)=0,"Spatial Data Missing ⚠",VLOOKUP(L172,'G-3 Multipliers'!$L$3:$N$6,2,FALSE)))</f>
        <v/>
      </c>
      <c r="N172" s="499" t="str">
        <f>IF(L172="","",IF(VLOOKUP(L172,'G-3 Multipliers'!$L$3:$N$6,3,FALSE)=0,"Spatial Data Missing ⚠",VLOOKUP(L172,'G-3 Multipliers'!$L$3:$N$6,3,FALSE)))</f>
        <v/>
      </c>
      <c r="O172" s="498" t="str">
        <f t="shared" si="10"/>
        <v/>
      </c>
      <c r="P172" s="195"/>
      <c r="Q172" s="195"/>
      <c r="R172" s="520" t="str">
        <f t="shared" si="11"/>
        <v/>
      </c>
      <c r="S172" s="544" t="str">
        <f t="shared" si="12"/>
        <v/>
      </c>
      <c r="T172" s="525" t="str">
        <f>IFERROR(IF(S172="Check Data ⚠","Check Data ⚠",VLOOKUP(S172,'G-4 Temporal multipliers'!$A$4:$C$37,3,FALSE)),"")</f>
        <v/>
      </c>
      <c r="U172" s="523" t="str">
        <f>IF(F172="","",VLOOKUP(F172,'G-3 Multipliers'!$A$2:$E$129,2,FALSE))</f>
        <v/>
      </c>
      <c r="V172" s="520" t="str">
        <f t="shared" si="14"/>
        <v/>
      </c>
      <c r="W172" s="520" t="str">
        <f>IF(E172="","",IF(AND(V172="Standard difficulty applied",O172&gt;P172),U172,IF(AND(V172="Low Difficulty - only applicable if all habitat created before losses ⚠",P172&gt;=O172),"Low",VLOOKUP(F172,'G-3 Multipliers'!$A$2:$E$129,4,FALSE))))</f>
        <v/>
      </c>
      <c r="X172" s="524" t="str">
        <f>IFERROR(IF(E172="","",VLOOKUP(W172, 'G-3 Multipliers'!$P$2:$Q$6,2,FALSE)),"")</f>
        <v/>
      </c>
      <c r="Y172" s="197"/>
      <c r="Z172" s="499" t="str">
        <f>IF(Y172="","",IF(VLOOKUP(Y172,'G-3 Multipliers'!$S$3:$T$9,2,FALSE)=0,"Spatial Data Missing ⚠",VLOOKUP(Y172,'G-3 Multipliers'!$S$3:$T$9,2,FALSE)))</f>
        <v/>
      </c>
      <c r="AA172" s="545" t="str">
        <f t="shared" si="13"/>
        <v/>
      </c>
      <c r="AB172" s="149"/>
      <c r="AC172" s="150"/>
    </row>
    <row r="173" spans="1:29" ht="13.8" x14ac:dyDescent="0.25">
      <c r="A173" s="31" t="str">
        <f>IFERROR(INDEX('G-8 Condition Look up'!$I$4:$I$130,MATCH(F173,'G-8 Condition Look up'!$A$4:$A$130,0)),"")</f>
        <v/>
      </c>
      <c r="C173" s="244" t="str">
        <f>IFERROR(INDEX('G-1 All Habitats'!$AG$3:$AG$15,MATCH(D173,'G-1 All Habitats'!$AF$3:$AF$15,0)),"")</f>
        <v/>
      </c>
      <c r="D173" s="154"/>
      <c r="E173" s="203"/>
      <c r="F173" s="243" t="str">
        <f>IFERROR(INDEX('G-1 All Habitats'!$B$3:$B$129,MATCH(E173,'G-1 All Habitats'!$A$3:$A$129,0)),"")</f>
        <v/>
      </c>
      <c r="G173" s="386"/>
      <c r="H173" s="537" t="str">
        <f>IF(F173="","",VLOOKUP(F173,'G-1 All Habitats'!$B$2:$M$129,10,FALSE))</f>
        <v/>
      </c>
      <c r="I173" s="524" t="str">
        <f>IFERROR(VLOOKUP(H173,'G-1 All Habitats'!$V$3:$W$7,2,FALSE),"")</f>
        <v/>
      </c>
      <c r="J173" s="199"/>
      <c r="K173" s="524" t="str">
        <f>IFERROR(INDEX('G-8 Condition Look up'!$A$3:$H$130,MATCH(F173,'G-8 Condition Look up'!$A$3:$A$130,0),MATCH(J173,'G-8 Condition Look up'!$A$3:$H$3,0)),"")</f>
        <v/>
      </c>
      <c r="L173" s="145"/>
      <c r="M173" s="540" t="str">
        <f>IF(L173="","",IF(VLOOKUP(L173,'G-3 Multipliers'!$L$3:$N$6,2,FALSE)=0,"Spatial Data Missing ⚠",VLOOKUP(L173,'G-3 Multipliers'!$L$3:$N$6,2,FALSE)))</f>
        <v/>
      </c>
      <c r="N173" s="499" t="str">
        <f>IF(L173="","",IF(VLOOKUP(L173,'G-3 Multipliers'!$L$3:$N$6,3,FALSE)=0,"Spatial Data Missing ⚠",VLOOKUP(L173,'G-3 Multipliers'!$L$3:$N$6,3,FALSE)))</f>
        <v/>
      </c>
      <c r="O173" s="498" t="str">
        <f t="shared" si="10"/>
        <v/>
      </c>
      <c r="P173" s="195"/>
      <c r="Q173" s="195"/>
      <c r="R173" s="520" t="str">
        <f t="shared" si="11"/>
        <v/>
      </c>
      <c r="S173" s="544" t="str">
        <f t="shared" si="12"/>
        <v/>
      </c>
      <c r="T173" s="525" t="str">
        <f>IFERROR(IF(S173="Check Data ⚠","Check Data ⚠",VLOOKUP(S173,'G-4 Temporal multipliers'!$A$4:$C$37,3,FALSE)),"")</f>
        <v/>
      </c>
      <c r="U173" s="523" t="str">
        <f>IF(F173="","",VLOOKUP(F173,'G-3 Multipliers'!$A$2:$E$129,2,FALSE))</f>
        <v/>
      </c>
      <c r="V173" s="520" t="str">
        <f t="shared" si="14"/>
        <v/>
      </c>
      <c r="W173" s="520" t="str">
        <f>IF(E173="","",IF(AND(V173="Standard difficulty applied",O173&gt;P173),U173,IF(AND(V173="Low Difficulty - only applicable if all habitat created before losses ⚠",P173&gt;=O173),"Low",VLOOKUP(F173,'G-3 Multipliers'!$A$2:$E$129,4,FALSE))))</f>
        <v/>
      </c>
      <c r="X173" s="524" t="str">
        <f>IFERROR(IF(E173="","",VLOOKUP(W173, 'G-3 Multipliers'!$P$2:$Q$6,2,FALSE)),"")</f>
        <v/>
      </c>
      <c r="Y173" s="197"/>
      <c r="Z173" s="499" t="str">
        <f>IF(Y173="","",IF(VLOOKUP(Y173,'G-3 Multipliers'!$S$3:$T$9,2,FALSE)=0,"Spatial Data Missing ⚠",VLOOKUP(Y173,'G-3 Multipliers'!$S$3:$T$9,2,FALSE)))</f>
        <v/>
      </c>
      <c r="AA173" s="545" t="str">
        <f t="shared" si="13"/>
        <v/>
      </c>
      <c r="AB173" s="149"/>
      <c r="AC173" s="150"/>
    </row>
    <row r="174" spans="1:29" ht="13.8" x14ac:dyDescent="0.25">
      <c r="A174" s="31" t="str">
        <f>IFERROR(INDEX('G-8 Condition Look up'!$I$4:$I$130,MATCH(F174,'G-8 Condition Look up'!$A$4:$A$130,0)),"")</f>
        <v/>
      </c>
      <c r="C174" s="244" t="str">
        <f>IFERROR(INDEX('G-1 All Habitats'!$AG$3:$AG$15,MATCH(D174,'G-1 All Habitats'!$AF$3:$AF$15,0)),"")</f>
        <v/>
      </c>
      <c r="D174" s="154"/>
      <c r="E174" s="203"/>
      <c r="F174" s="243" t="str">
        <f>IFERROR(INDEX('G-1 All Habitats'!$B$3:$B$129,MATCH(E174,'G-1 All Habitats'!$A$3:$A$129,0)),"")</f>
        <v/>
      </c>
      <c r="G174" s="386"/>
      <c r="H174" s="537" t="str">
        <f>IF(F174="","",VLOOKUP(F174,'G-1 All Habitats'!$B$2:$M$129,10,FALSE))</f>
        <v/>
      </c>
      <c r="I174" s="524" t="str">
        <f>IFERROR(VLOOKUP(H174,'G-1 All Habitats'!$V$3:$W$7,2,FALSE),"")</f>
        <v/>
      </c>
      <c r="J174" s="199"/>
      <c r="K174" s="524" t="str">
        <f>IFERROR(INDEX('G-8 Condition Look up'!$A$3:$H$130,MATCH(F174,'G-8 Condition Look up'!$A$3:$A$130,0),MATCH(J174,'G-8 Condition Look up'!$A$3:$H$3,0)),"")</f>
        <v/>
      </c>
      <c r="L174" s="145"/>
      <c r="M174" s="540" t="str">
        <f>IF(L174="","",IF(VLOOKUP(L174,'G-3 Multipliers'!$L$3:$N$6,2,FALSE)=0,"Spatial Data Missing ⚠",VLOOKUP(L174,'G-3 Multipliers'!$L$3:$N$6,2,FALSE)))</f>
        <v/>
      </c>
      <c r="N174" s="499" t="str">
        <f>IF(L174="","",IF(VLOOKUP(L174,'G-3 Multipliers'!$L$3:$N$6,3,FALSE)=0,"Spatial Data Missing ⚠",VLOOKUP(L174,'G-3 Multipliers'!$L$3:$N$6,3,FALSE)))</f>
        <v/>
      </c>
      <c r="O174" s="498" t="str">
        <f t="shared" si="10"/>
        <v/>
      </c>
      <c r="P174" s="195"/>
      <c r="Q174" s="195"/>
      <c r="R174" s="520" t="str">
        <f t="shared" si="11"/>
        <v/>
      </c>
      <c r="S174" s="544" t="str">
        <f t="shared" si="12"/>
        <v/>
      </c>
      <c r="T174" s="525" t="str">
        <f>IFERROR(IF(S174="Check Data ⚠","Check Data ⚠",VLOOKUP(S174,'G-4 Temporal multipliers'!$A$4:$C$37,3,FALSE)),"")</f>
        <v/>
      </c>
      <c r="U174" s="523" t="str">
        <f>IF(F174="","",VLOOKUP(F174,'G-3 Multipliers'!$A$2:$E$129,2,FALSE))</f>
        <v/>
      </c>
      <c r="V174" s="520" t="str">
        <f t="shared" si="14"/>
        <v/>
      </c>
      <c r="W174" s="520" t="str">
        <f>IF(E174="","",IF(AND(V174="Standard difficulty applied",O174&gt;P174),U174,IF(AND(V174="Low Difficulty - only applicable if all habitat created before losses ⚠",P174&gt;=O174),"Low",VLOOKUP(F174,'G-3 Multipliers'!$A$2:$E$129,4,FALSE))))</f>
        <v/>
      </c>
      <c r="X174" s="524" t="str">
        <f>IFERROR(IF(E174="","",VLOOKUP(W174, 'G-3 Multipliers'!$P$2:$Q$6,2,FALSE)),"")</f>
        <v/>
      </c>
      <c r="Y174" s="197"/>
      <c r="Z174" s="499" t="str">
        <f>IF(Y174="","",IF(VLOOKUP(Y174,'G-3 Multipliers'!$S$3:$T$9,2,FALSE)=0,"Spatial Data Missing ⚠",VLOOKUP(Y174,'G-3 Multipliers'!$S$3:$T$9,2,FALSE)))</f>
        <v/>
      </c>
      <c r="AA174" s="545" t="str">
        <f t="shared" si="13"/>
        <v/>
      </c>
      <c r="AB174" s="149"/>
      <c r="AC174" s="150"/>
    </row>
    <row r="175" spans="1:29" ht="13.8" x14ac:dyDescent="0.25">
      <c r="A175" s="31" t="str">
        <f>IFERROR(INDEX('G-8 Condition Look up'!$I$4:$I$130,MATCH(F175,'G-8 Condition Look up'!$A$4:$A$130,0)),"")</f>
        <v/>
      </c>
      <c r="C175" s="244" t="str">
        <f>IFERROR(INDEX('G-1 All Habitats'!$AG$3:$AG$15,MATCH(D175,'G-1 All Habitats'!$AF$3:$AF$15,0)),"")</f>
        <v/>
      </c>
      <c r="D175" s="154"/>
      <c r="E175" s="203"/>
      <c r="F175" s="243" t="str">
        <f>IFERROR(INDEX('G-1 All Habitats'!$B$3:$B$129,MATCH(E175,'G-1 All Habitats'!$A$3:$A$129,0)),"")</f>
        <v/>
      </c>
      <c r="G175" s="386"/>
      <c r="H175" s="537" t="str">
        <f>IF(F175="","",VLOOKUP(F175,'G-1 All Habitats'!$B$2:$M$129,10,FALSE))</f>
        <v/>
      </c>
      <c r="I175" s="524" t="str">
        <f>IFERROR(VLOOKUP(H175,'G-1 All Habitats'!$V$3:$W$7,2,FALSE),"")</f>
        <v/>
      </c>
      <c r="J175" s="199"/>
      <c r="K175" s="524" t="str">
        <f>IFERROR(INDEX('G-8 Condition Look up'!$A$3:$H$130,MATCH(F175,'G-8 Condition Look up'!$A$3:$A$130,0),MATCH(J175,'G-8 Condition Look up'!$A$3:$H$3,0)),"")</f>
        <v/>
      </c>
      <c r="L175" s="145"/>
      <c r="M175" s="540" t="str">
        <f>IF(L175="","",IF(VLOOKUP(L175,'G-3 Multipliers'!$L$3:$N$6,2,FALSE)=0,"Spatial Data Missing ⚠",VLOOKUP(L175,'G-3 Multipliers'!$L$3:$N$6,2,FALSE)))</f>
        <v/>
      </c>
      <c r="N175" s="499" t="str">
        <f>IF(L175="","",IF(VLOOKUP(L175,'G-3 Multipliers'!$L$3:$N$6,3,FALSE)=0,"Spatial Data Missing ⚠",VLOOKUP(L175,'G-3 Multipliers'!$L$3:$N$6,3,FALSE)))</f>
        <v/>
      </c>
      <c r="O175" s="498" t="str">
        <f t="shared" si="10"/>
        <v/>
      </c>
      <c r="P175" s="195"/>
      <c r="Q175" s="195"/>
      <c r="R175" s="520" t="str">
        <f t="shared" si="11"/>
        <v/>
      </c>
      <c r="S175" s="544" t="str">
        <f t="shared" si="12"/>
        <v/>
      </c>
      <c r="T175" s="525" t="str">
        <f>IFERROR(IF(S175="Check Data ⚠","Check Data ⚠",VLOOKUP(S175,'G-4 Temporal multipliers'!$A$4:$C$37,3,FALSE)),"")</f>
        <v/>
      </c>
      <c r="U175" s="523" t="str">
        <f>IF(F175="","",VLOOKUP(F175,'G-3 Multipliers'!$A$2:$E$129,2,FALSE))</f>
        <v/>
      </c>
      <c r="V175" s="520" t="str">
        <f t="shared" si="14"/>
        <v/>
      </c>
      <c r="W175" s="520" t="str">
        <f>IF(E175="","",IF(AND(V175="Standard difficulty applied",O175&gt;P175),U175,IF(AND(V175="Low Difficulty - only applicable if all habitat created before losses ⚠",P175&gt;=O175),"Low",VLOOKUP(F175,'G-3 Multipliers'!$A$2:$E$129,4,FALSE))))</f>
        <v/>
      </c>
      <c r="X175" s="524" t="str">
        <f>IFERROR(IF(E175="","",VLOOKUP(W175, 'G-3 Multipliers'!$P$2:$Q$6,2,FALSE)),"")</f>
        <v/>
      </c>
      <c r="Y175" s="197"/>
      <c r="Z175" s="499" t="str">
        <f>IF(Y175="","",IF(VLOOKUP(Y175,'G-3 Multipliers'!$S$3:$T$9,2,FALSE)=0,"Spatial Data Missing ⚠",VLOOKUP(Y175,'G-3 Multipliers'!$S$3:$T$9,2,FALSE)))</f>
        <v/>
      </c>
      <c r="AA175" s="545" t="str">
        <f t="shared" si="13"/>
        <v/>
      </c>
      <c r="AB175" s="149"/>
      <c r="AC175" s="150"/>
    </row>
    <row r="176" spans="1:29" ht="13.8" x14ac:dyDescent="0.25">
      <c r="A176" s="31" t="str">
        <f>IFERROR(INDEX('G-8 Condition Look up'!$I$4:$I$130,MATCH(F176,'G-8 Condition Look up'!$A$4:$A$130,0)),"")</f>
        <v/>
      </c>
      <c r="C176" s="244" t="str">
        <f>IFERROR(INDEX('G-1 All Habitats'!$AG$3:$AG$15,MATCH(D176,'G-1 All Habitats'!$AF$3:$AF$15,0)),"")</f>
        <v/>
      </c>
      <c r="D176" s="154"/>
      <c r="E176" s="203"/>
      <c r="F176" s="243" t="str">
        <f>IFERROR(INDEX('G-1 All Habitats'!$B$3:$B$129,MATCH(E176,'G-1 All Habitats'!$A$3:$A$129,0)),"")</f>
        <v/>
      </c>
      <c r="G176" s="386"/>
      <c r="H176" s="537" t="str">
        <f>IF(F176="","",VLOOKUP(F176,'G-1 All Habitats'!$B$2:$M$129,10,FALSE))</f>
        <v/>
      </c>
      <c r="I176" s="524" t="str">
        <f>IFERROR(VLOOKUP(H176,'G-1 All Habitats'!$V$3:$W$7,2,FALSE),"")</f>
        <v/>
      </c>
      <c r="J176" s="199"/>
      <c r="K176" s="524" t="str">
        <f>IFERROR(INDEX('G-8 Condition Look up'!$A$3:$H$130,MATCH(F176,'G-8 Condition Look up'!$A$3:$A$130,0),MATCH(J176,'G-8 Condition Look up'!$A$3:$H$3,0)),"")</f>
        <v/>
      </c>
      <c r="L176" s="145"/>
      <c r="M176" s="540" t="str">
        <f>IF(L176="","",IF(VLOOKUP(L176,'G-3 Multipliers'!$L$3:$N$6,2,FALSE)=0,"Spatial Data Missing ⚠",VLOOKUP(L176,'G-3 Multipliers'!$L$3:$N$6,2,FALSE)))</f>
        <v/>
      </c>
      <c r="N176" s="499" t="str">
        <f>IF(L176="","",IF(VLOOKUP(L176,'G-3 Multipliers'!$L$3:$N$6,3,FALSE)=0,"Spatial Data Missing ⚠",VLOOKUP(L176,'G-3 Multipliers'!$L$3:$N$6,3,FALSE)))</f>
        <v/>
      </c>
      <c r="O176" s="498" t="str">
        <f t="shared" si="10"/>
        <v/>
      </c>
      <c r="P176" s="195"/>
      <c r="Q176" s="195"/>
      <c r="R176" s="520" t="str">
        <f t="shared" si="11"/>
        <v/>
      </c>
      <c r="S176" s="544" t="str">
        <f t="shared" si="12"/>
        <v/>
      </c>
      <c r="T176" s="525" t="str">
        <f>IFERROR(IF(S176="Check Data ⚠","Check Data ⚠",VLOOKUP(S176,'G-4 Temporal multipliers'!$A$4:$C$37,3,FALSE)),"")</f>
        <v/>
      </c>
      <c r="U176" s="523" t="str">
        <f>IF(F176="","",VLOOKUP(F176,'G-3 Multipliers'!$A$2:$E$129,2,FALSE))</f>
        <v/>
      </c>
      <c r="V176" s="520" t="str">
        <f t="shared" si="14"/>
        <v/>
      </c>
      <c r="W176" s="520" t="str">
        <f>IF(E176="","",IF(AND(V176="Standard difficulty applied",O176&gt;P176),U176,IF(AND(V176="Low Difficulty - only applicable if all habitat created before losses ⚠",P176&gt;=O176),"Low",VLOOKUP(F176,'G-3 Multipliers'!$A$2:$E$129,4,FALSE))))</f>
        <v/>
      </c>
      <c r="X176" s="524" t="str">
        <f>IFERROR(IF(E176="","",VLOOKUP(W176, 'G-3 Multipliers'!$P$2:$Q$6,2,FALSE)),"")</f>
        <v/>
      </c>
      <c r="Y176" s="197"/>
      <c r="Z176" s="499" t="str">
        <f>IF(Y176="","",IF(VLOOKUP(Y176,'G-3 Multipliers'!$S$3:$T$9,2,FALSE)=0,"Spatial Data Missing ⚠",VLOOKUP(Y176,'G-3 Multipliers'!$S$3:$T$9,2,FALSE)))</f>
        <v/>
      </c>
      <c r="AA176" s="545" t="str">
        <f t="shared" si="13"/>
        <v/>
      </c>
      <c r="AB176" s="149"/>
      <c r="AC176" s="150"/>
    </row>
    <row r="177" spans="1:29" ht="13.8" x14ac:dyDescent="0.25">
      <c r="A177" s="31" t="str">
        <f>IFERROR(INDEX('G-8 Condition Look up'!$I$4:$I$130,MATCH(F177,'G-8 Condition Look up'!$A$4:$A$130,0)),"")</f>
        <v/>
      </c>
      <c r="C177" s="244" t="str">
        <f>IFERROR(INDEX('G-1 All Habitats'!$AG$3:$AG$15,MATCH(D177,'G-1 All Habitats'!$AF$3:$AF$15,0)),"")</f>
        <v/>
      </c>
      <c r="D177" s="154"/>
      <c r="E177" s="203"/>
      <c r="F177" s="243" t="str">
        <f>IFERROR(INDEX('G-1 All Habitats'!$B$3:$B$129,MATCH(E177,'G-1 All Habitats'!$A$3:$A$129,0)),"")</f>
        <v/>
      </c>
      <c r="G177" s="386"/>
      <c r="H177" s="537" t="str">
        <f>IF(F177="","",VLOOKUP(F177,'G-1 All Habitats'!$B$2:$M$129,10,FALSE))</f>
        <v/>
      </c>
      <c r="I177" s="524" t="str">
        <f>IFERROR(VLOOKUP(H177,'G-1 All Habitats'!$V$3:$W$7,2,FALSE),"")</f>
        <v/>
      </c>
      <c r="J177" s="199"/>
      <c r="K177" s="524" t="str">
        <f>IFERROR(INDEX('G-8 Condition Look up'!$A$3:$H$130,MATCH(F177,'G-8 Condition Look up'!$A$3:$A$130,0),MATCH(J177,'G-8 Condition Look up'!$A$3:$H$3,0)),"")</f>
        <v/>
      </c>
      <c r="L177" s="145"/>
      <c r="M177" s="540" t="str">
        <f>IF(L177="","",IF(VLOOKUP(L177,'G-3 Multipliers'!$L$3:$N$6,2,FALSE)=0,"Spatial Data Missing ⚠",VLOOKUP(L177,'G-3 Multipliers'!$L$3:$N$6,2,FALSE)))</f>
        <v/>
      </c>
      <c r="N177" s="499" t="str">
        <f>IF(L177="","",IF(VLOOKUP(L177,'G-3 Multipliers'!$L$3:$N$6,3,FALSE)=0,"Spatial Data Missing ⚠",VLOOKUP(L177,'G-3 Multipliers'!$L$3:$N$6,3,FALSE)))</f>
        <v/>
      </c>
      <c r="O177" s="498" t="str">
        <f t="shared" si="10"/>
        <v/>
      </c>
      <c r="P177" s="195"/>
      <c r="Q177" s="195"/>
      <c r="R177" s="520" t="str">
        <f t="shared" si="11"/>
        <v/>
      </c>
      <c r="S177" s="544" t="str">
        <f t="shared" si="12"/>
        <v/>
      </c>
      <c r="T177" s="525" t="str">
        <f>IFERROR(IF(S177="Check Data ⚠","Check Data ⚠",VLOOKUP(S177,'G-4 Temporal multipliers'!$A$4:$C$37,3,FALSE)),"")</f>
        <v/>
      </c>
      <c r="U177" s="523" t="str">
        <f>IF(F177="","",VLOOKUP(F177,'G-3 Multipliers'!$A$2:$E$129,2,FALSE))</f>
        <v/>
      </c>
      <c r="V177" s="520" t="str">
        <f t="shared" si="14"/>
        <v/>
      </c>
      <c r="W177" s="520" t="str">
        <f>IF(E177="","",IF(AND(V177="Standard difficulty applied",O177&gt;P177),U177,IF(AND(V177="Low Difficulty - only applicable if all habitat created before losses ⚠",P177&gt;=O177),"Low",VLOOKUP(F177,'G-3 Multipliers'!$A$2:$E$129,4,FALSE))))</f>
        <v/>
      </c>
      <c r="X177" s="524" t="str">
        <f>IFERROR(IF(E177="","",VLOOKUP(W177, 'G-3 Multipliers'!$P$2:$Q$6,2,FALSE)),"")</f>
        <v/>
      </c>
      <c r="Y177" s="197"/>
      <c r="Z177" s="499" t="str">
        <f>IF(Y177="","",IF(VLOOKUP(Y177,'G-3 Multipliers'!$S$3:$T$9,2,FALSE)=0,"Spatial Data Missing ⚠",VLOOKUP(Y177,'G-3 Multipliers'!$S$3:$T$9,2,FALSE)))</f>
        <v/>
      </c>
      <c r="AA177" s="545" t="str">
        <f t="shared" si="13"/>
        <v/>
      </c>
      <c r="AB177" s="149"/>
      <c r="AC177" s="150"/>
    </row>
    <row r="178" spans="1:29" ht="13.8" x14ac:dyDescent="0.25">
      <c r="A178" s="31" t="str">
        <f>IFERROR(INDEX('G-8 Condition Look up'!$I$4:$I$130,MATCH(F178,'G-8 Condition Look up'!$A$4:$A$130,0)),"")</f>
        <v/>
      </c>
      <c r="C178" s="244" t="str">
        <f>IFERROR(INDEX('G-1 All Habitats'!$AG$3:$AG$15,MATCH(D178,'G-1 All Habitats'!$AF$3:$AF$15,0)),"")</f>
        <v/>
      </c>
      <c r="D178" s="154"/>
      <c r="E178" s="203"/>
      <c r="F178" s="243" t="str">
        <f>IFERROR(INDEX('G-1 All Habitats'!$B$3:$B$129,MATCH(E178,'G-1 All Habitats'!$A$3:$A$129,0)),"")</f>
        <v/>
      </c>
      <c r="G178" s="386"/>
      <c r="H178" s="537" t="str">
        <f>IF(F178="","",VLOOKUP(F178,'G-1 All Habitats'!$B$2:$M$129,10,FALSE))</f>
        <v/>
      </c>
      <c r="I178" s="524" t="str">
        <f>IFERROR(VLOOKUP(H178,'G-1 All Habitats'!$V$3:$W$7,2,FALSE),"")</f>
        <v/>
      </c>
      <c r="J178" s="199"/>
      <c r="K178" s="524" t="str">
        <f>IFERROR(INDEX('G-8 Condition Look up'!$A$3:$H$130,MATCH(F178,'G-8 Condition Look up'!$A$3:$A$130,0),MATCH(J178,'G-8 Condition Look up'!$A$3:$H$3,0)),"")</f>
        <v/>
      </c>
      <c r="L178" s="145"/>
      <c r="M178" s="540" t="str">
        <f>IF(L178="","",IF(VLOOKUP(L178,'G-3 Multipliers'!$L$3:$N$6,2,FALSE)=0,"Spatial Data Missing ⚠",VLOOKUP(L178,'G-3 Multipliers'!$L$3:$N$6,2,FALSE)))</f>
        <v/>
      </c>
      <c r="N178" s="499" t="str">
        <f>IF(L178="","",IF(VLOOKUP(L178,'G-3 Multipliers'!$L$3:$N$6,3,FALSE)=0,"Spatial Data Missing ⚠",VLOOKUP(L178,'G-3 Multipliers'!$L$3:$N$6,3,FALSE)))</f>
        <v/>
      </c>
      <c r="O178" s="498" t="str">
        <f t="shared" si="10"/>
        <v/>
      </c>
      <c r="P178" s="195"/>
      <c r="Q178" s="195"/>
      <c r="R178" s="520" t="str">
        <f t="shared" si="11"/>
        <v/>
      </c>
      <c r="S178" s="544" t="str">
        <f t="shared" si="12"/>
        <v/>
      </c>
      <c r="T178" s="525" t="str">
        <f>IFERROR(IF(S178="Check Data ⚠","Check Data ⚠",VLOOKUP(S178,'G-4 Temporal multipliers'!$A$4:$C$37,3,FALSE)),"")</f>
        <v/>
      </c>
      <c r="U178" s="523" t="str">
        <f>IF(F178="","",VLOOKUP(F178,'G-3 Multipliers'!$A$2:$E$129,2,FALSE))</f>
        <v/>
      </c>
      <c r="V178" s="520" t="str">
        <f t="shared" si="14"/>
        <v/>
      </c>
      <c r="W178" s="520" t="str">
        <f>IF(E178="","",IF(AND(V178="Standard difficulty applied",O178&gt;P178),U178,IF(AND(V178="Low Difficulty - only applicable if all habitat created before losses ⚠",P178&gt;=O178),"Low",VLOOKUP(F178,'G-3 Multipliers'!$A$2:$E$129,4,FALSE))))</f>
        <v/>
      </c>
      <c r="X178" s="524" t="str">
        <f>IFERROR(IF(E178="","",VLOOKUP(W178, 'G-3 Multipliers'!$P$2:$Q$6,2,FALSE)),"")</f>
        <v/>
      </c>
      <c r="Y178" s="197"/>
      <c r="Z178" s="499" t="str">
        <f>IF(Y178="","",IF(VLOOKUP(Y178,'G-3 Multipliers'!$S$3:$T$9,2,FALSE)=0,"Spatial Data Missing ⚠",VLOOKUP(Y178,'G-3 Multipliers'!$S$3:$T$9,2,FALSE)))</f>
        <v/>
      </c>
      <c r="AA178" s="545" t="str">
        <f t="shared" si="13"/>
        <v/>
      </c>
      <c r="AB178" s="149"/>
      <c r="AC178" s="150"/>
    </row>
    <row r="179" spans="1:29" ht="13.8" x14ac:dyDescent="0.25">
      <c r="A179" s="31" t="str">
        <f>IFERROR(INDEX('G-8 Condition Look up'!$I$4:$I$130,MATCH(F179,'G-8 Condition Look up'!$A$4:$A$130,0)),"")</f>
        <v/>
      </c>
      <c r="C179" s="244" t="str">
        <f>IFERROR(INDEX('G-1 All Habitats'!$AG$3:$AG$15,MATCH(D179,'G-1 All Habitats'!$AF$3:$AF$15,0)),"")</f>
        <v/>
      </c>
      <c r="D179" s="154"/>
      <c r="E179" s="203"/>
      <c r="F179" s="243" t="str">
        <f>IFERROR(INDEX('G-1 All Habitats'!$B$3:$B$129,MATCH(E179,'G-1 All Habitats'!$A$3:$A$129,0)),"")</f>
        <v/>
      </c>
      <c r="G179" s="386"/>
      <c r="H179" s="537" t="str">
        <f>IF(F179="","",VLOOKUP(F179,'G-1 All Habitats'!$B$2:$M$129,10,FALSE))</f>
        <v/>
      </c>
      <c r="I179" s="524" t="str">
        <f>IFERROR(VLOOKUP(H179,'G-1 All Habitats'!$V$3:$W$7,2,FALSE),"")</f>
        <v/>
      </c>
      <c r="J179" s="199"/>
      <c r="K179" s="524" t="str">
        <f>IFERROR(INDEX('G-8 Condition Look up'!$A$3:$H$130,MATCH(F179,'G-8 Condition Look up'!$A$3:$A$130,0),MATCH(J179,'G-8 Condition Look up'!$A$3:$H$3,0)),"")</f>
        <v/>
      </c>
      <c r="L179" s="145"/>
      <c r="M179" s="540" t="str">
        <f>IF(L179="","",IF(VLOOKUP(L179,'G-3 Multipliers'!$L$3:$N$6,2,FALSE)=0,"Spatial Data Missing ⚠",VLOOKUP(L179,'G-3 Multipliers'!$L$3:$N$6,2,FALSE)))</f>
        <v/>
      </c>
      <c r="N179" s="499" t="str">
        <f>IF(L179="","",IF(VLOOKUP(L179,'G-3 Multipliers'!$L$3:$N$6,3,FALSE)=0,"Spatial Data Missing ⚠",VLOOKUP(L179,'G-3 Multipliers'!$L$3:$N$6,3,FALSE)))</f>
        <v/>
      </c>
      <c r="O179" s="498" t="str">
        <f t="shared" si="10"/>
        <v/>
      </c>
      <c r="P179" s="195"/>
      <c r="Q179" s="195"/>
      <c r="R179" s="520" t="str">
        <f t="shared" si="11"/>
        <v/>
      </c>
      <c r="S179" s="544" t="str">
        <f t="shared" si="12"/>
        <v/>
      </c>
      <c r="T179" s="525" t="str">
        <f>IFERROR(IF(S179="Check Data ⚠","Check Data ⚠",VLOOKUP(S179,'G-4 Temporal multipliers'!$A$4:$C$37,3,FALSE)),"")</f>
        <v/>
      </c>
      <c r="U179" s="523" t="str">
        <f>IF(F179="","",VLOOKUP(F179,'G-3 Multipliers'!$A$2:$E$129,2,FALSE))</f>
        <v/>
      </c>
      <c r="V179" s="520" t="str">
        <f t="shared" si="14"/>
        <v/>
      </c>
      <c r="W179" s="520" t="str">
        <f>IF(E179="","",IF(AND(V179="Standard difficulty applied",O179&gt;P179),U179,IF(AND(V179="Low Difficulty - only applicable if all habitat created before losses ⚠",P179&gt;=O179),"Low",VLOOKUP(F179,'G-3 Multipliers'!$A$2:$E$129,4,FALSE))))</f>
        <v/>
      </c>
      <c r="X179" s="524" t="str">
        <f>IFERROR(IF(E179="","",VLOOKUP(W179, 'G-3 Multipliers'!$P$2:$Q$6,2,FALSE)),"")</f>
        <v/>
      </c>
      <c r="Y179" s="197"/>
      <c r="Z179" s="499" t="str">
        <f>IF(Y179="","",IF(VLOOKUP(Y179,'G-3 Multipliers'!$S$3:$T$9,2,FALSE)=0,"Spatial Data Missing ⚠",VLOOKUP(Y179,'G-3 Multipliers'!$S$3:$T$9,2,FALSE)))</f>
        <v/>
      </c>
      <c r="AA179" s="545" t="str">
        <f t="shared" si="13"/>
        <v/>
      </c>
      <c r="AB179" s="149"/>
      <c r="AC179" s="150"/>
    </row>
    <row r="180" spans="1:29" ht="13.8" x14ac:dyDescent="0.25">
      <c r="A180" s="31" t="str">
        <f>IFERROR(INDEX('G-8 Condition Look up'!$I$4:$I$130,MATCH(F180,'G-8 Condition Look up'!$A$4:$A$130,0)),"")</f>
        <v/>
      </c>
      <c r="C180" s="244" t="str">
        <f>IFERROR(INDEX('G-1 All Habitats'!$AG$3:$AG$15,MATCH(D180,'G-1 All Habitats'!$AF$3:$AF$15,0)),"")</f>
        <v/>
      </c>
      <c r="D180" s="154"/>
      <c r="E180" s="203"/>
      <c r="F180" s="243" t="str">
        <f>IFERROR(INDEX('G-1 All Habitats'!$B$3:$B$129,MATCH(E180,'G-1 All Habitats'!$A$3:$A$129,0)),"")</f>
        <v/>
      </c>
      <c r="G180" s="386"/>
      <c r="H180" s="537" t="str">
        <f>IF(F180="","",VLOOKUP(F180,'G-1 All Habitats'!$B$2:$M$129,10,FALSE))</f>
        <v/>
      </c>
      <c r="I180" s="524" t="str">
        <f>IFERROR(VLOOKUP(H180,'G-1 All Habitats'!$V$3:$W$7,2,FALSE),"")</f>
        <v/>
      </c>
      <c r="J180" s="199"/>
      <c r="K180" s="524" t="str">
        <f>IFERROR(INDEX('G-8 Condition Look up'!$A$3:$H$130,MATCH(F180,'G-8 Condition Look up'!$A$3:$A$130,0),MATCH(J180,'G-8 Condition Look up'!$A$3:$H$3,0)),"")</f>
        <v/>
      </c>
      <c r="L180" s="145"/>
      <c r="M180" s="540" t="str">
        <f>IF(L180="","",IF(VLOOKUP(L180,'G-3 Multipliers'!$L$3:$N$6,2,FALSE)=0,"Spatial Data Missing ⚠",VLOOKUP(L180,'G-3 Multipliers'!$L$3:$N$6,2,FALSE)))</f>
        <v/>
      </c>
      <c r="N180" s="499" t="str">
        <f>IF(L180="","",IF(VLOOKUP(L180,'G-3 Multipliers'!$L$3:$N$6,3,FALSE)=0,"Spatial Data Missing ⚠",VLOOKUP(L180,'G-3 Multipliers'!$L$3:$N$6,3,FALSE)))</f>
        <v/>
      </c>
      <c r="O180" s="498" t="str">
        <f t="shared" si="10"/>
        <v/>
      </c>
      <c r="P180" s="195"/>
      <c r="Q180" s="195"/>
      <c r="R180" s="520" t="str">
        <f t="shared" si="11"/>
        <v/>
      </c>
      <c r="S180" s="544" t="str">
        <f t="shared" si="12"/>
        <v/>
      </c>
      <c r="T180" s="525" t="str">
        <f>IFERROR(IF(S180="Check Data ⚠","Check Data ⚠",VLOOKUP(S180,'G-4 Temporal multipliers'!$A$4:$C$37,3,FALSE)),"")</f>
        <v/>
      </c>
      <c r="U180" s="523" t="str">
        <f>IF(F180="","",VLOOKUP(F180,'G-3 Multipliers'!$A$2:$E$129,2,FALSE))</f>
        <v/>
      </c>
      <c r="V180" s="520" t="str">
        <f t="shared" si="14"/>
        <v/>
      </c>
      <c r="W180" s="520" t="str">
        <f>IF(E180="","",IF(AND(V180="Standard difficulty applied",O180&gt;P180),U180,IF(AND(V180="Low Difficulty - only applicable if all habitat created before losses ⚠",P180&gt;=O180),"Low",VLOOKUP(F180,'G-3 Multipliers'!$A$2:$E$129,4,FALSE))))</f>
        <v/>
      </c>
      <c r="X180" s="524" t="str">
        <f>IFERROR(IF(E180="","",VLOOKUP(W180, 'G-3 Multipliers'!$P$2:$Q$6,2,FALSE)),"")</f>
        <v/>
      </c>
      <c r="Y180" s="197"/>
      <c r="Z180" s="499" t="str">
        <f>IF(Y180="","",IF(VLOOKUP(Y180,'G-3 Multipliers'!$S$3:$T$9,2,FALSE)=0,"Spatial Data Missing ⚠",VLOOKUP(Y180,'G-3 Multipliers'!$S$3:$T$9,2,FALSE)))</f>
        <v/>
      </c>
      <c r="AA180" s="545" t="str">
        <f t="shared" si="13"/>
        <v/>
      </c>
      <c r="AB180" s="149"/>
      <c r="AC180" s="150"/>
    </row>
    <row r="181" spans="1:29" ht="13.8" x14ac:dyDescent="0.25">
      <c r="A181" s="31" t="str">
        <f>IFERROR(INDEX('G-8 Condition Look up'!$I$4:$I$130,MATCH(F181,'G-8 Condition Look up'!$A$4:$A$130,0)),"")</f>
        <v/>
      </c>
      <c r="C181" s="244" t="str">
        <f>IFERROR(INDEX('G-1 All Habitats'!$AG$3:$AG$15,MATCH(D181,'G-1 All Habitats'!$AF$3:$AF$15,0)),"")</f>
        <v/>
      </c>
      <c r="D181" s="154"/>
      <c r="E181" s="203"/>
      <c r="F181" s="243" t="str">
        <f>IFERROR(INDEX('G-1 All Habitats'!$B$3:$B$129,MATCH(E181,'G-1 All Habitats'!$A$3:$A$129,0)),"")</f>
        <v/>
      </c>
      <c r="G181" s="386"/>
      <c r="H181" s="537" t="str">
        <f>IF(F181="","",VLOOKUP(F181,'G-1 All Habitats'!$B$2:$M$129,10,FALSE))</f>
        <v/>
      </c>
      <c r="I181" s="524" t="str">
        <f>IFERROR(VLOOKUP(H181,'G-1 All Habitats'!$V$3:$W$7,2,FALSE),"")</f>
        <v/>
      </c>
      <c r="J181" s="199"/>
      <c r="K181" s="524" t="str">
        <f>IFERROR(INDEX('G-8 Condition Look up'!$A$3:$H$130,MATCH(F181,'G-8 Condition Look up'!$A$3:$A$130,0),MATCH(J181,'G-8 Condition Look up'!$A$3:$H$3,0)),"")</f>
        <v/>
      </c>
      <c r="L181" s="145"/>
      <c r="M181" s="540" t="str">
        <f>IF(L181="","",IF(VLOOKUP(L181,'G-3 Multipliers'!$L$3:$N$6,2,FALSE)=0,"Spatial Data Missing ⚠",VLOOKUP(L181,'G-3 Multipliers'!$L$3:$N$6,2,FALSE)))</f>
        <v/>
      </c>
      <c r="N181" s="499" t="str">
        <f>IF(L181="","",IF(VLOOKUP(L181,'G-3 Multipliers'!$L$3:$N$6,3,FALSE)=0,"Spatial Data Missing ⚠",VLOOKUP(L181,'G-3 Multipliers'!$L$3:$N$6,3,FALSE)))</f>
        <v/>
      </c>
      <c r="O181" s="498" t="str">
        <f t="shared" si="10"/>
        <v/>
      </c>
      <c r="P181" s="195"/>
      <c r="Q181" s="195"/>
      <c r="R181" s="520" t="str">
        <f t="shared" si="11"/>
        <v/>
      </c>
      <c r="S181" s="544" t="str">
        <f t="shared" si="12"/>
        <v/>
      </c>
      <c r="T181" s="525" t="str">
        <f>IFERROR(IF(S181="Check Data ⚠","Check Data ⚠",VLOOKUP(S181,'G-4 Temporal multipliers'!$A$4:$C$37,3,FALSE)),"")</f>
        <v/>
      </c>
      <c r="U181" s="523" t="str">
        <f>IF(F181="","",VLOOKUP(F181,'G-3 Multipliers'!$A$2:$E$129,2,FALSE))</f>
        <v/>
      </c>
      <c r="V181" s="520" t="str">
        <f t="shared" si="14"/>
        <v/>
      </c>
      <c r="W181" s="520" t="str">
        <f>IF(E181="","",IF(AND(V181="Standard difficulty applied",O181&gt;P181),U181,IF(AND(V181="Low Difficulty - only applicable if all habitat created before losses ⚠",P181&gt;=O181),"Low",VLOOKUP(F181,'G-3 Multipliers'!$A$2:$E$129,4,FALSE))))</f>
        <v/>
      </c>
      <c r="X181" s="524" t="str">
        <f>IFERROR(IF(E181="","",VLOOKUP(W181, 'G-3 Multipliers'!$P$2:$Q$6,2,FALSE)),"")</f>
        <v/>
      </c>
      <c r="Y181" s="197"/>
      <c r="Z181" s="499" t="str">
        <f>IF(Y181="","",IF(VLOOKUP(Y181,'G-3 Multipliers'!$S$3:$T$9,2,FALSE)=0,"Spatial Data Missing ⚠",VLOOKUP(Y181,'G-3 Multipliers'!$S$3:$T$9,2,FALSE)))</f>
        <v/>
      </c>
      <c r="AA181" s="545" t="str">
        <f t="shared" si="13"/>
        <v/>
      </c>
      <c r="AB181" s="149"/>
      <c r="AC181" s="150"/>
    </row>
    <row r="182" spans="1:29" ht="13.8" x14ac:dyDescent="0.25">
      <c r="A182" s="31" t="str">
        <f>IFERROR(INDEX('G-8 Condition Look up'!$I$4:$I$130,MATCH(F182,'G-8 Condition Look up'!$A$4:$A$130,0)),"")</f>
        <v/>
      </c>
      <c r="C182" s="244" t="str">
        <f>IFERROR(INDEX('G-1 All Habitats'!$AG$3:$AG$15,MATCH(D182,'G-1 All Habitats'!$AF$3:$AF$15,0)),"")</f>
        <v/>
      </c>
      <c r="D182" s="154"/>
      <c r="E182" s="203"/>
      <c r="F182" s="243" t="str">
        <f>IFERROR(INDEX('G-1 All Habitats'!$B$3:$B$129,MATCH(E182,'G-1 All Habitats'!$A$3:$A$129,0)),"")</f>
        <v/>
      </c>
      <c r="G182" s="386"/>
      <c r="H182" s="537" t="str">
        <f>IF(F182="","",VLOOKUP(F182,'G-1 All Habitats'!$B$2:$M$129,10,FALSE))</f>
        <v/>
      </c>
      <c r="I182" s="524" t="str">
        <f>IFERROR(VLOOKUP(H182,'G-1 All Habitats'!$V$3:$W$7,2,FALSE),"")</f>
        <v/>
      </c>
      <c r="J182" s="199"/>
      <c r="K182" s="524" t="str">
        <f>IFERROR(INDEX('G-8 Condition Look up'!$A$3:$H$130,MATCH(F182,'G-8 Condition Look up'!$A$3:$A$130,0),MATCH(J182,'G-8 Condition Look up'!$A$3:$H$3,0)),"")</f>
        <v/>
      </c>
      <c r="L182" s="145"/>
      <c r="M182" s="540" t="str">
        <f>IF(L182="","",IF(VLOOKUP(L182,'G-3 Multipliers'!$L$3:$N$6,2,FALSE)=0,"Spatial Data Missing ⚠",VLOOKUP(L182,'G-3 Multipliers'!$L$3:$N$6,2,FALSE)))</f>
        <v/>
      </c>
      <c r="N182" s="499" t="str">
        <f>IF(L182="","",IF(VLOOKUP(L182,'G-3 Multipliers'!$L$3:$N$6,3,FALSE)=0,"Spatial Data Missing ⚠",VLOOKUP(L182,'G-3 Multipliers'!$L$3:$N$6,3,FALSE)))</f>
        <v/>
      </c>
      <c r="O182" s="498" t="str">
        <f t="shared" si="10"/>
        <v/>
      </c>
      <c r="P182" s="195"/>
      <c r="Q182" s="195"/>
      <c r="R182" s="520" t="str">
        <f t="shared" si="11"/>
        <v/>
      </c>
      <c r="S182" s="544" t="str">
        <f t="shared" si="12"/>
        <v/>
      </c>
      <c r="T182" s="525" t="str">
        <f>IFERROR(IF(S182="Check Data ⚠","Check Data ⚠",VLOOKUP(S182,'G-4 Temporal multipliers'!$A$4:$C$37,3,FALSE)),"")</f>
        <v/>
      </c>
      <c r="U182" s="523" t="str">
        <f>IF(F182="","",VLOOKUP(F182,'G-3 Multipliers'!$A$2:$E$129,2,FALSE))</f>
        <v/>
      </c>
      <c r="V182" s="520" t="str">
        <f t="shared" si="14"/>
        <v/>
      </c>
      <c r="W182" s="520" t="str">
        <f>IF(E182="","",IF(AND(V182="Standard difficulty applied",O182&gt;P182),U182,IF(AND(V182="Low Difficulty - only applicable if all habitat created before losses ⚠",P182&gt;=O182),"Low",VLOOKUP(F182,'G-3 Multipliers'!$A$2:$E$129,4,FALSE))))</f>
        <v/>
      </c>
      <c r="X182" s="524" t="str">
        <f>IFERROR(IF(E182="","",VLOOKUP(W182, 'G-3 Multipliers'!$P$2:$Q$6,2,FALSE)),"")</f>
        <v/>
      </c>
      <c r="Y182" s="197"/>
      <c r="Z182" s="499" t="str">
        <f>IF(Y182="","",IF(VLOOKUP(Y182,'G-3 Multipliers'!$S$3:$T$9,2,FALSE)=0,"Spatial Data Missing ⚠",VLOOKUP(Y182,'G-3 Multipliers'!$S$3:$T$9,2,FALSE)))</f>
        <v/>
      </c>
      <c r="AA182" s="545" t="str">
        <f t="shared" si="13"/>
        <v/>
      </c>
      <c r="AB182" s="149"/>
      <c r="AC182" s="150"/>
    </row>
    <row r="183" spans="1:29" ht="13.8" x14ac:dyDescent="0.25">
      <c r="A183" s="31" t="str">
        <f>IFERROR(INDEX('G-8 Condition Look up'!$I$4:$I$130,MATCH(F183,'G-8 Condition Look up'!$A$4:$A$130,0)),"")</f>
        <v/>
      </c>
      <c r="C183" s="244" t="str">
        <f>IFERROR(INDEX('G-1 All Habitats'!$AG$3:$AG$15,MATCH(D183,'G-1 All Habitats'!$AF$3:$AF$15,0)),"")</f>
        <v/>
      </c>
      <c r="D183" s="154"/>
      <c r="E183" s="203"/>
      <c r="F183" s="243" t="str">
        <f>IFERROR(INDEX('G-1 All Habitats'!$B$3:$B$129,MATCH(E183,'G-1 All Habitats'!$A$3:$A$129,0)),"")</f>
        <v/>
      </c>
      <c r="G183" s="386"/>
      <c r="H183" s="537" t="str">
        <f>IF(F183="","",VLOOKUP(F183,'G-1 All Habitats'!$B$2:$M$129,10,FALSE))</f>
        <v/>
      </c>
      <c r="I183" s="524" t="str">
        <f>IFERROR(VLOOKUP(H183,'G-1 All Habitats'!$V$3:$W$7,2,FALSE),"")</f>
        <v/>
      </c>
      <c r="J183" s="199"/>
      <c r="K183" s="524" t="str">
        <f>IFERROR(INDEX('G-8 Condition Look up'!$A$3:$H$130,MATCH(F183,'G-8 Condition Look up'!$A$3:$A$130,0),MATCH(J183,'G-8 Condition Look up'!$A$3:$H$3,0)),"")</f>
        <v/>
      </c>
      <c r="L183" s="145"/>
      <c r="M183" s="540" t="str">
        <f>IF(L183="","",IF(VLOOKUP(L183,'G-3 Multipliers'!$L$3:$N$6,2,FALSE)=0,"Spatial Data Missing ⚠",VLOOKUP(L183,'G-3 Multipliers'!$L$3:$N$6,2,FALSE)))</f>
        <v/>
      </c>
      <c r="N183" s="499" t="str">
        <f>IF(L183="","",IF(VLOOKUP(L183,'G-3 Multipliers'!$L$3:$N$6,3,FALSE)=0,"Spatial Data Missing ⚠",VLOOKUP(L183,'G-3 Multipliers'!$L$3:$N$6,3,FALSE)))</f>
        <v/>
      </c>
      <c r="O183" s="498" t="str">
        <f t="shared" si="10"/>
        <v/>
      </c>
      <c r="P183" s="195"/>
      <c r="Q183" s="195"/>
      <c r="R183" s="520" t="str">
        <f t="shared" si="11"/>
        <v/>
      </c>
      <c r="S183" s="544" t="str">
        <f t="shared" si="12"/>
        <v/>
      </c>
      <c r="T183" s="525" t="str">
        <f>IFERROR(IF(S183="Check Data ⚠","Check Data ⚠",VLOOKUP(S183,'G-4 Temporal multipliers'!$A$4:$C$37,3,FALSE)),"")</f>
        <v/>
      </c>
      <c r="U183" s="523" t="str">
        <f>IF(F183="","",VLOOKUP(F183,'G-3 Multipliers'!$A$2:$E$129,2,FALSE))</f>
        <v/>
      </c>
      <c r="V183" s="520" t="str">
        <f t="shared" si="14"/>
        <v/>
      </c>
      <c r="W183" s="520" t="str">
        <f>IF(E183="","",IF(AND(V183="Standard difficulty applied",O183&gt;P183),U183,IF(AND(V183="Low Difficulty - only applicable if all habitat created before losses ⚠",P183&gt;=O183),"Low",VLOOKUP(F183,'G-3 Multipliers'!$A$2:$E$129,4,FALSE))))</f>
        <v/>
      </c>
      <c r="X183" s="524" t="str">
        <f>IFERROR(IF(E183="","",VLOOKUP(W183, 'G-3 Multipliers'!$P$2:$Q$6,2,FALSE)),"")</f>
        <v/>
      </c>
      <c r="Y183" s="197"/>
      <c r="Z183" s="499" t="str">
        <f>IF(Y183="","",IF(VLOOKUP(Y183,'G-3 Multipliers'!$S$3:$T$9,2,FALSE)=0,"Spatial Data Missing ⚠",VLOOKUP(Y183,'G-3 Multipliers'!$S$3:$T$9,2,FALSE)))</f>
        <v/>
      </c>
      <c r="AA183" s="545" t="str">
        <f t="shared" si="13"/>
        <v/>
      </c>
      <c r="AB183" s="149"/>
      <c r="AC183" s="150"/>
    </row>
    <row r="184" spans="1:29" ht="13.8" x14ac:dyDescent="0.25">
      <c r="A184" s="31" t="str">
        <f>IFERROR(INDEX('G-8 Condition Look up'!$I$4:$I$130,MATCH(F184,'G-8 Condition Look up'!$A$4:$A$130,0)),"")</f>
        <v/>
      </c>
      <c r="C184" s="244" t="str">
        <f>IFERROR(INDEX('G-1 All Habitats'!$AG$3:$AG$15,MATCH(D184,'G-1 All Habitats'!$AF$3:$AF$15,0)),"")</f>
        <v/>
      </c>
      <c r="D184" s="154"/>
      <c r="E184" s="203"/>
      <c r="F184" s="243" t="str">
        <f>IFERROR(INDEX('G-1 All Habitats'!$B$3:$B$129,MATCH(E184,'G-1 All Habitats'!$A$3:$A$129,0)),"")</f>
        <v/>
      </c>
      <c r="G184" s="386"/>
      <c r="H184" s="537" t="str">
        <f>IF(F184="","",VLOOKUP(F184,'G-1 All Habitats'!$B$2:$M$129,10,FALSE))</f>
        <v/>
      </c>
      <c r="I184" s="524" t="str">
        <f>IFERROR(VLOOKUP(H184,'G-1 All Habitats'!$V$3:$W$7,2,FALSE),"")</f>
        <v/>
      </c>
      <c r="J184" s="199"/>
      <c r="K184" s="524" t="str">
        <f>IFERROR(INDEX('G-8 Condition Look up'!$A$3:$H$130,MATCH(F184,'G-8 Condition Look up'!$A$3:$A$130,0),MATCH(J184,'G-8 Condition Look up'!$A$3:$H$3,0)),"")</f>
        <v/>
      </c>
      <c r="L184" s="145"/>
      <c r="M184" s="540" t="str">
        <f>IF(L184="","",IF(VLOOKUP(L184,'G-3 Multipliers'!$L$3:$N$6,2,FALSE)=0,"Spatial Data Missing ⚠",VLOOKUP(L184,'G-3 Multipliers'!$L$3:$N$6,2,FALSE)))</f>
        <v/>
      </c>
      <c r="N184" s="499" t="str">
        <f>IF(L184="","",IF(VLOOKUP(L184,'G-3 Multipliers'!$L$3:$N$6,3,FALSE)=0,"Spatial Data Missing ⚠",VLOOKUP(L184,'G-3 Multipliers'!$L$3:$N$6,3,FALSE)))</f>
        <v/>
      </c>
      <c r="O184" s="498" t="str">
        <f t="shared" si="10"/>
        <v/>
      </c>
      <c r="P184" s="195"/>
      <c r="Q184" s="195"/>
      <c r="R184" s="520" t="str">
        <f t="shared" si="11"/>
        <v/>
      </c>
      <c r="S184" s="544" t="str">
        <f t="shared" si="12"/>
        <v/>
      </c>
      <c r="T184" s="525" t="str">
        <f>IFERROR(IF(S184="Check Data ⚠","Check Data ⚠",VLOOKUP(S184,'G-4 Temporal multipliers'!$A$4:$C$37,3,FALSE)),"")</f>
        <v/>
      </c>
      <c r="U184" s="523" t="str">
        <f>IF(F184="","",VLOOKUP(F184,'G-3 Multipliers'!$A$2:$E$129,2,FALSE))</f>
        <v/>
      </c>
      <c r="V184" s="520" t="str">
        <f t="shared" si="14"/>
        <v/>
      </c>
      <c r="W184" s="520" t="str">
        <f>IF(E184="","",IF(AND(V184="Standard difficulty applied",O184&gt;P184),U184,IF(AND(V184="Low Difficulty - only applicable if all habitat created before losses ⚠",P184&gt;=O184),"Low",VLOOKUP(F184,'G-3 Multipliers'!$A$2:$E$129,4,FALSE))))</f>
        <v/>
      </c>
      <c r="X184" s="524" t="str">
        <f>IFERROR(IF(E184="","",VLOOKUP(W184, 'G-3 Multipliers'!$P$2:$Q$6,2,FALSE)),"")</f>
        <v/>
      </c>
      <c r="Y184" s="197"/>
      <c r="Z184" s="499" t="str">
        <f>IF(Y184="","",IF(VLOOKUP(Y184,'G-3 Multipliers'!$S$3:$T$9,2,FALSE)=0,"Spatial Data Missing ⚠",VLOOKUP(Y184,'G-3 Multipliers'!$S$3:$T$9,2,FALSE)))</f>
        <v/>
      </c>
      <c r="AA184" s="545" t="str">
        <f t="shared" si="13"/>
        <v/>
      </c>
      <c r="AB184" s="149"/>
      <c r="AC184" s="150"/>
    </row>
    <row r="185" spans="1:29" ht="13.8" x14ac:dyDescent="0.25">
      <c r="A185" s="31" t="str">
        <f>IFERROR(INDEX('G-8 Condition Look up'!$I$4:$I$130,MATCH(F185,'G-8 Condition Look up'!$A$4:$A$130,0)),"")</f>
        <v/>
      </c>
      <c r="C185" s="244" t="str">
        <f>IFERROR(INDEX('G-1 All Habitats'!$AG$3:$AG$15,MATCH(D185,'G-1 All Habitats'!$AF$3:$AF$15,0)),"")</f>
        <v/>
      </c>
      <c r="D185" s="154"/>
      <c r="E185" s="203"/>
      <c r="F185" s="243" t="str">
        <f>IFERROR(INDEX('G-1 All Habitats'!$B$3:$B$129,MATCH(E185,'G-1 All Habitats'!$A$3:$A$129,0)),"")</f>
        <v/>
      </c>
      <c r="G185" s="386"/>
      <c r="H185" s="537" t="str">
        <f>IF(F185="","",VLOOKUP(F185,'G-1 All Habitats'!$B$2:$M$129,10,FALSE))</f>
        <v/>
      </c>
      <c r="I185" s="524" t="str">
        <f>IFERROR(VLOOKUP(H185,'G-1 All Habitats'!$V$3:$W$7,2,FALSE),"")</f>
        <v/>
      </c>
      <c r="J185" s="199"/>
      <c r="K185" s="524" t="str">
        <f>IFERROR(INDEX('G-8 Condition Look up'!$A$3:$H$130,MATCH(F185,'G-8 Condition Look up'!$A$3:$A$130,0),MATCH(J185,'G-8 Condition Look up'!$A$3:$H$3,0)),"")</f>
        <v/>
      </c>
      <c r="L185" s="145"/>
      <c r="M185" s="540" t="str">
        <f>IF(L185="","",IF(VLOOKUP(L185,'G-3 Multipliers'!$L$3:$N$6,2,FALSE)=0,"Spatial Data Missing ⚠",VLOOKUP(L185,'G-3 Multipliers'!$L$3:$N$6,2,FALSE)))</f>
        <v/>
      </c>
      <c r="N185" s="499" t="str">
        <f>IF(L185="","",IF(VLOOKUP(L185,'G-3 Multipliers'!$L$3:$N$6,3,FALSE)=0,"Spatial Data Missing ⚠",VLOOKUP(L185,'G-3 Multipliers'!$L$3:$N$6,3,FALSE)))</f>
        <v/>
      </c>
      <c r="O185" s="498" t="str">
        <f t="shared" si="10"/>
        <v/>
      </c>
      <c r="P185" s="195"/>
      <c r="Q185" s="195"/>
      <c r="R185" s="520" t="str">
        <f t="shared" si="11"/>
        <v/>
      </c>
      <c r="S185" s="544" t="str">
        <f t="shared" si="12"/>
        <v/>
      </c>
      <c r="T185" s="525" t="str">
        <f>IFERROR(IF(S185="Check Data ⚠","Check Data ⚠",VLOOKUP(S185,'G-4 Temporal multipliers'!$A$4:$C$37,3,FALSE)),"")</f>
        <v/>
      </c>
      <c r="U185" s="523" t="str">
        <f>IF(F185="","",VLOOKUP(F185,'G-3 Multipliers'!$A$2:$E$129,2,FALSE))</f>
        <v/>
      </c>
      <c r="V185" s="520" t="str">
        <f t="shared" si="14"/>
        <v/>
      </c>
      <c r="W185" s="520" t="str">
        <f>IF(E185="","",IF(AND(V185="Standard difficulty applied",O185&gt;P185),U185,IF(AND(V185="Low Difficulty - only applicable if all habitat created before losses ⚠",P185&gt;=O185),"Low",VLOOKUP(F185,'G-3 Multipliers'!$A$2:$E$129,4,FALSE))))</f>
        <v/>
      </c>
      <c r="X185" s="524" t="str">
        <f>IFERROR(IF(E185="","",VLOOKUP(W185, 'G-3 Multipliers'!$P$2:$Q$6,2,FALSE)),"")</f>
        <v/>
      </c>
      <c r="Y185" s="197"/>
      <c r="Z185" s="499" t="str">
        <f>IF(Y185="","",IF(VLOOKUP(Y185,'G-3 Multipliers'!$S$3:$T$9,2,FALSE)=0,"Spatial Data Missing ⚠",VLOOKUP(Y185,'G-3 Multipliers'!$S$3:$T$9,2,FALSE)))</f>
        <v/>
      </c>
      <c r="AA185" s="545" t="str">
        <f t="shared" si="13"/>
        <v/>
      </c>
      <c r="AB185" s="149"/>
      <c r="AC185" s="150"/>
    </row>
    <row r="186" spans="1:29" ht="13.8" x14ac:dyDescent="0.25">
      <c r="A186" s="31" t="str">
        <f>IFERROR(INDEX('G-8 Condition Look up'!$I$4:$I$130,MATCH(F186,'G-8 Condition Look up'!$A$4:$A$130,0)),"")</f>
        <v/>
      </c>
      <c r="C186" s="244" t="str">
        <f>IFERROR(INDEX('G-1 All Habitats'!$AG$3:$AG$15,MATCH(D186,'G-1 All Habitats'!$AF$3:$AF$15,0)),"")</f>
        <v/>
      </c>
      <c r="D186" s="154"/>
      <c r="E186" s="203"/>
      <c r="F186" s="243" t="str">
        <f>IFERROR(INDEX('G-1 All Habitats'!$B$3:$B$129,MATCH(E186,'G-1 All Habitats'!$A$3:$A$129,0)),"")</f>
        <v/>
      </c>
      <c r="G186" s="386"/>
      <c r="H186" s="537" t="str">
        <f>IF(F186="","",VLOOKUP(F186,'G-1 All Habitats'!$B$2:$M$129,10,FALSE))</f>
        <v/>
      </c>
      <c r="I186" s="524" t="str">
        <f>IFERROR(VLOOKUP(H186,'G-1 All Habitats'!$V$3:$W$7,2,FALSE),"")</f>
        <v/>
      </c>
      <c r="J186" s="199"/>
      <c r="K186" s="524" t="str">
        <f>IFERROR(INDEX('G-8 Condition Look up'!$A$3:$H$130,MATCH(F186,'G-8 Condition Look up'!$A$3:$A$130,0),MATCH(J186,'G-8 Condition Look up'!$A$3:$H$3,0)),"")</f>
        <v/>
      </c>
      <c r="L186" s="145"/>
      <c r="M186" s="540" t="str">
        <f>IF(L186="","",IF(VLOOKUP(L186,'G-3 Multipliers'!$L$3:$N$6,2,FALSE)=0,"Spatial Data Missing ⚠",VLOOKUP(L186,'G-3 Multipliers'!$L$3:$N$6,2,FALSE)))</f>
        <v/>
      </c>
      <c r="N186" s="499" t="str">
        <f>IF(L186="","",IF(VLOOKUP(L186,'G-3 Multipliers'!$L$3:$N$6,3,FALSE)=0,"Spatial Data Missing ⚠",VLOOKUP(L186,'G-3 Multipliers'!$L$3:$N$6,3,FALSE)))</f>
        <v/>
      </c>
      <c r="O186" s="498" t="str">
        <f t="shared" si="10"/>
        <v/>
      </c>
      <c r="P186" s="195"/>
      <c r="Q186" s="195"/>
      <c r="R186" s="520" t="str">
        <f t="shared" si="11"/>
        <v/>
      </c>
      <c r="S186" s="544" t="str">
        <f t="shared" si="12"/>
        <v/>
      </c>
      <c r="T186" s="525" t="str">
        <f>IFERROR(IF(S186="Check Data ⚠","Check Data ⚠",VLOOKUP(S186,'G-4 Temporal multipliers'!$A$4:$C$37,3,FALSE)),"")</f>
        <v/>
      </c>
      <c r="U186" s="523" t="str">
        <f>IF(F186="","",VLOOKUP(F186,'G-3 Multipliers'!$A$2:$E$129,2,FALSE))</f>
        <v/>
      </c>
      <c r="V186" s="520" t="str">
        <f t="shared" si="14"/>
        <v/>
      </c>
      <c r="W186" s="520" t="str">
        <f>IF(E186="","",IF(AND(V186="Standard difficulty applied",O186&gt;P186),U186,IF(AND(V186="Low Difficulty - only applicable if all habitat created before losses ⚠",P186&gt;=O186),"Low",VLOOKUP(F186,'G-3 Multipliers'!$A$2:$E$129,4,FALSE))))</f>
        <v/>
      </c>
      <c r="X186" s="524" t="str">
        <f>IFERROR(IF(E186="","",VLOOKUP(W186, 'G-3 Multipliers'!$P$2:$Q$6,2,FALSE)),"")</f>
        <v/>
      </c>
      <c r="Y186" s="197"/>
      <c r="Z186" s="499" t="str">
        <f>IF(Y186="","",IF(VLOOKUP(Y186,'G-3 Multipliers'!$S$3:$T$9,2,FALSE)=0,"Spatial Data Missing ⚠",VLOOKUP(Y186,'G-3 Multipliers'!$S$3:$T$9,2,FALSE)))</f>
        <v/>
      </c>
      <c r="AA186" s="545" t="str">
        <f t="shared" si="13"/>
        <v/>
      </c>
      <c r="AB186" s="149"/>
      <c r="AC186" s="150"/>
    </row>
    <row r="187" spans="1:29" ht="13.8" x14ac:dyDescent="0.25">
      <c r="A187" s="31" t="str">
        <f>IFERROR(INDEX('G-8 Condition Look up'!$I$4:$I$130,MATCH(F187,'G-8 Condition Look up'!$A$4:$A$130,0)),"")</f>
        <v/>
      </c>
      <c r="C187" s="244" t="str">
        <f>IFERROR(INDEX('G-1 All Habitats'!$AG$3:$AG$15,MATCH(D187,'G-1 All Habitats'!$AF$3:$AF$15,0)),"")</f>
        <v/>
      </c>
      <c r="D187" s="154"/>
      <c r="E187" s="203"/>
      <c r="F187" s="243" t="str">
        <f>IFERROR(INDEX('G-1 All Habitats'!$B$3:$B$129,MATCH(E187,'G-1 All Habitats'!$A$3:$A$129,0)),"")</f>
        <v/>
      </c>
      <c r="G187" s="386"/>
      <c r="H187" s="537" t="str">
        <f>IF(F187="","",VLOOKUP(F187,'G-1 All Habitats'!$B$2:$M$129,10,FALSE))</f>
        <v/>
      </c>
      <c r="I187" s="524" t="str">
        <f>IFERROR(VLOOKUP(H187,'G-1 All Habitats'!$V$3:$W$7,2,FALSE),"")</f>
        <v/>
      </c>
      <c r="J187" s="199"/>
      <c r="K187" s="524" t="str">
        <f>IFERROR(INDEX('G-8 Condition Look up'!$A$3:$H$130,MATCH(F187,'G-8 Condition Look up'!$A$3:$A$130,0),MATCH(J187,'G-8 Condition Look up'!$A$3:$H$3,0)),"")</f>
        <v/>
      </c>
      <c r="L187" s="145"/>
      <c r="M187" s="540" t="str">
        <f>IF(L187="","",IF(VLOOKUP(L187,'G-3 Multipliers'!$L$3:$N$6,2,FALSE)=0,"Spatial Data Missing ⚠",VLOOKUP(L187,'G-3 Multipliers'!$L$3:$N$6,2,FALSE)))</f>
        <v/>
      </c>
      <c r="N187" s="499" t="str">
        <f>IF(L187="","",IF(VLOOKUP(L187,'G-3 Multipliers'!$L$3:$N$6,3,FALSE)=0,"Spatial Data Missing ⚠",VLOOKUP(L187,'G-3 Multipliers'!$L$3:$N$6,3,FALSE)))</f>
        <v/>
      </c>
      <c r="O187" s="498" t="str">
        <f t="shared" si="10"/>
        <v/>
      </c>
      <c r="P187" s="195"/>
      <c r="Q187" s="195"/>
      <c r="R187" s="520" t="str">
        <f t="shared" si="11"/>
        <v/>
      </c>
      <c r="S187" s="544" t="str">
        <f t="shared" si="12"/>
        <v/>
      </c>
      <c r="T187" s="525" t="str">
        <f>IFERROR(IF(S187="Check Data ⚠","Check Data ⚠",VLOOKUP(S187,'G-4 Temporal multipliers'!$A$4:$C$37,3,FALSE)),"")</f>
        <v/>
      </c>
      <c r="U187" s="523" t="str">
        <f>IF(F187="","",VLOOKUP(F187,'G-3 Multipliers'!$A$2:$E$129,2,FALSE))</f>
        <v/>
      </c>
      <c r="V187" s="520" t="str">
        <f t="shared" si="14"/>
        <v/>
      </c>
      <c r="W187" s="520" t="str">
        <f>IF(E187="","",IF(AND(V187="Standard difficulty applied",O187&gt;P187),U187,IF(AND(V187="Low Difficulty - only applicable if all habitat created before losses ⚠",P187&gt;=O187),"Low",VLOOKUP(F187,'G-3 Multipliers'!$A$2:$E$129,4,FALSE))))</f>
        <v/>
      </c>
      <c r="X187" s="524" t="str">
        <f>IFERROR(IF(E187="","",VLOOKUP(W187, 'G-3 Multipliers'!$P$2:$Q$6,2,FALSE)),"")</f>
        <v/>
      </c>
      <c r="Y187" s="197"/>
      <c r="Z187" s="499" t="str">
        <f>IF(Y187="","",IF(VLOOKUP(Y187,'G-3 Multipliers'!$S$3:$T$9,2,FALSE)=0,"Spatial Data Missing ⚠",VLOOKUP(Y187,'G-3 Multipliers'!$S$3:$T$9,2,FALSE)))</f>
        <v/>
      </c>
      <c r="AA187" s="545" t="str">
        <f t="shared" si="13"/>
        <v/>
      </c>
      <c r="AB187" s="149"/>
      <c r="AC187" s="150"/>
    </row>
    <row r="188" spans="1:29" ht="13.8" x14ac:dyDescent="0.25">
      <c r="A188" s="31" t="str">
        <f>IFERROR(INDEX('G-8 Condition Look up'!$I$4:$I$130,MATCH(F188,'G-8 Condition Look up'!$A$4:$A$130,0)),"")</f>
        <v/>
      </c>
      <c r="C188" s="244" t="str">
        <f>IFERROR(INDEX('G-1 All Habitats'!$AG$3:$AG$15,MATCH(D188,'G-1 All Habitats'!$AF$3:$AF$15,0)),"")</f>
        <v/>
      </c>
      <c r="D188" s="154"/>
      <c r="E188" s="203"/>
      <c r="F188" s="243" t="str">
        <f>IFERROR(INDEX('G-1 All Habitats'!$B$3:$B$129,MATCH(E188,'G-1 All Habitats'!$A$3:$A$129,0)),"")</f>
        <v/>
      </c>
      <c r="G188" s="386"/>
      <c r="H188" s="537" t="str">
        <f>IF(F188="","",VLOOKUP(F188,'G-1 All Habitats'!$B$2:$M$129,10,FALSE))</f>
        <v/>
      </c>
      <c r="I188" s="524" t="str">
        <f>IFERROR(VLOOKUP(H188,'G-1 All Habitats'!$V$3:$W$7,2,FALSE),"")</f>
        <v/>
      </c>
      <c r="J188" s="199"/>
      <c r="K188" s="524" t="str">
        <f>IFERROR(INDEX('G-8 Condition Look up'!$A$3:$H$130,MATCH(F188,'G-8 Condition Look up'!$A$3:$A$130,0),MATCH(J188,'G-8 Condition Look up'!$A$3:$H$3,0)),"")</f>
        <v/>
      </c>
      <c r="L188" s="145"/>
      <c r="M188" s="540" t="str">
        <f>IF(L188="","",IF(VLOOKUP(L188,'G-3 Multipliers'!$L$3:$N$6,2,FALSE)=0,"Spatial Data Missing ⚠",VLOOKUP(L188,'G-3 Multipliers'!$L$3:$N$6,2,FALSE)))</f>
        <v/>
      </c>
      <c r="N188" s="499" t="str">
        <f>IF(L188="","",IF(VLOOKUP(L188,'G-3 Multipliers'!$L$3:$N$6,3,FALSE)=0,"Spatial Data Missing ⚠",VLOOKUP(L188,'G-3 Multipliers'!$L$3:$N$6,3,FALSE)))</f>
        <v/>
      </c>
      <c r="O188" s="498" t="str">
        <f t="shared" si="10"/>
        <v/>
      </c>
      <c r="P188" s="195"/>
      <c r="Q188" s="195"/>
      <c r="R188" s="520" t="str">
        <f t="shared" si="11"/>
        <v/>
      </c>
      <c r="S188" s="544" t="str">
        <f t="shared" si="12"/>
        <v/>
      </c>
      <c r="T188" s="525" t="str">
        <f>IFERROR(IF(S188="Check Data ⚠","Check Data ⚠",VLOOKUP(S188,'G-4 Temporal multipliers'!$A$4:$C$37,3,FALSE)),"")</f>
        <v/>
      </c>
      <c r="U188" s="523" t="str">
        <f>IF(F188="","",VLOOKUP(F188,'G-3 Multipliers'!$A$2:$E$129,2,FALSE))</f>
        <v/>
      </c>
      <c r="V188" s="520" t="str">
        <f t="shared" si="14"/>
        <v/>
      </c>
      <c r="W188" s="520" t="str">
        <f>IF(E188="","",IF(AND(V188="Standard difficulty applied",O188&gt;P188),U188,IF(AND(V188="Low Difficulty - only applicable if all habitat created before losses ⚠",P188&gt;=O188),"Low",VLOOKUP(F188,'G-3 Multipliers'!$A$2:$E$129,4,FALSE))))</f>
        <v/>
      </c>
      <c r="X188" s="524" t="str">
        <f>IFERROR(IF(E188="","",VLOOKUP(W188, 'G-3 Multipliers'!$P$2:$Q$6,2,FALSE)),"")</f>
        <v/>
      </c>
      <c r="Y188" s="197"/>
      <c r="Z188" s="499" t="str">
        <f>IF(Y188="","",IF(VLOOKUP(Y188,'G-3 Multipliers'!$S$3:$T$9,2,FALSE)=0,"Spatial Data Missing ⚠",VLOOKUP(Y188,'G-3 Multipliers'!$S$3:$T$9,2,FALSE)))</f>
        <v/>
      </c>
      <c r="AA188" s="545" t="str">
        <f t="shared" si="13"/>
        <v/>
      </c>
      <c r="AB188" s="149"/>
      <c r="AC188" s="150"/>
    </row>
    <row r="189" spans="1:29" ht="13.8" x14ac:dyDescent="0.25">
      <c r="A189" s="31" t="str">
        <f>IFERROR(INDEX('G-8 Condition Look up'!$I$4:$I$130,MATCH(F189,'G-8 Condition Look up'!$A$4:$A$130,0)),"")</f>
        <v/>
      </c>
      <c r="C189" s="244" t="str">
        <f>IFERROR(INDEX('G-1 All Habitats'!$AG$3:$AG$15,MATCH(D189,'G-1 All Habitats'!$AF$3:$AF$15,0)),"")</f>
        <v/>
      </c>
      <c r="D189" s="154"/>
      <c r="E189" s="203"/>
      <c r="F189" s="243" t="str">
        <f>IFERROR(INDEX('G-1 All Habitats'!$B$3:$B$129,MATCH(E189,'G-1 All Habitats'!$A$3:$A$129,0)),"")</f>
        <v/>
      </c>
      <c r="G189" s="386"/>
      <c r="H189" s="537" t="str">
        <f>IF(F189="","",VLOOKUP(F189,'G-1 All Habitats'!$B$2:$M$129,10,FALSE))</f>
        <v/>
      </c>
      <c r="I189" s="524" t="str">
        <f>IFERROR(VLOOKUP(H189,'G-1 All Habitats'!$V$3:$W$7,2,FALSE),"")</f>
        <v/>
      </c>
      <c r="J189" s="199"/>
      <c r="K189" s="524" t="str">
        <f>IFERROR(INDEX('G-8 Condition Look up'!$A$3:$H$130,MATCH(F189,'G-8 Condition Look up'!$A$3:$A$130,0),MATCH(J189,'G-8 Condition Look up'!$A$3:$H$3,0)),"")</f>
        <v/>
      </c>
      <c r="L189" s="145"/>
      <c r="M189" s="540" t="str">
        <f>IF(L189="","",IF(VLOOKUP(L189,'G-3 Multipliers'!$L$3:$N$6,2,FALSE)=0,"Spatial Data Missing ⚠",VLOOKUP(L189,'G-3 Multipliers'!$L$3:$N$6,2,FALSE)))</f>
        <v/>
      </c>
      <c r="N189" s="499" t="str">
        <f>IF(L189="","",IF(VLOOKUP(L189,'G-3 Multipliers'!$L$3:$N$6,3,FALSE)=0,"Spatial Data Missing ⚠",VLOOKUP(L189,'G-3 Multipliers'!$L$3:$N$6,3,FALSE)))</f>
        <v/>
      </c>
      <c r="O189" s="498" t="str">
        <f t="shared" si="10"/>
        <v/>
      </c>
      <c r="P189" s="195"/>
      <c r="Q189" s="195"/>
      <c r="R189" s="520" t="str">
        <f t="shared" si="11"/>
        <v/>
      </c>
      <c r="S189" s="544" t="str">
        <f t="shared" si="12"/>
        <v/>
      </c>
      <c r="T189" s="525" t="str">
        <f>IFERROR(IF(S189="Check Data ⚠","Check Data ⚠",VLOOKUP(S189,'G-4 Temporal multipliers'!$A$4:$C$37,3,FALSE)),"")</f>
        <v/>
      </c>
      <c r="U189" s="523" t="str">
        <f>IF(F189="","",VLOOKUP(F189,'G-3 Multipliers'!$A$2:$E$129,2,FALSE))</f>
        <v/>
      </c>
      <c r="V189" s="520" t="str">
        <f t="shared" si="14"/>
        <v/>
      </c>
      <c r="W189" s="520" t="str">
        <f>IF(E189="","",IF(AND(V189="Standard difficulty applied",O189&gt;P189),U189,IF(AND(V189="Low Difficulty - only applicable if all habitat created before losses ⚠",P189&gt;=O189),"Low",VLOOKUP(F189,'G-3 Multipliers'!$A$2:$E$129,4,FALSE))))</f>
        <v/>
      </c>
      <c r="X189" s="524" t="str">
        <f>IFERROR(IF(E189="","",VLOOKUP(W189, 'G-3 Multipliers'!$P$2:$Q$6,2,FALSE)),"")</f>
        <v/>
      </c>
      <c r="Y189" s="197"/>
      <c r="Z189" s="499" t="str">
        <f>IF(Y189="","",IF(VLOOKUP(Y189,'G-3 Multipliers'!$S$3:$T$9,2,FALSE)=0,"Spatial Data Missing ⚠",VLOOKUP(Y189,'G-3 Multipliers'!$S$3:$T$9,2,FALSE)))</f>
        <v/>
      </c>
      <c r="AA189" s="545" t="str">
        <f t="shared" si="13"/>
        <v/>
      </c>
      <c r="AB189" s="149"/>
      <c r="AC189" s="150"/>
    </row>
    <row r="190" spans="1:29" ht="13.8" x14ac:dyDescent="0.25">
      <c r="A190" s="31" t="str">
        <f>IFERROR(INDEX('G-8 Condition Look up'!$I$4:$I$130,MATCH(F190,'G-8 Condition Look up'!$A$4:$A$130,0)),"")</f>
        <v/>
      </c>
      <c r="C190" s="244" t="str">
        <f>IFERROR(INDEX('G-1 All Habitats'!$AG$3:$AG$15,MATCH(D190,'G-1 All Habitats'!$AF$3:$AF$15,0)),"")</f>
        <v/>
      </c>
      <c r="D190" s="154"/>
      <c r="E190" s="203"/>
      <c r="F190" s="243" t="str">
        <f>IFERROR(INDEX('G-1 All Habitats'!$B$3:$B$129,MATCH(E190,'G-1 All Habitats'!$A$3:$A$129,0)),"")</f>
        <v/>
      </c>
      <c r="G190" s="386"/>
      <c r="H190" s="537" t="str">
        <f>IF(F190="","",VLOOKUP(F190,'G-1 All Habitats'!$B$2:$M$129,10,FALSE))</f>
        <v/>
      </c>
      <c r="I190" s="524" t="str">
        <f>IFERROR(VLOOKUP(H190,'G-1 All Habitats'!$V$3:$W$7,2,FALSE),"")</f>
        <v/>
      </c>
      <c r="J190" s="199"/>
      <c r="K190" s="524" t="str">
        <f>IFERROR(INDEX('G-8 Condition Look up'!$A$3:$H$130,MATCH(F190,'G-8 Condition Look up'!$A$3:$A$130,0),MATCH(J190,'G-8 Condition Look up'!$A$3:$H$3,0)),"")</f>
        <v/>
      </c>
      <c r="L190" s="145"/>
      <c r="M190" s="540" t="str">
        <f>IF(L190="","",IF(VLOOKUP(L190,'G-3 Multipliers'!$L$3:$N$6,2,FALSE)=0,"Spatial Data Missing ⚠",VLOOKUP(L190,'G-3 Multipliers'!$L$3:$N$6,2,FALSE)))</f>
        <v/>
      </c>
      <c r="N190" s="499" t="str">
        <f>IF(L190="","",IF(VLOOKUP(L190,'G-3 Multipliers'!$L$3:$N$6,3,FALSE)=0,"Spatial Data Missing ⚠",VLOOKUP(L190,'G-3 Multipliers'!$L$3:$N$6,3,FALSE)))</f>
        <v/>
      </c>
      <c r="O190" s="498" t="str">
        <f t="shared" si="10"/>
        <v/>
      </c>
      <c r="P190" s="195"/>
      <c r="Q190" s="195"/>
      <c r="R190" s="520" t="str">
        <f t="shared" si="11"/>
        <v/>
      </c>
      <c r="S190" s="544" t="str">
        <f t="shared" si="12"/>
        <v/>
      </c>
      <c r="T190" s="525" t="str">
        <f>IFERROR(IF(S190="Check Data ⚠","Check Data ⚠",VLOOKUP(S190,'G-4 Temporal multipliers'!$A$4:$C$37,3,FALSE)),"")</f>
        <v/>
      </c>
      <c r="U190" s="523" t="str">
        <f>IF(F190="","",VLOOKUP(F190,'G-3 Multipliers'!$A$2:$E$129,2,FALSE))</f>
        <v/>
      </c>
      <c r="V190" s="520" t="str">
        <f t="shared" si="14"/>
        <v/>
      </c>
      <c r="W190" s="520" t="str">
        <f>IF(E190="","",IF(AND(V190="Standard difficulty applied",O190&gt;P190),U190,IF(AND(V190="Low Difficulty - only applicable if all habitat created before losses ⚠",P190&gt;=O190),"Low",VLOOKUP(F190,'G-3 Multipliers'!$A$2:$E$129,4,FALSE))))</f>
        <v/>
      </c>
      <c r="X190" s="524" t="str">
        <f>IFERROR(IF(E190="","",VLOOKUP(W190, 'G-3 Multipliers'!$P$2:$Q$6,2,FALSE)),"")</f>
        <v/>
      </c>
      <c r="Y190" s="197"/>
      <c r="Z190" s="499" t="str">
        <f>IF(Y190="","",IF(VLOOKUP(Y190,'G-3 Multipliers'!$S$3:$T$9,2,FALSE)=0,"Spatial Data Missing ⚠",VLOOKUP(Y190,'G-3 Multipliers'!$S$3:$T$9,2,FALSE)))</f>
        <v/>
      </c>
      <c r="AA190" s="545" t="str">
        <f t="shared" si="13"/>
        <v/>
      </c>
      <c r="AB190" s="149"/>
      <c r="AC190" s="150"/>
    </row>
    <row r="191" spans="1:29" ht="13.8" x14ac:dyDescent="0.25">
      <c r="A191" s="31" t="str">
        <f>IFERROR(INDEX('G-8 Condition Look up'!$I$4:$I$130,MATCH(F191,'G-8 Condition Look up'!$A$4:$A$130,0)),"")</f>
        <v/>
      </c>
      <c r="C191" s="244" t="str">
        <f>IFERROR(INDEX('G-1 All Habitats'!$AG$3:$AG$15,MATCH(D191,'G-1 All Habitats'!$AF$3:$AF$15,0)),"")</f>
        <v/>
      </c>
      <c r="D191" s="154"/>
      <c r="E191" s="203"/>
      <c r="F191" s="243" t="str">
        <f>IFERROR(INDEX('G-1 All Habitats'!$B$3:$B$129,MATCH(E191,'G-1 All Habitats'!$A$3:$A$129,0)),"")</f>
        <v/>
      </c>
      <c r="G191" s="386"/>
      <c r="H191" s="537" t="str">
        <f>IF(F191="","",VLOOKUP(F191,'G-1 All Habitats'!$B$2:$M$129,10,FALSE))</f>
        <v/>
      </c>
      <c r="I191" s="524" t="str">
        <f>IFERROR(VLOOKUP(H191,'G-1 All Habitats'!$V$3:$W$7,2,FALSE),"")</f>
        <v/>
      </c>
      <c r="J191" s="199"/>
      <c r="K191" s="524" t="str">
        <f>IFERROR(INDEX('G-8 Condition Look up'!$A$3:$H$130,MATCH(F191,'G-8 Condition Look up'!$A$3:$A$130,0),MATCH(J191,'G-8 Condition Look up'!$A$3:$H$3,0)),"")</f>
        <v/>
      </c>
      <c r="L191" s="145"/>
      <c r="M191" s="540" t="str">
        <f>IF(L191="","",IF(VLOOKUP(L191,'G-3 Multipliers'!$L$3:$N$6,2,FALSE)=0,"Spatial Data Missing ⚠",VLOOKUP(L191,'G-3 Multipliers'!$L$3:$N$6,2,FALSE)))</f>
        <v/>
      </c>
      <c r="N191" s="499" t="str">
        <f>IF(L191="","",IF(VLOOKUP(L191,'G-3 Multipliers'!$L$3:$N$6,3,FALSE)=0,"Spatial Data Missing ⚠",VLOOKUP(L191,'G-3 Multipliers'!$L$3:$N$6,3,FALSE)))</f>
        <v/>
      </c>
      <c r="O191" s="498" t="str">
        <f t="shared" si="10"/>
        <v/>
      </c>
      <c r="P191" s="195"/>
      <c r="Q191" s="195"/>
      <c r="R191" s="520" t="str">
        <f t="shared" si="11"/>
        <v/>
      </c>
      <c r="S191" s="544" t="str">
        <f t="shared" si="12"/>
        <v/>
      </c>
      <c r="T191" s="525" t="str">
        <f>IFERROR(IF(S191="Check Data ⚠","Check Data ⚠",VLOOKUP(S191,'G-4 Temporal multipliers'!$A$4:$C$37,3,FALSE)),"")</f>
        <v/>
      </c>
      <c r="U191" s="523" t="str">
        <f>IF(F191="","",VLOOKUP(F191,'G-3 Multipliers'!$A$2:$E$129,2,FALSE))</f>
        <v/>
      </c>
      <c r="V191" s="520" t="str">
        <f t="shared" si="14"/>
        <v/>
      </c>
      <c r="W191" s="520" t="str">
        <f>IF(E191="","",IF(AND(V191="Standard difficulty applied",O191&gt;P191),U191,IF(AND(V191="Low Difficulty - only applicable if all habitat created before losses ⚠",P191&gt;=O191),"Low",VLOOKUP(F191,'G-3 Multipliers'!$A$2:$E$129,4,FALSE))))</f>
        <v/>
      </c>
      <c r="X191" s="524" t="str">
        <f>IFERROR(IF(E191="","",VLOOKUP(W191, 'G-3 Multipliers'!$P$2:$Q$6,2,FALSE)),"")</f>
        <v/>
      </c>
      <c r="Y191" s="197"/>
      <c r="Z191" s="499" t="str">
        <f>IF(Y191="","",IF(VLOOKUP(Y191,'G-3 Multipliers'!$S$3:$T$9,2,FALSE)=0,"Spatial Data Missing ⚠",VLOOKUP(Y191,'G-3 Multipliers'!$S$3:$T$9,2,FALSE)))</f>
        <v/>
      </c>
      <c r="AA191" s="545" t="str">
        <f t="shared" si="13"/>
        <v/>
      </c>
      <c r="AB191" s="149"/>
      <c r="AC191" s="150"/>
    </row>
    <row r="192" spans="1:29" ht="13.8" x14ac:dyDescent="0.25">
      <c r="A192" s="31" t="str">
        <f>IFERROR(INDEX('G-8 Condition Look up'!$I$4:$I$130,MATCH(F192,'G-8 Condition Look up'!$A$4:$A$130,0)),"")</f>
        <v/>
      </c>
      <c r="C192" s="244" t="str">
        <f>IFERROR(INDEX('G-1 All Habitats'!$AG$3:$AG$15,MATCH(D192,'G-1 All Habitats'!$AF$3:$AF$15,0)),"")</f>
        <v/>
      </c>
      <c r="D192" s="154"/>
      <c r="E192" s="203"/>
      <c r="F192" s="243" t="str">
        <f>IFERROR(INDEX('G-1 All Habitats'!$B$3:$B$129,MATCH(E192,'G-1 All Habitats'!$A$3:$A$129,0)),"")</f>
        <v/>
      </c>
      <c r="G192" s="386"/>
      <c r="H192" s="537" t="str">
        <f>IF(F192="","",VLOOKUP(F192,'G-1 All Habitats'!$B$2:$M$129,10,FALSE))</f>
        <v/>
      </c>
      <c r="I192" s="524" t="str">
        <f>IFERROR(VLOOKUP(H192,'G-1 All Habitats'!$V$3:$W$7,2,FALSE),"")</f>
        <v/>
      </c>
      <c r="J192" s="199"/>
      <c r="K192" s="524" t="str">
        <f>IFERROR(INDEX('G-8 Condition Look up'!$A$3:$H$130,MATCH(F192,'G-8 Condition Look up'!$A$3:$A$130,0),MATCH(J192,'G-8 Condition Look up'!$A$3:$H$3,0)),"")</f>
        <v/>
      </c>
      <c r="L192" s="145"/>
      <c r="M192" s="540" t="str">
        <f>IF(L192="","",IF(VLOOKUP(L192,'G-3 Multipliers'!$L$3:$N$6,2,FALSE)=0,"Spatial Data Missing ⚠",VLOOKUP(L192,'G-3 Multipliers'!$L$3:$N$6,2,FALSE)))</f>
        <v/>
      </c>
      <c r="N192" s="499" t="str">
        <f>IF(L192="","",IF(VLOOKUP(L192,'G-3 Multipliers'!$L$3:$N$6,3,FALSE)=0,"Spatial Data Missing ⚠",VLOOKUP(L192,'G-3 Multipliers'!$L$3:$N$6,3,FALSE)))</f>
        <v/>
      </c>
      <c r="O192" s="498" t="str">
        <f t="shared" si="10"/>
        <v/>
      </c>
      <c r="P192" s="195"/>
      <c r="Q192" s="195"/>
      <c r="R192" s="520" t="str">
        <f t="shared" si="11"/>
        <v/>
      </c>
      <c r="S192" s="544" t="str">
        <f t="shared" si="12"/>
        <v/>
      </c>
      <c r="T192" s="525" t="str">
        <f>IFERROR(IF(S192="Check Data ⚠","Check Data ⚠",VLOOKUP(S192,'G-4 Temporal multipliers'!$A$4:$C$37,3,FALSE)),"")</f>
        <v/>
      </c>
      <c r="U192" s="523" t="str">
        <f>IF(F192="","",VLOOKUP(F192,'G-3 Multipliers'!$A$2:$E$129,2,FALSE))</f>
        <v/>
      </c>
      <c r="V192" s="520" t="str">
        <f t="shared" si="14"/>
        <v/>
      </c>
      <c r="W192" s="520" t="str">
        <f>IF(E192="","",IF(AND(V192="Standard difficulty applied",O192&gt;P192),U192,IF(AND(V192="Low Difficulty - only applicable if all habitat created before losses ⚠",P192&gt;=O192),"Low",VLOOKUP(F192,'G-3 Multipliers'!$A$2:$E$129,4,FALSE))))</f>
        <v/>
      </c>
      <c r="X192" s="524" t="str">
        <f>IFERROR(IF(E192="","",VLOOKUP(W192, 'G-3 Multipliers'!$P$2:$Q$6,2,FALSE)),"")</f>
        <v/>
      </c>
      <c r="Y192" s="197"/>
      <c r="Z192" s="499" t="str">
        <f>IF(Y192="","",IF(VLOOKUP(Y192,'G-3 Multipliers'!$S$3:$T$9,2,FALSE)=0,"Spatial Data Missing ⚠",VLOOKUP(Y192,'G-3 Multipliers'!$S$3:$T$9,2,FALSE)))</f>
        <v/>
      </c>
      <c r="AA192" s="545" t="str">
        <f t="shared" si="13"/>
        <v/>
      </c>
      <c r="AB192" s="149"/>
      <c r="AC192" s="150"/>
    </row>
    <row r="193" spans="1:29" ht="13.8" x14ac:dyDescent="0.25">
      <c r="A193" s="31" t="str">
        <f>IFERROR(INDEX('G-8 Condition Look up'!$I$4:$I$130,MATCH(F193,'G-8 Condition Look up'!$A$4:$A$130,0)),"")</f>
        <v/>
      </c>
      <c r="C193" s="244" t="str">
        <f>IFERROR(INDEX('G-1 All Habitats'!$AG$3:$AG$15,MATCH(D193,'G-1 All Habitats'!$AF$3:$AF$15,0)),"")</f>
        <v/>
      </c>
      <c r="D193" s="154"/>
      <c r="E193" s="203"/>
      <c r="F193" s="243" t="str">
        <f>IFERROR(INDEX('G-1 All Habitats'!$B$3:$B$129,MATCH(E193,'G-1 All Habitats'!$A$3:$A$129,0)),"")</f>
        <v/>
      </c>
      <c r="G193" s="386"/>
      <c r="H193" s="537" t="str">
        <f>IF(F193="","",VLOOKUP(F193,'G-1 All Habitats'!$B$2:$M$129,10,FALSE))</f>
        <v/>
      </c>
      <c r="I193" s="524" t="str">
        <f>IFERROR(VLOOKUP(H193,'G-1 All Habitats'!$V$3:$W$7,2,FALSE),"")</f>
        <v/>
      </c>
      <c r="J193" s="199"/>
      <c r="K193" s="524" t="str">
        <f>IFERROR(INDEX('G-8 Condition Look up'!$A$3:$H$130,MATCH(F193,'G-8 Condition Look up'!$A$3:$A$130,0),MATCH(J193,'G-8 Condition Look up'!$A$3:$H$3,0)),"")</f>
        <v/>
      </c>
      <c r="L193" s="145"/>
      <c r="M193" s="540" t="str">
        <f>IF(L193="","",IF(VLOOKUP(L193,'G-3 Multipliers'!$L$3:$N$6,2,FALSE)=0,"Spatial Data Missing ⚠",VLOOKUP(L193,'G-3 Multipliers'!$L$3:$N$6,2,FALSE)))</f>
        <v/>
      </c>
      <c r="N193" s="499" t="str">
        <f>IF(L193="","",IF(VLOOKUP(L193,'G-3 Multipliers'!$L$3:$N$6,3,FALSE)=0,"Spatial Data Missing ⚠",VLOOKUP(L193,'G-3 Multipliers'!$L$3:$N$6,3,FALSE)))</f>
        <v/>
      </c>
      <c r="O193" s="498" t="str">
        <f t="shared" si="10"/>
        <v/>
      </c>
      <c r="P193" s="195"/>
      <c r="Q193" s="195"/>
      <c r="R193" s="520" t="str">
        <f t="shared" si="11"/>
        <v/>
      </c>
      <c r="S193" s="544" t="str">
        <f t="shared" si="12"/>
        <v/>
      </c>
      <c r="T193" s="525" t="str">
        <f>IFERROR(IF(S193="Check Data ⚠","Check Data ⚠",VLOOKUP(S193,'G-4 Temporal multipliers'!$A$4:$C$37,3,FALSE)),"")</f>
        <v/>
      </c>
      <c r="U193" s="523" t="str">
        <f>IF(F193="","",VLOOKUP(F193,'G-3 Multipliers'!$A$2:$E$129,2,FALSE))</f>
        <v/>
      </c>
      <c r="V193" s="520" t="str">
        <f t="shared" si="14"/>
        <v/>
      </c>
      <c r="W193" s="520" t="str">
        <f>IF(E193="","",IF(AND(V193="Standard difficulty applied",O193&gt;P193),U193,IF(AND(V193="Low Difficulty - only applicable if all habitat created before losses ⚠",P193&gt;=O193),"Low",VLOOKUP(F193,'G-3 Multipliers'!$A$2:$E$129,4,FALSE))))</f>
        <v/>
      </c>
      <c r="X193" s="524" t="str">
        <f>IFERROR(IF(E193="","",VLOOKUP(W193, 'G-3 Multipliers'!$P$2:$Q$6,2,FALSE)),"")</f>
        <v/>
      </c>
      <c r="Y193" s="197"/>
      <c r="Z193" s="499" t="str">
        <f>IF(Y193="","",IF(VLOOKUP(Y193,'G-3 Multipliers'!$S$3:$T$9,2,FALSE)=0,"Spatial Data Missing ⚠",VLOOKUP(Y193,'G-3 Multipliers'!$S$3:$T$9,2,FALSE)))</f>
        <v/>
      </c>
      <c r="AA193" s="545" t="str">
        <f t="shared" si="13"/>
        <v/>
      </c>
      <c r="AB193" s="149"/>
      <c r="AC193" s="150"/>
    </row>
    <row r="194" spans="1:29" ht="13.8" x14ac:dyDescent="0.25">
      <c r="A194" s="31" t="str">
        <f>IFERROR(INDEX('G-8 Condition Look up'!$I$4:$I$130,MATCH(F194,'G-8 Condition Look up'!$A$4:$A$130,0)),"")</f>
        <v/>
      </c>
      <c r="C194" s="244" t="str">
        <f>IFERROR(INDEX('G-1 All Habitats'!$AG$3:$AG$15,MATCH(D194,'G-1 All Habitats'!$AF$3:$AF$15,0)),"")</f>
        <v/>
      </c>
      <c r="D194" s="154"/>
      <c r="E194" s="203"/>
      <c r="F194" s="243" t="str">
        <f>IFERROR(INDEX('G-1 All Habitats'!$B$3:$B$129,MATCH(E194,'G-1 All Habitats'!$A$3:$A$129,0)),"")</f>
        <v/>
      </c>
      <c r="G194" s="386"/>
      <c r="H194" s="537" t="str">
        <f>IF(F194="","",VLOOKUP(F194,'G-1 All Habitats'!$B$2:$M$129,10,FALSE))</f>
        <v/>
      </c>
      <c r="I194" s="524" t="str">
        <f>IFERROR(VLOOKUP(H194,'G-1 All Habitats'!$V$3:$W$7,2,FALSE),"")</f>
        <v/>
      </c>
      <c r="J194" s="199"/>
      <c r="K194" s="524" t="str">
        <f>IFERROR(INDEX('G-8 Condition Look up'!$A$3:$H$130,MATCH(F194,'G-8 Condition Look up'!$A$3:$A$130,0),MATCH(J194,'G-8 Condition Look up'!$A$3:$H$3,0)),"")</f>
        <v/>
      </c>
      <c r="L194" s="145"/>
      <c r="M194" s="540" t="str">
        <f>IF(L194="","",IF(VLOOKUP(L194,'G-3 Multipliers'!$L$3:$N$6,2,FALSE)=0,"Spatial Data Missing ⚠",VLOOKUP(L194,'G-3 Multipliers'!$L$3:$N$6,2,FALSE)))</f>
        <v/>
      </c>
      <c r="N194" s="499" t="str">
        <f>IF(L194="","",IF(VLOOKUP(L194,'G-3 Multipliers'!$L$3:$N$6,3,FALSE)=0,"Spatial Data Missing ⚠",VLOOKUP(L194,'G-3 Multipliers'!$L$3:$N$6,3,FALSE)))</f>
        <v/>
      </c>
      <c r="O194" s="498" t="str">
        <f t="shared" si="10"/>
        <v/>
      </c>
      <c r="P194" s="195"/>
      <c r="Q194" s="195"/>
      <c r="R194" s="520" t="str">
        <f t="shared" si="11"/>
        <v/>
      </c>
      <c r="S194" s="544" t="str">
        <f t="shared" si="12"/>
        <v/>
      </c>
      <c r="T194" s="525" t="str">
        <f>IFERROR(IF(S194="Check Data ⚠","Check Data ⚠",VLOOKUP(S194,'G-4 Temporal multipliers'!$A$4:$C$37,3,FALSE)),"")</f>
        <v/>
      </c>
      <c r="U194" s="523" t="str">
        <f>IF(F194="","",VLOOKUP(F194,'G-3 Multipliers'!$A$2:$E$129,2,FALSE))</f>
        <v/>
      </c>
      <c r="V194" s="520" t="str">
        <f t="shared" si="14"/>
        <v/>
      </c>
      <c r="W194" s="520" t="str">
        <f>IF(E194="","",IF(AND(V194="Standard difficulty applied",O194&gt;P194),U194,IF(AND(V194="Low Difficulty - only applicable if all habitat created before losses ⚠",P194&gt;=O194),"Low",VLOOKUP(F194,'G-3 Multipliers'!$A$2:$E$129,4,FALSE))))</f>
        <v/>
      </c>
      <c r="X194" s="524" t="str">
        <f>IFERROR(IF(E194="","",VLOOKUP(W194, 'G-3 Multipliers'!$P$2:$Q$6,2,FALSE)),"")</f>
        <v/>
      </c>
      <c r="Y194" s="197"/>
      <c r="Z194" s="499" t="str">
        <f>IF(Y194="","",IF(VLOOKUP(Y194,'G-3 Multipliers'!$S$3:$T$9,2,FALSE)=0,"Spatial Data Missing ⚠",VLOOKUP(Y194,'G-3 Multipliers'!$S$3:$T$9,2,FALSE)))</f>
        <v/>
      </c>
      <c r="AA194" s="545" t="str">
        <f t="shared" si="13"/>
        <v/>
      </c>
      <c r="AB194" s="149"/>
      <c r="AC194" s="150"/>
    </row>
    <row r="195" spans="1:29" ht="13.8" x14ac:dyDescent="0.25">
      <c r="A195" s="31" t="str">
        <f>IFERROR(INDEX('G-8 Condition Look up'!$I$4:$I$130,MATCH(F195,'G-8 Condition Look up'!$A$4:$A$130,0)),"")</f>
        <v/>
      </c>
      <c r="C195" s="244" t="str">
        <f>IFERROR(INDEX('G-1 All Habitats'!$AG$3:$AG$15,MATCH(D195,'G-1 All Habitats'!$AF$3:$AF$15,0)),"")</f>
        <v/>
      </c>
      <c r="D195" s="154"/>
      <c r="E195" s="203"/>
      <c r="F195" s="243" t="str">
        <f>IFERROR(INDEX('G-1 All Habitats'!$B$3:$B$129,MATCH(E195,'G-1 All Habitats'!$A$3:$A$129,0)),"")</f>
        <v/>
      </c>
      <c r="G195" s="386"/>
      <c r="H195" s="537" t="str">
        <f>IF(F195="","",VLOOKUP(F195,'G-1 All Habitats'!$B$2:$M$129,10,FALSE))</f>
        <v/>
      </c>
      <c r="I195" s="524" t="str">
        <f>IFERROR(VLOOKUP(H195,'G-1 All Habitats'!$V$3:$W$7,2,FALSE),"")</f>
        <v/>
      </c>
      <c r="J195" s="199"/>
      <c r="K195" s="524" t="str">
        <f>IFERROR(INDEX('G-8 Condition Look up'!$A$3:$H$130,MATCH(F195,'G-8 Condition Look up'!$A$3:$A$130,0),MATCH(J195,'G-8 Condition Look up'!$A$3:$H$3,0)),"")</f>
        <v/>
      </c>
      <c r="L195" s="145"/>
      <c r="M195" s="540" t="str">
        <f>IF(L195="","",IF(VLOOKUP(L195,'G-3 Multipliers'!$L$3:$N$6,2,FALSE)=0,"Spatial Data Missing ⚠",VLOOKUP(L195,'G-3 Multipliers'!$L$3:$N$6,2,FALSE)))</f>
        <v/>
      </c>
      <c r="N195" s="499" t="str">
        <f>IF(L195="","",IF(VLOOKUP(L195,'G-3 Multipliers'!$L$3:$N$6,3,FALSE)=0,"Spatial Data Missing ⚠",VLOOKUP(L195,'G-3 Multipliers'!$L$3:$N$6,3,FALSE)))</f>
        <v/>
      </c>
      <c r="O195" s="498" t="str">
        <f t="shared" si="10"/>
        <v/>
      </c>
      <c r="P195" s="195"/>
      <c r="Q195" s="195"/>
      <c r="R195" s="520" t="str">
        <f t="shared" si="11"/>
        <v/>
      </c>
      <c r="S195" s="544" t="str">
        <f t="shared" si="12"/>
        <v/>
      </c>
      <c r="T195" s="525" t="str">
        <f>IFERROR(IF(S195="Check Data ⚠","Check Data ⚠",VLOOKUP(S195,'G-4 Temporal multipliers'!$A$4:$C$37,3,FALSE)),"")</f>
        <v/>
      </c>
      <c r="U195" s="523" t="str">
        <f>IF(F195="","",VLOOKUP(F195,'G-3 Multipliers'!$A$2:$E$129,2,FALSE))</f>
        <v/>
      </c>
      <c r="V195" s="520" t="str">
        <f t="shared" si="14"/>
        <v/>
      </c>
      <c r="W195" s="520" t="str">
        <f>IF(E195="","",IF(AND(V195="Standard difficulty applied",O195&gt;P195),U195,IF(AND(V195="Low Difficulty - only applicable if all habitat created before losses ⚠",P195&gt;=O195),"Low",VLOOKUP(F195,'G-3 Multipliers'!$A$2:$E$129,4,FALSE))))</f>
        <v/>
      </c>
      <c r="X195" s="524" t="str">
        <f>IFERROR(IF(E195="","",VLOOKUP(W195, 'G-3 Multipliers'!$P$2:$Q$6,2,FALSE)),"")</f>
        <v/>
      </c>
      <c r="Y195" s="197"/>
      <c r="Z195" s="499" t="str">
        <f>IF(Y195="","",IF(VLOOKUP(Y195,'G-3 Multipliers'!$S$3:$T$9,2,FALSE)=0,"Spatial Data Missing ⚠",VLOOKUP(Y195,'G-3 Multipliers'!$S$3:$T$9,2,FALSE)))</f>
        <v/>
      </c>
      <c r="AA195" s="545" t="str">
        <f t="shared" si="13"/>
        <v/>
      </c>
      <c r="AB195" s="149"/>
      <c r="AC195" s="150"/>
    </row>
    <row r="196" spans="1:29" ht="13.8" x14ac:dyDescent="0.25">
      <c r="A196" s="31" t="str">
        <f>IFERROR(INDEX('G-8 Condition Look up'!$I$4:$I$130,MATCH(F196,'G-8 Condition Look up'!$A$4:$A$130,0)),"")</f>
        <v/>
      </c>
      <c r="C196" s="244" t="str">
        <f>IFERROR(INDEX('G-1 All Habitats'!$AG$3:$AG$15,MATCH(D196,'G-1 All Habitats'!$AF$3:$AF$15,0)),"")</f>
        <v/>
      </c>
      <c r="D196" s="154"/>
      <c r="E196" s="203"/>
      <c r="F196" s="243" t="str">
        <f>IFERROR(INDEX('G-1 All Habitats'!$B$3:$B$129,MATCH(E196,'G-1 All Habitats'!$A$3:$A$129,0)),"")</f>
        <v/>
      </c>
      <c r="G196" s="386"/>
      <c r="H196" s="537" t="str">
        <f>IF(F196="","",VLOOKUP(F196,'G-1 All Habitats'!$B$2:$M$129,10,FALSE))</f>
        <v/>
      </c>
      <c r="I196" s="524" t="str">
        <f>IFERROR(VLOOKUP(H196,'G-1 All Habitats'!$V$3:$W$7,2,FALSE),"")</f>
        <v/>
      </c>
      <c r="J196" s="199"/>
      <c r="K196" s="524" t="str">
        <f>IFERROR(INDEX('G-8 Condition Look up'!$A$3:$H$130,MATCH(F196,'G-8 Condition Look up'!$A$3:$A$130,0),MATCH(J196,'G-8 Condition Look up'!$A$3:$H$3,0)),"")</f>
        <v/>
      </c>
      <c r="L196" s="145"/>
      <c r="M196" s="540" t="str">
        <f>IF(L196="","",IF(VLOOKUP(L196,'G-3 Multipliers'!$L$3:$N$6,2,FALSE)=0,"Spatial Data Missing ⚠",VLOOKUP(L196,'G-3 Multipliers'!$L$3:$N$6,2,FALSE)))</f>
        <v/>
      </c>
      <c r="N196" s="499" t="str">
        <f>IF(L196="","",IF(VLOOKUP(L196,'G-3 Multipliers'!$L$3:$N$6,3,FALSE)=0,"Spatial Data Missing ⚠",VLOOKUP(L196,'G-3 Multipliers'!$L$3:$N$6,3,FALSE)))</f>
        <v/>
      </c>
      <c r="O196" s="498" t="str">
        <f t="shared" si="10"/>
        <v/>
      </c>
      <c r="P196" s="195"/>
      <c r="Q196" s="195"/>
      <c r="R196" s="520" t="str">
        <f t="shared" si="11"/>
        <v/>
      </c>
      <c r="S196" s="544" t="str">
        <f t="shared" si="12"/>
        <v/>
      </c>
      <c r="T196" s="525" t="str">
        <f>IFERROR(IF(S196="Check Data ⚠","Check Data ⚠",VLOOKUP(S196,'G-4 Temporal multipliers'!$A$4:$C$37,3,FALSE)),"")</f>
        <v/>
      </c>
      <c r="U196" s="523" t="str">
        <f>IF(F196="","",VLOOKUP(F196,'G-3 Multipliers'!$A$2:$E$129,2,FALSE))</f>
        <v/>
      </c>
      <c r="V196" s="520" t="str">
        <f t="shared" si="14"/>
        <v/>
      </c>
      <c r="W196" s="520" t="str">
        <f>IF(E196="","",IF(AND(V196="Standard difficulty applied",O196&gt;P196),U196,IF(AND(V196="Low Difficulty - only applicable if all habitat created before losses ⚠",P196&gt;=O196),"Low",VLOOKUP(F196,'G-3 Multipliers'!$A$2:$E$129,4,FALSE))))</f>
        <v/>
      </c>
      <c r="X196" s="524" t="str">
        <f>IFERROR(IF(E196="","",VLOOKUP(W196, 'G-3 Multipliers'!$P$2:$Q$6,2,FALSE)),"")</f>
        <v/>
      </c>
      <c r="Y196" s="197"/>
      <c r="Z196" s="499" t="str">
        <f>IF(Y196="","",IF(VLOOKUP(Y196,'G-3 Multipliers'!$S$3:$T$9,2,FALSE)=0,"Spatial Data Missing ⚠",VLOOKUP(Y196,'G-3 Multipliers'!$S$3:$T$9,2,FALSE)))</f>
        <v/>
      </c>
      <c r="AA196" s="545" t="str">
        <f t="shared" si="13"/>
        <v/>
      </c>
      <c r="AB196" s="149"/>
      <c r="AC196" s="150"/>
    </row>
    <row r="197" spans="1:29" ht="13.8" x14ac:dyDescent="0.25">
      <c r="A197" s="31" t="str">
        <f>IFERROR(INDEX('G-8 Condition Look up'!$I$4:$I$130,MATCH(F197,'G-8 Condition Look up'!$A$4:$A$130,0)),"")</f>
        <v/>
      </c>
      <c r="C197" s="244" t="str">
        <f>IFERROR(INDEX('G-1 All Habitats'!$AG$3:$AG$15,MATCH(D197,'G-1 All Habitats'!$AF$3:$AF$15,0)),"")</f>
        <v/>
      </c>
      <c r="D197" s="154"/>
      <c r="E197" s="203"/>
      <c r="F197" s="243" t="str">
        <f>IFERROR(INDEX('G-1 All Habitats'!$B$3:$B$129,MATCH(E197,'G-1 All Habitats'!$A$3:$A$129,0)),"")</f>
        <v/>
      </c>
      <c r="G197" s="386"/>
      <c r="H197" s="537" t="str">
        <f>IF(F197="","",VLOOKUP(F197,'G-1 All Habitats'!$B$2:$M$129,10,FALSE))</f>
        <v/>
      </c>
      <c r="I197" s="524" t="str">
        <f>IFERROR(VLOOKUP(H197,'G-1 All Habitats'!$V$3:$W$7,2,FALSE),"")</f>
        <v/>
      </c>
      <c r="J197" s="199"/>
      <c r="K197" s="524" t="str">
        <f>IFERROR(INDEX('G-8 Condition Look up'!$A$3:$H$130,MATCH(F197,'G-8 Condition Look up'!$A$3:$A$130,0),MATCH(J197,'G-8 Condition Look up'!$A$3:$H$3,0)),"")</f>
        <v/>
      </c>
      <c r="L197" s="145"/>
      <c r="M197" s="540" t="str">
        <f>IF(L197="","",IF(VLOOKUP(L197,'G-3 Multipliers'!$L$3:$N$6,2,FALSE)=0,"Spatial Data Missing ⚠",VLOOKUP(L197,'G-3 Multipliers'!$L$3:$N$6,2,FALSE)))</f>
        <v/>
      </c>
      <c r="N197" s="499" t="str">
        <f>IF(L197="","",IF(VLOOKUP(L197,'G-3 Multipliers'!$L$3:$N$6,3,FALSE)=0,"Spatial Data Missing ⚠",VLOOKUP(L197,'G-3 Multipliers'!$L$3:$N$6,3,FALSE)))</f>
        <v/>
      </c>
      <c r="O197" s="498" t="str">
        <f t="shared" si="10"/>
        <v/>
      </c>
      <c r="P197" s="195"/>
      <c r="Q197" s="195"/>
      <c r="R197" s="520" t="str">
        <f t="shared" si="11"/>
        <v/>
      </c>
      <c r="S197" s="544" t="str">
        <f t="shared" si="12"/>
        <v/>
      </c>
      <c r="T197" s="525" t="str">
        <f>IFERROR(IF(S197="Check Data ⚠","Check Data ⚠",VLOOKUP(S197,'G-4 Temporal multipliers'!$A$4:$C$37,3,FALSE)),"")</f>
        <v/>
      </c>
      <c r="U197" s="523" t="str">
        <f>IF(F197="","",VLOOKUP(F197,'G-3 Multipliers'!$A$2:$E$129,2,FALSE))</f>
        <v/>
      </c>
      <c r="V197" s="520" t="str">
        <f t="shared" si="14"/>
        <v/>
      </c>
      <c r="W197" s="520" t="str">
        <f>IF(E197="","",IF(AND(V197="Standard difficulty applied",O197&gt;P197),U197,IF(AND(V197="Low Difficulty - only applicable if all habitat created before losses ⚠",P197&gt;=O197),"Low",VLOOKUP(F197,'G-3 Multipliers'!$A$2:$E$129,4,FALSE))))</f>
        <v/>
      </c>
      <c r="X197" s="524" t="str">
        <f>IFERROR(IF(E197="","",VLOOKUP(W197, 'G-3 Multipliers'!$P$2:$Q$6,2,FALSE)),"")</f>
        <v/>
      </c>
      <c r="Y197" s="197"/>
      <c r="Z197" s="499" t="str">
        <f>IF(Y197="","",IF(VLOOKUP(Y197,'G-3 Multipliers'!$S$3:$T$9,2,FALSE)=0,"Spatial Data Missing ⚠",VLOOKUP(Y197,'G-3 Multipliers'!$S$3:$T$9,2,FALSE)))</f>
        <v/>
      </c>
      <c r="AA197" s="545" t="str">
        <f t="shared" si="13"/>
        <v/>
      </c>
      <c r="AB197" s="149"/>
      <c r="AC197" s="150"/>
    </row>
    <row r="198" spans="1:29" ht="13.8" x14ac:dyDescent="0.25">
      <c r="A198" s="31" t="str">
        <f>IFERROR(INDEX('G-8 Condition Look up'!$I$4:$I$130,MATCH(F198,'G-8 Condition Look up'!$A$4:$A$130,0)),"")</f>
        <v/>
      </c>
      <c r="C198" s="244" t="str">
        <f>IFERROR(INDEX('G-1 All Habitats'!$AG$3:$AG$15,MATCH(D198,'G-1 All Habitats'!$AF$3:$AF$15,0)),"")</f>
        <v/>
      </c>
      <c r="D198" s="154"/>
      <c r="E198" s="203"/>
      <c r="F198" s="243" t="str">
        <f>IFERROR(INDEX('G-1 All Habitats'!$B$3:$B$129,MATCH(E198,'G-1 All Habitats'!$A$3:$A$129,0)),"")</f>
        <v/>
      </c>
      <c r="G198" s="386"/>
      <c r="H198" s="537" t="str">
        <f>IF(F198="","",VLOOKUP(F198,'G-1 All Habitats'!$B$2:$M$129,10,FALSE))</f>
        <v/>
      </c>
      <c r="I198" s="524" t="str">
        <f>IFERROR(VLOOKUP(H198,'G-1 All Habitats'!$V$3:$W$7,2,FALSE),"")</f>
        <v/>
      </c>
      <c r="J198" s="199"/>
      <c r="K198" s="524" t="str">
        <f>IFERROR(INDEX('G-8 Condition Look up'!$A$3:$H$130,MATCH(F198,'G-8 Condition Look up'!$A$3:$A$130,0),MATCH(J198,'G-8 Condition Look up'!$A$3:$H$3,0)),"")</f>
        <v/>
      </c>
      <c r="L198" s="145"/>
      <c r="M198" s="540" t="str">
        <f>IF(L198="","",IF(VLOOKUP(L198,'G-3 Multipliers'!$L$3:$N$6,2,FALSE)=0,"Spatial Data Missing ⚠",VLOOKUP(L198,'G-3 Multipliers'!$L$3:$N$6,2,FALSE)))</f>
        <v/>
      </c>
      <c r="N198" s="499" t="str">
        <f>IF(L198="","",IF(VLOOKUP(L198,'G-3 Multipliers'!$L$3:$N$6,3,FALSE)=0,"Spatial Data Missing ⚠",VLOOKUP(L198,'G-3 Multipliers'!$L$3:$N$6,3,FALSE)))</f>
        <v/>
      </c>
      <c r="O198" s="498" t="str">
        <f t="shared" si="10"/>
        <v/>
      </c>
      <c r="P198" s="195"/>
      <c r="Q198" s="195"/>
      <c r="R198" s="520" t="str">
        <f t="shared" si="11"/>
        <v/>
      </c>
      <c r="S198" s="544" t="str">
        <f t="shared" si="12"/>
        <v/>
      </c>
      <c r="T198" s="525" t="str">
        <f>IFERROR(IF(S198="Check Data ⚠","Check Data ⚠",VLOOKUP(S198,'G-4 Temporal multipliers'!$A$4:$C$37,3,FALSE)),"")</f>
        <v/>
      </c>
      <c r="U198" s="523" t="str">
        <f>IF(F198="","",VLOOKUP(F198,'G-3 Multipliers'!$A$2:$E$129,2,FALSE))</f>
        <v/>
      </c>
      <c r="V198" s="520" t="str">
        <f t="shared" si="14"/>
        <v/>
      </c>
      <c r="W198" s="520" t="str">
        <f>IF(E198="","",IF(AND(V198="Standard difficulty applied",O198&gt;P198),U198,IF(AND(V198="Low Difficulty - only applicable if all habitat created before losses ⚠",P198&gt;=O198),"Low",VLOOKUP(F198,'G-3 Multipliers'!$A$2:$E$129,4,FALSE))))</f>
        <v/>
      </c>
      <c r="X198" s="524" t="str">
        <f>IFERROR(IF(E198="","",VLOOKUP(W198, 'G-3 Multipliers'!$P$2:$Q$6,2,FALSE)),"")</f>
        <v/>
      </c>
      <c r="Y198" s="197"/>
      <c r="Z198" s="499" t="str">
        <f>IF(Y198="","",IF(VLOOKUP(Y198,'G-3 Multipliers'!$S$3:$T$9,2,FALSE)=0,"Spatial Data Missing ⚠",VLOOKUP(Y198,'G-3 Multipliers'!$S$3:$T$9,2,FALSE)))</f>
        <v/>
      </c>
      <c r="AA198" s="545" t="str">
        <f t="shared" si="13"/>
        <v/>
      </c>
      <c r="AB198" s="149"/>
      <c r="AC198" s="150"/>
    </row>
    <row r="199" spans="1:29" ht="13.8" x14ac:dyDescent="0.25">
      <c r="A199" s="31" t="str">
        <f>IFERROR(INDEX('G-8 Condition Look up'!$I$4:$I$130,MATCH(F199,'G-8 Condition Look up'!$A$4:$A$130,0)),"")</f>
        <v/>
      </c>
      <c r="C199" s="244" t="str">
        <f>IFERROR(INDEX('G-1 All Habitats'!$AG$3:$AG$15,MATCH(D199,'G-1 All Habitats'!$AF$3:$AF$15,0)),"")</f>
        <v/>
      </c>
      <c r="D199" s="154"/>
      <c r="E199" s="203"/>
      <c r="F199" s="243" t="str">
        <f>IFERROR(INDEX('G-1 All Habitats'!$B$3:$B$129,MATCH(E199,'G-1 All Habitats'!$A$3:$A$129,0)),"")</f>
        <v/>
      </c>
      <c r="G199" s="386"/>
      <c r="H199" s="537" t="str">
        <f>IF(F199="","",VLOOKUP(F199,'G-1 All Habitats'!$B$2:$M$129,10,FALSE))</f>
        <v/>
      </c>
      <c r="I199" s="524" t="str">
        <f>IFERROR(VLOOKUP(H199,'G-1 All Habitats'!$V$3:$W$7,2,FALSE),"")</f>
        <v/>
      </c>
      <c r="J199" s="199"/>
      <c r="K199" s="524" t="str">
        <f>IFERROR(INDEX('G-8 Condition Look up'!$A$3:$H$130,MATCH(F199,'G-8 Condition Look up'!$A$3:$A$130,0),MATCH(J199,'G-8 Condition Look up'!$A$3:$H$3,0)),"")</f>
        <v/>
      </c>
      <c r="L199" s="145"/>
      <c r="M199" s="540" t="str">
        <f>IF(L199="","",IF(VLOOKUP(L199,'G-3 Multipliers'!$L$3:$N$6,2,FALSE)=0,"Spatial Data Missing ⚠",VLOOKUP(L199,'G-3 Multipliers'!$L$3:$N$6,2,FALSE)))</f>
        <v/>
      </c>
      <c r="N199" s="499" t="str">
        <f>IF(L199="","",IF(VLOOKUP(L199,'G-3 Multipliers'!$L$3:$N$6,3,FALSE)=0,"Spatial Data Missing ⚠",VLOOKUP(L199,'G-3 Multipliers'!$L$3:$N$6,3,FALSE)))</f>
        <v/>
      </c>
      <c r="O199" s="498" t="str">
        <f t="shared" si="10"/>
        <v/>
      </c>
      <c r="P199" s="195"/>
      <c r="Q199" s="195"/>
      <c r="R199" s="520" t="str">
        <f t="shared" si="11"/>
        <v/>
      </c>
      <c r="S199" s="544" t="str">
        <f t="shared" si="12"/>
        <v/>
      </c>
      <c r="T199" s="525" t="str">
        <f>IFERROR(IF(S199="Check Data ⚠","Check Data ⚠",VLOOKUP(S199,'G-4 Temporal multipliers'!$A$4:$C$37,3,FALSE)),"")</f>
        <v/>
      </c>
      <c r="U199" s="523" t="str">
        <f>IF(F199="","",VLOOKUP(F199,'G-3 Multipliers'!$A$2:$E$129,2,FALSE))</f>
        <v/>
      </c>
      <c r="V199" s="520" t="str">
        <f t="shared" si="14"/>
        <v/>
      </c>
      <c r="W199" s="520" t="str">
        <f>IF(E199="","",IF(AND(V199="Standard difficulty applied",O199&gt;P199),U199,IF(AND(V199="Low Difficulty - only applicable if all habitat created before losses ⚠",P199&gt;=O199),"Low",VLOOKUP(F199,'G-3 Multipliers'!$A$2:$E$129,4,FALSE))))</f>
        <v/>
      </c>
      <c r="X199" s="524" t="str">
        <f>IFERROR(IF(E199="","",VLOOKUP(W199, 'G-3 Multipliers'!$P$2:$Q$6,2,FALSE)),"")</f>
        <v/>
      </c>
      <c r="Y199" s="197"/>
      <c r="Z199" s="499" t="str">
        <f>IF(Y199="","",IF(VLOOKUP(Y199,'G-3 Multipliers'!$S$3:$T$9,2,FALSE)=0,"Spatial Data Missing ⚠",VLOOKUP(Y199,'G-3 Multipliers'!$S$3:$T$9,2,FALSE)))</f>
        <v/>
      </c>
      <c r="AA199" s="545" t="str">
        <f t="shared" si="13"/>
        <v/>
      </c>
      <c r="AB199" s="149"/>
      <c r="AC199" s="150"/>
    </row>
    <row r="200" spans="1:29" ht="13.8" x14ac:dyDescent="0.25">
      <c r="A200" s="31" t="str">
        <f>IFERROR(INDEX('G-8 Condition Look up'!$I$4:$I$130,MATCH(F200,'G-8 Condition Look up'!$A$4:$A$130,0)),"")</f>
        <v/>
      </c>
      <c r="C200" s="244" t="str">
        <f>IFERROR(INDEX('G-1 All Habitats'!$AG$3:$AG$15,MATCH(D200,'G-1 All Habitats'!$AF$3:$AF$15,0)),"")</f>
        <v/>
      </c>
      <c r="D200" s="154"/>
      <c r="E200" s="203"/>
      <c r="F200" s="243" t="str">
        <f>IFERROR(INDEX('G-1 All Habitats'!$B$3:$B$129,MATCH(E200,'G-1 All Habitats'!$A$3:$A$129,0)),"")</f>
        <v/>
      </c>
      <c r="G200" s="386"/>
      <c r="H200" s="537" t="str">
        <f>IF(F200="","",VLOOKUP(F200,'G-1 All Habitats'!$B$2:$M$129,10,FALSE))</f>
        <v/>
      </c>
      <c r="I200" s="524" t="str">
        <f>IFERROR(VLOOKUP(H200,'G-1 All Habitats'!$V$3:$W$7,2,FALSE),"")</f>
        <v/>
      </c>
      <c r="J200" s="199"/>
      <c r="K200" s="524" t="str">
        <f>IFERROR(INDEX('G-8 Condition Look up'!$A$3:$H$130,MATCH(F200,'G-8 Condition Look up'!$A$3:$A$130,0),MATCH(J200,'G-8 Condition Look up'!$A$3:$H$3,0)),"")</f>
        <v/>
      </c>
      <c r="L200" s="145"/>
      <c r="M200" s="540" t="str">
        <f>IF(L200="","",IF(VLOOKUP(L200,'G-3 Multipliers'!$L$3:$N$6,2,FALSE)=0,"Spatial Data Missing ⚠",VLOOKUP(L200,'G-3 Multipliers'!$L$3:$N$6,2,FALSE)))</f>
        <v/>
      </c>
      <c r="N200" s="499" t="str">
        <f>IF(L200="","",IF(VLOOKUP(L200,'G-3 Multipliers'!$L$3:$N$6,3,FALSE)=0,"Spatial Data Missing ⚠",VLOOKUP(L200,'G-3 Multipliers'!$L$3:$N$6,3,FALSE)))</f>
        <v/>
      </c>
      <c r="O200" s="498" t="str">
        <f t="shared" si="10"/>
        <v/>
      </c>
      <c r="P200" s="195"/>
      <c r="Q200" s="195"/>
      <c r="R200" s="520" t="str">
        <f t="shared" si="11"/>
        <v/>
      </c>
      <c r="S200" s="544" t="str">
        <f t="shared" si="12"/>
        <v/>
      </c>
      <c r="T200" s="525" t="str">
        <f>IFERROR(IF(S200="Check Data ⚠","Check Data ⚠",VLOOKUP(S200,'G-4 Temporal multipliers'!$A$4:$C$37,3,FALSE)),"")</f>
        <v/>
      </c>
      <c r="U200" s="523" t="str">
        <f>IF(F200="","",VLOOKUP(F200,'G-3 Multipliers'!$A$2:$E$129,2,FALSE))</f>
        <v/>
      </c>
      <c r="V200" s="520" t="str">
        <f t="shared" si="14"/>
        <v/>
      </c>
      <c r="W200" s="520" t="str">
        <f>IF(E200="","",IF(AND(V200="Standard difficulty applied",O200&gt;P200),U200,IF(AND(V200="Low Difficulty - only applicable if all habitat created before losses ⚠",P200&gt;=O200),"Low",VLOOKUP(F200,'G-3 Multipliers'!$A$2:$E$129,4,FALSE))))</f>
        <v/>
      </c>
      <c r="X200" s="524" t="str">
        <f>IFERROR(IF(E200="","",VLOOKUP(W200, 'G-3 Multipliers'!$P$2:$Q$6,2,FALSE)),"")</f>
        <v/>
      </c>
      <c r="Y200" s="197"/>
      <c r="Z200" s="499" t="str">
        <f>IF(Y200="","",IF(VLOOKUP(Y200,'G-3 Multipliers'!$S$3:$T$9,2,FALSE)=0,"Spatial Data Missing ⚠",VLOOKUP(Y200,'G-3 Multipliers'!$S$3:$T$9,2,FALSE)))</f>
        <v/>
      </c>
      <c r="AA200" s="545" t="str">
        <f t="shared" si="13"/>
        <v/>
      </c>
      <c r="AB200" s="149"/>
      <c r="AC200" s="150"/>
    </row>
    <row r="201" spans="1:29" ht="13.8" x14ac:dyDescent="0.25">
      <c r="A201" s="31" t="str">
        <f>IFERROR(INDEX('G-8 Condition Look up'!$I$4:$I$130,MATCH(F201,'G-8 Condition Look up'!$A$4:$A$130,0)),"")</f>
        <v/>
      </c>
      <c r="C201" s="244" t="str">
        <f>IFERROR(INDEX('G-1 All Habitats'!$AG$3:$AG$15,MATCH(D201,'G-1 All Habitats'!$AF$3:$AF$15,0)),"")</f>
        <v/>
      </c>
      <c r="D201" s="154"/>
      <c r="E201" s="203"/>
      <c r="F201" s="243" t="str">
        <f>IFERROR(INDEX('G-1 All Habitats'!$B$3:$B$129,MATCH(E201,'G-1 All Habitats'!$A$3:$A$129,0)),"")</f>
        <v/>
      </c>
      <c r="G201" s="386"/>
      <c r="H201" s="537" t="str">
        <f>IF(F201="","",VLOOKUP(F201,'G-1 All Habitats'!$B$2:$M$129,10,FALSE))</f>
        <v/>
      </c>
      <c r="I201" s="524" t="str">
        <f>IFERROR(VLOOKUP(H201,'G-1 All Habitats'!$V$3:$W$7,2,FALSE),"")</f>
        <v/>
      </c>
      <c r="J201" s="199"/>
      <c r="K201" s="524" t="str">
        <f>IFERROR(INDEX('G-8 Condition Look up'!$A$3:$H$130,MATCH(F201,'G-8 Condition Look up'!$A$3:$A$130,0),MATCH(J201,'G-8 Condition Look up'!$A$3:$H$3,0)),"")</f>
        <v/>
      </c>
      <c r="L201" s="145"/>
      <c r="M201" s="540" t="str">
        <f>IF(L201="","",IF(VLOOKUP(L201,'G-3 Multipliers'!$L$3:$N$6,2,FALSE)=0,"Spatial Data Missing ⚠",VLOOKUP(L201,'G-3 Multipliers'!$L$3:$N$6,2,FALSE)))</f>
        <v/>
      </c>
      <c r="N201" s="499" t="str">
        <f>IF(L201="","",IF(VLOOKUP(L201,'G-3 Multipliers'!$L$3:$N$6,3,FALSE)=0,"Spatial Data Missing ⚠",VLOOKUP(L201,'G-3 Multipliers'!$L$3:$N$6,3,FALSE)))</f>
        <v/>
      </c>
      <c r="O201" s="498" t="str">
        <f t="shared" si="10"/>
        <v/>
      </c>
      <c r="P201" s="195"/>
      <c r="Q201" s="195"/>
      <c r="R201" s="520" t="str">
        <f t="shared" si="11"/>
        <v/>
      </c>
      <c r="S201" s="544" t="str">
        <f t="shared" si="12"/>
        <v/>
      </c>
      <c r="T201" s="525" t="str">
        <f>IFERROR(IF(S201="Check Data ⚠","Check Data ⚠",VLOOKUP(S201,'G-4 Temporal multipliers'!$A$4:$C$37,3,FALSE)),"")</f>
        <v/>
      </c>
      <c r="U201" s="523" t="str">
        <f>IF(F201="","",VLOOKUP(F201,'G-3 Multipliers'!$A$2:$E$129,2,FALSE))</f>
        <v/>
      </c>
      <c r="V201" s="520" t="str">
        <f t="shared" si="14"/>
        <v/>
      </c>
      <c r="W201" s="520" t="str">
        <f>IF(E201="","",IF(AND(V201="Standard difficulty applied",O201&gt;P201),U201,IF(AND(V201="Low Difficulty - only applicable if all habitat created before losses ⚠",P201&gt;=O201),"Low",VLOOKUP(F201,'G-3 Multipliers'!$A$2:$E$129,4,FALSE))))</f>
        <v/>
      </c>
      <c r="X201" s="524" t="str">
        <f>IFERROR(IF(E201="","",VLOOKUP(W201, 'G-3 Multipliers'!$P$2:$Q$6,2,FALSE)),"")</f>
        <v/>
      </c>
      <c r="Y201" s="197"/>
      <c r="Z201" s="499" t="str">
        <f>IF(Y201="","",IF(VLOOKUP(Y201,'G-3 Multipliers'!$S$3:$T$9,2,FALSE)=0,"Spatial Data Missing ⚠",VLOOKUP(Y201,'G-3 Multipliers'!$S$3:$T$9,2,FALSE)))</f>
        <v/>
      </c>
      <c r="AA201" s="545" t="str">
        <f t="shared" si="13"/>
        <v/>
      </c>
      <c r="AB201" s="149"/>
      <c r="AC201" s="150"/>
    </row>
    <row r="202" spans="1:29" ht="13.8" x14ac:dyDescent="0.25">
      <c r="A202" s="31" t="str">
        <f>IFERROR(INDEX('G-8 Condition Look up'!$I$4:$I$130,MATCH(F202,'G-8 Condition Look up'!$A$4:$A$130,0)),"")</f>
        <v/>
      </c>
      <c r="C202" s="244" t="str">
        <f>IFERROR(INDEX('G-1 All Habitats'!$AG$3:$AG$15,MATCH(D202,'G-1 All Habitats'!$AF$3:$AF$15,0)),"")</f>
        <v/>
      </c>
      <c r="D202" s="154"/>
      <c r="E202" s="203"/>
      <c r="F202" s="243" t="str">
        <f>IFERROR(INDEX('G-1 All Habitats'!$B$3:$B$129,MATCH(E202,'G-1 All Habitats'!$A$3:$A$129,0)),"")</f>
        <v/>
      </c>
      <c r="G202" s="386"/>
      <c r="H202" s="537" t="str">
        <f>IF(F202="","",VLOOKUP(F202,'G-1 All Habitats'!$B$2:$M$129,10,FALSE))</f>
        <v/>
      </c>
      <c r="I202" s="524" t="str">
        <f>IFERROR(VLOOKUP(H202,'G-1 All Habitats'!$V$3:$W$7,2,FALSE),"")</f>
        <v/>
      </c>
      <c r="J202" s="199"/>
      <c r="K202" s="524" t="str">
        <f>IFERROR(INDEX('G-8 Condition Look up'!$A$3:$H$130,MATCH(F202,'G-8 Condition Look up'!$A$3:$A$130,0),MATCH(J202,'G-8 Condition Look up'!$A$3:$H$3,0)),"")</f>
        <v/>
      </c>
      <c r="L202" s="145"/>
      <c r="M202" s="540" t="str">
        <f>IF(L202="","",IF(VLOOKUP(L202,'G-3 Multipliers'!$L$3:$N$6,2,FALSE)=0,"Spatial Data Missing ⚠",VLOOKUP(L202,'G-3 Multipliers'!$L$3:$N$6,2,FALSE)))</f>
        <v/>
      </c>
      <c r="N202" s="499" t="str">
        <f>IF(L202="","",IF(VLOOKUP(L202,'G-3 Multipliers'!$L$3:$N$6,3,FALSE)=0,"Spatial Data Missing ⚠",VLOOKUP(L202,'G-3 Multipliers'!$L$3:$N$6,3,FALSE)))</f>
        <v/>
      </c>
      <c r="O202" s="498" t="str">
        <f t="shared" si="10"/>
        <v/>
      </c>
      <c r="P202" s="195"/>
      <c r="Q202" s="195"/>
      <c r="R202" s="520" t="str">
        <f t="shared" si="11"/>
        <v/>
      </c>
      <c r="S202" s="544" t="str">
        <f t="shared" si="12"/>
        <v/>
      </c>
      <c r="T202" s="525" t="str">
        <f>IFERROR(IF(S202="Check Data ⚠","Check Data ⚠",VLOOKUP(S202,'G-4 Temporal multipliers'!$A$4:$C$37,3,FALSE)),"")</f>
        <v/>
      </c>
      <c r="U202" s="523" t="str">
        <f>IF(F202="","",VLOOKUP(F202,'G-3 Multipliers'!$A$2:$E$129,2,FALSE))</f>
        <v/>
      </c>
      <c r="V202" s="520" t="str">
        <f t="shared" si="14"/>
        <v/>
      </c>
      <c r="W202" s="520" t="str">
        <f>IF(E202="","",IF(AND(V202="Standard difficulty applied",O202&gt;P202),U202,IF(AND(V202="Low Difficulty - only applicable if all habitat created before losses ⚠",P202&gt;=O202),"Low",VLOOKUP(F202,'G-3 Multipliers'!$A$2:$E$129,4,FALSE))))</f>
        <v/>
      </c>
      <c r="X202" s="524" t="str">
        <f>IFERROR(IF(E202="","",VLOOKUP(W202, 'G-3 Multipliers'!$P$2:$Q$6,2,FALSE)),"")</f>
        <v/>
      </c>
      <c r="Y202" s="197"/>
      <c r="Z202" s="499" t="str">
        <f>IF(Y202="","",IF(VLOOKUP(Y202,'G-3 Multipliers'!$S$3:$T$9,2,FALSE)=0,"Spatial Data Missing ⚠",VLOOKUP(Y202,'G-3 Multipliers'!$S$3:$T$9,2,FALSE)))</f>
        <v/>
      </c>
      <c r="AA202" s="545" t="str">
        <f t="shared" si="13"/>
        <v/>
      </c>
      <c r="AB202" s="149"/>
      <c r="AC202" s="150"/>
    </row>
    <row r="203" spans="1:29" ht="13.8" x14ac:dyDescent="0.25">
      <c r="A203" s="31" t="str">
        <f>IFERROR(INDEX('G-8 Condition Look up'!$I$4:$I$130,MATCH(F203,'G-8 Condition Look up'!$A$4:$A$130,0)),"")</f>
        <v/>
      </c>
      <c r="C203" s="244" t="str">
        <f>IFERROR(INDEX('G-1 All Habitats'!$AG$3:$AG$15,MATCH(D203,'G-1 All Habitats'!$AF$3:$AF$15,0)),"")</f>
        <v/>
      </c>
      <c r="D203" s="154"/>
      <c r="E203" s="203"/>
      <c r="F203" s="243" t="str">
        <f>IFERROR(INDEX('G-1 All Habitats'!$B$3:$B$129,MATCH(E203,'G-1 All Habitats'!$A$3:$A$129,0)),"")</f>
        <v/>
      </c>
      <c r="G203" s="386"/>
      <c r="H203" s="537" t="str">
        <f>IF(F203="","",VLOOKUP(F203,'G-1 All Habitats'!$B$2:$M$129,10,FALSE))</f>
        <v/>
      </c>
      <c r="I203" s="524" t="str">
        <f>IFERROR(VLOOKUP(H203,'G-1 All Habitats'!$V$3:$W$7,2,FALSE),"")</f>
        <v/>
      </c>
      <c r="J203" s="199"/>
      <c r="K203" s="524" t="str">
        <f>IFERROR(INDEX('G-8 Condition Look up'!$A$3:$H$130,MATCH(F203,'G-8 Condition Look up'!$A$3:$A$130,0),MATCH(J203,'G-8 Condition Look up'!$A$3:$H$3,0)),"")</f>
        <v/>
      </c>
      <c r="L203" s="145"/>
      <c r="M203" s="540" t="str">
        <f>IF(L203="","",IF(VLOOKUP(L203,'G-3 Multipliers'!$L$3:$N$6,2,FALSE)=0,"Spatial Data Missing ⚠",VLOOKUP(L203,'G-3 Multipliers'!$L$3:$N$6,2,FALSE)))</f>
        <v/>
      </c>
      <c r="N203" s="499" t="str">
        <f>IF(L203="","",IF(VLOOKUP(L203,'G-3 Multipliers'!$L$3:$N$6,3,FALSE)=0,"Spatial Data Missing ⚠",VLOOKUP(L203,'G-3 Multipliers'!$L$3:$N$6,3,FALSE)))</f>
        <v/>
      </c>
      <c r="O203" s="498" t="str">
        <f t="shared" ref="O203:O256" si="15">IFERROR(INDEX(TemporalData,MATCH(F203,TemporalHabitats,0),MATCH(J203,TemporalConditions,0)),"")</f>
        <v/>
      </c>
      <c r="P203" s="195"/>
      <c r="Q203" s="195"/>
      <c r="R203" s="520" t="str">
        <f t="shared" si="11"/>
        <v/>
      </c>
      <c r="S203" s="544" t="str">
        <f t="shared" si="12"/>
        <v/>
      </c>
      <c r="T203" s="525" t="str">
        <f>IFERROR(IF(S203="Check Data ⚠","Check Data ⚠",VLOOKUP(S203,'G-4 Temporal multipliers'!$A$4:$C$37,3,FALSE)),"")</f>
        <v/>
      </c>
      <c r="U203" s="523" t="str">
        <f>IF(F203="","",VLOOKUP(F203,'G-3 Multipliers'!$A$2:$E$129,2,FALSE))</f>
        <v/>
      </c>
      <c r="V203" s="520" t="str">
        <f t="shared" si="14"/>
        <v/>
      </c>
      <c r="W203" s="520" t="str">
        <f>IF(E203="","",IF(AND(V203="Standard difficulty applied",O203&gt;P203),U203,IF(AND(V203="Low Difficulty - only applicable if all habitat created before losses ⚠",P203&gt;=O203),"Low",VLOOKUP(F203,'G-3 Multipliers'!$A$2:$E$129,4,FALSE))))</f>
        <v/>
      </c>
      <c r="X203" s="524" t="str">
        <f>IFERROR(IF(E203="","",VLOOKUP(W203, 'G-3 Multipliers'!$P$2:$Q$6,2,FALSE)),"")</f>
        <v/>
      </c>
      <c r="Y203" s="197"/>
      <c r="Z203" s="499" t="str">
        <f>IF(Y203="","",IF(VLOOKUP(Y203,'G-3 Multipliers'!$S$3:$T$9,2,FALSE)=0,"Spatial Data Missing ⚠",VLOOKUP(Y203,'G-3 Multipliers'!$S$3:$T$9,2,FALSE)))</f>
        <v/>
      </c>
      <c r="AA203" s="545" t="str">
        <f t="shared" si="13"/>
        <v/>
      </c>
      <c r="AB203" s="149"/>
      <c r="AC203" s="150"/>
    </row>
    <row r="204" spans="1:29" ht="13.8" x14ac:dyDescent="0.25">
      <c r="A204" s="31" t="str">
        <f>IFERROR(INDEX('G-8 Condition Look up'!$I$4:$I$130,MATCH(F204,'G-8 Condition Look up'!$A$4:$A$130,0)),"")</f>
        <v/>
      </c>
      <c r="C204" s="244" t="str">
        <f>IFERROR(INDEX('G-1 All Habitats'!$AG$3:$AG$15,MATCH(D204,'G-1 All Habitats'!$AF$3:$AF$15,0)),"")</f>
        <v/>
      </c>
      <c r="D204" s="154"/>
      <c r="E204" s="203"/>
      <c r="F204" s="243" t="str">
        <f>IFERROR(INDEX('G-1 All Habitats'!$B$3:$B$129,MATCH(E204,'G-1 All Habitats'!$A$3:$A$129,0)),"")</f>
        <v/>
      </c>
      <c r="G204" s="386"/>
      <c r="H204" s="537" t="str">
        <f>IF(F204="","",VLOOKUP(F204,'G-1 All Habitats'!$B$2:$M$129,10,FALSE))</f>
        <v/>
      </c>
      <c r="I204" s="524" t="str">
        <f>IFERROR(VLOOKUP(H204,'G-1 All Habitats'!$V$3:$W$7,2,FALSE),"")</f>
        <v/>
      </c>
      <c r="J204" s="199"/>
      <c r="K204" s="524" t="str">
        <f>IFERROR(INDEX('G-8 Condition Look up'!$A$3:$H$130,MATCH(F204,'G-8 Condition Look up'!$A$3:$A$130,0),MATCH(J204,'G-8 Condition Look up'!$A$3:$H$3,0)),"")</f>
        <v/>
      </c>
      <c r="L204" s="145"/>
      <c r="M204" s="540" t="str">
        <f>IF(L204="","",IF(VLOOKUP(L204,'G-3 Multipliers'!$L$3:$N$6,2,FALSE)=0,"Spatial Data Missing ⚠",VLOOKUP(L204,'G-3 Multipliers'!$L$3:$N$6,2,FALSE)))</f>
        <v/>
      </c>
      <c r="N204" s="499" t="str">
        <f>IF(L204="","",IF(VLOOKUP(L204,'G-3 Multipliers'!$L$3:$N$6,3,FALSE)=0,"Spatial Data Missing ⚠",VLOOKUP(L204,'G-3 Multipliers'!$L$3:$N$6,3,FALSE)))</f>
        <v/>
      </c>
      <c r="O204" s="498" t="str">
        <f t="shared" si="15"/>
        <v/>
      </c>
      <c r="P204" s="195"/>
      <c r="Q204" s="195"/>
      <c r="R204" s="520"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4"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5" t="str">
        <f>IFERROR(IF(S204="Check Data ⚠","Check Data ⚠",VLOOKUP(S204,'G-4 Temporal multipliers'!$A$4:$C$37,3,FALSE)),"")</f>
        <v/>
      </c>
      <c r="U204" s="523" t="str">
        <f>IF(F204="","",VLOOKUP(F204,'G-3 Multipliers'!$A$2:$E$129,2,FALSE))</f>
        <v/>
      </c>
      <c r="V204" s="520" t="str">
        <f t="shared" si="14"/>
        <v/>
      </c>
      <c r="W204" s="520" t="str">
        <f>IF(E204="","",IF(AND(V204="Standard difficulty applied",O204&gt;P204),U204,IF(AND(V204="Low Difficulty - only applicable if all habitat created before losses ⚠",P204&gt;=O204),"Low",VLOOKUP(F204,'G-3 Multipliers'!$A$2:$E$129,4,FALSE))))</f>
        <v/>
      </c>
      <c r="X204" s="524" t="str">
        <f>IFERROR(IF(E204="","",VLOOKUP(W204, 'G-3 Multipliers'!$P$2:$Q$6,2,FALSE)),"")</f>
        <v/>
      </c>
      <c r="Y204" s="197"/>
      <c r="Z204" s="499" t="str">
        <f>IF(Y204="","",IF(VLOOKUP(Y204,'G-3 Multipliers'!$S$3:$T$9,2,FALSE)=0,"Spatial Data Missing ⚠",VLOOKUP(Y204,'G-3 Multipliers'!$S$3:$T$9,2,FALSE)))</f>
        <v/>
      </c>
      <c r="AA204" s="545" t="str">
        <f t="shared" ref="AA204:AA256" si="18">IFERROR(G204*I204*K204*N204*T204*X204*Z204,"")</f>
        <v/>
      </c>
      <c r="AB204" s="149"/>
      <c r="AC204" s="150"/>
    </row>
    <row r="205" spans="1:29" ht="13.8" x14ac:dyDescent="0.25">
      <c r="A205" s="31" t="str">
        <f>IFERROR(INDEX('G-8 Condition Look up'!$I$4:$I$130,MATCH(F205,'G-8 Condition Look up'!$A$4:$A$130,0)),"")</f>
        <v/>
      </c>
      <c r="C205" s="244" t="str">
        <f>IFERROR(INDEX('G-1 All Habitats'!$AG$3:$AG$15,MATCH(D205,'G-1 All Habitats'!$AF$3:$AF$15,0)),"")</f>
        <v/>
      </c>
      <c r="D205" s="154"/>
      <c r="E205" s="203"/>
      <c r="F205" s="243" t="str">
        <f>IFERROR(INDEX('G-1 All Habitats'!$B$3:$B$129,MATCH(E205,'G-1 All Habitats'!$A$3:$A$129,0)),"")</f>
        <v/>
      </c>
      <c r="G205" s="386"/>
      <c r="H205" s="537" t="str">
        <f>IF(F205="","",VLOOKUP(F205,'G-1 All Habitats'!$B$2:$M$129,10,FALSE))</f>
        <v/>
      </c>
      <c r="I205" s="524" t="str">
        <f>IFERROR(VLOOKUP(H205,'G-1 All Habitats'!$V$3:$W$7,2,FALSE),"")</f>
        <v/>
      </c>
      <c r="J205" s="199"/>
      <c r="K205" s="524" t="str">
        <f>IFERROR(INDEX('G-8 Condition Look up'!$A$3:$H$130,MATCH(F205,'G-8 Condition Look up'!$A$3:$A$130,0),MATCH(J205,'G-8 Condition Look up'!$A$3:$H$3,0)),"")</f>
        <v/>
      </c>
      <c r="L205" s="145"/>
      <c r="M205" s="540" t="str">
        <f>IF(L205="","",IF(VLOOKUP(L205,'G-3 Multipliers'!$L$3:$N$6,2,FALSE)=0,"Spatial Data Missing ⚠",VLOOKUP(L205,'G-3 Multipliers'!$L$3:$N$6,2,FALSE)))</f>
        <v/>
      </c>
      <c r="N205" s="499" t="str">
        <f>IF(L205="","",IF(VLOOKUP(L205,'G-3 Multipliers'!$L$3:$N$6,3,FALSE)=0,"Spatial Data Missing ⚠",VLOOKUP(L205,'G-3 Multipliers'!$L$3:$N$6,3,FALSE)))</f>
        <v/>
      </c>
      <c r="O205" s="498" t="str">
        <f t="shared" si="15"/>
        <v/>
      </c>
      <c r="P205" s="195"/>
      <c r="Q205" s="195"/>
      <c r="R205" s="520" t="str">
        <f t="shared" si="16"/>
        <v/>
      </c>
      <c r="S205" s="544" t="str">
        <f t="shared" si="17"/>
        <v/>
      </c>
      <c r="T205" s="525" t="str">
        <f>IFERROR(IF(S205="Check Data ⚠","Check Data ⚠",VLOOKUP(S205,'G-4 Temporal multipliers'!$A$4:$C$37,3,FALSE)),"")</f>
        <v/>
      </c>
      <c r="U205" s="523" t="str">
        <f>IF(F205="","",VLOOKUP(F205,'G-3 Multipliers'!$A$2:$E$129,2,FALSE))</f>
        <v/>
      </c>
      <c r="V205" s="520"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20" t="str">
        <f>IF(E205="","",IF(AND(V205="Standard difficulty applied",O205&gt;P205),U205,IF(AND(V205="Low Difficulty - only applicable if all habitat created before losses ⚠",P205&gt;=O205),"Low",VLOOKUP(F205,'G-3 Multipliers'!$A$2:$E$129,4,FALSE))))</f>
        <v/>
      </c>
      <c r="X205" s="524" t="str">
        <f>IFERROR(IF(E205="","",VLOOKUP(W205, 'G-3 Multipliers'!$P$2:$Q$6,2,FALSE)),"")</f>
        <v/>
      </c>
      <c r="Y205" s="197"/>
      <c r="Z205" s="499" t="str">
        <f>IF(Y205="","",IF(VLOOKUP(Y205,'G-3 Multipliers'!$S$3:$T$9,2,FALSE)=0,"Spatial Data Missing ⚠",VLOOKUP(Y205,'G-3 Multipliers'!$S$3:$T$9,2,FALSE)))</f>
        <v/>
      </c>
      <c r="AA205" s="545" t="str">
        <f t="shared" si="18"/>
        <v/>
      </c>
      <c r="AB205" s="149"/>
      <c r="AC205" s="150"/>
    </row>
    <row r="206" spans="1:29" ht="13.8" x14ac:dyDescent="0.25">
      <c r="A206" s="31" t="str">
        <f>IFERROR(INDEX('G-8 Condition Look up'!$I$4:$I$130,MATCH(F206,'G-8 Condition Look up'!$A$4:$A$130,0)),"")</f>
        <v/>
      </c>
      <c r="C206" s="244" t="str">
        <f>IFERROR(INDEX('G-1 All Habitats'!$AG$3:$AG$15,MATCH(D206,'G-1 All Habitats'!$AF$3:$AF$15,0)),"")</f>
        <v/>
      </c>
      <c r="D206" s="154"/>
      <c r="E206" s="203"/>
      <c r="F206" s="243" t="str">
        <f>IFERROR(INDEX('G-1 All Habitats'!$B$3:$B$129,MATCH(E206,'G-1 All Habitats'!$A$3:$A$129,0)),"")</f>
        <v/>
      </c>
      <c r="G206" s="386"/>
      <c r="H206" s="537" t="str">
        <f>IF(F206="","",VLOOKUP(F206,'G-1 All Habitats'!$B$2:$M$129,10,FALSE))</f>
        <v/>
      </c>
      <c r="I206" s="524" t="str">
        <f>IFERROR(VLOOKUP(H206,'G-1 All Habitats'!$V$3:$W$7,2,FALSE),"")</f>
        <v/>
      </c>
      <c r="J206" s="199"/>
      <c r="K206" s="524" t="str">
        <f>IFERROR(INDEX('G-8 Condition Look up'!$A$3:$H$130,MATCH(F206,'G-8 Condition Look up'!$A$3:$A$130,0),MATCH(J206,'G-8 Condition Look up'!$A$3:$H$3,0)),"")</f>
        <v/>
      </c>
      <c r="L206" s="145"/>
      <c r="M206" s="540" t="str">
        <f>IF(L206="","",IF(VLOOKUP(L206,'G-3 Multipliers'!$L$3:$N$6,2,FALSE)=0,"Spatial Data Missing ⚠",VLOOKUP(L206,'G-3 Multipliers'!$L$3:$N$6,2,FALSE)))</f>
        <v/>
      </c>
      <c r="N206" s="499" t="str">
        <f>IF(L206="","",IF(VLOOKUP(L206,'G-3 Multipliers'!$L$3:$N$6,3,FALSE)=0,"Spatial Data Missing ⚠",VLOOKUP(L206,'G-3 Multipliers'!$L$3:$N$6,3,FALSE)))</f>
        <v/>
      </c>
      <c r="O206" s="498" t="str">
        <f t="shared" si="15"/>
        <v/>
      </c>
      <c r="P206" s="195"/>
      <c r="Q206" s="195"/>
      <c r="R206" s="520" t="str">
        <f t="shared" si="16"/>
        <v/>
      </c>
      <c r="S206" s="544" t="str">
        <f t="shared" si="17"/>
        <v/>
      </c>
      <c r="T206" s="525" t="str">
        <f>IFERROR(IF(S206="Check Data ⚠","Check Data ⚠",VLOOKUP(S206,'G-4 Temporal multipliers'!$A$4:$C$37,3,FALSE)),"")</f>
        <v/>
      </c>
      <c r="U206" s="523" t="str">
        <f>IF(F206="","",VLOOKUP(F206,'G-3 Multipliers'!$A$2:$E$129,2,FALSE))</f>
        <v/>
      </c>
      <c r="V206" s="520" t="str">
        <f t="shared" si="19"/>
        <v/>
      </c>
      <c r="W206" s="520" t="str">
        <f>IF(E206="","",IF(AND(V206="Standard difficulty applied",O206&gt;P206),U206,IF(AND(V206="Low Difficulty - only applicable if all habitat created before losses ⚠",P206&gt;=O206),"Low",VLOOKUP(F206,'G-3 Multipliers'!$A$2:$E$129,4,FALSE))))</f>
        <v/>
      </c>
      <c r="X206" s="524" t="str">
        <f>IFERROR(IF(E206="","",VLOOKUP(W206, 'G-3 Multipliers'!$P$2:$Q$6,2,FALSE)),"")</f>
        <v/>
      </c>
      <c r="Y206" s="197"/>
      <c r="Z206" s="499" t="str">
        <f>IF(Y206="","",IF(VLOOKUP(Y206,'G-3 Multipliers'!$S$3:$T$9,2,FALSE)=0,"Spatial Data Missing ⚠",VLOOKUP(Y206,'G-3 Multipliers'!$S$3:$T$9,2,FALSE)))</f>
        <v/>
      </c>
      <c r="AA206" s="545" t="str">
        <f t="shared" si="18"/>
        <v/>
      </c>
      <c r="AB206" s="149"/>
      <c r="AC206" s="150"/>
    </row>
    <row r="207" spans="1:29" ht="13.8" x14ac:dyDescent="0.25">
      <c r="A207" s="31" t="str">
        <f>IFERROR(INDEX('G-8 Condition Look up'!$I$4:$I$130,MATCH(F207,'G-8 Condition Look up'!$A$4:$A$130,0)),"")</f>
        <v/>
      </c>
      <c r="C207" s="244" t="str">
        <f>IFERROR(INDEX('G-1 All Habitats'!$AG$3:$AG$15,MATCH(D207,'G-1 All Habitats'!$AF$3:$AF$15,0)),"")</f>
        <v/>
      </c>
      <c r="D207" s="154"/>
      <c r="E207" s="203"/>
      <c r="F207" s="243" t="str">
        <f>IFERROR(INDEX('G-1 All Habitats'!$B$3:$B$129,MATCH(E207,'G-1 All Habitats'!$A$3:$A$129,0)),"")</f>
        <v/>
      </c>
      <c r="G207" s="386"/>
      <c r="H207" s="537" t="str">
        <f>IF(F207="","",VLOOKUP(F207,'G-1 All Habitats'!$B$2:$M$129,10,FALSE))</f>
        <v/>
      </c>
      <c r="I207" s="524" t="str">
        <f>IFERROR(VLOOKUP(H207,'G-1 All Habitats'!$V$3:$W$7,2,FALSE),"")</f>
        <v/>
      </c>
      <c r="J207" s="199"/>
      <c r="K207" s="524" t="str">
        <f>IFERROR(INDEX('G-8 Condition Look up'!$A$3:$H$130,MATCH(F207,'G-8 Condition Look up'!$A$3:$A$130,0),MATCH(J207,'G-8 Condition Look up'!$A$3:$H$3,0)),"")</f>
        <v/>
      </c>
      <c r="L207" s="145"/>
      <c r="M207" s="540" t="str">
        <f>IF(L207="","",IF(VLOOKUP(L207,'G-3 Multipliers'!$L$3:$N$6,2,FALSE)=0,"Spatial Data Missing ⚠",VLOOKUP(L207,'G-3 Multipliers'!$L$3:$N$6,2,FALSE)))</f>
        <v/>
      </c>
      <c r="N207" s="499" t="str">
        <f>IF(L207="","",IF(VLOOKUP(L207,'G-3 Multipliers'!$L$3:$N$6,3,FALSE)=0,"Spatial Data Missing ⚠",VLOOKUP(L207,'G-3 Multipliers'!$L$3:$N$6,3,FALSE)))</f>
        <v/>
      </c>
      <c r="O207" s="498" t="str">
        <f t="shared" si="15"/>
        <v/>
      </c>
      <c r="P207" s="195"/>
      <c r="Q207" s="195"/>
      <c r="R207" s="520" t="str">
        <f t="shared" si="16"/>
        <v/>
      </c>
      <c r="S207" s="544" t="str">
        <f t="shared" si="17"/>
        <v/>
      </c>
      <c r="T207" s="525" t="str">
        <f>IFERROR(IF(S207="Check Data ⚠","Check Data ⚠",VLOOKUP(S207,'G-4 Temporal multipliers'!$A$4:$C$37,3,FALSE)),"")</f>
        <v/>
      </c>
      <c r="U207" s="523" t="str">
        <f>IF(F207="","",VLOOKUP(F207,'G-3 Multipliers'!$A$2:$E$129,2,FALSE))</f>
        <v/>
      </c>
      <c r="V207" s="520" t="str">
        <f t="shared" si="19"/>
        <v/>
      </c>
      <c r="W207" s="520" t="str">
        <f>IF(E207="","",IF(AND(V207="Standard difficulty applied",O207&gt;P207),U207,IF(AND(V207="Low Difficulty - only applicable if all habitat created before losses ⚠",P207&gt;=O207),"Low",VLOOKUP(F207,'G-3 Multipliers'!$A$2:$E$129,4,FALSE))))</f>
        <v/>
      </c>
      <c r="X207" s="524" t="str">
        <f>IFERROR(IF(E207="","",VLOOKUP(W207, 'G-3 Multipliers'!$P$2:$Q$6,2,FALSE)),"")</f>
        <v/>
      </c>
      <c r="Y207" s="197"/>
      <c r="Z207" s="499" t="str">
        <f>IF(Y207="","",IF(VLOOKUP(Y207,'G-3 Multipliers'!$S$3:$T$9,2,FALSE)=0,"Spatial Data Missing ⚠",VLOOKUP(Y207,'G-3 Multipliers'!$S$3:$T$9,2,FALSE)))</f>
        <v/>
      </c>
      <c r="AA207" s="545" t="str">
        <f t="shared" si="18"/>
        <v/>
      </c>
      <c r="AB207" s="149"/>
      <c r="AC207" s="150"/>
    </row>
    <row r="208" spans="1:29" ht="13.8" x14ac:dyDescent="0.25">
      <c r="A208" s="31" t="str">
        <f>IFERROR(INDEX('G-8 Condition Look up'!$I$4:$I$130,MATCH(F208,'G-8 Condition Look up'!$A$4:$A$130,0)),"")</f>
        <v/>
      </c>
      <c r="C208" s="244" t="str">
        <f>IFERROR(INDEX('G-1 All Habitats'!$AG$3:$AG$15,MATCH(D208,'G-1 All Habitats'!$AF$3:$AF$15,0)),"")</f>
        <v/>
      </c>
      <c r="D208" s="154"/>
      <c r="E208" s="203"/>
      <c r="F208" s="243" t="str">
        <f>IFERROR(INDEX('G-1 All Habitats'!$B$3:$B$129,MATCH(E208,'G-1 All Habitats'!$A$3:$A$129,0)),"")</f>
        <v/>
      </c>
      <c r="G208" s="386"/>
      <c r="H208" s="537" t="str">
        <f>IF(F208="","",VLOOKUP(F208,'G-1 All Habitats'!$B$2:$M$129,10,FALSE))</f>
        <v/>
      </c>
      <c r="I208" s="524" t="str">
        <f>IFERROR(VLOOKUP(H208,'G-1 All Habitats'!$V$3:$W$7,2,FALSE),"")</f>
        <v/>
      </c>
      <c r="J208" s="199"/>
      <c r="K208" s="524" t="str">
        <f>IFERROR(INDEX('G-8 Condition Look up'!$A$3:$H$130,MATCH(F208,'G-8 Condition Look up'!$A$3:$A$130,0),MATCH(J208,'G-8 Condition Look up'!$A$3:$H$3,0)),"")</f>
        <v/>
      </c>
      <c r="L208" s="145"/>
      <c r="M208" s="540" t="str">
        <f>IF(L208="","",IF(VLOOKUP(L208,'G-3 Multipliers'!$L$3:$N$6,2,FALSE)=0,"Spatial Data Missing ⚠",VLOOKUP(L208,'G-3 Multipliers'!$L$3:$N$6,2,FALSE)))</f>
        <v/>
      </c>
      <c r="N208" s="499" t="str">
        <f>IF(L208="","",IF(VLOOKUP(L208,'G-3 Multipliers'!$L$3:$N$6,3,FALSE)=0,"Spatial Data Missing ⚠",VLOOKUP(L208,'G-3 Multipliers'!$L$3:$N$6,3,FALSE)))</f>
        <v/>
      </c>
      <c r="O208" s="498" t="str">
        <f t="shared" si="15"/>
        <v/>
      </c>
      <c r="P208" s="195"/>
      <c r="Q208" s="195"/>
      <c r="R208" s="520" t="str">
        <f t="shared" si="16"/>
        <v/>
      </c>
      <c r="S208" s="544" t="str">
        <f t="shared" si="17"/>
        <v/>
      </c>
      <c r="T208" s="525" t="str">
        <f>IFERROR(IF(S208="Check Data ⚠","Check Data ⚠",VLOOKUP(S208,'G-4 Temporal multipliers'!$A$4:$C$37,3,FALSE)),"")</f>
        <v/>
      </c>
      <c r="U208" s="523" t="str">
        <f>IF(F208="","",VLOOKUP(F208,'G-3 Multipliers'!$A$2:$E$129,2,FALSE))</f>
        <v/>
      </c>
      <c r="V208" s="520" t="str">
        <f t="shared" si="19"/>
        <v/>
      </c>
      <c r="W208" s="520" t="str">
        <f>IF(E208="","",IF(AND(V208="Standard difficulty applied",O208&gt;P208),U208,IF(AND(V208="Low Difficulty - only applicable if all habitat created before losses ⚠",P208&gt;=O208),"Low",VLOOKUP(F208,'G-3 Multipliers'!$A$2:$E$129,4,FALSE))))</f>
        <v/>
      </c>
      <c r="X208" s="524" t="str">
        <f>IFERROR(IF(E208="","",VLOOKUP(W208, 'G-3 Multipliers'!$P$2:$Q$6,2,FALSE)),"")</f>
        <v/>
      </c>
      <c r="Y208" s="197"/>
      <c r="Z208" s="499" t="str">
        <f>IF(Y208="","",IF(VLOOKUP(Y208,'G-3 Multipliers'!$S$3:$T$9,2,FALSE)=0,"Spatial Data Missing ⚠",VLOOKUP(Y208,'G-3 Multipliers'!$S$3:$T$9,2,FALSE)))</f>
        <v/>
      </c>
      <c r="AA208" s="545" t="str">
        <f t="shared" si="18"/>
        <v/>
      </c>
      <c r="AB208" s="149"/>
      <c r="AC208" s="150"/>
    </row>
    <row r="209" spans="1:29" ht="13.8" x14ac:dyDescent="0.25">
      <c r="A209" s="31" t="str">
        <f>IFERROR(INDEX('G-8 Condition Look up'!$I$4:$I$130,MATCH(F209,'G-8 Condition Look up'!$A$4:$A$130,0)),"")</f>
        <v/>
      </c>
      <c r="C209" s="244" t="str">
        <f>IFERROR(INDEX('G-1 All Habitats'!$AG$3:$AG$15,MATCH(D209,'G-1 All Habitats'!$AF$3:$AF$15,0)),"")</f>
        <v/>
      </c>
      <c r="D209" s="154"/>
      <c r="E209" s="203"/>
      <c r="F209" s="243" t="str">
        <f>IFERROR(INDEX('G-1 All Habitats'!$B$3:$B$129,MATCH(E209,'G-1 All Habitats'!$A$3:$A$129,0)),"")</f>
        <v/>
      </c>
      <c r="G209" s="386"/>
      <c r="H209" s="537" t="str">
        <f>IF(F209="","",VLOOKUP(F209,'G-1 All Habitats'!$B$2:$M$129,10,FALSE))</f>
        <v/>
      </c>
      <c r="I209" s="524" t="str">
        <f>IFERROR(VLOOKUP(H209,'G-1 All Habitats'!$V$3:$W$7,2,FALSE),"")</f>
        <v/>
      </c>
      <c r="J209" s="199"/>
      <c r="K209" s="524" t="str">
        <f>IFERROR(INDEX('G-8 Condition Look up'!$A$3:$H$130,MATCH(F209,'G-8 Condition Look up'!$A$3:$A$130,0),MATCH(J209,'G-8 Condition Look up'!$A$3:$H$3,0)),"")</f>
        <v/>
      </c>
      <c r="L209" s="145"/>
      <c r="M209" s="540" t="str">
        <f>IF(L209="","",IF(VLOOKUP(L209,'G-3 Multipliers'!$L$3:$N$6,2,FALSE)=0,"Spatial Data Missing ⚠",VLOOKUP(L209,'G-3 Multipliers'!$L$3:$N$6,2,FALSE)))</f>
        <v/>
      </c>
      <c r="N209" s="499" t="str">
        <f>IF(L209="","",IF(VLOOKUP(L209,'G-3 Multipliers'!$L$3:$N$6,3,FALSE)=0,"Spatial Data Missing ⚠",VLOOKUP(L209,'G-3 Multipliers'!$L$3:$N$6,3,FALSE)))</f>
        <v/>
      </c>
      <c r="O209" s="498" t="str">
        <f t="shared" si="15"/>
        <v/>
      </c>
      <c r="P209" s="195"/>
      <c r="Q209" s="195"/>
      <c r="R209" s="520" t="str">
        <f t="shared" si="16"/>
        <v/>
      </c>
      <c r="S209" s="544" t="str">
        <f t="shared" si="17"/>
        <v/>
      </c>
      <c r="T209" s="525" t="str">
        <f>IFERROR(IF(S209="Check Data ⚠","Check Data ⚠",VLOOKUP(S209,'G-4 Temporal multipliers'!$A$4:$C$37,3,FALSE)),"")</f>
        <v/>
      </c>
      <c r="U209" s="523" t="str">
        <f>IF(F209="","",VLOOKUP(F209,'G-3 Multipliers'!$A$2:$E$129,2,FALSE))</f>
        <v/>
      </c>
      <c r="V209" s="520" t="str">
        <f t="shared" si="19"/>
        <v/>
      </c>
      <c r="W209" s="520" t="str">
        <f>IF(E209="","",IF(AND(V209="Standard difficulty applied",O209&gt;P209),U209,IF(AND(V209="Low Difficulty - only applicable if all habitat created before losses ⚠",P209&gt;=O209),"Low",VLOOKUP(F209,'G-3 Multipliers'!$A$2:$E$129,4,FALSE))))</f>
        <v/>
      </c>
      <c r="X209" s="524" t="str">
        <f>IFERROR(IF(E209="","",VLOOKUP(W209, 'G-3 Multipliers'!$P$2:$Q$6,2,FALSE)),"")</f>
        <v/>
      </c>
      <c r="Y209" s="197"/>
      <c r="Z209" s="499" t="str">
        <f>IF(Y209="","",IF(VLOOKUP(Y209,'G-3 Multipliers'!$S$3:$T$9,2,FALSE)=0,"Spatial Data Missing ⚠",VLOOKUP(Y209,'G-3 Multipliers'!$S$3:$T$9,2,FALSE)))</f>
        <v/>
      </c>
      <c r="AA209" s="545" t="str">
        <f t="shared" si="18"/>
        <v/>
      </c>
      <c r="AB209" s="149"/>
      <c r="AC209" s="150"/>
    </row>
    <row r="210" spans="1:29" ht="13.8" x14ac:dyDescent="0.25">
      <c r="A210" s="31" t="str">
        <f>IFERROR(INDEX('G-8 Condition Look up'!$I$4:$I$130,MATCH(F210,'G-8 Condition Look up'!$A$4:$A$130,0)),"")</f>
        <v/>
      </c>
      <c r="C210" s="244" t="str">
        <f>IFERROR(INDEX('G-1 All Habitats'!$AG$3:$AG$15,MATCH(D210,'G-1 All Habitats'!$AF$3:$AF$15,0)),"")</f>
        <v/>
      </c>
      <c r="D210" s="154"/>
      <c r="E210" s="203"/>
      <c r="F210" s="243" t="str">
        <f>IFERROR(INDEX('G-1 All Habitats'!$B$3:$B$129,MATCH(E210,'G-1 All Habitats'!$A$3:$A$129,0)),"")</f>
        <v/>
      </c>
      <c r="G210" s="386"/>
      <c r="H210" s="537" t="str">
        <f>IF(F210="","",VLOOKUP(F210,'G-1 All Habitats'!$B$2:$M$129,10,FALSE))</f>
        <v/>
      </c>
      <c r="I210" s="524" t="str">
        <f>IFERROR(VLOOKUP(H210,'G-1 All Habitats'!$V$3:$W$7,2,FALSE),"")</f>
        <v/>
      </c>
      <c r="J210" s="199"/>
      <c r="K210" s="524" t="str">
        <f>IFERROR(INDEX('G-8 Condition Look up'!$A$3:$H$130,MATCH(F210,'G-8 Condition Look up'!$A$3:$A$130,0),MATCH(J210,'G-8 Condition Look up'!$A$3:$H$3,0)),"")</f>
        <v/>
      </c>
      <c r="L210" s="145"/>
      <c r="M210" s="540" t="str">
        <f>IF(L210="","",IF(VLOOKUP(L210,'G-3 Multipliers'!$L$3:$N$6,2,FALSE)=0,"Spatial Data Missing ⚠",VLOOKUP(L210,'G-3 Multipliers'!$L$3:$N$6,2,FALSE)))</f>
        <v/>
      </c>
      <c r="N210" s="499" t="str">
        <f>IF(L210="","",IF(VLOOKUP(L210,'G-3 Multipliers'!$L$3:$N$6,3,FALSE)=0,"Spatial Data Missing ⚠",VLOOKUP(L210,'G-3 Multipliers'!$L$3:$N$6,3,FALSE)))</f>
        <v/>
      </c>
      <c r="O210" s="498" t="str">
        <f t="shared" si="15"/>
        <v/>
      </c>
      <c r="P210" s="195"/>
      <c r="Q210" s="195"/>
      <c r="R210" s="520" t="str">
        <f t="shared" si="16"/>
        <v/>
      </c>
      <c r="S210" s="544" t="str">
        <f t="shared" si="17"/>
        <v/>
      </c>
      <c r="T210" s="525" t="str">
        <f>IFERROR(IF(S210="Check Data ⚠","Check Data ⚠",VLOOKUP(S210,'G-4 Temporal multipliers'!$A$4:$C$37,3,FALSE)),"")</f>
        <v/>
      </c>
      <c r="U210" s="523" t="str">
        <f>IF(F210="","",VLOOKUP(F210,'G-3 Multipliers'!$A$2:$E$129,2,FALSE))</f>
        <v/>
      </c>
      <c r="V210" s="520" t="str">
        <f t="shared" si="19"/>
        <v/>
      </c>
      <c r="W210" s="520" t="str">
        <f>IF(E210="","",IF(AND(V210="Standard difficulty applied",O210&gt;P210),U210,IF(AND(V210="Low Difficulty - only applicable if all habitat created before losses ⚠",P210&gt;=O210),"Low",VLOOKUP(F210,'G-3 Multipliers'!$A$2:$E$129,4,FALSE))))</f>
        <v/>
      </c>
      <c r="X210" s="524" t="str">
        <f>IFERROR(IF(E210="","",VLOOKUP(W210, 'G-3 Multipliers'!$P$2:$Q$6,2,FALSE)),"")</f>
        <v/>
      </c>
      <c r="Y210" s="197"/>
      <c r="Z210" s="499" t="str">
        <f>IF(Y210="","",IF(VLOOKUP(Y210,'G-3 Multipliers'!$S$3:$T$9,2,FALSE)=0,"Spatial Data Missing ⚠",VLOOKUP(Y210,'G-3 Multipliers'!$S$3:$T$9,2,FALSE)))</f>
        <v/>
      </c>
      <c r="AA210" s="545" t="str">
        <f t="shared" si="18"/>
        <v/>
      </c>
      <c r="AB210" s="149"/>
      <c r="AC210" s="150"/>
    </row>
    <row r="211" spans="1:29" ht="13.8" x14ac:dyDescent="0.25">
      <c r="A211" s="31" t="str">
        <f>IFERROR(INDEX('G-8 Condition Look up'!$I$4:$I$130,MATCH(F211,'G-8 Condition Look up'!$A$4:$A$130,0)),"")</f>
        <v/>
      </c>
      <c r="C211" s="244" t="str">
        <f>IFERROR(INDEX('G-1 All Habitats'!$AG$3:$AG$15,MATCH(D211,'G-1 All Habitats'!$AF$3:$AF$15,0)),"")</f>
        <v/>
      </c>
      <c r="D211" s="154"/>
      <c r="E211" s="203"/>
      <c r="F211" s="243" t="str">
        <f>IFERROR(INDEX('G-1 All Habitats'!$B$3:$B$129,MATCH(E211,'G-1 All Habitats'!$A$3:$A$129,0)),"")</f>
        <v/>
      </c>
      <c r="G211" s="386"/>
      <c r="H211" s="537" t="str">
        <f>IF(F211="","",VLOOKUP(F211,'G-1 All Habitats'!$B$2:$M$129,10,FALSE))</f>
        <v/>
      </c>
      <c r="I211" s="524" t="str">
        <f>IFERROR(VLOOKUP(H211,'G-1 All Habitats'!$V$3:$W$7,2,FALSE),"")</f>
        <v/>
      </c>
      <c r="J211" s="199"/>
      <c r="K211" s="524" t="str">
        <f>IFERROR(INDEX('G-8 Condition Look up'!$A$3:$H$130,MATCH(F211,'G-8 Condition Look up'!$A$3:$A$130,0),MATCH(J211,'G-8 Condition Look up'!$A$3:$H$3,0)),"")</f>
        <v/>
      </c>
      <c r="L211" s="145"/>
      <c r="M211" s="540" t="str">
        <f>IF(L211="","",IF(VLOOKUP(L211,'G-3 Multipliers'!$L$3:$N$6,2,FALSE)=0,"Spatial Data Missing ⚠",VLOOKUP(L211,'G-3 Multipliers'!$L$3:$N$6,2,FALSE)))</f>
        <v/>
      </c>
      <c r="N211" s="499" t="str">
        <f>IF(L211="","",IF(VLOOKUP(L211,'G-3 Multipliers'!$L$3:$N$6,3,FALSE)=0,"Spatial Data Missing ⚠",VLOOKUP(L211,'G-3 Multipliers'!$L$3:$N$6,3,FALSE)))</f>
        <v/>
      </c>
      <c r="O211" s="498" t="str">
        <f t="shared" si="15"/>
        <v/>
      </c>
      <c r="P211" s="195"/>
      <c r="Q211" s="195"/>
      <c r="R211" s="520" t="str">
        <f t="shared" si="16"/>
        <v/>
      </c>
      <c r="S211" s="544" t="str">
        <f t="shared" si="17"/>
        <v/>
      </c>
      <c r="T211" s="525" t="str">
        <f>IFERROR(IF(S211="Check Data ⚠","Check Data ⚠",VLOOKUP(S211,'G-4 Temporal multipliers'!$A$4:$C$37,3,FALSE)),"")</f>
        <v/>
      </c>
      <c r="U211" s="523" t="str">
        <f>IF(F211="","",VLOOKUP(F211,'G-3 Multipliers'!$A$2:$E$129,2,FALSE))</f>
        <v/>
      </c>
      <c r="V211" s="520" t="str">
        <f t="shared" si="19"/>
        <v/>
      </c>
      <c r="W211" s="520" t="str">
        <f>IF(E211="","",IF(AND(V211="Standard difficulty applied",O211&gt;P211),U211,IF(AND(V211="Low Difficulty - only applicable if all habitat created before losses ⚠",P211&gt;=O211),"Low",VLOOKUP(F211,'G-3 Multipliers'!$A$2:$E$129,4,FALSE))))</f>
        <v/>
      </c>
      <c r="X211" s="524" t="str">
        <f>IFERROR(IF(E211="","",VLOOKUP(W211, 'G-3 Multipliers'!$P$2:$Q$6,2,FALSE)),"")</f>
        <v/>
      </c>
      <c r="Y211" s="197"/>
      <c r="Z211" s="499" t="str">
        <f>IF(Y211="","",IF(VLOOKUP(Y211,'G-3 Multipliers'!$S$3:$T$9,2,FALSE)=0,"Spatial Data Missing ⚠",VLOOKUP(Y211,'G-3 Multipliers'!$S$3:$T$9,2,FALSE)))</f>
        <v/>
      </c>
      <c r="AA211" s="545" t="str">
        <f t="shared" si="18"/>
        <v/>
      </c>
      <c r="AB211" s="149"/>
      <c r="AC211" s="150"/>
    </row>
    <row r="212" spans="1:29" ht="13.8" x14ac:dyDescent="0.25">
      <c r="A212" s="31" t="str">
        <f>IFERROR(INDEX('G-8 Condition Look up'!$I$4:$I$130,MATCH(F212,'G-8 Condition Look up'!$A$4:$A$130,0)),"")</f>
        <v/>
      </c>
      <c r="C212" s="244" t="str">
        <f>IFERROR(INDEX('G-1 All Habitats'!$AG$3:$AG$15,MATCH(D212,'G-1 All Habitats'!$AF$3:$AF$15,0)),"")</f>
        <v/>
      </c>
      <c r="D212" s="154"/>
      <c r="E212" s="203"/>
      <c r="F212" s="243" t="str">
        <f>IFERROR(INDEX('G-1 All Habitats'!$B$3:$B$129,MATCH(E212,'G-1 All Habitats'!$A$3:$A$129,0)),"")</f>
        <v/>
      </c>
      <c r="G212" s="386"/>
      <c r="H212" s="537" t="str">
        <f>IF(F212="","",VLOOKUP(F212,'G-1 All Habitats'!$B$2:$M$129,10,FALSE))</f>
        <v/>
      </c>
      <c r="I212" s="524" t="str">
        <f>IFERROR(VLOOKUP(H212,'G-1 All Habitats'!$V$3:$W$7,2,FALSE),"")</f>
        <v/>
      </c>
      <c r="J212" s="199"/>
      <c r="K212" s="524" t="str">
        <f>IFERROR(INDEX('G-8 Condition Look up'!$A$3:$H$130,MATCH(F212,'G-8 Condition Look up'!$A$3:$A$130,0),MATCH(J212,'G-8 Condition Look up'!$A$3:$H$3,0)),"")</f>
        <v/>
      </c>
      <c r="L212" s="145"/>
      <c r="M212" s="540" t="str">
        <f>IF(L212="","",IF(VLOOKUP(L212,'G-3 Multipliers'!$L$3:$N$6,2,FALSE)=0,"Spatial Data Missing ⚠",VLOOKUP(L212,'G-3 Multipliers'!$L$3:$N$6,2,FALSE)))</f>
        <v/>
      </c>
      <c r="N212" s="499" t="str">
        <f>IF(L212="","",IF(VLOOKUP(L212,'G-3 Multipliers'!$L$3:$N$6,3,FALSE)=0,"Spatial Data Missing ⚠",VLOOKUP(L212,'G-3 Multipliers'!$L$3:$N$6,3,FALSE)))</f>
        <v/>
      </c>
      <c r="O212" s="498" t="str">
        <f t="shared" si="15"/>
        <v/>
      </c>
      <c r="P212" s="195"/>
      <c r="Q212" s="195"/>
      <c r="R212" s="520" t="str">
        <f t="shared" si="16"/>
        <v/>
      </c>
      <c r="S212" s="544" t="str">
        <f t="shared" si="17"/>
        <v/>
      </c>
      <c r="T212" s="525" t="str">
        <f>IFERROR(IF(S212="Check Data ⚠","Check Data ⚠",VLOOKUP(S212,'G-4 Temporal multipliers'!$A$4:$C$37,3,FALSE)),"")</f>
        <v/>
      </c>
      <c r="U212" s="523" t="str">
        <f>IF(F212="","",VLOOKUP(F212,'G-3 Multipliers'!$A$2:$E$129,2,FALSE))</f>
        <v/>
      </c>
      <c r="V212" s="520" t="str">
        <f t="shared" si="19"/>
        <v/>
      </c>
      <c r="W212" s="520" t="str">
        <f>IF(E212="","",IF(AND(V212="Standard difficulty applied",O212&gt;P212),U212,IF(AND(V212="Low Difficulty - only applicable if all habitat created before losses ⚠",P212&gt;=O212),"Low",VLOOKUP(F212,'G-3 Multipliers'!$A$2:$E$129,4,FALSE))))</f>
        <v/>
      </c>
      <c r="X212" s="524" t="str">
        <f>IFERROR(IF(E212="","",VLOOKUP(W212, 'G-3 Multipliers'!$P$2:$Q$6,2,FALSE)),"")</f>
        <v/>
      </c>
      <c r="Y212" s="197"/>
      <c r="Z212" s="499" t="str">
        <f>IF(Y212="","",IF(VLOOKUP(Y212,'G-3 Multipliers'!$S$3:$T$9,2,FALSE)=0,"Spatial Data Missing ⚠",VLOOKUP(Y212,'G-3 Multipliers'!$S$3:$T$9,2,FALSE)))</f>
        <v/>
      </c>
      <c r="AA212" s="545" t="str">
        <f t="shared" si="18"/>
        <v/>
      </c>
      <c r="AB212" s="149"/>
      <c r="AC212" s="150"/>
    </row>
    <row r="213" spans="1:29" ht="13.8" x14ac:dyDescent="0.25">
      <c r="A213" s="31" t="str">
        <f>IFERROR(INDEX('G-8 Condition Look up'!$I$4:$I$130,MATCH(F213,'G-8 Condition Look up'!$A$4:$A$130,0)),"")</f>
        <v/>
      </c>
      <c r="C213" s="244" t="str">
        <f>IFERROR(INDEX('G-1 All Habitats'!$AG$3:$AG$15,MATCH(D213,'G-1 All Habitats'!$AF$3:$AF$15,0)),"")</f>
        <v/>
      </c>
      <c r="D213" s="154"/>
      <c r="E213" s="203"/>
      <c r="F213" s="243" t="str">
        <f>IFERROR(INDEX('G-1 All Habitats'!$B$3:$B$129,MATCH(E213,'G-1 All Habitats'!$A$3:$A$129,0)),"")</f>
        <v/>
      </c>
      <c r="G213" s="386"/>
      <c r="H213" s="537" t="str">
        <f>IF(F213="","",VLOOKUP(F213,'G-1 All Habitats'!$B$2:$M$129,10,FALSE))</f>
        <v/>
      </c>
      <c r="I213" s="524" t="str">
        <f>IFERROR(VLOOKUP(H213,'G-1 All Habitats'!$V$3:$W$7,2,FALSE),"")</f>
        <v/>
      </c>
      <c r="J213" s="199"/>
      <c r="K213" s="524" t="str">
        <f>IFERROR(INDEX('G-8 Condition Look up'!$A$3:$H$130,MATCH(F213,'G-8 Condition Look up'!$A$3:$A$130,0),MATCH(J213,'G-8 Condition Look up'!$A$3:$H$3,0)),"")</f>
        <v/>
      </c>
      <c r="L213" s="145"/>
      <c r="M213" s="540" t="str">
        <f>IF(L213="","",IF(VLOOKUP(L213,'G-3 Multipliers'!$L$3:$N$6,2,FALSE)=0,"Spatial Data Missing ⚠",VLOOKUP(L213,'G-3 Multipliers'!$L$3:$N$6,2,FALSE)))</f>
        <v/>
      </c>
      <c r="N213" s="499" t="str">
        <f>IF(L213="","",IF(VLOOKUP(L213,'G-3 Multipliers'!$L$3:$N$6,3,FALSE)=0,"Spatial Data Missing ⚠",VLOOKUP(L213,'G-3 Multipliers'!$L$3:$N$6,3,FALSE)))</f>
        <v/>
      </c>
      <c r="O213" s="498" t="str">
        <f t="shared" si="15"/>
        <v/>
      </c>
      <c r="P213" s="195"/>
      <c r="Q213" s="195"/>
      <c r="R213" s="520" t="str">
        <f t="shared" si="16"/>
        <v/>
      </c>
      <c r="S213" s="544" t="str">
        <f t="shared" si="17"/>
        <v/>
      </c>
      <c r="T213" s="525" t="str">
        <f>IFERROR(IF(S213="Check Data ⚠","Check Data ⚠",VLOOKUP(S213,'G-4 Temporal multipliers'!$A$4:$C$37,3,FALSE)),"")</f>
        <v/>
      </c>
      <c r="U213" s="523" t="str">
        <f>IF(F213="","",VLOOKUP(F213,'G-3 Multipliers'!$A$2:$E$129,2,FALSE))</f>
        <v/>
      </c>
      <c r="V213" s="520" t="str">
        <f t="shared" si="19"/>
        <v/>
      </c>
      <c r="W213" s="520" t="str">
        <f>IF(E213="","",IF(AND(V213="Standard difficulty applied",O213&gt;P213),U213,IF(AND(V213="Low Difficulty - only applicable if all habitat created before losses ⚠",P213&gt;=O213),"Low",VLOOKUP(F213,'G-3 Multipliers'!$A$2:$E$129,4,FALSE))))</f>
        <v/>
      </c>
      <c r="X213" s="524" t="str">
        <f>IFERROR(IF(E213="","",VLOOKUP(W213, 'G-3 Multipliers'!$P$2:$Q$6,2,FALSE)),"")</f>
        <v/>
      </c>
      <c r="Y213" s="197"/>
      <c r="Z213" s="499" t="str">
        <f>IF(Y213="","",IF(VLOOKUP(Y213,'G-3 Multipliers'!$S$3:$T$9,2,FALSE)=0,"Spatial Data Missing ⚠",VLOOKUP(Y213,'G-3 Multipliers'!$S$3:$T$9,2,FALSE)))</f>
        <v/>
      </c>
      <c r="AA213" s="545" t="str">
        <f t="shared" si="18"/>
        <v/>
      </c>
      <c r="AB213" s="149"/>
      <c r="AC213" s="150"/>
    </row>
    <row r="214" spans="1:29" ht="13.8" x14ac:dyDescent="0.25">
      <c r="A214" s="31" t="str">
        <f>IFERROR(INDEX('G-8 Condition Look up'!$I$4:$I$130,MATCH(F214,'G-8 Condition Look up'!$A$4:$A$130,0)),"")</f>
        <v/>
      </c>
      <c r="C214" s="244" t="str">
        <f>IFERROR(INDEX('G-1 All Habitats'!$AG$3:$AG$15,MATCH(D214,'G-1 All Habitats'!$AF$3:$AF$15,0)),"")</f>
        <v/>
      </c>
      <c r="D214" s="154"/>
      <c r="E214" s="203"/>
      <c r="F214" s="243" t="str">
        <f>IFERROR(INDEX('G-1 All Habitats'!$B$3:$B$129,MATCH(E214,'G-1 All Habitats'!$A$3:$A$129,0)),"")</f>
        <v/>
      </c>
      <c r="G214" s="386"/>
      <c r="H214" s="537" t="str">
        <f>IF(F214="","",VLOOKUP(F214,'G-1 All Habitats'!$B$2:$M$129,10,FALSE))</f>
        <v/>
      </c>
      <c r="I214" s="524" t="str">
        <f>IFERROR(VLOOKUP(H214,'G-1 All Habitats'!$V$3:$W$7,2,FALSE),"")</f>
        <v/>
      </c>
      <c r="J214" s="199"/>
      <c r="K214" s="524" t="str">
        <f>IFERROR(INDEX('G-8 Condition Look up'!$A$3:$H$130,MATCH(F214,'G-8 Condition Look up'!$A$3:$A$130,0),MATCH(J214,'G-8 Condition Look up'!$A$3:$H$3,0)),"")</f>
        <v/>
      </c>
      <c r="L214" s="145"/>
      <c r="M214" s="540" t="str">
        <f>IF(L214="","",IF(VLOOKUP(L214,'G-3 Multipliers'!$L$3:$N$6,2,FALSE)=0,"Spatial Data Missing ⚠",VLOOKUP(L214,'G-3 Multipliers'!$L$3:$N$6,2,FALSE)))</f>
        <v/>
      </c>
      <c r="N214" s="499" t="str">
        <f>IF(L214="","",IF(VLOOKUP(L214,'G-3 Multipliers'!$L$3:$N$6,3,FALSE)=0,"Spatial Data Missing ⚠",VLOOKUP(L214,'G-3 Multipliers'!$L$3:$N$6,3,FALSE)))</f>
        <v/>
      </c>
      <c r="O214" s="498" t="str">
        <f t="shared" si="15"/>
        <v/>
      </c>
      <c r="P214" s="195"/>
      <c r="Q214" s="195"/>
      <c r="R214" s="520" t="str">
        <f t="shared" si="16"/>
        <v/>
      </c>
      <c r="S214" s="544" t="str">
        <f t="shared" si="17"/>
        <v/>
      </c>
      <c r="T214" s="525" t="str">
        <f>IFERROR(IF(S214="Check Data ⚠","Check Data ⚠",VLOOKUP(S214,'G-4 Temporal multipliers'!$A$4:$C$37,3,FALSE)),"")</f>
        <v/>
      </c>
      <c r="U214" s="523" t="str">
        <f>IF(F214="","",VLOOKUP(F214,'G-3 Multipliers'!$A$2:$E$129,2,FALSE))</f>
        <v/>
      </c>
      <c r="V214" s="520" t="str">
        <f t="shared" si="19"/>
        <v/>
      </c>
      <c r="W214" s="520" t="str">
        <f>IF(E214="","",IF(AND(V214="Standard difficulty applied",O214&gt;P214),U214,IF(AND(V214="Low Difficulty - only applicable if all habitat created before losses ⚠",P214&gt;=O214),"Low",VLOOKUP(F214,'G-3 Multipliers'!$A$2:$E$129,4,FALSE))))</f>
        <v/>
      </c>
      <c r="X214" s="524" t="str">
        <f>IFERROR(IF(E214="","",VLOOKUP(W214, 'G-3 Multipliers'!$P$2:$Q$6,2,FALSE)),"")</f>
        <v/>
      </c>
      <c r="Y214" s="197"/>
      <c r="Z214" s="499" t="str">
        <f>IF(Y214="","",IF(VLOOKUP(Y214,'G-3 Multipliers'!$S$3:$T$9,2,FALSE)=0,"Spatial Data Missing ⚠",VLOOKUP(Y214,'G-3 Multipliers'!$S$3:$T$9,2,FALSE)))</f>
        <v/>
      </c>
      <c r="AA214" s="545" t="str">
        <f t="shared" si="18"/>
        <v/>
      </c>
      <c r="AB214" s="149"/>
      <c r="AC214" s="150"/>
    </row>
    <row r="215" spans="1:29" ht="13.8" x14ac:dyDescent="0.25">
      <c r="A215" s="31" t="str">
        <f>IFERROR(INDEX('G-8 Condition Look up'!$I$4:$I$130,MATCH(F215,'G-8 Condition Look up'!$A$4:$A$130,0)),"")</f>
        <v/>
      </c>
      <c r="C215" s="244" t="str">
        <f>IFERROR(INDEX('G-1 All Habitats'!$AG$3:$AG$15,MATCH(D215,'G-1 All Habitats'!$AF$3:$AF$15,0)),"")</f>
        <v/>
      </c>
      <c r="D215" s="154"/>
      <c r="E215" s="203"/>
      <c r="F215" s="243" t="str">
        <f>IFERROR(INDEX('G-1 All Habitats'!$B$3:$B$129,MATCH(E215,'G-1 All Habitats'!$A$3:$A$129,0)),"")</f>
        <v/>
      </c>
      <c r="G215" s="386"/>
      <c r="H215" s="537" t="str">
        <f>IF(F215="","",VLOOKUP(F215,'G-1 All Habitats'!$B$2:$M$129,10,FALSE))</f>
        <v/>
      </c>
      <c r="I215" s="524" t="str">
        <f>IFERROR(VLOOKUP(H215,'G-1 All Habitats'!$V$3:$W$7,2,FALSE),"")</f>
        <v/>
      </c>
      <c r="J215" s="199"/>
      <c r="K215" s="524" t="str">
        <f>IFERROR(INDEX('G-8 Condition Look up'!$A$3:$H$130,MATCH(F215,'G-8 Condition Look up'!$A$3:$A$130,0),MATCH(J215,'G-8 Condition Look up'!$A$3:$H$3,0)),"")</f>
        <v/>
      </c>
      <c r="L215" s="145"/>
      <c r="M215" s="540" t="str">
        <f>IF(L215="","",IF(VLOOKUP(L215,'G-3 Multipliers'!$L$3:$N$6,2,FALSE)=0,"Spatial Data Missing ⚠",VLOOKUP(L215,'G-3 Multipliers'!$L$3:$N$6,2,FALSE)))</f>
        <v/>
      </c>
      <c r="N215" s="499" t="str">
        <f>IF(L215="","",IF(VLOOKUP(L215,'G-3 Multipliers'!$L$3:$N$6,3,FALSE)=0,"Spatial Data Missing ⚠",VLOOKUP(L215,'G-3 Multipliers'!$L$3:$N$6,3,FALSE)))</f>
        <v/>
      </c>
      <c r="O215" s="498" t="str">
        <f t="shared" si="15"/>
        <v/>
      </c>
      <c r="P215" s="195"/>
      <c r="Q215" s="195"/>
      <c r="R215" s="520" t="str">
        <f t="shared" si="16"/>
        <v/>
      </c>
      <c r="S215" s="544" t="str">
        <f t="shared" si="17"/>
        <v/>
      </c>
      <c r="T215" s="525" t="str">
        <f>IFERROR(IF(S215="Check Data ⚠","Check Data ⚠",VLOOKUP(S215,'G-4 Temporal multipliers'!$A$4:$C$37,3,FALSE)),"")</f>
        <v/>
      </c>
      <c r="U215" s="523" t="str">
        <f>IF(F215="","",VLOOKUP(F215,'G-3 Multipliers'!$A$2:$E$129,2,FALSE))</f>
        <v/>
      </c>
      <c r="V215" s="520" t="str">
        <f t="shared" si="19"/>
        <v/>
      </c>
      <c r="W215" s="520" t="str">
        <f>IF(E215="","",IF(AND(V215="Standard difficulty applied",O215&gt;P215),U215,IF(AND(V215="Low Difficulty - only applicable if all habitat created before losses ⚠",P215&gt;=O215),"Low",VLOOKUP(F215,'G-3 Multipliers'!$A$2:$E$129,4,FALSE))))</f>
        <v/>
      </c>
      <c r="X215" s="524" t="str">
        <f>IFERROR(IF(E215="","",VLOOKUP(W215, 'G-3 Multipliers'!$P$2:$Q$6,2,FALSE)),"")</f>
        <v/>
      </c>
      <c r="Y215" s="197"/>
      <c r="Z215" s="499" t="str">
        <f>IF(Y215="","",IF(VLOOKUP(Y215,'G-3 Multipliers'!$S$3:$T$9,2,FALSE)=0,"Spatial Data Missing ⚠",VLOOKUP(Y215,'G-3 Multipliers'!$S$3:$T$9,2,FALSE)))</f>
        <v/>
      </c>
      <c r="AA215" s="545" t="str">
        <f t="shared" si="18"/>
        <v/>
      </c>
      <c r="AB215" s="149"/>
      <c r="AC215" s="150"/>
    </row>
    <row r="216" spans="1:29" ht="13.8" x14ac:dyDescent="0.25">
      <c r="A216" s="31" t="str">
        <f>IFERROR(INDEX('G-8 Condition Look up'!$I$4:$I$130,MATCH(F216,'G-8 Condition Look up'!$A$4:$A$130,0)),"")</f>
        <v/>
      </c>
      <c r="C216" s="244" t="str">
        <f>IFERROR(INDEX('G-1 All Habitats'!$AG$3:$AG$15,MATCH(D216,'G-1 All Habitats'!$AF$3:$AF$15,0)),"")</f>
        <v/>
      </c>
      <c r="D216" s="154"/>
      <c r="E216" s="203"/>
      <c r="F216" s="243" t="str">
        <f>IFERROR(INDEX('G-1 All Habitats'!$B$3:$B$129,MATCH(E216,'G-1 All Habitats'!$A$3:$A$129,0)),"")</f>
        <v/>
      </c>
      <c r="G216" s="386"/>
      <c r="H216" s="537" t="str">
        <f>IF(F216="","",VLOOKUP(F216,'G-1 All Habitats'!$B$2:$M$129,10,FALSE))</f>
        <v/>
      </c>
      <c r="I216" s="524" t="str">
        <f>IFERROR(VLOOKUP(H216,'G-1 All Habitats'!$V$3:$W$7,2,FALSE),"")</f>
        <v/>
      </c>
      <c r="J216" s="199"/>
      <c r="K216" s="524" t="str">
        <f>IFERROR(INDEX('G-8 Condition Look up'!$A$3:$H$130,MATCH(F216,'G-8 Condition Look up'!$A$3:$A$130,0),MATCH(J216,'G-8 Condition Look up'!$A$3:$H$3,0)),"")</f>
        <v/>
      </c>
      <c r="L216" s="145"/>
      <c r="M216" s="540" t="str">
        <f>IF(L216="","",IF(VLOOKUP(L216,'G-3 Multipliers'!$L$3:$N$6,2,FALSE)=0,"Spatial Data Missing ⚠",VLOOKUP(L216,'G-3 Multipliers'!$L$3:$N$6,2,FALSE)))</f>
        <v/>
      </c>
      <c r="N216" s="499" t="str">
        <f>IF(L216="","",IF(VLOOKUP(L216,'G-3 Multipliers'!$L$3:$N$6,3,FALSE)=0,"Spatial Data Missing ⚠",VLOOKUP(L216,'G-3 Multipliers'!$L$3:$N$6,3,FALSE)))</f>
        <v/>
      </c>
      <c r="O216" s="498" t="str">
        <f t="shared" si="15"/>
        <v/>
      </c>
      <c r="P216" s="195"/>
      <c r="Q216" s="195"/>
      <c r="R216" s="520" t="str">
        <f t="shared" si="16"/>
        <v/>
      </c>
      <c r="S216" s="544" t="str">
        <f t="shared" si="17"/>
        <v/>
      </c>
      <c r="T216" s="525" t="str">
        <f>IFERROR(IF(S216="Check Data ⚠","Check Data ⚠",VLOOKUP(S216,'G-4 Temporal multipliers'!$A$4:$C$37,3,FALSE)),"")</f>
        <v/>
      </c>
      <c r="U216" s="523" t="str">
        <f>IF(F216="","",VLOOKUP(F216,'G-3 Multipliers'!$A$2:$E$129,2,FALSE))</f>
        <v/>
      </c>
      <c r="V216" s="520" t="str">
        <f t="shared" si="19"/>
        <v/>
      </c>
      <c r="W216" s="520" t="str">
        <f>IF(E216="","",IF(AND(V216="Standard difficulty applied",O216&gt;P216),U216,IF(AND(V216="Low Difficulty - only applicable if all habitat created before losses ⚠",P216&gt;=O216),"Low",VLOOKUP(F216,'G-3 Multipliers'!$A$2:$E$129,4,FALSE))))</f>
        <v/>
      </c>
      <c r="X216" s="524" t="str">
        <f>IFERROR(IF(E216="","",VLOOKUP(W216, 'G-3 Multipliers'!$P$2:$Q$6,2,FALSE)),"")</f>
        <v/>
      </c>
      <c r="Y216" s="197"/>
      <c r="Z216" s="499" t="str">
        <f>IF(Y216="","",IF(VLOOKUP(Y216,'G-3 Multipliers'!$S$3:$T$9,2,FALSE)=0,"Spatial Data Missing ⚠",VLOOKUP(Y216,'G-3 Multipliers'!$S$3:$T$9,2,FALSE)))</f>
        <v/>
      </c>
      <c r="AA216" s="545" t="str">
        <f t="shared" si="18"/>
        <v/>
      </c>
      <c r="AB216" s="149"/>
      <c r="AC216" s="150"/>
    </row>
    <row r="217" spans="1:29" ht="13.8" x14ac:dyDescent="0.25">
      <c r="A217" s="31" t="str">
        <f>IFERROR(INDEX('G-8 Condition Look up'!$I$4:$I$130,MATCH(F217,'G-8 Condition Look up'!$A$4:$A$130,0)),"")</f>
        <v/>
      </c>
      <c r="C217" s="244" t="str">
        <f>IFERROR(INDEX('G-1 All Habitats'!$AG$3:$AG$15,MATCH(D217,'G-1 All Habitats'!$AF$3:$AF$15,0)),"")</f>
        <v/>
      </c>
      <c r="D217" s="154"/>
      <c r="E217" s="203"/>
      <c r="F217" s="243" t="str">
        <f>IFERROR(INDEX('G-1 All Habitats'!$B$3:$B$129,MATCH(E217,'G-1 All Habitats'!$A$3:$A$129,0)),"")</f>
        <v/>
      </c>
      <c r="G217" s="386"/>
      <c r="H217" s="537" t="str">
        <f>IF(F217="","",VLOOKUP(F217,'G-1 All Habitats'!$B$2:$M$129,10,FALSE))</f>
        <v/>
      </c>
      <c r="I217" s="524" t="str">
        <f>IFERROR(VLOOKUP(H217,'G-1 All Habitats'!$V$3:$W$7,2,FALSE),"")</f>
        <v/>
      </c>
      <c r="J217" s="199"/>
      <c r="K217" s="524" t="str">
        <f>IFERROR(INDEX('G-8 Condition Look up'!$A$3:$H$130,MATCH(F217,'G-8 Condition Look up'!$A$3:$A$130,0),MATCH(J217,'G-8 Condition Look up'!$A$3:$H$3,0)),"")</f>
        <v/>
      </c>
      <c r="L217" s="145"/>
      <c r="M217" s="540" t="str">
        <f>IF(L217="","",IF(VLOOKUP(L217,'G-3 Multipliers'!$L$3:$N$6,2,FALSE)=0,"Spatial Data Missing ⚠",VLOOKUP(L217,'G-3 Multipliers'!$L$3:$N$6,2,FALSE)))</f>
        <v/>
      </c>
      <c r="N217" s="499" t="str">
        <f>IF(L217="","",IF(VLOOKUP(L217,'G-3 Multipliers'!$L$3:$N$6,3,FALSE)=0,"Spatial Data Missing ⚠",VLOOKUP(L217,'G-3 Multipliers'!$L$3:$N$6,3,FALSE)))</f>
        <v/>
      </c>
      <c r="O217" s="498" t="str">
        <f t="shared" si="15"/>
        <v/>
      </c>
      <c r="P217" s="195"/>
      <c r="Q217" s="195"/>
      <c r="R217" s="520" t="str">
        <f t="shared" si="16"/>
        <v/>
      </c>
      <c r="S217" s="544" t="str">
        <f t="shared" si="17"/>
        <v/>
      </c>
      <c r="T217" s="525" t="str">
        <f>IFERROR(IF(S217="Check Data ⚠","Check Data ⚠",VLOOKUP(S217,'G-4 Temporal multipliers'!$A$4:$C$37,3,FALSE)),"")</f>
        <v/>
      </c>
      <c r="U217" s="523" t="str">
        <f>IF(F217="","",VLOOKUP(F217,'G-3 Multipliers'!$A$2:$E$129,2,FALSE))</f>
        <v/>
      </c>
      <c r="V217" s="520" t="str">
        <f t="shared" si="19"/>
        <v/>
      </c>
      <c r="W217" s="520" t="str">
        <f>IF(E217="","",IF(AND(V217="Standard difficulty applied",O217&gt;P217),U217,IF(AND(V217="Low Difficulty - only applicable if all habitat created before losses ⚠",P217&gt;=O217),"Low",VLOOKUP(F217,'G-3 Multipliers'!$A$2:$E$129,4,FALSE))))</f>
        <v/>
      </c>
      <c r="X217" s="524" t="str">
        <f>IFERROR(IF(E217="","",VLOOKUP(W217, 'G-3 Multipliers'!$P$2:$Q$6,2,FALSE)),"")</f>
        <v/>
      </c>
      <c r="Y217" s="197"/>
      <c r="Z217" s="499" t="str">
        <f>IF(Y217="","",IF(VLOOKUP(Y217,'G-3 Multipliers'!$S$3:$T$9,2,FALSE)=0,"Spatial Data Missing ⚠",VLOOKUP(Y217,'G-3 Multipliers'!$S$3:$T$9,2,FALSE)))</f>
        <v/>
      </c>
      <c r="AA217" s="545" t="str">
        <f t="shared" si="18"/>
        <v/>
      </c>
      <c r="AB217" s="149"/>
      <c r="AC217" s="150"/>
    </row>
    <row r="218" spans="1:29" ht="13.8" x14ac:dyDescent="0.25">
      <c r="A218" s="31" t="str">
        <f>IFERROR(INDEX('G-8 Condition Look up'!$I$4:$I$130,MATCH(F218,'G-8 Condition Look up'!$A$4:$A$130,0)),"")</f>
        <v/>
      </c>
      <c r="C218" s="244" t="str">
        <f>IFERROR(INDEX('G-1 All Habitats'!$AG$3:$AG$15,MATCH(D218,'G-1 All Habitats'!$AF$3:$AF$15,0)),"")</f>
        <v/>
      </c>
      <c r="D218" s="154"/>
      <c r="E218" s="203"/>
      <c r="F218" s="243" t="str">
        <f>IFERROR(INDEX('G-1 All Habitats'!$B$3:$B$129,MATCH(E218,'G-1 All Habitats'!$A$3:$A$129,0)),"")</f>
        <v/>
      </c>
      <c r="G218" s="386"/>
      <c r="H218" s="537" t="str">
        <f>IF(F218="","",VLOOKUP(F218,'G-1 All Habitats'!$B$2:$M$129,10,FALSE))</f>
        <v/>
      </c>
      <c r="I218" s="524" t="str">
        <f>IFERROR(VLOOKUP(H218,'G-1 All Habitats'!$V$3:$W$7,2,FALSE),"")</f>
        <v/>
      </c>
      <c r="J218" s="199"/>
      <c r="K218" s="524" t="str">
        <f>IFERROR(INDEX('G-8 Condition Look up'!$A$3:$H$130,MATCH(F218,'G-8 Condition Look up'!$A$3:$A$130,0),MATCH(J218,'G-8 Condition Look up'!$A$3:$H$3,0)),"")</f>
        <v/>
      </c>
      <c r="L218" s="145"/>
      <c r="M218" s="540" t="str">
        <f>IF(L218="","",IF(VLOOKUP(L218,'G-3 Multipliers'!$L$3:$N$6,2,FALSE)=0,"Spatial Data Missing ⚠",VLOOKUP(L218,'G-3 Multipliers'!$L$3:$N$6,2,FALSE)))</f>
        <v/>
      </c>
      <c r="N218" s="499" t="str">
        <f>IF(L218="","",IF(VLOOKUP(L218,'G-3 Multipliers'!$L$3:$N$6,3,FALSE)=0,"Spatial Data Missing ⚠",VLOOKUP(L218,'G-3 Multipliers'!$L$3:$N$6,3,FALSE)))</f>
        <v/>
      </c>
      <c r="O218" s="498" t="str">
        <f t="shared" si="15"/>
        <v/>
      </c>
      <c r="P218" s="195"/>
      <c r="Q218" s="195"/>
      <c r="R218" s="520" t="str">
        <f t="shared" si="16"/>
        <v/>
      </c>
      <c r="S218" s="544" t="str">
        <f t="shared" si="17"/>
        <v/>
      </c>
      <c r="T218" s="525" t="str">
        <f>IFERROR(IF(S218="Check Data ⚠","Check Data ⚠",VLOOKUP(S218,'G-4 Temporal multipliers'!$A$4:$C$37,3,FALSE)),"")</f>
        <v/>
      </c>
      <c r="U218" s="523" t="str">
        <f>IF(F218="","",VLOOKUP(F218,'G-3 Multipliers'!$A$2:$E$129,2,FALSE))</f>
        <v/>
      </c>
      <c r="V218" s="520" t="str">
        <f t="shared" si="19"/>
        <v/>
      </c>
      <c r="W218" s="520" t="str">
        <f>IF(E218="","",IF(AND(V218="Standard difficulty applied",O218&gt;P218),U218,IF(AND(V218="Low Difficulty - only applicable if all habitat created before losses ⚠",P218&gt;=O218),"Low",VLOOKUP(F218,'G-3 Multipliers'!$A$2:$E$129,4,FALSE))))</f>
        <v/>
      </c>
      <c r="X218" s="524" t="str">
        <f>IFERROR(IF(E218="","",VLOOKUP(W218, 'G-3 Multipliers'!$P$2:$Q$6,2,FALSE)),"")</f>
        <v/>
      </c>
      <c r="Y218" s="197"/>
      <c r="Z218" s="499" t="str">
        <f>IF(Y218="","",IF(VLOOKUP(Y218,'G-3 Multipliers'!$S$3:$T$9,2,FALSE)=0,"Spatial Data Missing ⚠",VLOOKUP(Y218,'G-3 Multipliers'!$S$3:$T$9,2,FALSE)))</f>
        <v/>
      </c>
      <c r="AA218" s="545" t="str">
        <f t="shared" si="18"/>
        <v/>
      </c>
      <c r="AB218" s="149"/>
      <c r="AC218" s="150"/>
    </row>
    <row r="219" spans="1:29" ht="13.8" x14ac:dyDescent="0.25">
      <c r="A219" s="31" t="str">
        <f>IFERROR(INDEX('G-8 Condition Look up'!$I$4:$I$130,MATCH(F219,'G-8 Condition Look up'!$A$4:$A$130,0)),"")</f>
        <v/>
      </c>
      <c r="C219" s="244" t="str">
        <f>IFERROR(INDEX('G-1 All Habitats'!$AG$3:$AG$15,MATCH(D219,'G-1 All Habitats'!$AF$3:$AF$15,0)),"")</f>
        <v/>
      </c>
      <c r="D219" s="154"/>
      <c r="E219" s="203"/>
      <c r="F219" s="243" t="str">
        <f>IFERROR(INDEX('G-1 All Habitats'!$B$3:$B$129,MATCH(E219,'G-1 All Habitats'!$A$3:$A$129,0)),"")</f>
        <v/>
      </c>
      <c r="G219" s="386"/>
      <c r="H219" s="537" t="str">
        <f>IF(F219="","",VLOOKUP(F219,'G-1 All Habitats'!$B$2:$M$129,10,FALSE))</f>
        <v/>
      </c>
      <c r="I219" s="524" t="str">
        <f>IFERROR(VLOOKUP(H219,'G-1 All Habitats'!$V$3:$W$7,2,FALSE),"")</f>
        <v/>
      </c>
      <c r="J219" s="199"/>
      <c r="K219" s="524" t="str">
        <f>IFERROR(INDEX('G-8 Condition Look up'!$A$3:$H$130,MATCH(F219,'G-8 Condition Look up'!$A$3:$A$130,0),MATCH(J219,'G-8 Condition Look up'!$A$3:$H$3,0)),"")</f>
        <v/>
      </c>
      <c r="L219" s="145"/>
      <c r="M219" s="540" t="str">
        <f>IF(L219="","",IF(VLOOKUP(L219,'G-3 Multipliers'!$L$3:$N$6,2,FALSE)=0,"Spatial Data Missing ⚠",VLOOKUP(L219,'G-3 Multipliers'!$L$3:$N$6,2,FALSE)))</f>
        <v/>
      </c>
      <c r="N219" s="499" t="str">
        <f>IF(L219="","",IF(VLOOKUP(L219,'G-3 Multipliers'!$L$3:$N$6,3,FALSE)=0,"Spatial Data Missing ⚠",VLOOKUP(L219,'G-3 Multipliers'!$L$3:$N$6,3,FALSE)))</f>
        <v/>
      </c>
      <c r="O219" s="498" t="str">
        <f t="shared" si="15"/>
        <v/>
      </c>
      <c r="P219" s="195"/>
      <c r="Q219" s="195"/>
      <c r="R219" s="520" t="str">
        <f t="shared" si="16"/>
        <v/>
      </c>
      <c r="S219" s="544" t="str">
        <f t="shared" si="17"/>
        <v/>
      </c>
      <c r="T219" s="525" t="str">
        <f>IFERROR(IF(S219="Check Data ⚠","Check Data ⚠",VLOOKUP(S219,'G-4 Temporal multipliers'!$A$4:$C$37,3,FALSE)),"")</f>
        <v/>
      </c>
      <c r="U219" s="523" t="str">
        <f>IF(F219="","",VLOOKUP(F219,'G-3 Multipliers'!$A$2:$E$129,2,FALSE))</f>
        <v/>
      </c>
      <c r="V219" s="520" t="str">
        <f t="shared" si="19"/>
        <v/>
      </c>
      <c r="W219" s="520" t="str">
        <f>IF(E219="","",IF(AND(V219="Standard difficulty applied",O219&gt;P219),U219,IF(AND(V219="Low Difficulty - only applicable if all habitat created before losses ⚠",P219&gt;=O219),"Low",VLOOKUP(F219,'G-3 Multipliers'!$A$2:$E$129,4,FALSE))))</f>
        <v/>
      </c>
      <c r="X219" s="524" t="str">
        <f>IFERROR(IF(E219="","",VLOOKUP(W219, 'G-3 Multipliers'!$P$2:$Q$6,2,FALSE)),"")</f>
        <v/>
      </c>
      <c r="Y219" s="197"/>
      <c r="Z219" s="499" t="str">
        <f>IF(Y219="","",IF(VLOOKUP(Y219,'G-3 Multipliers'!$S$3:$T$9,2,FALSE)=0,"Spatial Data Missing ⚠",VLOOKUP(Y219,'G-3 Multipliers'!$S$3:$T$9,2,FALSE)))</f>
        <v/>
      </c>
      <c r="AA219" s="545" t="str">
        <f t="shared" si="18"/>
        <v/>
      </c>
      <c r="AB219" s="149"/>
      <c r="AC219" s="150"/>
    </row>
    <row r="220" spans="1:29" ht="13.8" x14ac:dyDescent="0.25">
      <c r="A220" s="31" t="str">
        <f>IFERROR(INDEX('G-8 Condition Look up'!$I$4:$I$130,MATCH(F220,'G-8 Condition Look up'!$A$4:$A$130,0)),"")</f>
        <v/>
      </c>
      <c r="C220" s="244" t="str">
        <f>IFERROR(INDEX('G-1 All Habitats'!$AG$3:$AG$15,MATCH(D220,'G-1 All Habitats'!$AF$3:$AF$15,0)),"")</f>
        <v/>
      </c>
      <c r="D220" s="154"/>
      <c r="E220" s="203"/>
      <c r="F220" s="243" t="str">
        <f>IFERROR(INDEX('G-1 All Habitats'!$B$3:$B$129,MATCH(E220,'G-1 All Habitats'!$A$3:$A$129,0)),"")</f>
        <v/>
      </c>
      <c r="G220" s="386"/>
      <c r="H220" s="537" t="str">
        <f>IF(F220="","",VLOOKUP(F220,'G-1 All Habitats'!$B$2:$M$129,10,FALSE))</f>
        <v/>
      </c>
      <c r="I220" s="524" t="str">
        <f>IFERROR(VLOOKUP(H220,'G-1 All Habitats'!$V$3:$W$7,2,FALSE),"")</f>
        <v/>
      </c>
      <c r="J220" s="199"/>
      <c r="K220" s="524" t="str">
        <f>IFERROR(INDEX('G-8 Condition Look up'!$A$3:$H$130,MATCH(F220,'G-8 Condition Look up'!$A$3:$A$130,0),MATCH(J220,'G-8 Condition Look up'!$A$3:$H$3,0)),"")</f>
        <v/>
      </c>
      <c r="L220" s="145"/>
      <c r="M220" s="540" t="str">
        <f>IF(L220="","",IF(VLOOKUP(L220,'G-3 Multipliers'!$L$3:$N$6,2,FALSE)=0,"Spatial Data Missing ⚠",VLOOKUP(L220,'G-3 Multipliers'!$L$3:$N$6,2,FALSE)))</f>
        <v/>
      </c>
      <c r="N220" s="499" t="str">
        <f>IF(L220="","",IF(VLOOKUP(L220,'G-3 Multipliers'!$L$3:$N$6,3,FALSE)=0,"Spatial Data Missing ⚠",VLOOKUP(L220,'G-3 Multipliers'!$L$3:$N$6,3,FALSE)))</f>
        <v/>
      </c>
      <c r="O220" s="498" t="str">
        <f t="shared" si="15"/>
        <v/>
      </c>
      <c r="P220" s="195"/>
      <c r="Q220" s="195"/>
      <c r="R220" s="520" t="str">
        <f t="shared" si="16"/>
        <v/>
      </c>
      <c r="S220" s="544" t="str">
        <f t="shared" si="17"/>
        <v/>
      </c>
      <c r="T220" s="525" t="str">
        <f>IFERROR(IF(S220="Check Data ⚠","Check Data ⚠",VLOOKUP(S220,'G-4 Temporal multipliers'!$A$4:$C$37,3,FALSE)),"")</f>
        <v/>
      </c>
      <c r="U220" s="523" t="str">
        <f>IF(F220="","",VLOOKUP(F220,'G-3 Multipliers'!$A$2:$E$129,2,FALSE))</f>
        <v/>
      </c>
      <c r="V220" s="520" t="str">
        <f t="shared" si="19"/>
        <v/>
      </c>
      <c r="W220" s="520" t="str">
        <f>IF(E220="","",IF(AND(V220="Standard difficulty applied",O220&gt;P220),U220,IF(AND(V220="Low Difficulty - only applicable if all habitat created before losses ⚠",P220&gt;=O220),"Low",VLOOKUP(F220,'G-3 Multipliers'!$A$2:$E$129,4,FALSE))))</f>
        <v/>
      </c>
      <c r="X220" s="524" t="str">
        <f>IFERROR(IF(E220="","",VLOOKUP(W220, 'G-3 Multipliers'!$P$2:$Q$6,2,FALSE)),"")</f>
        <v/>
      </c>
      <c r="Y220" s="197"/>
      <c r="Z220" s="499" t="str">
        <f>IF(Y220="","",IF(VLOOKUP(Y220,'G-3 Multipliers'!$S$3:$T$9,2,FALSE)=0,"Spatial Data Missing ⚠",VLOOKUP(Y220,'G-3 Multipliers'!$S$3:$T$9,2,FALSE)))</f>
        <v/>
      </c>
      <c r="AA220" s="545" t="str">
        <f t="shared" si="18"/>
        <v/>
      </c>
      <c r="AB220" s="149"/>
      <c r="AC220" s="150"/>
    </row>
    <row r="221" spans="1:29" ht="13.8" x14ac:dyDescent="0.25">
      <c r="A221" s="31" t="str">
        <f>IFERROR(INDEX('G-8 Condition Look up'!$I$4:$I$130,MATCH(F221,'G-8 Condition Look up'!$A$4:$A$130,0)),"")</f>
        <v/>
      </c>
      <c r="C221" s="244" t="str">
        <f>IFERROR(INDEX('G-1 All Habitats'!$AG$3:$AG$15,MATCH(D221,'G-1 All Habitats'!$AF$3:$AF$15,0)),"")</f>
        <v/>
      </c>
      <c r="D221" s="154"/>
      <c r="E221" s="203"/>
      <c r="F221" s="243" t="str">
        <f>IFERROR(INDEX('G-1 All Habitats'!$B$3:$B$129,MATCH(E221,'G-1 All Habitats'!$A$3:$A$129,0)),"")</f>
        <v/>
      </c>
      <c r="G221" s="386"/>
      <c r="H221" s="537" t="str">
        <f>IF(F221="","",VLOOKUP(F221,'G-1 All Habitats'!$B$2:$M$129,10,FALSE))</f>
        <v/>
      </c>
      <c r="I221" s="524" t="str">
        <f>IFERROR(VLOOKUP(H221,'G-1 All Habitats'!$V$3:$W$7,2,FALSE),"")</f>
        <v/>
      </c>
      <c r="J221" s="199"/>
      <c r="K221" s="524" t="str">
        <f>IFERROR(INDEX('G-8 Condition Look up'!$A$3:$H$130,MATCH(F221,'G-8 Condition Look up'!$A$3:$A$130,0),MATCH(J221,'G-8 Condition Look up'!$A$3:$H$3,0)),"")</f>
        <v/>
      </c>
      <c r="L221" s="145"/>
      <c r="M221" s="540" t="str">
        <f>IF(L221="","",IF(VLOOKUP(L221,'G-3 Multipliers'!$L$3:$N$6,2,FALSE)=0,"Spatial Data Missing ⚠",VLOOKUP(L221,'G-3 Multipliers'!$L$3:$N$6,2,FALSE)))</f>
        <v/>
      </c>
      <c r="N221" s="499" t="str">
        <f>IF(L221="","",IF(VLOOKUP(L221,'G-3 Multipliers'!$L$3:$N$6,3,FALSE)=0,"Spatial Data Missing ⚠",VLOOKUP(L221,'G-3 Multipliers'!$L$3:$N$6,3,FALSE)))</f>
        <v/>
      </c>
      <c r="O221" s="498" t="str">
        <f t="shared" si="15"/>
        <v/>
      </c>
      <c r="P221" s="195"/>
      <c r="Q221" s="195"/>
      <c r="R221" s="520" t="str">
        <f t="shared" si="16"/>
        <v/>
      </c>
      <c r="S221" s="544" t="str">
        <f t="shared" si="17"/>
        <v/>
      </c>
      <c r="T221" s="525" t="str">
        <f>IFERROR(IF(S221="Check Data ⚠","Check Data ⚠",VLOOKUP(S221,'G-4 Temporal multipliers'!$A$4:$C$37,3,FALSE)),"")</f>
        <v/>
      </c>
      <c r="U221" s="523" t="str">
        <f>IF(F221="","",VLOOKUP(F221,'G-3 Multipliers'!$A$2:$E$129,2,FALSE))</f>
        <v/>
      </c>
      <c r="V221" s="520" t="str">
        <f t="shared" si="19"/>
        <v/>
      </c>
      <c r="W221" s="520" t="str">
        <f>IF(E221="","",IF(AND(V221="Standard difficulty applied",O221&gt;P221),U221,IF(AND(V221="Low Difficulty - only applicable if all habitat created before losses ⚠",P221&gt;=O221),"Low",VLOOKUP(F221,'G-3 Multipliers'!$A$2:$E$129,4,FALSE))))</f>
        <v/>
      </c>
      <c r="X221" s="524" t="str">
        <f>IFERROR(IF(E221="","",VLOOKUP(W221, 'G-3 Multipliers'!$P$2:$Q$6,2,FALSE)),"")</f>
        <v/>
      </c>
      <c r="Y221" s="197"/>
      <c r="Z221" s="499" t="str">
        <f>IF(Y221="","",IF(VLOOKUP(Y221,'G-3 Multipliers'!$S$3:$T$9,2,FALSE)=0,"Spatial Data Missing ⚠",VLOOKUP(Y221,'G-3 Multipliers'!$S$3:$T$9,2,FALSE)))</f>
        <v/>
      </c>
      <c r="AA221" s="545" t="str">
        <f t="shared" si="18"/>
        <v/>
      </c>
      <c r="AB221" s="149"/>
      <c r="AC221" s="150"/>
    </row>
    <row r="222" spans="1:29" ht="13.8" x14ac:dyDescent="0.25">
      <c r="A222" s="31" t="str">
        <f>IFERROR(INDEX('G-8 Condition Look up'!$I$4:$I$130,MATCH(F222,'G-8 Condition Look up'!$A$4:$A$130,0)),"")</f>
        <v/>
      </c>
      <c r="C222" s="244" t="str">
        <f>IFERROR(INDEX('G-1 All Habitats'!$AG$3:$AG$15,MATCH(D222,'G-1 All Habitats'!$AF$3:$AF$15,0)),"")</f>
        <v/>
      </c>
      <c r="D222" s="154"/>
      <c r="E222" s="203"/>
      <c r="F222" s="243" t="str">
        <f>IFERROR(INDEX('G-1 All Habitats'!$B$3:$B$129,MATCH(E222,'G-1 All Habitats'!$A$3:$A$129,0)),"")</f>
        <v/>
      </c>
      <c r="G222" s="386"/>
      <c r="H222" s="537" t="str">
        <f>IF(F222="","",VLOOKUP(F222,'G-1 All Habitats'!$B$2:$M$129,10,FALSE))</f>
        <v/>
      </c>
      <c r="I222" s="524" t="str">
        <f>IFERROR(VLOOKUP(H222,'G-1 All Habitats'!$V$3:$W$7,2,FALSE),"")</f>
        <v/>
      </c>
      <c r="J222" s="199"/>
      <c r="K222" s="524" t="str">
        <f>IFERROR(INDEX('G-8 Condition Look up'!$A$3:$H$130,MATCH(F222,'G-8 Condition Look up'!$A$3:$A$130,0),MATCH(J222,'G-8 Condition Look up'!$A$3:$H$3,0)),"")</f>
        <v/>
      </c>
      <c r="L222" s="145"/>
      <c r="M222" s="540" t="str">
        <f>IF(L222="","",IF(VLOOKUP(L222,'G-3 Multipliers'!$L$3:$N$6,2,FALSE)=0,"Spatial Data Missing ⚠",VLOOKUP(L222,'G-3 Multipliers'!$L$3:$N$6,2,FALSE)))</f>
        <v/>
      </c>
      <c r="N222" s="499" t="str">
        <f>IF(L222="","",IF(VLOOKUP(L222,'G-3 Multipliers'!$L$3:$N$6,3,FALSE)=0,"Spatial Data Missing ⚠",VLOOKUP(L222,'G-3 Multipliers'!$L$3:$N$6,3,FALSE)))</f>
        <v/>
      </c>
      <c r="O222" s="498" t="str">
        <f t="shared" si="15"/>
        <v/>
      </c>
      <c r="P222" s="195"/>
      <c r="Q222" s="195"/>
      <c r="R222" s="520" t="str">
        <f t="shared" si="16"/>
        <v/>
      </c>
      <c r="S222" s="544" t="str">
        <f t="shared" si="17"/>
        <v/>
      </c>
      <c r="T222" s="525" t="str">
        <f>IFERROR(IF(S222="Check Data ⚠","Check Data ⚠",VLOOKUP(S222,'G-4 Temporal multipliers'!$A$4:$C$37,3,FALSE)),"")</f>
        <v/>
      </c>
      <c r="U222" s="523" t="str">
        <f>IF(F222="","",VLOOKUP(F222,'G-3 Multipliers'!$A$2:$E$129,2,FALSE))</f>
        <v/>
      </c>
      <c r="V222" s="520" t="str">
        <f t="shared" si="19"/>
        <v/>
      </c>
      <c r="W222" s="520" t="str">
        <f>IF(E222="","",IF(AND(V222="Standard difficulty applied",O222&gt;P222),U222,IF(AND(V222="Low Difficulty - only applicable if all habitat created before losses ⚠",P222&gt;=O222),"Low",VLOOKUP(F222,'G-3 Multipliers'!$A$2:$E$129,4,FALSE))))</f>
        <v/>
      </c>
      <c r="X222" s="524" t="str">
        <f>IFERROR(IF(E222="","",VLOOKUP(W222, 'G-3 Multipliers'!$P$2:$Q$6,2,FALSE)),"")</f>
        <v/>
      </c>
      <c r="Y222" s="197"/>
      <c r="Z222" s="499" t="str">
        <f>IF(Y222="","",IF(VLOOKUP(Y222,'G-3 Multipliers'!$S$3:$T$9,2,FALSE)=0,"Spatial Data Missing ⚠",VLOOKUP(Y222,'G-3 Multipliers'!$S$3:$T$9,2,FALSE)))</f>
        <v/>
      </c>
      <c r="AA222" s="545" t="str">
        <f t="shared" si="18"/>
        <v/>
      </c>
      <c r="AB222" s="149"/>
      <c r="AC222" s="150"/>
    </row>
    <row r="223" spans="1:29" ht="13.8" x14ac:dyDescent="0.25">
      <c r="A223" s="31" t="str">
        <f>IFERROR(INDEX('G-8 Condition Look up'!$I$4:$I$130,MATCH(F223,'G-8 Condition Look up'!$A$4:$A$130,0)),"")</f>
        <v/>
      </c>
      <c r="C223" s="244" t="str">
        <f>IFERROR(INDEX('G-1 All Habitats'!$AG$3:$AG$15,MATCH(D223,'G-1 All Habitats'!$AF$3:$AF$15,0)),"")</f>
        <v/>
      </c>
      <c r="D223" s="154"/>
      <c r="E223" s="203"/>
      <c r="F223" s="243" t="str">
        <f>IFERROR(INDEX('G-1 All Habitats'!$B$3:$B$129,MATCH(E223,'G-1 All Habitats'!$A$3:$A$129,0)),"")</f>
        <v/>
      </c>
      <c r="G223" s="386"/>
      <c r="H223" s="537" t="str">
        <f>IF(F223="","",VLOOKUP(F223,'G-1 All Habitats'!$B$2:$M$129,10,FALSE))</f>
        <v/>
      </c>
      <c r="I223" s="524" t="str">
        <f>IFERROR(VLOOKUP(H223,'G-1 All Habitats'!$V$3:$W$7,2,FALSE),"")</f>
        <v/>
      </c>
      <c r="J223" s="199"/>
      <c r="K223" s="524" t="str">
        <f>IFERROR(INDEX('G-8 Condition Look up'!$A$3:$H$130,MATCH(F223,'G-8 Condition Look up'!$A$3:$A$130,0),MATCH(J223,'G-8 Condition Look up'!$A$3:$H$3,0)),"")</f>
        <v/>
      </c>
      <c r="L223" s="145"/>
      <c r="M223" s="540" t="str">
        <f>IF(L223="","",IF(VLOOKUP(L223,'G-3 Multipliers'!$L$3:$N$6,2,FALSE)=0,"Spatial Data Missing ⚠",VLOOKUP(L223,'G-3 Multipliers'!$L$3:$N$6,2,FALSE)))</f>
        <v/>
      </c>
      <c r="N223" s="499" t="str">
        <f>IF(L223="","",IF(VLOOKUP(L223,'G-3 Multipliers'!$L$3:$N$6,3,FALSE)=0,"Spatial Data Missing ⚠",VLOOKUP(L223,'G-3 Multipliers'!$L$3:$N$6,3,FALSE)))</f>
        <v/>
      </c>
      <c r="O223" s="498" t="str">
        <f t="shared" si="15"/>
        <v/>
      </c>
      <c r="P223" s="195"/>
      <c r="Q223" s="195"/>
      <c r="R223" s="520" t="str">
        <f t="shared" si="16"/>
        <v/>
      </c>
      <c r="S223" s="544" t="str">
        <f t="shared" si="17"/>
        <v/>
      </c>
      <c r="T223" s="525" t="str">
        <f>IFERROR(IF(S223="Check Data ⚠","Check Data ⚠",VLOOKUP(S223,'G-4 Temporal multipliers'!$A$4:$C$37,3,FALSE)),"")</f>
        <v/>
      </c>
      <c r="U223" s="523" t="str">
        <f>IF(F223="","",VLOOKUP(F223,'G-3 Multipliers'!$A$2:$E$129,2,FALSE))</f>
        <v/>
      </c>
      <c r="V223" s="520" t="str">
        <f t="shared" si="19"/>
        <v/>
      </c>
      <c r="W223" s="520" t="str">
        <f>IF(E223="","",IF(AND(V223="Standard difficulty applied",O223&gt;P223),U223,IF(AND(V223="Low Difficulty - only applicable if all habitat created before losses ⚠",P223&gt;=O223),"Low",VLOOKUP(F223,'G-3 Multipliers'!$A$2:$E$129,4,FALSE))))</f>
        <v/>
      </c>
      <c r="X223" s="524" t="str">
        <f>IFERROR(IF(E223="","",VLOOKUP(W223, 'G-3 Multipliers'!$P$2:$Q$6,2,FALSE)),"")</f>
        <v/>
      </c>
      <c r="Y223" s="197"/>
      <c r="Z223" s="499" t="str">
        <f>IF(Y223="","",IF(VLOOKUP(Y223,'G-3 Multipliers'!$S$3:$T$9,2,FALSE)=0,"Spatial Data Missing ⚠",VLOOKUP(Y223,'G-3 Multipliers'!$S$3:$T$9,2,FALSE)))</f>
        <v/>
      </c>
      <c r="AA223" s="545" t="str">
        <f t="shared" si="18"/>
        <v/>
      </c>
      <c r="AB223" s="149"/>
      <c r="AC223" s="150"/>
    </row>
    <row r="224" spans="1:29" ht="13.8" x14ac:dyDescent="0.25">
      <c r="A224" s="31" t="str">
        <f>IFERROR(INDEX('G-8 Condition Look up'!$I$4:$I$130,MATCH(F224,'G-8 Condition Look up'!$A$4:$A$130,0)),"")</f>
        <v/>
      </c>
      <c r="C224" s="244" t="str">
        <f>IFERROR(INDEX('G-1 All Habitats'!$AG$3:$AG$15,MATCH(D224,'G-1 All Habitats'!$AF$3:$AF$15,0)),"")</f>
        <v/>
      </c>
      <c r="D224" s="154"/>
      <c r="E224" s="203"/>
      <c r="F224" s="243" t="str">
        <f>IFERROR(INDEX('G-1 All Habitats'!$B$3:$B$129,MATCH(E224,'G-1 All Habitats'!$A$3:$A$129,0)),"")</f>
        <v/>
      </c>
      <c r="G224" s="386"/>
      <c r="H224" s="537" t="str">
        <f>IF(F224="","",VLOOKUP(F224,'G-1 All Habitats'!$B$2:$M$129,10,FALSE))</f>
        <v/>
      </c>
      <c r="I224" s="524" t="str">
        <f>IFERROR(VLOOKUP(H224,'G-1 All Habitats'!$V$3:$W$7,2,FALSE),"")</f>
        <v/>
      </c>
      <c r="J224" s="199"/>
      <c r="K224" s="524" t="str">
        <f>IFERROR(INDEX('G-8 Condition Look up'!$A$3:$H$130,MATCH(F224,'G-8 Condition Look up'!$A$3:$A$130,0),MATCH(J224,'G-8 Condition Look up'!$A$3:$H$3,0)),"")</f>
        <v/>
      </c>
      <c r="L224" s="145"/>
      <c r="M224" s="540" t="str">
        <f>IF(L224="","",IF(VLOOKUP(L224,'G-3 Multipliers'!$L$3:$N$6,2,FALSE)=0,"Spatial Data Missing ⚠",VLOOKUP(L224,'G-3 Multipliers'!$L$3:$N$6,2,FALSE)))</f>
        <v/>
      </c>
      <c r="N224" s="499" t="str">
        <f>IF(L224="","",IF(VLOOKUP(L224,'G-3 Multipliers'!$L$3:$N$6,3,FALSE)=0,"Spatial Data Missing ⚠",VLOOKUP(L224,'G-3 Multipliers'!$L$3:$N$6,3,FALSE)))</f>
        <v/>
      </c>
      <c r="O224" s="498" t="str">
        <f t="shared" si="15"/>
        <v/>
      </c>
      <c r="P224" s="195"/>
      <c r="Q224" s="195"/>
      <c r="R224" s="520" t="str">
        <f t="shared" si="16"/>
        <v/>
      </c>
      <c r="S224" s="544" t="str">
        <f t="shared" si="17"/>
        <v/>
      </c>
      <c r="T224" s="525" t="str">
        <f>IFERROR(IF(S224="Check Data ⚠","Check Data ⚠",VLOOKUP(S224,'G-4 Temporal multipliers'!$A$4:$C$37,3,FALSE)),"")</f>
        <v/>
      </c>
      <c r="U224" s="523" t="str">
        <f>IF(F224="","",VLOOKUP(F224,'G-3 Multipliers'!$A$2:$E$129,2,FALSE))</f>
        <v/>
      </c>
      <c r="V224" s="520" t="str">
        <f t="shared" si="19"/>
        <v/>
      </c>
      <c r="W224" s="520" t="str">
        <f>IF(E224="","",IF(AND(V224="Standard difficulty applied",O224&gt;P224),U224,IF(AND(V224="Low Difficulty - only applicable if all habitat created before losses ⚠",P224&gt;=O224),"Low",VLOOKUP(F224,'G-3 Multipliers'!$A$2:$E$129,4,FALSE))))</f>
        <v/>
      </c>
      <c r="X224" s="524" t="str">
        <f>IFERROR(IF(E224="","",VLOOKUP(W224, 'G-3 Multipliers'!$P$2:$Q$6,2,FALSE)),"")</f>
        <v/>
      </c>
      <c r="Y224" s="197"/>
      <c r="Z224" s="499" t="str">
        <f>IF(Y224="","",IF(VLOOKUP(Y224,'G-3 Multipliers'!$S$3:$T$9,2,FALSE)=0,"Spatial Data Missing ⚠",VLOOKUP(Y224,'G-3 Multipliers'!$S$3:$T$9,2,FALSE)))</f>
        <v/>
      </c>
      <c r="AA224" s="545" t="str">
        <f t="shared" si="18"/>
        <v/>
      </c>
      <c r="AB224" s="149"/>
      <c r="AC224" s="150"/>
    </row>
    <row r="225" spans="1:29" ht="13.8" x14ac:dyDescent="0.25">
      <c r="A225" s="31" t="str">
        <f>IFERROR(INDEX('G-8 Condition Look up'!$I$4:$I$130,MATCH(F225,'G-8 Condition Look up'!$A$4:$A$130,0)),"")</f>
        <v/>
      </c>
      <c r="C225" s="244" t="str">
        <f>IFERROR(INDEX('G-1 All Habitats'!$AG$3:$AG$15,MATCH(D225,'G-1 All Habitats'!$AF$3:$AF$15,0)),"")</f>
        <v/>
      </c>
      <c r="D225" s="154"/>
      <c r="E225" s="203"/>
      <c r="F225" s="243" t="str">
        <f>IFERROR(INDEX('G-1 All Habitats'!$B$3:$B$129,MATCH(E225,'G-1 All Habitats'!$A$3:$A$129,0)),"")</f>
        <v/>
      </c>
      <c r="G225" s="386"/>
      <c r="H225" s="537" t="str">
        <f>IF(F225="","",VLOOKUP(F225,'G-1 All Habitats'!$B$2:$M$129,10,FALSE))</f>
        <v/>
      </c>
      <c r="I225" s="524" t="str">
        <f>IFERROR(VLOOKUP(H225,'G-1 All Habitats'!$V$3:$W$7,2,FALSE),"")</f>
        <v/>
      </c>
      <c r="J225" s="199"/>
      <c r="K225" s="524" t="str">
        <f>IFERROR(INDEX('G-8 Condition Look up'!$A$3:$H$130,MATCH(F225,'G-8 Condition Look up'!$A$3:$A$130,0),MATCH(J225,'G-8 Condition Look up'!$A$3:$H$3,0)),"")</f>
        <v/>
      </c>
      <c r="L225" s="145"/>
      <c r="M225" s="540" t="str">
        <f>IF(L225="","",IF(VLOOKUP(L225,'G-3 Multipliers'!$L$3:$N$6,2,FALSE)=0,"Spatial Data Missing ⚠",VLOOKUP(L225,'G-3 Multipliers'!$L$3:$N$6,2,FALSE)))</f>
        <v/>
      </c>
      <c r="N225" s="499" t="str">
        <f>IF(L225="","",IF(VLOOKUP(L225,'G-3 Multipliers'!$L$3:$N$6,3,FALSE)=0,"Spatial Data Missing ⚠",VLOOKUP(L225,'G-3 Multipliers'!$L$3:$N$6,3,FALSE)))</f>
        <v/>
      </c>
      <c r="O225" s="498" t="str">
        <f t="shared" si="15"/>
        <v/>
      </c>
      <c r="P225" s="195"/>
      <c r="Q225" s="195"/>
      <c r="R225" s="520" t="str">
        <f t="shared" si="16"/>
        <v/>
      </c>
      <c r="S225" s="544" t="str">
        <f t="shared" si="17"/>
        <v/>
      </c>
      <c r="T225" s="525" t="str">
        <f>IFERROR(IF(S225="Check Data ⚠","Check Data ⚠",VLOOKUP(S225,'G-4 Temporal multipliers'!$A$4:$C$37,3,FALSE)),"")</f>
        <v/>
      </c>
      <c r="U225" s="523" t="str">
        <f>IF(F225="","",VLOOKUP(F225,'G-3 Multipliers'!$A$2:$E$129,2,FALSE))</f>
        <v/>
      </c>
      <c r="V225" s="520" t="str">
        <f t="shared" si="19"/>
        <v/>
      </c>
      <c r="W225" s="520" t="str">
        <f>IF(E225="","",IF(AND(V225="Standard difficulty applied",O225&gt;P225),U225,IF(AND(V225="Low Difficulty - only applicable if all habitat created before losses ⚠",P225&gt;=O225),"Low",VLOOKUP(F225,'G-3 Multipliers'!$A$2:$E$129,4,FALSE))))</f>
        <v/>
      </c>
      <c r="X225" s="524" t="str">
        <f>IFERROR(IF(E225="","",VLOOKUP(W225, 'G-3 Multipliers'!$P$2:$Q$6,2,FALSE)),"")</f>
        <v/>
      </c>
      <c r="Y225" s="197"/>
      <c r="Z225" s="499" t="str">
        <f>IF(Y225="","",IF(VLOOKUP(Y225,'G-3 Multipliers'!$S$3:$T$9,2,FALSE)=0,"Spatial Data Missing ⚠",VLOOKUP(Y225,'G-3 Multipliers'!$S$3:$T$9,2,FALSE)))</f>
        <v/>
      </c>
      <c r="AA225" s="545" t="str">
        <f t="shared" si="18"/>
        <v/>
      </c>
      <c r="AB225" s="149"/>
      <c r="AC225" s="150"/>
    </row>
    <row r="226" spans="1:29" ht="13.8" x14ac:dyDescent="0.25">
      <c r="A226" s="31" t="str">
        <f>IFERROR(INDEX('G-8 Condition Look up'!$I$4:$I$130,MATCH(F226,'G-8 Condition Look up'!$A$4:$A$130,0)),"")</f>
        <v/>
      </c>
      <c r="C226" s="244" t="str">
        <f>IFERROR(INDEX('G-1 All Habitats'!$AG$3:$AG$15,MATCH(D226,'G-1 All Habitats'!$AF$3:$AF$15,0)),"")</f>
        <v/>
      </c>
      <c r="D226" s="154"/>
      <c r="E226" s="203"/>
      <c r="F226" s="243" t="str">
        <f>IFERROR(INDEX('G-1 All Habitats'!$B$3:$B$129,MATCH(E226,'G-1 All Habitats'!$A$3:$A$129,0)),"")</f>
        <v/>
      </c>
      <c r="G226" s="386"/>
      <c r="H226" s="537" t="str">
        <f>IF(F226="","",VLOOKUP(F226,'G-1 All Habitats'!$B$2:$M$129,10,FALSE))</f>
        <v/>
      </c>
      <c r="I226" s="524" t="str">
        <f>IFERROR(VLOOKUP(H226,'G-1 All Habitats'!$V$3:$W$7,2,FALSE),"")</f>
        <v/>
      </c>
      <c r="J226" s="199"/>
      <c r="K226" s="524" t="str">
        <f>IFERROR(INDEX('G-8 Condition Look up'!$A$3:$H$130,MATCH(F226,'G-8 Condition Look up'!$A$3:$A$130,0),MATCH(J226,'G-8 Condition Look up'!$A$3:$H$3,0)),"")</f>
        <v/>
      </c>
      <c r="L226" s="145"/>
      <c r="M226" s="540" t="str">
        <f>IF(L226="","",IF(VLOOKUP(L226,'G-3 Multipliers'!$L$3:$N$6,2,FALSE)=0,"Spatial Data Missing ⚠",VLOOKUP(L226,'G-3 Multipliers'!$L$3:$N$6,2,FALSE)))</f>
        <v/>
      </c>
      <c r="N226" s="499" t="str">
        <f>IF(L226="","",IF(VLOOKUP(L226,'G-3 Multipliers'!$L$3:$N$6,3,FALSE)=0,"Spatial Data Missing ⚠",VLOOKUP(L226,'G-3 Multipliers'!$L$3:$N$6,3,FALSE)))</f>
        <v/>
      </c>
      <c r="O226" s="498" t="str">
        <f t="shared" si="15"/>
        <v/>
      </c>
      <c r="P226" s="195"/>
      <c r="Q226" s="195"/>
      <c r="R226" s="520" t="str">
        <f t="shared" si="16"/>
        <v/>
      </c>
      <c r="S226" s="544" t="str">
        <f t="shared" si="17"/>
        <v/>
      </c>
      <c r="T226" s="525" t="str">
        <f>IFERROR(IF(S226="Check Data ⚠","Check Data ⚠",VLOOKUP(S226,'G-4 Temporal multipliers'!$A$4:$C$37,3,FALSE)),"")</f>
        <v/>
      </c>
      <c r="U226" s="523" t="str">
        <f>IF(F226="","",VLOOKUP(F226,'G-3 Multipliers'!$A$2:$E$129,2,FALSE))</f>
        <v/>
      </c>
      <c r="V226" s="520" t="str">
        <f t="shared" si="19"/>
        <v/>
      </c>
      <c r="W226" s="520" t="str">
        <f>IF(E226="","",IF(AND(V226="Standard difficulty applied",O226&gt;P226),U226,IF(AND(V226="Low Difficulty - only applicable if all habitat created before losses ⚠",P226&gt;=O226),"Low",VLOOKUP(F226,'G-3 Multipliers'!$A$2:$E$129,4,FALSE))))</f>
        <v/>
      </c>
      <c r="X226" s="524" t="str">
        <f>IFERROR(IF(E226="","",VLOOKUP(W226, 'G-3 Multipliers'!$P$2:$Q$6,2,FALSE)),"")</f>
        <v/>
      </c>
      <c r="Y226" s="197"/>
      <c r="Z226" s="499" t="str">
        <f>IF(Y226="","",IF(VLOOKUP(Y226,'G-3 Multipliers'!$S$3:$T$9,2,FALSE)=0,"Spatial Data Missing ⚠",VLOOKUP(Y226,'G-3 Multipliers'!$S$3:$T$9,2,FALSE)))</f>
        <v/>
      </c>
      <c r="AA226" s="545" t="str">
        <f t="shared" si="18"/>
        <v/>
      </c>
      <c r="AB226" s="149"/>
      <c r="AC226" s="150"/>
    </row>
    <row r="227" spans="1:29" ht="13.8" x14ac:dyDescent="0.25">
      <c r="A227" s="31" t="str">
        <f>IFERROR(INDEX('G-8 Condition Look up'!$I$4:$I$130,MATCH(F227,'G-8 Condition Look up'!$A$4:$A$130,0)),"")</f>
        <v/>
      </c>
      <c r="C227" s="244" t="str">
        <f>IFERROR(INDEX('G-1 All Habitats'!$AG$3:$AG$15,MATCH(D227,'G-1 All Habitats'!$AF$3:$AF$15,0)),"")</f>
        <v/>
      </c>
      <c r="D227" s="154"/>
      <c r="E227" s="203"/>
      <c r="F227" s="243" t="str">
        <f>IFERROR(INDEX('G-1 All Habitats'!$B$3:$B$129,MATCH(E227,'G-1 All Habitats'!$A$3:$A$129,0)),"")</f>
        <v/>
      </c>
      <c r="G227" s="386"/>
      <c r="H227" s="537" t="str">
        <f>IF(F227="","",VLOOKUP(F227,'G-1 All Habitats'!$B$2:$M$129,10,FALSE))</f>
        <v/>
      </c>
      <c r="I227" s="524" t="str">
        <f>IFERROR(VLOOKUP(H227,'G-1 All Habitats'!$V$3:$W$7,2,FALSE),"")</f>
        <v/>
      </c>
      <c r="J227" s="199"/>
      <c r="K227" s="524" t="str">
        <f>IFERROR(INDEX('G-8 Condition Look up'!$A$3:$H$130,MATCH(F227,'G-8 Condition Look up'!$A$3:$A$130,0),MATCH(J227,'G-8 Condition Look up'!$A$3:$H$3,0)),"")</f>
        <v/>
      </c>
      <c r="L227" s="145"/>
      <c r="M227" s="540" t="str">
        <f>IF(L227="","",IF(VLOOKUP(L227,'G-3 Multipliers'!$L$3:$N$6,2,FALSE)=0,"Spatial Data Missing ⚠",VLOOKUP(L227,'G-3 Multipliers'!$L$3:$N$6,2,FALSE)))</f>
        <v/>
      </c>
      <c r="N227" s="499" t="str">
        <f>IF(L227="","",IF(VLOOKUP(L227,'G-3 Multipliers'!$L$3:$N$6,3,FALSE)=0,"Spatial Data Missing ⚠",VLOOKUP(L227,'G-3 Multipliers'!$L$3:$N$6,3,FALSE)))</f>
        <v/>
      </c>
      <c r="O227" s="498" t="str">
        <f t="shared" si="15"/>
        <v/>
      </c>
      <c r="P227" s="195"/>
      <c r="Q227" s="195"/>
      <c r="R227" s="520" t="str">
        <f t="shared" si="16"/>
        <v/>
      </c>
      <c r="S227" s="544" t="str">
        <f t="shared" si="17"/>
        <v/>
      </c>
      <c r="T227" s="525" t="str">
        <f>IFERROR(IF(S227="Check Data ⚠","Check Data ⚠",VLOOKUP(S227,'G-4 Temporal multipliers'!$A$4:$C$37,3,FALSE)),"")</f>
        <v/>
      </c>
      <c r="U227" s="523" t="str">
        <f>IF(F227="","",VLOOKUP(F227,'G-3 Multipliers'!$A$2:$E$129,2,FALSE))</f>
        <v/>
      </c>
      <c r="V227" s="520" t="str">
        <f t="shared" si="19"/>
        <v/>
      </c>
      <c r="W227" s="520" t="str">
        <f>IF(E227="","",IF(AND(V227="Standard difficulty applied",O227&gt;P227),U227,IF(AND(V227="Low Difficulty - only applicable if all habitat created before losses ⚠",P227&gt;=O227),"Low",VLOOKUP(F227,'G-3 Multipliers'!$A$2:$E$129,4,FALSE))))</f>
        <v/>
      </c>
      <c r="X227" s="524" t="str">
        <f>IFERROR(IF(E227="","",VLOOKUP(W227, 'G-3 Multipliers'!$P$2:$Q$6,2,FALSE)),"")</f>
        <v/>
      </c>
      <c r="Y227" s="197"/>
      <c r="Z227" s="499" t="str">
        <f>IF(Y227="","",IF(VLOOKUP(Y227,'G-3 Multipliers'!$S$3:$T$9,2,FALSE)=0,"Spatial Data Missing ⚠",VLOOKUP(Y227,'G-3 Multipliers'!$S$3:$T$9,2,FALSE)))</f>
        <v/>
      </c>
      <c r="AA227" s="545" t="str">
        <f t="shared" si="18"/>
        <v/>
      </c>
      <c r="AB227" s="149"/>
      <c r="AC227" s="150"/>
    </row>
    <row r="228" spans="1:29" ht="13.8" x14ac:dyDescent="0.25">
      <c r="A228" s="31" t="str">
        <f>IFERROR(INDEX('G-8 Condition Look up'!$I$4:$I$130,MATCH(F228,'G-8 Condition Look up'!$A$4:$A$130,0)),"")</f>
        <v/>
      </c>
      <c r="C228" s="244" t="str">
        <f>IFERROR(INDEX('G-1 All Habitats'!$AG$3:$AG$15,MATCH(D228,'G-1 All Habitats'!$AF$3:$AF$15,0)),"")</f>
        <v/>
      </c>
      <c r="D228" s="154"/>
      <c r="E228" s="203"/>
      <c r="F228" s="243" t="str">
        <f>IFERROR(INDEX('G-1 All Habitats'!$B$3:$B$129,MATCH(E228,'G-1 All Habitats'!$A$3:$A$129,0)),"")</f>
        <v/>
      </c>
      <c r="G228" s="386"/>
      <c r="H228" s="537" t="str">
        <f>IF(F228="","",VLOOKUP(F228,'G-1 All Habitats'!$B$2:$M$129,10,FALSE))</f>
        <v/>
      </c>
      <c r="I228" s="524" t="str">
        <f>IFERROR(VLOOKUP(H228,'G-1 All Habitats'!$V$3:$W$7,2,FALSE),"")</f>
        <v/>
      </c>
      <c r="J228" s="199"/>
      <c r="K228" s="524" t="str">
        <f>IFERROR(INDEX('G-8 Condition Look up'!$A$3:$H$130,MATCH(F228,'G-8 Condition Look up'!$A$3:$A$130,0),MATCH(J228,'G-8 Condition Look up'!$A$3:$H$3,0)),"")</f>
        <v/>
      </c>
      <c r="L228" s="145"/>
      <c r="M228" s="540" t="str">
        <f>IF(L228="","",IF(VLOOKUP(L228,'G-3 Multipliers'!$L$3:$N$6,2,FALSE)=0,"Spatial Data Missing ⚠",VLOOKUP(L228,'G-3 Multipliers'!$L$3:$N$6,2,FALSE)))</f>
        <v/>
      </c>
      <c r="N228" s="499" t="str">
        <f>IF(L228="","",IF(VLOOKUP(L228,'G-3 Multipliers'!$L$3:$N$6,3,FALSE)=0,"Spatial Data Missing ⚠",VLOOKUP(L228,'G-3 Multipliers'!$L$3:$N$6,3,FALSE)))</f>
        <v/>
      </c>
      <c r="O228" s="498" t="str">
        <f t="shared" si="15"/>
        <v/>
      </c>
      <c r="P228" s="195"/>
      <c r="Q228" s="195"/>
      <c r="R228" s="520" t="str">
        <f t="shared" si="16"/>
        <v/>
      </c>
      <c r="S228" s="544" t="str">
        <f t="shared" si="17"/>
        <v/>
      </c>
      <c r="T228" s="525" t="str">
        <f>IFERROR(IF(S228="Check Data ⚠","Check Data ⚠",VLOOKUP(S228,'G-4 Temporal multipliers'!$A$4:$C$37,3,FALSE)),"")</f>
        <v/>
      </c>
      <c r="U228" s="523" t="str">
        <f>IF(F228="","",VLOOKUP(F228,'G-3 Multipliers'!$A$2:$E$129,2,FALSE))</f>
        <v/>
      </c>
      <c r="V228" s="520" t="str">
        <f t="shared" si="19"/>
        <v/>
      </c>
      <c r="W228" s="520" t="str">
        <f>IF(E228="","",IF(AND(V228="Standard difficulty applied",O228&gt;P228),U228,IF(AND(V228="Low Difficulty - only applicable if all habitat created before losses ⚠",P228&gt;=O228),"Low",VLOOKUP(F228,'G-3 Multipliers'!$A$2:$E$129,4,FALSE))))</f>
        <v/>
      </c>
      <c r="X228" s="524" t="str">
        <f>IFERROR(IF(E228="","",VLOOKUP(W228, 'G-3 Multipliers'!$P$2:$Q$6,2,FALSE)),"")</f>
        <v/>
      </c>
      <c r="Y228" s="197"/>
      <c r="Z228" s="499" t="str">
        <f>IF(Y228="","",IF(VLOOKUP(Y228,'G-3 Multipliers'!$S$3:$T$9,2,FALSE)=0,"Spatial Data Missing ⚠",VLOOKUP(Y228,'G-3 Multipliers'!$S$3:$T$9,2,FALSE)))</f>
        <v/>
      </c>
      <c r="AA228" s="545" t="str">
        <f t="shared" si="18"/>
        <v/>
      </c>
      <c r="AB228" s="149"/>
      <c r="AC228" s="150"/>
    </row>
    <row r="229" spans="1:29" ht="13.8" x14ac:dyDescent="0.25">
      <c r="A229" s="31" t="str">
        <f>IFERROR(INDEX('G-8 Condition Look up'!$I$4:$I$130,MATCH(F229,'G-8 Condition Look up'!$A$4:$A$130,0)),"")</f>
        <v/>
      </c>
      <c r="C229" s="244" t="str">
        <f>IFERROR(INDEX('G-1 All Habitats'!$AG$3:$AG$15,MATCH(D229,'G-1 All Habitats'!$AF$3:$AF$15,0)),"")</f>
        <v/>
      </c>
      <c r="D229" s="154"/>
      <c r="E229" s="203"/>
      <c r="F229" s="243" t="str">
        <f>IFERROR(INDEX('G-1 All Habitats'!$B$3:$B$129,MATCH(E229,'G-1 All Habitats'!$A$3:$A$129,0)),"")</f>
        <v/>
      </c>
      <c r="G229" s="386"/>
      <c r="H229" s="537" t="str">
        <f>IF(F229="","",VLOOKUP(F229,'G-1 All Habitats'!$B$2:$M$129,10,FALSE))</f>
        <v/>
      </c>
      <c r="I229" s="524" t="str">
        <f>IFERROR(VLOOKUP(H229,'G-1 All Habitats'!$V$3:$W$7,2,FALSE),"")</f>
        <v/>
      </c>
      <c r="J229" s="199"/>
      <c r="K229" s="524" t="str">
        <f>IFERROR(INDEX('G-8 Condition Look up'!$A$3:$H$130,MATCH(F229,'G-8 Condition Look up'!$A$3:$A$130,0),MATCH(J229,'G-8 Condition Look up'!$A$3:$H$3,0)),"")</f>
        <v/>
      </c>
      <c r="L229" s="145"/>
      <c r="M229" s="540" t="str">
        <f>IF(L229="","",IF(VLOOKUP(L229,'G-3 Multipliers'!$L$3:$N$6,2,FALSE)=0,"Spatial Data Missing ⚠",VLOOKUP(L229,'G-3 Multipliers'!$L$3:$N$6,2,FALSE)))</f>
        <v/>
      </c>
      <c r="N229" s="499" t="str">
        <f>IF(L229="","",IF(VLOOKUP(L229,'G-3 Multipliers'!$L$3:$N$6,3,FALSE)=0,"Spatial Data Missing ⚠",VLOOKUP(L229,'G-3 Multipliers'!$L$3:$N$6,3,FALSE)))</f>
        <v/>
      </c>
      <c r="O229" s="498" t="str">
        <f t="shared" si="15"/>
        <v/>
      </c>
      <c r="P229" s="195"/>
      <c r="Q229" s="195"/>
      <c r="R229" s="520" t="str">
        <f t="shared" si="16"/>
        <v/>
      </c>
      <c r="S229" s="544" t="str">
        <f t="shared" si="17"/>
        <v/>
      </c>
      <c r="T229" s="525" t="str">
        <f>IFERROR(IF(S229="Check Data ⚠","Check Data ⚠",VLOOKUP(S229,'G-4 Temporal multipliers'!$A$4:$C$37,3,FALSE)),"")</f>
        <v/>
      </c>
      <c r="U229" s="523" t="str">
        <f>IF(F229="","",VLOOKUP(F229,'G-3 Multipliers'!$A$2:$E$129,2,FALSE))</f>
        <v/>
      </c>
      <c r="V229" s="520" t="str">
        <f t="shared" si="19"/>
        <v/>
      </c>
      <c r="W229" s="520" t="str">
        <f>IF(E229="","",IF(AND(V229="Standard difficulty applied",O229&gt;P229),U229,IF(AND(V229="Low Difficulty - only applicable if all habitat created before losses ⚠",P229&gt;=O229),"Low",VLOOKUP(F229,'G-3 Multipliers'!$A$2:$E$129,4,FALSE))))</f>
        <v/>
      </c>
      <c r="X229" s="524" t="str">
        <f>IFERROR(IF(E229="","",VLOOKUP(W229, 'G-3 Multipliers'!$P$2:$Q$6,2,FALSE)),"")</f>
        <v/>
      </c>
      <c r="Y229" s="197"/>
      <c r="Z229" s="499" t="str">
        <f>IF(Y229="","",IF(VLOOKUP(Y229,'G-3 Multipliers'!$S$3:$T$9,2,FALSE)=0,"Spatial Data Missing ⚠",VLOOKUP(Y229,'G-3 Multipliers'!$S$3:$T$9,2,FALSE)))</f>
        <v/>
      </c>
      <c r="AA229" s="545" t="str">
        <f t="shared" si="18"/>
        <v/>
      </c>
      <c r="AB229" s="149"/>
      <c r="AC229" s="150"/>
    </row>
    <row r="230" spans="1:29" ht="13.8" x14ac:dyDescent="0.25">
      <c r="A230" s="31" t="str">
        <f>IFERROR(INDEX('G-8 Condition Look up'!$I$4:$I$130,MATCH(F230,'G-8 Condition Look up'!$A$4:$A$130,0)),"")</f>
        <v/>
      </c>
      <c r="C230" s="244" t="str">
        <f>IFERROR(INDEX('G-1 All Habitats'!$AG$3:$AG$15,MATCH(D230,'G-1 All Habitats'!$AF$3:$AF$15,0)),"")</f>
        <v/>
      </c>
      <c r="D230" s="154"/>
      <c r="E230" s="203"/>
      <c r="F230" s="243" t="str">
        <f>IFERROR(INDEX('G-1 All Habitats'!$B$3:$B$129,MATCH(E230,'G-1 All Habitats'!$A$3:$A$129,0)),"")</f>
        <v/>
      </c>
      <c r="G230" s="386"/>
      <c r="H230" s="537" t="str">
        <f>IF(F230="","",VLOOKUP(F230,'G-1 All Habitats'!$B$2:$M$129,10,FALSE))</f>
        <v/>
      </c>
      <c r="I230" s="524" t="str">
        <f>IFERROR(VLOOKUP(H230,'G-1 All Habitats'!$V$3:$W$7,2,FALSE),"")</f>
        <v/>
      </c>
      <c r="J230" s="199"/>
      <c r="K230" s="524" t="str">
        <f>IFERROR(INDEX('G-8 Condition Look up'!$A$3:$H$130,MATCH(F230,'G-8 Condition Look up'!$A$3:$A$130,0),MATCH(J230,'G-8 Condition Look up'!$A$3:$H$3,0)),"")</f>
        <v/>
      </c>
      <c r="L230" s="145"/>
      <c r="M230" s="540" t="str">
        <f>IF(L230="","",IF(VLOOKUP(L230,'G-3 Multipliers'!$L$3:$N$6,2,FALSE)=0,"Spatial Data Missing ⚠",VLOOKUP(L230,'G-3 Multipliers'!$L$3:$N$6,2,FALSE)))</f>
        <v/>
      </c>
      <c r="N230" s="499" t="str">
        <f>IF(L230="","",IF(VLOOKUP(L230,'G-3 Multipliers'!$L$3:$N$6,3,FALSE)=0,"Spatial Data Missing ⚠",VLOOKUP(L230,'G-3 Multipliers'!$L$3:$N$6,3,FALSE)))</f>
        <v/>
      </c>
      <c r="O230" s="498" t="str">
        <f t="shared" si="15"/>
        <v/>
      </c>
      <c r="P230" s="195"/>
      <c r="Q230" s="195"/>
      <c r="R230" s="520" t="str">
        <f t="shared" si="16"/>
        <v/>
      </c>
      <c r="S230" s="544" t="str">
        <f t="shared" si="17"/>
        <v/>
      </c>
      <c r="T230" s="525" t="str">
        <f>IFERROR(IF(S230="Check Data ⚠","Check Data ⚠",VLOOKUP(S230,'G-4 Temporal multipliers'!$A$4:$C$37,3,FALSE)),"")</f>
        <v/>
      </c>
      <c r="U230" s="523" t="str">
        <f>IF(F230="","",VLOOKUP(F230,'G-3 Multipliers'!$A$2:$E$129,2,FALSE))</f>
        <v/>
      </c>
      <c r="V230" s="520" t="str">
        <f t="shared" si="19"/>
        <v/>
      </c>
      <c r="W230" s="520" t="str">
        <f>IF(E230="","",IF(AND(V230="Standard difficulty applied",O230&gt;P230),U230,IF(AND(V230="Low Difficulty - only applicable if all habitat created before losses ⚠",P230&gt;=O230),"Low",VLOOKUP(F230,'G-3 Multipliers'!$A$2:$E$129,4,FALSE))))</f>
        <v/>
      </c>
      <c r="X230" s="524" t="str">
        <f>IFERROR(IF(E230="","",VLOOKUP(W230, 'G-3 Multipliers'!$P$2:$Q$6,2,FALSE)),"")</f>
        <v/>
      </c>
      <c r="Y230" s="197"/>
      <c r="Z230" s="499" t="str">
        <f>IF(Y230="","",IF(VLOOKUP(Y230,'G-3 Multipliers'!$S$3:$T$9,2,FALSE)=0,"Spatial Data Missing ⚠",VLOOKUP(Y230,'G-3 Multipliers'!$S$3:$T$9,2,FALSE)))</f>
        <v/>
      </c>
      <c r="AA230" s="545" t="str">
        <f t="shared" si="18"/>
        <v/>
      </c>
      <c r="AB230" s="149"/>
      <c r="AC230" s="150"/>
    </row>
    <row r="231" spans="1:29" ht="13.8" x14ac:dyDescent="0.25">
      <c r="A231" s="31" t="str">
        <f>IFERROR(INDEX('G-8 Condition Look up'!$I$4:$I$130,MATCH(F231,'G-8 Condition Look up'!$A$4:$A$130,0)),"")</f>
        <v/>
      </c>
      <c r="C231" s="244" t="str">
        <f>IFERROR(INDEX('G-1 All Habitats'!$AG$3:$AG$15,MATCH(D231,'G-1 All Habitats'!$AF$3:$AF$15,0)),"")</f>
        <v/>
      </c>
      <c r="D231" s="154"/>
      <c r="E231" s="203"/>
      <c r="F231" s="243" t="str">
        <f>IFERROR(INDEX('G-1 All Habitats'!$B$3:$B$129,MATCH(E231,'G-1 All Habitats'!$A$3:$A$129,0)),"")</f>
        <v/>
      </c>
      <c r="G231" s="386"/>
      <c r="H231" s="537" t="str">
        <f>IF(F231="","",VLOOKUP(F231,'G-1 All Habitats'!$B$2:$M$129,10,FALSE))</f>
        <v/>
      </c>
      <c r="I231" s="524" t="str">
        <f>IFERROR(VLOOKUP(H231,'G-1 All Habitats'!$V$3:$W$7,2,FALSE),"")</f>
        <v/>
      </c>
      <c r="J231" s="199"/>
      <c r="K231" s="524" t="str">
        <f>IFERROR(INDEX('G-8 Condition Look up'!$A$3:$H$130,MATCH(F231,'G-8 Condition Look up'!$A$3:$A$130,0),MATCH(J231,'G-8 Condition Look up'!$A$3:$H$3,0)),"")</f>
        <v/>
      </c>
      <c r="L231" s="145"/>
      <c r="M231" s="540" t="str">
        <f>IF(L231="","",IF(VLOOKUP(L231,'G-3 Multipliers'!$L$3:$N$6,2,FALSE)=0,"Spatial Data Missing ⚠",VLOOKUP(L231,'G-3 Multipliers'!$L$3:$N$6,2,FALSE)))</f>
        <v/>
      </c>
      <c r="N231" s="499" t="str">
        <f>IF(L231="","",IF(VLOOKUP(L231,'G-3 Multipliers'!$L$3:$N$6,3,FALSE)=0,"Spatial Data Missing ⚠",VLOOKUP(L231,'G-3 Multipliers'!$L$3:$N$6,3,FALSE)))</f>
        <v/>
      </c>
      <c r="O231" s="498" t="str">
        <f t="shared" si="15"/>
        <v/>
      </c>
      <c r="P231" s="195"/>
      <c r="Q231" s="195"/>
      <c r="R231" s="520" t="str">
        <f t="shared" si="16"/>
        <v/>
      </c>
      <c r="S231" s="544" t="str">
        <f t="shared" si="17"/>
        <v/>
      </c>
      <c r="T231" s="525" t="str">
        <f>IFERROR(IF(S231="Check Data ⚠","Check Data ⚠",VLOOKUP(S231,'G-4 Temporal multipliers'!$A$4:$C$37,3,FALSE)),"")</f>
        <v/>
      </c>
      <c r="U231" s="523" t="str">
        <f>IF(F231="","",VLOOKUP(F231,'G-3 Multipliers'!$A$2:$E$129,2,FALSE))</f>
        <v/>
      </c>
      <c r="V231" s="520" t="str">
        <f t="shared" si="19"/>
        <v/>
      </c>
      <c r="W231" s="520" t="str">
        <f>IF(E231="","",IF(AND(V231="Standard difficulty applied",O231&gt;P231),U231,IF(AND(V231="Low Difficulty - only applicable if all habitat created before losses ⚠",P231&gt;=O231),"Low",VLOOKUP(F231,'G-3 Multipliers'!$A$2:$E$129,4,FALSE))))</f>
        <v/>
      </c>
      <c r="X231" s="524" t="str">
        <f>IFERROR(IF(E231="","",VLOOKUP(W231, 'G-3 Multipliers'!$P$2:$Q$6,2,FALSE)),"")</f>
        <v/>
      </c>
      <c r="Y231" s="197"/>
      <c r="Z231" s="499" t="str">
        <f>IF(Y231="","",IF(VLOOKUP(Y231,'G-3 Multipliers'!$S$3:$T$9,2,FALSE)=0,"Spatial Data Missing ⚠",VLOOKUP(Y231,'G-3 Multipliers'!$S$3:$T$9,2,FALSE)))</f>
        <v/>
      </c>
      <c r="AA231" s="545" t="str">
        <f t="shared" si="18"/>
        <v/>
      </c>
      <c r="AB231" s="149"/>
      <c r="AC231" s="150"/>
    </row>
    <row r="232" spans="1:29" ht="13.8" x14ac:dyDescent="0.25">
      <c r="A232" s="31" t="str">
        <f>IFERROR(INDEX('G-8 Condition Look up'!$I$4:$I$130,MATCH(F232,'G-8 Condition Look up'!$A$4:$A$130,0)),"")</f>
        <v/>
      </c>
      <c r="C232" s="244" t="str">
        <f>IFERROR(INDEX('G-1 All Habitats'!$AG$3:$AG$15,MATCH(D232,'G-1 All Habitats'!$AF$3:$AF$15,0)),"")</f>
        <v/>
      </c>
      <c r="D232" s="154"/>
      <c r="E232" s="203"/>
      <c r="F232" s="243" t="str">
        <f>IFERROR(INDEX('G-1 All Habitats'!$B$3:$B$129,MATCH(E232,'G-1 All Habitats'!$A$3:$A$129,0)),"")</f>
        <v/>
      </c>
      <c r="G232" s="386"/>
      <c r="H232" s="537" t="str">
        <f>IF(F232="","",VLOOKUP(F232,'G-1 All Habitats'!$B$2:$M$129,10,FALSE))</f>
        <v/>
      </c>
      <c r="I232" s="524" t="str">
        <f>IFERROR(VLOOKUP(H232,'G-1 All Habitats'!$V$3:$W$7,2,FALSE),"")</f>
        <v/>
      </c>
      <c r="J232" s="199"/>
      <c r="K232" s="524" t="str">
        <f>IFERROR(INDEX('G-8 Condition Look up'!$A$3:$H$130,MATCH(F232,'G-8 Condition Look up'!$A$3:$A$130,0),MATCH(J232,'G-8 Condition Look up'!$A$3:$H$3,0)),"")</f>
        <v/>
      </c>
      <c r="L232" s="145"/>
      <c r="M232" s="540" t="str">
        <f>IF(L232="","",IF(VLOOKUP(L232,'G-3 Multipliers'!$L$3:$N$6,2,FALSE)=0,"Spatial Data Missing ⚠",VLOOKUP(L232,'G-3 Multipliers'!$L$3:$N$6,2,FALSE)))</f>
        <v/>
      </c>
      <c r="N232" s="499" t="str">
        <f>IF(L232="","",IF(VLOOKUP(L232,'G-3 Multipliers'!$L$3:$N$6,3,FALSE)=0,"Spatial Data Missing ⚠",VLOOKUP(L232,'G-3 Multipliers'!$L$3:$N$6,3,FALSE)))</f>
        <v/>
      </c>
      <c r="O232" s="498" t="str">
        <f t="shared" si="15"/>
        <v/>
      </c>
      <c r="P232" s="195"/>
      <c r="Q232" s="195"/>
      <c r="R232" s="520" t="str">
        <f t="shared" si="16"/>
        <v/>
      </c>
      <c r="S232" s="544" t="str">
        <f t="shared" si="17"/>
        <v/>
      </c>
      <c r="T232" s="525" t="str">
        <f>IFERROR(IF(S232="Check Data ⚠","Check Data ⚠",VLOOKUP(S232,'G-4 Temporal multipliers'!$A$4:$C$37,3,FALSE)),"")</f>
        <v/>
      </c>
      <c r="U232" s="523" t="str">
        <f>IF(F232="","",VLOOKUP(F232,'G-3 Multipliers'!$A$2:$E$129,2,FALSE))</f>
        <v/>
      </c>
      <c r="V232" s="520" t="str">
        <f t="shared" si="19"/>
        <v/>
      </c>
      <c r="W232" s="520" t="str">
        <f>IF(E232="","",IF(AND(V232="Standard difficulty applied",O232&gt;P232),U232,IF(AND(V232="Low Difficulty - only applicable if all habitat created before losses ⚠",P232&gt;=O232),"Low",VLOOKUP(F232,'G-3 Multipliers'!$A$2:$E$129,4,FALSE))))</f>
        <v/>
      </c>
      <c r="X232" s="524" t="str">
        <f>IFERROR(IF(E232="","",VLOOKUP(W232, 'G-3 Multipliers'!$P$2:$Q$6,2,FALSE)),"")</f>
        <v/>
      </c>
      <c r="Y232" s="197"/>
      <c r="Z232" s="499" t="str">
        <f>IF(Y232="","",IF(VLOOKUP(Y232,'G-3 Multipliers'!$S$3:$T$9,2,FALSE)=0,"Spatial Data Missing ⚠",VLOOKUP(Y232,'G-3 Multipliers'!$S$3:$T$9,2,FALSE)))</f>
        <v/>
      </c>
      <c r="AA232" s="545" t="str">
        <f t="shared" si="18"/>
        <v/>
      </c>
      <c r="AB232" s="149"/>
      <c r="AC232" s="150"/>
    </row>
    <row r="233" spans="1:29" ht="13.8" x14ac:dyDescent="0.25">
      <c r="A233" s="31" t="str">
        <f>IFERROR(INDEX('G-8 Condition Look up'!$I$4:$I$130,MATCH(F233,'G-8 Condition Look up'!$A$4:$A$130,0)),"")</f>
        <v/>
      </c>
      <c r="C233" s="244" t="str">
        <f>IFERROR(INDEX('G-1 All Habitats'!$AG$3:$AG$15,MATCH(D233,'G-1 All Habitats'!$AF$3:$AF$15,0)),"")</f>
        <v/>
      </c>
      <c r="D233" s="154"/>
      <c r="E233" s="203"/>
      <c r="F233" s="243" t="str">
        <f>IFERROR(INDEX('G-1 All Habitats'!$B$3:$B$129,MATCH(E233,'G-1 All Habitats'!$A$3:$A$129,0)),"")</f>
        <v/>
      </c>
      <c r="G233" s="386"/>
      <c r="H233" s="537" t="str">
        <f>IF(F233="","",VLOOKUP(F233,'G-1 All Habitats'!$B$2:$M$129,10,FALSE))</f>
        <v/>
      </c>
      <c r="I233" s="524" t="str">
        <f>IFERROR(VLOOKUP(H233,'G-1 All Habitats'!$V$3:$W$7,2,FALSE),"")</f>
        <v/>
      </c>
      <c r="J233" s="199"/>
      <c r="K233" s="524" t="str">
        <f>IFERROR(INDEX('G-8 Condition Look up'!$A$3:$H$130,MATCH(F233,'G-8 Condition Look up'!$A$3:$A$130,0),MATCH(J233,'G-8 Condition Look up'!$A$3:$H$3,0)),"")</f>
        <v/>
      </c>
      <c r="L233" s="145"/>
      <c r="M233" s="540" t="str">
        <f>IF(L233="","",IF(VLOOKUP(L233,'G-3 Multipliers'!$L$3:$N$6,2,FALSE)=0,"Spatial Data Missing ⚠",VLOOKUP(L233,'G-3 Multipliers'!$L$3:$N$6,2,FALSE)))</f>
        <v/>
      </c>
      <c r="N233" s="499" t="str">
        <f>IF(L233="","",IF(VLOOKUP(L233,'G-3 Multipliers'!$L$3:$N$6,3,FALSE)=0,"Spatial Data Missing ⚠",VLOOKUP(L233,'G-3 Multipliers'!$L$3:$N$6,3,FALSE)))</f>
        <v/>
      </c>
      <c r="O233" s="498" t="str">
        <f t="shared" si="15"/>
        <v/>
      </c>
      <c r="P233" s="195"/>
      <c r="Q233" s="195"/>
      <c r="R233" s="520" t="str">
        <f t="shared" si="16"/>
        <v/>
      </c>
      <c r="S233" s="544" t="str">
        <f t="shared" si="17"/>
        <v/>
      </c>
      <c r="T233" s="525" t="str">
        <f>IFERROR(IF(S233="Check Data ⚠","Check Data ⚠",VLOOKUP(S233,'G-4 Temporal multipliers'!$A$4:$C$37,3,FALSE)),"")</f>
        <v/>
      </c>
      <c r="U233" s="523" t="str">
        <f>IF(F233="","",VLOOKUP(F233,'G-3 Multipliers'!$A$2:$E$129,2,FALSE))</f>
        <v/>
      </c>
      <c r="V233" s="520" t="str">
        <f t="shared" si="19"/>
        <v/>
      </c>
      <c r="W233" s="520" t="str">
        <f>IF(E233="","",IF(AND(V233="Standard difficulty applied",O233&gt;P233),U233,IF(AND(V233="Low Difficulty - only applicable if all habitat created before losses ⚠",P233&gt;=O233),"Low",VLOOKUP(F233,'G-3 Multipliers'!$A$2:$E$129,4,FALSE))))</f>
        <v/>
      </c>
      <c r="X233" s="524" t="str">
        <f>IFERROR(IF(E233="","",VLOOKUP(W233, 'G-3 Multipliers'!$P$2:$Q$6,2,FALSE)),"")</f>
        <v/>
      </c>
      <c r="Y233" s="197"/>
      <c r="Z233" s="499" t="str">
        <f>IF(Y233="","",IF(VLOOKUP(Y233,'G-3 Multipliers'!$S$3:$T$9,2,FALSE)=0,"Spatial Data Missing ⚠",VLOOKUP(Y233,'G-3 Multipliers'!$S$3:$T$9,2,FALSE)))</f>
        <v/>
      </c>
      <c r="AA233" s="545" t="str">
        <f t="shared" si="18"/>
        <v/>
      </c>
      <c r="AB233" s="149"/>
      <c r="AC233" s="150"/>
    </row>
    <row r="234" spans="1:29" ht="13.8" x14ac:dyDescent="0.25">
      <c r="A234" s="31" t="str">
        <f>IFERROR(INDEX('G-8 Condition Look up'!$I$4:$I$130,MATCH(F234,'G-8 Condition Look up'!$A$4:$A$130,0)),"")</f>
        <v/>
      </c>
      <c r="C234" s="244" t="str">
        <f>IFERROR(INDEX('G-1 All Habitats'!$AG$3:$AG$15,MATCH(D234,'G-1 All Habitats'!$AF$3:$AF$15,0)),"")</f>
        <v/>
      </c>
      <c r="D234" s="154"/>
      <c r="E234" s="203"/>
      <c r="F234" s="243" t="str">
        <f>IFERROR(INDEX('G-1 All Habitats'!$B$3:$B$129,MATCH(E234,'G-1 All Habitats'!$A$3:$A$129,0)),"")</f>
        <v/>
      </c>
      <c r="G234" s="386"/>
      <c r="H234" s="537" t="str">
        <f>IF(F234="","",VLOOKUP(F234,'G-1 All Habitats'!$B$2:$M$129,10,FALSE))</f>
        <v/>
      </c>
      <c r="I234" s="524" t="str">
        <f>IFERROR(VLOOKUP(H234,'G-1 All Habitats'!$V$3:$W$7,2,FALSE),"")</f>
        <v/>
      </c>
      <c r="J234" s="199"/>
      <c r="K234" s="524" t="str">
        <f>IFERROR(INDEX('G-8 Condition Look up'!$A$3:$H$130,MATCH(F234,'G-8 Condition Look up'!$A$3:$A$130,0),MATCH(J234,'G-8 Condition Look up'!$A$3:$H$3,0)),"")</f>
        <v/>
      </c>
      <c r="L234" s="145"/>
      <c r="M234" s="540" t="str">
        <f>IF(L234="","",IF(VLOOKUP(L234,'G-3 Multipliers'!$L$3:$N$6,2,FALSE)=0,"Spatial Data Missing ⚠",VLOOKUP(L234,'G-3 Multipliers'!$L$3:$N$6,2,FALSE)))</f>
        <v/>
      </c>
      <c r="N234" s="499" t="str">
        <f>IF(L234="","",IF(VLOOKUP(L234,'G-3 Multipliers'!$L$3:$N$6,3,FALSE)=0,"Spatial Data Missing ⚠",VLOOKUP(L234,'G-3 Multipliers'!$L$3:$N$6,3,FALSE)))</f>
        <v/>
      </c>
      <c r="O234" s="498" t="str">
        <f t="shared" si="15"/>
        <v/>
      </c>
      <c r="P234" s="195"/>
      <c r="Q234" s="195"/>
      <c r="R234" s="520" t="str">
        <f t="shared" si="16"/>
        <v/>
      </c>
      <c r="S234" s="544" t="str">
        <f t="shared" si="17"/>
        <v/>
      </c>
      <c r="T234" s="525" t="str">
        <f>IFERROR(IF(S234="Check Data ⚠","Check Data ⚠",VLOOKUP(S234,'G-4 Temporal multipliers'!$A$4:$C$37,3,FALSE)),"")</f>
        <v/>
      </c>
      <c r="U234" s="523" t="str">
        <f>IF(F234="","",VLOOKUP(F234,'G-3 Multipliers'!$A$2:$E$129,2,FALSE))</f>
        <v/>
      </c>
      <c r="V234" s="520" t="str">
        <f t="shared" si="19"/>
        <v/>
      </c>
      <c r="W234" s="520" t="str">
        <f>IF(E234="","",IF(AND(V234="Standard difficulty applied",O234&gt;P234),U234,IF(AND(V234="Low Difficulty - only applicable if all habitat created before losses ⚠",P234&gt;=O234),"Low",VLOOKUP(F234,'G-3 Multipliers'!$A$2:$E$129,4,FALSE))))</f>
        <v/>
      </c>
      <c r="X234" s="524" t="str">
        <f>IFERROR(IF(E234="","",VLOOKUP(W234, 'G-3 Multipliers'!$P$2:$Q$6,2,FALSE)),"")</f>
        <v/>
      </c>
      <c r="Y234" s="197"/>
      <c r="Z234" s="499" t="str">
        <f>IF(Y234="","",IF(VLOOKUP(Y234,'G-3 Multipliers'!$S$3:$T$9,2,FALSE)=0,"Spatial Data Missing ⚠",VLOOKUP(Y234,'G-3 Multipliers'!$S$3:$T$9,2,FALSE)))</f>
        <v/>
      </c>
      <c r="AA234" s="545" t="str">
        <f t="shared" si="18"/>
        <v/>
      </c>
      <c r="AB234" s="149"/>
      <c r="AC234" s="150"/>
    </row>
    <row r="235" spans="1:29" ht="13.8" x14ac:dyDescent="0.25">
      <c r="A235" s="31" t="str">
        <f>IFERROR(INDEX('G-8 Condition Look up'!$I$4:$I$130,MATCH(F235,'G-8 Condition Look up'!$A$4:$A$130,0)),"")</f>
        <v/>
      </c>
      <c r="C235" s="244" t="str">
        <f>IFERROR(INDEX('G-1 All Habitats'!$AG$3:$AG$15,MATCH(D235,'G-1 All Habitats'!$AF$3:$AF$15,0)),"")</f>
        <v/>
      </c>
      <c r="D235" s="154"/>
      <c r="E235" s="203"/>
      <c r="F235" s="243" t="str">
        <f>IFERROR(INDEX('G-1 All Habitats'!$B$3:$B$129,MATCH(E235,'G-1 All Habitats'!$A$3:$A$129,0)),"")</f>
        <v/>
      </c>
      <c r="G235" s="386"/>
      <c r="H235" s="537" t="str">
        <f>IF(F235="","",VLOOKUP(F235,'G-1 All Habitats'!$B$2:$M$129,10,FALSE))</f>
        <v/>
      </c>
      <c r="I235" s="524" t="str">
        <f>IFERROR(VLOOKUP(H235,'G-1 All Habitats'!$V$3:$W$7,2,FALSE),"")</f>
        <v/>
      </c>
      <c r="J235" s="199"/>
      <c r="K235" s="524" t="str">
        <f>IFERROR(INDEX('G-8 Condition Look up'!$A$3:$H$130,MATCH(F235,'G-8 Condition Look up'!$A$3:$A$130,0),MATCH(J235,'G-8 Condition Look up'!$A$3:$H$3,0)),"")</f>
        <v/>
      </c>
      <c r="L235" s="145"/>
      <c r="M235" s="540" t="str">
        <f>IF(L235="","",IF(VLOOKUP(L235,'G-3 Multipliers'!$L$3:$N$6,2,FALSE)=0,"Spatial Data Missing ⚠",VLOOKUP(L235,'G-3 Multipliers'!$L$3:$N$6,2,FALSE)))</f>
        <v/>
      </c>
      <c r="N235" s="499" t="str">
        <f>IF(L235="","",IF(VLOOKUP(L235,'G-3 Multipliers'!$L$3:$N$6,3,FALSE)=0,"Spatial Data Missing ⚠",VLOOKUP(L235,'G-3 Multipliers'!$L$3:$N$6,3,FALSE)))</f>
        <v/>
      </c>
      <c r="O235" s="498" t="str">
        <f t="shared" si="15"/>
        <v/>
      </c>
      <c r="P235" s="195"/>
      <c r="Q235" s="195"/>
      <c r="R235" s="520" t="str">
        <f t="shared" si="16"/>
        <v/>
      </c>
      <c r="S235" s="544" t="str">
        <f t="shared" si="17"/>
        <v/>
      </c>
      <c r="T235" s="525" t="str">
        <f>IFERROR(IF(S235="Check Data ⚠","Check Data ⚠",VLOOKUP(S235,'G-4 Temporal multipliers'!$A$4:$C$37,3,FALSE)),"")</f>
        <v/>
      </c>
      <c r="U235" s="523" t="str">
        <f>IF(F235="","",VLOOKUP(F235,'G-3 Multipliers'!$A$2:$E$129,2,FALSE))</f>
        <v/>
      </c>
      <c r="V235" s="520" t="str">
        <f t="shared" si="19"/>
        <v/>
      </c>
      <c r="W235" s="520" t="str">
        <f>IF(E235="","",IF(AND(V235="Standard difficulty applied",O235&gt;P235),U235,IF(AND(V235="Low Difficulty - only applicable if all habitat created before losses ⚠",P235&gt;=O235),"Low",VLOOKUP(F235,'G-3 Multipliers'!$A$2:$E$129,4,FALSE))))</f>
        <v/>
      </c>
      <c r="X235" s="524" t="str">
        <f>IFERROR(IF(E235="","",VLOOKUP(W235, 'G-3 Multipliers'!$P$2:$Q$6,2,FALSE)),"")</f>
        <v/>
      </c>
      <c r="Y235" s="197"/>
      <c r="Z235" s="499" t="str">
        <f>IF(Y235="","",IF(VLOOKUP(Y235,'G-3 Multipliers'!$S$3:$T$9,2,FALSE)=0,"Spatial Data Missing ⚠",VLOOKUP(Y235,'G-3 Multipliers'!$S$3:$T$9,2,FALSE)))</f>
        <v/>
      </c>
      <c r="AA235" s="545" t="str">
        <f t="shared" si="18"/>
        <v/>
      </c>
      <c r="AB235" s="149"/>
      <c r="AC235" s="150"/>
    </row>
    <row r="236" spans="1:29" ht="13.8" x14ac:dyDescent="0.25">
      <c r="A236" s="31" t="str">
        <f>IFERROR(INDEX('G-8 Condition Look up'!$I$4:$I$130,MATCH(F236,'G-8 Condition Look up'!$A$4:$A$130,0)),"")</f>
        <v/>
      </c>
      <c r="C236" s="244" t="str">
        <f>IFERROR(INDEX('G-1 All Habitats'!$AG$3:$AG$15,MATCH(D236,'G-1 All Habitats'!$AF$3:$AF$15,0)),"")</f>
        <v/>
      </c>
      <c r="D236" s="154"/>
      <c r="E236" s="203"/>
      <c r="F236" s="243" t="str">
        <f>IFERROR(INDEX('G-1 All Habitats'!$B$3:$B$129,MATCH(E236,'G-1 All Habitats'!$A$3:$A$129,0)),"")</f>
        <v/>
      </c>
      <c r="G236" s="386"/>
      <c r="H236" s="537" t="str">
        <f>IF(F236="","",VLOOKUP(F236,'G-1 All Habitats'!$B$2:$M$129,10,FALSE))</f>
        <v/>
      </c>
      <c r="I236" s="524" t="str">
        <f>IFERROR(VLOOKUP(H236,'G-1 All Habitats'!$V$3:$W$7,2,FALSE),"")</f>
        <v/>
      </c>
      <c r="J236" s="199"/>
      <c r="K236" s="524" t="str">
        <f>IFERROR(INDEX('G-8 Condition Look up'!$A$3:$H$130,MATCH(F236,'G-8 Condition Look up'!$A$3:$A$130,0),MATCH(J236,'G-8 Condition Look up'!$A$3:$H$3,0)),"")</f>
        <v/>
      </c>
      <c r="L236" s="145"/>
      <c r="M236" s="540" t="str">
        <f>IF(L236="","",IF(VLOOKUP(L236,'G-3 Multipliers'!$L$3:$N$6,2,FALSE)=0,"Spatial Data Missing ⚠",VLOOKUP(L236,'G-3 Multipliers'!$L$3:$N$6,2,FALSE)))</f>
        <v/>
      </c>
      <c r="N236" s="499" t="str">
        <f>IF(L236="","",IF(VLOOKUP(L236,'G-3 Multipliers'!$L$3:$N$6,3,FALSE)=0,"Spatial Data Missing ⚠",VLOOKUP(L236,'G-3 Multipliers'!$L$3:$N$6,3,FALSE)))</f>
        <v/>
      </c>
      <c r="O236" s="498" t="str">
        <f t="shared" si="15"/>
        <v/>
      </c>
      <c r="P236" s="195"/>
      <c r="Q236" s="195"/>
      <c r="R236" s="520" t="str">
        <f t="shared" si="16"/>
        <v/>
      </c>
      <c r="S236" s="544" t="str">
        <f t="shared" si="17"/>
        <v/>
      </c>
      <c r="T236" s="525" t="str">
        <f>IFERROR(IF(S236="Check Data ⚠","Check Data ⚠",VLOOKUP(S236,'G-4 Temporal multipliers'!$A$4:$C$37,3,FALSE)),"")</f>
        <v/>
      </c>
      <c r="U236" s="523" t="str">
        <f>IF(F236="","",VLOOKUP(F236,'G-3 Multipliers'!$A$2:$E$129,2,FALSE))</f>
        <v/>
      </c>
      <c r="V236" s="520" t="str">
        <f t="shared" si="19"/>
        <v/>
      </c>
      <c r="W236" s="520" t="str">
        <f>IF(E236="","",IF(AND(V236="Standard difficulty applied",O236&gt;P236),U236,IF(AND(V236="Low Difficulty - only applicable if all habitat created before losses ⚠",P236&gt;=O236),"Low",VLOOKUP(F236,'G-3 Multipliers'!$A$2:$E$129,4,FALSE))))</f>
        <v/>
      </c>
      <c r="X236" s="524" t="str">
        <f>IFERROR(IF(E236="","",VLOOKUP(W236, 'G-3 Multipliers'!$P$2:$Q$6,2,FALSE)),"")</f>
        <v/>
      </c>
      <c r="Y236" s="197"/>
      <c r="Z236" s="499" t="str">
        <f>IF(Y236="","",IF(VLOOKUP(Y236,'G-3 Multipliers'!$S$3:$T$9,2,FALSE)=0,"Spatial Data Missing ⚠",VLOOKUP(Y236,'G-3 Multipliers'!$S$3:$T$9,2,FALSE)))</f>
        <v/>
      </c>
      <c r="AA236" s="545" t="str">
        <f t="shared" si="18"/>
        <v/>
      </c>
      <c r="AB236" s="149"/>
      <c r="AC236" s="150"/>
    </row>
    <row r="237" spans="1:29" ht="13.8" x14ac:dyDescent="0.25">
      <c r="A237" s="31" t="str">
        <f>IFERROR(INDEX('G-8 Condition Look up'!$I$4:$I$130,MATCH(F237,'G-8 Condition Look up'!$A$4:$A$130,0)),"")</f>
        <v/>
      </c>
      <c r="C237" s="244" t="str">
        <f>IFERROR(INDEX('G-1 All Habitats'!$AG$3:$AG$15,MATCH(D237,'G-1 All Habitats'!$AF$3:$AF$15,0)),"")</f>
        <v/>
      </c>
      <c r="D237" s="154"/>
      <c r="E237" s="203"/>
      <c r="F237" s="243" t="str">
        <f>IFERROR(INDEX('G-1 All Habitats'!$B$3:$B$129,MATCH(E237,'G-1 All Habitats'!$A$3:$A$129,0)),"")</f>
        <v/>
      </c>
      <c r="G237" s="386"/>
      <c r="H237" s="537" t="str">
        <f>IF(F237="","",VLOOKUP(F237,'G-1 All Habitats'!$B$2:$M$129,10,FALSE))</f>
        <v/>
      </c>
      <c r="I237" s="524" t="str">
        <f>IFERROR(VLOOKUP(H237,'G-1 All Habitats'!$V$3:$W$7,2,FALSE),"")</f>
        <v/>
      </c>
      <c r="J237" s="199"/>
      <c r="K237" s="524" t="str">
        <f>IFERROR(INDEX('G-8 Condition Look up'!$A$3:$H$130,MATCH(F237,'G-8 Condition Look up'!$A$3:$A$130,0),MATCH(J237,'G-8 Condition Look up'!$A$3:$H$3,0)),"")</f>
        <v/>
      </c>
      <c r="L237" s="145"/>
      <c r="M237" s="540" t="str">
        <f>IF(L237="","",IF(VLOOKUP(L237,'G-3 Multipliers'!$L$3:$N$6,2,FALSE)=0,"Spatial Data Missing ⚠",VLOOKUP(L237,'G-3 Multipliers'!$L$3:$N$6,2,FALSE)))</f>
        <v/>
      </c>
      <c r="N237" s="499" t="str">
        <f>IF(L237="","",IF(VLOOKUP(L237,'G-3 Multipliers'!$L$3:$N$6,3,FALSE)=0,"Spatial Data Missing ⚠",VLOOKUP(L237,'G-3 Multipliers'!$L$3:$N$6,3,FALSE)))</f>
        <v/>
      </c>
      <c r="O237" s="498" t="str">
        <f t="shared" si="15"/>
        <v/>
      </c>
      <c r="P237" s="195"/>
      <c r="Q237" s="195"/>
      <c r="R237" s="520" t="str">
        <f t="shared" si="16"/>
        <v/>
      </c>
      <c r="S237" s="544" t="str">
        <f t="shared" si="17"/>
        <v/>
      </c>
      <c r="T237" s="525" t="str">
        <f>IFERROR(IF(S237="Check Data ⚠","Check Data ⚠",VLOOKUP(S237,'G-4 Temporal multipliers'!$A$4:$C$37,3,FALSE)),"")</f>
        <v/>
      </c>
      <c r="U237" s="523" t="str">
        <f>IF(F237="","",VLOOKUP(F237,'G-3 Multipliers'!$A$2:$E$129,2,FALSE))</f>
        <v/>
      </c>
      <c r="V237" s="520" t="str">
        <f t="shared" si="19"/>
        <v/>
      </c>
      <c r="W237" s="520" t="str">
        <f>IF(E237="","",IF(AND(V237="Standard difficulty applied",O237&gt;P237),U237,IF(AND(V237="Low Difficulty - only applicable if all habitat created before losses ⚠",P237&gt;=O237),"Low",VLOOKUP(F237,'G-3 Multipliers'!$A$2:$E$129,4,FALSE))))</f>
        <v/>
      </c>
      <c r="X237" s="524" t="str">
        <f>IFERROR(IF(E237="","",VLOOKUP(W237, 'G-3 Multipliers'!$P$2:$Q$6,2,FALSE)),"")</f>
        <v/>
      </c>
      <c r="Y237" s="197"/>
      <c r="Z237" s="499" t="str">
        <f>IF(Y237="","",IF(VLOOKUP(Y237,'G-3 Multipliers'!$S$3:$T$9,2,FALSE)=0,"Spatial Data Missing ⚠",VLOOKUP(Y237,'G-3 Multipliers'!$S$3:$T$9,2,FALSE)))</f>
        <v/>
      </c>
      <c r="AA237" s="545" t="str">
        <f t="shared" si="18"/>
        <v/>
      </c>
      <c r="AB237" s="149"/>
      <c r="AC237" s="150"/>
    </row>
    <row r="238" spans="1:29" ht="13.8" x14ac:dyDescent="0.25">
      <c r="A238" s="31" t="str">
        <f>IFERROR(INDEX('G-8 Condition Look up'!$I$4:$I$130,MATCH(F238,'G-8 Condition Look up'!$A$4:$A$130,0)),"")</f>
        <v/>
      </c>
      <c r="C238" s="244" t="str">
        <f>IFERROR(INDEX('G-1 All Habitats'!$AG$3:$AG$15,MATCH(D238,'G-1 All Habitats'!$AF$3:$AF$15,0)),"")</f>
        <v/>
      </c>
      <c r="D238" s="154"/>
      <c r="E238" s="203"/>
      <c r="F238" s="243" t="str">
        <f>IFERROR(INDEX('G-1 All Habitats'!$B$3:$B$129,MATCH(E238,'G-1 All Habitats'!$A$3:$A$129,0)),"")</f>
        <v/>
      </c>
      <c r="G238" s="386"/>
      <c r="H238" s="537" t="str">
        <f>IF(F238="","",VLOOKUP(F238,'G-1 All Habitats'!$B$2:$M$129,10,FALSE))</f>
        <v/>
      </c>
      <c r="I238" s="524" t="str">
        <f>IFERROR(VLOOKUP(H238,'G-1 All Habitats'!$V$3:$W$7,2,FALSE),"")</f>
        <v/>
      </c>
      <c r="J238" s="199"/>
      <c r="K238" s="524" t="str">
        <f>IFERROR(INDEX('G-8 Condition Look up'!$A$3:$H$130,MATCH(F238,'G-8 Condition Look up'!$A$3:$A$130,0),MATCH(J238,'G-8 Condition Look up'!$A$3:$H$3,0)),"")</f>
        <v/>
      </c>
      <c r="L238" s="145"/>
      <c r="M238" s="540" t="str">
        <f>IF(L238="","",IF(VLOOKUP(L238,'G-3 Multipliers'!$L$3:$N$6,2,FALSE)=0,"Spatial Data Missing ⚠",VLOOKUP(L238,'G-3 Multipliers'!$L$3:$N$6,2,FALSE)))</f>
        <v/>
      </c>
      <c r="N238" s="499" t="str">
        <f>IF(L238="","",IF(VLOOKUP(L238,'G-3 Multipliers'!$L$3:$N$6,3,FALSE)=0,"Spatial Data Missing ⚠",VLOOKUP(L238,'G-3 Multipliers'!$L$3:$N$6,3,FALSE)))</f>
        <v/>
      </c>
      <c r="O238" s="498" t="str">
        <f t="shared" si="15"/>
        <v/>
      </c>
      <c r="P238" s="195"/>
      <c r="Q238" s="195"/>
      <c r="R238" s="520" t="str">
        <f t="shared" si="16"/>
        <v/>
      </c>
      <c r="S238" s="544" t="str">
        <f t="shared" si="17"/>
        <v/>
      </c>
      <c r="T238" s="525" t="str">
        <f>IFERROR(IF(S238="Check Data ⚠","Check Data ⚠",VLOOKUP(S238,'G-4 Temporal multipliers'!$A$4:$C$37,3,FALSE)),"")</f>
        <v/>
      </c>
      <c r="U238" s="523" t="str">
        <f>IF(F238="","",VLOOKUP(F238,'G-3 Multipliers'!$A$2:$E$129,2,FALSE))</f>
        <v/>
      </c>
      <c r="V238" s="520" t="str">
        <f t="shared" si="19"/>
        <v/>
      </c>
      <c r="W238" s="520" t="str">
        <f>IF(E238="","",IF(AND(V238="Standard difficulty applied",O238&gt;P238),U238,IF(AND(V238="Low Difficulty - only applicable if all habitat created before losses ⚠",P238&gt;=O238),"Low",VLOOKUP(F238,'G-3 Multipliers'!$A$2:$E$129,4,FALSE))))</f>
        <v/>
      </c>
      <c r="X238" s="524" t="str">
        <f>IFERROR(IF(E238="","",VLOOKUP(W238, 'G-3 Multipliers'!$P$2:$Q$6,2,FALSE)),"")</f>
        <v/>
      </c>
      <c r="Y238" s="197"/>
      <c r="Z238" s="499" t="str">
        <f>IF(Y238="","",IF(VLOOKUP(Y238,'G-3 Multipliers'!$S$3:$T$9,2,FALSE)=0,"Spatial Data Missing ⚠",VLOOKUP(Y238,'G-3 Multipliers'!$S$3:$T$9,2,FALSE)))</f>
        <v/>
      </c>
      <c r="AA238" s="545" t="str">
        <f t="shared" si="18"/>
        <v/>
      </c>
      <c r="AB238" s="149"/>
      <c r="AC238" s="150"/>
    </row>
    <row r="239" spans="1:29" ht="13.8" x14ac:dyDescent="0.25">
      <c r="A239" s="31" t="str">
        <f>IFERROR(INDEX('G-8 Condition Look up'!$I$4:$I$130,MATCH(F239,'G-8 Condition Look up'!$A$4:$A$130,0)),"")</f>
        <v/>
      </c>
      <c r="C239" s="244" t="str">
        <f>IFERROR(INDEX('G-1 All Habitats'!$AG$3:$AG$15,MATCH(D239,'G-1 All Habitats'!$AF$3:$AF$15,0)),"")</f>
        <v/>
      </c>
      <c r="D239" s="154"/>
      <c r="E239" s="203"/>
      <c r="F239" s="243" t="str">
        <f>IFERROR(INDEX('G-1 All Habitats'!$B$3:$B$129,MATCH(E239,'G-1 All Habitats'!$A$3:$A$129,0)),"")</f>
        <v/>
      </c>
      <c r="G239" s="386"/>
      <c r="H239" s="537" t="str">
        <f>IF(F239="","",VLOOKUP(F239,'G-1 All Habitats'!$B$2:$M$129,10,FALSE))</f>
        <v/>
      </c>
      <c r="I239" s="524" t="str">
        <f>IFERROR(VLOOKUP(H239,'G-1 All Habitats'!$V$3:$W$7,2,FALSE),"")</f>
        <v/>
      </c>
      <c r="J239" s="199"/>
      <c r="K239" s="524" t="str">
        <f>IFERROR(INDEX('G-8 Condition Look up'!$A$3:$H$130,MATCH(F239,'G-8 Condition Look up'!$A$3:$A$130,0),MATCH(J239,'G-8 Condition Look up'!$A$3:$H$3,0)),"")</f>
        <v/>
      </c>
      <c r="L239" s="145"/>
      <c r="M239" s="540" t="str">
        <f>IF(L239="","",IF(VLOOKUP(L239,'G-3 Multipliers'!$L$3:$N$6,2,FALSE)=0,"Spatial Data Missing ⚠",VLOOKUP(L239,'G-3 Multipliers'!$L$3:$N$6,2,FALSE)))</f>
        <v/>
      </c>
      <c r="N239" s="499" t="str">
        <f>IF(L239="","",IF(VLOOKUP(L239,'G-3 Multipliers'!$L$3:$N$6,3,FALSE)=0,"Spatial Data Missing ⚠",VLOOKUP(L239,'G-3 Multipliers'!$L$3:$N$6,3,FALSE)))</f>
        <v/>
      </c>
      <c r="O239" s="498" t="str">
        <f t="shared" si="15"/>
        <v/>
      </c>
      <c r="P239" s="195"/>
      <c r="Q239" s="195"/>
      <c r="R239" s="520" t="str">
        <f t="shared" si="16"/>
        <v/>
      </c>
      <c r="S239" s="544" t="str">
        <f t="shared" si="17"/>
        <v/>
      </c>
      <c r="T239" s="525" t="str">
        <f>IFERROR(IF(S239="Check Data ⚠","Check Data ⚠",VLOOKUP(S239,'G-4 Temporal multipliers'!$A$4:$C$37,3,FALSE)),"")</f>
        <v/>
      </c>
      <c r="U239" s="523" t="str">
        <f>IF(F239="","",VLOOKUP(F239,'G-3 Multipliers'!$A$2:$E$129,2,FALSE))</f>
        <v/>
      </c>
      <c r="V239" s="520" t="str">
        <f t="shared" si="19"/>
        <v/>
      </c>
      <c r="W239" s="520" t="str">
        <f>IF(E239="","",IF(AND(V239="Standard difficulty applied",O239&gt;P239),U239,IF(AND(V239="Low Difficulty - only applicable if all habitat created before losses ⚠",P239&gt;=O239),"Low",VLOOKUP(F239,'G-3 Multipliers'!$A$2:$E$129,4,FALSE))))</f>
        <v/>
      </c>
      <c r="X239" s="524" t="str">
        <f>IFERROR(IF(E239="","",VLOOKUP(W239, 'G-3 Multipliers'!$P$2:$Q$6,2,FALSE)),"")</f>
        <v/>
      </c>
      <c r="Y239" s="197"/>
      <c r="Z239" s="499" t="str">
        <f>IF(Y239="","",IF(VLOOKUP(Y239,'G-3 Multipliers'!$S$3:$T$9,2,FALSE)=0,"Spatial Data Missing ⚠",VLOOKUP(Y239,'G-3 Multipliers'!$S$3:$T$9,2,FALSE)))</f>
        <v/>
      </c>
      <c r="AA239" s="545" t="str">
        <f t="shared" si="18"/>
        <v/>
      </c>
      <c r="AB239" s="149"/>
      <c r="AC239" s="150"/>
    </row>
    <row r="240" spans="1:29" ht="13.8" x14ac:dyDescent="0.25">
      <c r="A240" s="31" t="str">
        <f>IFERROR(INDEX('G-8 Condition Look up'!$I$4:$I$130,MATCH(F240,'G-8 Condition Look up'!$A$4:$A$130,0)),"")</f>
        <v/>
      </c>
      <c r="C240" s="244" t="str">
        <f>IFERROR(INDEX('G-1 All Habitats'!$AG$3:$AG$15,MATCH(D240,'G-1 All Habitats'!$AF$3:$AF$15,0)),"")</f>
        <v/>
      </c>
      <c r="D240" s="154"/>
      <c r="E240" s="203"/>
      <c r="F240" s="243" t="str">
        <f>IFERROR(INDEX('G-1 All Habitats'!$B$3:$B$129,MATCH(E240,'G-1 All Habitats'!$A$3:$A$129,0)),"")</f>
        <v/>
      </c>
      <c r="G240" s="386"/>
      <c r="H240" s="537" t="str">
        <f>IF(F240="","",VLOOKUP(F240,'G-1 All Habitats'!$B$2:$M$129,10,FALSE))</f>
        <v/>
      </c>
      <c r="I240" s="524" t="str">
        <f>IFERROR(VLOOKUP(H240,'G-1 All Habitats'!$V$3:$W$7,2,FALSE),"")</f>
        <v/>
      </c>
      <c r="J240" s="199"/>
      <c r="K240" s="524" t="str">
        <f>IFERROR(INDEX('G-8 Condition Look up'!$A$3:$H$130,MATCH(F240,'G-8 Condition Look up'!$A$3:$A$130,0),MATCH(J240,'G-8 Condition Look up'!$A$3:$H$3,0)),"")</f>
        <v/>
      </c>
      <c r="L240" s="145"/>
      <c r="M240" s="540" t="str">
        <f>IF(L240="","",IF(VLOOKUP(L240,'G-3 Multipliers'!$L$3:$N$6,2,FALSE)=0,"Spatial Data Missing ⚠",VLOOKUP(L240,'G-3 Multipliers'!$L$3:$N$6,2,FALSE)))</f>
        <v/>
      </c>
      <c r="N240" s="499" t="str">
        <f>IF(L240="","",IF(VLOOKUP(L240,'G-3 Multipliers'!$L$3:$N$6,3,FALSE)=0,"Spatial Data Missing ⚠",VLOOKUP(L240,'G-3 Multipliers'!$L$3:$N$6,3,FALSE)))</f>
        <v/>
      </c>
      <c r="O240" s="498" t="str">
        <f t="shared" si="15"/>
        <v/>
      </c>
      <c r="P240" s="195"/>
      <c r="Q240" s="195"/>
      <c r="R240" s="520" t="str">
        <f t="shared" si="16"/>
        <v/>
      </c>
      <c r="S240" s="544" t="str">
        <f t="shared" si="17"/>
        <v/>
      </c>
      <c r="T240" s="525" t="str">
        <f>IFERROR(IF(S240="Check Data ⚠","Check Data ⚠",VLOOKUP(S240,'G-4 Temporal multipliers'!$A$4:$C$37,3,FALSE)),"")</f>
        <v/>
      </c>
      <c r="U240" s="523" t="str">
        <f>IF(F240="","",VLOOKUP(F240,'G-3 Multipliers'!$A$2:$E$129,2,FALSE))</f>
        <v/>
      </c>
      <c r="V240" s="520" t="str">
        <f t="shared" si="19"/>
        <v/>
      </c>
      <c r="W240" s="520" t="str">
        <f>IF(E240="","",IF(AND(V240="Standard difficulty applied",O240&gt;P240),U240,IF(AND(V240="Low Difficulty - only applicable if all habitat created before losses ⚠",P240&gt;=O240),"Low",VLOOKUP(F240,'G-3 Multipliers'!$A$2:$E$129,4,FALSE))))</f>
        <v/>
      </c>
      <c r="X240" s="524" t="str">
        <f>IFERROR(IF(E240="","",VLOOKUP(W240, 'G-3 Multipliers'!$P$2:$Q$6,2,FALSE)),"")</f>
        <v/>
      </c>
      <c r="Y240" s="197"/>
      <c r="Z240" s="499" t="str">
        <f>IF(Y240="","",IF(VLOOKUP(Y240,'G-3 Multipliers'!$S$3:$T$9,2,FALSE)=0,"Spatial Data Missing ⚠",VLOOKUP(Y240,'G-3 Multipliers'!$S$3:$T$9,2,FALSE)))</f>
        <v/>
      </c>
      <c r="AA240" s="545" t="str">
        <f t="shared" si="18"/>
        <v/>
      </c>
      <c r="AB240" s="149"/>
      <c r="AC240" s="150"/>
    </row>
    <row r="241" spans="1:29" ht="13.8" x14ac:dyDescent="0.25">
      <c r="A241" s="31" t="str">
        <f>IFERROR(INDEX('G-8 Condition Look up'!$I$4:$I$130,MATCH(F241,'G-8 Condition Look up'!$A$4:$A$130,0)),"")</f>
        <v/>
      </c>
      <c r="C241" s="244" t="str">
        <f>IFERROR(INDEX('G-1 All Habitats'!$AG$3:$AG$15,MATCH(D241,'G-1 All Habitats'!$AF$3:$AF$15,0)),"")</f>
        <v/>
      </c>
      <c r="D241" s="154"/>
      <c r="E241" s="203"/>
      <c r="F241" s="243" t="str">
        <f>IFERROR(INDEX('G-1 All Habitats'!$B$3:$B$129,MATCH(E241,'G-1 All Habitats'!$A$3:$A$129,0)),"")</f>
        <v/>
      </c>
      <c r="G241" s="386"/>
      <c r="H241" s="537" t="str">
        <f>IF(F241="","",VLOOKUP(F241,'G-1 All Habitats'!$B$2:$M$129,10,FALSE))</f>
        <v/>
      </c>
      <c r="I241" s="524" t="str">
        <f>IFERROR(VLOOKUP(H241,'G-1 All Habitats'!$V$3:$W$7,2,FALSE),"")</f>
        <v/>
      </c>
      <c r="J241" s="199"/>
      <c r="K241" s="524" t="str">
        <f>IFERROR(INDEX('G-8 Condition Look up'!$A$3:$H$130,MATCH(F241,'G-8 Condition Look up'!$A$3:$A$130,0),MATCH(J241,'G-8 Condition Look up'!$A$3:$H$3,0)),"")</f>
        <v/>
      </c>
      <c r="L241" s="145"/>
      <c r="M241" s="540" t="str">
        <f>IF(L241="","",IF(VLOOKUP(L241,'G-3 Multipliers'!$L$3:$N$6,2,FALSE)=0,"Spatial Data Missing ⚠",VLOOKUP(L241,'G-3 Multipliers'!$L$3:$N$6,2,FALSE)))</f>
        <v/>
      </c>
      <c r="N241" s="499" t="str">
        <f>IF(L241="","",IF(VLOOKUP(L241,'G-3 Multipliers'!$L$3:$N$6,3,FALSE)=0,"Spatial Data Missing ⚠",VLOOKUP(L241,'G-3 Multipliers'!$L$3:$N$6,3,FALSE)))</f>
        <v/>
      </c>
      <c r="O241" s="498" t="str">
        <f t="shared" si="15"/>
        <v/>
      </c>
      <c r="P241" s="195"/>
      <c r="Q241" s="195"/>
      <c r="R241" s="520" t="str">
        <f t="shared" si="16"/>
        <v/>
      </c>
      <c r="S241" s="544" t="str">
        <f t="shared" si="17"/>
        <v/>
      </c>
      <c r="T241" s="525" t="str">
        <f>IFERROR(IF(S241="Check Data ⚠","Check Data ⚠",VLOOKUP(S241,'G-4 Temporal multipliers'!$A$4:$C$37,3,FALSE)),"")</f>
        <v/>
      </c>
      <c r="U241" s="523" t="str">
        <f>IF(F241="","",VLOOKUP(F241,'G-3 Multipliers'!$A$2:$E$129,2,FALSE))</f>
        <v/>
      </c>
      <c r="V241" s="520" t="str">
        <f t="shared" si="19"/>
        <v/>
      </c>
      <c r="W241" s="520" t="str">
        <f>IF(E241="","",IF(AND(V241="Standard difficulty applied",O241&gt;P241),U241,IF(AND(V241="Low Difficulty - only applicable if all habitat created before losses ⚠",P241&gt;=O241),"Low",VLOOKUP(F241,'G-3 Multipliers'!$A$2:$E$129,4,FALSE))))</f>
        <v/>
      </c>
      <c r="X241" s="524" t="str">
        <f>IFERROR(IF(E241="","",VLOOKUP(W241, 'G-3 Multipliers'!$P$2:$Q$6,2,FALSE)),"")</f>
        <v/>
      </c>
      <c r="Y241" s="197"/>
      <c r="Z241" s="499" t="str">
        <f>IF(Y241="","",IF(VLOOKUP(Y241,'G-3 Multipliers'!$S$3:$T$9,2,FALSE)=0,"Spatial Data Missing ⚠",VLOOKUP(Y241,'G-3 Multipliers'!$S$3:$T$9,2,FALSE)))</f>
        <v/>
      </c>
      <c r="AA241" s="545" t="str">
        <f t="shared" si="18"/>
        <v/>
      </c>
      <c r="AB241" s="149"/>
      <c r="AC241" s="150"/>
    </row>
    <row r="242" spans="1:29" ht="13.8" x14ac:dyDescent="0.25">
      <c r="A242" s="31" t="str">
        <f>IFERROR(INDEX('G-8 Condition Look up'!$I$4:$I$130,MATCH(F242,'G-8 Condition Look up'!$A$4:$A$130,0)),"")</f>
        <v/>
      </c>
      <c r="C242" s="244" t="str">
        <f>IFERROR(INDEX('G-1 All Habitats'!$AG$3:$AG$15,MATCH(D242,'G-1 All Habitats'!$AF$3:$AF$15,0)),"")</f>
        <v/>
      </c>
      <c r="D242" s="154"/>
      <c r="E242" s="203"/>
      <c r="F242" s="243" t="str">
        <f>IFERROR(INDEX('G-1 All Habitats'!$B$3:$B$129,MATCH(E242,'G-1 All Habitats'!$A$3:$A$129,0)),"")</f>
        <v/>
      </c>
      <c r="G242" s="386"/>
      <c r="H242" s="537" t="str">
        <f>IF(F242="","",VLOOKUP(F242,'G-1 All Habitats'!$B$2:$M$129,10,FALSE))</f>
        <v/>
      </c>
      <c r="I242" s="524" t="str">
        <f>IFERROR(VLOOKUP(H242,'G-1 All Habitats'!$V$3:$W$7,2,FALSE),"")</f>
        <v/>
      </c>
      <c r="J242" s="199"/>
      <c r="K242" s="524" t="str">
        <f>IFERROR(INDEX('G-8 Condition Look up'!$A$3:$H$130,MATCH(F242,'G-8 Condition Look up'!$A$3:$A$130,0),MATCH(J242,'G-8 Condition Look up'!$A$3:$H$3,0)),"")</f>
        <v/>
      </c>
      <c r="L242" s="145"/>
      <c r="M242" s="540" t="str">
        <f>IF(L242="","",IF(VLOOKUP(L242,'G-3 Multipliers'!$L$3:$N$6,2,FALSE)=0,"Spatial Data Missing ⚠",VLOOKUP(L242,'G-3 Multipliers'!$L$3:$N$6,2,FALSE)))</f>
        <v/>
      </c>
      <c r="N242" s="499" t="str">
        <f>IF(L242="","",IF(VLOOKUP(L242,'G-3 Multipliers'!$L$3:$N$6,3,FALSE)=0,"Spatial Data Missing ⚠",VLOOKUP(L242,'G-3 Multipliers'!$L$3:$N$6,3,FALSE)))</f>
        <v/>
      </c>
      <c r="O242" s="498" t="str">
        <f t="shared" si="15"/>
        <v/>
      </c>
      <c r="P242" s="195"/>
      <c r="Q242" s="195"/>
      <c r="R242" s="520" t="str">
        <f t="shared" si="16"/>
        <v/>
      </c>
      <c r="S242" s="544" t="str">
        <f t="shared" si="17"/>
        <v/>
      </c>
      <c r="T242" s="525" t="str">
        <f>IFERROR(IF(S242="Check Data ⚠","Check Data ⚠",VLOOKUP(S242,'G-4 Temporal multipliers'!$A$4:$C$37,3,FALSE)),"")</f>
        <v/>
      </c>
      <c r="U242" s="523" t="str">
        <f>IF(F242="","",VLOOKUP(F242,'G-3 Multipliers'!$A$2:$E$129,2,FALSE))</f>
        <v/>
      </c>
      <c r="V242" s="520" t="str">
        <f t="shared" si="19"/>
        <v/>
      </c>
      <c r="W242" s="520" t="str">
        <f>IF(E242="","",IF(AND(V242="Standard difficulty applied",O242&gt;P242),U242,IF(AND(V242="Low Difficulty - only applicable if all habitat created before losses ⚠",P242&gt;=O242),"Low",VLOOKUP(F242,'G-3 Multipliers'!$A$2:$E$129,4,FALSE))))</f>
        <v/>
      </c>
      <c r="X242" s="524" t="str">
        <f>IFERROR(IF(E242="","",VLOOKUP(W242, 'G-3 Multipliers'!$P$2:$Q$6,2,FALSE)),"")</f>
        <v/>
      </c>
      <c r="Y242" s="197"/>
      <c r="Z242" s="499" t="str">
        <f>IF(Y242="","",IF(VLOOKUP(Y242,'G-3 Multipliers'!$S$3:$T$9,2,FALSE)=0,"Spatial Data Missing ⚠",VLOOKUP(Y242,'G-3 Multipliers'!$S$3:$T$9,2,FALSE)))</f>
        <v/>
      </c>
      <c r="AA242" s="545" t="str">
        <f t="shared" si="18"/>
        <v/>
      </c>
      <c r="AB242" s="149"/>
      <c r="AC242" s="150"/>
    </row>
    <row r="243" spans="1:29" ht="13.8" x14ac:dyDescent="0.25">
      <c r="A243" s="31" t="str">
        <f>IFERROR(INDEX('G-8 Condition Look up'!$I$4:$I$130,MATCH(F243,'G-8 Condition Look up'!$A$4:$A$130,0)),"")</f>
        <v/>
      </c>
      <c r="C243" s="244" t="str">
        <f>IFERROR(INDEX('G-1 All Habitats'!$AG$3:$AG$15,MATCH(D243,'G-1 All Habitats'!$AF$3:$AF$15,0)),"")</f>
        <v/>
      </c>
      <c r="D243" s="154"/>
      <c r="E243" s="203"/>
      <c r="F243" s="243" t="str">
        <f>IFERROR(INDEX('G-1 All Habitats'!$B$3:$B$129,MATCH(E243,'G-1 All Habitats'!$A$3:$A$129,0)),"")</f>
        <v/>
      </c>
      <c r="G243" s="386"/>
      <c r="H243" s="537" t="str">
        <f>IF(F243="","",VLOOKUP(F243,'G-1 All Habitats'!$B$2:$M$129,10,FALSE))</f>
        <v/>
      </c>
      <c r="I243" s="524" t="str">
        <f>IFERROR(VLOOKUP(H243,'G-1 All Habitats'!$V$3:$W$7,2,FALSE),"")</f>
        <v/>
      </c>
      <c r="J243" s="199"/>
      <c r="K243" s="524" t="str">
        <f>IFERROR(INDEX('G-8 Condition Look up'!$A$3:$H$130,MATCH(F243,'G-8 Condition Look up'!$A$3:$A$130,0),MATCH(J243,'G-8 Condition Look up'!$A$3:$H$3,0)),"")</f>
        <v/>
      </c>
      <c r="L243" s="145"/>
      <c r="M243" s="540" t="str">
        <f>IF(L243="","",IF(VLOOKUP(L243,'G-3 Multipliers'!$L$3:$N$6,2,FALSE)=0,"Spatial Data Missing ⚠",VLOOKUP(L243,'G-3 Multipliers'!$L$3:$N$6,2,FALSE)))</f>
        <v/>
      </c>
      <c r="N243" s="499" t="str">
        <f>IF(L243="","",IF(VLOOKUP(L243,'G-3 Multipliers'!$L$3:$N$6,3,FALSE)=0,"Spatial Data Missing ⚠",VLOOKUP(L243,'G-3 Multipliers'!$L$3:$N$6,3,FALSE)))</f>
        <v/>
      </c>
      <c r="O243" s="498" t="str">
        <f t="shared" si="15"/>
        <v/>
      </c>
      <c r="P243" s="195"/>
      <c r="Q243" s="195"/>
      <c r="R243" s="520" t="str">
        <f t="shared" si="16"/>
        <v/>
      </c>
      <c r="S243" s="544" t="str">
        <f t="shared" si="17"/>
        <v/>
      </c>
      <c r="T243" s="525" t="str">
        <f>IFERROR(IF(S243="Check Data ⚠","Check Data ⚠",VLOOKUP(S243,'G-4 Temporal multipliers'!$A$4:$C$37,3,FALSE)),"")</f>
        <v/>
      </c>
      <c r="U243" s="523" t="str">
        <f>IF(F243="","",VLOOKUP(F243,'G-3 Multipliers'!$A$2:$E$129,2,FALSE))</f>
        <v/>
      </c>
      <c r="V243" s="520" t="str">
        <f t="shared" si="19"/>
        <v/>
      </c>
      <c r="W243" s="520" t="str">
        <f>IF(E243="","",IF(AND(V243="Standard difficulty applied",O243&gt;P243),U243,IF(AND(V243="Low Difficulty - only applicable if all habitat created before losses ⚠",P243&gt;=O243),"Low",VLOOKUP(F243,'G-3 Multipliers'!$A$2:$E$129,4,FALSE))))</f>
        <v/>
      </c>
      <c r="X243" s="524" t="str">
        <f>IFERROR(IF(E243="","",VLOOKUP(W243, 'G-3 Multipliers'!$P$2:$Q$6,2,FALSE)),"")</f>
        <v/>
      </c>
      <c r="Y243" s="197"/>
      <c r="Z243" s="499" t="str">
        <f>IF(Y243="","",IF(VLOOKUP(Y243,'G-3 Multipliers'!$S$3:$T$9,2,FALSE)=0,"Spatial Data Missing ⚠",VLOOKUP(Y243,'G-3 Multipliers'!$S$3:$T$9,2,FALSE)))</f>
        <v/>
      </c>
      <c r="AA243" s="545" t="str">
        <f t="shared" si="18"/>
        <v/>
      </c>
      <c r="AB243" s="149"/>
      <c r="AC243" s="150"/>
    </row>
    <row r="244" spans="1:29" ht="13.8" x14ac:dyDescent="0.25">
      <c r="A244" s="31" t="str">
        <f>IFERROR(INDEX('G-8 Condition Look up'!$I$4:$I$130,MATCH(F244,'G-8 Condition Look up'!$A$4:$A$130,0)),"")</f>
        <v/>
      </c>
      <c r="C244" s="244" t="str">
        <f>IFERROR(INDEX('G-1 All Habitats'!$AG$3:$AG$15,MATCH(D244,'G-1 All Habitats'!$AF$3:$AF$15,0)),"")</f>
        <v/>
      </c>
      <c r="D244" s="154"/>
      <c r="E244" s="203"/>
      <c r="F244" s="243" t="str">
        <f>IFERROR(INDEX('G-1 All Habitats'!$B$3:$B$129,MATCH(E244,'G-1 All Habitats'!$A$3:$A$129,0)),"")</f>
        <v/>
      </c>
      <c r="G244" s="386"/>
      <c r="H244" s="537" t="str">
        <f>IF(F244="","",VLOOKUP(F244,'G-1 All Habitats'!$B$2:$M$129,10,FALSE))</f>
        <v/>
      </c>
      <c r="I244" s="524" t="str">
        <f>IFERROR(VLOOKUP(H244,'G-1 All Habitats'!$V$3:$W$7,2,FALSE),"")</f>
        <v/>
      </c>
      <c r="J244" s="199"/>
      <c r="K244" s="524" t="str">
        <f>IFERROR(INDEX('G-8 Condition Look up'!$A$3:$H$130,MATCH(F244,'G-8 Condition Look up'!$A$3:$A$130,0),MATCH(J244,'G-8 Condition Look up'!$A$3:$H$3,0)),"")</f>
        <v/>
      </c>
      <c r="L244" s="145"/>
      <c r="M244" s="540" t="str">
        <f>IF(L244="","",IF(VLOOKUP(L244,'G-3 Multipliers'!$L$3:$N$6,2,FALSE)=0,"Spatial Data Missing ⚠",VLOOKUP(L244,'G-3 Multipliers'!$L$3:$N$6,2,FALSE)))</f>
        <v/>
      </c>
      <c r="N244" s="499" t="str">
        <f>IF(L244="","",IF(VLOOKUP(L244,'G-3 Multipliers'!$L$3:$N$6,3,FALSE)=0,"Spatial Data Missing ⚠",VLOOKUP(L244,'G-3 Multipliers'!$L$3:$N$6,3,FALSE)))</f>
        <v/>
      </c>
      <c r="O244" s="498" t="str">
        <f t="shared" si="15"/>
        <v/>
      </c>
      <c r="P244" s="195"/>
      <c r="Q244" s="195"/>
      <c r="R244" s="520" t="str">
        <f t="shared" si="16"/>
        <v/>
      </c>
      <c r="S244" s="544" t="str">
        <f t="shared" si="17"/>
        <v/>
      </c>
      <c r="T244" s="525" t="str">
        <f>IFERROR(IF(S244="Check Data ⚠","Check Data ⚠",VLOOKUP(S244,'G-4 Temporal multipliers'!$A$4:$C$37,3,FALSE)),"")</f>
        <v/>
      </c>
      <c r="U244" s="523" t="str">
        <f>IF(F244="","",VLOOKUP(F244,'G-3 Multipliers'!$A$2:$E$129,2,FALSE))</f>
        <v/>
      </c>
      <c r="V244" s="520" t="str">
        <f t="shared" si="19"/>
        <v/>
      </c>
      <c r="W244" s="520" t="str">
        <f>IF(E244="","",IF(AND(V244="Standard difficulty applied",O244&gt;P244),U244,IF(AND(V244="Low Difficulty - only applicable if all habitat created before losses ⚠",P244&gt;=O244),"Low",VLOOKUP(F244,'G-3 Multipliers'!$A$2:$E$129,4,FALSE))))</f>
        <v/>
      </c>
      <c r="X244" s="524" t="str">
        <f>IFERROR(IF(E244="","",VLOOKUP(W244, 'G-3 Multipliers'!$P$2:$Q$6,2,FALSE)),"")</f>
        <v/>
      </c>
      <c r="Y244" s="197"/>
      <c r="Z244" s="499" t="str">
        <f>IF(Y244="","",IF(VLOOKUP(Y244,'G-3 Multipliers'!$S$3:$T$9,2,FALSE)=0,"Spatial Data Missing ⚠",VLOOKUP(Y244,'G-3 Multipliers'!$S$3:$T$9,2,FALSE)))</f>
        <v/>
      </c>
      <c r="AA244" s="545" t="str">
        <f t="shared" si="18"/>
        <v/>
      </c>
      <c r="AB244" s="149"/>
      <c r="AC244" s="150"/>
    </row>
    <row r="245" spans="1:29" ht="13.8" x14ac:dyDescent="0.25">
      <c r="A245" s="31" t="str">
        <f>IFERROR(INDEX('G-8 Condition Look up'!$I$4:$I$130,MATCH(F245,'G-8 Condition Look up'!$A$4:$A$130,0)),"")</f>
        <v/>
      </c>
      <c r="C245" s="244" t="str">
        <f>IFERROR(INDEX('G-1 All Habitats'!$AG$3:$AG$15,MATCH(D245,'G-1 All Habitats'!$AF$3:$AF$15,0)),"")</f>
        <v/>
      </c>
      <c r="D245" s="154"/>
      <c r="E245" s="203"/>
      <c r="F245" s="243" t="str">
        <f>IFERROR(INDEX('G-1 All Habitats'!$B$3:$B$129,MATCH(E245,'G-1 All Habitats'!$A$3:$A$129,0)),"")</f>
        <v/>
      </c>
      <c r="G245" s="386"/>
      <c r="H245" s="537" t="str">
        <f>IF(F245="","",VLOOKUP(F245,'G-1 All Habitats'!$B$2:$M$129,10,FALSE))</f>
        <v/>
      </c>
      <c r="I245" s="524" t="str">
        <f>IFERROR(VLOOKUP(H245,'G-1 All Habitats'!$V$3:$W$7,2,FALSE),"")</f>
        <v/>
      </c>
      <c r="J245" s="199"/>
      <c r="K245" s="524" t="str">
        <f>IFERROR(INDEX('G-8 Condition Look up'!$A$3:$H$130,MATCH(F245,'G-8 Condition Look up'!$A$3:$A$130,0),MATCH(J245,'G-8 Condition Look up'!$A$3:$H$3,0)),"")</f>
        <v/>
      </c>
      <c r="L245" s="145"/>
      <c r="M245" s="540" t="str">
        <f>IF(L245="","",IF(VLOOKUP(L245,'G-3 Multipliers'!$L$3:$N$6,2,FALSE)=0,"Spatial Data Missing ⚠",VLOOKUP(L245,'G-3 Multipliers'!$L$3:$N$6,2,FALSE)))</f>
        <v/>
      </c>
      <c r="N245" s="499" t="str">
        <f>IF(L245="","",IF(VLOOKUP(L245,'G-3 Multipliers'!$L$3:$N$6,3,FALSE)=0,"Spatial Data Missing ⚠",VLOOKUP(L245,'G-3 Multipliers'!$L$3:$N$6,3,FALSE)))</f>
        <v/>
      </c>
      <c r="O245" s="498" t="str">
        <f t="shared" si="15"/>
        <v/>
      </c>
      <c r="P245" s="195"/>
      <c r="Q245" s="195"/>
      <c r="R245" s="520" t="str">
        <f t="shared" si="16"/>
        <v/>
      </c>
      <c r="S245" s="544" t="str">
        <f t="shared" si="17"/>
        <v/>
      </c>
      <c r="T245" s="525" t="str">
        <f>IFERROR(IF(S245="Check Data ⚠","Check Data ⚠",VLOOKUP(S245,'G-4 Temporal multipliers'!$A$4:$C$37,3,FALSE)),"")</f>
        <v/>
      </c>
      <c r="U245" s="523" t="str">
        <f>IF(F245="","",VLOOKUP(F245,'G-3 Multipliers'!$A$2:$E$129,2,FALSE))</f>
        <v/>
      </c>
      <c r="V245" s="520" t="str">
        <f t="shared" si="19"/>
        <v/>
      </c>
      <c r="W245" s="520" t="str">
        <f>IF(E245="","",IF(AND(V245="Standard difficulty applied",O245&gt;P245),U245,IF(AND(V245="Low Difficulty - only applicable if all habitat created before losses ⚠",P245&gt;=O245),"Low",VLOOKUP(F245,'G-3 Multipliers'!$A$2:$E$129,4,FALSE))))</f>
        <v/>
      </c>
      <c r="X245" s="524" t="str">
        <f>IFERROR(IF(E245="","",VLOOKUP(W245, 'G-3 Multipliers'!$P$2:$Q$6,2,FALSE)),"")</f>
        <v/>
      </c>
      <c r="Y245" s="197"/>
      <c r="Z245" s="499" t="str">
        <f>IF(Y245="","",IF(VLOOKUP(Y245,'G-3 Multipliers'!$S$3:$T$9,2,FALSE)=0,"Spatial Data Missing ⚠",VLOOKUP(Y245,'G-3 Multipliers'!$S$3:$T$9,2,FALSE)))</f>
        <v/>
      </c>
      <c r="AA245" s="545" t="str">
        <f t="shared" si="18"/>
        <v/>
      </c>
      <c r="AB245" s="149"/>
      <c r="AC245" s="150"/>
    </row>
    <row r="246" spans="1:29" ht="13.8" x14ac:dyDescent="0.25">
      <c r="A246" s="31" t="str">
        <f>IFERROR(INDEX('G-8 Condition Look up'!$I$4:$I$130,MATCH(F246,'G-8 Condition Look up'!$A$4:$A$130,0)),"")</f>
        <v/>
      </c>
      <c r="C246" s="244" t="str">
        <f>IFERROR(INDEX('G-1 All Habitats'!$AG$3:$AG$15,MATCH(D246,'G-1 All Habitats'!$AF$3:$AF$15,0)),"")</f>
        <v/>
      </c>
      <c r="D246" s="154"/>
      <c r="E246" s="203"/>
      <c r="F246" s="243" t="str">
        <f>IFERROR(INDEX('G-1 All Habitats'!$B$3:$B$129,MATCH(E246,'G-1 All Habitats'!$A$3:$A$129,0)),"")</f>
        <v/>
      </c>
      <c r="G246" s="386"/>
      <c r="H246" s="537" t="str">
        <f>IF(F246="","",VLOOKUP(F246,'G-1 All Habitats'!$B$2:$M$129,10,FALSE))</f>
        <v/>
      </c>
      <c r="I246" s="524" t="str">
        <f>IFERROR(VLOOKUP(H246,'G-1 All Habitats'!$V$3:$W$7,2,FALSE),"")</f>
        <v/>
      </c>
      <c r="J246" s="199"/>
      <c r="K246" s="524" t="str">
        <f>IFERROR(INDEX('G-8 Condition Look up'!$A$3:$H$130,MATCH(F246,'G-8 Condition Look up'!$A$3:$A$130,0),MATCH(J246,'G-8 Condition Look up'!$A$3:$H$3,0)),"")</f>
        <v/>
      </c>
      <c r="L246" s="145"/>
      <c r="M246" s="540" t="str">
        <f>IF(L246="","",IF(VLOOKUP(L246,'G-3 Multipliers'!$L$3:$N$6,2,FALSE)=0,"Spatial Data Missing ⚠",VLOOKUP(L246,'G-3 Multipliers'!$L$3:$N$6,2,FALSE)))</f>
        <v/>
      </c>
      <c r="N246" s="499" t="str">
        <f>IF(L246="","",IF(VLOOKUP(L246,'G-3 Multipliers'!$L$3:$N$6,3,FALSE)=0,"Spatial Data Missing ⚠",VLOOKUP(L246,'G-3 Multipliers'!$L$3:$N$6,3,FALSE)))</f>
        <v/>
      </c>
      <c r="O246" s="498" t="str">
        <f t="shared" si="15"/>
        <v/>
      </c>
      <c r="P246" s="195"/>
      <c r="Q246" s="195"/>
      <c r="R246" s="520" t="str">
        <f t="shared" si="16"/>
        <v/>
      </c>
      <c r="S246" s="544" t="str">
        <f t="shared" si="17"/>
        <v/>
      </c>
      <c r="T246" s="525" t="str">
        <f>IFERROR(IF(S246="Check Data ⚠","Check Data ⚠",VLOOKUP(S246,'G-4 Temporal multipliers'!$A$4:$C$37,3,FALSE)),"")</f>
        <v/>
      </c>
      <c r="U246" s="523" t="str">
        <f>IF(F246="","",VLOOKUP(F246,'G-3 Multipliers'!$A$2:$E$129,2,FALSE))</f>
        <v/>
      </c>
      <c r="V246" s="520" t="str">
        <f t="shared" si="19"/>
        <v/>
      </c>
      <c r="W246" s="520" t="str">
        <f>IF(E246="","",IF(AND(V246="Standard difficulty applied",O246&gt;P246),U246,IF(AND(V246="Low Difficulty - only applicable if all habitat created before losses ⚠",P246&gt;=O246),"Low",VLOOKUP(F246,'G-3 Multipliers'!$A$2:$E$129,4,FALSE))))</f>
        <v/>
      </c>
      <c r="X246" s="524" t="str">
        <f>IFERROR(IF(E246="","",VLOOKUP(W246, 'G-3 Multipliers'!$P$2:$Q$6,2,FALSE)),"")</f>
        <v/>
      </c>
      <c r="Y246" s="197"/>
      <c r="Z246" s="499" t="str">
        <f>IF(Y246="","",IF(VLOOKUP(Y246,'G-3 Multipliers'!$S$3:$T$9,2,FALSE)=0,"Spatial Data Missing ⚠",VLOOKUP(Y246,'G-3 Multipliers'!$S$3:$T$9,2,FALSE)))</f>
        <v/>
      </c>
      <c r="AA246" s="545" t="str">
        <f t="shared" si="18"/>
        <v/>
      </c>
      <c r="AB246" s="149"/>
      <c r="AC246" s="150"/>
    </row>
    <row r="247" spans="1:29" ht="13.8" x14ac:dyDescent="0.25">
      <c r="A247" s="31" t="str">
        <f>IFERROR(INDEX('G-8 Condition Look up'!$I$4:$I$130,MATCH(F247,'G-8 Condition Look up'!$A$4:$A$130,0)),"")</f>
        <v/>
      </c>
      <c r="C247" s="244" t="str">
        <f>IFERROR(INDEX('G-1 All Habitats'!$AG$3:$AG$15,MATCH(D247,'G-1 All Habitats'!$AF$3:$AF$15,0)),"")</f>
        <v/>
      </c>
      <c r="D247" s="154"/>
      <c r="E247" s="203"/>
      <c r="F247" s="243" t="str">
        <f>IFERROR(INDEX('G-1 All Habitats'!$B$3:$B$129,MATCH(E247,'G-1 All Habitats'!$A$3:$A$129,0)),"")</f>
        <v/>
      </c>
      <c r="G247" s="386"/>
      <c r="H247" s="537" t="str">
        <f>IF(F247="","",VLOOKUP(F247,'G-1 All Habitats'!$B$2:$M$129,10,FALSE))</f>
        <v/>
      </c>
      <c r="I247" s="524" t="str">
        <f>IFERROR(VLOOKUP(H247,'G-1 All Habitats'!$V$3:$W$7,2,FALSE),"")</f>
        <v/>
      </c>
      <c r="J247" s="199"/>
      <c r="K247" s="524" t="str">
        <f>IFERROR(INDEX('G-8 Condition Look up'!$A$3:$H$130,MATCH(F247,'G-8 Condition Look up'!$A$3:$A$130,0),MATCH(J247,'G-8 Condition Look up'!$A$3:$H$3,0)),"")</f>
        <v/>
      </c>
      <c r="L247" s="145"/>
      <c r="M247" s="540" t="str">
        <f>IF(L247="","",IF(VLOOKUP(L247,'G-3 Multipliers'!$L$3:$N$6,2,FALSE)=0,"Spatial Data Missing ⚠",VLOOKUP(L247,'G-3 Multipliers'!$L$3:$N$6,2,FALSE)))</f>
        <v/>
      </c>
      <c r="N247" s="499" t="str">
        <f>IF(L247="","",IF(VLOOKUP(L247,'G-3 Multipliers'!$L$3:$N$6,3,FALSE)=0,"Spatial Data Missing ⚠",VLOOKUP(L247,'G-3 Multipliers'!$L$3:$N$6,3,FALSE)))</f>
        <v/>
      </c>
      <c r="O247" s="498" t="str">
        <f t="shared" si="15"/>
        <v/>
      </c>
      <c r="P247" s="195"/>
      <c r="Q247" s="195"/>
      <c r="R247" s="520" t="str">
        <f t="shared" si="16"/>
        <v/>
      </c>
      <c r="S247" s="544" t="str">
        <f t="shared" si="17"/>
        <v/>
      </c>
      <c r="T247" s="525" t="str">
        <f>IFERROR(IF(S247="Check Data ⚠","Check Data ⚠",VLOOKUP(S247,'G-4 Temporal multipliers'!$A$4:$C$37,3,FALSE)),"")</f>
        <v/>
      </c>
      <c r="U247" s="523" t="str">
        <f>IF(F247="","",VLOOKUP(F247,'G-3 Multipliers'!$A$2:$E$129,2,FALSE))</f>
        <v/>
      </c>
      <c r="V247" s="520" t="str">
        <f t="shared" si="19"/>
        <v/>
      </c>
      <c r="W247" s="520" t="str">
        <f>IF(E247="","",IF(AND(V247="Standard difficulty applied",O247&gt;P247),U247,IF(AND(V247="Low Difficulty - only applicable if all habitat created before losses ⚠",P247&gt;=O247),"Low",VLOOKUP(F247,'G-3 Multipliers'!$A$2:$E$129,4,FALSE))))</f>
        <v/>
      </c>
      <c r="X247" s="524" t="str">
        <f>IFERROR(IF(E247="","",VLOOKUP(W247, 'G-3 Multipliers'!$P$2:$Q$6,2,FALSE)),"")</f>
        <v/>
      </c>
      <c r="Y247" s="197"/>
      <c r="Z247" s="499" t="str">
        <f>IF(Y247="","",IF(VLOOKUP(Y247,'G-3 Multipliers'!$S$3:$T$9,2,FALSE)=0,"Spatial Data Missing ⚠",VLOOKUP(Y247,'G-3 Multipliers'!$S$3:$T$9,2,FALSE)))</f>
        <v/>
      </c>
      <c r="AA247" s="545" t="str">
        <f t="shared" si="18"/>
        <v/>
      </c>
      <c r="AB247" s="149"/>
      <c r="AC247" s="150"/>
    </row>
    <row r="248" spans="1:29" ht="13.8" x14ac:dyDescent="0.25">
      <c r="A248" s="31" t="str">
        <f>IFERROR(INDEX('G-8 Condition Look up'!$I$4:$I$130,MATCH(F248,'G-8 Condition Look up'!$A$4:$A$130,0)),"")</f>
        <v/>
      </c>
      <c r="C248" s="244" t="str">
        <f>IFERROR(INDEX('G-1 All Habitats'!$AG$3:$AG$15,MATCH(D248,'G-1 All Habitats'!$AF$3:$AF$15,0)),"")</f>
        <v/>
      </c>
      <c r="D248" s="154"/>
      <c r="E248" s="203"/>
      <c r="F248" s="243" t="str">
        <f>IFERROR(INDEX('G-1 All Habitats'!$B$3:$B$129,MATCH(E248,'G-1 All Habitats'!$A$3:$A$129,0)),"")</f>
        <v/>
      </c>
      <c r="G248" s="386"/>
      <c r="H248" s="537" t="str">
        <f>IF(F248="","",VLOOKUP(F248,'G-1 All Habitats'!$B$2:$M$129,10,FALSE))</f>
        <v/>
      </c>
      <c r="I248" s="524" t="str">
        <f>IFERROR(VLOOKUP(H248,'G-1 All Habitats'!$V$3:$W$7,2,FALSE),"")</f>
        <v/>
      </c>
      <c r="J248" s="199"/>
      <c r="K248" s="524" t="str">
        <f>IFERROR(INDEX('G-8 Condition Look up'!$A$3:$H$130,MATCH(F248,'G-8 Condition Look up'!$A$3:$A$130,0),MATCH(J248,'G-8 Condition Look up'!$A$3:$H$3,0)),"")</f>
        <v/>
      </c>
      <c r="L248" s="145"/>
      <c r="M248" s="540" t="str">
        <f>IF(L248="","",IF(VLOOKUP(L248,'G-3 Multipliers'!$L$3:$N$6,2,FALSE)=0,"Spatial Data Missing ⚠",VLOOKUP(L248,'G-3 Multipliers'!$L$3:$N$6,2,FALSE)))</f>
        <v/>
      </c>
      <c r="N248" s="499" t="str">
        <f>IF(L248="","",IF(VLOOKUP(L248,'G-3 Multipliers'!$L$3:$N$6,3,FALSE)=0,"Spatial Data Missing ⚠",VLOOKUP(L248,'G-3 Multipliers'!$L$3:$N$6,3,FALSE)))</f>
        <v/>
      </c>
      <c r="O248" s="498" t="str">
        <f t="shared" si="15"/>
        <v/>
      </c>
      <c r="P248" s="195"/>
      <c r="Q248" s="195"/>
      <c r="R248" s="520" t="str">
        <f t="shared" si="16"/>
        <v/>
      </c>
      <c r="S248" s="544" t="str">
        <f t="shared" si="17"/>
        <v/>
      </c>
      <c r="T248" s="525" t="str">
        <f>IFERROR(IF(S248="Check Data ⚠","Check Data ⚠",VLOOKUP(S248,'G-4 Temporal multipliers'!$A$4:$C$37,3,FALSE)),"")</f>
        <v/>
      </c>
      <c r="U248" s="523" t="str">
        <f>IF(F248="","",VLOOKUP(F248,'G-3 Multipliers'!$A$2:$E$129,2,FALSE))</f>
        <v/>
      </c>
      <c r="V248" s="520" t="str">
        <f t="shared" si="19"/>
        <v/>
      </c>
      <c r="W248" s="520" t="str">
        <f>IF(E248="","",IF(AND(V248="Standard difficulty applied",O248&gt;P248),U248,IF(AND(V248="Low Difficulty - only applicable if all habitat created before losses ⚠",P248&gt;=O248),"Low",VLOOKUP(F248,'G-3 Multipliers'!$A$2:$E$129,4,FALSE))))</f>
        <v/>
      </c>
      <c r="X248" s="524" t="str">
        <f>IFERROR(IF(E248="","",VLOOKUP(W248, 'G-3 Multipliers'!$P$2:$Q$6,2,FALSE)),"")</f>
        <v/>
      </c>
      <c r="Y248" s="197"/>
      <c r="Z248" s="499" t="str">
        <f>IF(Y248="","",IF(VLOOKUP(Y248,'G-3 Multipliers'!$S$3:$T$9,2,FALSE)=0,"Spatial Data Missing ⚠",VLOOKUP(Y248,'G-3 Multipliers'!$S$3:$T$9,2,FALSE)))</f>
        <v/>
      </c>
      <c r="AA248" s="545" t="str">
        <f t="shared" si="18"/>
        <v/>
      </c>
      <c r="AB248" s="149"/>
      <c r="AC248" s="150"/>
    </row>
    <row r="249" spans="1:29" ht="13.8" x14ac:dyDescent="0.25">
      <c r="A249" s="31" t="str">
        <f>IFERROR(INDEX('G-8 Condition Look up'!$I$4:$I$130,MATCH(F249,'G-8 Condition Look up'!$A$4:$A$130,0)),"")</f>
        <v/>
      </c>
      <c r="C249" s="244" t="str">
        <f>IFERROR(INDEX('G-1 All Habitats'!$AG$3:$AG$15,MATCH(D249,'G-1 All Habitats'!$AF$3:$AF$15,0)),"")</f>
        <v/>
      </c>
      <c r="D249" s="154"/>
      <c r="E249" s="203"/>
      <c r="F249" s="243" t="str">
        <f>IFERROR(INDEX('G-1 All Habitats'!$B$3:$B$129,MATCH(E249,'G-1 All Habitats'!$A$3:$A$129,0)),"")</f>
        <v/>
      </c>
      <c r="G249" s="386"/>
      <c r="H249" s="537" t="str">
        <f>IF(F249="","",VLOOKUP(F249,'G-1 All Habitats'!$B$2:$M$129,10,FALSE))</f>
        <v/>
      </c>
      <c r="I249" s="524" t="str">
        <f>IFERROR(VLOOKUP(H249,'G-1 All Habitats'!$V$3:$W$7,2,FALSE),"")</f>
        <v/>
      </c>
      <c r="J249" s="199"/>
      <c r="K249" s="524" t="str">
        <f>IFERROR(INDEX('G-8 Condition Look up'!$A$3:$H$130,MATCH(F249,'G-8 Condition Look up'!$A$3:$A$130,0),MATCH(J249,'G-8 Condition Look up'!$A$3:$H$3,0)),"")</f>
        <v/>
      </c>
      <c r="L249" s="145"/>
      <c r="M249" s="540" t="str">
        <f>IF(L249="","",IF(VLOOKUP(L249,'G-3 Multipliers'!$L$3:$N$6,2,FALSE)=0,"Spatial Data Missing ⚠",VLOOKUP(L249,'G-3 Multipliers'!$L$3:$N$6,2,FALSE)))</f>
        <v/>
      </c>
      <c r="N249" s="499" t="str">
        <f>IF(L249="","",IF(VLOOKUP(L249,'G-3 Multipliers'!$L$3:$N$6,3,FALSE)=0,"Spatial Data Missing ⚠",VLOOKUP(L249,'G-3 Multipliers'!$L$3:$N$6,3,FALSE)))</f>
        <v/>
      </c>
      <c r="O249" s="498" t="str">
        <f t="shared" si="15"/>
        <v/>
      </c>
      <c r="P249" s="195"/>
      <c r="Q249" s="195"/>
      <c r="R249" s="520" t="str">
        <f t="shared" si="16"/>
        <v/>
      </c>
      <c r="S249" s="544" t="str">
        <f t="shared" si="17"/>
        <v/>
      </c>
      <c r="T249" s="525" t="str">
        <f>IFERROR(IF(S249="Check Data ⚠","Check Data ⚠",VLOOKUP(S249,'G-4 Temporal multipliers'!$A$4:$C$37,3,FALSE)),"")</f>
        <v/>
      </c>
      <c r="U249" s="523" t="str">
        <f>IF(F249="","",VLOOKUP(F249,'G-3 Multipliers'!$A$2:$E$129,2,FALSE))</f>
        <v/>
      </c>
      <c r="V249" s="520" t="str">
        <f t="shared" si="19"/>
        <v/>
      </c>
      <c r="W249" s="520" t="str">
        <f>IF(E249="","",IF(AND(V249="Standard difficulty applied",O249&gt;P249),U249,IF(AND(V249="Low Difficulty - only applicable if all habitat created before losses ⚠",P249&gt;=O249),"Low",VLOOKUP(F249,'G-3 Multipliers'!$A$2:$E$129,4,FALSE))))</f>
        <v/>
      </c>
      <c r="X249" s="524" t="str">
        <f>IFERROR(IF(E249="","",VLOOKUP(W249, 'G-3 Multipliers'!$P$2:$Q$6,2,FALSE)),"")</f>
        <v/>
      </c>
      <c r="Y249" s="197"/>
      <c r="Z249" s="499" t="str">
        <f>IF(Y249="","",IF(VLOOKUP(Y249,'G-3 Multipliers'!$S$3:$T$9,2,FALSE)=0,"Spatial Data Missing ⚠",VLOOKUP(Y249,'G-3 Multipliers'!$S$3:$T$9,2,FALSE)))</f>
        <v/>
      </c>
      <c r="AA249" s="545" t="str">
        <f t="shared" si="18"/>
        <v/>
      </c>
      <c r="AB249" s="149"/>
      <c r="AC249" s="150"/>
    </row>
    <row r="250" spans="1:29" ht="13.8" x14ac:dyDescent="0.25">
      <c r="A250" s="31" t="str">
        <f>IFERROR(INDEX('G-8 Condition Look up'!$I$4:$I$130,MATCH(F250,'G-8 Condition Look up'!$A$4:$A$130,0)),"")</f>
        <v/>
      </c>
      <c r="C250" s="244" t="str">
        <f>IFERROR(INDEX('G-1 All Habitats'!$AG$3:$AG$15,MATCH(D250,'G-1 All Habitats'!$AF$3:$AF$15,0)),"")</f>
        <v/>
      </c>
      <c r="D250" s="154"/>
      <c r="E250" s="203"/>
      <c r="F250" s="243" t="str">
        <f>IFERROR(INDEX('G-1 All Habitats'!$B$3:$B$129,MATCH(E250,'G-1 All Habitats'!$A$3:$A$129,0)),"")</f>
        <v/>
      </c>
      <c r="G250" s="386"/>
      <c r="H250" s="537" t="str">
        <f>IF(F250="","",VLOOKUP(F250,'G-1 All Habitats'!$B$2:$M$129,10,FALSE))</f>
        <v/>
      </c>
      <c r="I250" s="524" t="str">
        <f>IFERROR(VLOOKUP(H250,'G-1 All Habitats'!$V$3:$W$7,2,FALSE),"")</f>
        <v/>
      </c>
      <c r="J250" s="199"/>
      <c r="K250" s="524" t="str">
        <f>IFERROR(INDEX('G-8 Condition Look up'!$A$3:$H$130,MATCH(F250,'G-8 Condition Look up'!$A$3:$A$130,0),MATCH(J250,'G-8 Condition Look up'!$A$3:$H$3,0)),"")</f>
        <v/>
      </c>
      <c r="L250" s="145"/>
      <c r="M250" s="540" t="str">
        <f>IF(L250="","",IF(VLOOKUP(L250,'G-3 Multipliers'!$L$3:$N$6,2,FALSE)=0,"Spatial Data Missing ⚠",VLOOKUP(L250,'G-3 Multipliers'!$L$3:$N$6,2,FALSE)))</f>
        <v/>
      </c>
      <c r="N250" s="499" t="str">
        <f>IF(L250="","",IF(VLOOKUP(L250,'G-3 Multipliers'!$L$3:$N$6,3,FALSE)=0,"Spatial Data Missing ⚠",VLOOKUP(L250,'G-3 Multipliers'!$L$3:$N$6,3,FALSE)))</f>
        <v/>
      </c>
      <c r="O250" s="498" t="str">
        <f t="shared" si="15"/>
        <v/>
      </c>
      <c r="P250" s="195"/>
      <c r="Q250" s="195"/>
      <c r="R250" s="520" t="str">
        <f t="shared" si="16"/>
        <v/>
      </c>
      <c r="S250" s="544" t="str">
        <f t="shared" si="17"/>
        <v/>
      </c>
      <c r="T250" s="525" t="str">
        <f>IFERROR(IF(S250="Check Data ⚠","Check Data ⚠",VLOOKUP(S250,'G-4 Temporal multipliers'!$A$4:$C$37,3,FALSE)),"")</f>
        <v/>
      </c>
      <c r="U250" s="523" t="str">
        <f>IF(F250="","",VLOOKUP(F250,'G-3 Multipliers'!$A$2:$E$129,2,FALSE))</f>
        <v/>
      </c>
      <c r="V250" s="520" t="str">
        <f t="shared" si="19"/>
        <v/>
      </c>
      <c r="W250" s="520" t="str">
        <f>IF(E250="","",IF(AND(V250="Standard difficulty applied",O250&gt;P250),U250,IF(AND(V250="Low Difficulty - only applicable if all habitat created before losses ⚠",P250&gt;=O250),"Low",VLOOKUP(F250,'G-3 Multipliers'!$A$2:$E$129,4,FALSE))))</f>
        <v/>
      </c>
      <c r="X250" s="524" t="str">
        <f>IFERROR(IF(E250="","",VLOOKUP(W250, 'G-3 Multipliers'!$P$2:$Q$6,2,FALSE)),"")</f>
        <v/>
      </c>
      <c r="Y250" s="197"/>
      <c r="Z250" s="499" t="str">
        <f>IF(Y250="","",IF(VLOOKUP(Y250,'G-3 Multipliers'!$S$3:$T$9,2,FALSE)=0,"Spatial Data Missing ⚠",VLOOKUP(Y250,'G-3 Multipliers'!$S$3:$T$9,2,FALSE)))</f>
        <v/>
      </c>
      <c r="AA250" s="545" t="str">
        <f t="shared" si="18"/>
        <v/>
      </c>
      <c r="AB250" s="149"/>
      <c r="AC250" s="150"/>
    </row>
    <row r="251" spans="1:29" ht="13.8" x14ac:dyDescent="0.25">
      <c r="A251" s="31" t="str">
        <f>IFERROR(INDEX('G-8 Condition Look up'!$I$4:$I$130,MATCH(F251,'G-8 Condition Look up'!$A$4:$A$130,0)),"")</f>
        <v/>
      </c>
      <c r="C251" s="244" t="str">
        <f>IFERROR(INDEX('G-1 All Habitats'!$AG$3:$AG$15,MATCH(D251,'G-1 All Habitats'!$AF$3:$AF$15,0)),"")</f>
        <v/>
      </c>
      <c r="D251" s="154"/>
      <c r="E251" s="203"/>
      <c r="F251" s="243" t="str">
        <f>IFERROR(INDEX('G-1 All Habitats'!$B$3:$B$129,MATCH(E251,'G-1 All Habitats'!$A$3:$A$129,0)),"")</f>
        <v/>
      </c>
      <c r="G251" s="386"/>
      <c r="H251" s="537" t="str">
        <f>IF(F251="","",VLOOKUP(F251,'G-1 All Habitats'!$B$2:$M$129,10,FALSE))</f>
        <v/>
      </c>
      <c r="I251" s="524" t="str">
        <f>IFERROR(VLOOKUP(H251,'G-1 All Habitats'!$V$3:$W$7,2,FALSE),"")</f>
        <v/>
      </c>
      <c r="J251" s="199"/>
      <c r="K251" s="524" t="str">
        <f>IFERROR(INDEX('G-8 Condition Look up'!$A$3:$H$130,MATCH(F251,'G-8 Condition Look up'!$A$3:$A$130,0),MATCH(J251,'G-8 Condition Look up'!$A$3:$H$3,0)),"")</f>
        <v/>
      </c>
      <c r="L251" s="145"/>
      <c r="M251" s="540" t="str">
        <f>IF(L251="","",IF(VLOOKUP(L251,'G-3 Multipliers'!$L$3:$N$6,2,FALSE)=0,"Spatial Data Missing ⚠",VLOOKUP(L251,'G-3 Multipliers'!$L$3:$N$6,2,FALSE)))</f>
        <v/>
      </c>
      <c r="N251" s="499" t="str">
        <f>IF(L251="","",IF(VLOOKUP(L251,'G-3 Multipliers'!$L$3:$N$6,3,FALSE)=0,"Spatial Data Missing ⚠",VLOOKUP(L251,'G-3 Multipliers'!$L$3:$N$6,3,FALSE)))</f>
        <v/>
      </c>
      <c r="O251" s="498" t="str">
        <f t="shared" si="15"/>
        <v/>
      </c>
      <c r="P251" s="195"/>
      <c r="Q251" s="195"/>
      <c r="R251" s="520" t="str">
        <f t="shared" si="16"/>
        <v/>
      </c>
      <c r="S251" s="544" t="str">
        <f t="shared" si="17"/>
        <v/>
      </c>
      <c r="T251" s="525" t="str">
        <f>IFERROR(IF(S251="Check Data ⚠","Check Data ⚠",VLOOKUP(S251,'G-4 Temporal multipliers'!$A$4:$C$37,3,FALSE)),"")</f>
        <v/>
      </c>
      <c r="U251" s="523" t="str">
        <f>IF(F251="","",VLOOKUP(F251,'G-3 Multipliers'!$A$2:$E$129,2,FALSE))</f>
        <v/>
      </c>
      <c r="V251" s="520" t="str">
        <f t="shared" si="19"/>
        <v/>
      </c>
      <c r="W251" s="520" t="str">
        <f>IF(E251="","",IF(AND(V251="Standard difficulty applied",O251&gt;P251),U251,IF(AND(V251="Low Difficulty - only applicable if all habitat created before losses ⚠",P251&gt;=O251),"Low",VLOOKUP(F251,'G-3 Multipliers'!$A$2:$E$129,4,FALSE))))</f>
        <v/>
      </c>
      <c r="X251" s="524" t="str">
        <f>IFERROR(IF(E251="","",VLOOKUP(W251, 'G-3 Multipliers'!$P$2:$Q$6,2,FALSE)),"")</f>
        <v/>
      </c>
      <c r="Y251" s="197"/>
      <c r="Z251" s="499" t="str">
        <f>IF(Y251="","",IF(VLOOKUP(Y251,'G-3 Multipliers'!$S$3:$T$9,2,FALSE)=0,"Spatial Data Missing ⚠",VLOOKUP(Y251,'G-3 Multipliers'!$S$3:$T$9,2,FALSE)))</f>
        <v/>
      </c>
      <c r="AA251" s="545" t="str">
        <f t="shared" si="18"/>
        <v/>
      </c>
      <c r="AB251" s="149"/>
      <c r="AC251" s="150"/>
    </row>
    <row r="252" spans="1:29" ht="13.8" x14ac:dyDescent="0.25">
      <c r="A252" s="31" t="str">
        <f>IFERROR(INDEX('G-8 Condition Look up'!$I$4:$I$130,MATCH(F252,'G-8 Condition Look up'!$A$4:$A$130,0)),"")</f>
        <v/>
      </c>
      <c r="C252" s="244" t="str">
        <f>IFERROR(INDEX('G-1 All Habitats'!$AG$3:$AG$15,MATCH(D252,'G-1 All Habitats'!$AF$3:$AF$15,0)),"")</f>
        <v/>
      </c>
      <c r="D252" s="154"/>
      <c r="E252" s="203"/>
      <c r="F252" s="243" t="str">
        <f>IFERROR(INDEX('G-1 All Habitats'!$B$3:$B$129,MATCH(E252,'G-1 All Habitats'!$A$3:$A$129,0)),"")</f>
        <v/>
      </c>
      <c r="G252" s="386"/>
      <c r="H252" s="537" t="str">
        <f>IF(F252="","",VLOOKUP(F252,'G-1 All Habitats'!$B$2:$M$129,10,FALSE))</f>
        <v/>
      </c>
      <c r="I252" s="524" t="str">
        <f>IFERROR(VLOOKUP(H252,'G-1 All Habitats'!$V$3:$W$7,2,FALSE),"")</f>
        <v/>
      </c>
      <c r="J252" s="199"/>
      <c r="K252" s="524" t="str">
        <f>IFERROR(INDEX('G-8 Condition Look up'!$A$3:$H$130,MATCH(F252,'G-8 Condition Look up'!$A$3:$A$130,0),MATCH(J252,'G-8 Condition Look up'!$A$3:$H$3,0)),"")</f>
        <v/>
      </c>
      <c r="L252" s="145"/>
      <c r="M252" s="540" t="str">
        <f>IF(L252="","",IF(VLOOKUP(L252,'G-3 Multipliers'!$L$3:$N$6,2,FALSE)=0,"Spatial Data Missing 'D-3 Off Site Habitat Enhancment'!",VLOOKUP(L252,'G-3 Multipliers'!$L$3:$N$6,2,FALSE)))</f>
        <v/>
      </c>
      <c r="N252" s="499" t="str">
        <f>IF(L252="","",IF(VLOOKUP(L252,'G-3 Multipliers'!$L$3:$N$6,3,FALSE)=0,"Spatial Data Missing ⚠",VLOOKUP(L252,'G-3 Multipliers'!$L$3:$N$6,3,FALSE)))</f>
        <v/>
      </c>
      <c r="O252" s="498" t="str">
        <f t="shared" si="15"/>
        <v/>
      </c>
      <c r="P252" s="195"/>
      <c r="Q252" s="195"/>
      <c r="R252" s="520" t="str">
        <f t="shared" si="16"/>
        <v/>
      </c>
      <c r="S252" s="544" t="str">
        <f t="shared" si="17"/>
        <v/>
      </c>
      <c r="T252" s="525" t="str">
        <f>IFERROR(IF(S252="Check Data ⚠","Check Data ⚠",VLOOKUP(S252,'G-4 Temporal multipliers'!$A$4:$C$37,3,FALSE)),"")</f>
        <v/>
      </c>
      <c r="U252" s="523" t="str">
        <f>IF(F252="","",VLOOKUP(F252,'G-3 Multipliers'!$A$2:$E$129,2,FALSE))</f>
        <v/>
      </c>
      <c r="V252" s="520" t="str">
        <f t="shared" si="19"/>
        <v/>
      </c>
      <c r="W252" s="520" t="str">
        <f>IF(E252="","",IF(AND(V252="Standard difficulty applied",O252&gt;P252),U252,IF(AND(V252="Low Difficulty - only applicable if all habitat created before losses ⚠",P252&gt;=O252),"Low",VLOOKUP(F252,'G-3 Multipliers'!$A$2:$E$129,4,FALSE))))</f>
        <v/>
      </c>
      <c r="X252" s="524" t="str">
        <f>IFERROR(IF(E252="","",VLOOKUP(W252, 'G-3 Multipliers'!$P$2:$Q$6,2,FALSE)),"")</f>
        <v/>
      </c>
      <c r="Y252" s="197"/>
      <c r="Z252" s="499" t="str">
        <f>IF(Y252="","",IF(VLOOKUP(Y252,'G-3 Multipliers'!$S$3:$T$9,2,FALSE)=0,"Spatial Data Missing ⚠",VLOOKUP(Y252,'G-3 Multipliers'!$S$3:$T$9,2,FALSE)))</f>
        <v/>
      </c>
      <c r="AA252" s="545" t="str">
        <f t="shared" si="18"/>
        <v/>
      </c>
      <c r="AB252" s="149"/>
      <c r="AC252" s="150"/>
    </row>
    <row r="253" spans="1:29" ht="13.8" x14ac:dyDescent="0.25">
      <c r="A253" s="31" t="str">
        <f>IFERROR(INDEX('G-8 Condition Look up'!$I$4:$I$130,MATCH(F253,'G-8 Condition Look up'!$A$4:$A$130,0)),"")</f>
        <v/>
      </c>
      <c r="C253" s="244" t="str">
        <f>IFERROR(INDEX('G-1 All Habitats'!$AG$3:$AG$15,MATCH(D253,'G-1 All Habitats'!$AF$3:$AF$15,0)),"")</f>
        <v/>
      </c>
      <c r="D253" s="154"/>
      <c r="E253" s="203"/>
      <c r="F253" s="243" t="str">
        <f>IFERROR(INDEX('G-1 All Habitats'!$B$3:$B$129,MATCH(E253,'G-1 All Habitats'!$A$3:$A$129,0)),"")</f>
        <v/>
      </c>
      <c r="G253" s="386"/>
      <c r="H253" s="537" t="str">
        <f>IF(F253="","",VLOOKUP(F253,'G-1 All Habitats'!$B$2:$M$129,10,FALSE))</f>
        <v/>
      </c>
      <c r="I253" s="524" t="str">
        <f>IFERROR(VLOOKUP(H253,'G-1 All Habitats'!$V$3:$W$7,2,FALSE),"")</f>
        <v/>
      </c>
      <c r="J253" s="199"/>
      <c r="K253" s="524" t="str">
        <f>IFERROR(INDEX('G-8 Condition Look up'!$A$3:$H$130,MATCH(F253,'G-8 Condition Look up'!$A$3:$A$130,0),MATCH(J253,'G-8 Condition Look up'!$A$3:$H$3,0)),"")</f>
        <v/>
      </c>
      <c r="L253" s="145"/>
      <c r="M253" s="540" t="str">
        <f>IF(L253="","",IF(VLOOKUP(L253,'G-3 Multipliers'!$L$3:$N$6,2,FALSE)=0,"Spatial Data Missing ⚠",VLOOKUP(L253,'G-3 Multipliers'!$L$3:$N$6,2,FALSE)))</f>
        <v/>
      </c>
      <c r="N253" s="499" t="str">
        <f>IF(L253="","",IF(VLOOKUP(L253,'G-3 Multipliers'!$L$3:$N$6,3,FALSE)=0,"Spatial Data Missing ⚠",VLOOKUP(L253,'G-3 Multipliers'!$L$3:$N$6,3,FALSE)))</f>
        <v/>
      </c>
      <c r="O253" s="498" t="str">
        <f t="shared" si="15"/>
        <v/>
      </c>
      <c r="P253" s="195"/>
      <c r="Q253" s="195"/>
      <c r="R253" s="520" t="str">
        <f t="shared" si="16"/>
        <v/>
      </c>
      <c r="S253" s="544" t="str">
        <f t="shared" si="17"/>
        <v/>
      </c>
      <c r="T253" s="525" t="str">
        <f>IFERROR(IF(S253="Check Data ⚠","Check Data ⚠",VLOOKUP(S253,'G-4 Temporal multipliers'!$A$4:$C$37,3,FALSE)),"")</f>
        <v/>
      </c>
      <c r="U253" s="523" t="str">
        <f>IF(F253="","",VLOOKUP(F253,'G-3 Multipliers'!$A$2:$E$129,2,FALSE))</f>
        <v/>
      </c>
      <c r="V253" s="520" t="str">
        <f t="shared" si="19"/>
        <v/>
      </c>
      <c r="W253" s="520" t="str">
        <f>IF(E253="","",IF(AND(V253="Standard difficulty applied",O253&gt;P253),U253,IF(AND(V253="Low Difficulty - only applicable if all habitat created before losses ⚠",P253&gt;=O253),"Low",VLOOKUP(F253,'G-3 Multipliers'!$A$2:$E$129,4,FALSE))))</f>
        <v/>
      </c>
      <c r="X253" s="524" t="str">
        <f>IFERROR(IF(E253="","",VLOOKUP(W253, 'G-3 Multipliers'!$P$2:$Q$6,2,FALSE)),"")</f>
        <v/>
      </c>
      <c r="Y253" s="197"/>
      <c r="Z253" s="499" t="str">
        <f>IF(Y253="","",IF(VLOOKUP(Y253,'G-3 Multipliers'!$S$3:$T$9,2,FALSE)=0,"Spatial Data Missing ⚠",VLOOKUP(Y253,'G-3 Multipliers'!$S$3:$T$9,2,FALSE)))</f>
        <v/>
      </c>
      <c r="AA253" s="545" t="str">
        <f t="shared" si="18"/>
        <v/>
      </c>
      <c r="AB253" s="149"/>
      <c r="AC253" s="150"/>
    </row>
    <row r="254" spans="1:29" ht="13.8" x14ac:dyDescent="0.25">
      <c r="A254" s="31" t="str">
        <f>IFERROR(INDEX('G-8 Condition Look up'!$I$4:$I$130,MATCH(F254,'G-8 Condition Look up'!$A$4:$A$130,0)),"")</f>
        <v/>
      </c>
      <c r="C254" s="244" t="str">
        <f>IFERROR(INDEX('G-1 All Habitats'!$AG$3:$AG$15,MATCH(D254,'G-1 All Habitats'!$AF$3:$AF$15,0)),"")</f>
        <v/>
      </c>
      <c r="D254" s="154"/>
      <c r="E254" s="203"/>
      <c r="F254" s="243" t="str">
        <f>IFERROR(INDEX('G-1 All Habitats'!$B$3:$B$129,MATCH(E254,'G-1 All Habitats'!$A$3:$A$129,0)),"")</f>
        <v/>
      </c>
      <c r="G254" s="386"/>
      <c r="H254" s="537" t="str">
        <f>IF(F254="","",VLOOKUP(F254,'G-1 All Habitats'!$B$2:$M$129,10,FALSE))</f>
        <v/>
      </c>
      <c r="I254" s="524" t="str">
        <f>IFERROR(VLOOKUP(H254,'G-1 All Habitats'!$V$3:$W$7,2,FALSE),"")</f>
        <v/>
      </c>
      <c r="J254" s="199"/>
      <c r="K254" s="524" t="str">
        <f>IFERROR(INDEX('G-8 Condition Look up'!$A$3:$H$130,MATCH(F254,'G-8 Condition Look up'!$A$3:$A$130,0),MATCH(J254,'G-8 Condition Look up'!$A$3:$H$3,0)),"")</f>
        <v/>
      </c>
      <c r="L254" s="145"/>
      <c r="M254" s="540" t="str">
        <f>IF(L254="","",IF(VLOOKUP(L254,'G-3 Multipliers'!$L$3:$N$6,2,FALSE)=0,"Spatial Data Missing ⚠",VLOOKUP(L254,'G-3 Multipliers'!$L$3:$N$6,2,FALSE)))</f>
        <v/>
      </c>
      <c r="N254" s="499" t="str">
        <f>IF(L254="","",IF(VLOOKUP(L254,'G-3 Multipliers'!$L$3:$N$6,3,FALSE)=0,"Spatial Data Missing ⚠",VLOOKUP(L254,'G-3 Multipliers'!$L$3:$N$6,3,FALSE)))</f>
        <v/>
      </c>
      <c r="O254" s="498" t="str">
        <f t="shared" si="15"/>
        <v/>
      </c>
      <c r="P254" s="195"/>
      <c r="Q254" s="195"/>
      <c r="R254" s="520" t="str">
        <f t="shared" si="16"/>
        <v/>
      </c>
      <c r="S254" s="544" t="str">
        <f t="shared" si="17"/>
        <v/>
      </c>
      <c r="T254" s="525" t="str">
        <f>IFERROR(IF(S254="Check Data ⚠","Check Data ⚠",VLOOKUP(S254,'G-4 Temporal multipliers'!$A$4:$C$37,3,FALSE)),"")</f>
        <v/>
      </c>
      <c r="U254" s="523" t="str">
        <f>IF(F254="","",VLOOKUP(F254,'G-3 Multipliers'!$A$2:$E$129,2,FALSE))</f>
        <v/>
      </c>
      <c r="V254" s="520" t="str">
        <f t="shared" si="19"/>
        <v/>
      </c>
      <c r="W254" s="520" t="str">
        <f>IF(E254="","",IF(AND(V254="Standard difficulty applied",O254&gt;P254),U254,IF(AND(V254="Low Difficulty - only applicable if all habitat created before losses ⚠",P254&gt;=O254),"Low",VLOOKUP(F254,'G-3 Multipliers'!$A$2:$E$129,4,FALSE))))</f>
        <v/>
      </c>
      <c r="X254" s="524" t="str">
        <f>IFERROR(IF(E254="","",VLOOKUP(W254, 'G-3 Multipliers'!$P$2:$Q$6,2,FALSE)),"")</f>
        <v/>
      </c>
      <c r="Y254" s="197"/>
      <c r="Z254" s="499" t="str">
        <f>IF(Y254="","",IF(VLOOKUP(Y254,'G-3 Multipliers'!$S$3:$T$9,2,FALSE)=0,"Spatial Data Missing ⚠",VLOOKUP(Y254,'G-3 Multipliers'!$S$3:$T$9,2,FALSE)))</f>
        <v/>
      </c>
      <c r="AA254" s="545" t="str">
        <f t="shared" si="18"/>
        <v/>
      </c>
      <c r="AB254" s="149"/>
      <c r="AC254" s="150"/>
    </row>
    <row r="255" spans="1:29" ht="13.8" x14ac:dyDescent="0.25">
      <c r="A255" s="31" t="str">
        <f>IFERROR(INDEX('G-8 Condition Look up'!$I$4:$I$130,MATCH(F255,'G-8 Condition Look up'!$A$4:$A$130,0)),"")</f>
        <v/>
      </c>
      <c r="C255" s="244" t="str">
        <f>IFERROR(INDEX('G-1 All Habitats'!$AG$3:$AG$15,MATCH(D255,'G-1 All Habitats'!$AF$3:$AF$15,0)),"")</f>
        <v/>
      </c>
      <c r="D255" s="154"/>
      <c r="E255" s="203"/>
      <c r="F255" s="243" t="str">
        <f>IFERROR(INDEX('G-1 All Habitats'!$B$3:$B$129,MATCH(E255,'G-1 All Habitats'!$A$3:$A$129,0)),"")</f>
        <v/>
      </c>
      <c r="G255" s="386"/>
      <c r="H255" s="537" t="str">
        <f>IF(F255="","",VLOOKUP(F255,'G-1 All Habitats'!$B$2:$M$129,10,FALSE))</f>
        <v/>
      </c>
      <c r="I255" s="524" t="str">
        <f>IFERROR(VLOOKUP(H255,'G-1 All Habitats'!$V$3:$W$7,2,FALSE),"")</f>
        <v/>
      </c>
      <c r="J255" s="199"/>
      <c r="K255" s="524" t="str">
        <f>IFERROR(INDEX('G-8 Condition Look up'!$A$3:$H$130,MATCH(F255,'G-8 Condition Look up'!$A$3:$A$130,0),MATCH(J255,'G-8 Condition Look up'!$A$3:$H$3,0)),"")</f>
        <v/>
      </c>
      <c r="L255" s="145"/>
      <c r="M255" s="540" t="str">
        <f>IF(L255="","",IF(VLOOKUP(L255,'G-3 Multipliers'!$L$3:$N$6,2,FALSE)=0,"Spatial Data Missing ⚠",VLOOKUP(L255,'G-3 Multipliers'!$L$3:$N$6,2,FALSE)))</f>
        <v/>
      </c>
      <c r="N255" s="499" t="str">
        <f>IF(L255="","",IF(VLOOKUP(L255,'G-3 Multipliers'!$L$3:$N$6,3,FALSE)=0,"Spatial Data Missing ⚠",VLOOKUP(L255,'G-3 Multipliers'!$L$3:$N$6,3,FALSE)))</f>
        <v/>
      </c>
      <c r="O255" s="498" t="str">
        <f t="shared" si="15"/>
        <v/>
      </c>
      <c r="P255" s="195"/>
      <c r="Q255" s="195"/>
      <c r="R255" s="520" t="str">
        <f t="shared" si="16"/>
        <v/>
      </c>
      <c r="S255" s="544" t="str">
        <f t="shared" si="17"/>
        <v/>
      </c>
      <c r="T255" s="525" t="str">
        <f>IFERROR(IF(S255="Check Data ⚠","Check Data ⚠",VLOOKUP(S255,'G-4 Temporal multipliers'!$A$4:$C$37,3,FALSE)),"")</f>
        <v/>
      </c>
      <c r="U255" s="523" t="str">
        <f>IF(F255="","",VLOOKUP(F255,'G-3 Multipliers'!$A$2:$E$129,2,FALSE))</f>
        <v/>
      </c>
      <c r="V255" s="520" t="str">
        <f t="shared" si="19"/>
        <v/>
      </c>
      <c r="W255" s="520" t="str">
        <f>IF(E255="","",IF(AND(V255="Standard difficulty applied",O255&gt;P255),U255,IF(AND(V255="Low Difficulty - only applicable if all habitat created before losses ⚠",P255&gt;=O255),"Low",VLOOKUP(F255,'G-3 Multipliers'!$A$2:$E$129,4,FALSE))))</f>
        <v/>
      </c>
      <c r="X255" s="524" t="str">
        <f>IFERROR(IF(E255="","",VLOOKUP(W255, 'G-3 Multipliers'!$P$2:$Q$6,2,FALSE)),"")</f>
        <v/>
      </c>
      <c r="Y255" s="197"/>
      <c r="Z255" s="499" t="str">
        <f>IF(Y255="","",IF(VLOOKUP(Y255,'G-3 Multipliers'!$S$3:$T$9,2,FALSE)=0,"Spatial Data Missing ⚠",VLOOKUP(Y255,'G-3 Multipliers'!$S$3:$T$9,2,FALSE)))</f>
        <v/>
      </c>
      <c r="AA255" s="545" t="str">
        <f t="shared" si="18"/>
        <v/>
      </c>
      <c r="AB255" s="149"/>
      <c r="AC255" s="150"/>
    </row>
    <row r="256" spans="1:29" ht="14.4" thickBot="1" x14ac:dyDescent="0.3">
      <c r="A256" s="31" t="str">
        <f>IFERROR(INDEX('G-8 Condition Look up'!$I$4:$I$130,MATCH(F256,'G-8 Condition Look up'!$A$4:$A$130,0)),"")</f>
        <v/>
      </c>
      <c r="C256" s="244" t="str">
        <f>IFERROR(INDEX('G-1 All Habitats'!$AG$3:$AG$15,MATCH(D256,'G-1 All Habitats'!$AF$3:$AF$15,0)),"")</f>
        <v/>
      </c>
      <c r="D256" s="161"/>
      <c r="E256" s="206"/>
      <c r="F256" s="323" t="str">
        <f>IFERROR(INDEX('G-1 All Habitats'!$B$3:$B$129,MATCH(E256,'G-1 All Habitats'!$A$3:$A$129,0)),"")</f>
        <v/>
      </c>
      <c r="G256" s="387"/>
      <c r="H256" s="500" t="str">
        <f>IF(F256="","",VLOOKUP(F256,'G-1 All Habitats'!$B$2:$M$129,10,FALSE))</f>
        <v/>
      </c>
      <c r="I256" s="501" t="str">
        <f>IFERROR(VLOOKUP(H256,'G-1 All Habitats'!$V$3:$W$7,2,FALSE),"")</f>
        <v/>
      </c>
      <c r="J256" s="270"/>
      <c r="K256" s="501" t="str">
        <f>IFERROR(INDEX('G-8 Condition Look up'!$A$3:$H$130,MATCH(F256,'G-8 Condition Look up'!$A$3:$A$130,0),MATCH(J256,'G-8 Condition Look up'!$A$3:$H$3,0)),"")</f>
        <v/>
      </c>
      <c r="L256" s="161"/>
      <c r="M256" s="540" t="str">
        <f>IF(L256="","",IF(VLOOKUP(L256,'G-3 Multipliers'!$L$3:$N$6,2,FALSE)=0,"Spatial Data Missing ⚠",VLOOKUP(L256,'G-3 Multipliers'!$L$3:$N$6,2,FALSE)))</f>
        <v/>
      </c>
      <c r="N256" s="499" t="str">
        <f>IF(L256="","",IF(VLOOKUP(L256,'G-3 Multipliers'!$L$3:$N$6,3,FALSE)=0,"Spatial Data Missing ⚠",VLOOKUP(L256,'G-3 Multipliers'!$L$3:$N$6,3,FALSE)))</f>
        <v/>
      </c>
      <c r="O256" s="498" t="str">
        <f t="shared" si="15"/>
        <v/>
      </c>
      <c r="P256" s="206"/>
      <c r="Q256" s="206"/>
      <c r="R256" s="520" t="str">
        <f t="shared" si="16"/>
        <v/>
      </c>
      <c r="S256" s="544" t="str">
        <f t="shared" si="17"/>
        <v/>
      </c>
      <c r="T256" s="525" t="str">
        <f>IFERROR(IF(S256="Check Data ⚠","Check Data ⚠",VLOOKUP(S256,'G-4 Temporal multipliers'!$A$4:$C$37,3,FALSE)),"")</f>
        <v/>
      </c>
      <c r="U256" s="528" t="str">
        <f>IF(F256="","",VLOOKUP(F256,'G-3 Multipliers'!$A$2:$E$129,2,FALSE))</f>
        <v/>
      </c>
      <c r="V256" s="520" t="str">
        <f t="shared" si="19"/>
        <v/>
      </c>
      <c r="W256" s="520" t="str">
        <f>IF(E256="","",IF(AND(V256="Standard difficulty applied",O256&gt;P256),U256,IF(AND(V256="Low Difficulty - only applicable if all habitat created before losses ⚠",P256&gt;=O256),"Low",VLOOKUP(F256,'G-3 Multipliers'!$A$2:$E$129,4,FALSE))))</f>
        <v/>
      </c>
      <c r="X256" s="524" t="str">
        <f>IFERROR(IF(E256="","",VLOOKUP(W256, 'G-3 Multipliers'!$P$2:$Q$6,2,FALSE)),"")</f>
        <v/>
      </c>
      <c r="Y256" s="271"/>
      <c r="Z256" s="499" t="str">
        <f>IF(Y256="","",IF(VLOOKUP(Y256,'G-3 Multipliers'!$S$3:$T$9,2,FALSE)=0,"Spatial Data Missing ⚠",VLOOKUP(Y256,'G-3 Multipliers'!$S$3:$T$9,2,FALSE)))</f>
        <v/>
      </c>
      <c r="AA256" s="546" t="str">
        <f t="shared" si="18"/>
        <v/>
      </c>
      <c r="AB256" s="163"/>
      <c r="AC256" s="164"/>
    </row>
    <row r="257" spans="5:27" ht="14.4" thickBot="1" x14ac:dyDescent="0.3">
      <c r="E257" s="371" t="s">
        <v>284</v>
      </c>
      <c r="F257" s="322" t="s">
        <v>244</v>
      </c>
      <c r="G257" s="543">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1" t="s">
        <v>245</v>
      </c>
      <c r="AA257" s="519">
        <f>SUM(AA11:AA256)</f>
        <v>0</v>
      </c>
    </row>
    <row r="258" spans="5:27" ht="14.4" thickBot="1" x14ac:dyDescent="0.3"/>
    <row r="259" spans="5:27" ht="14.4" thickBot="1" x14ac:dyDescent="0.3">
      <c r="E259" s="502" t="s">
        <v>246</v>
      </c>
      <c r="F259" s="47"/>
      <c r="G259" s="519">
        <f>IF('Detailed Results'!$K$40&gt;0,"Error",SUMIFS($G$11:$G$256,$F$11:$F$256,"&lt;&gt;"&amp;'G-1 All Habitats'!B73,$F$11:$F$256,"&lt;&gt;"&amp;'G-1 All Habitats'!B65,$F$11:$F$256,"&lt;&gt;"&amp;'G-1 All Habitats'!B66))</f>
        <v>0</v>
      </c>
    </row>
    <row r="260" spans="5:27" ht="13.8" x14ac:dyDescent="0.25"/>
    <row r="261" spans="5:27" ht="13.8" x14ac:dyDescent="0.25"/>
    <row r="262" spans="5:27" ht="13.8" x14ac:dyDescent="0.25"/>
    <row r="263" spans="5:27" ht="13.8" x14ac:dyDescent="0.25"/>
    <row r="264" spans="5:27" ht="13.8" hidden="1" x14ac:dyDescent="0.25">
      <c r="T264" s="31" t="s">
        <v>285</v>
      </c>
      <c r="U264" s="31" t="s">
        <v>285</v>
      </c>
      <c r="X264" s="31" t="s">
        <v>285</v>
      </c>
      <c r="AA264" s="31" t="s">
        <v>285</v>
      </c>
    </row>
    <row r="265" spans="5:27" ht="13.8" hidden="1" x14ac:dyDescent="0.25">
      <c r="T265" s="31" t="s">
        <v>285</v>
      </c>
      <c r="U265" s="31" t="s">
        <v>285</v>
      </c>
      <c r="X265" s="31" t="s">
        <v>285</v>
      </c>
      <c r="AA265" s="31" t="s">
        <v>285</v>
      </c>
    </row>
    <row r="266" spans="5:27" ht="13.8" hidden="1" x14ac:dyDescent="0.25"/>
    <row r="267" spans="5:27" ht="13.8" hidden="1" x14ac:dyDescent="0.25"/>
    <row r="268" spans="5:27" ht="13.8" hidden="1" x14ac:dyDescent="0.25"/>
    <row r="269" spans="5:27" ht="13.8" hidden="1" x14ac:dyDescent="0.25"/>
    <row r="270" spans="5:27" ht="13.8"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177" priority="36" operator="containsText" text="Existing Value Not Required">
      <formula>NOT(ISERROR(SEARCH("Existing Value Not Required",Y11)))</formula>
    </cfRule>
    <cfRule type="containsText" dxfId="176" priority="37" operator="containsText" text="Existing Value Required">
      <formula>NOT(ISERROR(SEARCH("Existing Value Required",Y11)))</formula>
    </cfRule>
  </conditionalFormatting>
  <conditionalFormatting sqref="K11">
    <cfRule type="containsText" dxfId="175" priority="35" operator="containsText" text="Not Possible">
      <formula>NOT(ISERROR(SEARCH("Not Possible",K11)))</formula>
    </cfRule>
  </conditionalFormatting>
  <conditionalFormatting sqref="Y12 Y24:Y256 Y14 Y16 Y18 Y20 Y22">
    <cfRule type="containsText" dxfId="174" priority="30" operator="containsText" text="Existing Value Not Required">
      <formula>NOT(ISERROR(SEARCH("Existing Value Not Required",Y12)))</formula>
    </cfRule>
    <cfRule type="containsText" dxfId="173" priority="31" operator="containsText" text="Existing Value Required">
      <formula>NOT(ISERROR(SEARCH("Existing Value Required",Y12)))</formula>
    </cfRule>
  </conditionalFormatting>
  <conditionalFormatting sqref="K12:K256">
    <cfRule type="containsText" dxfId="172" priority="28" operator="containsText" text="Not Possible">
      <formula>NOT(ISERROR(SEARCH("Not Possible",K12)))</formula>
    </cfRule>
  </conditionalFormatting>
  <conditionalFormatting sqref="AA11:AA257">
    <cfRule type="containsText" dxfId="171" priority="26" operator="containsText" text="Existing Value Not Required">
      <formula>NOT(ISERROR(SEARCH("Existing Value Not Required",AA11)))</formula>
    </cfRule>
    <cfRule type="containsText" dxfId="170" priority="27" operator="containsText" text="Existing Value Required">
      <formula>NOT(ISERROR(SEARCH("Existing Value Required",AA11)))</formula>
    </cfRule>
  </conditionalFormatting>
  <conditionalFormatting sqref="M11:N256">
    <cfRule type="containsText" dxfId="169" priority="23" operator="containsText" text="Spatial ">
      <formula>NOT(ISERROR(SEARCH("Spatial ",M11)))</formula>
    </cfRule>
  </conditionalFormatting>
  <conditionalFormatting sqref="O11:O256">
    <cfRule type="containsText" dxfId="168" priority="22" operator="containsText" text="30+">
      <formula>NOT(ISERROR(SEARCH("30+",O11)))</formula>
    </cfRule>
  </conditionalFormatting>
  <conditionalFormatting sqref="Y11:AA11 AA11:AA257 Y12:Z256">
    <cfRule type="containsText" dxfId="167" priority="19" operator="containsText" text="Check">
      <formula>NOT(ISERROR(SEARCH("Check",Y11)))</formula>
    </cfRule>
    <cfRule type="containsText" dxfId="166" priority="20" operator="containsText" text="Error">
      <formula>NOT(ISERROR(SEARCH("Error",Y11)))</formula>
    </cfRule>
  </conditionalFormatting>
  <conditionalFormatting sqref="Z11:Z256">
    <cfRule type="containsText" dxfId="165" priority="18" operator="containsText" text="Spatial">
      <formula>NOT(ISERROR(SEARCH("Spatial",Z11)))</formula>
    </cfRule>
  </conditionalFormatting>
  <conditionalFormatting sqref="O2 O5 S4">
    <cfRule type="beginsWith" dxfId="164" priority="16" operator="beginsWith" text="Note">
      <formula>LEFT(O2,LEN("Note"))="Note"</formula>
    </cfRule>
  </conditionalFormatting>
  <conditionalFormatting sqref="O5">
    <cfRule type="containsText" dxfId="163" priority="15" operator="containsText" text="Check">
      <formula>NOT(ISERROR(SEARCH("Check",O5)))</formula>
    </cfRule>
  </conditionalFormatting>
  <conditionalFormatting sqref="S11:S256">
    <cfRule type="containsText" dxfId="162" priority="14" operator="containsText" text="30+">
      <formula>NOT(ISERROR(SEARCH("30+",S11)))</formula>
    </cfRule>
  </conditionalFormatting>
  <conditionalFormatting sqref="V11:V256">
    <cfRule type="containsText" dxfId="161" priority="12" operator="containsText" text="No - Low Difficulty">
      <formula>NOT(ISERROR(SEARCH("No - Low Difficulty",V11)))</formula>
    </cfRule>
  </conditionalFormatting>
  <conditionalFormatting sqref="R12:T256 R11:X11 V12:W256">
    <cfRule type="containsText" dxfId="160" priority="11" operator="containsText" text="Error">
      <formula>NOT(ISERROR(SEARCH("Error",R11)))</formula>
    </cfRule>
    <cfRule type="containsText" dxfId="159" priority="13" operator="containsText" text="Check">
      <formula>NOT(ISERROR(SEARCH("Check",R11)))</formula>
    </cfRule>
  </conditionalFormatting>
  <conditionalFormatting sqref="U12:U256">
    <cfRule type="containsText" dxfId="158" priority="7" operator="containsText" text="Error">
      <formula>NOT(ISERROR(SEARCH("Error",U12)))</formula>
    </cfRule>
    <cfRule type="containsText" dxfId="157" priority="9" operator="containsText" text="Check">
      <formula>NOT(ISERROR(SEARCH("Check",U12)))</formula>
    </cfRule>
  </conditionalFormatting>
  <conditionalFormatting sqref="X12:X256">
    <cfRule type="containsText" dxfId="156" priority="1" operator="containsText" text="Error">
      <formula>NOT(ISERROR(SEARCH("Error",X12)))</formula>
    </cfRule>
    <cfRule type="containsText" dxfId="155"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3.8" zeroHeight="1" x14ac:dyDescent="0.25"/>
  <cols>
    <col min="1" max="1" width="19.33203125" style="31" hidden="1" customWidth="1"/>
    <col min="2" max="3" width="35" style="31" hidden="1" customWidth="1"/>
    <col min="4" max="4" width="2" style="31" customWidth="1"/>
    <col min="5" max="5" width="12.33203125" style="31" customWidth="1"/>
    <col min="6" max="6" width="73.44140625" style="31" customWidth="1"/>
    <col min="7" max="7" width="9.5546875" style="31" customWidth="1"/>
    <col min="8" max="8" width="18.33203125" style="31" customWidth="1"/>
    <col min="9" max="9" width="19.109375" style="31" customWidth="1"/>
    <col min="10" max="10" width="18.109375" style="31" customWidth="1"/>
    <col min="11" max="11" width="19.33203125" style="31" customWidth="1"/>
    <col min="12" max="12" width="22.33203125" style="31" customWidth="1"/>
    <col min="13" max="13" width="21.554687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546875" style="31" hidden="1" customWidth="1"/>
    <col min="20" max="21" width="34.33203125" style="31" customWidth="1"/>
    <col min="22" max="22" width="8.109375" style="31" customWidth="1"/>
    <col min="23" max="23" width="18.33203125" style="31" customWidth="1"/>
    <col min="24" max="24" width="13.109375" style="31" customWidth="1"/>
    <col min="25" max="25" width="12.5546875" style="31" bestFit="1" customWidth="1"/>
    <col min="26" max="26" width="12.5546875" style="31" customWidth="1"/>
    <col min="27" max="27" width="41.6640625" style="31" customWidth="1"/>
    <col min="28" max="28" width="20.109375" style="31" customWidth="1"/>
    <col min="29" max="29" width="12.33203125" style="31" customWidth="1"/>
    <col min="30" max="30" width="18.44140625" style="31" customWidth="1"/>
    <col min="31" max="31" width="21.33203125" style="31" customWidth="1"/>
    <col min="32" max="32" width="22.109375" style="31" customWidth="1"/>
    <col min="33" max="33" width="33" style="31" customWidth="1"/>
    <col min="34" max="35" width="18.44140625" style="31" customWidth="1"/>
    <col min="36" max="36" width="15.33203125" style="31" customWidth="1"/>
    <col min="37" max="37" width="28.33203125" style="31" customWidth="1"/>
    <col min="38" max="38" width="20.109375" style="31" customWidth="1"/>
    <col min="39" max="39" width="13.5546875" style="31" customWidth="1"/>
    <col min="40" max="40" width="91.44140625" style="31" customWidth="1"/>
    <col min="41" max="41" width="15.44140625" style="31" customWidth="1"/>
    <col min="42" max="42" width="13.33203125" style="31" customWidth="1"/>
    <col min="43" max="43" width="45.6640625" style="31" customWidth="1"/>
    <col min="44" max="44" width="50.44140625" style="31" customWidth="1"/>
    <col min="45" max="48" width="8.88671875" style="31" customWidth="1"/>
    <col min="49" max="16384" width="8.88671875" style="31" hidden="1"/>
  </cols>
  <sheetData>
    <row r="1" spans="1:44" ht="15.75" customHeight="1" thickBot="1" x14ac:dyDescent="0.3"/>
    <row r="2" spans="1:44" ht="19.95" customHeight="1" thickBot="1" x14ac:dyDescent="0.3">
      <c r="E2" s="786" t="str">
        <f>IF(Start!$F$12="","",Start!$F$12)</f>
        <v>Land at Doncaster Road, Goldthorpe, Rotherham</v>
      </c>
      <c r="F2" s="787"/>
      <c r="G2" s="788"/>
      <c r="AD2" s="910" t="str">
        <f>IF(OR(COUNTIF($AD$12:AD257,"*30+*")&gt;0,COUNTIF(AH12:AH257,"*30+*")&gt;0),"Note; Habitat selected has a time to target condition greater than 30 years. Non standard agreement may be required. ⚠","")</f>
        <v/>
      </c>
      <c r="AE2" s="910"/>
      <c r="AF2" s="910"/>
      <c r="AG2" s="910"/>
      <c r="AH2" s="910"/>
      <c r="AI2" s="910"/>
    </row>
    <row r="3" spans="1:44" ht="15.75" customHeight="1" thickBot="1" x14ac:dyDescent="0.3">
      <c r="E3" s="958" t="str">
        <f ca="1">MID(CELL("filename",E1),FIND("]",CELL("filename",E1))+1,256)</f>
        <v>D-3 Off Site Habitat Enhancment</v>
      </c>
      <c r="F3" s="959"/>
      <c r="G3" s="960"/>
      <c r="AD3" s="910"/>
      <c r="AE3" s="910"/>
      <c r="AF3" s="910"/>
      <c r="AG3" s="910"/>
      <c r="AH3" s="910"/>
      <c r="AI3" s="910"/>
    </row>
    <row r="4" spans="1:44" ht="15.75" customHeight="1" thickBot="1" x14ac:dyDescent="0.35">
      <c r="E4" s="958"/>
      <c r="F4" s="959"/>
      <c r="G4" s="960"/>
      <c r="AB4" s="33"/>
      <c r="AC4" s="193"/>
      <c r="AD4" s="448"/>
      <c r="AE4" s="448"/>
      <c r="AF4" s="448"/>
      <c r="AG4" s="448"/>
      <c r="AH4" s="193"/>
      <c r="AI4" s="193"/>
      <c r="AJ4" s="193"/>
      <c r="AK4" s="193"/>
      <c r="AL4" s="193"/>
      <c r="AM4" s="193"/>
      <c r="AN4" s="193"/>
    </row>
    <row r="5" spans="1:44" ht="15" customHeight="1" x14ac:dyDescent="0.25">
      <c r="AD5" s="938" t="str">
        <f>IF(Q12&lt;&gt;A12,"Change in broad habitat type detected. Check compliance with guidance.","")</f>
        <v/>
      </c>
      <c r="AE5" s="938"/>
      <c r="AF5" s="938"/>
      <c r="AG5" s="938"/>
      <c r="AH5" s="938"/>
      <c r="AI5" s="938"/>
    </row>
    <row r="6" spans="1:44" ht="15.75" customHeight="1" x14ac:dyDescent="0.25">
      <c r="AD6" s="938"/>
      <c r="AE6" s="938"/>
      <c r="AF6" s="938"/>
      <c r="AG6" s="938"/>
      <c r="AH6" s="938"/>
      <c r="AI6" s="938"/>
    </row>
    <row r="7" spans="1:44" x14ac:dyDescent="0.25">
      <c r="F7" s="132"/>
      <c r="G7" s="131"/>
    </row>
    <row r="8" spans="1:44" ht="14.4" thickBot="1" x14ac:dyDescent="0.3"/>
    <row r="9" spans="1:44" ht="14.4" thickBot="1" x14ac:dyDescent="0.3">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 customHeight="1" thickBot="1" x14ac:dyDescent="0.3">
      <c r="F10" s="950" t="s">
        <v>247</v>
      </c>
      <c r="G10" s="951"/>
      <c r="H10" s="951"/>
      <c r="I10" s="951"/>
      <c r="J10" s="951"/>
      <c r="K10" s="951"/>
      <c r="L10" s="951"/>
      <c r="M10" s="951"/>
      <c r="N10" s="951"/>
      <c r="O10" s="952"/>
      <c r="P10" s="224"/>
      <c r="Q10" s="961" t="s">
        <v>286</v>
      </c>
      <c r="R10" s="962"/>
      <c r="S10" s="395"/>
      <c r="T10" s="961" t="s">
        <v>249</v>
      </c>
      <c r="U10" s="962"/>
      <c r="V10" s="968" t="s">
        <v>287</v>
      </c>
      <c r="W10" s="966" t="s">
        <v>189</v>
      </c>
      <c r="X10" s="966" t="s">
        <v>206</v>
      </c>
      <c r="Y10" s="966" t="s">
        <v>190</v>
      </c>
      <c r="Z10" s="964" t="s">
        <v>206</v>
      </c>
      <c r="AA10" s="961" t="s">
        <v>191</v>
      </c>
      <c r="AB10" s="963"/>
      <c r="AC10" s="963"/>
      <c r="AD10" s="970" t="s">
        <v>228</v>
      </c>
      <c r="AE10" s="971"/>
      <c r="AF10" s="971"/>
      <c r="AG10" s="971"/>
      <c r="AH10" s="971"/>
      <c r="AI10" s="972"/>
      <c r="AJ10" s="970" t="s">
        <v>229</v>
      </c>
      <c r="AK10" s="971"/>
      <c r="AL10" s="971"/>
      <c r="AM10" s="972"/>
      <c r="AN10" s="961" t="s">
        <v>280</v>
      </c>
      <c r="AO10" s="962"/>
      <c r="AP10" s="973" t="s">
        <v>230</v>
      </c>
      <c r="AQ10" s="961" t="s">
        <v>196</v>
      </c>
      <c r="AR10" s="962"/>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5" t="s">
        <v>281</v>
      </c>
      <c r="Q11" s="368" t="s">
        <v>265</v>
      </c>
      <c r="R11" s="202" t="s">
        <v>288</v>
      </c>
      <c r="S11" s="394" t="s">
        <v>289</v>
      </c>
      <c r="T11" s="368" t="s">
        <v>266</v>
      </c>
      <c r="U11" s="202" t="s">
        <v>267</v>
      </c>
      <c r="V11" s="969"/>
      <c r="W11" s="967"/>
      <c r="X11" s="967"/>
      <c r="Y11" s="967"/>
      <c r="Z11" s="965"/>
      <c r="AA11" s="368" t="s">
        <v>191</v>
      </c>
      <c r="AB11" s="201" t="s">
        <v>191</v>
      </c>
      <c r="AC11" s="202" t="s">
        <v>231</v>
      </c>
      <c r="AD11" s="368" t="s">
        <v>232</v>
      </c>
      <c r="AE11" s="201" t="s">
        <v>268</v>
      </c>
      <c r="AF11" s="201" t="s">
        <v>269</v>
      </c>
      <c r="AG11" s="201" t="s">
        <v>235</v>
      </c>
      <c r="AH11" s="201" t="s">
        <v>236</v>
      </c>
      <c r="AI11" s="202" t="s">
        <v>237</v>
      </c>
      <c r="AJ11" s="368" t="s">
        <v>290</v>
      </c>
      <c r="AK11" s="201" t="s">
        <v>282</v>
      </c>
      <c r="AL11" s="201" t="s">
        <v>291</v>
      </c>
      <c r="AM11" s="202" t="s">
        <v>241</v>
      </c>
      <c r="AN11" s="208" t="s">
        <v>283</v>
      </c>
      <c r="AO11" s="226" t="s">
        <v>280</v>
      </c>
      <c r="AP11" s="974"/>
      <c r="AQ11" s="141" t="s">
        <v>215</v>
      </c>
      <c r="AR11" s="359"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7" t="str">
        <f>'D-1 Off Site Habitat Baseline'!AL11</f>
        <v/>
      </c>
      <c r="F12" s="520" t="str">
        <f>IF(E12="","",IF(ISNA(VLOOKUP($E12,'D-1 Off Site Habitat Baseline'!$D$1:$O$258,4,FALSE)),"",(VLOOKUP($E12,'D-1 Off Site Habitat Baseline'!$D$1:$O$258,4,FALSE))))</f>
        <v/>
      </c>
      <c r="G12" s="520" t="str">
        <f>IF(E12="","",IF(ISNA(VLOOKUP($E12,'D-1 Off Site Habitat Baseline'!$D$1:$O$258,5,FALSE)),"",(VLOOKUP($E12,'D-1 Off Site Habitat Baseline'!$D$1:$O$258,5,FALSE))))</f>
        <v/>
      </c>
      <c r="H12" s="520" t="str">
        <f>IF(E12="","",IF(ISNA(VLOOKUP($E12,'D-1 Off Site Habitat Baseline'!$D$1:$O$258,6,FALSE)),"",(VLOOKUP($E12,'D-1 Off Site Habitat Baseline'!$D$1:$O$258,6,FALSE))))</f>
        <v/>
      </c>
      <c r="I12" s="520" t="str">
        <f>IF(E12="","",IF(ISNA(VLOOKUP($E12,'D-1 Off Site Habitat Baseline'!$D$1:$O$258,7,FALSE)),"",(VLOOKUP($E12,'D-1 Off Site Habitat Baseline'!$D$1:$O$258,7,FALSE))))</f>
        <v/>
      </c>
      <c r="J12" s="520" t="str">
        <f>IF(E12="","",IF(ISNA(VLOOKUP($E12,'D-1 Off Site Habitat Baseline'!$D$1:$O$258,8,FALSE)),"",(VLOOKUP($E12,'D-1 Off Site Habitat Baseline'!$D$1:$O$258,8,FALSE))))</f>
        <v/>
      </c>
      <c r="K12" s="520" t="str">
        <f>IF(E12="","",IF(ISNA(VLOOKUP($E12,'D-1 Off Site Habitat Baseline'!$D$1:$O$258,9,FALSE)),"",(VLOOKUP($E12,'D-1 Off Site Habitat Baseline'!$D$1:$O$258,9,FALSE))))</f>
        <v/>
      </c>
      <c r="L12" s="520" t="str">
        <f>IF(E12="","",IF(ISNA(VLOOKUP($E12,'D-1 Off Site Habitat Baseline'!$D$1:$O$258,11,FALSE)),"",(VLOOKUP($E12,'D-1 Off Site Habitat Baseline'!$D$1:$O$258,11,FALSE))))</f>
        <v/>
      </c>
      <c r="M12" s="520" t="str">
        <f>IF(E12="","",IF(ISNA(VLOOKUP($E12,'D-1 Off Site Habitat Baseline'!$D$1:$O$258,12,FALSE)),"",(VLOOKUP($E12,'D-1 Off Site Habitat Baseline'!$D$1:$O$258,12,FALSE))))</f>
        <v/>
      </c>
      <c r="N12" s="520" t="str">
        <f>IF(E12="","",IF(ISNA(VLOOKUP($E12,'D-1 Off Site Habitat Baseline'!$D$1:$X$258,14,FALSE)),"",(VLOOKUP($E12,'D-1 Off Site Habitat Baseline'!$D$1:$X$258,14,FALSE))))</f>
        <v/>
      </c>
      <c r="O12" s="524" t="str">
        <f>IF(E12="","",IF(ISNA(VLOOKUP($E12,'D-1 Off Site Habitat Baseline'!$D$1:$X$258,13,FALSE)),"",(VLOOKUP($E12,'D-1 Off Site Habitat Baseline'!$D$1:$X$258,13,FALSE))))</f>
        <v/>
      </c>
      <c r="P12" s="227" t="str">
        <f>IFERROR(INDEX('G-1 All Habitats'!$AG$3:$AG$15,MATCH(Q12,'G-1 All Habitats'!$AF$3:$AF$15,0)),"")</f>
        <v/>
      </c>
      <c r="Q12" s="228" t="str">
        <f t="shared" ref="Q12" si="0">A12</f>
        <v/>
      </c>
      <c r="R12" s="229" t="str">
        <f t="shared" ref="R12:R16" si="1">B12</f>
        <v/>
      </c>
      <c r="S12" s="230" t="str">
        <f>IFERROR(INDEX('G-1 All Habitats'!$B$3:$B$129,MATCH(R12,'G-1 All Habitats'!$A$3:$A$129,0)),"")</f>
        <v/>
      </c>
      <c r="T12" s="50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4"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3" t="str">
        <f t="shared" ref="V12:V75" si="2">IF(S12="","",VLOOKUP(E12,BaselineHabOffsite,17,FALSE))</f>
        <v/>
      </c>
      <c r="W12" s="520" t="str">
        <f>IF(S12="","",VLOOKUP(S12,'G-1 All Habitats'!$B$2:$M$129,10,FALSE))</f>
        <v/>
      </c>
      <c r="X12" s="520" t="str">
        <f>IFERROR(VLOOKUP(W12,'G-1 All Habitats'!$V$3:$W$7,2,FALSE),"")</f>
        <v/>
      </c>
      <c r="Y12" s="203"/>
      <c r="Z12" s="524" t="str">
        <f>IFERROR(INDEX('G-8 Condition Look up'!$A$3:$H$130,MATCH(S12,'G-8 Condition Look up'!$A$3:$A$130,0),MATCH(Y12,'G-8 Condition Look up'!$A$3:$H$3,0)),"")</f>
        <v/>
      </c>
      <c r="AA12" s="145"/>
      <c r="AB12" s="540" t="str">
        <f>IF(AA12="","",IF(VLOOKUP(AA12,'G-3 Multipliers'!$L$3:$N$6,2,FALSE)=0,"Spatial Data Missing ⚠",VLOOKUP(AA12,'G-3 Multipliers'!$L$3:$N$6,2,FALSE)))</f>
        <v/>
      </c>
      <c r="AC12" s="524" t="str">
        <f>IF(AA12="","",IF(VLOOKUP(AA12,'G-3 Multipliers'!$L$3:$N$6,3,FALSE)=0,"Spatial Data Missing ⚠",VLOOKUP(AA12,'G-3 Multipliers'!$L$3:$N$6,3,FALSE)))</f>
        <v/>
      </c>
      <c r="AD12" s="537" t="str">
        <f t="shared" ref="AD12:AD75" si="3">IFERROR(IF(OR(LEFT(U12,5)="Error ▲",LEFT(T12,5)="Error ▲"),"Check Data ⚠",INDEX(EnhanceTemporal,MATCH(S12,EnhanceHabitat,0),MATCH(U12,EnhanceCondition,0))),"")</f>
        <v/>
      </c>
      <c r="AE12" s="203"/>
      <c r="AF12" s="203"/>
      <c r="AG12" s="52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4"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5" t="str">
        <f>IF(AH12="Check Data ⚠","Check Data ⚠",IFERROR(VLOOKUP(AH12,'G-4 Temporal multipliers'!$A$4:$C$36,3,FALSE),""))</f>
        <v/>
      </c>
      <c r="AJ12" s="537" t="str">
        <f>IF(S12="","",VLOOKUP(S12,'G-3 Multipliers'!$A$2:$E$129,4,FALSE))</f>
        <v/>
      </c>
      <c r="AK12" s="520" t="str">
        <f>IF(E12="","",IF(AG12="Check details - Is there evidence that habitat has reached target condition? ⚠","Low Difficulty - only applicable if all habitat created before losses","Standard difficulty applied"))</f>
        <v/>
      </c>
      <c r="AL12" s="520" t="str">
        <f>(IF(AND(AK12="Standard difficulty applied",AD12&gt;AE12),AJ12,IF(AND(AK12="Low Difficulty - only applicable if all habitat created before losses",AE12&gt;=AD12),"Low", AJ12)))</f>
        <v/>
      </c>
      <c r="AM12" s="524" t="str">
        <f>IFERROR(IF(F12="","",IF(AH12="Check Data ⚠","Check Data ⚠",VLOOKUP(AL12, 'G-3 Multipliers'!$P$2:$Q$6,2,FALSE))),"")</f>
        <v/>
      </c>
      <c r="AN12" s="197"/>
      <c r="AO12" s="540" t="str">
        <f>IF(AN12="","",IF(VLOOKUP(AN12,'G-3 Multipliers'!$S$3:$T$9,2,FALSE)=0,"Spatial Data Missing ⚠",VLOOKUP(AN12,'G-3 Multipliers'!$S$3:$T$9,2,FALSE)))</f>
        <v/>
      </c>
      <c r="AP12" s="513" t="str">
        <f>IFERROR(((((V12*X12*Z12)-(V12*I12*K12))*(AM12*AI12))+(V12*I12*K12))*(AC12)*AO12,"")</f>
        <v/>
      </c>
      <c r="AQ12" s="231"/>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7" t="str">
        <f>'D-1 Off Site Habitat Baseline'!AL12</f>
        <v/>
      </c>
      <c r="F13" s="520" t="str">
        <f>IF(E13="","",IF(ISNA(VLOOKUP($E13,'D-1 Off Site Habitat Baseline'!$D$1:$O$258,4,FALSE)),"",(VLOOKUP($E13,'D-1 Off Site Habitat Baseline'!$D$1:$O$258,4,FALSE))))</f>
        <v/>
      </c>
      <c r="G13" s="520" t="str">
        <f>IF(E13="","",IF(ISNA(VLOOKUP($E13,'D-1 Off Site Habitat Baseline'!$D$1:$O$258,5,FALSE)),"",(VLOOKUP($E13,'D-1 Off Site Habitat Baseline'!$D$1:$O$258,5,FALSE))))</f>
        <v/>
      </c>
      <c r="H13" s="520" t="str">
        <f>IF(E13="","",IF(ISNA(VLOOKUP($E13,'D-1 Off Site Habitat Baseline'!$D$1:$O$258,6,FALSE)),"",(VLOOKUP($E13,'D-1 Off Site Habitat Baseline'!$D$1:$O$258,6,FALSE))))</f>
        <v/>
      </c>
      <c r="I13" s="520" t="str">
        <f>IF(E13="","",IF(ISNA(VLOOKUP($E13,'D-1 Off Site Habitat Baseline'!$D$1:$O$258,7,FALSE)),"",(VLOOKUP($E13,'D-1 Off Site Habitat Baseline'!$D$1:$O$258,7,FALSE))))</f>
        <v/>
      </c>
      <c r="J13" s="520" t="str">
        <f>IF(E13="","",IF(ISNA(VLOOKUP($E13,'D-1 Off Site Habitat Baseline'!$D$1:$O$258,8,FALSE)),"",(VLOOKUP($E13,'D-1 Off Site Habitat Baseline'!$D$1:$O$258,8,FALSE))))</f>
        <v/>
      </c>
      <c r="K13" s="520" t="str">
        <f>IF(E13="","",IF(ISNA(VLOOKUP($E13,'D-1 Off Site Habitat Baseline'!$D$1:$O$258,9,FALSE)),"",(VLOOKUP($E13,'D-1 Off Site Habitat Baseline'!$D$1:$O$258,9,FALSE))))</f>
        <v/>
      </c>
      <c r="L13" s="520" t="str">
        <f>IF(E13="","",IF(ISNA(VLOOKUP($E13,'D-1 Off Site Habitat Baseline'!$D$1:$O$258,11,FALSE)),"",(VLOOKUP($E13,'D-1 Off Site Habitat Baseline'!$D$1:$O$258,11,FALSE))))</f>
        <v/>
      </c>
      <c r="M13" s="520" t="str">
        <f>IF(E13="","",IF(ISNA(VLOOKUP($E13,'D-1 Off Site Habitat Baseline'!$D$1:$O$258,12,FALSE)),"",(VLOOKUP($E13,'D-1 Off Site Habitat Baseline'!$D$1:$O$258,12,FALSE))))</f>
        <v/>
      </c>
      <c r="N13" s="520" t="str">
        <f>IF(E13="","",IF(ISNA(VLOOKUP($E13,'D-1 Off Site Habitat Baseline'!$D$1:$X$258,14,FALSE)),"",(VLOOKUP($E13,'D-1 Off Site Habitat Baseline'!$D$1:$X$258,14,FALSE))))</f>
        <v/>
      </c>
      <c r="O13" s="524" t="str">
        <f>IF(E13="","",IF(ISNA(VLOOKUP($E13,'D-1 Off Site Habitat Baseline'!$D$1:$X$258,13,FALSE)),"",(VLOOKUP($E13,'D-1 Off Site Habitat Baseline'!$D$1:$X$258,13,FALSE))))</f>
        <v/>
      </c>
      <c r="P13" s="232" t="str">
        <f>IFERROR(INDEX('G-1 All Habitats'!$AG$3:$AG$15,MATCH(Q13,'G-1 All Habitats'!$AF$3:$AF$15,0)),"")</f>
        <v/>
      </c>
      <c r="Q13" s="228" t="str">
        <f t="shared" ref="Q13:Q16" si="4">A13</f>
        <v/>
      </c>
      <c r="R13" s="229" t="str">
        <f t="shared" si="1"/>
        <v/>
      </c>
      <c r="S13" s="233" t="str">
        <f>IFERROR(INDEX('G-1 All Habitats'!$B$3:$B$129,MATCH(R13,'G-1 All Habitats'!$A$3:$A$129,0)),"")</f>
        <v/>
      </c>
      <c r="T13" s="507"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4"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3" t="str">
        <f t="shared" si="2"/>
        <v/>
      </c>
      <c r="W13" s="520" t="str">
        <f>IF(S13="","",VLOOKUP(S13,'G-1 All Habitats'!$B$2:$M$129,10,FALSE))</f>
        <v/>
      </c>
      <c r="X13" s="520" t="str">
        <f>IFERROR(VLOOKUP(W13,'G-1 All Habitats'!$V$3:$W$7,2,FALSE),"")</f>
        <v/>
      </c>
      <c r="Y13" s="203"/>
      <c r="Z13" s="524" t="str">
        <f>IFERROR(INDEX('G-8 Condition Look up'!$A$3:$H$130,MATCH(S13,'G-8 Condition Look up'!$A$3:$A$130,0),MATCH(Y13,'G-8 Condition Look up'!$A$3:$H$3,0)),"")</f>
        <v/>
      </c>
      <c r="AA13" s="145"/>
      <c r="AB13" s="540" t="str">
        <f>IF(AA13="","",IF(VLOOKUP(AA13,'G-3 Multipliers'!$L$3:$N$6,2,FALSE)=0,"Spatial Data Missing ⚠",VLOOKUP(AA13,'G-3 Multipliers'!$L$3:$N$6,2,FALSE)))</f>
        <v/>
      </c>
      <c r="AC13" s="524" t="str">
        <f>IF(AA13="","",IF(VLOOKUP(AA13,'G-3 Multipliers'!$L$3:$N$6,3,FALSE)=0,"Spatial Data Missing ⚠",VLOOKUP(AA13,'G-3 Multipliers'!$L$3:$N$6,3,FALSE)))</f>
        <v/>
      </c>
      <c r="AD13" s="537" t="str">
        <f t="shared" si="3"/>
        <v/>
      </c>
      <c r="AE13" s="203"/>
      <c r="AF13" s="203"/>
      <c r="AG13" s="520"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4"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5" t="str">
        <f>IF(AH13="Check Data ⚠","Check Data ⚠",IFERROR(VLOOKUP(AH13,'G-4 Temporal multipliers'!$A$4:$C$36,3,FALSE),""))</f>
        <v/>
      </c>
      <c r="AJ13" s="537" t="str">
        <f>IF(S13="","",VLOOKUP(S13,'G-3 Multipliers'!$A$2:$E$129,4,FALSE))</f>
        <v/>
      </c>
      <c r="AK13" s="520" t="str">
        <f t="shared" ref="AK13:AK76" si="9">IF(E13="","",IF(AG13="Check details - Is there evidence that habitat has reached target condition? ⚠","Low Difficulty - only applicable if all habitat created before losses","Standard difficulty applied"))</f>
        <v/>
      </c>
      <c r="AL13" s="520" t="str">
        <f t="shared" ref="AL13:AL76" si="10">(IF(AND(AK13="Standard difficulty applied",AD13&gt;AE13),AJ13,IF(AND(AK13="Low Difficulty - only applicable if all habitat created before losses",AE13&gt;=AD13),"Low", AJ13)))</f>
        <v/>
      </c>
      <c r="AM13" s="524" t="str">
        <f>IFERROR(IF(F13="","",IF(AH13="Check Data ⚠","Check Data ⚠",VLOOKUP(AL13, 'G-3 Multipliers'!$P$2:$Q$6,2,FALSE))),"")</f>
        <v/>
      </c>
      <c r="AN13" s="197"/>
      <c r="AO13" s="540" t="str">
        <f>IF(AN13="","",IF(VLOOKUP(AN13,'G-3 Multipliers'!$S$3:$T$9,2,FALSE)=0,"Spatial Data Missing ⚠",VLOOKUP(AN13,'G-3 Multipliers'!$S$3:$T$9,2,FALSE)))</f>
        <v/>
      </c>
      <c r="AP13" s="513" t="str">
        <f t="shared" ref="AP13:AP76" si="11">IFERROR(((((V13*X13*Z13)-(V13*I13*K13))*(AM13*AI13))+(V13*I13*K13))*(AC13)*AO13,"")</f>
        <v/>
      </c>
      <c r="AQ13" s="231"/>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7" t="str">
        <f>'D-1 Off Site Habitat Baseline'!AL13</f>
        <v/>
      </c>
      <c r="F14" s="520" t="str">
        <f>IF(E14="","",IF(ISNA(VLOOKUP($E14,'D-1 Off Site Habitat Baseline'!$D$1:$O$258,4,FALSE)),"",(VLOOKUP($E14,'D-1 Off Site Habitat Baseline'!$D$1:$O$258,4,FALSE))))</f>
        <v/>
      </c>
      <c r="G14" s="520" t="str">
        <f>IF(E14="","",IF(ISNA(VLOOKUP($E14,'D-1 Off Site Habitat Baseline'!$D$1:$O$258,5,FALSE)),"",(VLOOKUP($E14,'D-1 Off Site Habitat Baseline'!$D$1:$O$258,5,FALSE))))</f>
        <v/>
      </c>
      <c r="H14" s="520" t="str">
        <f>IF(E14="","",IF(ISNA(VLOOKUP($E14,'D-1 Off Site Habitat Baseline'!$D$1:$O$258,6,FALSE)),"",(VLOOKUP($E14,'D-1 Off Site Habitat Baseline'!$D$1:$O$258,6,FALSE))))</f>
        <v/>
      </c>
      <c r="I14" s="520" t="str">
        <f>IF(E14="","",IF(ISNA(VLOOKUP($E14,'D-1 Off Site Habitat Baseline'!$D$1:$O$258,7,FALSE)),"",(VLOOKUP($E14,'D-1 Off Site Habitat Baseline'!$D$1:$O$258,7,FALSE))))</f>
        <v/>
      </c>
      <c r="J14" s="520" t="str">
        <f>IF(E14="","",IF(ISNA(VLOOKUP($E14,'D-1 Off Site Habitat Baseline'!$D$1:$O$258,8,FALSE)),"",(VLOOKUP($E14,'D-1 Off Site Habitat Baseline'!$D$1:$O$258,8,FALSE))))</f>
        <v/>
      </c>
      <c r="K14" s="520" t="str">
        <f>IF(E14="","",IF(ISNA(VLOOKUP($E14,'D-1 Off Site Habitat Baseline'!$D$1:$O$258,9,FALSE)),"",(VLOOKUP($E14,'D-1 Off Site Habitat Baseline'!$D$1:$O$258,9,FALSE))))</f>
        <v/>
      </c>
      <c r="L14" s="520" t="str">
        <f>IF(E14="","",IF(ISNA(VLOOKUP($E14,'D-1 Off Site Habitat Baseline'!$D$1:$O$258,11,FALSE)),"",(VLOOKUP($E14,'D-1 Off Site Habitat Baseline'!$D$1:$O$258,11,FALSE))))</f>
        <v/>
      </c>
      <c r="M14" s="520" t="str">
        <f>IF(E14="","",IF(ISNA(VLOOKUP($E14,'D-1 Off Site Habitat Baseline'!$D$1:$O$258,12,FALSE)),"",(VLOOKUP($E14,'D-1 Off Site Habitat Baseline'!$D$1:$O$258,12,FALSE))))</f>
        <v/>
      </c>
      <c r="N14" s="520" t="str">
        <f>IF(E14="","",IF(ISNA(VLOOKUP($E14,'D-1 Off Site Habitat Baseline'!$D$1:$X$258,14,FALSE)),"",(VLOOKUP($E14,'D-1 Off Site Habitat Baseline'!$D$1:$X$258,14,FALSE))))</f>
        <v/>
      </c>
      <c r="O14" s="524" t="str">
        <f>IF(E14="","",IF(ISNA(VLOOKUP($E14,'D-1 Off Site Habitat Baseline'!$D$1:$X$258,13,FALSE)),"",(VLOOKUP($E14,'D-1 Off Site Habitat Baseline'!$D$1:$X$258,13,FALSE))))</f>
        <v/>
      </c>
      <c r="P14" s="232" t="str">
        <f>IFERROR(INDEX('G-1 All Habitats'!$AG$3:$AG$15,MATCH(Q14,'G-1 All Habitats'!$AF$3:$AF$15,0)),"")</f>
        <v/>
      </c>
      <c r="Q14" s="228" t="str">
        <f t="shared" si="4"/>
        <v/>
      </c>
      <c r="R14" s="229" t="str">
        <f t="shared" si="1"/>
        <v/>
      </c>
      <c r="S14" s="233" t="str">
        <f>IFERROR(INDEX('G-1 All Habitats'!$B$3:$B$129,MATCH(R14,'G-1 All Habitats'!$A$3:$A$129,0)),"")</f>
        <v/>
      </c>
      <c r="T14" s="507" t="str">
        <f t="shared" si="5"/>
        <v/>
      </c>
      <c r="U14" s="524" t="str">
        <f t="shared" si="6"/>
        <v/>
      </c>
      <c r="V14" s="523" t="str">
        <f t="shared" si="2"/>
        <v/>
      </c>
      <c r="W14" s="520" t="str">
        <f>IF(S14="","",VLOOKUP(S14,'G-1 All Habitats'!$B$2:$M$129,10,FALSE))</f>
        <v/>
      </c>
      <c r="X14" s="520" t="str">
        <f>IFERROR(VLOOKUP(W14,'G-1 All Habitats'!$V$3:$W$7,2,FALSE),"")</f>
        <v/>
      </c>
      <c r="Y14" s="203"/>
      <c r="Z14" s="524" t="str">
        <f>IFERROR(INDEX('G-8 Condition Look up'!$A$3:$H$130,MATCH(S14,'G-8 Condition Look up'!$A$3:$A$130,0),MATCH(Y14,'G-8 Condition Look up'!$A$3:$H$3,0)),"")</f>
        <v/>
      </c>
      <c r="AA14" s="145"/>
      <c r="AB14" s="540" t="str">
        <f>IF(AA14="","",IF(VLOOKUP(AA14,'G-3 Multipliers'!$L$3:$N$6,2,FALSE)=0,"Spatial Data Missing ⚠",VLOOKUP(AA14,'G-3 Multipliers'!$L$3:$N$6,2,FALSE)))</f>
        <v/>
      </c>
      <c r="AC14" s="524" t="str">
        <f>IF(AA14="","",IF(VLOOKUP(AA14,'G-3 Multipliers'!$L$3:$N$6,3,FALSE)=0,"Spatial Data Missing ⚠",VLOOKUP(AA14,'G-3 Multipliers'!$L$3:$N$6,3,FALSE)))</f>
        <v/>
      </c>
      <c r="AD14" s="537" t="str">
        <f t="shared" si="3"/>
        <v/>
      </c>
      <c r="AE14" s="203"/>
      <c r="AF14" s="203"/>
      <c r="AG14" s="520" t="str">
        <f t="shared" si="7"/>
        <v/>
      </c>
      <c r="AH14" s="544" t="str">
        <f t="shared" si="8"/>
        <v/>
      </c>
      <c r="AI14" s="525" t="str">
        <f>IF(AH14="Check Data ⚠","Check Data ⚠",IFERROR(VLOOKUP(AH14,'G-4 Temporal multipliers'!$A$4:$C$36,3,FALSE),""))</f>
        <v/>
      </c>
      <c r="AJ14" s="537" t="str">
        <f>IF(S14="","",VLOOKUP(S14,'G-3 Multipliers'!$A$2:$E$129,4,FALSE))</f>
        <v/>
      </c>
      <c r="AK14" s="520" t="str">
        <f t="shared" si="9"/>
        <v/>
      </c>
      <c r="AL14" s="520" t="str">
        <f t="shared" si="10"/>
        <v/>
      </c>
      <c r="AM14" s="524" t="str">
        <f>IFERROR(IF(F14="","",IF(AH14="Check Data ⚠","Check Data ⚠",VLOOKUP(AL14, 'G-3 Multipliers'!$P$2:$Q$6,2,FALSE))),"")</f>
        <v/>
      </c>
      <c r="AN14" s="197"/>
      <c r="AO14" s="540" t="str">
        <f>IF(AN14="","",IF(VLOOKUP(AN14,'G-3 Multipliers'!$S$3:$T$9,2,FALSE)=0,"Spatial Data Missing ⚠",VLOOKUP(AN14,'G-3 Multipliers'!$S$3:$T$9,2,FALSE)))</f>
        <v/>
      </c>
      <c r="AP14" s="513" t="str">
        <f t="shared" si="11"/>
        <v/>
      </c>
      <c r="AQ14" s="231"/>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7" t="str">
        <f>'D-1 Off Site Habitat Baseline'!AL14</f>
        <v/>
      </c>
      <c r="F15" s="520" t="str">
        <f>IF(E15="","",IF(ISNA(VLOOKUP($E15,'D-1 Off Site Habitat Baseline'!$D$1:$O$258,4,FALSE)),"",(VLOOKUP($E15,'D-1 Off Site Habitat Baseline'!$D$1:$O$258,4,FALSE))))</f>
        <v/>
      </c>
      <c r="G15" s="520" t="str">
        <f>IF(E15="","",IF(ISNA(VLOOKUP($E15,'D-1 Off Site Habitat Baseline'!$D$1:$O$258,5,FALSE)),"",(VLOOKUP($E15,'D-1 Off Site Habitat Baseline'!$D$1:$O$258,5,FALSE))))</f>
        <v/>
      </c>
      <c r="H15" s="520" t="str">
        <f>IF(E15="","",IF(ISNA(VLOOKUP($E15,'D-1 Off Site Habitat Baseline'!$D$1:$O$258,6,FALSE)),"",(VLOOKUP($E15,'D-1 Off Site Habitat Baseline'!$D$1:$O$258,6,FALSE))))</f>
        <v/>
      </c>
      <c r="I15" s="520" t="str">
        <f>IF(E15="","",IF(ISNA(VLOOKUP($E15,'D-1 Off Site Habitat Baseline'!$D$1:$O$258,7,FALSE)),"",(VLOOKUP($E15,'D-1 Off Site Habitat Baseline'!$D$1:$O$258,7,FALSE))))</f>
        <v/>
      </c>
      <c r="J15" s="520" t="str">
        <f>IF(E15="","",IF(ISNA(VLOOKUP($E15,'D-1 Off Site Habitat Baseline'!$D$1:$O$258,8,FALSE)),"",(VLOOKUP($E15,'D-1 Off Site Habitat Baseline'!$D$1:$O$258,8,FALSE))))</f>
        <v/>
      </c>
      <c r="K15" s="520" t="str">
        <f>IF(E15="","",IF(ISNA(VLOOKUP($E15,'D-1 Off Site Habitat Baseline'!$D$1:$O$258,9,FALSE)),"",(VLOOKUP($E15,'D-1 Off Site Habitat Baseline'!$D$1:$O$258,9,FALSE))))</f>
        <v/>
      </c>
      <c r="L15" s="520" t="str">
        <f>IF(E15="","",IF(ISNA(VLOOKUP($E15,'D-1 Off Site Habitat Baseline'!$D$1:$O$258,11,FALSE)),"",(VLOOKUP($E15,'D-1 Off Site Habitat Baseline'!$D$1:$O$258,11,FALSE))))</f>
        <v/>
      </c>
      <c r="M15" s="520" t="str">
        <f>IF(E15="","",IF(ISNA(VLOOKUP($E15,'D-1 Off Site Habitat Baseline'!$D$1:$O$258,12,FALSE)),"",(VLOOKUP($E15,'D-1 Off Site Habitat Baseline'!$D$1:$O$258,12,FALSE))))</f>
        <v/>
      </c>
      <c r="N15" s="520" t="str">
        <f>IF(E15="","",IF(ISNA(VLOOKUP($E15,'D-1 Off Site Habitat Baseline'!$D$1:$X$258,14,FALSE)),"",(VLOOKUP($E15,'D-1 Off Site Habitat Baseline'!$D$1:$X$258,14,FALSE))))</f>
        <v/>
      </c>
      <c r="O15" s="524" t="str">
        <f>IF(E15="","",IF(ISNA(VLOOKUP($E15,'D-1 Off Site Habitat Baseline'!$D$1:$X$258,13,FALSE)),"",(VLOOKUP($E15,'D-1 Off Site Habitat Baseline'!$D$1:$X$258,13,FALSE))))</f>
        <v/>
      </c>
      <c r="P15" s="232" t="str">
        <f>IFERROR(INDEX('G-1 All Habitats'!$AG$3:$AG$15,MATCH(Q15,'G-1 All Habitats'!$AF$3:$AF$15,0)),"")</f>
        <v/>
      </c>
      <c r="Q15" s="228" t="str">
        <f t="shared" si="4"/>
        <v/>
      </c>
      <c r="R15" s="229" t="str">
        <f t="shared" si="1"/>
        <v/>
      </c>
      <c r="S15" s="233" t="str">
        <f>IFERROR(INDEX('G-1 All Habitats'!$B$3:$B$129,MATCH(R15,'G-1 All Habitats'!$A$3:$A$129,0)),"")</f>
        <v/>
      </c>
      <c r="T15" s="507" t="str">
        <f t="shared" si="5"/>
        <v/>
      </c>
      <c r="U15" s="524" t="str">
        <f t="shared" si="6"/>
        <v/>
      </c>
      <c r="V15" s="523" t="str">
        <f t="shared" si="2"/>
        <v/>
      </c>
      <c r="W15" s="520" t="str">
        <f>IF(S15="","",VLOOKUP(S15,'G-1 All Habitats'!$B$2:$M$129,10,FALSE))</f>
        <v/>
      </c>
      <c r="X15" s="520" t="str">
        <f>IFERROR(VLOOKUP(W15,'G-1 All Habitats'!$V$3:$W$7,2,FALSE),"")</f>
        <v/>
      </c>
      <c r="Y15" s="203"/>
      <c r="Z15" s="524" t="str">
        <f>IFERROR(INDEX('G-8 Condition Look up'!$A$3:$H$130,MATCH(S15,'G-8 Condition Look up'!$A$3:$A$130,0),MATCH(Y15,'G-8 Condition Look up'!$A$3:$H$3,0)),"")</f>
        <v/>
      </c>
      <c r="AA15" s="145"/>
      <c r="AB15" s="540" t="str">
        <f>IF(AA15="","",IF(VLOOKUP(AA15,'G-3 Multipliers'!$L$3:$N$6,2,FALSE)=0,"Spatial Data Missing ⚠",VLOOKUP(AA15,'G-3 Multipliers'!$L$3:$N$6,2,FALSE)))</f>
        <v/>
      </c>
      <c r="AC15" s="524" t="str">
        <f>IF(AA15="","",IF(VLOOKUP(AA15,'G-3 Multipliers'!$L$3:$N$6,3,FALSE)=0,"Spatial Data Missing ⚠",VLOOKUP(AA15,'G-3 Multipliers'!$L$3:$N$6,3,FALSE)))</f>
        <v/>
      </c>
      <c r="AD15" s="537" t="str">
        <f t="shared" si="3"/>
        <v/>
      </c>
      <c r="AE15" s="203"/>
      <c r="AF15" s="203"/>
      <c r="AG15" s="520" t="str">
        <f t="shared" si="7"/>
        <v/>
      </c>
      <c r="AH15" s="544" t="str">
        <f t="shared" si="8"/>
        <v/>
      </c>
      <c r="AI15" s="525" t="str">
        <f>IF(AH15="Check Data ⚠","Check Data ⚠",IFERROR(VLOOKUP(AH15,'G-4 Temporal multipliers'!$A$4:$C$36,3,FALSE),""))</f>
        <v/>
      </c>
      <c r="AJ15" s="537" t="str">
        <f>IF(S15="","",VLOOKUP(S15,'G-3 Multipliers'!$A$2:$E$129,4,FALSE))</f>
        <v/>
      </c>
      <c r="AK15" s="520" t="str">
        <f t="shared" si="9"/>
        <v/>
      </c>
      <c r="AL15" s="520" t="str">
        <f t="shared" si="10"/>
        <v/>
      </c>
      <c r="AM15" s="524" t="str">
        <f>IFERROR(IF(F15="","",IF(AH15="Check Data ⚠","Check Data ⚠",VLOOKUP(AL15, 'G-3 Multipliers'!$P$2:$Q$6,2,FALSE))),"")</f>
        <v/>
      </c>
      <c r="AN15" s="197"/>
      <c r="AO15" s="540" t="str">
        <f>IF(AN15="","",IF(VLOOKUP(AN15,'G-3 Multipliers'!$S$3:$T$9,2,FALSE)=0,"Spatial Data Missing ⚠",VLOOKUP(AN15,'G-3 Multipliers'!$S$3:$T$9,2,FALSE)))</f>
        <v/>
      </c>
      <c r="AP15" s="513" t="str">
        <f t="shared" si="11"/>
        <v/>
      </c>
      <c r="AQ15" s="231"/>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7" t="str">
        <f>'D-1 Off Site Habitat Baseline'!AL15</f>
        <v/>
      </c>
      <c r="F16" s="520" t="str">
        <f>IF(E16="","",IF(ISNA(VLOOKUP($E16,'D-1 Off Site Habitat Baseline'!$D$1:$O$258,4,FALSE)),"",(VLOOKUP($E16,'D-1 Off Site Habitat Baseline'!$D$1:$O$258,4,FALSE))))</f>
        <v/>
      </c>
      <c r="G16" s="520" t="str">
        <f>IF(E16="","",IF(ISNA(VLOOKUP($E16,'D-1 Off Site Habitat Baseline'!$D$1:$O$258,5,FALSE)),"",(VLOOKUP($E16,'D-1 Off Site Habitat Baseline'!$D$1:$O$258,5,FALSE))))</f>
        <v/>
      </c>
      <c r="H16" s="520" t="str">
        <f>IF(E16="","",IF(ISNA(VLOOKUP($E16,'D-1 Off Site Habitat Baseline'!$D$1:$O$258,6,FALSE)),"",(VLOOKUP($E16,'D-1 Off Site Habitat Baseline'!$D$1:$O$258,6,FALSE))))</f>
        <v/>
      </c>
      <c r="I16" s="520" t="str">
        <f>IF(E16="","",IF(ISNA(VLOOKUP($E16,'D-1 Off Site Habitat Baseline'!$D$1:$O$258,7,FALSE)),"",(VLOOKUP($E16,'D-1 Off Site Habitat Baseline'!$D$1:$O$258,7,FALSE))))</f>
        <v/>
      </c>
      <c r="J16" s="520" t="str">
        <f>IF(E16="","",IF(ISNA(VLOOKUP($E16,'D-1 Off Site Habitat Baseline'!$D$1:$O$258,8,FALSE)),"",(VLOOKUP($E16,'D-1 Off Site Habitat Baseline'!$D$1:$O$258,8,FALSE))))</f>
        <v/>
      </c>
      <c r="K16" s="520" t="str">
        <f>IF(E16="","",IF(ISNA(VLOOKUP($E16,'D-1 Off Site Habitat Baseline'!$D$1:$O$258,9,FALSE)),"",(VLOOKUP($E16,'D-1 Off Site Habitat Baseline'!$D$1:$O$258,9,FALSE))))</f>
        <v/>
      </c>
      <c r="L16" s="520" t="str">
        <f>IF(E16="","",IF(ISNA(VLOOKUP($E16,'D-1 Off Site Habitat Baseline'!$D$1:$O$258,11,FALSE)),"",(VLOOKUP($E16,'D-1 Off Site Habitat Baseline'!$D$1:$O$258,11,FALSE))))</f>
        <v/>
      </c>
      <c r="M16" s="520" t="str">
        <f>IF(E16="","",IF(ISNA(VLOOKUP($E16,'D-1 Off Site Habitat Baseline'!$D$1:$O$258,12,FALSE)),"",(VLOOKUP($E16,'D-1 Off Site Habitat Baseline'!$D$1:$O$258,12,FALSE))))</f>
        <v/>
      </c>
      <c r="N16" s="520" t="str">
        <f>IF(E16="","",IF(ISNA(VLOOKUP($E16,'D-1 Off Site Habitat Baseline'!$D$1:$X$258,14,FALSE)),"",(VLOOKUP($E16,'D-1 Off Site Habitat Baseline'!$D$1:$X$258,14,FALSE))))</f>
        <v/>
      </c>
      <c r="O16" s="524" t="str">
        <f>IF(E16="","",IF(ISNA(VLOOKUP($E16,'D-1 Off Site Habitat Baseline'!$D$1:$X$258,13,FALSE)),"",(VLOOKUP($E16,'D-1 Off Site Habitat Baseline'!$D$1:$X$258,13,FALSE))))</f>
        <v/>
      </c>
      <c r="P16" s="232" t="str">
        <f>IFERROR(INDEX('G-1 All Habitats'!$AG$3:$AG$15,MATCH(Q16,'G-1 All Habitats'!$AF$3:$AF$15,0)),"")</f>
        <v/>
      </c>
      <c r="Q16" s="228" t="str">
        <f t="shared" si="4"/>
        <v/>
      </c>
      <c r="R16" s="229" t="str">
        <f t="shared" si="1"/>
        <v/>
      </c>
      <c r="S16" s="233" t="str">
        <f>IFERROR(INDEX('G-1 All Habitats'!$B$3:$B$129,MATCH(R16,'G-1 All Habitats'!$A$3:$A$129,0)),"")</f>
        <v/>
      </c>
      <c r="T16" s="507" t="str">
        <f t="shared" si="5"/>
        <v/>
      </c>
      <c r="U16" s="524" t="str">
        <f t="shared" si="6"/>
        <v/>
      </c>
      <c r="V16" s="523" t="str">
        <f t="shared" si="2"/>
        <v/>
      </c>
      <c r="W16" s="520" t="str">
        <f>IF(S16="","",VLOOKUP(S16,'G-1 All Habitats'!$B$2:$M$129,10,FALSE))</f>
        <v/>
      </c>
      <c r="X16" s="520" t="str">
        <f>IFERROR(VLOOKUP(W16,'G-1 All Habitats'!$V$3:$W$7,2,FALSE),"")</f>
        <v/>
      </c>
      <c r="Y16" s="203"/>
      <c r="Z16" s="524" t="str">
        <f>IFERROR(INDEX('G-8 Condition Look up'!$A$3:$H$130,MATCH(S16,'G-8 Condition Look up'!$A$3:$A$130,0),MATCH(Y16,'G-8 Condition Look up'!$A$3:$H$3,0)),"")</f>
        <v/>
      </c>
      <c r="AA16" s="145"/>
      <c r="AB16" s="540" t="str">
        <f>IF(AA16="","",IF(VLOOKUP(AA16,'G-3 Multipliers'!$L$3:$N$6,2,FALSE)=0,"Spatial Data Missing ⚠",VLOOKUP(AA16,'G-3 Multipliers'!$L$3:$N$6,2,FALSE)))</f>
        <v/>
      </c>
      <c r="AC16" s="524" t="str">
        <f>IF(AA16="","",IF(VLOOKUP(AA16,'G-3 Multipliers'!$L$3:$N$6,3,FALSE)=0,"Spatial Data Missing ⚠",VLOOKUP(AA16,'G-3 Multipliers'!$L$3:$N$6,3,FALSE)))</f>
        <v/>
      </c>
      <c r="AD16" s="537" t="str">
        <f t="shared" si="3"/>
        <v/>
      </c>
      <c r="AE16" s="203"/>
      <c r="AF16" s="203"/>
      <c r="AG16" s="520" t="str">
        <f t="shared" si="7"/>
        <v/>
      </c>
      <c r="AH16" s="544" t="str">
        <f t="shared" si="8"/>
        <v/>
      </c>
      <c r="AI16" s="525" t="str">
        <f>IF(AH16="Check Data ⚠","Check Data ⚠",IFERROR(VLOOKUP(AH16,'G-4 Temporal multipliers'!$A$4:$C$36,3,FALSE),""))</f>
        <v/>
      </c>
      <c r="AJ16" s="537" t="str">
        <f>IF(S16="","",VLOOKUP(S16,'G-3 Multipliers'!$A$2:$E$129,4,FALSE))</f>
        <v/>
      </c>
      <c r="AK16" s="520" t="str">
        <f t="shared" si="9"/>
        <v/>
      </c>
      <c r="AL16" s="520" t="str">
        <f t="shared" si="10"/>
        <v/>
      </c>
      <c r="AM16" s="524" t="str">
        <f>IFERROR(IF(F16="","",IF(AH16="Check Data ⚠","Check Data ⚠",VLOOKUP(AL16, 'G-3 Multipliers'!$P$2:$Q$6,2,FALSE))),"")</f>
        <v/>
      </c>
      <c r="AN16" s="197"/>
      <c r="AO16" s="540" t="str">
        <f>IF(AN16="","",IF(VLOOKUP(AN16,'G-3 Multipliers'!$S$3:$T$9,2,FALSE)=0,"Spatial Data Missing ⚠",VLOOKUP(AN16,'G-3 Multipliers'!$S$3:$T$9,2,FALSE)))</f>
        <v/>
      </c>
      <c r="AP16" s="513" t="str">
        <f t="shared" si="11"/>
        <v/>
      </c>
      <c r="AQ16" s="231"/>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7" t="str">
        <f>'D-1 Off Site Habitat Baseline'!AL16</f>
        <v/>
      </c>
      <c r="F17" s="520" t="str">
        <f>IF(E17="","",IF(ISNA(VLOOKUP($E17,'D-1 Off Site Habitat Baseline'!$D$1:$O$258,4,FALSE)),"",(VLOOKUP($E17,'D-1 Off Site Habitat Baseline'!$D$1:$O$258,4,FALSE))))</f>
        <v/>
      </c>
      <c r="G17" s="520" t="str">
        <f>IF(E17="","",IF(ISNA(VLOOKUP($E17,'D-1 Off Site Habitat Baseline'!$D$1:$O$258,5,FALSE)),"",(VLOOKUP($E17,'D-1 Off Site Habitat Baseline'!$D$1:$O$258,5,FALSE))))</f>
        <v/>
      </c>
      <c r="H17" s="520" t="str">
        <f>IF(E17="","",IF(ISNA(VLOOKUP($E17,'D-1 Off Site Habitat Baseline'!$D$1:$O$258,6,FALSE)),"",(VLOOKUP($E17,'D-1 Off Site Habitat Baseline'!$D$1:$O$258,6,FALSE))))</f>
        <v/>
      </c>
      <c r="I17" s="520" t="str">
        <f>IF(E17="","",IF(ISNA(VLOOKUP($E17,'D-1 Off Site Habitat Baseline'!$D$1:$O$258,7,FALSE)),"",(VLOOKUP($E17,'D-1 Off Site Habitat Baseline'!$D$1:$O$258,7,FALSE))))</f>
        <v/>
      </c>
      <c r="J17" s="520" t="str">
        <f>IF(E17="","",IF(ISNA(VLOOKUP($E17,'D-1 Off Site Habitat Baseline'!$D$1:$O$258,8,FALSE)),"",(VLOOKUP($E17,'D-1 Off Site Habitat Baseline'!$D$1:$O$258,8,FALSE))))</f>
        <v/>
      </c>
      <c r="K17" s="520" t="str">
        <f>IF(E17="","",IF(ISNA(VLOOKUP($E17,'D-1 Off Site Habitat Baseline'!$D$1:$O$258,9,FALSE)),"",(VLOOKUP($E17,'D-1 Off Site Habitat Baseline'!$D$1:$O$258,9,FALSE))))</f>
        <v/>
      </c>
      <c r="L17" s="520" t="str">
        <f>IF(E17="","",IF(ISNA(VLOOKUP($E17,'D-1 Off Site Habitat Baseline'!$D$1:$O$258,11,FALSE)),"",(VLOOKUP($E17,'D-1 Off Site Habitat Baseline'!$D$1:$O$258,11,FALSE))))</f>
        <v/>
      </c>
      <c r="M17" s="520" t="str">
        <f>IF(E17="","",IF(ISNA(VLOOKUP($E17,'D-1 Off Site Habitat Baseline'!$D$1:$O$258,12,FALSE)),"",(VLOOKUP($E17,'D-1 Off Site Habitat Baseline'!$D$1:$O$258,12,FALSE))))</f>
        <v/>
      </c>
      <c r="N17" s="520" t="str">
        <f>IF(E17="","",IF(ISNA(VLOOKUP($E17,'D-1 Off Site Habitat Baseline'!$D$1:$X$258,14,FALSE)),"",(VLOOKUP($E17,'D-1 Off Site Habitat Baseline'!$D$1:$X$258,14,FALSE))))</f>
        <v/>
      </c>
      <c r="O17" s="524" t="str">
        <f>IF(E17="","",IF(ISNA(VLOOKUP($E17,'D-1 Off Site Habitat Baseline'!$D$1:$X$258,13,FALSE)),"",(VLOOKUP($E17,'D-1 Off Site Habitat Baseline'!$D$1:$X$258,13,FALSE))))</f>
        <v/>
      </c>
      <c r="P17" s="232" t="str">
        <f>IFERROR(INDEX('G-1 All Habitats'!$AG$3:$AG$15,MATCH(Q17,'G-1 All Habitats'!$AF$3:$AF$15,0)),"")</f>
        <v/>
      </c>
      <c r="Q17" s="228" t="str">
        <f t="shared" ref="Q17:Q78" si="12">A17</f>
        <v/>
      </c>
      <c r="R17" s="229" t="str">
        <f t="shared" ref="R17:R78" si="13">B17</f>
        <v/>
      </c>
      <c r="S17" s="233" t="str">
        <f>IFERROR(INDEX('G-1 All Habitats'!$B$3:$B$129,MATCH(R17,'G-1 All Habitats'!$A$3:$A$129,0)),"")</f>
        <v/>
      </c>
      <c r="T17" s="507" t="str">
        <f t="shared" si="5"/>
        <v/>
      </c>
      <c r="U17" s="524" t="str">
        <f t="shared" si="6"/>
        <v/>
      </c>
      <c r="V17" s="523" t="str">
        <f t="shared" si="2"/>
        <v/>
      </c>
      <c r="W17" s="520" t="str">
        <f>IF(S17="","",VLOOKUP(S17,'G-1 All Habitats'!$B$2:$M$129,10,FALSE))</f>
        <v/>
      </c>
      <c r="X17" s="520" t="str">
        <f>IFERROR(VLOOKUP(W17,'G-1 All Habitats'!$V$3:$W$7,2,FALSE),"")</f>
        <v/>
      </c>
      <c r="Y17" s="203"/>
      <c r="Z17" s="524" t="str">
        <f>IFERROR(INDEX('G-8 Condition Look up'!$A$3:$H$130,MATCH(S17,'G-8 Condition Look up'!$A$3:$A$130,0),MATCH(Y17,'G-8 Condition Look up'!$A$3:$H$3,0)),"")</f>
        <v/>
      </c>
      <c r="AA17" s="145"/>
      <c r="AB17" s="540" t="str">
        <f>IF(AA17="","",IF(VLOOKUP(AA17,'G-3 Multipliers'!$L$3:$N$6,2,FALSE)=0,"Spatial Data Missing ⚠",VLOOKUP(AA17,'G-3 Multipliers'!$L$3:$N$6,2,FALSE)))</f>
        <v/>
      </c>
      <c r="AC17" s="524" t="str">
        <f>IF(AA17="","",IF(VLOOKUP(AA17,'G-3 Multipliers'!$L$3:$N$6,3,FALSE)=0,"Spatial Data Missing ⚠",VLOOKUP(AA17,'G-3 Multipliers'!$L$3:$N$6,3,FALSE)))</f>
        <v/>
      </c>
      <c r="AD17" s="537" t="str">
        <f t="shared" si="3"/>
        <v/>
      </c>
      <c r="AE17" s="203"/>
      <c r="AF17" s="203"/>
      <c r="AG17" s="520" t="str">
        <f t="shared" si="7"/>
        <v/>
      </c>
      <c r="AH17" s="544" t="str">
        <f t="shared" si="8"/>
        <v/>
      </c>
      <c r="AI17" s="525" t="str">
        <f>IF(AH17="Check Data ⚠","Check Data ⚠",IFERROR(VLOOKUP(AH17,'G-4 Temporal multipliers'!$A$4:$C$36,3,FALSE),""))</f>
        <v/>
      </c>
      <c r="AJ17" s="537" t="str">
        <f>IF(S17="","",VLOOKUP(S17,'G-3 Multipliers'!$A$2:$E$129,4,FALSE))</f>
        <v/>
      </c>
      <c r="AK17" s="520" t="str">
        <f t="shared" si="9"/>
        <v/>
      </c>
      <c r="AL17" s="520" t="str">
        <f t="shared" si="10"/>
        <v/>
      </c>
      <c r="AM17" s="524" t="str">
        <f>IFERROR(IF(F17="","",IF(AH17="Check Data ⚠","Check Data ⚠",VLOOKUP(AL17, 'G-3 Multipliers'!$P$2:$Q$6,2,FALSE))),"")</f>
        <v/>
      </c>
      <c r="AN17" s="197"/>
      <c r="AO17" s="540" t="str">
        <f>IF(AN17="","",IF(VLOOKUP(AN17,'G-3 Multipliers'!$S$3:$T$9,2,FALSE)=0,"Spatial Data Missing ⚠",VLOOKUP(AN17,'G-3 Multipliers'!$S$3:$T$9,2,FALSE)))</f>
        <v/>
      </c>
      <c r="AP17" s="513" t="str">
        <f t="shared" si="11"/>
        <v/>
      </c>
      <c r="AQ17" s="231"/>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7" t="str">
        <f>'D-1 Off Site Habitat Baseline'!AL17</f>
        <v/>
      </c>
      <c r="F18" s="520" t="str">
        <f>IF(E18="","",IF(ISNA(VLOOKUP($E18,'D-1 Off Site Habitat Baseline'!$D$1:$O$258,4,FALSE)),"",(VLOOKUP($E18,'D-1 Off Site Habitat Baseline'!$D$1:$O$258,4,FALSE))))</f>
        <v/>
      </c>
      <c r="G18" s="520" t="str">
        <f>IF(E18="","",IF(ISNA(VLOOKUP($E18,'D-1 Off Site Habitat Baseline'!$D$1:$O$258,5,FALSE)),"",(VLOOKUP($E18,'D-1 Off Site Habitat Baseline'!$D$1:$O$258,5,FALSE))))</f>
        <v/>
      </c>
      <c r="H18" s="520" t="str">
        <f>IF(E18="","",IF(ISNA(VLOOKUP($E18,'D-1 Off Site Habitat Baseline'!$D$1:$O$258,6,FALSE)),"",(VLOOKUP($E18,'D-1 Off Site Habitat Baseline'!$D$1:$O$258,6,FALSE))))</f>
        <v/>
      </c>
      <c r="I18" s="520" t="str">
        <f>IF(E18="","",IF(ISNA(VLOOKUP($E18,'D-1 Off Site Habitat Baseline'!$D$1:$O$258,7,FALSE)),"",(VLOOKUP($E18,'D-1 Off Site Habitat Baseline'!$D$1:$O$258,7,FALSE))))</f>
        <v/>
      </c>
      <c r="J18" s="520" t="str">
        <f>IF(E18="","",IF(ISNA(VLOOKUP($E18,'D-1 Off Site Habitat Baseline'!$D$1:$O$258,8,FALSE)),"",(VLOOKUP($E18,'D-1 Off Site Habitat Baseline'!$D$1:$O$258,8,FALSE))))</f>
        <v/>
      </c>
      <c r="K18" s="520" t="str">
        <f>IF(E18="","",IF(ISNA(VLOOKUP($E18,'D-1 Off Site Habitat Baseline'!$D$1:$O$258,9,FALSE)),"",(VLOOKUP($E18,'D-1 Off Site Habitat Baseline'!$D$1:$O$258,9,FALSE))))</f>
        <v/>
      </c>
      <c r="L18" s="520" t="str">
        <f>IF(E18="","",IF(ISNA(VLOOKUP($E18,'D-1 Off Site Habitat Baseline'!$D$1:$O$258,11,FALSE)),"",(VLOOKUP($E18,'D-1 Off Site Habitat Baseline'!$D$1:$O$258,11,FALSE))))</f>
        <v/>
      </c>
      <c r="M18" s="520" t="str">
        <f>IF(E18="","",IF(ISNA(VLOOKUP($E18,'D-1 Off Site Habitat Baseline'!$D$1:$O$258,12,FALSE)),"",(VLOOKUP($E18,'D-1 Off Site Habitat Baseline'!$D$1:$O$258,12,FALSE))))</f>
        <v/>
      </c>
      <c r="N18" s="520" t="str">
        <f>IF(E18="","",IF(ISNA(VLOOKUP($E18,'D-1 Off Site Habitat Baseline'!$D$1:$X$258,14,FALSE)),"",(VLOOKUP($E18,'D-1 Off Site Habitat Baseline'!$D$1:$X$258,14,FALSE))))</f>
        <v/>
      </c>
      <c r="O18" s="524" t="str">
        <f>IF(E18="","",IF(ISNA(VLOOKUP($E18,'D-1 Off Site Habitat Baseline'!$D$1:$X$258,13,FALSE)),"",(VLOOKUP($E18,'D-1 Off Site Habitat Baseline'!$D$1:$X$258,13,FALSE))))</f>
        <v/>
      </c>
      <c r="P18" s="232" t="str">
        <f>IFERROR(INDEX('G-1 All Habitats'!$AG$3:$AG$15,MATCH(Q18,'G-1 All Habitats'!$AF$3:$AF$15,0)),"")</f>
        <v/>
      </c>
      <c r="Q18" s="228" t="str">
        <f t="shared" si="12"/>
        <v/>
      </c>
      <c r="R18" s="229" t="str">
        <f t="shared" si="13"/>
        <v/>
      </c>
      <c r="S18" s="233" t="str">
        <f>IFERROR(INDEX('G-1 All Habitats'!$B$3:$B$129,MATCH(R18,'G-1 All Habitats'!$A$3:$A$129,0)),"")</f>
        <v/>
      </c>
      <c r="T18" s="507" t="str">
        <f t="shared" si="5"/>
        <v/>
      </c>
      <c r="U18" s="524" t="str">
        <f t="shared" si="6"/>
        <v/>
      </c>
      <c r="V18" s="523" t="str">
        <f t="shared" si="2"/>
        <v/>
      </c>
      <c r="W18" s="520" t="str">
        <f>IF(S18="","",VLOOKUP(S18,'G-1 All Habitats'!$B$2:$M$129,10,FALSE))</f>
        <v/>
      </c>
      <c r="X18" s="520" t="str">
        <f>IFERROR(VLOOKUP(W18,'G-1 All Habitats'!$V$3:$W$7,2,FALSE),"")</f>
        <v/>
      </c>
      <c r="Y18" s="203"/>
      <c r="Z18" s="524" t="str">
        <f>IFERROR(INDEX('G-8 Condition Look up'!$A$3:$H$130,MATCH(S18,'G-8 Condition Look up'!$A$3:$A$130,0),MATCH(Y18,'G-8 Condition Look up'!$A$3:$H$3,0)),"")</f>
        <v/>
      </c>
      <c r="AA18" s="145"/>
      <c r="AB18" s="540" t="str">
        <f>IF(AA18="","",IF(VLOOKUP(AA18,'G-3 Multipliers'!$L$3:$N$6,2,FALSE)=0,"Spatial Data Missing ⚠",VLOOKUP(AA18,'G-3 Multipliers'!$L$3:$N$6,2,FALSE)))</f>
        <v/>
      </c>
      <c r="AC18" s="524" t="str">
        <f>IF(AA18="","",IF(VLOOKUP(AA18,'G-3 Multipliers'!$L$3:$N$6,3,FALSE)=0,"Spatial Data Missing ⚠",VLOOKUP(AA18,'G-3 Multipliers'!$L$3:$N$6,3,FALSE)))</f>
        <v/>
      </c>
      <c r="AD18" s="537" t="str">
        <f t="shared" si="3"/>
        <v/>
      </c>
      <c r="AE18" s="203"/>
      <c r="AF18" s="203"/>
      <c r="AG18" s="520" t="str">
        <f t="shared" si="7"/>
        <v/>
      </c>
      <c r="AH18" s="544" t="str">
        <f t="shared" si="8"/>
        <v/>
      </c>
      <c r="AI18" s="525" t="str">
        <f>IF(AH18="Check Data ⚠","Check Data ⚠",IFERROR(VLOOKUP(AH18,'G-4 Temporal multipliers'!$A$4:$C$36,3,FALSE),""))</f>
        <v/>
      </c>
      <c r="AJ18" s="537" t="str">
        <f>IF(S18="","",VLOOKUP(S18,'G-3 Multipliers'!$A$2:$E$129,4,FALSE))</f>
        <v/>
      </c>
      <c r="AK18" s="520" t="str">
        <f t="shared" si="9"/>
        <v/>
      </c>
      <c r="AL18" s="520" t="str">
        <f t="shared" si="10"/>
        <v/>
      </c>
      <c r="AM18" s="524" t="str">
        <f>IFERROR(IF(F18="","",IF(AH18="Check Data ⚠","Check Data ⚠",VLOOKUP(AL18, 'G-3 Multipliers'!$P$2:$Q$6,2,FALSE))),"")</f>
        <v/>
      </c>
      <c r="AN18" s="197"/>
      <c r="AO18" s="540" t="str">
        <f>IF(AN18="","",IF(VLOOKUP(AN18,'G-3 Multipliers'!$S$3:$T$9,2,FALSE)=0,"Spatial Data Missing ⚠",VLOOKUP(AN18,'G-3 Multipliers'!$S$3:$T$9,2,FALSE)))</f>
        <v/>
      </c>
      <c r="AP18" s="513" t="str">
        <f t="shared" si="11"/>
        <v/>
      </c>
      <c r="AQ18" s="231"/>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7" t="str">
        <f>'D-1 Off Site Habitat Baseline'!AL18</f>
        <v/>
      </c>
      <c r="F19" s="520" t="str">
        <f>IF(E19="","",IF(ISNA(VLOOKUP($E19,'D-1 Off Site Habitat Baseline'!$D$1:$O$258,4,FALSE)),"",(VLOOKUP($E19,'D-1 Off Site Habitat Baseline'!$D$1:$O$258,4,FALSE))))</f>
        <v/>
      </c>
      <c r="G19" s="520" t="str">
        <f>IF(E19="","",IF(ISNA(VLOOKUP($E19,'D-1 Off Site Habitat Baseline'!$D$1:$O$258,5,FALSE)),"",(VLOOKUP($E19,'D-1 Off Site Habitat Baseline'!$D$1:$O$258,5,FALSE))))</f>
        <v/>
      </c>
      <c r="H19" s="520" t="str">
        <f>IF(E19="","",IF(ISNA(VLOOKUP($E19,'D-1 Off Site Habitat Baseline'!$D$1:$O$258,6,FALSE)),"",(VLOOKUP($E19,'D-1 Off Site Habitat Baseline'!$D$1:$O$258,6,FALSE))))</f>
        <v/>
      </c>
      <c r="I19" s="520" t="str">
        <f>IF(E19="","",IF(ISNA(VLOOKUP($E19,'D-1 Off Site Habitat Baseline'!$D$1:$O$258,7,FALSE)),"",(VLOOKUP($E19,'D-1 Off Site Habitat Baseline'!$D$1:$O$258,7,FALSE))))</f>
        <v/>
      </c>
      <c r="J19" s="520" t="str">
        <f>IF(E19="","",IF(ISNA(VLOOKUP($E19,'D-1 Off Site Habitat Baseline'!$D$1:$O$258,8,FALSE)),"",(VLOOKUP($E19,'D-1 Off Site Habitat Baseline'!$D$1:$O$258,8,FALSE))))</f>
        <v/>
      </c>
      <c r="K19" s="520" t="str">
        <f>IF(E19="","",IF(ISNA(VLOOKUP($E19,'D-1 Off Site Habitat Baseline'!$D$1:$O$258,9,FALSE)),"",(VLOOKUP($E19,'D-1 Off Site Habitat Baseline'!$D$1:$O$258,9,FALSE))))</f>
        <v/>
      </c>
      <c r="L19" s="520" t="str">
        <f>IF(E19="","",IF(ISNA(VLOOKUP($E19,'D-1 Off Site Habitat Baseline'!$D$1:$O$258,11,FALSE)),"",(VLOOKUP($E19,'D-1 Off Site Habitat Baseline'!$D$1:$O$258,11,FALSE))))</f>
        <v/>
      </c>
      <c r="M19" s="520" t="str">
        <f>IF(E19="","",IF(ISNA(VLOOKUP($E19,'D-1 Off Site Habitat Baseline'!$D$1:$O$258,12,FALSE)),"",(VLOOKUP($E19,'D-1 Off Site Habitat Baseline'!$D$1:$O$258,12,FALSE))))</f>
        <v/>
      </c>
      <c r="N19" s="520" t="str">
        <f>IF(E19="","",IF(ISNA(VLOOKUP($E19,'D-1 Off Site Habitat Baseline'!$D$1:$X$258,14,FALSE)),"",(VLOOKUP($E19,'D-1 Off Site Habitat Baseline'!$D$1:$X$258,14,FALSE))))</f>
        <v/>
      </c>
      <c r="O19" s="524" t="str">
        <f>IF(E19="","",IF(ISNA(VLOOKUP($E19,'D-1 Off Site Habitat Baseline'!$D$1:$X$258,13,FALSE)),"",(VLOOKUP($E19,'D-1 Off Site Habitat Baseline'!$D$1:$X$258,13,FALSE))))</f>
        <v/>
      </c>
      <c r="P19" s="232" t="str">
        <f>IFERROR(INDEX('G-1 All Habitats'!$AG$3:$AG$15,MATCH(Q19,'G-1 All Habitats'!$AF$3:$AF$15,0)),"")</f>
        <v/>
      </c>
      <c r="Q19" s="228" t="str">
        <f t="shared" si="12"/>
        <v/>
      </c>
      <c r="R19" s="229" t="str">
        <f t="shared" si="13"/>
        <v/>
      </c>
      <c r="S19" s="233" t="str">
        <f>IFERROR(INDEX('G-1 All Habitats'!$B$3:$B$129,MATCH(R19,'G-1 All Habitats'!$A$3:$A$129,0)),"")</f>
        <v/>
      </c>
      <c r="T19" s="507" t="str">
        <f t="shared" si="5"/>
        <v/>
      </c>
      <c r="U19" s="524" t="str">
        <f t="shared" si="6"/>
        <v/>
      </c>
      <c r="V19" s="523" t="str">
        <f t="shared" si="2"/>
        <v/>
      </c>
      <c r="W19" s="520" t="str">
        <f>IF(S19="","",VLOOKUP(S19,'G-1 All Habitats'!$B$2:$M$129,10,FALSE))</f>
        <v/>
      </c>
      <c r="X19" s="520" t="str">
        <f>IFERROR(VLOOKUP(W19,'G-1 All Habitats'!$V$3:$W$7,2,FALSE),"")</f>
        <v/>
      </c>
      <c r="Y19" s="203"/>
      <c r="Z19" s="524" t="str">
        <f>IFERROR(INDEX('G-8 Condition Look up'!$A$3:$H$130,MATCH(S19,'G-8 Condition Look up'!$A$3:$A$130,0),MATCH(Y19,'G-8 Condition Look up'!$A$3:$H$3,0)),"")</f>
        <v/>
      </c>
      <c r="AA19" s="145"/>
      <c r="AB19" s="540" t="str">
        <f>IF(AA19="","",IF(VLOOKUP(AA19,'G-3 Multipliers'!$L$3:$N$6,2,FALSE)=0,"Spatial Data Missing ⚠",VLOOKUP(AA19,'G-3 Multipliers'!$L$3:$N$6,2,FALSE)))</f>
        <v/>
      </c>
      <c r="AC19" s="524" t="str">
        <f>IF(AA19="","",IF(VLOOKUP(AA19,'G-3 Multipliers'!$L$3:$N$6,3,FALSE)=0,"Spatial Data Missing ⚠",VLOOKUP(AA19,'G-3 Multipliers'!$L$3:$N$6,3,FALSE)))</f>
        <v/>
      </c>
      <c r="AD19" s="537" t="str">
        <f t="shared" si="3"/>
        <v/>
      </c>
      <c r="AE19" s="203"/>
      <c r="AF19" s="203"/>
      <c r="AG19" s="520" t="str">
        <f t="shared" si="7"/>
        <v/>
      </c>
      <c r="AH19" s="544" t="str">
        <f t="shared" si="8"/>
        <v/>
      </c>
      <c r="AI19" s="525" t="str">
        <f>IF(AH19="Check Data ⚠","Check Data ⚠",IFERROR(VLOOKUP(AH19,'G-4 Temporal multipliers'!$A$4:$C$36,3,FALSE),""))</f>
        <v/>
      </c>
      <c r="AJ19" s="537" t="str">
        <f>IF(S19="","",VLOOKUP(S19,'G-3 Multipliers'!$A$2:$E$129,4,FALSE))</f>
        <v/>
      </c>
      <c r="AK19" s="520" t="str">
        <f t="shared" si="9"/>
        <v/>
      </c>
      <c r="AL19" s="520" t="str">
        <f t="shared" si="10"/>
        <v/>
      </c>
      <c r="AM19" s="524" t="str">
        <f>IFERROR(IF(F19="","",IF(AH19="Check Data ⚠","Check Data ⚠",VLOOKUP(AL19, 'G-3 Multipliers'!$P$2:$Q$6,2,FALSE))),"")</f>
        <v/>
      </c>
      <c r="AN19" s="197"/>
      <c r="AO19" s="540" t="str">
        <f>IF(AN19="","",IF(VLOOKUP(AN19,'G-3 Multipliers'!$S$3:$T$9,2,FALSE)=0,"Spatial Data Missing ⚠",VLOOKUP(AN19,'G-3 Multipliers'!$S$3:$T$9,2,FALSE)))</f>
        <v/>
      </c>
      <c r="AP19" s="513" t="str">
        <f t="shared" si="11"/>
        <v/>
      </c>
      <c r="AQ19" s="231"/>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7" t="str">
        <f>'D-1 Off Site Habitat Baseline'!AL19</f>
        <v/>
      </c>
      <c r="F20" s="520" t="str">
        <f>IF(E20="","",IF(ISNA(VLOOKUP($E20,'D-1 Off Site Habitat Baseline'!$D$1:$O$258,4,FALSE)),"",(VLOOKUP($E20,'D-1 Off Site Habitat Baseline'!$D$1:$O$258,4,FALSE))))</f>
        <v/>
      </c>
      <c r="G20" s="520" t="str">
        <f>IF(E20="","",IF(ISNA(VLOOKUP($E20,'D-1 Off Site Habitat Baseline'!$D$1:$O$258,5,FALSE)),"",(VLOOKUP($E20,'D-1 Off Site Habitat Baseline'!$D$1:$O$258,5,FALSE))))</f>
        <v/>
      </c>
      <c r="H20" s="520" t="str">
        <f>IF(E20="","",IF(ISNA(VLOOKUP($E20,'D-1 Off Site Habitat Baseline'!$D$1:$O$258,6,FALSE)),"",(VLOOKUP($E20,'D-1 Off Site Habitat Baseline'!$D$1:$O$258,6,FALSE))))</f>
        <v/>
      </c>
      <c r="I20" s="520" t="str">
        <f>IF(E20="","",IF(ISNA(VLOOKUP($E20,'D-1 Off Site Habitat Baseline'!$D$1:$O$258,7,FALSE)),"",(VLOOKUP($E20,'D-1 Off Site Habitat Baseline'!$D$1:$O$258,7,FALSE))))</f>
        <v/>
      </c>
      <c r="J20" s="520" t="str">
        <f>IF(E20="","",IF(ISNA(VLOOKUP($E20,'D-1 Off Site Habitat Baseline'!$D$1:$O$258,8,FALSE)),"",(VLOOKUP($E20,'D-1 Off Site Habitat Baseline'!$D$1:$O$258,8,FALSE))))</f>
        <v/>
      </c>
      <c r="K20" s="520" t="str">
        <f>IF(E20="","",IF(ISNA(VLOOKUP($E20,'D-1 Off Site Habitat Baseline'!$D$1:$O$258,9,FALSE)),"",(VLOOKUP($E20,'D-1 Off Site Habitat Baseline'!$D$1:$O$258,9,FALSE))))</f>
        <v/>
      </c>
      <c r="L20" s="520" t="str">
        <f>IF(E20="","",IF(ISNA(VLOOKUP($E20,'D-1 Off Site Habitat Baseline'!$D$1:$O$258,11,FALSE)),"",(VLOOKUP($E20,'D-1 Off Site Habitat Baseline'!$D$1:$O$258,11,FALSE))))</f>
        <v/>
      </c>
      <c r="M20" s="520" t="str">
        <f>IF(E20="","",IF(ISNA(VLOOKUP($E20,'D-1 Off Site Habitat Baseline'!$D$1:$O$258,12,FALSE)),"",(VLOOKUP($E20,'D-1 Off Site Habitat Baseline'!$D$1:$O$258,12,FALSE))))</f>
        <v/>
      </c>
      <c r="N20" s="520" t="str">
        <f>IF(E20="","",IF(ISNA(VLOOKUP($E20,'D-1 Off Site Habitat Baseline'!$D$1:$X$258,14,FALSE)),"",(VLOOKUP($E20,'D-1 Off Site Habitat Baseline'!$D$1:$X$258,14,FALSE))))</f>
        <v/>
      </c>
      <c r="O20" s="524" t="str">
        <f>IF(E20="","",IF(ISNA(VLOOKUP($E20,'D-1 Off Site Habitat Baseline'!$D$1:$X$258,13,FALSE)),"",(VLOOKUP($E20,'D-1 Off Site Habitat Baseline'!$D$1:$X$258,13,FALSE))))</f>
        <v/>
      </c>
      <c r="P20" s="232" t="str">
        <f>IFERROR(INDEX('G-1 All Habitats'!$AG$3:$AG$15,MATCH(Q20,'G-1 All Habitats'!$AF$3:$AF$15,0)),"")</f>
        <v/>
      </c>
      <c r="Q20" s="228" t="str">
        <f t="shared" si="12"/>
        <v/>
      </c>
      <c r="R20" s="229" t="str">
        <f t="shared" si="13"/>
        <v/>
      </c>
      <c r="S20" s="233" t="str">
        <f>IFERROR(INDEX('G-1 All Habitats'!$B$3:$B$129,MATCH(R20,'G-1 All Habitats'!$A$3:$A$129,0)),"")</f>
        <v/>
      </c>
      <c r="T20" s="507" t="str">
        <f t="shared" si="5"/>
        <v/>
      </c>
      <c r="U20" s="524" t="str">
        <f t="shared" si="6"/>
        <v/>
      </c>
      <c r="V20" s="523" t="str">
        <f t="shared" si="2"/>
        <v/>
      </c>
      <c r="W20" s="520" t="str">
        <f>IF(S20="","",VLOOKUP(S20,'G-1 All Habitats'!$B$2:$M$129,10,FALSE))</f>
        <v/>
      </c>
      <c r="X20" s="520" t="str">
        <f>IFERROR(VLOOKUP(W20,'G-1 All Habitats'!$V$3:$W$7,2,FALSE),"")</f>
        <v/>
      </c>
      <c r="Y20" s="203"/>
      <c r="Z20" s="524" t="str">
        <f>IFERROR(INDEX('G-8 Condition Look up'!$A$3:$H$130,MATCH(S20,'G-8 Condition Look up'!$A$3:$A$130,0),MATCH(Y20,'G-8 Condition Look up'!$A$3:$H$3,0)),"")</f>
        <v/>
      </c>
      <c r="AA20" s="145"/>
      <c r="AB20" s="540" t="str">
        <f>IF(AA20="","",IF(VLOOKUP(AA20,'G-3 Multipliers'!$L$3:$N$6,2,FALSE)=0,"Spatial Data Missing ⚠",VLOOKUP(AA20,'G-3 Multipliers'!$L$3:$N$6,2,FALSE)))</f>
        <v/>
      </c>
      <c r="AC20" s="524" t="str">
        <f>IF(AA20="","",IF(VLOOKUP(AA20,'G-3 Multipliers'!$L$3:$N$6,3,FALSE)=0,"Spatial Data Missing ⚠",VLOOKUP(AA20,'G-3 Multipliers'!$L$3:$N$6,3,FALSE)))</f>
        <v/>
      </c>
      <c r="AD20" s="537" t="str">
        <f t="shared" si="3"/>
        <v/>
      </c>
      <c r="AE20" s="203"/>
      <c r="AF20" s="203"/>
      <c r="AG20" s="520" t="str">
        <f t="shared" si="7"/>
        <v/>
      </c>
      <c r="AH20" s="544" t="str">
        <f t="shared" si="8"/>
        <v/>
      </c>
      <c r="AI20" s="525" t="str">
        <f>IF(AH20="Check Data ⚠","Check Data ⚠",IFERROR(VLOOKUP(AH20,'G-4 Temporal multipliers'!$A$4:$C$36,3,FALSE),""))</f>
        <v/>
      </c>
      <c r="AJ20" s="537" t="str">
        <f>IF(S20="","",VLOOKUP(S20,'G-3 Multipliers'!$A$2:$E$129,4,FALSE))</f>
        <v/>
      </c>
      <c r="AK20" s="520" t="str">
        <f t="shared" si="9"/>
        <v/>
      </c>
      <c r="AL20" s="520" t="str">
        <f t="shared" si="10"/>
        <v/>
      </c>
      <c r="AM20" s="524" t="str">
        <f>IFERROR(IF(F20="","",IF(AH20="Check Data ⚠","Check Data ⚠",VLOOKUP(AL20, 'G-3 Multipliers'!$P$2:$Q$6,2,FALSE))),"")</f>
        <v/>
      </c>
      <c r="AN20" s="197"/>
      <c r="AO20" s="540" t="str">
        <f>IF(AN20="","",IF(VLOOKUP(AN20,'G-3 Multipliers'!$S$3:$T$9,2,FALSE)=0,"Spatial Data Missing ⚠",VLOOKUP(AN20,'G-3 Multipliers'!$S$3:$T$9,2,FALSE)))</f>
        <v/>
      </c>
      <c r="AP20" s="513" t="str">
        <f t="shared" si="11"/>
        <v/>
      </c>
      <c r="AQ20" s="231"/>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7" t="str">
        <f>'D-1 Off Site Habitat Baseline'!AL20</f>
        <v/>
      </c>
      <c r="F21" s="520" t="str">
        <f>IF(E21="","",IF(ISNA(VLOOKUP($E21,'D-1 Off Site Habitat Baseline'!$D$1:$O$258,4,FALSE)),"",(VLOOKUP($E21,'D-1 Off Site Habitat Baseline'!$D$1:$O$258,4,FALSE))))</f>
        <v/>
      </c>
      <c r="G21" s="520" t="str">
        <f>IF(E21="","",IF(ISNA(VLOOKUP($E21,'D-1 Off Site Habitat Baseline'!$D$1:$O$258,5,FALSE)),"",(VLOOKUP($E21,'D-1 Off Site Habitat Baseline'!$D$1:$O$258,5,FALSE))))</f>
        <v/>
      </c>
      <c r="H21" s="520" t="str">
        <f>IF(E21="","",IF(ISNA(VLOOKUP($E21,'D-1 Off Site Habitat Baseline'!$D$1:$O$258,6,FALSE)),"",(VLOOKUP($E21,'D-1 Off Site Habitat Baseline'!$D$1:$O$258,6,FALSE))))</f>
        <v/>
      </c>
      <c r="I21" s="520" t="str">
        <f>IF(E21="","",IF(ISNA(VLOOKUP($E21,'D-1 Off Site Habitat Baseline'!$D$1:$O$258,7,FALSE)),"",(VLOOKUP($E21,'D-1 Off Site Habitat Baseline'!$D$1:$O$258,7,FALSE))))</f>
        <v/>
      </c>
      <c r="J21" s="520" t="str">
        <f>IF(E21="","",IF(ISNA(VLOOKUP($E21,'D-1 Off Site Habitat Baseline'!$D$1:$O$258,8,FALSE)),"",(VLOOKUP($E21,'D-1 Off Site Habitat Baseline'!$D$1:$O$258,8,FALSE))))</f>
        <v/>
      </c>
      <c r="K21" s="520" t="str">
        <f>IF(E21="","",IF(ISNA(VLOOKUP($E21,'D-1 Off Site Habitat Baseline'!$D$1:$O$258,9,FALSE)),"",(VLOOKUP($E21,'D-1 Off Site Habitat Baseline'!$D$1:$O$258,9,FALSE))))</f>
        <v/>
      </c>
      <c r="L21" s="520" t="str">
        <f>IF(E21="","",IF(ISNA(VLOOKUP($E21,'D-1 Off Site Habitat Baseline'!$D$1:$O$258,11,FALSE)),"",(VLOOKUP($E21,'D-1 Off Site Habitat Baseline'!$D$1:$O$258,11,FALSE))))</f>
        <v/>
      </c>
      <c r="M21" s="520" t="str">
        <f>IF(E21="","",IF(ISNA(VLOOKUP($E21,'D-1 Off Site Habitat Baseline'!$D$1:$O$258,12,FALSE)),"",(VLOOKUP($E21,'D-1 Off Site Habitat Baseline'!$D$1:$O$258,12,FALSE))))</f>
        <v/>
      </c>
      <c r="N21" s="520" t="str">
        <f>IF(E21="","",IF(ISNA(VLOOKUP($E21,'D-1 Off Site Habitat Baseline'!$D$1:$X$258,14,FALSE)),"",(VLOOKUP($E21,'D-1 Off Site Habitat Baseline'!$D$1:$X$258,14,FALSE))))</f>
        <v/>
      </c>
      <c r="O21" s="524" t="str">
        <f>IF(E21="","",IF(ISNA(VLOOKUP($E21,'D-1 Off Site Habitat Baseline'!$D$1:$X$258,13,FALSE)),"",(VLOOKUP($E21,'D-1 Off Site Habitat Baseline'!$D$1:$X$258,13,FALSE))))</f>
        <v/>
      </c>
      <c r="P21" s="232" t="str">
        <f>IFERROR(INDEX('G-1 All Habitats'!$AG$3:$AG$15,MATCH(Q21,'G-1 All Habitats'!$AF$3:$AF$15,0)),"")</f>
        <v/>
      </c>
      <c r="Q21" s="228" t="str">
        <f t="shared" si="12"/>
        <v/>
      </c>
      <c r="R21" s="229" t="str">
        <f t="shared" si="13"/>
        <v/>
      </c>
      <c r="S21" s="233" t="str">
        <f>IFERROR(INDEX('G-1 All Habitats'!$B$3:$B$129,MATCH(R21,'G-1 All Habitats'!$A$3:$A$129,0)),"")</f>
        <v/>
      </c>
      <c r="T21" s="507" t="str">
        <f t="shared" si="5"/>
        <v/>
      </c>
      <c r="U21" s="524" t="str">
        <f t="shared" si="6"/>
        <v/>
      </c>
      <c r="V21" s="523" t="str">
        <f t="shared" si="2"/>
        <v/>
      </c>
      <c r="W21" s="520" t="str">
        <f>IF(S21="","",VLOOKUP(S21,'G-1 All Habitats'!$B$2:$M$129,10,FALSE))</f>
        <v/>
      </c>
      <c r="X21" s="520" t="str">
        <f>IFERROR(VLOOKUP(W21,'G-1 All Habitats'!$V$3:$W$7,2,FALSE),"")</f>
        <v/>
      </c>
      <c r="Y21" s="203"/>
      <c r="Z21" s="524" t="str">
        <f>IFERROR(INDEX('G-8 Condition Look up'!$A$3:$H$130,MATCH(S21,'G-8 Condition Look up'!$A$3:$A$130,0),MATCH(Y21,'G-8 Condition Look up'!$A$3:$H$3,0)),"")</f>
        <v/>
      </c>
      <c r="AA21" s="145"/>
      <c r="AB21" s="540" t="str">
        <f>IF(AA21="","",IF(VLOOKUP(AA21,'G-3 Multipliers'!$L$3:$N$6,2,FALSE)=0,"Spatial Data Missing ⚠",VLOOKUP(AA21,'G-3 Multipliers'!$L$3:$N$6,2,FALSE)))</f>
        <v/>
      </c>
      <c r="AC21" s="524" t="str">
        <f>IF(AA21="","",IF(VLOOKUP(AA21,'G-3 Multipliers'!$L$3:$N$6,3,FALSE)=0,"Spatial Data Missing ⚠",VLOOKUP(AA21,'G-3 Multipliers'!$L$3:$N$6,3,FALSE)))</f>
        <v/>
      </c>
      <c r="AD21" s="537" t="str">
        <f t="shared" si="3"/>
        <v/>
      </c>
      <c r="AE21" s="203"/>
      <c r="AF21" s="203"/>
      <c r="AG21" s="520" t="str">
        <f t="shared" si="7"/>
        <v/>
      </c>
      <c r="AH21" s="544" t="str">
        <f t="shared" si="8"/>
        <v/>
      </c>
      <c r="AI21" s="525" t="str">
        <f>IF(AH21="Check Data ⚠","Check Data ⚠",IFERROR(VLOOKUP(AH21,'G-4 Temporal multipliers'!$A$4:$C$36,3,FALSE),""))</f>
        <v/>
      </c>
      <c r="AJ21" s="537" t="str">
        <f>IF(S21="","",VLOOKUP(S21,'G-3 Multipliers'!$A$2:$E$129,4,FALSE))</f>
        <v/>
      </c>
      <c r="AK21" s="520" t="str">
        <f t="shared" si="9"/>
        <v/>
      </c>
      <c r="AL21" s="520" t="str">
        <f t="shared" si="10"/>
        <v/>
      </c>
      <c r="AM21" s="524" t="str">
        <f>IFERROR(IF(F21="","",IF(AH21="Check Data ⚠","Check Data ⚠",VLOOKUP(AL21, 'G-3 Multipliers'!$P$2:$Q$6,2,FALSE))),"")</f>
        <v/>
      </c>
      <c r="AN21" s="197"/>
      <c r="AO21" s="540" t="str">
        <f>IF(AN21="","",IF(VLOOKUP(AN21,'G-3 Multipliers'!$S$3:$T$9,2,FALSE)=0,"Spatial Data Missing ⚠",VLOOKUP(AN21,'G-3 Multipliers'!$S$3:$T$9,2,FALSE)))</f>
        <v/>
      </c>
      <c r="AP21" s="513" t="str">
        <f t="shared" si="11"/>
        <v/>
      </c>
      <c r="AQ21" s="231"/>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7" t="str">
        <f>'D-1 Off Site Habitat Baseline'!AL21</f>
        <v/>
      </c>
      <c r="F22" s="520" t="str">
        <f>IF(E22="","",IF(ISNA(VLOOKUP($E22,'D-1 Off Site Habitat Baseline'!$D$1:$O$258,4,FALSE)),"",(VLOOKUP($E22,'D-1 Off Site Habitat Baseline'!$D$1:$O$258,4,FALSE))))</f>
        <v/>
      </c>
      <c r="G22" s="520" t="str">
        <f>IF(E22="","",IF(ISNA(VLOOKUP($E22,'D-1 Off Site Habitat Baseline'!$D$1:$O$258,5,FALSE)),"",(VLOOKUP($E22,'D-1 Off Site Habitat Baseline'!$D$1:$O$258,5,FALSE))))</f>
        <v/>
      </c>
      <c r="H22" s="520" t="str">
        <f>IF(E22="","",IF(ISNA(VLOOKUP($E22,'D-1 Off Site Habitat Baseline'!$D$1:$O$258,6,FALSE)),"",(VLOOKUP($E22,'D-1 Off Site Habitat Baseline'!$D$1:$O$258,6,FALSE))))</f>
        <v/>
      </c>
      <c r="I22" s="520" t="str">
        <f>IF(E22="","",IF(ISNA(VLOOKUP($E22,'D-1 Off Site Habitat Baseline'!$D$1:$O$258,7,FALSE)),"",(VLOOKUP($E22,'D-1 Off Site Habitat Baseline'!$D$1:$O$258,7,FALSE))))</f>
        <v/>
      </c>
      <c r="J22" s="520" t="str">
        <f>IF(E22="","",IF(ISNA(VLOOKUP($E22,'D-1 Off Site Habitat Baseline'!$D$1:$O$258,8,FALSE)),"",(VLOOKUP($E22,'D-1 Off Site Habitat Baseline'!$D$1:$O$258,8,FALSE))))</f>
        <v/>
      </c>
      <c r="K22" s="520" t="str">
        <f>IF(E22="","",IF(ISNA(VLOOKUP($E22,'D-1 Off Site Habitat Baseline'!$D$1:$O$258,9,FALSE)),"",(VLOOKUP($E22,'D-1 Off Site Habitat Baseline'!$D$1:$O$258,9,FALSE))))</f>
        <v/>
      </c>
      <c r="L22" s="520" t="str">
        <f>IF(E22="","",IF(ISNA(VLOOKUP($E22,'D-1 Off Site Habitat Baseline'!$D$1:$O$258,11,FALSE)),"",(VLOOKUP($E22,'D-1 Off Site Habitat Baseline'!$D$1:$O$258,11,FALSE))))</f>
        <v/>
      </c>
      <c r="M22" s="520" t="str">
        <f>IF(E22="","",IF(ISNA(VLOOKUP($E22,'D-1 Off Site Habitat Baseline'!$D$1:$O$258,12,FALSE)),"",(VLOOKUP($E22,'D-1 Off Site Habitat Baseline'!$D$1:$O$258,12,FALSE))))</f>
        <v/>
      </c>
      <c r="N22" s="520" t="str">
        <f>IF(E22="","",IF(ISNA(VLOOKUP($E22,'D-1 Off Site Habitat Baseline'!$D$1:$X$258,14,FALSE)),"",(VLOOKUP($E22,'D-1 Off Site Habitat Baseline'!$D$1:$X$258,14,FALSE))))</f>
        <v/>
      </c>
      <c r="O22" s="524" t="str">
        <f>IF(E22="","",IF(ISNA(VLOOKUP($E22,'D-1 Off Site Habitat Baseline'!$D$1:$X$258,13,FALSE)),"",(VLOOKUP($E22,'D-1 Off Site Habitat Baseline'!$D$1:$X$258,13,FALSE))))</f>
        <v/>
      </c>
      <c r="P22" s="232" t="str">
        <f>IFERROR(INDEX('G-1 All Habitats'!$AG$3:$AG$15,MATCH(Q22,'G-1 All Habitats'!$AF$3:$AF$15,0)),"")</f>
        <v/>
      </c>
      <c r="Q22" s="228" t="str">
        <f t="shared" si="12"/>
        <v/>
      </c>
      <c r="R22" s="229" t="str">
        <f t="shared" si="13"/>
        <v/>
      </c>
      <c r="S22" s="233" t="str">
        <f>IFERROR(INDEX('G-1 All Habitats'!$B$3:$B$129,MATCH(R22,'G-1 All Habitats'!$A$3:$A$129,0)),"")</f>
        <v/>
      </c>
      <c r="T22" s="507" t="str">
        <f t="shared" si="5"/>
        <v/>
      </c>
      <c r="U22" s="524" t="str">
        <f t="shared" si="6"/>
        <v/>
      </c>
      <c r="V22" s="523" t="str">
        <f t="shared" si="2"/>
        <v/>
      </c>
      <c r="W22" s="520" t="str">
        <f>IF(S22="","",VLOOKUP(S22,'G-1 All Habitats'!$B$2:$M$129,10,FALSE))</f>
        <v/>
      </c>
      <c r="X22" s="520" t="str">
        <f>IFERROR(VLOOKUP(W22,'G-1 All Habitats'!$V$3:$W$7,2,FALSE),"")</f>
        <v/>
      </c>
      <c r="Y22" s="203"/>
      <c r="Z22" s="524" t="str">
        <f>IFERROR(INDEX('G-8 Condition Look up'!$A$3:$H$130,MATCH(S22,'G-8 Condition Look up'!$A$3:$A$130,0),MATCH(Y22,'G-8 Condition Look up'!$A$3:$H$3,0)),"")</f>
        <v/>
      </c>
      <c r="AA22" s="145"/>
      <c r="AB22" s="540" t="str">
        <f>IF(AA22="","",IF(VLOOKUP(AA22,'G-3 Multipliers'!$L$3:$N$6,2,FALSE)=0,"Spatial Data Missing ⚠",VLOOKUP(AA22,'G-3 Multipliers'!$L$3:$N$6,2,FALSE)))</f>
        <v/>
      </c>
      <c r="AC22" s="524" t="str">
        <f>IF(AA22="","",IF(VLOOKUP(AA22,'G-3 Multipliers'!$L$3:$N$6,3,FALSE)=0,"Spatial Data Missing ⚠",VLOOKUP(AA22,'G-3 Multipliers'!$L$3:$N$6,3,FALSE)))</f>
        <v/>
      </c>
      <c r="AD22" s="537" t="str">
        <f t="shared" si="3"/>
        <v/>
      </c>
      <c r="AE22" s="203"/>
      <c r="AF22" s="203"/>
      <c r="AG22" s="520" t="str">
        <f t="shared" si="7"/>
        <v/>
      </c>
      <c r="AH22" s="544" t="str">
        <f t="shared" si="8"/>
        <v/>
      </c>
      <c r="AI22" s="525" t="str">
        <f>IF(AH22="Check Data ⚠","Check Data ⚠",IFERROR(VLOOKUP(AH22,'G-4 Temporal multipliers'!$A$4:$C$36,3,FALSE),""))</f>
        <v/>
      </c>
      <c r="AJ22" s="537" t="str">
        <f>IF(S22="","",VLOOKUP(S22,'G-3 Multipliers'!$A$2:$E$129,4,FALSE))</f>
        <v/>
      </c>
      <c r="AK22" s="520" t="str">
        <f t="shared" si="9"/>
        <v/>
      </c>
      <c r="AL22" s="520" t="str">
        <f t="shared" si="10"/>
        <v/>
      </c>
      <c r="AM22" s="524" t="str">
        <f>IFERROR(IF(F22="","",IF(AH22="Check Data ⚠","Check Data ⚠",VLOOKUP(AL22, 'G-3 Multipliers'!$P$2:$Q$6,2,FALSE))),"")</f>
        <v/>
      </c>
      <c r="AN22" s="197"/>
      <c r="AO22" s="540" t="str">
        <f>IF(AN22="","",IF(VLOOKUP(AN22,'G-3 Multipliers'!$S$3:$T$9,2,FALSE)=0,"Spatial Data Missing ⚠",VLOOKUP(AN22,'G-3 Multipliers'!$S$3:$T$9,2,FALSE)))</f>
        <v/>
      </c>
      <c r="AP22" s="513" t="str">
        <f t="shared" si="11"/>
        <v/>
      </c>
      <c r="AQ22" s="231"/>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7" t="str">
        <f>'D-1 Off Site Habitat Baseline'!AL22</f>
        <v/>
      </c>
      <c r="F23" s="520" t="str">
        <f>IF(E23="","",IF(ISNA(VLOOKUP($E23,'D-1 Off Site Habitat Baseline'!$D$1:$O$258,4,FALSE)),"",(VLOOKUP($E23,'D-1 Off Site Habitat Baseline'!$D$1:$O$258,4,FALSE))))</f>
        <v/>
      </c>
      <c r="G23" s="520" t="str">
        <f>IF(E23="","",IF(ISNA(VLOOKUP($E23,'D-1 Off Site Habitat Baseline'!$D$1:$O$258,5,FALSE)),"",(VLOOKUP($E23,'D-1 Off Site Habitat Baseline'!$D$1:$O$258,5,FALSE))))</f>
        <v/>
      </c>
      <c r="H23" s="520" t="str">
        <f>IF(E23="","",IF(ISNA(VLOOKUP($E23,'D-1 Off Site Habitat Baseline'!$D$1:$O$258,6,FALSE)),"",(VLOOKUP($E23,'D-1 Off Site Habitat Baseline'!$D$1:$O$258,6,FALSE))))</f>
        <v/>
      </c>
      <c r="I23" s="520" t="str">
        <f>IF(E23="","",IF(ISNA(VLOOKUP($E23,'D-1 Off Site Habitat Baseline'!$D$1:$O$258,7,FALSE)),"",(VLOOKUP($E23,'D-1 Off Site Habitat Baseline'!$D$1:$O$258,7,FALSE))))</f>
        <v/>
      </c>
      <c r="J23" s="520" t="str">
        <f>IF(E23="","",IF(ISNA(VLOOKUP($E23,'D-1 Off Site Habitat Baseline'!$D$1:$O$258,8,FALSE)),"",(VLOOKUP($E23,'D-1 Off Site Habitat Baseline'!$D$1:$O$258,8,FALSE))))</f>
        <v/>
      </c>
      <c r="K23" s="520" t="str">
        <f>IF(E23="","",IF(ISNA(VLOOKUP($E23,'D-1 Off Site Habitat Baseline'!$D$1:$O$258,9,FALSE)),"",(VLOOKUP($E23,'D-1 Off Site Habitat Baseline'!$D$1:$O$258,9,FALSE))))</f>
        <v/>
      </c>
      <c r="L23" s="520" t="str">
        <f>IF(E23="","",IF(ISNA(VLOOKUP($E23,'D-1 Off Site Habitat Baseline'!$D$1:$O$258,11,FALSE)),"",(VLOOKUP($E23,'D-1 Off Site Habitat Baseline'!$D$1:$O$258,11,FALSE))))</f>
        <v/>
      </c>
      <c r="M23" s="520" t="str">
        <f>IF(E23="","",IF(ISNA(VLOOKUP($E23,'D-1 Off Site Habitat Baseline'!$D$1:$O$258,12,FALSE)),"",(VLOOKUP($E23,'D-1 Off Site Habitat Baseline'!$D$1:$O$258,12,FALSE))))</f>
        <v/>
      </c>
      <c r="N23" s="520" t="str">
        <f>IF(E23="","",IF(ISNA(VLOOKUP($E23,'D-1 Off Site Habitat Baseline'!$D$1:$X$258,14,FALSE)),"",(VLOOKUP($E23,'D-1 Off Site Habitat Baseline'!$D$1:$X$258,14,FALSE))))</f>
        <v/>
      </c>
      <c r="O23" s="524" t="str">
        <f>IF(E23="","",IF(ISNA(VLOOKUP($E23,'D-1 Off Site Habitat Baseline'!$D$1:$X$258,13,FALSE)),"",(VLOOKUP($E23,'D-1 Off Site Habitat Baseline'!$D$1:$X$258,13,FALSE))))</f>
        <v/>
      </c>
      <c r="P23" s="232" t="str">
        <f>IFERROR(INDEX('G-1 All Habitats'!$AG$3:$AG$15,MATCH(Q23,'G-1 All Habitats'!$AF$3:$AF$15,0)),"")</f>
        <v/>
      </c>
      <c r="Q23" s="228" t="str">
        <f t="shared" si="12"/>
        <v/>
      </c>
      <c r="R23" s="229" t="str">
        <f t="shared" si="13"/>
        <v/>
      </c>
      <c r="S23" s="233" t="str">
        <f>IFERROR(INDEX('G-1 All Habitats'!$B$3:$B$129,MATCH(R23,'G-1 All Habitats'!$A$3:$A$129,0)),"")</f>
        <v/>
      </c>
      <c r="T23" s="507" t="str">
        <f t="shared" si="5"/>
        <v/>
      </c>
      <c r="U23" s="524" t="str">
        <f t="shared" si="6"/>
        <v/>
      </c>
      <c r="V23" s="523" t="str">
        <f t="shared" si="2"/>
        <v/>
      </c>
      <c r="W23" s="520" t="str">
        <f>IF(S23="","",VLOOKUP(S23,'G-1 All Habitats'!$B$2:$M$129,10,FALSE))</f>
        <v/>
      </c>
      <c r="X23" s="520" t="str">
        <f>IFERROR(VLOOKUP(W23,'G-1 All Habitats'!$V$3:$W$7,2,FALSE),"")</f>
        <v/>
      </c>
      <c r="Y23" s="203"/>
      <c r="Z23" s="524" t="str">
        <f>IFERROR(INDEX('G-8 Condition Look up'!$A$3:$H$130,MATCH(S23,'G-8 Condition Look up'!$A$3:$A$130,0),MATCH(Y23,'G-8 Condition Look up'!$A$3:$H$3,0)),"")</f>
        <v/>
      </c>
      <c r="AA23" s="145"/>
      <c r="AB23" s="540" t="str">
        <f>IF(AA23="","",IF(VLOOKUP(AA23,'G-3 Multipliers'!$L$3:$N$6,2,FALSE)=0,"Spatial Data Missing ⚠",VLOOKUP(AA23,'G-3 Multipliers'!$L$3:$N$6,2,FALSE)))</f>
        <v/>
      </c>
      <c r="AC23" s="524" t="str">
        <f>IF(AA23="","",IF(VLOOKUP(AA23,'G-3 Multipliers'!$L$3:$N$6,3,FALSE)=0,"Spatial Data Missing ⚠",VLOOKUP(AA23,'G-3 Multipliers'!$L$3:$N$6,3,FALSE)))</f>
        <v/>
      </c>
      <c r="AD23" s="537" t="str">
        <f t="shared" si="3"/>
        <v/>
      </c>
      <c r="AE23" s="203"/>
      <c r="AF23" s="203"/>
      <c r="AG23" s="520" t="str">
        <f t="shared" si="7"/>
        <v/>
      </c>
      <c r="AH23" s="544" t="str">
        <f t="shared" si="8"/>
        <v/>
      </c>
      <c r="AI23" s="525" t="str">
        <f>IF(AH23="Check Data ⚠","Check Data ⚠",IFERROR(VLOOKUP(AH23,'G-4 Temporal multipliers'!$A$4:$C$36,3,FALSE),""))</f>
        <v/>
      </c>
      <c r="AJ23" s="537" t="str">
        <f>IF(S23="","",VLOOKUP(S23,'G-3 Multipliers'!$A$2:$E$129,4,FALSE))</f>
        <v/>
      </c>
      <c r="AK23" s="520" t="str">
        <f t="shared" si="9"/>
        <v/>
      </c>
      <c r="AL23" s="520" t="str">
        <f t="shared" si="10"/>
        <v/>
      </c>
      <c r="AM23" s="524" t="str">
        <f>IFERROR(IF(F23="","",IF(AH23="Check Data ⚠","Check Data ⚠",VLOOKUP(AL23, 'G-3 Multipliers'!$P$2:$Q$6,2,FALSE))),"")</f>
        <v/>
      </c>
      <c r="AN23" s="197"/>
      <c r="AO23" s="540" t="str">
        <f>IF(AN23="","",IF(VLOOKUP(AN23,'G-3 Multipliers'!$S$3:$T$9,2,FALSE)=0,"Spatial Data Missing ⚠",VLOOKUP(AN23,'G-3 Multipliers'!$S$3:$T$9,2,FALSE)))</f>
        <v/>
      </c>
      <c r="AP23" s="513" t="str">
        <f t="shared" si="11"/>
        <v/>
      </c>
      <c r="AQ23" s="231"/>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7" t="str">
        <f>'D-1 Off Site Habitat Baseline'!AL23</f>
        <v/>
      </c>
      <c r="F24" s="520" t="str">
        <f>IF(E24="","",IF(ISNA(VLOOKUP($E24,'D-1 Off Site Habitat Baseline'!$D$1:$O$258,4,FALSE)),"",(VLOOKUP($E24,'D-1 Off Site Habitat Baseline'!$D$1:$O$258,4,FALSE))))</f>
        <v/>
      </c>
      <c r="G24" s="520" t="str">
        <f>IF(E24="","",IF(ISNA(VLOOKUP($E24,'D-1 Off Site Habitat Baseline'!$D$1:$O$258,5,FALSE)),"",(VLOOKUP($E24,'D-1 Off Site Habitat Baseline'!$D$1:$O$258,5,FALSE))))</f>
        <v/>
      </c>
      <c r="H24" s="520" t="str">
        <f>IF(E24="","",IF(ISNA(VLOOKUP($E24,'D-1 Off Site Habitat Baseline'!$D$1:$O$258,6,FALSE)),"",(VLOOKUP($E24,'D-1 Off Site Habitat Baseline'!$D$1:$O$258,6,FALSE))))</f>
        <v/>
      </c>
      <c r="I24" s="520" t="str">
        <f>IF(E24="","",IF(ISNA(VLOOKUP($E24,'D-1 Off Site Habitat Baseline'!$D$1:$O$258,7,FALSE)),"",(VLOOKUP($E24,'D-1 Off Site Habitat Baseline'!$D$1:$O$258,7,FALSE))))</f>
        <v/>
      </c>
      <c r="J24" s="520" t="str">
        <f>IF(E24="","",IF(ISNA(VLOOKUP($E24,'D-1 Off Site Habitat Baseline'!$D$1:$O$258,8,FALSE)),"",(VLOOKUP($E24,'D-1 Off Site Habitat Baseline'!$D$1:$O$258,8,FALSE))))</f>
        <v/>
      </c>
      <c r="K24" s="520" t="str">
        <f>IF(E24="","",IF(ISNA(VLOOKUP($E24,'D-1 Off Site Habitat Baseline'!$D$1:$O$258,9,FALSE)),"",(VLOOKUP($E24,'D-1 Off Site Habitat Baseline'!$D$1:$O$258,9,FALSE))))</f>
        <v/>
      </c>
      <c r="L24" s="520" t="str">
        <f>IF(E24="","",IF(ISNA(VLOOKUP($E24,'D-1 Off Site Habitat Baseline'!$D$1:$O$258,11,FALSE)),"",(VLOOKUP($E24,'D-1 Off Site Habitat Baseline'!$D$1:$O$258,11,FALSE))))</f>
        <v/>
      </c>
      <c r="M24" s="520" t="str">
        <f>IF(E24="","",IF(ISNA(VLOOKUP($E24,'D-1 Off Site Habitat Baseline'!$D$1:$O$258,12,FALSE)),"",(VLOOKUP($E24,'D-1 Off Site Habitat Baseline'!$D$1:$O$258,12,FALSE))))</f>
        <v/>
      </c>
      <c r="N24" s="520" t="str">
        <f>IF(E24="","",IF(ISNA(VLOOKUP($E24,'D-1 Off Site Habitat Baseline'!$D$1:$X$258,14,FALSE)),"",(VLOOKUP($E24,'D-1 Off Site Habitat Baseline'!$D$1:$X$258,14,FALSE))))</f>
        <v/>
      </c>
      <c r="O24" s="524" t="str">
        <f>IF(E24="","",IF(ISNA(VLOOKUP($E24,'D-1 Off Site Habitat Baseline'!$D$1:$X$258,13,FALSE)),"",(VLOOKUP($E24,'D-1 Off Site Habitat Baseline'!$D$1:$X$258,13,FALSE))))</f>
        <v/>
      </c>
      <c r="P24" s="232" t="str">
        <f>IFERROR(INDEX('G-1 All Habitats'!$AG$3:$AG$15,MATCH(Q24,'G-1 All Habitats'!$AF$3:$AF$15,0)),"")</f>
        <v/>
      </c>
      <c r="Q24" s="228" t="str">
        <f t="shared" si="12"/>
        <v/>
      </c>
      <c r="R24" s="229" t="str">
        <f t="shared" si="13"/>
        <v/>
      </c>
      <c r="S24" s="233" t="str">
        <f>IFERROR(INDEX('G-1 All Habitats'!$B$3:$B$129,MATCH(R24,'G-1 All Habitats'!$A$3:$A$129,0)),"")</f>
        <v/>
      </c>
      <c r="T24" s="507" t="str">
        <f t="shared" si="5"/>
        <v/>
      </c>
      <c r="U24" s="524" t="str">
        <f t="shared" si="6"/>
        <v/>
      </c>
      <c r="V24" s="523" t="str">
        <f t="shared" si="2"/>
        <v/>
      </c>
      <c r="W24" s="520" t="str">
        <f>IF(S24="","",VLOOKUP(S24,'G-1 All Habitats'!$B$2:$M$129,10,FALSE))</f>
        <v/>
      </c>
      <c r="X24" s="520" t="str">
        <f>IFERROR(VLOOKUP(W24,'G-1 All Habitats'!$V$3:$W$7,2,FALSE),"")</f>
        <v/>
      </c>
      <c r="Y24" s="203"/>
      <c r="Z24" s="524" t="str">
        <f>IFERROR(INDEX('G-8 Condition Look up'!$A$3:$H$130,MATCH(S24,'G-8 Condition Look up'!$A$3:$A$130,0),MATCH(Y24,'G-8 Condition Look up'!$A$3:$H$3,0)),"")</f>
        <v/>
      </c>
      <c r="AA24" s="145"/>
      <c r="AB24" s="540" t="str">
        <f>IF(AA24="","",IF(VLOOKUP(AA24,'G-3 Multipliers'!$L$3:$N$6,2,FALSE)=0,"Spatial Data Missing ⚠",VLOOKUP(AA24,'G-3 Multipliers'!$L$3:$N$6,2,FALSE)))</f>
        <v/>
      </c>
      <c r="AC24" s="524" t="str">
        <f>IF(AA24="","",IF(VLOOKUP(AA24,'G-3 Multipliers'!$L$3:$N$6,3,FALSE)=0,"Spatial Data Missing ⚠",VLOOKUP(AA24,'G-3 Multipliers'!$L$3:$N$6,3,FALSE)))</f>
        <v/>
      </c>
      <c r="AD24" s="537" t="str">
        <f t="shared" si="3"/>
        <v/>
      </c>
      <c r="AE24" s="203"/>
      <c r="AF24" s="203"/>
      <c r="AG24" s="520" t="str">
        <f t="shared" si="7"/>
        <v/>
      </c>
      <c r="AH24" s="544" t="str">
        <f t="shared" si="8"/>
        <v/>
      </c>
      <c r="AI24" s="525" t="str">
        <f>IF(AH24="Check Data ⚠","Check Data ⚠",IFERROR(VLOOKUP(AH24,'G-4 Temporal multipliers'!$A$4:$C$36,3,FALSE),""))</f>
        <v/>
      </c>
      <c r="AJ24" s="537" t="str">
        <f>IF(S24="","",VLOOKUP(S24,'G-3 Multipliers'!$A$2:$E$129,4,FALSE))</f>
        <v/>
      </c>
      <c r="AK24" s="520" t="str">
        <f t="shared" si="9"/>
        <v/>
      </c>
      <c r="AL24" s="520" t="str">
        <f t="shared" si="10"/>
        <v/>
      </c>
      <c r="AM24" s="524" t="str">
        <f>IFERROR(IF(F24="","",IF(AH24="Check Data ⚠","Check Data ⚠",VLOOKUP(AL24, 'G-3 Multipliers'!$P$2:$Q$6,2,FALSE))),"")</f>
        <v/>
      </c>
      <c r="AN24" s="197"/>
      <c r="AO24" s="540" t="str">
        <f>IF(AN24="","",IF(VLOOKUP(AN24,'G-3 Multipliers'!$S$3:$T$9,2,FALSE)=0,"Spatial Data Missing ⚠",VLOOKUP(AN24,'G-3 Multipliers'!$S$3:$T$9,2,FALSE)))</f>
        <v/>
      </c>
      <c r="AP24" s="513" t="str">
        <f t="shared" si="11"/>
        <v/>
      </c>
      <c r="AQ24" s="231"/>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7" t="str">
        <f>'D-1 Off Site Habitat Baseline'!AL24</f>
        <v/>
      </c>
      <c r="F25" s="520" t="str">
        <f>IF(E25="","",IF(ISNA(VLOOKUP($E25,'D-1 Off Site Habitat Baseline'!$D$1:$O$258,4,FALSE)),"",(VLOOKUP($E25,'D-1 Off Site Habitat Baseline'!$D$1:$O$258,4,FALSE))))</f>
        <v/>
      </c>
      <c r="G25" s="520" t="str">
        <f>IF(E25="","",IF(ISNA(VLOOKUP($E25,'D-1 Off Site Habitat Baseline'!$D$1:$O$258,5,FALSE)),"",(VLOOKUP($E25,'D-1 Off Site Habitat Baseline'!$D$1:$O$258,5,FALSE))))</f>
        <v/>
      </c>
      <c r="H25" s="520" t="str">
        <f>IF(E25="","",IF(ISNA(VLOOKUP($E25,'D-1 Off Site Habitat Baseline'!$D$1:$O$258,6,FALSE)),"",(VLOOKUP($E25,'D-1 Off Site Habitat Baseline'!$D$1:$O$258,6,FALSE))))</f>
        <v/>
      </c>
      <c r="I25" s="520" t="str">
        <f>IF(E25="","",IF(ISNA(VLOOKUP($E25,'D-1 Off Site Habitat Baseline'!$D$1:$O$258,7,FALSE)),"",(VLOOKUP($E25,'D-1 Off Site Habitat Baseline'!$D$1:$O$258,7,FALSE))))</f>
        <v/>
      </c>
      <c r="J25" s="520" t="str">
        <f>IF(E25="","",IF(ISNA(VLOOKUP($E25,'D-1 Off Site Habitat Baseline'!$D$1:$O$258,8,FALSE)),"",(VLOOKUP($E25,'D-1 Off Site Habitat Baseline'!$D$1:$O$258,8,FALSE))))</f>
        <v/>
      </c>
      <c r="K25" s="520" t="str">
        <f>IF(E25="","",IF(ISNA(VLOOKUP($E25,'D-1 Off Site Habitat Baseline'!$D$1:$O$258,9,FALSE)),"",(VLOOKUP($E25,'D-1 Off Site Habitat Baseline'!$D$1:$O$258,9,FALSE))))</f>
        <v/>
      </c>
      <c r="L25" s="520" t="str">
        <f>IF(E25="","",IF(ISNA(VLOOKUP($E25,'D-1 Off Site Habitat Baseline'!$D$1:$O$258,11,FALSE)),"",(VLOOKUP($E25,'D-1 Off Site Habitat Baseline'!$D$1:$O$258,11,FALSE))))</f>
        <v/>
      </c>
      <c r="M25" s="520" t="str">
        <f>IF(E25="","",IF(ISNA(VLOOKUP($E25,'D-1 Off Site Habitat Baseline'!$D$1:$O$258,12,FALSE)),"",(VLOOKUP($E25,'D-1 Off Site Habitat Baseline'!$D$1:$O$258,12,FALSE))))</f>
        <v/>
      </c>
      <c r="N25" s="520" t="str">
        <f>IF(E25="","",IF(ISNA(VLOOKUP($E25,'D-1 Off Site Habitat Baseline'!$D$1:$X$258,14,FALSE)),"",(VLOOKUP($E25,'D-1 Off Site Habitat Baseline'!$D$1:$X$258,14,FALSE))))</f>
        <v/>
      </c>
      <c r="O25" s="524" t="str">
        <f>IF(E25="","",IF(ISNA(VLOOKUP($E25,'D-1 Off Site Habitat Baseline'!$D$1:$X$258,13,FALSE)),"",(VLOOKUP($E25,'D-1 Off Site Habitat Baseline'!$D$1:$X$258,13,FALSE))))</f>
        <v/>
      </c>
      <c r="P25" s="232" t="str">
        <f>IFERROR(INDEX('G-1 All Habitats'!$AG$3:$AG$15,MATCH(Q25,'G-1 All Habitats'!$AF$3:$AF$15,0)),"")</f>
        <v/>
      </c>
      <c r="Q25" s="228" t="str">
        <f t="shared" si="12"/>
        <v/>
      </c>
      <c r="R25" s="229" t="str">
        <f t="shared" si="13"/>
        <v/>
      </c>
      <c r="S25" s="233" t="str">
        <f>IFERROR(INDEX('G-1 All Habitats'!$B$3:$B$129,MATCH(R25,'G-1 All Habitats'!$A$3:$A$129,0)),"")</f>
        <v/>
      </c>
      <c r="T25" s="507" t="str">
        <f t="shared" si="5"/>
        <v/>
      </c>
      <c r="U25" s="524" t="str">
        <f t="shared" si="6"/>
        <v/>
      </c>
      <c r="V25" s="523" t="str">
        <f t="shared" si="2"/>
        <v/>
      </c>
      <c r="W25" s="520" t="str">
        <f>IF(S25="","",VLOOKUP(S25,'G-1 All Habitats'!$B$2:$M$129,10,FALSE))</f>
        <v/>
      </c>
      <c r="X25" s="520" t="str">
        <f>IFERROR(VLOOKUP(W25,'G-1 All Habitats'!$V$3:$W$7,2,FALSE),"")</f>
        <v/>
      </c>
      <c r="Y25" s="203"/>
      <c r="Z25" s="524" t="str">
        <f>IFERROR(INDEX('G-8 Condition Look up'!$A$3:$H$130,MATCH(S25,'G-8 Condition Look up'!$A$3:$A$130,0),MATCH(Y25,'G-8 Condition Look up'!$A$3:$H$3,0)),"")</f>
        <v/>
      </c>
      <c r="AA25" s="145"/>
      <c r="AB25" s="540" t="str">
        <f>IF(AA25="","",IF(VLOOKUP(AA25,'G-3 Multipliers'!$L$3:$N$6,2,FALSE)=0,"Spatial Data Missing ⚠",VLOOKUP(AA25,'G-3 Multipliers'!$L$3:$N$6,2,FALSE)))</f>
        <v/>
      </c>
      <c r="AC25" s="524" t="str">
        <f>IF(AA25="","",IF(VLOOKUP(AA25,'G-3 Multipliers'!$L$3:$N$6,3,FALSE)=0,"Spatial Data Missing ⚠",VLOOKUP(AA25,'G-3 Multipliers'!$L$3:$N$6,3,FALSE)))</f>
        <v/>
      </c>
      <c r="AD25" s="537" t="str">
        <f t="shared" si="3"/>
        <v/>
      </c>
      <c r="AE25" s="203"/>
      <c r="AF25" s="203"/>
      <c r="AG25" s="520" t="str">
        <f t="shared" si="7"/>
        <v/>
      </c>
      <c r="AH25" s="544" t="str">
        <f t="shared" si="8"/>
        <v/>
      </c>
      <c r="AI25" s="525" t="str">
        <f>IF(AH25="Check Data ⚠","Check Data ⚠",IFERROR(VLOOKUP(AH25,'G-4 Temporal multipliers'!$A$4:$C$36,3,FALSE),""))</f>
        <v/>
      </c>
      <c r="AJ25" s="537" t="str">
        <f>IF(S25="","",VLOOKUP(S25,'G-3 Multipliers'!$A$2:$E$129,4,FALSE))</f>
        <v/>
      </c>
      <c r="AK25" s="520" t="str">
        <f t="shared" si="9"/>
        <v/>
      </c>
      <c r="AL25" s="520" t="str">
        <f t="shared" si="10"/>
        <v/>
      </c>
      <c r="AM25" s="524" t="str">
        <f>IFERROR(IF(F25="","",IF(AH25="Check Data ⚠","Check Data ⚠",VLOOKUP(AL25, 'G-3 Multipliers'!$P$2:$Q$6,2,FALSE))),"")</f>
        <v/>
      </c>
      <c r="AN25" s="197"/>
      <c r="AO25" s="540" t="str">
        <f>IF(AN25="","",IF(VLOOKUP(AN25,'G-3 Multipliers'!$S$3:$T$9,2,FALSE)=0,"Spatial Data Missing ⚠",VLOOKUP(AN25,'G-3 Multipliers'!$S$3:$T$9,2,FALSE)))</f>
        <v/>
      </c>
      <c r="AP25" s="513" t="str">
        <f t="shared" si="11"/>
        <v/>
      </c>
      <c r="AQ25" s="231"/>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7" t="str">
        <f>'D-1 Off Site Habitat Baseline'!AL25</f>
        <v/>
      </c>
      <c r="F26" s="520" t="str">
        <f>IF(E26="","",IF(ISNA(VLOOKUP($E26,'D-1 Off Site Habitat Baseline'!$D$1:$O$258,4,FALSE)),"",(VLOOKUP($E26,'D-1 Off Site Habitat Baseline'!$D$1:$O$258,4,FALSE))))</f>
        <v/>
      </c>
      <c r="G26" s="520" t="str">
        <f>IF(E26="","",IF(ISNA(VLOOKUP($E26,'D-1 Off Site Habitat Baseline'!$D$1:$O$258,5,FALSE)),"",(VLOOKUP($E26,'D-1 Off Site Habitat Baseline'!$D$1:$O$258,5,FALSE))))</f>
        <v/>
      </c>
      <c r="H26" s="520" t="str">
        <f>IF(E26="","",IF(ISNA(VLOOKUP($E26,'D-1 Off Site Habitat Baseline'!$D$1:$O$258,6,FALSE)),"",(VLOOKUP($E26,'D-1 Off Site Habitat Baseline'!$D$1:$O$258,6,FALSE))))</f>
        <v/>
      </c>
      <c r="I26" s="520" t="str">
        <f>IF(E26="","",IF(ISNA(VLOOKUP($E26,'D-1 Off Site Habitat Baseline'!$D$1:$O$258,7,FALSE)),"",(VLOOKUP($E26,'D-1 Off Site Habitat Baseline'!$D$1:$O$258,7,FALSE))))</f>
        <v/>
      </c>
      <c r="J26" s="520" t="str">
        <f>IF(E26="","",IF(ISNA(VLOOKUP($E26,'D-1 Off Site Habitat Baseline'!$D$1:$O$258,8,FALSE)),"",(VLOOKUP($E26,'D-1 Off Site Habitat Baseline'!$D$1:$O$258,8,FALSE))))</f>
        <v/>
      </c>
      <c r="K26" s="520" t="str">
        <f>IF(E26="","",IF(ISNA(VLOOKUP($E26,'D-1 Off Site Habitat Baseline'!$D$1:$O$258,9,FALSE)),"",(VLOOKUP($E26,'D-1 Off Site Habitat Baseline'!$D$1:$O$258,9,FALSE))))</f>
        <v/>
      </c>
      <c r="L26" s="520" t="str">
        <f>IF(E26="","",IF(ISNA(VLOOKUP($E26,'D-1 Off Site Habitat Baseline'!$D$1:$O$258,11,FALSE)),"",(VLOOKUP($E26,'D-1 Off Site Habitat Baseline'!$D$1:$O$258,11,FALSE))))</f>
        <v/>
      </c>
      <c r="M26" s="520" t="str">
        <f>IF(E26="","",IF(ISNA(VLOOKUP($E26,'D-1 Off Site Habitat Baseline'!$D$1:$O$258,12,FALSE)),"",(VLOOKUP($E26,'D-1 Off Site Habitat Baseline'!$D$1:$O$258,12,FALSE))))</f>
        <v/>
      </c>
      <c r="N26" s="520" t="str">
        <f>IF(E26="","",IF(ISNA(VLOOKUP($E26,'D-1 Off Site Habitat Baseline'!$D$1:$X$258,14,FALSE)),"",(VLOOKUP($E26,'D-1 Off Site Habitat Baseline'!$D$1:$X$258,14,FALSE))))</f>
        <v/>
      </c>
      <c r="O26" s="524" t="str">
        <f>IF(E26="","",IF(ISNA(VLOOKUP($E26,'D-1 Off Site Habitat Baseline'!$D$1:$X$258,13,FALSE)),"",(VLOOKUP($E26,'D-1 Off Site Habitat Baseline'!$D$1:$X$258,13,FALSE))))</f>
        <v/>
      </c>
      <c r="P26" s="232" t="str">
        <f>IFERROR(INDEX('G-1 All Habitats'!$AG$3:$AG$15,MATCH(Q26,'G-1 All Habitats'!$AF$3:$AF$15,0)),"")</f>
        <v/>
      </c>
      <c r="Q26" s="228" t="str">
        <f t="shared" si="12"/>
        <v/>
      </c>
      <c r="R26" s="229" t="str">
        <f t="shared" si="13"/>
        <v/>
      </c>
      <c r="S26" s="233" t="str">
        <f>IFERROR(INDEX('G-1 All Habitats'!$B$3:$B$129,MATCH(R26,'G-1 All Habitats'!$A$3:$A$129,0)),"")</f>
        <v/>
      </c>
      <c r="T26" s="507" t="str">
        <f t="shared" si="5"/>
        <v/>
      </c>
      <c r="U26" s="524" t="str">
        <f t="shared" si="6"/>
        <v/>
      </c>
      <c r="V26" s="523" t="str">
        <f t="shared" si="2"/>
        <v/>
      </c>
      <c r="W26" s="520" t="str">
        <f>IF(S26="","",VLOOKUP(S26,'G-1 All Habitats'!$B$2:$M$129,10,FALSE))</f>
        <v/>
      </c>
      <c r="X26" s="520" t="str">
        <f>IFERROR(VLOOKUP(W26,'G-1 All Habitats'!$V$3:$W$7,2,FALSE),"")</f>
        <v/>
      </c>
      <c r="Y26" s="203"/>
      <c r="Z26" s="524" t="str">
        <f>IFERROR(INDEX('G-8 Condition Look up'!$A$3:$H$130,MATCH(S26,'G-8 Condition Look up'!$A$3:$A$130,0),MATCH(Y26,'G-8 Condition Look up'!$A$3:$H$3,0)),"")</f>
        <v/>
      </c>
      <c r="AA26" s="145"/>
      <c r="AB26" s="540" t="str">
        <f>IF(AA26="","",IF(VLOOKUP(AA26,'G-3 Multipliers'!$L$3:$N$6,2,FALSE)=0,"Spatial Data Missing ⚠",VLOOKUP(AA26,'G-3 Multipliers'!$L$3:$N$6,2,FALSE)))</f>
        <v/>
      </c>
      <c r="AC26" s="524" t="str">
        <f>IF(AA26="","",IF(VLOOKUP(AA26,'G-3 Multipliers'!$L$3:$N$6,3,FALSE)=0,"Spatial Data Missing ⚠",VLOOKUP(AA26,'G-3 Multipliers'!$L$3:$N$6,3,FALSE)))</f>
        <v/>
      </c>
      <c r="AD26" s="537" t="str">
        <f t="shared" si="3"/>
        <v/>
      </c>
      <c r="AE26" s="203"/>
      <c r="AF26" s="203"/>
      <c r="AG26" s="520" t="str">
        <f t="shared" si="7"/>
        <v/>
      </c>
      <c r="AH26" s="544" t="str">
        <f t="shared" si="8"/>
        <v/>
      </c>
      <c r="AI26" s="525" t="str">
        <f>IF(AH26="Check Data ⚠","Check Data ⚠",IFERROR(VLOOKUP(AH26,'G-4 Temporal multipliers'!$A$4:$C$36,3,FALSE),""))</f>
        <v/>
      </c>
      <c r="AJ26" s="537" t="str">
        <f>IF(S26="","",VLOOKUP(S26,'G-3 Multipliers'!$A$2:$E$129,4,FALSE))</f>
        <v/>
      </c>
      <c r="AK26" s="520" t="str">
        <f t="shared" si="9"/>
        <v/>
      </c>
      <c r="AL26" s="520" t="str">
        <f t="shared" si="10"/>
        <v/>
      </c>
      <c r="AM26" s="524" t="str">
        <f>IFERROR(IF(F26="","",IF(AH26="Check Data ⚠","Check Data ⚠",VLOOKUP(AL26, 'G-3 Multipliers'!$P$2:$Q$6,2,FALSE))),"")</f>
        <v/>
      </c>
      <c r="AN26" s="197"/>
      <c r="AO26" s="540" t="str">
        <f>IF(AN26="","",IF(VLOOKUP(AN26,'G-3 Multipliers'!$S$3:$T$9,2,FALSE)=0,"Spatial Data Missing ⚠",VLOOKUP(AN26,'G-3 Multipliers'!$S$3:$T$9,2,FALSE)))</f>
        <v/>
      </c>
      <c r="AP26" s="513" t="str">
        <f t="shared" si="11"/>
        <v/>
      </c>
      <c r="AQ26" s="231"/>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7" t="str">
        <f>'D-1 Off Site Habitat Baseline'!AL26</f>
        <v/>
      </c>
      <c r="F27" s="520" t="str">
        <f>IF(E27="","",IF(ISNA(VLOOKUP($E27,'D-1 Off Site Habitat Baseline'!$D$1:$O$258,4,FALSE)),"",(VLOOKUP($E27,'D-1 Off Site Habitat Baseline'!$D$1:$O$258,4,FALSE))))</f>
        <v/>
      </c>
      <c r="G27" s="520" t="str">
        <f>IF(E27="","",IF(ISNA(VLOOKUP($E27,'D-1 Off Site Habitat Baseline'!$D$1:$O$258,5,FALSE)),"",(VLOOKUP($E27,'D-1 Off Site Habitat Baseline'!$D$1:$O$258,5,FALSE))))</f>
        <v/>
      </c>
      <c r="H27" s="520" t="str">
        <f>IF(E27="","",IF(ISNA(VLOOKUP($E27,'D-1 Off Site Habitat Baseline'!$D$1:$O$258,6,FALSE)),"",(VLOOKUP($E27,'D-1 Off Site Habitat Baseline'!$D$1:$O$258,6,FALSE))))</f>
        <v/>
      </c>
      <c r="I27" s="520" t="str">
        <f>IF(E27="","",IF(ISNA(VLOOKUP($E27,'D-1 Off Site Habitat Baseline'!$D$1:$O$258,7,FALSE)),"",(VLOOKUP($E27,'D-1 Off Site Habitat Baseline'!$D$1:$O$258,7,FALSE))))</f>
        <v/>
      </c>
      <c r="J27" s="520" t="str">
        <f>IF(E27="","",IF(ISNA(VLOOKUP($E27,'D-1 Off Site Habitat Baseline'!$D$1:$O$258,8,FALSE)),"",(VLOOKUP($E27,'D-1 Off Site Habitat Baseline'!$D$1:$O$258,8,FALSE))))</f>
        <v/>
      </c>
      <c r="K27" s="520" t="str">
        <f>IF(E27="","",IF(ISNA(VLOOKUP($E27,'D-1 Off Site Habitat Baseline'!$D$1:$O$258,9,FALSE)),"",(VLOOKUP($E27,'D-1 Off Site Habitat Baseline'!$D$1:$O$258,9,FALSE))))</f>
        <v/>
      </c>
      <c r="L27" s="520" t="str">
        <f>IF(E27="","",IF(ISNA(VLOOKUP($E27,'D-1 Off Site Habitat Baseline'!$D$1:$O$258,11,FALSE)),"",(VLOOKUP($E27,'D-1 Off Site Habitat Baseline'!$D$1:$O$258,11,FALSE))))</f>
        <v/>
      </c>
      <c r="M27" s="520" t="str">
        <f>IF(E27="","",IF(ISNA(VLOOKUP($E27,'D-1 Off Site Habitat Baseline'!$D$1:$O$258,12,FALSE)),"",(VLOOKUP($E27,'D-1 Off Site Habitat Baseline'!$D$1:$O$258,12,FALSE))))</f>
        <v/>
      </c>
      <c r="N27" s="520" t="str">
        <f>IF(E27="","",IF(ISNA(VLOOKUP($E27,'D-1 Off Site Habitat Baseline'!$D$1:$X$258,14,FALSE)),"",(VLOOKUP($E27,'D-1 Off Site Habitat Baseline'!$D$1:$X$258,14,FALSE))))</f>
        <v/>
      </c>
      <c r="O27" s="524" t="str">
        <f>IF(E27="","",IF(ISNA(VLOOKUP($E27,'D-1 Off Site Habitat Baseline'!$D$1:$X$258,13,FALSE)),"",(VLOOKUP($E27,'D-1 Off Site Habitat Baseline'!$D$1:$X$258,13,FALSE))))</f>
        <v/>
      </c>
      <c r="P27" s="232" t="str">
        <f>IFERROR(INDEX('G-1 All Habitats'!$AG$3:$AG$15,MATCH(Q27,'G-1 All Habitats'!$AF$3:$AF$15,0)),"")</f>
        <v/>
      </c>
      <c r="Q27" s="228" t="str">
        <f t="shared" si="12"/>
        <v/>
      </c>
      <c r="R27" s="229" t="str">
        <f t="shared" si="13"/>
        <v/>
      </c>
      <c r="S27" s="233" t="str">
        <f>IFERROR(INDEX('G-1 All Habitats'!$B$3:$B$129,MATCH(R27,'G-1 All Habitats'!$A$3:$A$129,0)),"")</f>
        <v/>
      </c>
      <c r="T27" s="507" t="str">
        <f t="shared" si="5"/>
        <v/>
      </c>
      <c r="U27" s="524" t="str">
        <f t="shared" si="6"/>
        <v/>
      </c>
      <c r="V27" s="523" t="str">
        <f t="shared" si="2"/>
        <v/>
      </c>
      <c r="W27" s="520" t="str">
        <f>IF(S27="","",VLOOKUP(S27,'G-1 All Habitats'!$B$2:$M$129,10,FALSE))</f>
        <v/>
      </c>
      <c r="X27" s="520" t="str">
        <f>IFERROR(VLOOKUP(W27,'G-1 All Habitats'!$V$3:$W$7,2,FALSE),"")</f>
        <v/>
      </c>
      <c r="Y27" s="203"/>
      <c r="Z27" s="524" t="str">
        <f>IFERROR(INDEX('G-8 Condition Look up'!$A$3:$H$130,MATCH(S27,'G-8 Condition Look up'!$A$3:$A$130,0),MATCH(Y27,'G-8 Condition Look up'!$A$3:$H$3,0)),"")</f>
        <v/>
      </c>
      <c r="AA27" s="145"/>
      <c r="AB27" s="540" t="str">
        <f>IF(AA27="","",IF(VLOOKUP(AA27,'G-3 Multipliers'!$L$3:$N$6,2,FALSE)=0,"Spatial Data Missing ⚠",VLOOKUP(AA27,'G-3 Multipliers'!$L$3:$N$6,2,FALSE)))</f>
        <v/>
      </c>
      <c r="AC27" s="524" t="str">
        <f>IF(AA27="","",IF(VLOOKUP(AA27,'G-3 Multipliers'!$L$3:$N$6,3,FALSE)=0,"Spatial Data Missing ⚠",VLOOKUP(AA27,'G-3 Multipliers'!$L$3:$N$6,3,FALSE)))</f>
        <v/>
      </c>
      <c r="AD27" s="537" t="str">
        <f t="shared" si="3"/>
        <v/>
      </c>
      <c r="AE27" s="203"/>
      <c r="AF27" s="203"/>
      <c r="AG27" s="520" t="str">
        <f t="shared" si="7"/>
        <v/>
      </c>
      <c r="AH27" s="544" t="str">
        <f t="shared" si="8"/>
        <v/>
      </c>
      <c r="AI27" s="525" t="str">
        <f>IF(AH27="Check Data ⚠","Check Data ⚠",IFERROR(VLOOKUP(AH27,'G-4 Temporal multipliers'!$A$4:$C$36,3,FALSE),""))</f>
        <v/>
      </c>
      <c r="AJ27" s="537" t="str">
        <f>IF(S27="","",VLOOKUP(S27,'G-3 Multipliers'!$A$2:$E$129,4,FALSE))</f>
        <v/>
      </c>
      <c r="AK27" s="520" t="str">
        <f t="shared" si="9"/>
        <v/>
      </c>
      <c r="AL27" s="520" t="str">
        <f t="shared" si="10"/>
        <v/>
      </c>
      <c r="AM27" s="524" t="str">
        <f>IFERROR(IF(F27="","",IF(AH27="Check Data ⚠","Check Data ⚠",VLOOKUP(AL27, 'G-3 Multipliers'!$P$2:$Q$6,2,FALSE))),"")</f>
        <v/>
      </c>
      <c r="AN27" s="197"/>
      <c r="AO27" s="540" t="str">
        <f>IF(AN27="","",IF(VLOOKUP(AN27,'G-3 Multipliers'!$S$3:$T$9,2,FALSE)=0,"Spatial Data Missing ⚠",VLOOKUP(AN27,'G-3 Multipliers'!$S$3:$T$9,2,FALSE)))</f>
        <v/>
      </c>
      <c r="AP27" s="513" t="str">
        <f t="shared" si="11"/>
        <v/>
      </c>
      <c r="AQ27" s="231"/>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7" t="str">
        <f>'D-1 Off Site Habitat Baseline'!AL27</f>
        <v/>
      </c>
      <c r="F28" s="520" t="str">
        <f>IF(E28="","",IF(ISNA(VLOOKUP($E28,'D-1 Off Site Habitat Baseline'!$D$1:$O$258,4,FALSE)),"",(VLOOKUP($E28,'D-1 Off Site Habitat Baseline'!$D$1:$O$258,4,FALSE))))</f>
        <v/>
      </c>
      <c r="G28" s="520" t="str">
        <f>IF(E28="","",IF(ISNA(VLOOKUP($E28,'D-1 Off Site Habitat Baseline'!$D$1:$O$258,5,FALSE)),"",(VLOOKUP($E28,'D-1 Off Site Habitat Baseline'!$D$1:$O$258,5,FALSE))))</f>
        <v/>
      </c>
      <c r="H28" s="520" t="str">
        <f>IF(E28="","",IF(ISNA(VLOOKUP($E28,'D-1 Off Site Habitat Baseline'!$D$1:$O$258,6,FALSE)),"",(VLOOKUP($E28,'D-1 Off Site Habitat Baseline'!$D$1:$O$258,6,FALSE))))</f>
        <v/>
      </c>
      <c r="I28" s="520" t="str">
        <f>IF(E28="","",IF(ISNA(VLOOKUP($E28,'D-1 Off Site Habitat Baseline'!$D$1:$O$258,7,FALSE)),"",(VLOOKUP($E28,'D-1 Off Site Habitat Baseline'!$D$1:$O$258,7,FALSE))))</f>
        <v/>
      </c>
      <c r="J28" s="520" t="str">
        <f>IF(E28="","",IF(ISNA(VLOOKUP($E28,'D-1 Off Site Habitat Baseline'!$D$1:$O$258,8,FALSE)),"",(VLOOKUP($E28,'D-1 Off Site Habitat Baseline'!$D$1:$O$258,8,FALSE))))</f>
        <v/>
      </c>
      <c r="K28" s="520" t="str">
        <f>IF(E28="","",IF(ISNA(VLOOKUP($E28,'D-1 Off Site Habitat Baseline'!$D$1:$O$258,9,FALSE)),"",(VLOOKUP($E28,'D-1 Off Site Habitat Baseline'!$D$1:$O$258,9,FALSE))))</f>
        <v/>
      </c>
      <c r="L28" s="520" t="str">
        <f>IF(E28="","",IF(ISNA(VLOOKUP($E28,'D-1 Off Site Habitat Baseline'!$D$1:$O$258,11,FALSE)),"",(VLOOKUP($E28,'D-1 Off Site Habitat Baseline'!$D$1:$O$258,11,FALSE))))</f>
        <v/>
      </c>
      <c r="M28" s="520" t="str">
        <f>IF(E28="","",IF(ISNA(VLOOKUP($E28,'D-1 Off Site Habitat Baseline'!$D$1:$O$258,12,FALSE)),"",(VLOOKUP($E28,'D-1 Off Site Habitat Baseline'!$D$1:$O$258,12,FALSE))))</f>
        <v/>
      </c>
      <c r="N28" s="520" t="str">
        <f>IF(E28="","",IF(ISNA(VLOOKUP($E28,'D-1 Off Site Habitat Baseline'!$D$1:$X$258,14,FALSE)),"",(VLOOKUP($E28,'D-1 Off Site Habitat Baseline'!$D$1:$X$258,14,FALSE))))</f>
        <v/>
      </c>
      <c r="O28" s="524" t="str">
        <f>IF(E28="","",IF(ISNA(VLOOKUP($E28,'D-1 Off Site Habitat Baseline'!$D$1:$X$258,13,FALSE)),"",(VLOOKUP($E28,'D-1 Off Site Habitat Baseline'!$D$1:$X$258,13,FALSE))))</f>
        <v/>
      </c>
      <c r="P28" s="232" t="str">
        <f>IFERROR(INDEX('G-1 All Habitats'!$AG$3:$AG$15,MATCH(Q28,'G-1 All Habitats'!$AF$3:$AF$15,0)),"")</f>
        <v/>
      </c>
      <c r="Q28" s="228" t="str">
        <f t="shared" si="12"/>
        <v/>
      </c>
      <c r="R28" s="229" t="str">
        <f t="shared" si="13"/>
        <v/>
      </c>
      <c r="S28" s="233" t="str">
        <f>IFERROR(INDEX('G-1 All Habitats'!$B$3:$B$129,MATCH(R28,'G-1 All Habitats'!$A$3:$A$129,0)),"")</f>
        <v/>
      </c>
      <c r="T28" s="507" t="str">
        <f t="shared" si="5"/>
        <v/>
      </c>
      <c r="U28" s="524" t="str">
        <f t="shared" si="6"/>
        <v/>
      </c>
      <c r="V28" s="523" t="str">
        <f t="shared" si="2"/>
        <v/>
      </c>
      <c r="W28" s="520" t="str">
        <f>IF(S28="","",VLOOKUP(S28,'G-1 All Habitats'!$B$2:$M$129,10,FALSE))</f>
        <v/>
      </c>
      <c r="X28" s="520" t="str">
        <f>IFERROR(VLOOKUP(W28,'G-1 All Habitats'!$V$3:$W$7,2,FALSE),"")</f>
        <v/>
      </c>
      <c r="Y28" s="203"/>
      <c r="Z28" s="524" t="str">
        <f>IFERROR(INDEX('G-8 Condition Look up'!$A$3:$H$130,MATCH(S28,'G-8 Condition Look up'!$A$3:$A$130,0),MATCH(Y28,'G-8 Condition Look up'!$A$3:$H$3,0)),"")</f>
        <v/>
      </c>
      <c r="AA28" s="145"/>
      <c r="AB28" s="540" t="str">
        <f>IF(AA28="","",IF(VLOOKUP(AA28,'G-3 Multipliers'!$L$3:$N$6,2,FALSE)=0,"Spatial Data Missing ⚠",VLOOKUP(AA28,'G-3 Multipliers'!$L$3:$N$6,2,FALSE)))</f>
        <v/>
      </c>
      <c r="AC28" s="524" t="str">
        <f>IF(AA28="","",IF(VLOOKUP(AA28,'G-3 Multipliers'!$L$3:$N$6,3,FALSE)=0,"Spatial Data Missing ⚠",VLOOKUP(AA28,'G-3 Multipliers'!$L$3:$N$6,3,FALSE)))</f>
        <v/>
      </c>
      <c r="AD28" s="537" t="str">
        <f t="shared" si="3"/>
        <v/>
      </c>
      <c r="AE28" s="203"/>
      <c r="AF28" s="203"/>
      <c r="AG28" s="520" t="str">
        <f t="shared" si="7"/>
        <v/>
      </c>
      <c r="AH28" s="544" t="str">
        <f t="shared" si="8"/>
        <v/>
      </c>
      <c r="AI28" s="525" t="str">
        <f>IF(AH28="Check Data ⚠","Check Data ⚠",IFERROR(VLOOKUP(AH28,'G-4 Temporal multipliers'!$A$4:$C$36,3,FALSE),""))</f>
        <v/>
      </c>
      <c r="AJ28" s="537" t="str">
        <f>IF(S28="","",VLOOKUP(S28,'G-3 Multipliers'!$A$2:$E$129,4,FALSE))</f>
        <v/>
      </c>
      <c r="AK28" s="520" t="str">
        <f t="shared" si="9"/>
        <v/>
      </c>
      <c r="AL28" s="520" t="str">
        <f t="shared" si="10"/>
        <v/>
      </c>
      <c r="AM28" s="524" t="str">
        <f>IFERROR(IF(F28="","",IF(AH28="Check Data ⚠","Check Data ⚠",VLOOKUP(AL28, 'G-3 Multipliers'!$P$2:$Q$6,2,FALSE))),"")</f>
        <v/>
      </c>
      <c r="AN28" s="197"/>
      <c r="AO28" s="540" t="str">
        <f>IF(AN28="","",IF(VLOOKUP(AN28,'G-3 Multipliers'!$S$3:$T$9,2,FALSE)=0,"Spatial Data Missing ⚠",VLOOKUP(AN28,'G-3 Multipliers'!$S$3:$T$9,2,FALSE)))</f>
        <v/>
      </c>
      <c r="AP28" s="513" t="str">
        <f t="shared" si="11"/>
        <v/>
      </c>
      <c r="AQ28" s="231"/>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7" t="str">
        <f>'D-1 Off Site Habitat Baseline'!AL28</f>
        <v/>
      </c>
      <c r="F29" s="520" t="str">
        <f>IF(E29="","",IF(ISNA(VLOOKUP($E29,'D-1 Off Site Habitat Baseline'!$D$1:$O$258,4,FALSE)),"",(VLOOKUP($E29,'D-1 Off Site Habitat Baseline'!$D$1:$O$258,4,FALSE))))</f>
        <v/>
      </c>
      <c r="G29" s="520" t="str">
        <f>IF(E29="","",IF(ISNA(VLOOKUP($E29,'D-1 Off Site Habitat Baseline'!$D$1:$O$258,5,FALSE)),"",(VLOOKUP($E29,'D-1 Off Site Habitat Baseline'!$D$1:$O$258,5,FALSE))))</f>
        <v/>
      </c>
      <c r="H29" s="520" t="str">
        <f>IF(E29="","",IF(ISNA(VLOOKUP($E29,'D-1 Off Site Habitat Baseline'!$D$1:$O$258,6,FALSE)),"",(VLOOKUP($E29,'D-1 Off Site Habitat Baseline'!$D$1:$O$258,6,FALSE))))</f>
        <v/>
      </c>
      <c r="I29" s="520" t="str">
        <f>IF(E29="","",IF(ISNA(VLOOKUP($E29,'D-1 Off Site Habitat Baseline'!$D$1:$O$258,7,FALSE)),"",(VLOOKUP($E29,'D-1 Off Site Habitat Baseline'!$D$1:$O$258,7,FALSE))))</f>
        <v/>
      </c>
      <c r="J29" s="520" t="str">
        <f>IF(E29="","",IF(ISNA(VLOOKUP($E29,'D-1 Off Site Habitat Baseline'!$D$1:$O$258,8,FALSE)),"",(VLOOKUP($E29,'D-1 Off Site Habitat Baseline'!$D$1:$O$258,8,FALSE))))</f>
        <v/>
      </c>
      <c r="K29" s="520" t="str">
        <f>IF(E29="","",IF(ISNA(VLOOKUP($E29,'D-1 Off Site Habitat Baseline'!$D$1:$O$258,9,FALSE)),"",(VLOOKUP($E29,'D-1 Off Site Habitat Baseline'!$D$1:$O$258,9,FALSE))))</f>
        <v/>
      </c>
      <c r="L29" s="520" t="str">
        <f>IF(E29="","",IF(ISNA(VLOOKUP($E29,'D-1 Off Site Habitat Baseline'!$D$1:$O$258,11,FALSE)),"",(VLOOKUP($E29,'D-1 Off Site Habitat Baseline'!$D$1:$O$258,11,FALSE))))</f>
        <v/>
      </c>
      <c r="M29" s="520" t="str">
        <f>IF(E29="","",IF(ISNA(VLOOKUP($E29,'D-1 Off Site Habitat Baseline'!$D$1:$O$258,12,FALSE)),"",(VLOOKUP($E29,'D-1 Off Site Habitat Baseline'!$D$1:$O$258,12,FALSE))))</f>
        <v/>
      </c>
      <c r="N29" s="520" t="str">
        <f>IF(E29="","",IF(ISNA(VLOOKUP($E29,'D-1 Off Site Habitat Baseline'!$D$1:$X$258,14,FALSE)),"",(VLOOKUP($E29,'D-1 Off Site Habitat Baseline'!$D$1:$X$258,14,FALSE))))</f>
        <v/>
      </c>
      <c r="O29" s="524" t="str">
        <f>IF(E29="","",IF(ISNA(VLOOKUP($E29,'D-1 Off Site Habitat Baseline'!$D$1:$X$258,13,FALSE)),"",(VLOOKUP($E29,'D-1 Off Site Habitat Baseline'!$D$1:$X$258,13,FALSE))))</f>
        <v/>
      </c>
      <c r="P29" s="232" t="str">
        <f>IFERROR(INDEX('G-1 All Habitats'!$AG$3:$AG$15,MATCH(Q29,'G-1 All Habitats'!$AF$3:$AF$15,0)),"")</f>
        <v/>
      </c>
      <c r="Q29" s="228" t="str">
        <f t="shared" si="12"/>
        <v/>
      </c>
      <c r="R29" s="229" t="str">
        <f t="shared" si="13"/>
        <v/>
      </c>
      <c r="S29" s="233" t="str">
        <f>IFERROR(INDEX('G-1 All Habitats'!$B$3:$B$129,MATCH(R29,'G-1 All Habitats'!$A$3:$A$129,0)),"")</f>
        <v/>
      </c>
      <c r="T29" s="507" t="str">
        <f t="shared" si="5"/>
        <v/>
      </c>
      <c r="U29" s="524" t="str">
        <f t="shared" si="6"/>
        <v/>
      </c>
      <c r="V29" s="523" t="str">
        <f t="shared" si="2"/>
        <v/>
      </c>
      <c r="W29" s="520" t="str">
        <f>IF(S29="","",VLOOKUP(S29,'G-1 All Habitats'!$B$2:$M$129,10,FALSE))</f>
        <v/>
      </c>
      <c r="X29" s="520" t="str">
        <f>IFERROR(VLOOKUP(W29,'G-1 All Habitats'!$V$3:$W$7,2,FALSE),"")</f>
        <v/>
      </c>
      <c r="Y29" s="203"/>
      <c r="Z29" s="524" t="str">
        <f>IFERROR(INDEX('G-8 Condition Look up'!$A$3:$H$130,MATCH(S29,'G-8 Condition Look up'!$A$3:$A$130,0),MATCH(Y29,'G-8 Condition Look up'!$A$3:$H$3,0)),"")</f>
        <v/>
      </c>
      <c r="AA29" s="145"/>
      <c r="AB29" s="540" t="str">
        <f>IF(AA29="","",IF(VLOOKUP(AA29,'G-3 Multipliers'!$L$3:$N$6,2,FALSE)=0,"Spatial Data Missing ⚠",VLOOKUP(AA29,'G-3 Multipliers'!$L$3:$N$6,2,FALSE)))</f>
        <v/>
      </c>
      <c r="AC29" s="524" t="str">
        <f>IF(AA29="","",IF(VLOOKUP(AA29,'G-3 Multipliers'!$L$3:$N$6,3,FALSE)=0,"Spatial Data Missing ⚠",VLOOKUP(AA29,'G-3 Multipliers'!$L$3:$N$6,3,FALSE)))</f>
        <v/>
      </c>
      <c r="AD29" s="537" t="str">
        <f t="shared" si="3"/>
        <v/>
      </c>
      <c r="AE29" s="203"/>
      <c r="AF29" s="203"/>
      <c r="AG29" s="520" t="str">
        <f t="shared" si="7"/>
        <v/>
      </c>
      <c r="AH29" s="544" t="str">
        <f t="shared" si="8"/>
        <v/>
      </c>
      <c r="AI29" s="525" t="str">
        <f>IF(AH29="Check Data ⚠","Check Data ⚠",IFERROR(VLOOKUP(AH29,'G-4 Temporal multipliers'!$A$4:$C$36,3,FALSE),""))</f>
        <v/>
      </c>
      <c r="AJ29" s="537" t="str">
        <f>IF(S29="","",VLOOKUP(S29,'G-3 Multipliers'!$A$2:$E$129,4,FALSE))</f>
        <v/>
      </c>
      <c r="AK29" s="520" t="str">
        <f t="shared" si="9"/>
        <v/>
      </c>
      <c r="AL29" s="520" t="str">
        <f t="shared" si="10"/>
        <v/>
      </c>
      <c r="AM29" s="524" t="str">
        <f>IFERROR(IF(F29="","",IF(AH29="Check Data ⚠","Check Data ⚠",VLOOKUP(AL29, 'G-3 Multipliers'!$P$2:$Q$6,2,FALSE))),"")</f>
        <v/>
      </c>
      <c r="AN29" s="197"/>
      <c r="AO29" s="540" t="str">
        <f>IF(AN29="","",IF(VLOOKUP(AN29,'G-3 Multipliers'!$S$3:$T$9,2,FALSE)=0,"Spatial Data Missing ⚠",VLOOKUP(AN29,'G-3 Multipliers'!$S$3:$T$9,2,FALSE)))</f>
        <v/>
      </c>
      <c r="AP29" s="513" t="str">
        <f t="shared" si="11"/>
        <v/>
      </c>
      <c r="AQ29" s="231"/>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7" t="str">
        <f>'D-1 Off Site Habitat Baseline'!AL29</f>
        <v/>
      </c>
      <c r="F30" s="520" t="str">
        <f>IF(E30="","",IF(ISNA(VLOOKUP($E30,'D-1 Off Site Habitat Baseline'!$D$1:$O$258,4,FALSE)),"",(VLOOKUP($E30,'D-1 Off Site Habitat Baseline'!$D$1:$O$258,4,FALSE))))</f>
        <v/>
      </c>
      <c r="G30" s="520" t="str">
        <f>IF(E30="","",IF(ISNA(VLOOKUP($E30,'D-1 Off Site Habitat Baseline'!$D$1:$O$258,5,FALSE)),"",(VLOOKUP($E30,'D-1 Off Site Habitat Baseline'!$D$1:$O$258,5,FALSE))))</f>
        <v/>
      </c>
      <c r="H30" s="520" t="str">
        <f>IF(E30="","",IF(ISNA(VLOOKUP($E30,'D-1 Off Site Habitat Baseline'!$D$1:$O$258,6,FALSE)),"",(VLOOKUP($E30,'D-1 Off Site Habitat Baseline'!$D$1:$O$258,6,FALSE))))</f>
        <v/>
      </c>
      <c r="I30" s="520" t="str">
        <f>IF(E30="","",IF(ISNA(VLOOKUP($E30,'D-1 Off Site Habitat Baseline'!$D$1:$O$258,7,FALSE)),"",(VLOOKUP($E30,'D-1 Off Site Habitat Baseline'!$D$1:$O$258,7,FALSE))))</f>
        <v/>
      </c>
      <c r="J30" s="520" t="str">
        <f>IF(E30="","",IF(ISNA(VLOOKUP($E30,'D-1 Off Site Habitat Baseline'!$D$1:$O$258,8,FALSE)),"",(VLOOKUP($E30,'D-1 Off Site Habitat Baseline'!$D$1:$O$258,8,FALSE))))</f>
        <v/>
      </c>
      <c r="K30" s="520" t="str">
        <f>IF(E30="","",IF(ISNA(VLOOKUP($E30,'D-1 Off Site Habitat Baseline'!$D$1:$O$258,9,FALSE)),"",(VLOOKUP($E30,'D-1 Off Site Habitat Baseline'!$D$1:$O$258,9,FALSE))))</f>
        <v/>
      </c>
      <c r="L30" s="520" t="str">
        <f>IF(E30="","",IF(ISNA(VLOOKUP($E30,'D-1 Off Site Habitat Baseline'!$D$1:$O$258,11,FALSE)),"",(VLOOKUP($E30,'D-1 Off Site Habitat Baseline'!$D$1:$O$258,11,FALSE))))</f>
        <v/>
      </c>
      <c r="M30" s="520" t="str">
        <f>IF(E30="","",IF(ISNA(VLOOKUP($E30,'D-1 Off Site Habitat Baseline'!$D$1:$O$258,12,FALSE)),"",(VLOOKUP($E30,'D-1 Off Site Habitat Baseline'!$D$1:$O$258,12,FALSE))))</f>
        <v/>
      </c>
      <c r="N30" s="520" t="str">
        <f>IF(E30="","",IF(ISNA(VLOOKUP($E30,'D-1 Off Site Habitat Baseline'!$D$1:$X$258,14,FALSE)),"",(VLOOKUP($E30,'D-1 Off Site Habitat Baseline'!$D$1:$X$258,14,FALSE))))</f>
        <v/>
      </c>
      <c r="O30" s="524" t="str">
        <f>IF(E30="","",IF(ISNA(VLOOKUP($E30,'D-1 Off Site Habitat Baseline'!$D$1:$X$258,13,FALSE)),"",(VLOOKUP($E30,'D-1 Off Site Habitat Baseline'!$D$1:$X$258,13,FALSE))))</f>
        <v/>
      </c>
      <c r="P30" s="232" t="str">
        <f>IFERROR(INDEX('G-1 All Habitats'!$AG$3:$AG$15,MATCH(Q30,'G-1 All Habitats'!$AF$3:$AF$15,0)),"")</f>
        <v/>
      </c>
      <c r="Q30" s="228" t="str">
        <f t="shared" si="12"/>
        <v/>
      </c>
      <c r="R30" s="229" t="str">
        <f t="shared" si="13"/>
        <v/>
      </c>
      <c r="S30" s="233" t="str">
        <f>IFERROR(INDEX('G-1 All Habitats'!$B$3:$B$129,MATCH(R30,'G-1 All Habitats'!$A$3:$A$129,0)),"")</f>
        <v/>
      </c>
      <c r="T30" s="507" t="str">
        <f t="shared" si="5"/>
        <v/>
      </c>
      <c r="U30" s="524" t="str">
        <f t="shared" si="6"/>
        <v/>
      </c>
      <c r="V30" s="523" t="str">
        <f t="shared" si="2"/>
        <v/>
      </c>
      <c r="W30" s="520" t="str">
        <f>IF(S30="","",VLOOKUP(S30,'G-1 All Habitats'!$B$2:$M$129,10,FALSE))</f>
        <v/>
      </c>
      <c r="X30" s="520" t="str">
        <f>IFERROR(VLOOKUP(W30,'G-1 All Habitats'!$V$3:$W$7,2,FALSE),"")</f>
        <v/>
      </c>
      <c r="Y30" s="203"/>
      <c r="Z30" s="524" t="str">
        <f>IFERROR(INDEX('G-8 Condition Look up'!$A$3:$H$130,MATCH(S30,'G-8 Condition Look up'!$A$3:$A$130,0),MATCH(Y30,'G-8 Condition Look up'!$A$3:$H$3,0)),"")</f>
        <v/>
      </c>
      <c r="AA30" s="145"/>
      <c r="AB30" s="540" t="str">
        <f>IF(AA30="","",IF(VLOOKUP(AA30,'G-3 Multipliers'!$L$3:$N$6,2,FALSE)=0,"Spatial Data Missing ⚠",VLOOKUP(AA30,'G-3 Multipliers'!$L$3:$N$6,2,FALSE)))</f>
        <v/>
      </c>
      <c r="AC30" s="524" t="str">
        <f>IF(AA30="","",IF(VLOOKUP(AA30,'G-3 Multipliers'!$L$3:$N$6,3,FALSE)=0,"Spatial Data Missing ⚠",VLOOKUP(AA30,'G-3 Multipliers'!$L$3:$N$6,3,FALSE)))</f>
        <v/>
      </c>
      <c r="AD30" s="537" t="str">
        <f t="shared" si="3"/>
        <v/>
      </c>
      <c r="AE30" s="203"/>
      <c r="AF30" s="203"/>
      <c r="AG30" s="520" t="str">
        <f t="shared" si="7"/>
        <v/>
      </c>
      <c r="AH30" s="544" t="str">
        <f t="shared" si="8"/>
        <v/>
      </c>
      <c r="AI30" s="525" t="str">
        <f>IF(AH30="Check Data ⚠","Check Data ⚠",IFERROR(VLOOKUP(AH30,'G-4 Temporal multipliers'!$A$4:$C$36,3,FALSE),""))</f>
        <v/>
      </c>
      <c r="AJ30" s="537" t="str">
        <f>IF(S30="","",VLOOKUP(S30,'G-3 Multipliers'!$A$2:$E$129,4,FALSE))</f>
        <v/>
      </c>
      <c r="AK30" s="520" t="str">
        <f t="shared" si="9"/>
        <v/>
      </c>
      <c r="AL30" s="520" t="str">
        <f t="shared" si="10"/>
        <v/>
      </c>
      <c r="AM30" s="524" t="str">
        <f>IFERROR(IF(F30="","",IF(AH30="Check Data ⚠","Check Data ⚠",VLOOKUP(AL30, 'G-3 Multipliers'!$P$2:$Q$6,2,FALSE))),"")</f>
        <v/>
      </c>
      <c r="AN30" s="197"/>
      <c r="AO30" s="540" t="str">
        <f>IF(AN30="","",IF(VLOOKUP(AN30,'G-3 Multipliers'!$S$3:$T$9,2,FALSE)=0,"Spatial Data Missing ⚠",VLOOKUP(AN30,'G-3 Multipliers'!$S$3:$T$9,2,FALSE)))</f>
        <v/>
      </c>
      <c r="AP30" s="513" t="str">
        <f t="shared" si="11"/>
        <v/>
      </c>
      <c r="AQ30" s="231"/>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7" t="str">
        <f>'D-1 Off Site Habitat Baseline'!AL30</f>
        <v/>
      </c>
      <c r="F31" s="520" t="str">
        <f>IF(E31="","",IF(ISNA(VLOOKUP($E31,'D-1 Off Site Habitat Baseline'!$D$1:$O$258,4,FALSE)),"",(VLOOKUP($E31,'D-1 Off Site Habitat Baseline'!$D$1:$O$258,4,FALSE))))</f>
        <v/>
      </c>
      <c r="G31" s="520" t="str">
        <f>IF(E31="","",IF(ISNA(VLOOKUP($E31,'D-1 Off Site Habitat Baseline'!$D$1:$O$258,5,FALSE)),"",(VLOOKUP($E31,'D-1 Off Site Habitat Baseline'!$D$1:$O$258,5,FALSE))))</f>
        <v/>
      </c>
      <c r="H31" s="520" t="str">
        <f>IF(E31="","",IF(ISNA(VLOOKUP($E31,'D-1 Off Site Habitat Baseline'!$D$1:$O$258,6,FALSE)),"",(VLOOKUP($E31,'D-1 Off Site Habitat Baseline'!$D$1:$O$258,6,FALSE))))</f>
        <v/>
      </c>
      <c r="I31" s="520" t="str">
        <f>IF(E31="","",IF(ISNA(VLOOKUP($E31,'D-1 Off Site Habitat Baseline'!$D$1:$O$258,7,FALSE)),"",(VLOOKUP($E31,'D-1 Off Site Habitat Baseline'!$D$1:$O$258,7,FALSE))))</f>
        <v/>
      </c>
      <c r="J31" s="520" t="str">
        <f>IF(E31="","",IF(ISNA(VLOOKUP($E31,'D-1 Off Site Habitat Baseline'!$D$1:$O$258,8,FALSE)),"",(VLOOKUP($E31,'D-1 Off Site Habitat Baseline'!$D$1:$O$258,8,FALSE))))</f>
        <v/>
      </c>
      <c r="K31" s="520" t="str">
        <f>IF(E31="","",IF(ISNA(VLOOKUP($E31,'D-1 Off Site Habitat Baseline'!$D$1:$O$258,9,FALSE)),"",(VLOOKUP($E31,'D-1 Off Site Habitat Baseline'!$D$1:$O$258,9,FALSE))))</f>
        <v/>
      </c>
      <c r="L31" s="520" t="str">
        <f>IF(E31="","",IF(ISNA(VLOOKUP($E31,'D-1 Off Site Habitat Baseline'!$D$1:$O$258,11,FALSE)),"",(VLOOKUP($E31,'D-1 Off Site Habitat Baseline'!$D$1:$O$258,11,FALSE))))</f>
        <v/>
      </c>
      <c r="M31" s="520" t="str">
        <f>IF(E31="","",IF(ISNA(VLOOKUP($E31,'D-1 Off Site Habitat Baseline'!$D$1:$O$258,12,FALSE)),"",(VLOOKUP($E31,'D-1 Off Site Habitat Baseline'!$D$1:$O$258,12,FALSE))))</f>
        <v/>
      </c>
      <c r="N31" s="520" t="str">
        <f>IF(E31="","",IF(ISNA(VLOOKUP($E31,'D-1 Off Site Habitat Baseline'!$D$1:$X$258,14,FALSE)),"",(VLOOKUP($E31,'D-1 Off Site Habitat Baseline'!$D$1:$X$258,14,FALSE))))</f>
        <v/>
      </c>
      <c r="O31" s="524" t="str">
        <f>IF(E31="","",IF(ISNA(VLOOKUP($E31,'D-1 Off Site Habitat Baseline'!$D$1:$X$258,13,FALSE)),"",(VLOOKUP($E31,'D-1 Off Site Habitat Baseline'!$D$1:$X$258,13,FALSE))))</f>
        <v/>
      </c>
      <c r="P31" s="232" t="str">
        <f>IFERROR(INDEX('G-1 All Habitats'!$AG$3:$AG$15,MATCH(Q31,'G-1 All Habitats'!$AF$3:$AF$15,0)),"")</f>
        <v/>
      </c>
      <c r="Q31" s="228" t="str">
        <f t="shared" si="12"/>
        <v/>
      </c>
      <c r="R31" s="229" t="str">
        <f t="shared" si="13"/>
        <v/>
      </c>
      <c r="S31" s="233" t="str">
        <f>IFERROR(INDEX('G-1 All Habitats'!$B$3:$B$129,MATCH(R31,'G-1 All Habitats'!$A$3:$A$129,0)),"")</f>
        <v/>
      </c>
      <c r="T31" s="507" t="str">
        <f t="shared" si="5"/>
        <v/>
      </c>
      <c r="U31" s="524" t="str">
        <f t="shared" si="6"/>
        <v/>
      </c>
      <c r="V31" s="523" t="str">
        <f t="shared" si="2"/>
        <v/>
      </c>
      <c r="W31" s="520" t="str">
        <f>IF(S31="","",VLOOKUP(S31,'G-1 All Habitats'!$B$2:$M$129,10,FALSE))</f>
        <v/>
      </c>
      <c r="X31" s="520" t="str">
        <f>IFERROR(VLOOKUP(W31,'G-1 All Habitats'!$V$3:$W$7,2,FALSE),"")</f>
        <v/>
      </c>
      <c r="Y31" s="203"/>
      <c r="Z31" s="524" t="str">
        <f>IFERROR(INDEX('G-8 Condition Look up'!$A$3:$H$130,MATCH(S31,'G-8 Condition Look up'!$A$3:$A$130,0),MATCH(Y31,'G-8 Condition Look up'!$A$3:$H$3,0)),"")</f>
        <v/>
      </c>
      <c r="AA31" s="145"/>
      <c r="AB31" s="540" t="str">
        <f>IF(AA31="","",IF(VLOOKUP(AA31,'G-3 Multipliers'!$L$3:$N$6,2,FALSE)=0,"Spatial Data Missing ⚠",VLOOKUP(AA31,'G-3 Multipliers'!$L$3:$N$6,2,FALSE)))</f>
        <v/>
      </c>
      <c r="AC31" s="524" t="str">
        <f>IF(AA31="","",IF(VLOOKUP(AA31,'G-3 Multipliers'!$L$3:$N$6,3,FALSE)=0,"Spatial Data Missing ⚠",VLOOKUP(AA31,'G-3 Multipliers'!$L$3:$N$6,3,FALSE)))</f>
        <v/>
      </c>
      <c r="AD31" s="537" t="str">
        <f t="shared" si="3"/>
        <v/>
      </c>
      <c r="AE31" s="203"/>
      <c r="AF31" s="203"/>
      <c r="AG31" s="520" t="str">
        <f t="shared" si="7"/>
        <v/>
      </c>
      <c r="AH31" s="544" t="str">
        <f t="shared" si="8"/>
        <v/>
      </c>
      <c r="AI31" s="525" t="str">
        <f>IF(AH31="Check Data ⚠","Check Data ⚠",IFERROR(VLOOKUP(AH31,'G-4 Temporal multipliers'!$A$4:$C$36,3,FALSE),""))</f>
        <v/>
      </c>
      <c r="AJ31" s="537" t="str">
        <f>IF(S31="","",VLOOKUP(S31,'G-3 Multipliers'!$A$2:$E$129,4,FALSE))</f>
        <v/>
      </c>
      <c r="AK31" s="520" t="str">
        <f t="shared" si="9"/>
        <v/>
      </c>
      <c r="AL31" s="520" t="str">
        <f t="shared" si="10"/>
        <v/>
      </c>
      <c r="AM31" s="524" t="str">
        <f>IFERROR(IF(F31="","",IF(AH31="Check Data ⚠","Check Data ⚠",VLOOKUP(AL31, 'G-3 Multipliers'!$P$2:$Q$6,2,FALSE))),"")</f>
        <v/>
      </c>
      <c r="AN31" s="197"/>
      <c r="AO31" s="540" t="str">
        <f>IF(AN31="","",IF(VLOOKUP(AN31,'G-3 Multipliers'!$S$3:$T$9,2,FALSE)=0,"Spatial Data Missing ⚠",VLOOKUP(AN31,'G-3 Multipliers'!$S$3:$T$9,2,FALSE)))</f>
        <v/>
      </c>
      <c r="AP31" s="513" t="str">
        <f t="shared" si="11"/>
        <v/>
      </c>
      <c r="AQ31" s="231"/>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7" t="str">
        <f>'D-1 Off Site Habitat Baseline'!AL31</f>
        <v/>
      </c>
      <c r="F32" s="520" t="str">
        <f>IF(E32="","",IF(ISNA(VLOOKUP($E32,'D-1 Off Site Habitat Baseline'!$D$1:$O$258,4,FALSE)),"",(VLOOKUP($E32,'D-1 Off Site Habitat Baseline'!$D$1:$O$258,4,FALSE))))</f>
        <v/>
      </c>
      <c r="G32" s="520" t="str">
        <f>IF(E32="","",IF(ISNA(VLOOKUP($E32,'D-1 Off Site Habitat Baseline'!$D$1:$O$258,5,FALSE)),"",(VLOOKUP($E32,'D-1 Off Site Habitat Baseline'!$D$1:$O$258,5,FALSE))))</f>
        <v/>
      </c>
      <c r="H32" s="520" t="str">
        <f>IF(E32="","",IF(ISNA(VLOOKUP($E32,'D-1 Off Site Habitat Baseline'!$D$1:$O$258,6,FALSE)),"",(VLOOKUP($E32,'D-1 Off Site Habitat Baseline'!$D$1:$O$258,6,FALSE))))</f>
        <v/>
      </c>
      <c r="I32" s="520" t="str">
        <f>IF(E32="","",IF(ISNA(VLOOKUP($E32,'D-1 Off Site Habitat Baseline'!$D$1:$O$258,7,FALSE)),"",(VLOOKUP($E32,'D-1 Off Site Habitat Baseline'!$D$1:$O$258,7,FALSE))))</f>
        <v/>
      </c>
      <c r="J32" s="520" t="str">
        <f>IF(E32="","",IF(ISNA(VLOOKUP($E32,'D-1 Off Site Habitat Baseline'!$D$1:$O$258,8,FALSE)),"",(VLOOKUP($E32,'D-1 Off Site Habitat Baseline'!$D$1:$O$258,8,FALSE))))</f>
        <v/>
      </c>
      <c r="K32" s="520" t="str">
        <f>IF(E32="","",IF(ISNA(VLOOKUP($E32,'D-1 Off Site Habitat Baseline'!$D$1:$O$258,9,FALSE)),"",(VLOOKUP($E32,'D-1 Off Site Habitat Baseline'!$D$1:$O$258,9,FALSE))))</f>
        <v/>
      </c>
      <c r="L32" s="520" t="str">
        <f>IF(E32="","",IF(ISNA(VLOOKUP($E32,'D-1 Off Site Habitat Baseline'!$D$1:$O$258,11,FALSE)),"",(VLOOKUP($E32,'D-1 Off Site Habitat Baseline'!$D$1:$O$258,11,FALSE))))</f>
        <v/>
      </c>
      <c r="M32" s="520" t="str">
        <f>IF(E32="","",IF(ISNA(VLOOKUP($E32,'D-1 Off Site Habitat Baseline'!$D$1:$O$258,12,FALSE)),"",(VLOOKUP($E32,'D-1 Off Site Habitat Baseline'!$D$1:$O$258,12,FALSE))))</f>
        <v/>
      </c>
      <c r="N32" s="520" t="str">
        <f>IF(E32="","",IF(ISNA(VLOOKUP($E32,'D-1 Off Site Habitat Baseline'!$D$1:$X$258,14,FALSE)),"",(VLOOKUP($E32,'D-1 Off Site Habitat Baseline'!$D$1:$X$258,14,FALSE))))</f>
        <v/>
      </c>
      <c r="O32" s="524" t="str">
        <f>IF(E32="","",IF(ISNA(VLOOKUP($E32,'D-1 Off Site Habitat Baseline'!$D$1:$X$258,13,FALSE)),"",(VLOOKUP($E32,'D-1 Off Site Habitat Baseline'!$D$1:$X$258,13,FALSE))))</f>
        <v/>
      </c>
      <c r="P32" s="232" t="str">
        <f>IFERROR(INDEX('G-1 All Habitats'!$AG$3:$AG$15,MATCH(Q32,'G-1 All Habitats'!$AF$3:$AF$15,0)),"")</f>
        <v/>
      </c>
      <c r="Q32" s="228" t="str">
        <f t="shared" si="12"/>
        <v/>
      </c>
      <c r="R32" s="229" t="str">
        <f t="shared" si="13"/>
        <v/>
      </c>
      <c r="S32" s="233" t="str">
        <f>IFERROR(INDEX('G-1 All Habitats'!$B$3:$B$129,MATCH(R32,'G-1 All Habitats'!$A$3:$A$129,0)),"")</f>
        <v/>
      </c>
      <c r="T32" s="507" t="str">
        <f t="shared" si="5"/>
        <v/>
      </c>
      <c r="U32" s="524" t="str">
        <f t="shared" si="6"/>
        <v/>
      </c>
      <c r="V32" s="523" t="str">
        <f t="shared" si="2"/>
        <v/>
      </c>
      <c r="W32" s="520" t="str">
        <f>IF(S32="","",VLOOKUP(S32,'G-1 All Habitats'!$B$2:$M$129,10,FALSE))</f>
        <v/>
      </c>
      <c r="X32" s="520" t="str">
        <f>IFERROR(VLOOKUP(W32,'G-1 All Habitats'!$V$3:$W$7,2,FALSE),"")</f>
        <v/>
      </c>
      <c r="Y32" s="203"/>
      <c r="Z32" s="524" t="str">
        <f>IFERROR(INDEX('G-8 Condition Look up'!$A$3:$H$130,MATCH(S32,'G-8 Condition Look up'!$A$3:$A$130,0),MATCH(Y32,'G-8 Condition Look up'!$A$3:$H$3,0)),"")</f>
        <v/>
      </c>
      <c r="AA32" s="145"/>
      <c r="AB32" s="540" t="str">
        <f>IF(AA32="","",IF(VLOOKUP(AA32,'G-3 Multipliers'!$L$3:$N$6,2,FALSE)=0,"Spatial Data Missing ⚠",VLOOKUP(AA32,'G-3 Multipliers'!$L$3:$N$6,2,FALSE)))</f>
        <v/>
      </c>
      <c r="AC32" s="524" t="str">
        <f>IF(AA32="","",IF(VLOOKUP(AA32,'G-3 Multipliers'!$L$3:$N$6,3,FALSE)=0,"Spatial Data Missing ⚠",VLOOKUP(AA32,'G-3 Multipliers'!$L$3:$N$6,3,FALSE)))</f>
        <v/>
      </c>
      <c r="AD32" s="537" t="str">
        <f t="shared" si="3"/>
        <v/>
      </c>
      <c r="AE32" s="203"/>
      <c r="AF32" s="203"/>
      <c r="AG32" s="520" t="str">
        <f t="shared" si="7"/>
        <v/>
      </c>
      <c r="AH32" s="544" t="str">
        <f t="shared" si="8"/>
        <v/>
      </c>
      <c r="AI32" s="525" t="str">
        <f>IF(AH32="Check Data ⚠","Check Data ⚠",IFERROR(VLOOKUP(AH32,'G-4 Temporal multipliers'!$A$4:$C$36,3,FALSE),""))</f>
        <v/>
      </c>
      <c r="AJ32" s="537" t="str">
        <f>IF(S32="","",VLOOKUP(S32,'G-3 Multipliers'!$A$2:$E$129,4,FALSE))</f>
        <v/>
      </c>
      <c r="AK32" s="520" t="str">
        <f t="shared" si="9"/>
        <v/>
      </c>
      <c r="AL32" s="520" t="str">
        <f t="shared" si="10"/>
        <v/>
      </c>
      <c r="AM32" s="524" t="str">
        <f>IFERROR(IF(F32="","",IF(AH32="Check Data ⚠","Check Data ⚠",VLOOKUP(AL32, 'G-3 Multipliers'!$P$2:$Q$6,2,FALSE))),"")</f>
        <v/>
      </c>
      <c r="AN32" s="197"/>
      <c r="AO32" s="540" t="str">
        <f>IF(AN32="","",IF(VLOOKUP(AN32,'G-3 Multipliers'!$S$3:$T$9,2,FALSE)=0,"Spatial Data Missing ⚠",VLOOKUP(AN32,'G-3 Multipliers'!$S$3:$T$9,2,FALSE)))</f>
        <v/>
      </c>
      <c r="AP32" s="513" t="str">
        <f t="shared" si="11"/>
        <v/>
      </c>
      <c r="AQ32" s="231"/>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7" t="str">
        <f>'D-1 Off Site Habitat Baseline'!AL32</f>
        <v/>
      </c>
      <c r="F33" s="520" t="str">
        <f>IF(E33="","",IF(ISNA(VLOOKUP($E33,'D-1 Off Site Habitat Baseline'!$D$1:$O$258,4,FALSE)),"",(VLOOKUP($E33,'D-1 Off Site Habitat Baseline'!$D$1:$O$258,4,FALSE))))</f>
        <v/>
      </c>
      <c r="G33" s="520" t="str">
        <f>IF(E33="","",IF(ISNA(VLOOKUP($E33,'D-1 Off Site Habitat Baseline'!$D$1:$O$258,5,FALSE)),"",(VLOOKUP($E33,'D-1 Off Site Habitat Baseline'!$D$1:$O$258,5,FALSE))))</f>
        <v/>
      </c>
      <c r="H33" s="520" t="str">
        <f>IF(E33="","",IF(ISNA(VLOOKUP($E33,'D-1 Off Site Habitat Baseline'!$D$1:$O$258,6,FALSE)),"",(VLOOKUP($E33,'D-1 Off Site Habitat Baseline'!$D$1:$O$258,6,FALSE))))</f>
        <v/>
      </c>
      <c r="I33" s="520" t="str">
        <f>IF(E33="","",IF(ISNA(VLOOKUP($E33,'D-1 Off Site Habitat Baseline'!$D$1:$O$258,7,FALSE)),"",(VLOOKUP($E33,'D-1 Off Site Habitat Baseline'!$D$1:$O$258,7,FALSE))))</f>
        <v/>
      </c>
      <c r="J33" s="520" t="str">
        <f>IF(E33="","",IF(ISNA(VLOOKUP($E33,'D-1 Off Site Habitat Baseline'!$D$1:$O$258,8,FALSE)),"",(VLOOKUP($E33,'D-1 Off Site Habitat Baseline'!$D$1:$O$258,8,FALSE))))</f>
        <v/>
      </c>
      <c r="K33" s="520" t="str">
        <f>IF(E33="","",IF(ISNA(VLOOKUP($E33,'D-1 Off Site Habitat Baseline'!$D$1:$O$258,9,FALSE)),"",(VLOOKUP($E33,'D-1 Off Site Habitat Baseline'!$D$1:$O$258,9,FALSE))))</f>
        <v/>
      </c>
      <c r="L33" s="520" t="str">
        <f>IF(E33="","",IF(ISNA(VLOOKUP($E33,'D-1 Off Site Habitat Baseline'!$D$1:$O$258,11,FALSE)),"",(VLOOKUP($E33,'D-1 Off Site Habitat Baseline'!$D$1:$O$258,11,FALSE))))</f>
        <v/>
      </c>
      <c r="M33" s="520" t="str">
        <f>IF(E33="","",IF(ISNA(VLOOKUP($E33,'D-1 Off Site Habitat Baseline'!$D$1:$O$258,12,FALSE)),"",(VLOOKUP($E33,'D-1 Off Site Habitat Baseline'!$D$1:$O$258,12,FALSE))))</f>
        <v/>
      </c>
      <c r="N33" s="520" t="str">
        <f>IF(E33="","",IF(ISNA(VLOOKUP($E33,'D-1 Off Site Habitat Baseline'!$D$1:$X$258,14,FALSE)),"",(VLOOKUP($E33,'D-1 Off Site Habitat Baseline'!$D$1:$X$258,14,FALSE))))</f>
        <v/>
      </c>
      <c r="O33" s="524" t="str">
        <f>IF(E33="","",IF(ISNA(VLOOKUP($E33,'D-1 Off Site Habitat Baseline'!$D$1:$X$258,13,FALSE)),"",(VLOOKUP($E33,'D-1 Off Site Habitat Baseline'!$D$1:$X$258,13,FALSE))))</f>
        <v/>
      </c>
      <c r="P33" s="232" t="str">
        <f>IFERROR(INDEX('G-1 All Habitats'!$AG$3:$AG$15,MATCH(Q33,'G-1 All Habitats'!$AF$3:$AF$15,0)),"")</f>
        <v/>
      </c>
      <c r="Q33" s="228" t="str">
        <f t="shared" si="12"/>
        <v/>
      </c>
      <c r="R33" s="229" t="str">
        <f t="shared" si="13"/>
        <v/>
      </c>
      <c r="S33" s="233" t="str">
        <f>IFERROR(INDEX('G-1 All Habitats'!$B$3:$B$129,MATCH(R33,'G-1 All Habitats'!$A$3:$A$129,0)),"")</f>
        <v/>
      </c>
      <c r="T33" s="507" t="str">
        <f t="shared" si="5"/>
        <v/>
      </c>
      <c r="U33" s="524" t="str">
        <f t="shared" si="6"/>
        <v/>
      </c>
      <c r="V33" s="523" t="str">
        <f t="shared" si="2"/>
        <v/>
      </c>
      <c r="W33" s="520" t="str">
        <f>IF(S33="","",VLOOKUP(S33,'G-1 All Habitats'!$B$2:$M$129,10,FALSE))</f>
        <v/>
      </c>
      <c r="X33" s="520" t="str">
        <f>IFERROR(VLOOKUP(W33,'G-1 All Habitats'!$V$3:$W$7,2,FALSE),"")</f>
        <v/>
      </c>
      <c r="Y33" s="203"/>
      <c r="Z33" s="524" t="str">
        <f>IFERROR(INDEX('G-8 Condition Look up'!$A$3:$H$130,MATCH(S33,'G-8 Condition Look up'!$A$3:$A$130,0),MATCH(Y33,'G-8 Condition Look up'!$A$3:$H$3,0)),"")</f>
        <v/>
      </c>
      <c r="AA33" s="145"/>
      <c r="AB33" s="540" t="str">
        <f>IF(AA33="","",IF(VLOOKUP(AA33,'G-3 Multipliers'!$L$3:$N$6,2,FALSE)=0,"Spatial Data Missing ⚠",VLOOKUP(AA33,'G-3 Multipliers'!$L$3:$N$6,2,FALSE)))</f>
        <v/>
      </c>
      <c r="AC33" s="524" t="str">
        <f>IF(AA33="","",IF(VLOOKUP(AA33,'G-3 Multipliers'!$L$3:$N$6,3,FALSE)=0,"Spatial Data Missing ⚠",VLOOKUP(AA33,'G-3 Multipliers'!$L$3:$N$6,3,FALSE)))</f>
        <v/>
      </c>
      <c r="AD33" s="537" t="str">
        <f t="shared" si="3"/>
        <v/>
      </c>
      <c r="AE33" s="203"/>
      <c r="AF33" s="203"/>
      <c r="AG33" s="520" t="str">
        <f t="shared" si="7"/>
        <v/>
      </c>
      <c r="AH33" s="544" t="str">
        <f t="shared" si="8"/>
        <v/>
      </c>
      <c r="AI33" s="525" t="str">
        <f>IF(AH33="Check Data ⚠","Check Data ⚠",IFERROR(VLOOKUP(AH33,'G-4 Temporal multipliers'!$A$4:$C$36,3,FALSE),""))</f>
        <v/>
      </c>
      <c r="AJ33" s="537" t="str">
        <f>IF(S33="","",VLOOKUP(S33,'G-3 Multipliers'!$A$2:$E$129,4,FALSE))</f>
        <v/>
      </c>
      <c r="AK33" s="520" t="str">
        <f t="shared" si="9"/>
        <v/>
      </c>
      <c r="AL33" s="520" t="str">
        <f t="shared" si="10"/>
        <v/>
      </c>
      <c r="AM33" s="524" t="str">
        <f>IFERROR(IF(F33="","",IF(AH33="Check Data ⚠","Check Data ⚠",VLOOKUP(AL33, 'G-3 Multipliers'!$P$2:$Q$6,2,FALSE))),"")</f>
        <v/>
      </c>
      <c r="AN33" s="197"/>
      <c r="AO33" s="540" t="str">
        <f>IF(AN33="","",IF(VLOOKUP(AN33,'G-3 Multipliers'!$S$3:$T$9,2,FALSE)=0,"Spatial Data Missing ⚠",VLOOKUP(AN33,'G-3 Multipliers'!$S$3:$T$9,2,FALSE)))</f>
        <v/>
      </c>
      <c r="AP33" s="513" t="str">
        <f t="shared" si="11"/>
        <v/>
      </c>
      <c r="AQ33" s="231"/>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7" t="str">
        <f>'D-1 Off Site Habitat Baseline'!AL33</f>
        <v/>
      </c>
      <c r="F34" s="520" t="str">
        <f>IF(E34="","",IF(ISNA(VLOOKUP($E34,'D-1 Off Site Habitat Baseline'!$D$1:$O$258,4,FALSE)),"",(VLOOKUP($E34,'D-1 Off Site Habitat Baseline'!$D$1:$O$258,4,FALSE))))</f>
        <v/>
      </c>
      <c r="G34" s="520" t="str">
        <f>IF(E34="","",IF(ISNA(VLOOKUP($E34,'D-1 Off Site Habitat Baseline'!$D$1:$O$258,5,FALSE)),"",(VLOOKUP($E34,'D-1 Off Site Habitat Baseline'!$D$1:$O$258,5,FALSE))))</f>
        <v/>
      </c>
      <c r="H34" s="520" t="str">
        <f>IF(E34="","",IF(ISNA(VLOOKUP($E34,'D-1 Off Site Habitat Baseline'!$D$1:$O$258,6,FALSE)),"",(VLOOKUP($E34,'D-1 Off Site Habitat Baseline'!$D$1:$O$258,6,FALSE))))</f>
        <v/>
      </c>
      <c r="I34" s="520" t="str">
        <f>IF(E34="","",IF(ISNA(VLOOKUP($E34,'D-1 Off Site Habitat Baseline'!$D$1:$O$258,7,FALSE)),"",(VLOOKUP($E34,'D-1 Off Site Habitat Baseline'!$D$1:$O$258,7,FALSE))))</f>
        <v/>
      </c>
      <c r="J34" s="520" t="str">
        <f>IF(E34="","",IF(ISNA(VLOOKUP($E34,'D-1 Off Site Habitat Baseline'!$D$1:$O$258,8,FALSE)),"",(VLOOKUP($E34,'D-1 Off Site Habitat Baseline'!$D$1:$O$258,8,FALSE))))</f>
        <v/>
      </c>
      <c r="K34" s="520" t="str">
        <f>IF(E34="","",IF(ISNA(VLOOKUP($E34,'D-1 Off Site Habitat Baseline'!$D$1:$O$258,9,FALSE)),"",(VLOOKUP($E34,'D-1 Off Site Habitat Baseline'!$D$1:$O$258,9,FALSE))))</f>
        <v/>
      </c>
      <c r="L34" s="520" t="str">
        <f>IF(E34="","",IF(ISNA(VLOOKUP($E34,'D-1 Off Site Habitat Baseline'!$D$1:$O$258,11,FALSE)),"",(VLOOKUP($E34,'D-1 Off Site Habitat Baseline'!$D$1:$O$258,11,FALSE))))</f>
        <v/>
      </c>
      <c r="M34" s="520" t="str">
        <f>IF(E34="","",IF(ISNA(VLOOKUP($E34,'D-1 Off Site Habitat Baseline'!$D$1:$O$258,12,FALSE)),"",(VLOOKUP($E34,'D-1 Off Site Habitat Baseline'!$D$1:$O$258,12,FALSE))))</f>
        <v/>
      </c>
      <c r="N34" s="520" t="str">
        <f>IF(E34="","",IF(ISNA(VLOOKUP($E34,'D-1 Off Site Habitat Baseline'!$D$1:$X$258,14,FALSE)),"",(VLOOKUP($E34,'D-1 Off Site Habitat Baseline'!$D$1:$X$258,14,FALSE))))</f>
        <v/>
      </c>
      <c r="O34" s="524" t="str">
        <f>IF(E34="","",IF(ISNA(VLOOKUP($E34,'D-1 Off Site Habitat Baseline'!$D$1:$X$258,13,FALSE)),"",(VLOOKUP($E34,'D-1 Off Site Habitat Baseline'!$D$1:$X$258,13,FALSE))))</f>
        <v/>
      </c>
      <c r="P34" s="232" t="str">
        <f>IFERROR(INDEX('G-1 All Habitats'!$AG$3:$AG$15,MATCH(Q34,'G-1 All Habitats'!$AF$3:$AF$15,0)),"")</f>
        <v/>
      </c>
      <c r="Q34" s="228" t="str">
        <f t="shared" si="12"/>
        <v/>
      </c>
      <c r="R34" s="229" t="str">
        <f t="shared" si="13"/>
        <v/>
      </c>
      <c r="S34" s="233" t="str">
        <f>IFERROR(INDEX('G-1 All Habitats'!$B$3:$B$129,MATCH(R34,'G-1 All Habitats'!$A$3:$A$129,0)),"")</f>
        <v/>
      </c>
      <c r="T34" s="507" t="str">
        <f t="shared" si="5"/>
        <v/>
      </c>
      <c r="U34" s="524" t="str">
        <f t="shared" si="6"/>
        <v/>
      </c>
      <c r="V34" s="523" t="str">
        <f t="shared" si="2"/>
        <v/>
      </c>
      <c r="W34" s="520" t="str">
        <f>IF(S34="","",VLOOKUP(S34,'G-1 All Habitats'!$B$2:$M$129,10,FALSE))</f>
        <v/>
      </c>
      <c r="X34" s="520" t="str">
        <f>IFERROR(VLOOKUP(W34,'G-1 All Habitats'!$V$3:$W$7,2,FALSE),"")</f>
        <v/>
      </c>
      <c r="Y34" s="203"/>
      <c r="Z34" s="524" t="str">
        <f>IFERROR(INDEX('G-8 Condition Look up'!$A$3:$H$130,MATCH(S34,'G-8 Condition Look up'!$A$3:$A$130,0),MATCH(Y34,'G-8 Condition Look up'!$A$3:$H$3,0)),"")</f>
        <v/>
      </c>
      <c r="AA34" s="145"/>
      <c r="AB34" s="540" t="str">
        <f>IF(AA34="","",IF(VLOOKUP(AA34,'G-3 Multipliers'!$L$3:$N$6,2,FALSE)=0,"Spatial Data Missing ⚠",VLOOKUP(AA34,'G-3 Multipliers'!$L$3:$N$6,2,FALSE)))</f>
        <v/>
      </c>
      <c r="AC34" s="524" t="str">
        <f>IF(AA34="","",IF(VLOOKUP(AA34,'G-3 Multipliers'!$L$3:$N$6,3,FALSE)=0,"Spatial Data Missing ⚠",VLOOKUP(AA34,'G-3 Multipliers'!$L$3:$N$6,3,FALSE)))</f>
        <v/>
      </c>
      <c r="AD34" s="537" t="str">
        <f t="shared" si="3"/>
        <v/>
      </c>
      <c r="AE34" s="203"/>
      <c r="AF34" s="203"/>
      <c r="AG34" s="520" t="str">
        <f t="shared" si="7"/>
        <v/>
      </c>
      <c r="AH34" s="544" t="str">
        <f t="shared" si="8"/>
        <v/>
      </c>
      <c r="AI34" s="525" t="str">
        <f>IF(AH34="Check Data ⚠","Check Data ⚠",IFERROR(VLOOKUP(AH34,'G-4 Temporal multipliers'!$A$4:$C$36,3,FALSE),""))</f>
        <v/>
      </c>
      <c r="AJ34" s="537" t="str">
        <f>IF(S34="","",VLOOKUP(S34,'G-3 Multipliers'!$A$2:$E$129,4,FALSE))</f>
        <v/>
      </c>
      <c r="AK34" s="520" t="str">
        <f t="shared" si="9"/>
        <v/>
      </c>
      <c r="AL34" s="520" t="str">
        <f t="shared" si="10"/>
        <v/>
      </c>
      <c r="AM34" s="524" t="str">
        <f>IFERROR(IF(F34="","",IF(AH34="Check Data ⚠","Check Data ⚠",VLOOKUP(AL34, 'G-3 Multipliers'!$P$2:$Q$6,2,FALSE))),"")</f>
        <v/>
      </c>
      <c r="AN34" s="197"/>
      <c r="AO34" s="540" t="str">
        <f>IF(AN34="","",IF(VLOOKUP(AN34,'G-3 Multipliers'!$S$3:$T$9,2,FALSE)=0,"Spatial Data Missing ⚠",VLOOKUP(AN34,'G-3 Multipliers'!$S$3:$T$9,2,FALSE)))</f>
        <v/>
      </c>
      <c r="AP34" s="513" t="str">
        <f t="shared" si="11"/>
        <v/>
      </c>
      <c r="AQ34" s="231"/>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7" t="str">
        <f>'D-1 Off Site Habitat Baseline'!AL34</f>
        <v/>
      </c>
      <c r="F35" s="520" t="str">
        <f>IF(E35="","",IF(ISNA(VLOOKUP($E35,'D-1 Off Site Habitat Baseline'!$D$1:$O$258,4,FALSE)),"",(VLOOKUP($E35,'D-1 Off Site Habitat Baseline'!$D$1:$O$258,4,FALSE))))</f>
        <v/>
      </c>
      <c r="G35" s="520" t="str">
        <f>IF(E35="","",IF(ISNA(VLOOKUP($E35,'D-1 Off Site Habitat Baseline'!$D$1:$O$258,5,FALSE)),"",(VLOOKUP($E35,'D-1 Off Site Habitat Baseline'!$D$1:$O$258,5,FALSE))))</f>
        <v/>
      </c>
      <c r="H35" s="520" t="str">
        <f>IF(E35="","",IF(ISNA(VLOOKUP($E35,'D-1 Off Site Habitat Baseline'!$D$1:$O$258,6,FALSE)),"",(VLOOKUP($E35,'D-1 Off Site Habitat Baseline'!$D$1:$O$258,6,FALSE))))</f>
        <v/>
      </c>
      <c r="I35" s="520" t="str">
        <f>IF(E35="","",IF(ISNA(VLOOKUP($E35,'D-1 Off Site Habitat Baseline'!$D$1:$O$258,7,FALSE)),"",(VLOOKUP($E35,'D-1 Off Site Habitat Baseline'!$D$1:$O$258,7,FALSE))))</f>
        <v/>
      </c>
      <c r="J35" s="520" t="str">
        <f>IF(E35="","",IF(ISNA(VLOOKUP($E35,'D-1 Off Site Habitat Baseline'!$D$1:$O$258,8,FALSE)),"",(VLOOKUP($E35,'D-1 Off Site Habitat Baseline'!$D$1:$O$258,8,FALSE))))</f>
        <v/>
      </c>
      <c r="K35" s="520" t="str">
        <f>IF(E35="","",IF(ISNA(VLOOKUP($E35,'D-1 Off Site Habitat Baseline'!$D$1:$O$258,9,FALSE)),"",(VLOOKUP($E35,'D-1 Off Site Habitat Baseline'!$D$1:$O$258,9,FALSE))))</f>
        <v/>
      </c>
      <c r="L35" s="520" t="str">
        <f>IF(E35="","",IF(ISNA(VLOOKUP($E35,'D-1 Off Site Habitat Baseline'!$D$1:$O$258,11,FALSE)),"",(VLOOKUP($E35,'D-1 Off Site Habitat Baseline'!$D$1:$O$258,11,FALSE))))</f>
        <v/>
      </c>
      <c r="M35" s="520" t="str">
        <f>IF(E35="","",IF(ISNA(VLOOKUP($E35,'D-1 Off Site Habitat Baseline'!$D$1:$O$258,12,FALSE)),"",(VLOOKUP($E35,'D-1 Off Site Habitat Baseline'!$D$1:$O$258,12,FALSE))))</f>
        <v/>
      </c>
      <c r="N35" s="520" t="str">
        <f>IF(E35="","",IF(ISNA(VLOOKUP($E35,'D-1 Off Site Habitat Baseline'!$D$1:$X$258,14,FALSE)),"",(VLOOKUP($E35,'D-1 Off Site Habitat Baseline'!$D$1:$X$258,14,FALSE))))</f>
        <v/>
      </c>
      <c r="O35" s="524" t="str">
        <f>IF(E35="","",IF(ISNA(VLOOKUP($E35,'D-1 Off Site Habitat Baseline'!$D$1:$X$258,13,FALSE)),"",(VLOOKUP($E35,'D-1 Off Site Habitat Baseline'!$D$1:$X$258,13,FALSE))))</f>
        <v/>
      </c>
      <c r="P35" s="232" t="str">
        <f>IFERROR(INDEX('G-1 All Habitats'!$AG$3:$AG$15,MATCH(Q35,'G-1 All Habitats'!$AF$3:$AF$15,0)),"")</f>
        <v/>
      </c>
      <c r="Q35" s="228" t="str">
        <f t="shared" si="12"/>
        <v/>
      </c>
      <c r="R35" s="229" t="str">
        <f t="shared" si="13"/>
        <v/>
      </c>
      <c r="S35" s="233" t="str">
        <f>IFERROR(INDEX('G-1 All Habitats'!$B$3:$B$129,MATCH(R35,'G-1 All Habitats'!$A$3:$A$129,0)),"")</f>
        <v/>
      </c>
      <c r="T35" s="507" t="str">
        <f t="shared" si="5"/>
        <v/>
      </c>
      <c r="U35" s="524" t="str">
        <f t="shared" si="6"/>
        <v/>
      </c>
      <c r="V35" s="523" t="str">
        <f t="shared" si="2"/>
        <v/>
      </c>
      <c r="W35" s="520" t="str">
        <f>IF(S35="","",VLOOKUP(S35,'G-1 All Habitats'!$B$2:$M$129,10,FALSE))</f>
        <v/>
      </c>
      <c r="X35" s="520" t="str">
        <f>IFERROR(VLOOKUP(W35,'G-1 All Habitats'!$V$3:$W$7,2,FALSE),"")</f>
        <v/>
      </c>
      <c r="Y35" s="203"/>
      <c r="Z35" s="524" t="str">
        <f>IFERROR(INDEX('G-8 Condition Look up'!$A$3:$H$130,MATCH(S35,'G-8 Condition Look up'!$A$3:$A$130,0),MATCH(Y35,'G-8 Condition Look up'!$A$3:$H$3,0)),"")</f>
        <v/>
      </c>
      <c r="AA35" s="145"/>
      <c r="AB35" s="540" t="str">
        <f>IF(AA35="","",IF(VLOOKUP(AA35,'G-3 Multipliers'!$L$3:$N$6,2,FALSE)=0,"Spatial Data Missing ⚠",VLOOKUP(AA35,'G-3 Multipliers'!$L$3:$N$6,2,FALSE)))</f>
        <v/>
      </c>
      <c r="AC35" s="524" t="str">
        <f>IF(AA35="","",IF(VLOOKUP(AA35,'G-3 Multipliers'!$L$3:$N$6,3,FALSE)=0,"Spatial Data Missing ⚠",VLOOKUP(AA35,'G-3 Multipliers'!$L$3:$N$6,3,FALSE)))</f>
        <v/>
      </c>
      <c r="AD35" s="537" t="str">
        <f t="shared" si="3"/>
        <v/>
      </c>
      <c r="AE35" s="203"/>
      <c r="AF35" s="203"/>
      <c r="AG35" s="520" t="str">
        <f t="shared" si="7"/>
        <v/>
      </c>
      <c r="AH35" s="544" t="str">
        <f t="shared" si="8"/>
        <v/>
      </c>
      <c r="AI35" s="525" t="str">
        <f>IF(AH35="Check Data ⚠","Check Data ⚠",IFERROR(VLOOKUP(AH35,'G-4 Temporal multipliers'!$A$4:$C$36,3,FALSE),""))</f>
        <v/>
      </c>
      <c r="AJ35" s="537" t="str">
        <f>IF(S35="","",VLOOKUP(S35,'G-3 Multipliers'!$A$2:$E$129,4,FALSE))</f>
        <v/>
      </c>
      <c r="AK35" s="520" t="str">
        <f t="shared" si="9"/>
        <v/>
      </c>
      <c r="AL35" s="520" t="str">
        <f t="shared" si="10"/>
        <v/>
      </c>
      <c r="AM35" s="524" t="str">
        <f>IFERROR(IF(F35="","",IF(AH35="Check Data ⚠","Check Data ⚠",VLOOKUP(AL35, 'G-3 Multipliers'!$P$2:$Q$6,2,FALSE))),"")</f>
        <v/>
      </c>
      <c r="AN35" s="197"/>
      <c r="AO35" s="540" t="str">
        <f>IF(AN35="","",IF(VLOOKUP(AN35,'G-3 Multipliers'!$S$3:$T$9,2,FALSE)=0,"Spatial Data Missing ⚠",VLOOKUP(AN35,'G-3 Multipliers'!$S$3:$T$9,2,FALSE)))</f>
        <v/>
      </c>
      <c r="AP35" s="513" t="str">
        <f t="shared" si="11"/>
        <v/>
      </c>
      <c r="AQ35" s="231"/>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7" t="str">
        <f>'D-1 Off Site Habitat Baseline'!AL35</f>
        <v/>
      </c>
      <c r="F36" s="520" t="str">
        <f>IF(E36="","",IF(ISNA(VLOOKUP($E36,'D-1 Off Site Habitat Baseline'!$D$1:$O$258,4,FALSE)),"",(VLOOKUP($E36,'D-1 Off Site Habitat Baseline'!$D$1:$O$258,4,FALSE))))</f>
        <v/>
      </c>
      <c r="G36" s="520" t="str">
        <f>IF(E36="","",IF(ISNA(VLOOKUP($E36,'D-1 Off Site Habitat Baseline'!$D$1:$O$258,5,FALSE)),"",(VLOOKUP($E36,'D-1 Off Site Habitat Baseline'!$D$1:$O$258,5,FALSE))))</f>
        <v/>
      </c>
      <c r="H36" s="520" t="str">
        <f>IF(E36="","",IF(ISNA(VLOOKUP($E36,'D-1 Off Site Habitat Baseline'!$D$1:$O$258,6,FALSE)),"",(VLOOKUP($E36,'D-1 Off Site Habitat Baseline'!$D$1:$O$258,6,FALSE))))</f>
        <v/>
      </c>
      <c r="I36" s="520" t="str">
        <f>IF(E36="","",IF(ISNA(VLOOKUP($E36,'D-1 Off Site Habitat Baseline'!$D$1:$O$258,7,FALSE)),"",(VLOOKUP($E36,'D-1 Off Site Habitat Baseline'!$D$1:$O$258,7,FALSE))))</f>
        <v/>
      </c>
      <c r="J36" s="520" t="str">
        <f>IF(E36="","",IF(ISNA(VLOOKUP($E36,'D-1 Off Site Habitat Baseline'!$D$1:$O$258,8,FALSE)),"",(VLOOKUP($E36,'D-1 Off Site Habitat Baseline'!$D$1:$O$258,8,FALSE))))</f>
        <v/>
      </c>
      <c r="K36" s="520" t="str">
        <f>IF(E36="","",IF(ISNA(VLOOKUP($E36,'D-1 Off Site Habitat Baseline'!$D$1:$O$258,9,FALSE)),"",(VLOOKUP($E36,'D-1 Off Site Habitat Baseline'!$D$1:$O$258,9,FALSE))))</f>
        <v/>
      </c>
      <c r="L36" s="520" t="str">
        <f>IF(E36="","",IF(ISNA(VLOOKUP($E36,'D-1 Off Site Habitat Baseline'!$D$1:$O$258,11,FALSE)),"",(VLOOKUP($E36,'D-1 Off Site Habitat Baseline'!$D$1:$O$258,11,FALSE))))</f>
        <v/>
      </c>
      <c r="M36" s="520" t="str">
        <f>IF(E36="","",IF(ISNA(VLOOKUP($E36,'D-1 Off Site Habitat Baseline'!$D$1:$O$258,12,FALSE)),"",(VLOOKUP($E36,'D-1 Off Site Habitat Baseline'!$D$1:$O$258,12,FALSE))))</f>
        <v/>
      </c>
      <c r="N36" s="520" t="str">
        <f>IF(E36="","",IF(ISNA(VLOOKUP($E36,'D-1 Off Site Habitat Baseline'!$D$1:$X$258,14,FALSE)),"",(VLOOKUP($E36,'D-1 Off Site Habitat Baseline'!$D$1:$X$258,14,FALSE))))</f>
        <v/>
      </c>
      <c r="O36" s="524" t="str">
        <f>IF(E36="","",IF(ISNA(VLOOKUP($E36,'D-1 Off Site Habitat Baseline'!$D$1:$X$258,13,FALSE)),"",(VLOOKUP($E36,'D-1 Off Site Habitat Baseline'!$D$1:$X$258,13,FALSE))))</f>
        <v/>
      </c>
      <c r="P36" s="232" t="str">
        <f>IFERROR(INDEX('G-1 All Habitats'!$AG$3:$AG$15,MATCH(Q36,'G-1 All Habitats'!$AF$3:$AF$15,0)),"")</f>
        <v/>
      </c>
      <c r="Q36" s="228" t="str">
        <f t="shared" si="12"/>
        <v/>
      </c>
      <c r="R36" s="229" t="str">
        <f t="shared" si="13"/>
        <v/>
      </c>
      <c r="S36" s="233" t="str">
        <f>IFERROR(INDEX('G-1 All Habitats'!$B$3:$B$129,MATCH(R36,'G-1 All Habitats'!$A$3:$A$129,0)),"")</f>
        <v/>
      </c>
      <c r="T36" s="507" t="str">
        <f t="shared" si="5"/>
        <v/>
      </c>
      <c r="U36" s="524" t="str">
        <f t="shared" si="6"/>
        <v/>
      </c>
      <c r="V36" s="523" t="str">
        <f t="shared" si="2"/>
        <v/>
      </c>
      <c r="W36" s="520" t="str">
        <f>IF(S36="","",VLOOKUP(S36,'G-1 All Habitats'!$B$2:$M$129,10,FALSE))</f>
        <v/>
      </c>
      <c r="X36" s="520" t="str">
        <f>IFERROR(VLOOKUP(W36,'G-1 All Habitats'!$V$3:$W$7,2,FALSE),"")</f>
        <v/>
      </c>
      <c r="Y36" s="203"/>
      <c r="Z36" s="524" t="str">
        <f>IFERROR(INDEX('G-8 Condition Look up'!$A$3:$H$130,MATCH(S36,'G-8 Condition Look up'!$A$3:$A$130,0),MATCH(Y36,'G-8 Condition Look up'!$A$3:$H$3,0)),"")</f>
        <v/>
      </c>
      <c r="AA36" s="145"/>
      <c r="AB36" s="540" t="str">
        <f>IF(AA36="","",IF(VLOOKUP(AA36,'G-3 Multipliers'!$L$3:$N$6,2,FALSE)=0,"Spatial Data Missing ⚠",VLOOKUP(AA36,'G-3 Multipliers'!$L$3:$N$6,2,FALSE)))</f>
        <v/>
      </c>
      <c r="AC36" s="524" t="str">
        <f>IF(AA36="","",IF(VLOOKUP(AA36,'G-3 Multipliers'!$L$3:$N$6,3,FALSE)=0,"Spatial Data Missing ⚠",VLOOKUP(AA36,'G-3 Multipliers'!$L$3:$N$6,3,FALSE)))</f>
        <v/>
      </c>
      <c r="AD36" s="537" t="str">
        <f t="shared" si="3"/>
        <v/>
      </c>
      <c r="AE36" s="203"/>
      <c r="AF36" s="203"/>
      <c r="AG36" s="520" t="str">
        <f t="shared" si="7"/>
        <v/>
      </c>
      <c r="AH36" s="544" t="str">
        <f t="shared" si="8"/>
        <v/>
      </c>
      <c r="AI36" s="525" t="str">
        <f>IF(AH36="Check Data ⚠","Check Data ⚠",IFERROR(VLOOKUP(AH36,'G-4 Temporal multipliers'!$A$4:$C$36,3,FALSE),""))</f>
        <v/>
      </c>
      <c r="AJ36" s="537" t="str">
        <f>IF(S36="","",VLOOKUP(S36,'G-3 Multipliers'!$A$2:$E$129,4,FALSE))</f>
        <v/>
      </c>
      <c r="AK36" s="520" t="str">
        <f t="shared" si="9"/>
        <v/>
      </c>
      <c r="AL36" s="520" t="str">
        <f t="shared" si="10"/>
        <v/>
      </c>
      <c r="AM36" s="524" t="str">
        <f>IFERROR(IF(F36="","",IF(AH36="Check Data ⚠","Check Data ⚠",VLOOKUP(AL36, 'G-3 Multipliers'!$P$2:$Q$6,2,FALSE))),"")</f>
        <v/>
      </c>
      <c r="AN36" s="197"/>
      <c r="AO36" s="540" t="str">
        <f>IF(AN36="","",IF(VLOOKUP(AN36,'G-3 Multipliers'!$S$3:$T$9,2,FALSE)=0,"Spatial Data Missing ⚠",VLOOKUP(AN36,'G-3 Multipliers'!$S$3:$T$9,2,FALSE)))</f>
        <v/>
      </c>
      <c r="AP36" s="513" t="str">
        <f t="shared" si="11"/>
        <v/>
      </c>
      <c r="AQ36" s="231"/>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7" t="str">
        <f>'D-1 Off Site Habitat Baseline'!AL36</f>
        <v/>
      </c>
      <c r="F37" s="520" t="str">
        <f>IF(E37="","",IF(ISNA(VLOOKUP($E37,'D-1 Off Site Habitat Baseline'!$D$1:$O$258,4,FALSE)),"",(VLOOKUP($E37,'D-1 Off Site Habitat Baseline'!$D$1:$O$258,4,FALSE))))</f>
        <v/>
      </c>
      <c r="G37" s="520" t="str">
        <f>IF(E37="","",IF(ISNA(VLOOKUP($E37,'D-1 Off Site Habitat Baseline'!$D$1:$O$258,5,FALSE)),"",(VLOOKUP($E37,'D-1 Off Site Habitat Baseline'!$D$1:$O$258,5,FALSE))))</f>
        <v/>
      </c>
      <c r="H37" s="520" t="str">
        <f>IF(E37="","",IF(ISNA(VLOOKUP($E37,'D-1 Off Site Habitat Baseline'!$D$1:$O$258,6,FALSE)),"",(VLOOKUP($E37,'D-1 Off Site Habitat Baseline'!$D$1:$O$258,6,FALSE))))</f>
        <v/>
      </c>
      <c r="I37" s="520" t="str">
        <f>IF(E37="","",IF(ISNA(VLOOKUP($E37,'D-1 Off Site Habitat Baseline'!$D$1:$O$258,7,FALSE)),"",(VLOOKUP($E37,'D-1 Off Site Habitat Baseline'!$D$1:$O$258,7,FALSE))))</f>
        <v/>
      </c>
      <c r="J37" s="520" t="str">
        <f>IF(E37="","",IF(ISNA(VLOOKUP($E37,'D-1 Off Site Habitat Baseline'!$D$1:$O$258,8,FALSE)),"",(VLOOKUP($E37,'D-1 Off Site Habitat Baseline'!$D$1:$O$258,8,FALSE))))</f>
        <v/>
      </c>
      <c r="K37" s="520" t="str">
        <f>IF(E37="","",IF(ISNA(VLOOKUP($E37,'D-1 Off Site Habitat Baseline'!$D$1:$O$258,9,FALSE)),"",(VLOOKUP($E37,'D-1 Off Site Habitat Baseline'!$D$1:$O$258,9,FALSE))))</f>
        <v/>
      </c>
      <c r="L37" s="520" t="str">
        <f>IF(E37="","",IF(ISNA(VLOOKUP($E37,'D-1 Off Site Habitat Baseline'!$D$1:$O$258,11,FALSE)),"",(VLOOKUP($E37,'D-1 Off Site Habitat Baseline'!$D$1:$O$258,11,FALSE))))</f>
        <v/>
      </c>
      <c r="M37" s="520" t="str">
        <f>IF(E37="","",IF(ISNA(VLOOKUP($E37,'D-1 Off Site Habitat Baseline'!$D$1:$O$258,12,FALSE)),"",(VLOOKUP($E37,'D-1 Off Site Habitat Baseline'!$D$1:$O$258,12,FALSE))))</f>
        <v/>
      </c>
      <c r="N37" s="520" t="str">
        <f>IF(E37="","",IF(ISNA(VLOOKUP($E37,'D-1 Off Site Habitat Baseline'!$D$1:$X$258,14,FALSE)),"",(VLOOKUP($E37,'D-1 Off Site Habitat Baseline'!$D$1:$X$258,14,FALSE))))</f>
        <v/>
      </c>
      <c r="O37" s="524" t="str">
        <f>IF(E37="","",IF(ISNA(VLOOKUP($E37,'D-1 Off Site Habitat Baseline'!$D$1:$X$258,13,FALSE)),"",(VLOOKUP($E37,'D-1 Off Site Habitat Baseline'!$D$1:$X$258,13,FALSE))))</f>
        <v/>
      </c>
      <c r="P37" s="232" t="str">
        <f>IFERROR(INDEX('G-1 All Habitats'!$AG$3:$AG$15,MATCH(Q37,'G-1 All Habitats'!$AF$3:$AF$15,0)),"")</f>
        <v/>
      </c>
      <c r="Q37" s="228" t="str">
        <f t="shared" si="12"/>
        <v/>
      </c>
      <c r="R37" s="229" t="str">
        <f t="shared" si="13"/>
        <v/>
      </c>
      <c r="S37" s="233" t="str">
        <f>IFERROR(INDEX('G-1 All Habitats'!$B$3:$B$129,MATCH(R37,'G-1 All Habitats'!$A$3:$A$129,0)),"")</f>
        <v/>
      </c>
      <c r="T37" s="507" t="str">
        <f t="shared" si="5"/>
        <v/>
      </c>
      <c r="U37" s="524" t="str">
        <f t="shared" si="6"/>
        <v/>
      </c>
      <c r="V37" s="523" t="str">
        <f t="shared" si="2"/>
        <v/>
      </c>
      <c r="W37" s="520" t="str">
        <f>IF(S37="","",VLOOKUP(S37,'G-1 All Habitats'!$B$2:$M$129,10,FALSE))</f>
        <v/>
      </c>
      <c r="X37" s="520" t="str">
        <f>IFERROR(VLOOKUP(W37,'G-1 All Habitats'!$V$3:$W$7,2,FALSE),"")</f>
        <v/>
      </c>
      <c r="Y37" s="203"/>
      <c r="Z37" s="524" t="str">
        <f>IFERROR(INDEX('G-8 Condition Look up'!$A$3:$H$130,MATCH(S37,'G-8 Condition Look up'!$A$3:$A$130,0),MATCH(Y37,'G-8 Condition Look up'!$A$3:$H$3,0)),"")</f>
        <v/>
      </c>
      <c r="AA37" s="145"/>
      <c r="AB37" s="540" t="str">
        <f>IF(AA37="","",IF(VLOOKUP(AA37,'G-3 Multipliers'!$L$3:$N$6,2,FALSE)=0,"Spatial Data Missing ⚠",VLOOKUP(AA37,'G-3 Multipliers'!$L$3:$N$6,2,FALSE)))</f>
        <v/>
      </c>
      <c r="AC37" s="524" t="str">
        <f>IF(AA37="","",IF(VLOOKUP(AA37,'G-3 Multipliers'!$L$3:$N$6,3,FALSE)=0,"Spatial Data Missing ⚠",VLOOKUP(AA37,'G-3 Multipliers'!$L$3:$N$6,3,FALSE)))</f>
        <v/>
      </c>
      <c r="AD37" s="537" t="str">
        <f t="shared" si="3"/>
        <v/>
      </c>
      <c r="AE37" s="203"/>
      <c r="AF37" s="203"/>
      <c r="AG37" s="520" t="str">
        <f t="shared" si="7"/>
        <v/>
      </c>
      <c r="AH37" s="544" t="str">
        <f t="shared" si="8"/>
        <v/>
      </c>
      <c r="AI37" s="525" t="str">
        <f>IF(AH37="Check Data ⚠","Check Data ⚠",IFERROR(VLOOKUP(AH37,'G-4 Temporal multipliers'!$A$4:$C$36,3,FALSE),""))</f>
        <v/>
      </c>
      <c r="AJ37" s="537" t="str">
        <f>IF(S37="","",VLOOKUP(S37,'G-3 Multipliers'!$A$2:$E$129,4,FALSE))</f>
        <v/>
      </c>
      <c r="AK37" s="520" t="str">
        <f t="shared" si="9"/>
        <v/>
      </c>
      <c r="AL37" s="520" t="str">
        <f t="shared" si="10"/>
        <v/>
      </c>
      <c r="AM37" s="524" t="str">
        <f>IFERROR(IF(F37="","",IF(AH37="Check Data ⚠","Check Data ⚠",VLOOKUP(AL37, 'G-3 Multipliers'!$P$2:$Q$6,2,FALSE))),"")</f>
        <v/>
      </c>
      <c r="AN37" s="197"/>
      <c r="AO37" s="540" t="str">
        <f>IF(AN37="","",IF(VLOOKUP(AN37,'G-3 Multipliers'!$S$3:$T$9,2,FALSE)=0,"Spatial Data Missing ⚠",VLOOKUP(AN37,'G-3 Multipliers'!$S$3:$T$9,2,FALSE)))</f>
        <v/>
      </c>
      <c r="AP37" s="513" t="str">
        <f t="shared" si="11"/>
        <v/>
      </c>
      <c r="AQ37" s="231"/>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7" t="str">
        <f>'D-1 Off Site Habitat Baseline'!AL37</f>
        <v/>
      </c>
      <c r="F38" s="520" t="str">
        <f>IF(E38="","",IF(ISNA(VLOOKUP($E38,'D-1 Off Site Habitat Baseline'!$D$1:$O$258,4,FALSE)),"",(VLOOKUP($E38,'D-1 Off Site Habitat Baseline'!$D$1:$O$258,4,FALSE))))</f>
        <v/>
      </c>
      <c r="G38" s="520" t="str">
        <f>IF(E38="","",IF(ISNA(VLOOKUP($E38,'D-1 Off Site Habitat Baseline'!$D$1:$O$258,5,FALSE)),"",(VLOOKUP($E38,'D-1 Off Site Habitat Baseline'!$D$1:$O$258,5,FALSE))))</f>
        <v/>
      </c>
      <c r="H38" s="520" t="str">
        <f>IF(E38="","",IF(ISNA(VLOOKUP($E38,'D-1 Off Site Habitat Baseline'!$D$1:$O$258,6,FALSE)),"",(VLOOKUP($E38,'D-1 Off Site Habitat Baseline'!$D$1:$O$258,6,FALSE))))</f>
        <v/>
      </c>
      <c r="I38" s="520" t="str">
        <f>IF(E38="","",IF(ISNA(VLOOKUP($E38,'D-1 Off Site Habitat Baseline'!$D$1:$O$258,7,FALSE)),"",(VLOOKUP($E38,'D-1 Off Site Habitat Baseline'!$D$1:$O$258,7,FALSE))))</f>
        <v/>
      </c>
      <c r="J38" s="520" t="str">
        <f>IF(E38="","",IF(ISNA(VLOOKUP($E38,'D-1 Off Site Habitat Baseline'!$D$1:$O$258,8,FALSE)),"",(VLOOKUP($E38,'D-1 Off Site Habitat Baseline'!$D$1:$O$258,8,FALSE))))</f>
        <v/>
      </c>
      <c r="K38" s="520" t="str">
        <f>IF(E38="","",IF(ISNA(VLOOKUP($E38,'D-1 Off Site Habitat Baseline'!$D$1:$O$258,9,FALSE)),"",(VLOOKUP($E38,'D-1 Off Site Habitat Baseline'!$D$1:$O$258,9,FALSE))))</f>
        <v/>
      </c>
      <c r="L38" s="520" t="str">
        <f>IF(E38="","",IF(ISNA(VLOOKUP($E38,'D-1 Off Site Habitat Baseline'!$D$1:$O$258,11,FALSE)),"",(VLOOKUP($E38,'D-1 Off Site Habitat Baseline'!$D$1:$O$258,11,FALSE))))</f>
        <v/>
      </c>
      <c r="M38" s="520" t="str">
        <f>IF(E38="","",IF(ISNA(VLOOKUP($E38,'D-1 Off Site Habitat Baseline'!$D$1:$O$258,12,FALSE)),"",(VLOOKUP($E38,'D-1 Off Site Habitat Baseline'!$D$1:$O$258,12,FALSE))))</f>
        <v/>
      </c>
      <c r="N38" s="520" t="str">
        <f>IF(E38="","",IF(ISNA(VLOOKUP($E38,'D-1 Off Site Habitat Baseline'!$D$1:$X$258,14,FALSE)),"",(VLOOKUP($E38,'D-1 Off Site Habitat Baseline'!$D$1:$X$258,14,FALSE))))</f>
        <v/>
      </c>
      <c r="O38" s="524" t="str">
        <f>IF(E38="","",IF(ISNA(VLOOKUP($E38,'D-1 Off Site Habitat Baseline'!$D$1:$X$258,13,FALSE)),"",(VLOOKUP($E38,'D-1 Off Site Habitat Baseline'!$D$1:$X$258,13,FALSE))))</f>
        <v/>
      </c>
      <c r="P38" s="232" t="str">
        <f>IFERROR(INDEX('G-1 All Habitats'!$AG$3:$AG$15,MATCH(Q38,'G-1 All Habitats'!$AF$3:$AF$15,0)),"")</f>
        <v/>
      </c>
      <c r="Q38" s="228" t="str">
        <f t="shared" si="12"/>
        <v/>
      </c>
      <c r="R38" s="229" t="str">
        <f t="shared" si="13"/>
        <v/>
      </c>
      <c r="S38" s="233" t="str">
        <f>IFERROR(INDEX('G-1 All Habitats'!$B$3:$B$129,MATCH(R38,'G-1 All Habitats'!$A$3:$A$129,0)),"")</f>
        <v/>
      </c>
      <c r="T38" s="507" t="str">
        <f t="shared" si="5"/>
        <v/>
      </c>
      <c r="U38" s="524" t="str">
        <f t="shared" si="6"/>
        <v/>
      </c>
      <c r="V38" s="523" t="str">
        <f t="shared" si="2"/>
        <v/>
      </c>
      <c r="W38" s="520" t="str">
        <f>IF(S38="","",VLOOKUP(S38,'G-1 All Habitats'!$B$2:$M$129,10,FALSE))</f>
        <v/>
      </c>
      <c r="X38" s="520" t="str">
        <f>IFERROR(VLOOKUP(W38,'G-1 All Habitats'!$V$3:$W$7,2,FALSE),"")</f>
        <v/>
      </c>
      <c r="Y38" s="203"/>
      <c r="Z38" s="524" t="str">
        <f>IFERROR(INDEX('G-8 Condition Look up'!$A$3:$H$130,MATCH(S38,'G-8 Condition Look up'!$A$3:$A$130,0),MATCH(Y38,'G-8 Condition Look up'!$A$3:$H$3,0)),"")</f>
        <v/>
      </c>
      <c r="AA38" s="145"/>
      <c r="AB38" s="540" t="str">
        <f>IF(AA38="","",IF(VLOOKUP(AA38,'G-3 Multipliers'!$L$3:$N$6,2,FALSE)=0,"Spatial Data Missing ⚠",VLOOKUP(AA38,'G-3 Multipliers'!$L$3:$N$6,2,FALSE)))</f>
        <v/>
      </c>
      <c r="AC38" s="524" t="str">
        <f>IF(AA38="","",IF(VLOOKUP(AA38,'G-3 Multipliers'!$L$3:$N$6,3,FALSE)=0,"Spatial Data Missing ⚠",VLOOKUP(AA38,'G-3 Multipliers'!$L$3:$N$6,3,FALSE)))</f>
        <v/>
      </c>
      <c r="AD38" s="537" t="str">
        <f t="shared" si="3"/>
        <v/>
      </c>
      <c r="AE38" s="203"/>
      <c r="AF38" s="203"/>
      <c r="AG38" s="520" t="str">
        <f t="shared" si="7"/>
        <v/>
      </c>
      <c r="AH38" s="544" t="str">
        <f t="shared" si="8"/>
        <v/>
      </c>
      <c r="AI38" s="525" t="str">
        <f>IF(AH38="Check Data ⚠","Check Data ⚠",IFERROR(VLOOKUP(AH38,'G-4 Temporal multipliers'!$A$4:$C$36,3,FALSE),""))</f>
        <v/>
      </c>
      <c r="AJ38" s="537" t="str">
        <f>IF(S38="","",VLOOKUP(S38,'G-3 Multipliers'!$A$2:$E$129,4,FALSE))</f>
        <v/>
      </c>
      <c r="AK38" s="520" t="str">
        <f t="shared" si="9"/>
        <v/>
      </c>
      <c r="AL38" s="520" t="str">
        <f t="shared" si="10"/>
        <v/>
      </c>
      <c r="AM38" s="524" t="str">
        <f>IFERROR(IF(F38="","",IF(AH38="Check Data ⚠","Check Data ⚠",VLOOKUP(AL38, 'G-3 Multipliers'!$P$2:$Q$6,2,FALSE))),"")</f>
        <v/>
      </c>
      <c r="AN38" s="197"/>
      <c r="AO38" s="540" t="str">
        <f>IF(AN38="","",IF(VLOOKUP(AN38,'G-3 Multipliers'!$S$3:$T$9,2,FALSE)=0,"Spatial Data Missing ⚠",VLOOKUP(AN38,'G-3 Multipliers'!$S$3:$T$9,2,FALSE)))</f>
        <v/>
      </c>
      <c r="AP38" s="513" t="str">
        <f t="shared" si="11"/>
        <v/>
      </c>
      <c r="AQ38" s="231"/>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7" t="str">
        <f>'D-1 Off Site Habitat Baseline'!AL38</f>
        <v/>
      </c>
      <c r="F39" s="520" t="str">
        <f>IF(E39="","",IF(ISNA(VLOOKUP($E39,'D-1 Off Site Habitat Baseline'!$D$1:$O$258,4,FALSE)),"",(VLOOKUP($E39,'D-1 Off Site Habitat Baseline'!$D$1:$O$258,4,FALSE))))</f>
        <v/>
      </c>
      <c r="G39" s="520" t="str">
        <f>IF(E39="","",IF(ISNA(VLOOKUP($E39,'D-1 Off Site Habitat Baseline'!$D$1:$O$258,5,FALSE)),"",(VLOOKUP($E39,'D-1 Off Site Habitat Baseline'!$D$1:$O$258,5,FALSE))))</f>
        <v/>
      </c>
      <c r="H39" s="520" t="str">
        <f>IF(E39="","",IF(ISNA(VLOOKUP($E39,'D-1 Off Site Habitat Baseline'!$D$1:$O$258,6,FALSE)),"",(VLOOKUP($E39,'D-1 Off Site Habitat Baseline'!$D$1:$O$258,6,FALSE))))</f>
        <v/>
      </c>
      <c r="I39" s="520" t="str">
        <f>IF(E39="","",IF(ISNA(VLOOKUP($E39,'D-1 Off Site Habitat Baseline'!$D$1:$O$258,7,FALSE)),"",(VLOOKUP($E39,'D-1 Off Site Habitat Baseline'!$D$1:$O$258,7,FALSE))))</f>
        <v/>
      </c>
      <c r="J39" s="520" t="str">
        <f>IF(E39="","",IF(ISNA(VLOOKUP($E39,'D-1 Off Site Habitat Baseline'!$D$1:$O$258,8,FALSE)),"",(VLOOKUP($E39,'D-1 Off Site Habitat Baseline'!$D$1:$O$258,8,FALSE))))</f>
        <v/>
      </c>
      <c r="K39" s="520" t="str">
        <f>IF(E39="","",IF(ISNA(VLOOKUP($E39,'D-1 Off Site Habitat Baseline'!$D$1:$O$258,9,FALSE)),"",(VLOOKUP($E39,'D-1 Off Site Habitat Baseline'!$D$1:$O$258,9,FALSE))))</f>
        <v/>
      </c>
      <c r="L39" s="520" t="str">
        <f>IF(E39="","",IF(ISNA(VLOOKUP($E39,'D-1 Off Site Habitat Baseline'!$D$1:$O$258,11,FALSE)),"",(VLOOKUP($E39,'D-1 Off Site Habitat Baseline'!$D$1:$O$258,11,FALSE))))</f>
        <v/>
      </c>
      <c r="M39" s="520" t="str">
        <f>IF(E39="","",IF(ISNA(VLOOKUP($E39,'D-1 Off Site Habitat Baseline'!$D$1:$O$258,12,FALSE)),"",(VLOOKUP($E39,'D-1 Off Site Habitat Baseline'!$D$1:$O$258,12,FALSE))))</f>
        <v/>
      </c>
      <c r="N39" s="520" t="str">
        <f>IF(E39="","",IF(ISNA(VLOOKUP($E39,'D-1 Off Site Habitat Baseline'!$D$1:$X$258,14,FALSE)),"",(VLOOKUP($E39,'D-1 Off Site Habitat Baseline'!$D$1:$X$258,14,FALSE))))</f>
        <v/>
      </c>
      <c r="O39" s="524" t="str">
        <f>IF(E39="","",IF(ISNA(VLOOKUP($E39,'D-1 Off Site Habitat Baseline'!$D$1:$X$258,13,FALSE)),"",(VLOOKUP($E39,'D-1 Off Site Habitat Baseline'!$D$1:$X$258,13,FALSE))))</f>
        <v/>
      </c>
      <c r="P39" s="232" t="str">
        <f>IFERROR(INDEX('G-1 All Habitats'!$AG$3:$AG$15,MATCH(Q39,'G-1 All Habitats'!$AF$3:$AF$15,0)),"")</f>
        <v/>
      </c>
      <c r="Q39" s="228" t="str">
        <f t="shared" si="12"/>
        <v/>
      </c>
      <c r="R39" s="229" t="str">
        <f t="shared" si="13"/>
        <v/>
      </c>
      <c r="S39" s="233" t="str">
        <f>IFERROR(INDEX('G-1 All Habitats'!$B$3:$B$129,MATCH(R39,'G-1 All Habitats'!$A$3:$A$129,0)),"")</f>
        <v/>
      </c>
      <c r="T39" s="507" t="str">
        <f t="shared" si="5"/>
        <v/>
      </c>
      <c r="U39" s="524" t="str">
        <f t="shared" si="6"/>
        <v/>
      </c>
      <c r="V39" s="523" t="str">
        <f t="shared" si="2"/>
        <v/>
      </c>
      <c r="W39" s="520" t="str">
        <f>IF(S39="","",VLOOKUP(S39,'G-1 All Habitats'!$B$2:$M$129,10,FALSE))</f>
        <v/>
      </c>
      <c r="X39" s="520" t="str">
        <f>IFERROR(VLOOKUP(W39,'G-1 All Habitats'!$V$3:$W$7,2,FALSE),"")</f>
        <v/>
      </c>
      <c r="Y39" s="203"/>
      <c r="Z39" s="524" t="str">
        <f>IFERROR(INDEX('G-8 Condition Look up'!$A$3:$H$130,MATCH(S39,'G-8 Condition Look up'!$A$3:$A$130,0),MATCH(Y39,'G-8 Condition Look up'!$A$3:$H$3,0)),"")</f>
        <v/>
      </c>
      <c r="AA39" s="145"/>
      <c r="AB39" s="540" t="str">
        <f>IF(AA39="","",IF(VLOOKUP(AA39,'G-3 Multipliers'!$L$3:$N$6,2,FALSE)=0,"Spatial Data Missing ⚠",VLOOKUP(AA39,'G-3 Multipliers'!$L$3:$N$6,2,FALSE)))</f>
        <v/>
      </c>
      <c r="AC39" s="524" t="str">
        <f>IF(AA39="","",IF(VLOOKUP(AA39,'G-3 Multipliers'!$L$3:$N$6,3,FALSE)=0,"Spatial Data Missing ⚠",VLOOKUP(AA39,'G-3 Multipliers'!$L$3:$N$6,3,FALSE)))</f>
        <v/>
      </c>
      <c r="AD39" s="537" t="str">
        <f t="shared" si="3"/>
        <v/>
      </c>
      <c r="AE39" s="203"/>
      <c r="AF39" s="203"/>
      <c r="AG39" s="520" t="str">
        <f t="shared" si="7"/>
        <v/>
      </c>
      <c r="AH39" s="544" t="str">
        <f t="shared" si="8"/>
        <v/>
      </c>
      <c r="AI39" s="525" t="str">
        <f>IF(AH39="Check Data ⚠","Check Data ⚠",IFERROR(VLOOKUP(AH39,'G-4 Temporal multipliers'!$A$4:$C$36,3,FALSE),""))</f>
        <v/>
      </c>
      <c r="AJ39" s="537" t="str">
        <f>IF(S39="","",VLOOKUP(S39,'G-3 Multipliers'!$A$2:$E$129,4,FALSE))</f>
        <v/>
      </c>
      <c r="AK39" s="520" t="str">
        <f t="shared" si="9"/>
        <v/>
      </c>
      <c r="AL39" s="520" t="str">
        <f t="shared" si="10"/>
        <v/>
      </c>
      <c r="AM39" s="524" t="str">
        <f>IFERROR(IF(F39="","",IF(AH39="Check Data ⚠","Check Data ⚠",VLOOKUP(AL39, 'G-3 Multipliers'!$P$2:$Q$6,2,FALSE))),"")</f>
        <v/>
      </c>
      <c r="AN39" s="197"/>
      <c r="AO39" s="540" t="str">
        <f>IF(AN39="","",IF(VLOOKUP(AN39,'G-3 Multipliers'!$S$3:$T$9,2,FALSE)=0,"Spatial Data Missing ⚠",VLOOKUP(AN39,'G-3 Multipliers'!$S$3:$T$9,2,FALSE)))</f>
        <v/>
      </c>
      <c r="AP39" s="513" t="str">
        <f t="shared" si="11"/>
        <v/>
      </c>
      <c r="AQ39" s="231"/>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7" t="str">
        <f>'D-1 Off Site Habitat Baseline'!AL39</f>
        <v/>
      </c>
      <c r="F40" s="520" t="str">
        <f>IF(E40="","",IF(ISNA(VLOOKUP($E40,'D-1 Off Site Habitat Baseline'!$D$1:$O$258,4,FALSE)),"",(VLOOKUP($E40,'D-1 Off Site Habitat Baseline'!$D$1:$O$258,4,FALSE))))</f>
        <v/>
      </c>
      <c r="G40" s="520" t="str">
        <f>IF(E40="","",IF(ISNA(VLOOKUP($E40,'D-1 Off Site Habitat Baseline'!$D$1:$O$258,5,FALSE)),"",(VLOOKUP($E40,'D-1 Off Site Habitat Baseline'!$D$1:$O$258,5,FALSE))))</f>
        <v/>
      </c>
      <c r="H40" s="520" t="str">
        <f>IF(E40="","",IF(ISNA(VLOOKUP($E40,'D-1 Off Site Habitat Baseline'!$D$1:$O$258,6,FALSE)),"",(VLOOKUP($E40,'D-1 Off Site Habitat Baseline'!$D$1:$O$258,6,FALSE))))</f>
        <v/>
      </c>
      <c r="I40" s="520" t="str">
        <f>IF(E40="","",IF(ISNA(VLOOKUP($E40,'D-1 Off Site Habitat Baseline'!$D$1:$O$258,7,FALSE)),"",(VLOOKUP($E40,'D-1 Off Site Habitat Baseline'!$D$1:$O$258,7,FALSE))))</f>
        <v/>
      </c>
      <c r="J40" s="520" t="str">
        <f>IF(E40="","",IF(ISNA(VLOOKUP($E40,'D-1 Off Site Habitat Baseline'!$D$1:$O$258,8,FALSE)),"",(VLOOKUP($E40,'D-1 Off Site Habitat Baseline'!$D$1:$O$258,8,FALSE))))</f>
        <v/>
      </c>
      <c r="K40" s="520" t="str">
        <f>IF(E40="","",IF(ISNA(VLOOKUP($E40,'D-1 Off Site Habitat Baseline'!$D$1:$O$258,9,FALSE)),"",(VLOOKUP($E40,'D-1 Off Site Habitat Baseline'!$D$1:$O$258,9,FALSE))))</f>
        <v/>
      </c>
      <c r="L40" s="520" t="str">
        <f>IF(E40="","",IF(ISNA(VLOOKUP($E40,'D-1 Off Site Habitat Baseline'!$D$1:$O$258,11,FALSE)),"",(VLOOKUP($E40,'D-1 Off Site Habitat Baseline'!$D$1:$O$258,11,FALSE))))</f>
        <v/>
      </c>
      <c r="M40" s="520" t="str">
        <f>IF(E40="","",IF(ISNA(VLOOKUP($E40,'D-1 Off Site Habitat Baseline'!$D$1:$O$258,12,FALSE)),"",(VLOOKUP($E40,'D-1 Off Site Habitat Baseline'!$D$1:$O$258,12,FALSE))))</f>
        <v/>
      </c>
      <c r="N40" s="520" t="str">
        <f>IF(E40="","",IF(ISNA(VLOOKUP($E40,'D-1 Off Site Habitat Baseline'!$D$1:$X$258,14,FALSE)),"",(VLOOKUP($E40,'D-1 Off Site Habitat Baseline'!$D$1:$X$258,14,FALSE))))</f>
        <v/>
      </c>
      <c r="O40" s="524" t="str">
        <f>IF(E40="","",IF(ISNA(VLOOKUP($E40,'D-1 Off Site Habitat Baseline'!$D$1:$X$258,13,FALSE)),"",(VLOOKUP($E40,'D-1 Off Site Habitat Baseline'!$D$1:$X$258,13,FALSE))))</f>
        <v/>
      </c>
      <c r="P40" s="232" t="str">
        <f>IFERROR(INDEX('G-1 All Habitats'!$AG$3:$AG$15,MATCH(Q40,'G-1 All Habitats'!$AF$3:$AF$15,0)),"")</f>
        <v/>
      </c>
      <c r="Q40" s="228" t="str">
        <f t="shared" si="12"/>
        <v/>
      </c>
      <c r="R40" s="229" t="str">
        <f t="shared" si="13"/>
        <v/>
      </c>
      <c r="S40" s="233" t="str">
        <f>IFERROR(INDEX('G-1 All Habitats'!$B$3:$B$129,MATCH(R40,'G-1 All Habitats'!$A$3:$A$129,0)),"")</f>
        <v/>
      </c>
      <c r="T40" s="507" t="str">
        <f t="shared" si="5"/>
        <v/>
      </c>
      <c r="U40" s="524" t="str">
        <f t="shared" si="6"/>
        <v/>
      </c>
      <c r="V40" s="523" t="str">
        <f t="shared" si="2"/>
        <v/>
      </c>
      <c r="W40" s="520" t="str">
        <f>IF(S40="","",VLOOKUP(S40,'G-1 All Habitats'!$B$2:$M$129,10,FALSE))</f>
        <v/>
      </c>
      <c r="X40" s="520" t="str">
        <f>IFERROR(VLOOKUP(W40,'G-1 All Habitats'!$V$3:$W$7,2,FALSE),"")</f>
        <v/>
      </c>
      <c r="Y40" s="203"/>
      <c r="Z40" s="524" t="str">
        <f>IFERROR(INDEX('G-8 Condition Look up'!$A$3:$H$130,MATCH(S40,'G-8 Condition Look up'!$A$3:$A$130,0),MATCH(Y40,'G-8 Condition Look up'!$A$3:$H$3,0)),"")</f>
        <v/>
      </c>
      <c r="AA40" s="145"/>
      <c r="AB40" s="540" t="str">
        <f>IF(AA40="","",IF(VLOOKUP(AA40,'G-3 Multipliers'!$L$3:$N$6,2,FALSE)=0,"Spatial Data Missing ⚠",VLOOKUP(AA40,'G-3 Multipliers'!$L$3:$N$6,2,FALSE)))</f>
        <v/>
      </c>
      <c r="AC40" s="524" t="str">
        <f>IF(AA40="","",IF(VLOOKUP(AA40,'G-3 Multipliers'!$L$3:$N$6,3,FALSE)=0,"Spatial Data Missing ⚠",VLOOKUP(AA40,'G-3 Multipliers'!$L$3:$N$6,3,FALSE)))</f>
        <v/>
      </c>
      <c r="AD40" s="537" t="str">
        <f t="shared" si="3"/>
        <v/>
      </c>
      <c r="AE40" s="203"/>
      <c r="AF40" s="203"/>
      <c r="AG40" s="520" t="str">
        <f t="shared" si="7"/>
        <v/>
      </c>
      <c r="AH40" s="544" t="str">
        <f t="shared" si="8"/>
        <v/>
      </c>
      <c r="AI40" s="525" t="str">
        <f>IF(AH40="Check Data ⚠","Check Data ⚠",IFERROR(VLOOKUP(AH40,'G-4 Temporal multipliers'!$A$4:$C$36,3,FALSE),""))</f>
        <v/>
      </c>
      <c r="AJ40" s="537" t="str">
        <f>IF(S40="","",VLOOKUP(S40,'G-3 Multipliers'!$A$2:$E$129,4,FALSE))</f>
        <v/>
      </c>
      <c r="AK40" s="520" t="str">
        <f t="shared" si="9"/>
        <v/>
      </c>
      <c r="AL40" s="520" t="str">
        <f t="shared" si="10"/>
        <v/>
      </c>
      <c r="AM40" s="524" t="str">
        <f>IFERROR(IF(F40="","",IF(AH40="Check Data ⚠","Check Data ⚠",VLOOKUP(AL40, 'G-3 Multipliers'!$P$2:$Q$6,2,FALSE))),"")</f>
        <v/>
      </c>
      <c r="AN40" s="197"/>
      <c r="AO40" s="540" t="str">
        <f>IF(AN40="","",IF(VLOOKUP(AN40,'G-3 Multipliers'!$S$3:$T$9,2,FALSE)=0,"Spatial Data Missing ⚠",VLOOKUP(AN40,'G-3 Multipliers'!$S$3:$T$9,2,FALSE)))</f>
        <v/>
      </c>
      <c r="AP40" s="513" t="str">
        <f t="shared" si="11"/>
        <v/>
      </c>
      <c r="AQ40" s="231"/>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7" t="str">
        <f>'D-1 Off Site Habitat Baseline'!AL40</f>
        <v/>
      </c>
      <c r="F41" s="520" t="str">
        <f>IF(E41="","",IF(ISNA(VLOOKUP($E41,'D-1 Off Site Habitat Baseline'!$D$1:$O$258,4,FALSE)),"",(VLOOKUP($E41,'D-1 Off Site Habitat Baseline'!$D$1:$O$258,4,FALSE))))</f>
        <v/>
      </c>
      <c r="G41" s="520" t="str">
        <f>IF(E41="","",IF(ISNA(VLOOKUP($E41,'D-1 Off Site Habitat Baseline'!$D$1:$O$258,5,FALSE)),"",(VLOOKUP($E41,'D-1 Off Site Habitat Baseline'!$D$1:$O$258,5,FALSE))))</f>
        <v/>
      </c>
      <c r="H41" s="520" t="str">
        <f>IF(E41="","",IF(ISNA(VLOOKUP($E41,'D-1 Off Site Habitat Baseline'!$D$1:$O$258,6,FALSE)),"",(VLOOKUP($E41,'D-1 Off Site Habitat Baseline'!$D$1:$O$258,6,FALSE))))</f>
        <v/>
      </c>
      <c r="I41" s="520" t="str">
        <f>IF(E41="","",IF(ISNA(VLOOKUP($E41,'D-1 Off Site Habitat Baseline'!$D$1:$O$258,7,FALSE)),"",(VLOOKUP($E41,'D-1 Off Site Habitat Baseline'!$D$1:$O$258,7,FALSE))))</f>
        <v/>
      </c>
      <c r="J41" s="520" t="str">
        <f>IF(E41="","",IF(ISNA(VLOOKUP($E41,'D-1 Off Site Habitat Baseline'!$D$1:$O$258,8,FALSE)),"",(VLOOKUP($E41,'D-1 Off Site Habitat Baseline'!$D$1:$O$258,8,FALSE))))</f>
        <v/>
      </c>
      <c r="K41" s="520" t="str">
        <f>IF(E41="","",IF(ISNA(VLOOKUP($E41,'D-1 Off Site Habitat Baseline'!$D$1:$O$258,9,FALSE)),"",(VLOOKUP($E41,'D-1 Off Site Habitat Baseline'!$D$1:$O$258,9,FALSE))))</f>
        <v/>
      </c>
      <c r="L41" s="520" t="str">
        <f>IF(E41="","",IF(ISNA(VLOOKUP($E41,'D-1 Off Site Habitat Baseline'!$D$1:$O$258,11,FALSE)),"",(VLOOKUP($E41,'D-1 Off Site Habitat Baseline'!$D$1:$O$258,11,FALSE))))</f>
        <v/>
      </c>
      <c r="M41" s="520" t="str">
        <f>IF(E41="","",IF(ISNA(VLOOKUP($E41,'D-1 Off Site Habitat Baseline'!$D$1:$O$258,12,FALSE)),"",(VLOOKUP($E41,'D-1 Off Site Habitat Baseline'!$D$1:$O$258,12,FALSE))))</f>
        <v/>
      </c>
      <c r="N41" s="520" t="str">
        <f>IF(E41="","",IF(ISNA(VLOOKUP($E41,'D-1 Off Site Habitat Baseline'!$D$1:$X$258,14,FALSE)),"",(VLOOKUP($E41,'D-1 Off Site Habitat Baseline'!$D$1:$X$258,14,FALSE))))</f>
        <v/>
      </c>
      <c r="O41" s="524" t="str">
        <f>IF(E41="","",IF(ISNA(VLOOKUP($E41,'D-1 Off Site Habitat Baseline'!$D$1:$X$258,13,FALSE)),"",(VLOOKUP($E41,'D-1 Off Site Habitat Baseline'!$D$1:$X$258,13,FALSE))))</f>
        <v/>
      </c>
      <c r="P41" s="232" t="str">
        <f>IFERROR(INDEX('G-1 All Habitats'!$AG$3:$AG$15,MATCH(Q41,'G-1 All Habitats'!$AF$3:$AF$15,0)),"")</f>
        <v/>
      </c>
      <c r="Q41" s="228" t="str">
        <f t="shared" si="12"/>
        <v/>
      </c>
      <c r="R41" s="229" t="str">
        <f t="shared" si="13"/>
        <v/>
      </c>
      <c r="S41" s="233" t="str">
        <f>IFERROR(INDEX('G-1 All Habitats'!$B$3:$B$129,MATCH(R41,'G-1 All Habitats'!$A$3:$A$129,0)),"")</f>
        <v/>
      </c>
      <c r="T41" s="507" t="str">
        <f t="shared" si="5"/>
        <v/>
      </c>
      <c r="U41" s="524" t="str">
        <f t="shared" si="6"/>
        <v/>
      </c>
      <c r="V41" s="523" t="str">
        <f t="shared" si="2"/>
        <v/>
      </c>
      <c r="W41" s="520" t="str">
        <f>IF(S41="","",VLOOKUP(S41,'G-1 All Habitats'!$B$2:$M$129,10,FALSE))</f>
        <v/>
      </c>
      <c r="X41" s="520" t="str">
        <f>IFERROR(VLOOKUP(W41,'G-1 All Habitats'!$V$3:$W$7,2,FALSE),"")</f>
        <v/>
      </c>
      <c r="Y41" s="203"/>
      <c r="Z41" s="524" t="str">
        <f>IFERROR(INDEX('G-8 Condition Look up'!$A$3:$H$130,MATCH(S41,'G-8 Condition Look up'!$A$3:$A$130,0),MATCH(Y41,'G-8 Condition Look up'!$A$3:$H$3,0)),"")</f>
        <v/>
      </c>
      <c r="AA41" s="145"/>
      <c r="AB41" s="540" t="str">
        <f>IF(AA41="","",IF(VLOOKUP(AA41,'G-3 Multipliers'!$L$3:$N$6,2,FALSE)=0,"Spatial Data Missing ⚠",VLOOKUP(AA41,'G-3 Multipliers'!$L$3:$N$6,2,FALSE)))</f>
        <v/>
      </c>
      <c r="AC41" s="524" t="str">
        <f>IF(AA41="","",IF(VLOOKUP(AA41,'G-3 Multipliers'!$L$3:$N$6,3,FALSE)=0,"Spatial Data Missing ⚠",VLOOKUP(AA41,'G-3 Multipliers'!$L$3:$N$6,3,FALSE)))</f>
        <v/>
      </c>
      <c r="AD41" s="537" t="str">
        <f t="shared" si="3"/>
        <v/>
      </c>
      <c r="AE41" s="203"/>
      <c r="AF41" s="203"/>
      <c r="AG41" s="520" t="str">
        <f t="shared" si="7"/>
        <v/>
      </c>
      <c r="AH41" s="544" t="str">
        <f t="shared" si="8"/>
        <v/>
      </c>
      <c r="AI41" s="525" t="str">
        <f>IF(AH41="Check Data ⚠","Check Data ⚠",IFERROR(VLOOKUP(AH41,'G-4 Temporal multipliers'!$A$4:$C$36,3,FALSE),""))</f>
        <v/>
      </c>
      <c r="AJ41" s="537" t="str">
        <f>IF(S41="","",VLOOKUP(S41,'G-3 Multipliers'!$A$2:$E$129,4,FALSE))</f>
        <v/>
      </c>
      <c r="AK41" s="520" t="str">
        <f t="shared" si="9"/>
        <v/>
      </c>
      <c r="AL41" s="520" t="str">
        <f t="shared" si="10"/>
        <v/>
      </c>
      <c r="AM41" s="524" t="str">
        <f>IFERROR(IF(F41="","",IF(AH41="Check Data ⚠","Check Data ⚠",VLOOKUP(AL41, 'G-3 Multipliers'!$P$2:$Q$6,2,FALSE))),"")</f>
        <v/>
      </c>
      <c r="AN41" s="197"/>
      <c r="AO41" s="540" t="str">
        <f>IF(AN41="","",IF(VLOOKUP(AN41,'G-3 Multipliers'!$S$3:$T$9,2,FALSE)=0,"Spatial Data Missing ⚠",VLOOKUP(AN41,'G-3 Multipliers'!$S$3:$T$9,2,FALSE)))</f>
        <v/>
      </c>
      <c r="AP41" s="513" t="str">
        <f t="shared" si="11"/>
        <v/>
      </c>
      <c r="AQ41" s="231"/>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7" t="str">
        <f>'D-1 Off Site Habitat Baseline'!AL41</f>
        <v/>
      </c>
      <c r="F42" s="520" t="str">
        <f>IF(E42="","",IF(ISNA(VLOOKUP($E42,'D-1 Off Site Habitat Baseline'!$D$1:$O$258,4,FALSE)),"",(VLOOKUP($E42,'D-1 Off Site Habitat Baseline'!$D$1:$O$258,4,FALSE))))</f>
        <v/>
      </c>
      <c r="G42" s="520" t="str">
        <f>IF(E42="","",IF(ISNA(VLOOKUP($E42,'D-1 Off Site Habitat Baseline'!$D$1:$O$258,5,FALSE)),"",(VLOOKUP($E42,'D-1 Off Site Habitat Baseline'!$D$1:$O$258,5,FALSE))))</f>
        <v/>
      </c>
      <c r="H42" s="520" t="str">
        <f>IF(E42="","",IF(ISNA(VLOOKUP($E42,'D-1 Off Site Habitat Baseline'!$D$1:$O$258,6,FALSE)),"",(VLOOKUP($E42,'D-1 Off Site Habitat Baseline'!$D$1:$O$258,6,FALSE))))</f>
        <v/>
      </c>
      <c r="I42" s="520" t="str">
        <f>IF(E42="","",IF(ISNA(VLOOKUP($E42,'D-1 Off Site Habitat Baseline'!$D$1:$O$258,7,FALSE)),"",(VLOOKUP($E42,'D-1 Off Site Habitat Baseline'!$D$1:$O$258,7,FALSE))))</f>
        <v/>
      </c>
      <c r="J42" s="520" t="str">
        <f>IF(E42="","",IF(ISNA(VLOOKUP($E42,'D-1 Off Site Habitat Baseline'!$D$1:$O$258,8,FALSE)),"",(VLOOKUP($E42,'D-1 Off Site Habitat Baseline'!$D$1:$O$258,8,FALSE))))</f>
        <v/>
      </c>
      <c r="K42" s="520" t="str">
        <f>IF(E42="","",IF(ISNA(VLOOKUP($E42,'D-1 Off Site Habitat Baseline'!$D$1:$O$258,9,FALSE)),"",(VLOOKUP($E42,'D-1 Off Site Habitat Baseline'!$D$1:$O$258,9,FALSE))))</f>
        <v/>
      </c>
      <c r="L42" s="520" t="str">
        <f>IF(E42="","",IF(ISNA(VLOOKUP($E42,'D-1 Off Site Habitat Baseline'!$D$1:$O$258,11,FALSE)),"",(VLOOKUP($E42,'D-1 Off Site Habitat Baseline'!$D$1:$O$258,11,FALSE))))</f>
        <v/>
      </c>
      <c r="M42" s="520" t="str">
        <f>IF(E42="","",IF(ISNA(VLOOKUP($E42,'D-1 Off Site Habitat Baseline'!$D$1:$O$258,12,FALSE)),"",(VLOOKUP($E42,'D-1 Off Site Habitat Baseline'!$D$1:$O$258,12,FALSE))))</f>
        <v/>
      </c>
      <c r="N42" s="520" t="str">
        <f>IF(E42="","",IF(ISNA(VLOOKUP($E42,'D-1 Off Site Habitat Baseline'!$D$1:$X$258,14,FALSE)),"",(VLOOKUP($E42,'D-1 Off Site Habitat Baseline'!$D$1:$X$258,14,FALSE))))</f>
        <v/>
      </c>
      <c r="O42" s="524" t="str">
        <f>IF(E42="","",IF(ISNA(VLOOKUP($E42,'D-1 Off Site Habitat Baseline'!$D$1:$X$258,13,FALSE)),"",(VLOOKUP($E42,'D-1 Off Site Habitat Baseline'!$D$1:$X$258,13,FALSE))))</f>
        <v/>
      </c>
      <c r="P42" s="232" t="str">
        <f>IFERROR(INDEX('G-1 All Habitats'!$AG$3:$AG$15,MATCH(Q42,'G-1 All Habitats'!$AF$3:$AF$15,0)),"")</f>
        <v/>
      </c>
      <c r="Q42" s="228" t="str">
        <f t="shared" si="12"/>
        <v/>
      </c>
      <c r="R42" s="229" t="str">
        <f t="shared" si="13"/>
        <v/>
      </c>
      <c r="S42" s="233" t="str">
        <f>IFERROR(INDEX('G-1 All Habitats'!$B$3:$B$129,MATCH(R42,'G-1 All Habitats'!$A$3:$A$129,0)),"")</f>
        <v/>
      </c>
      <c r="T42" s="507" t="str">
        <f t="shared" si="5"/>
        <v/>
      </c>
      <c r="U42" s="524" t="str">
        <f t="shared" si="6"/>
        <v/>
      </c>
      <c r="V42" s="523" t="str">
        <f t="shared" si="2"/>
        <v/>
      </c>
      <c r="W42" s="520" t="str">
        <f>IF(S42="","",VLOOKUP(S42,'G-1 All Habitats'!$B$2:$M$129,10,FALSE))</f>
        <v/>
      </c>
      <c r="X42" s="520" t="str">
        <f>IFERROR(VLOOKUP(W42,'G-1 All Habitats'!$V$3:$W$7,2,FALSE),"")</f>
        <v/>
      </c>
      <c r="Y42" s="203"/>
      <c r="Z42" s="524" t="str">
        <f>IFERROR(INDEX('G-8 Condition Look up'!$A$3:$H$130,MATCH(S42,'G-8 Condition Look up'!$A$3:$A$130,0),MATCH(Y42,'G-8 Condition Look up'!$A$3:$H$3,0)),"")</f>
        <v/>
      </c>
      <c r="AA42" s="145"/>
      <c r="AB42" s="540" t="str">
        <f>IF(AA42="","",IF(VLOOKUP(AA42,'G-3 Multipliers'!$L$3:$N$6,2,FALSE)=0,"Spatial Data Missing ⚠",VLOOKUP(AA42,'G-3 Multipliers'!$L$3:$N$6,2,FALSE)))</f>
        <v/>
      </c>
      <c r="AC42" s="524" t="str">
        <f>IF(AA42="","",IF(VLOOKUP(AA42,'G-3 Multipliers'!$L$3:$N$6,3,FALSE)=0,"Spatial Data Missing ⚠",VLOOKUP(AA42,'G-3 Multipliers'!$L$3:$N$6,3,FALSE)))</f>
        <v/>
      </c>
      <c r="AD42" s="537" t="str">
        <f t="shared" si="3"/>
        <v/>
      </c>
      <c r="AE42" s="203"/>
      <c r="AF42" s="203"/>
      <c r="AG42" s="520" t="str">
        <f t="shared" si="7"/>
        <v/>
      </c>
      <c r="AH42" s="544" t="str">
        <f t="shared" si="8"/>
        <v/>
      </c>
      <c r="AI42" s="525" t="str">
        <f>IF(AH42="Check Data ⚠","Check Data ⚠",IFERROR(VLOOKUP(AH42,'G-4 Temporal multipliers'!$A$4:$C$36,3,FALSE),""))</f>
        <v/>
      </c>
      <c r="AJ42" s="537" t="str">
        <f>IF(S42="","",VLOOKUP(S42,'G-3 Multipliers'!$A$2:$E$129,4,FALSE))</f>
        <v/>
      </c>
      <c r="AK42" s="520" t="str">
        <f t="shared" si="9"/>
        <v/>
      </c>
      <c r="AL42" s="520" t="str">
        <f t="shared" si="10"/>
        <v/>
      </c>
      <c r="AM42" s="524" t="str">
        <f>IFERROR(IF(F42="","",IF(AH42="Check Data ⚠","Check Data ⚠",VLOOKUP(AL42, 'G-3 Multipliers'!$P$2:$Q$6,2,FALSE))),"")</f>
        <v/>
      </c>
      <c r="AN42" s="197"/>
      <c r="AO42" s="540" t="str">
        <f>IF(AN42="","",IF(VLOOKUP(AN42,'G-3 Multipliers'!$S$3:$T$9,2,FALSE)=0,"Spatial Data Missing ⚠",VLOOKUP(AN42,'G-3 Multipliers'!$S$3:$T$9,2,FALSE)))</f>
        <v/>
      </c>
      <c r="AP42" s="513" t="str">
        <f t="shared" si="11"/>
        <v/>
      </c>
      <c r="AQ42" s="231"/>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7" t="str">
        <f>'D-1 Off Site Habitat Baseline'!AL42</f>
        <v/>
      </c>
      <c r="F43" s="520" t="str">
        <f>IF(E43="","",IF(ISNA(VLOOKUP($E43,'D-1 Off Site Habitat Baseline'!$D$1:$O$258,4,FALSE)),"",(VLOOKUP($E43,'D-1 Off Site Habitat Baseline'!$D$1:$O$258,4,FALSE))))</f>
        <v/>
      </c>
      <c r="G43" s="520" t="str">
        <f>IF(E43="","",IF(ISNA(VLOOKUP($E43,'D-1 Off Site Habitat Baseline'!$D$1:$O$258,5,FALSE)),"",(VLOOKUP($E43,'D-1 Off Site Habitat Baseline'!$D$1:$O$258,5,FALSE))))</f>
        <v/>
      </c>
      <c r="H43" s="520" t="str">
        <f>IF(E43="","",IF(ISNA(VLOOKUP($E43,'D-1 Off Site Habitat Baseline'!$D$1:$O$258,6,FALSE)),"",(VLOOKUP($E43,'D-1 Off Site Habitat Baseline'!$D$1:$O$258,6,FALSE))))</f>
        <v/>
      </c>
      <c r="I43" s="520" t="str">
        <f>IF(E43="","",IF(ISNA(VLOOKUP($E43,'D-1 Off Site Habitat Baseline'!$D$1:$O$258,7,FALSE)),"",(VLOOKUP($E43,'D-1 Off Site Habitat Baseline'!$D$1:$O$258,7,FALSE))))</f>
        <v/>
      </c>
      <c r="J43" s="520" t="str">
        <f>IF(E43="","",IF(ISNA(VLOOKUP($E43,'D-1 Off Site Habitat Baseline'!$D$1:$O$258,8,FALSE)),"",(VLOOKUP($E43,'D-1 Off Site Habitat Baseline'!$D$1:$O$258,8,FALSE))))</f>
        <v/>
      </c>
      <c r="K43" s="520" t="str">
        <f>IF(E43="","",IF(ISNA(VLOOKUP($E43,'D-1 Off Site Habitat Baseline'!$D$1:$O$258,9,FALSE)),"",(VLOOKUP($E43,'D-1 Off Site Habitat Baseline'!$D$1:$O$258,9,FALSE))))</f>
        <v/>
      </c>
      <c r="L43" s="520" t="str">
        <f>IF(E43="","",IF(ISNA(VLOOKUP($E43,'D-1 Off Site Habitat Baseline'!$D$1:$O$258,11,FALSE)),"",(VLOOKUP($E43,'D-1 Off Site Habitat Baseline'!$D$1:$O$258,11,FALSE))))</f>
        <v/>
      </c>
      <c r="M43" s="520" t="str">
        <f>IF(E43="","",IF(ISNA(VLOOKUP($E43,'D-1 Off Site Habitat Baseline'!$D$1:$O$258,12,FALSE)),"",(VLOOKUP($E43,'D-1 Off Site Habitat Baseline'!$D$1:$O$258,12,FALSE))))</f>
        <v/>
      </c>
      <c r="N43" s="520" t="str">
        <f>IF(E43="","",IF(ISNA(VLOOKUP($E43,'D-1 Off Site Habitat Baseline'!$D$1:$X$258,14,FALSE)),"",(VLOOKUP($E43,'D-1 Off Site Habitat Baseline'!$D$1:$X$258,14,FALSE))))</f>
        <v/>
      </c>
      <c r="O43" s="524" t="str">
        <f>IF(E43="","",IF(ISNA(VLOOKUP($E43,'D-1 Off Site Habitat Baseline'!$D$1:$X$258,13,FALSE)),"",(VLOOKUP($E43,'D-1 Off Site Habitat Baseline'!$D$1:$X$258,13,FALSE))))</f>
        <v/>
      </c>
      <c r="P43" s="232" t="str">
        <f>IFERROR(INDEX('G-1 All Habitats'!$AG$3:$AG$15,MATCH(Q43,'G-1 All Habitats'!$AF$3:$AF$15,0)),"")</f>
        <v/>
      </c>
      <c r="Q43" s="228" t="str">
        <f t="shared" si="12"/>
        <v/>
      </c>
      <c r="R43" s="229" t="str">
        <f t="shared" si="13"/>
        <v/>
      </c>
      <c r="S43" s="233" t="str">
        <f>IFERROR(INDEX('G-1 All Habitats'!$B$3:$B$129,MATCH(R43,'G-1 All Habitats'!$A$3:$A$129,0)),"")</f>
        <v/>
      </c>
      <c r="T43" s="507" t="str">
        <f t="shared" si="5"/>
        <v/>
      </c>
      <c r="U43" s="524" t="str">
        <f t="shared" si="6"/>
        <v/>
      </c>
      <c r="V43" s="523" t="str">
        <f t="shared" si="2"/>
        <v/>
      </c>
      <c r="W43" s="520" t="str">
        <f>IF(S43="","",VLOOKUP(S43,'G-1 All Habitats'!$B$2:$M$129,10,FALSE))</f>
        <v/>
      </c>
      <c r="X43" s="520" t="str">
        <f>IFERROR(VLOOKUP(W43,'G-1 All Habitats'!$V$3:$W$7,2,FALSE),"")</f>
        <v/>
      </c>
      <c r="Y43" s="203"/>
      <c r="Z43" s="524" t="str">
        <f>IFERROR(INDEX('G-8 Condition Look up'!$A$3:$H$130,MATCH(S43,'G-8 Condition Look up'!$A$3:$A$130,0),MATCH(Y43,'G-8 Condition Look up'!$A$3:$H$3,0)),"")</f>
        <v/>
      </c>
      <c r="AA43" s="145"/>
      <c r="AB43" s="540" t="str">
        <f>IF(AA43="","",IF(VLOOKUP(AA43,'G-3 Multipliers'!$L$3:$N$6,2,FALSE)=0,"Spatial Data Missing ⚠",VLOOKUP(AA43,'G-3 Multipliers'!$L$3:$N$6,2,FALSE)))</f>
        <v/>
      </c>
      <c r="AC43" s="524" t="str">
        <f>IF(AA43="","",IF(VLOOKUP(AA43,'G-3 Multipliers'!$L$3:$N$6,3,FALSE)=0,"Spatial Data Missing ⚠",VLOOKUP(AA43,'G-3 Multipliers'!$L$3:$N$6,3,FALSE)))</f>
        <v/>
      </c>
      <c r="AD43" s="537" t="str">
        <f t="shared" si="3"/>
        <v/>
      </c>
      <c r="AE43" s="203"/>
      <c r="AF43" s="203"/>
      <c r="AG43" s="520" t="str">
        <f t="shared" si="7"/>
        <v/>
      </c>
      <c r="AH43" s="544" t="str">
        <f t="shared" si="8"/>
        <v/>
      </c>
      <c r="AI43" s="525" t="str">
        <f>IF(AH43="Check Data ⚠","Check Data ⚠",IFERROR(VLOOKUP(AH43,'G-4 Temporal multipliers'!$A$4:$C$36,3,FALSE),""))</f>
        <v/>
      </c>
      <c r="AJ43" s="537" t="str">
        <f>IF(S43="","",VLOOKUP(S43,'G-3 Multipliers'!$A$2:$E$129,4,FALSE))</f>
        <v/>
      </c>
      <c r="AK43" s="520" t="str">
        <f t="shared" si="9"/>
        <v/>
      </c>
      <c r="AL43" s="520" t="str">
        <f t="shared" si="10"/>
        <v/>
      </c>
      <c r="AM43" s="524" t="str">
        <f>IFERROR(IF(F43="","",IF(AH43="Check Data ⚠","Check Data ⚠",VLOOKUP(AL43, 'G-3 Multipliers'!$P$2:$Q$6,2,FALSE))),"")</f>
        <v/>
      </c>
      <c r="AN43" s="197"/>
      <c r="AO43" s="540" t="str">
        <f>IF(AN43="","",IF(VLOOKUP(AN43,'G-3 Multipliers'!$S$3:$T$9,2,FALSE)=0,"Spatial Data Missing ⚠",VLOOKUP(AN43,'G-3 Multipliers'!$S$3:$T$9,2,FALSE)))</f>
        <v/>
      </c>
      <c r="AP43" s="513" t="str">
        <f t="shared" si="11"/>
        <v/>
      </c>
      <c r="AQ43" s="231"/>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7" t="str">
        <f>'D-1 Off Site Habitat Baseline'!AL43</f>
        <v/>
      </c>
      <c r="F44" s="520" t="str">
        <f>IF(E44="","",IF(ISNA(VLOOKUP($E44,'D-1 Off Site Habitat Baseline'!$D$1:$O$258,4,FALSE)),"",(VLOOKUP($E44,'D-1 Off Site Habitat Baseline'!$D$1:$O$258,4,FALSE))))</f>
        <v/>
      </c>
      <c r="G44" s="520" t="str">
        <f>IF(E44="","",IF(ISNA(VLOOKUP($E44,'D-1 Off Site Habitat Baseline'!$D$1:$O$258,5,FALSE)),"",(VLOOKUP($E44,'D-1 Off Site Habitat Baseline'!$D$1:$O$258,5,FALSE))))</f>
        <v/>
      </c>
      <c r="H44" s="520" t="str">
        <f>IF(E44="","",IF(ISNA(VLOOKUP($E44,'D-1 Off Site Habitat Baseline'!$D$1:$O$258,6,FALSE)),"",(VLOOKUP($E44,'D-1 Off Site Habitat Baseline'!$D$1:$O$258,6,FALSE))))</f>
        <v/>
      </c>
      <c r="I44" s="520" t="str">
        <f>IF(E44="","",IF(ISNA(VLOOKUP($E44,'D-1 Off Site Habitat Baseline'!$D$1:$O$258,7,FALSE)),"",(VLOOKUP($E44,'D-1 Off Site Habitat Baseline'!$D$1:$O$258,7,FALSE))))</f>
        <v/>
      </c>
      <c r="J44" s="520" t="str">
        <f>IF(E44="","",IF(ISNA(VLOOKUP($E44,'D-1 Off Site Habitat Baseline'!$D$1:$O$258,8,FALSE)),"",(VLOOKUP($E44,'D-1 Off Site Habitat Baseline'!$D$1:$O$258,8,FALSE))))</f>
        <v/>
      </c>
      <c r="K44" s="520" t="str">
        <f>IF(E44="","",IF(ISNA(VLOOKUP($E44,'D-1 Off Site Habitat Baseline'!$D$1:$O$258,9,FALSE)),"",(VLOOKUP($E44,'D-1 Off Site Habitat Baseline'!$D$1:$O$258,9,FALSE))))</f>
        <v/>
      </c>
      <c r="L44" s="520" t="str">
        <f>IF(E44="","",IF(ISNA(VLOOKUP($E44,'D-1 Off Site Habitat Baseline'!$D$1:$O$258,11,FALSE)),"",(VLOOKUP($E44,'D-1 Off Site Habitat Baseline'!$D$1:$O$258,11,FALSE))))</f>
        <v/>
      </c>
      <c r="M44" s="520" t="str">
        <f>IF(E44="","",IF(ISNA(VLOOKUP($E44,'D-1 Off Site Habitat Baseline'!$D$1:$O$258,12,FALSE)),"",(VLOOKUP($E44,'D-1 Off Site Habitat Baseline'!$D$1:$O$258,12,FALSE))))</f>
        <v/>
      </c>
      <c r="N44" s="520" t="str">
        <f>IF(E44="","",IF(ISNA(VLOOKUP($E44,'D-1 Off Site Habitat Baseline'!$D$1:$X$258,14,FALSE)),"",(VLOOKUP($E44,'D-1 Off Site Habitat Baseline'!$D$1:$X$258,14,FALSE))))</f>
        <v/>
      </c>
      <c r="O44" s="524" t="str">
        <f>IF(E44="","",IF(ISNA(VLOOKUP($E44,'D-1 Off Site Habitat Baseline'!$D$1:$X$258,13,FALSE)),"",(VLOOKUP($E44,'D-1 Off Site Habitat Baseline'!$D$1:$X$258,13,FALSE))))</f>
        <v/>
      </c>
      <c r="P44" s="232" t="str">
        <f>IFERROR(INDEX('G-1 All Habitats'!$AG$3:$AG$15,MATCH(Q44,'G-1 All Habitats'!$AF$3:$AF$15,0)),"")</f>
        <v/>
      </c>
      <c r="Q44" s="228" t="str">
        <f t="shared" si="12"/>
        <v/>
      </c>
      <c r="R44" s="229" t="str">
        <f t="shared" si="13"/>
        <v/>
      </c>
      <c r="S44" s="233" t="str">
        <f>IFERROR(INDEX('G-1 All Habitats'!$B$3:$B$129,MATCH(R44,'G-1 All Habitats'!$A$3:$A$129,0)),"")</f>
        <v/>
      </c>
      <c r="T44" s="507" t="str">
        <f t="shared" si="5"/>
        <v/>
      </c>
      <c r="U44" s="524" t="str">
        <f t="shared" si="6"/>
        <v/>
      </c>
      <c r="V44" s="523" t="str">
        <f t="shared" si="2"/>
        <v/>
      </c>
      <c r="W44" s="520" t="str">
        <f>IF(S44="","",VLOOKUP(S44,'G-1 All Habitats'!$B$2:$M$129,10,FALSE))</f>
        <v/>
      </c>
      <c r="X44" s="520" t="str">
        <f>IFERROR(VLOOKUP(W44,'G-1 All Habitats'!$V$3:$W$7,2,FALSE),"")</f>
        <v/>
      </c>
      <c r="Y44" s="203"/>
      <c r="Z44" s="524" t="str">
        <f>IFERROR(INDEX('G-8 Condition Look up'!$A$3:$H$130,MATCH(S44,'G-8 Condition Look up'!$A$3:$A$130,0),MATCH(Y44,'G-8 Condition Look up'!$A$3:$H$3,0)),"")</f>
        <v/>
      </c>
      <c r="AA44" s="145"/>
      <c r="AB44" s="540" t="str">
        <f>IF(AA44="","",IF(VLOOKUP(AA44,'G-3 Multipliers'!$L$3:$N$6,2,FALSE)=0,"Spatial Data Missing ⚠",VLOOKUP(AA44,'G-3 Multipliers'!$L$3:$N$6,2,FALSE)))</f>
        <v/>
      </c>
      <c r="AC44" s="524" t="str">
        <f>IF(AA44="","",IF(VLOOKUP(AA44,'G-3 Multipliers'!$L$3:$N$6,3,FALSE)=0,"Spatial Data Missing ⚠",VLOOKUP(AA44,'G-3 Multipliers'!$L$3:$N$6,3,FALSE)))</f>
        <v/>
      </c>
      <c r="AD44" s="537" t="str">
        <f t="shared" si="3"/>
        <v/>
      </c>
      <c r="AE44" s="203"/>
      <c r="AF44" s="203"/>
      <c r="AG44" s="520" t="str">
        <f t="shared" si="7"/>
        <v/>
      </c>
      <c r="AH44" s="544" t="str">
        <f t="shared" si="8"/>
        <v/>
      </c>
      <c r="AI44" s="525" t="str">
        <f>IF(AH44="Check Data ⚠","Check Data ⚠",IFERROR(VLOOKUP(AH44,'G-4 Temporal multipliers'!$A$4:$C$36,3,FALSE),""))</f>
        <v/>
      </c>
      <c r="AJ44" s="537" t="str">
        <f>IF(S44="","",VLOOKUP(S44,'G-3 Multipliers'!$A$2:$E$129,4,FALSE))</f>
        <v/>
      </c>
      <c r="AK44" s="520" t="str">
        <f t="shared" si="9"/>
        <v/>
      </c>
      <c r="AL44" s="520" t="str">
        <f t="shared" si="10"/>
        <v/>
      </c>
      <c r="AM44" s="524" t="str">
        <f>IFERROR(IF(F44="","",IF(AH44="Check Data ⚠","Check Data ⚠",VLOOKUP(AL44, 'G-3 Multipliers'!$P$2:$Q$6,2,FALSE))),"")</f>
        <v/>
      </c>
      <c r="AN44" s="197"/>
      <c r="AO44" s="540" t="str">
        <f>IF(AN44="","",IF(VLOOKUP(AN44,'G-3 Multipliers'!$S$3:$T$9,2,FALSE)=0,"Spatial Data Missing ⚠",VLOOKUP(AN44,'G-3 Multipliers'!$S$3:$T$9,2,FALSE)))</f>
        <v/>
      </c>
      <c r="AP44" s="513" t="str">
        <f t="shared" si="11"/>
        <v/>
      </c>
      <c r="AQ44" s="231"/>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7" t="str">
        <f>'D-1 Off Site Habitat Baseline'!AL44</f>
        <v/>
      </c>
      <c r="F45" s="520" t="str">
        <f>IF(E45="","",IF(ISNA(VLOOKUP($E45,'D-1 Off Site Habitat Baseline'!$D$1:$O$258,4,FALSE)),"",(VLOOKUP($E45,'D-1 Off Site Habitat Baseline'!$D$1:$O$258,4,FALSE))))</f>
        <v/>
      </c>
      <c r="G45" s="520" t="str">
        <f>IF(E45="","",IF(ISNA(VLOOKUP($E45,'D-1 Off Site Habitat Baseline'!$D$1:$O$258,5,FALSE)),"",(VLOOKUP($E45,'D-1 Off Site Habitat Baseline'!$D$1:$O$258,5,FALSE))))</f>
        <v/>
      </c>
      <c r="H45" s="520" t="str">
        <f>IF(E45="","",IF(ISNA(VLOOKUP($E45,'D-1 Off Site Habitat Baseline'!$D$1:$O$258,6,FALSE)),"",(VLOOKUP($E45,'D-1 Off Site Habitat Baseline'!$D$1:$O$258,6,FALSE))))</f>
        <v/>
      </c>
      <c r="I45" s="520" t="str">
        <f>IF(E45="","",IF(ISNA(VLOOKUP($E45,'D-1 Off Site Habitat Baseline'!$D$1:$O$258,7,FALSE)),"",(VLOOKUP($E45,'D-1 Off Site Habitat Baseline'!$D$1:$O$258,7,FALSE))))</f>
        <v/>
      </c>
      <c r="J45" s="520" t="str">
        <f>IF(E45="","",IF(ISNA(VLOOKUP($E45,'D-1 Off Site Habitat Baseline'!$D$1:$O$258,8,FALSE)),"",(VLOOKUP($E45,'D-1 Off Site Habitat Baseline'!$D$1:$O$258,8,FALSE))))</f>
        <v/>
      </c>
      <c r="K45" s="520" t="str">
        <f>IF(E45="","",IF(ISNA(VLOOKUP($E45,'D-1 Off Site Habitat Baseline'!$D$1:$O$258,9,FALSE)),"",(VLOOKUP($E45,'D-1 Off Site Habitat Baseline'!$D$1:$O$258,9,FALSE))))</f>
        <v/>
      </c>
      <c r="L45" s="520" t="str">
        <f>IF(E45="","",IF(ISNA(VLOOKUP($E45,'D-1 Off Site Habitat Baseline'!$D$1:$O$258,11,FALSE)),"",(VLOOKUP($E45,'D-1 Off Site Habitat Baseline'!$D$1:$O$258,11,FALSE))))</f>
        <v/>
      </c>
      <c r="M45" s="520" t="str">
        <f>IF(E45="","",IF(ISNA(VLOOKUP($E45,'D-1 Off Site Habitat Baseline'!$D$1:$O$258,12,FALSE)),"",(VLOOKUP($E45,'D-1 Off Site Habitat Baseline'!$D$1:$O$258,12,FALSE))))</f>
        <v/>
      </c>
      <c r="N45" s="520" t="str">
        <f>IF(E45="","",IF(ISNA(VLOOKUP($E45,'D-1 Off Site Habitat Baseline'!$D$1:$X$258,14,FALSE)),"",(VLOOKUP($E45,'D-1 Off Site Habitat Baseline'!$D$1:$X$258,14,FALSE))))</f>
        <v/>
      </c>
      <c r="O45" s="524" t="str">
        <f>IF(E45="","",IF(ISNA(VLOOKUP($E45,'D-1 Off Site Habitat Baseline'!$D$1:$X$258,13,FALSE)),"",(VLOOKUP($E45,'D-1 Off Site Habitat Baseline'!$D$1:$X$258,13,FALSE))))</f>
        <v/>
      </c>
      <c r="P45" s="232" t="str">
        <f>IFERROR(INDEX('G-1 All Habitats'!$AG$3:$AG$15,MATCH(Q45,'G-1 All Habitats'!$AF$3:$AF$15,0)),"")</f>
        <v/>
      </c>
      <c r="Q45" s="228" t="str">
        <f t="shared" si="12"/>
        <v/>
      </c>
      <c r="R45" s="229" t="str">
        <f t="shared" si="13"/>
        <v/>
      </c>
      <c r="S45" s="233" t="str">
        <f>IFERROR(INDEX('G-1 All Habitats'!$B$3:$B$129,MATCH(R45,'G-1 All Habitats'!$A$3:$A$129,0)),"")</f>
        <v/>
      </c>
      <c r="T45" s="507" t="str">
        <f t="shared" si="5"/>
        <v/>
      </c>
      <c r="U45" s="524" t="str">
        <f t="shared" si="6"/>
        <v/>
      </c>
      <c r="V45" s="523" t="str">
        <f t="shared" si="2"/>
        <v/>
      </c>
      <c r="W45" s="520" t="str">
        <f>IF(S45="","",VLOOKUP(S45,'G-1 All Habitats'!$B$2:$M$129,10,FALSE))</f>
        <v/>
      </c>
      <c r="X45" s="520" t="str">
        <f>IFERROR(VLOOKUP(W45,'G-1 All Habitats'!$V$3:$W$7,2,FALSE),"")</f>
        <v/>
      </c>
      <c r="Y45" s="203"/>
      <c r="Z45" s="524" t="str">
        <f>IFERROR(INDEX('G-8 Condition Look up'!$A$3:$H$130,MATCH(S45,'G-8 Condition Look up'!$A$3:$A$130,0),MATCH(Y45,'G-8 Condition Look up'!$A$3:$H$3,0)),"")</f>
        <v/>
      </c>
      <c r="AA45" s="145"/>
      <c r="AB45" s="540" t="str">
        <f>IF(AA45="","",IF(VLOOKUP(AA45,'G-3 Multipliers'!$L$3:$N$6,2,FALSE)=0,"Spatial Data Missing ⚠",VLOOKUP(AA45,'G-3 Multipliers'!$L$3:$N$6,2,FALSE)))</f>
        <v/>
      </c>
      <c r="AC45" s="524" t="str">
        <f>IF(AA45="","",IF(VLOOKUP(AA45,'G-3 Multipliers'!$L$3:$N$6,3,FALSE)=0,"Spatial Data Missing ⚠",VLOOKUP(AA45,'G-3 Multipliers'!$L$3:$N$6,3,FALSE)))</f>
        <v/>
      </c>
      <c r="AD45" s="537" t="str">
        <f t="shared" si="3"/>
        <v/>
      </c>
      <c r="AE45" s="203"/>
      <c r="AF45" s="203"/>
      <c r="AG45" s="520" t="str">
        <f t="shared" si="7"/>
        <v/>
      </c>
      <c r="AH45" s="544" t="str">
        <f t="shared" si="8"/>
        <v/>
      </c>
      <c r="AI45" s="525" t="str">
        <f>IF(AH45="Check Data ⚠","Check Data ⚠",IFERROR(VLOOKUP(AH45,'G-4 Temporal multipliers'!$A$4:$C$36,3,FALSE),""))</f>
        <v/>
      </c>
      <c r="AJ45" s="537" t="str">
        <f>IF(S45="","",VLOOKUP(S45,'G-3 Multipliers'!$A$2:$E$129,4,FALSE))</f>
        <v/>
      </c>
      <c r="AK45" s="520" t="str">
        <f t="shared" si="9"/>
        <v/>
      </c>
      <c r="AL45" s="520" t="str">
        <f t="shared" si="10"/>
        <v/>
      </c>
      <c r="AM45" s="524" t="str">
        <f>IFERROR(IF(F45="","",IF(AH45="Check Data ⚠","Check Data ⚠",VLOOKUP(AL45, 'G-3 Multipliers'!$P$2:$Q$6,2,FALSE))),"")</f>
        <v/>
      </c>
      <c r="AN45" s="197"/>
      <c r="AO45" s="540" t="str">
        <f>IF(AN45="","",IF(VLOOKUP(AN45,'G-3 Multipliers'!$S$3:$T$9,2,FALSE)=0,"Spatial Data Missing ⚠",VLOOKUP(AN45,'G-3 Multipliers'!$S$3:$T$9,2,FALSE)))</f>
        <v/>
      </c>
      <c r="AP45" s="513" t="str">
        <f t="shared" si="11"/>
        <v/>
      </c>
      <c r="AQ45" s="231"/>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7" t="str">
        <f>'D-1 Off Site Habitat Baseline'!AL45</f>
        <v/>
      </c>
      <c r="F46" s="520" t="str">
        <f>IF(E46="","",IF(ISNA(VLOOKUP($E46,'D-1 Off Site Habitat Baseline'!$D$1:$O$258,4,FALSE)),"",(VLOOKUP($E46,'D-1 Off Site Habitat Baseline'!$D$1:$O$258,4,FALSE))))</f>
        <v/>
      </c>
      <c r="G46" s="520" t="str">
        <f>IF(E46="","",IF(ISNA(VLOOKUP($E46,'D-1 Off Site Habitat Baseline'!$D$1:$O$258,5,FALSE)),"",(VLOOKUP($E46,'D-1 Off Site Habitat Baseline'!$D$1:$O$258,5,FALSE))))</f>
        <v/>
      </c>
      <c r="H46" s="520" t="str">
        <f>IF(E46="","",IF(ISNA(VLOOKUP($E46,'D-1 Off Site Habitat Baseline'!$D$1:$O$258,6,FALSE)),"",(VLOOKUP($E46,'D-1 Off Site Habitat Baseline'!$D$1:$O$258,6,FALSE))))</f>
        <v/>
      </c>
      <c r="I46" s="520" t="str">
        <f>IF(E46="","",IF(ISNA(VLOOKUP($E46,'D-1 Off Site Habitat Baseline'!$D$1:$O$258,7,FALSE)),"",(VLOOKUP($E46,'D-1 Off Site Habitat Baseline'!$D$1:$O$258,7,FALSE))))</f>
        <v/>
      </c>
      <c r="J46" s="520" t="str">
        <f>IF(E46="","",IF(ISNA(VLOOKUP($E46,'D-1 Off Site Habitat Baseline'!$D$1:$O$258,8,FALSE)),"",(VLOOKUP($E46,'D-1 Off Site Habitat Baseline'!$D$1:$O$258,8,FALSE))))</f>
        <v/>
      </c>
      <c r="K46" s="520" t="str">
        <f>IF(E46="","",IF(ISNA(VLOOKUP($E46,'D-1 Off Site Habitat Baseline'!$D$1:$O$258,9,FALSE)),"",(VLOOKUP($E46,'D-1 Off Site Habitat Baseline'!$D$1:$O$258,9,FALSE))))</f>
        <v/>
      </c>
      <c r="L46" s="520" t="str">
        <f>IF(E46="","",IF(ISNA(VLOOKUP($E46,'D-1 Off Site Habitat Baseline'!$D$1:$O$258,11,FALSE)),"",(VLOOKUP($E46,'D-1 Off Site Habitat Baseline'!$D$1:$O$258,11,FALSE))))</f>
        <v/>
      </c>
      <c r="M46" s="520" t="str">
        <f>IF(E46="","",IF(ISNA(VLOOKUP($E46,'D-1 Off Site Habitat Baseline'!$D$1:$O$258,12,FALSE)),"",(VLOOKUP($E46,'D-1 Off Site Habitat Baseline'!$D$1:$O$258,12,FALSE))))</f>
        <v/>
      </c>
      <c r="N46" s="520" t="str">
        <f>IF(E46="","",IF(ISNA(VLOOKUP($E46,'D-1 Off Site Habitat Baseline'!$D$1:$X$258,14,FALSE)),"",(VLOOKUP($E46,'D-1 Off Site Habitat Baseline'!$D$1:$X$258,14,FALSE))))</f>
        <v/>
      </c>
      <c r="O46" s="524" t="str">
        <f>IF(E46="","",IF(ISNA(VLOOKUP($E46,'D-1 Off Site Habitat Baseline'!$D$1:$X$258,13,FALSE)),"",(VLOOKUP($E46,'D-1 Off Site Habitat Baseline'!$D$1:$X$258,13,FALSE))))</f>
        <v/>
      </c>
      <c r="P46" s="232" t="str">
        <f>IFERROR(INDEX('G-1 All Habitats'!$AG$3:$AG$15,MATCH(Q46,'G-1 All Habitats'!$AF$3:$AF$15,0)),"")</f>
        <v/>
      </c>
      <c r="Q46" s="228" t="str">
        <f t="shared" si="12"/>
        <v/>
      </c>
      <c r="R46" s="229" t="str">
        <f t="shared" si="13"/>
        <v/>
      </c>
      <c r="S46" s="233" t="str">
        <f>IFERROR(INDEX('G-1 All Habitats'!$B$3:$B$129,MATCH(R46,'G-1 All Habitats'!$A$3:$A$129,0)),"")</f>
        <v/>
      </c>
      <c r="T46" s="507" t="str">
        <f t="shared" si="5"/>
        <v/>
      </c>
      <c r="U46" s="524" t="str">
        <f t="shared" si="6"/>
        <v/>
      </c>
      <c r="V46" s="523" t="str">
        <f t="shared" si="2"/>
        <v/>
      </c>
      <c r="W46" s="520" t="str">
        <f>IF(S46="","",VLOOKUP(S46,'G-1 All Habitats'!$B$2:$M$129,10,FALSE))</f>
        <v/>
      </c>
      <c r="X46" s="520" t="str">
        <f>IFERROR(VLOOKUP(W46,'G-1 All Habitats'!$V$3:$W$7,2,FALSE),"")</f>
        <v/>
      </c>
      <c r="Y46" s="203"/>
      <c r="Z46" s="524" t="str">
        <f>IFERROR(INDEX('G-8 Condition Look up'!$A$3:$H$130,MATCH(S46,'G-8 Condition Look up'!$A$3:$A$130,0),MATCH(Y46,'G-8 Condition Look up'!$A$3:$H$3,0)),"")</f>
        <v/>
      </c>
      <c r="AA46" s="145"/>
      <c r="AB46" s="540" t="str">
        <f>IF(AA46="","",IF(VLOOKUP(AA46,'G-3 Multipliers'!$L$3:$N$6,2,FALSE)=0,"Spatial Data Missing ⚠",VLOOKUP(AA46,'G-3 Multipliers'!$L$3:$N$6,2,FALSE)))</f>
        <v/>
      </c>
      <c r="AC46" s="524" t="str">
        <f>IF(AA46="","",IF(VLOOKUP(AA46,'G-3 Multipliers'!$L$3:$N$6,3,FALSE)=0,"Spatial Data Missing ⚠",VLOOKUP(AA46,'G-3 Multipliers'!$L$3:$N$6,3,FALSE)))</f>
        <v/>
      </c>
      <c r="AD46" s="537" t="str">
        <f t="shared" si="3"/>
        <v/>
      </c>
      <c r="AE46" s="203"/>
      <c r="AF46" s="203"/>
      <c r="AG46" s="520" t="str">
        <f t="shared" si="7"/>
        <v/>
      </c>
      <c r="AH46" s="544" t="str">
        <f t="shared" si="8"/>
        <v/>
      </c>
      <c r="AI46" s="525" t="str">
        <f>IF(AH46="Check Data ⚠","Check Data ⚠",IFERROR(VLOOKUP(AH46,'G-4 Temporal multipliers'!$A$4:$C$36,3,FALSE),""))</f>
        <v/>
      </c>
      <c r="AJ46" s="537" t="str">
        <f>IF(S46="","",VLOOKUP(S46,'G-3 Multipliers'!$A$2:$E$129,4,FALSE))</f>
        <v/>
      </c>
      <c r="AK46" s="520" t="str">
        <f t="shared" si="9"/>
        <v/>
      </c>
      <c r="AL46" s="520" t="str">
        <f t="shared" si="10"/>
        <v/>
      </c>
      <c r="AM46" s="524" t="str">
        <f>IFERROR(IF(F46="","",IF(AH46="Check Data ⚠","Check Data ⚠",VLOOKUP(AL46, 'G-3 Multipliers'!$P$2:$Q$6,2,FALSE))),"")</f>
        <v/>
      </c>
      <c r="AN46" s="197"/>
      <c r="AO46" s="540" t="str">
        <f>IF(AN46="","",IF(VLOOKUP(AN46,'G-3 Multipliers'!$S$3:$T$9,2,FALSE)=0,"Spatial Data Missing ⚠",VLOOKUP(AN46,'G-3 Multipliers'!$S$3:$T$9,2,FALSE)))</f>
        <v/>
      </c>
      <c r="AP46" s="513" t="str">
        <f t="shared" si="11"/>
        <v/>
      </c>
      <c r="AQ46" s="231"/>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7" t="str">
        <f>'D-1 Off Site Habitat Baseline'!AL46</f>
        <v/>
      </c>
      <c r="F47" s="520" t="str">
        <f>IF(E47="","",IF(ISNA(VLOOKUP($E47,'D-1 Off Site Habitat Baseline'!$D$1:$O$258,4,FALSE)),"",(VLOOKUP($E47,'D-1 Off Site Habitat Baseline'!$D$1:$O$258,4,FALSE))))</f>
        <v/>
      </c>
      <c r="G47" s="520" t="str">
        <f>IF(E47="","",IF(ISNA(VLOOKUP($E47,'D-1 Off Site Habitat Baseline'!$D$1:$O$258,5,FALSE)),"",(VLOOKUP($E47,'D-1 Off Site Habitat Baseline'!$D$1:$O$258,5,FALSE))))</f>
        <v/>
      </c>
      <c r="H47" s="520" t="str">
        <f>IF(E47="","",IF(ISNA(VLOOKUP($E47,'D-1 Off Site Habitat Baseline'!$D$1:$O$258,6,FALSE)),"",(VLOOKUP($E47,'D-1 Off Site Habitat Baseline'!$D$1:$O$258,6,FALSE))))</f>
        <v/>
      </c>
      <c r="I47" s="520" t="str">
        <f>IF(E47="","",IF(ISNA(VLOOKUP($E47,'D-1 Off Site Habitat Baseline'!$D$1:$O$258,7,FALSE)),"",(VLOOKUP($E47,'D-1 Off Site Habitat Baseline'!$D$1:$O$258,7,FALSE))))</f>
        <v/>
      </c>
      <c r="J47" s="520" t="str">
        <f>IF(E47="","",IF(ISNA(VLOOKUP($E47,'D-1 Off Site Habitat Baseline'!$D$1:$O$258,8,FALSE)),"",(VLOOKUP($E47,'D-1 Off Site Habitat Baseline'!$D$1:$O$258,8,FALSE))))</f>
        <v/>
      </c>
      <c r="K47" s="520" t="str">
        <f>IF(E47="","",IF(ISNA(VLOOKUP($E47,'D-1 Off Site Habitat Baseline'!$D$1:$O$258,9,FALSE)),"",(VLOOKUP($E47,'D-1 Off Site Habitat Baseline'!$D$1:$O$258,9,FALSE))))</f>
        <v/>
      </c>
      <c r="L47" s="520" t="str">
        <f>IF(E47="","",IF(ISNA(VLOOKUP($E47,'D-1 Off Site Habitat Baseline'!$D$1:$O$258,11,FALSE)),"",(VLOOKUP($E47,'D-1 Off Site Habitat Baseline'!$D$1:$O$258,11,FALSE))))</f>
        <v/>
      </c>
      <c r="M47" s="520" t="str">
        <f>IF(E47="","",IF(ISNA(VLOOKUP($E47,'D-1 Off Site Habitat Baseline'!$D$1:$O$258,12,FALSE)),"",(VLOOKUP($E47,'D-1 Off Site Habitat Baseline'!$D$1:$O$258,12,FALSE))))</f>
        <v/>
      </c>
      <c r="N47" s="520" t="str">
        <f>IF(E47="","",IF(ISNA(VLOOKUP($E47,'D-1 Off Site Habitat Baseline'!$D$1:$X$258,14,FALSE)),"",(VLOOKUP($E47,'D-1 Off Site Habitat Baseline'!$D$1:$X$258,14,FALSE))))</f>
        <v/>
      </c>
      <c r="O47" s="524" t="str">
        <f>IF(E47="","",IF(ISNA(VLOOKUP($E47,'D-1 Off Site Habitat Baseline'!$D$1:$X$258,13,FALSE)),"",(VLOOKUP($E47,'D-1 Off Site Habitat Baseline'!$D$1:$X$258,13,FALSE))))</f>
        <v/>
      </c>
      <c r="P47" s="232" t="str">
        <f>IFERROR(INDEX('G-1 All Habitats'!$AG$3:$AG$15,MATCH(Q47,'G-1 All Habitats'!$AF$3:$AF$15,0)),"")</f>
        <v/>
      </c>
      <c r="Q47" s="228" t="str">
        <f t="shared" si="12"/>
        <v/>
      </c>
      <c r="R47" s="229" t="str">
        <f t="shared" si="13"/>
        <v/>
      </c>
      <c r="S47" s="233" t="str">
        <f>IFERROR(INDEX('G-1 All Habitats'!$B$3:$B$129,MATCH(R47,'G-1 All Habitats'!$A$3:$A$129,0)),"")</f>
        <v/>
      </c>
      <c r="T47" s="507" t="str">
        <f t="shared" si="5"/>
        <v/>
      </c>
      <c r="U47" s="524" t="str">
        <f t="shared" si="6"/>
        <v/>
      </c>
      <c r="V47" s="523" t="str">
        <f t="shared" si="2"/>
        <v/>
      </c>
      <c r="W47" s="520" t="str">
        <f>IF(S47="","",VLOOKUP(S47,'G-1 All Habitats'!$B$2:$M$129,10,FALSE))</f>
        <v/>
      </c>
      <c r="X47" s="520" t="str">
        <f>IFERROR(VLOOKUP(W47,'G-1 All Habitats'!$V$3:$W$7,2,FALSE),"")</f>
        <v/>
      </c>
      <c r="Y47" s="203"/>
      <c r="Z47" s="524" t="str">
        <f>IFERROR(INDEX('G-8 Condition Look up'!$A$3:$H$130,MATCH(S47,'G-8 Condition Look up'!$A$3:$A$130,0),MATCH(Y47,'G-8 Condition Look up'!$A$3:$H$3,0)),"")</f>
        <v/>
      </c>
      <c r="AA47" s="145"/>
      <c r="AB47" s="540" t="str">
        <f>IF(AA47="","",IF(VLOOKUP(AA47,'G-3 Multipliers'!$L$3:$N$6,2,FALSE)=0,"Spatial Data Missing ⚠",VLOOKUP(AA47,'G-3 Multipliers'!$L$3:$N$6,2,FALSE)))</f>
        <v/>
      </c>
      <c r="AC47" s="524" t="str">
        <f>IF(AA47="","",IF(VLOOKUP(AA47,'G-3 Multipliers'!$L$3:$N$6,3,FALSE)=0,"Spatial Data Missing ⚠",VLOOKUP(AA47,'G-3 Multipliers'!$L$3:$N$6,3,FALSE)))</f>
        <v/>
      </c>
      <c r="AD47" s="537" t="str">
        <f t="shared" si="3"/>
        <v/>
      </c>
      <c r="AE47" s="203"/>
      <c r="AF47" s="203"/>
      <c r="AG47" s="520" t="str">
        <f t="shared" si="7"/>
        <v/>
      </c>
      <c r="AH47" s="544" t="str">
        <f t="shared" si="8"/>
        <v/>
      </c>
      <c r="AI47" s="525" t="str">
        <f>IF(AH47="Check Data ⚠","Check Data ⚠",IFERROR(VLOOKUP(AH47,'G-4 Temporal multipliers'!$A$4:$C$36,3,FALSE),""))</f>
        <v/>
      </c>
      <c r="AJ47" s="537" t="str">
        <f>IF(S47="","",VLOOKUP(S47,'G-3 Multipliers'!$A$2:$E$129,4,FALSE))</f>
        <v/>
      </c>
      <c r="AK47" s="520" t="str">
        <f t="shared" si="9"/>
        <v/>
      </c>
      <c r="AL47" s="520" t="str">
        <f t="shared" si="10"/>
        <v/>
      </c>
      <c r="AM47" s="524" t="str">
        <f>IFERROR(IF(F47="","",IF(AH47="Check Data ⚠","Check Data ⚠",VLOOKUP(AL47, 'G-3 Multipliers'!$P$2:$Q$6,2,FALSE))),"")</f>
        <v/>
      </c>
      <c r="AN47" s="197"/>
      <c r="AO47" s="540" t="str">
        <f>IF(AN47="","",IF(VLOOKUP(AN47,'G-3 Multipliers'!$S$3:$T$9,2,FALSE)=0,"Spatial Data Missing ⚠",VLOOKUP(AN47,'G-3 Multipliers'!$S$3:$T$9,2,FALSE)))</f>
        <v/>
      </c>
      <c r="AP47" s="513" t="str">
        <f t="shared" si="11"/>
        <v/>
      </c>
      <c r="AQ47" s="231"/>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7" t="str">
        <f>'D-1 Off Site Habitat Baseline'!AL47</f>
        <v/>
      </c>
      <c r="F48" s="520" t="str">
        <f>IF(E48="","",IF(ISNA(VLOOKUP($E48,'D-1 Off Site Habitat Baseline'!$D$1:$O$258,4,FALSE)),"",(VLOOKUP($E48,'D-1 Off Site Habitat Baseline'!$D$1:$O$258,4,FALSE))))</f>
        <v/>
      </c>
      <c r="G48" s="520" t="str">
        <f>IF(E48="","",IF(ISNA(VLOOKUP($E48,'D-1 Off Site Habitat Baseline'!$D$1:$O$258,5,FALSE)),"",(VLOOKUP($E48,'D-1 Off Site Habitat Baseline'!$D$1:$O$258,5,FALSE))))</f>
        <v/>
      </c>
      <c r="H48" s="520" t="str">
        <f>IF(E48="","",IF(ISNA(VLOOKUP($E48,'D-1 Off Site Habitat Baseline'!$D$1:$O$258,6,FALSE)),"",(VLOOKUP($E48,'D-1 Off Site Habitat Baseline'!$D$1:$O$258,6,FALSE))))</f>
        <v/>
      </c>
      <c r="I48" s="520" t="str">
        <f>IF(E48="","",IF(ISNA(VLOOKUP($E48,'D-1 Off Site Habitat Baseline'!$D$1:$O$258,7,FALSE)),"",(VLOOKUP($E48,'D-1 Off Site Habitat Baseline'!$D$1:$O$258,7,FALSE))))</f>
        <v/>
      </c>
      <c r="J48" s="520" t="str">
        <f>IF(E48="","",IF(ISNA(VLOOKUP($E48,'D-1 Off Site Habitat Baseline'!$D$1:$O$258,8,FALSE)),"",(VLOOKUP($E48,'D-1 Off Site Habitat Baseline'!$D$1:$O$258,8,FALSE))))</f>
        <v/>
      </c>
      <c r="K48" s="520" t="str">
        <f>IF(E48="","",IF(ISNA(VLOOKUP($E48,'D-1 Off Site Habitat Baseline'!$D$1:$O$258,9,FALSE)),"",(VLOOKUP($E48,'D-1 Off Site Habitat Baseline'!$D$1:$O$258,9,FALSE))))</f>
        <v/>
      </c>
      <c r="L48" s="520" t="str">
        <f>IF(E48="","",IF(ISNA(VLOOKUP($E48,'D-1 Off Site Habitat Baseline'!$D$1:$O$258,11,FALSE)),"",(VLOOKUP($E48,'D-1 Off Site Habitat Baseline'!$D$1:$O$258,11,FALSE))))</f>
        <v/>
      </c>
      <c r="M48" s="520" t="str">
        <f>IF(E48="","",IF(ISNA(VLOOKUP($E48,'D-1 Off Site Habitat Baseline'!$D$1:$O$258,12,FALSE)),"",(VLOOKUP($E48,'D-1 Off Site Habitat Baseline'!$D$1:$O$258,12,FALSE))))</f>
        <v/>
      </c>
      <c r="N48" s="520" t="str">
        <f>IF(E48="","",IF(ISNA(VLOOKUP($E48,'D-1 Off Site Habitat Baseline'!$D$1:$X$258,14,FALSE)),"",(VLOOKUP($E48,'D-1 Off Site Habitat Baseline'!$D$1:$X$258,14,FALSE))))</f>
        <v/>
      </c>
      <c r="O48" s="524" t="str">
        <f>IF(E48="","",IF(ISNA(VLOOKUP($E48,'D-1 Off Site Habitat Baseline'!$D$1:$X$258,13,FALSE)),"",(VLOOKUP($E48,'D-1 Off Site Habitat Baseline'!$D$1:$X$258,13,FALSE))))</f>
        <v/>
      </c>
      <c r="P48" s="232" t="str">
        <f>IFERROR(INDEX('G-1 All Habitats'!$AG$3:$AG$15,MATCH(Q48,'G-1 All Habitats'!$AF$3:$AF$15,0)),"")</f>
        <v/>
      </c>
      <c r="Q48" s="228" t="str">
        <f t="shared" si="12"/>
        <v/>
      </c>
      <c r="R48" s="229" t="str">
        <f t="shared" si="13"/>
        <v/>
      </c>
      <c r="S48" s="233" t="str">
        <f>IFERROR(INDEX('G-1 All Habitats'!$B$3:$B$129,MATCH(R48,'G-1 All Habitats'!$A$3:$A$129,0)),"")</f>
        <v/>
      </c>
      <c r="T48" s="507" t="str">
        <f t="shared" si="5"/>
        <v/>
      </c>
      <c r="U48" s="524" t="str">
        <f t="shared" si="6"/>
        <v/>
      </c>
      <c r="V48" s="523" t="str">
        <f t="shared" si="2"/>
        <v/>
      </c>
      <c r="W48" s="520" t="str">
        <f>IF(S48="","",VLOOKUP(S48,'G-1 All Habitats'!$B$2:$M$129,10,FALSE))</f>
        <v/>
      </c>
      <c r="X48" s="520" t="str">
        <f>IFERROR(VLOOKUP(W48,'G-1 All Habitats'!$V$3:$W$7,2,FALSE),"")</f>
        <v/>
      </c>
      <c r="Y48" s="203"/>
      <c r="Z48" s="524" t="str">
        <f>IFERROR(INDEX('G-8 Condition Look up'!$A$3:$H$130,MATCH(S48,'G-8 Condition Look up'!$A$3:$A$130,0),MATCH(Y48,'G-8 Condition Look up'!$A$3:$H$3,0)),"")</f>
        <v/>
      </c>
      <c r="AA48" s="145"/>
      <c r="AB48" s="540" t="str">
        <f>IF(AA48="","",IF(VLOOKUP(AA48,'G-3 Multipliers'!$L$3:$N$6,2,FALSE)=0,"Spatial Data Missing ⚠",VLOOKUP(AA48,'G-3 Multipliers'!$L$3:$N$6,2,FALSE)))</f>
        <v/>
      </c>
      <c r="AC48" s="524" t="str">
        <f>IF(AA48="","",IF(VLOOKUP(AA48,'G-3 Multipliers'!$L$3:$N$6,3,FALSE)=0,"Spatial Data Missing ⚠",VLOOKUP(AA48,'G-3 Multipliers'!$L$3:$N$6,3,FALSE)))</f>
        <v/>
      </c>
      <c r="AD48" s="537" t="str">
        <f t="shared" si="3"/>
        <v/>
      </c>
      <c r="AE48" s="203"/>
      <c r="AF48" s="203"/>
      <c r="AG48" s="520" t="str">
        <f t="shared" si="7"/>
        <v/>
      </c>
      <c r="AH48" s="544" t="str">
        <f t="shared" si="8"/>
        <v/>
      </c>
      <c r="AI48" s="525" t="str">
        <f>IF(AH48="Check Data ⚠","Check Data ⚠",IFERROR(VLOOKUP(AH48,'G-4 Temporal multipliers'!$A$4:$C$36,3,FALSE),""))</f>
        <v/>
      </c>
      <c r="AJ48" s="537" t="str">
        <f>IF(S48="","",VLOOKUP(S48,'G-3 Multipliers'!$A$2:$E$129,4,FALSE))</f>
        <v/>
      </c>
      <c r="AK48" s="520" t="str">
        <f t="shared" si="9"/>
        <v/>
      </c>
      <c r="AL48" s="520" t="str">
        <f t="shared" si="10"/>
        <v/>
      </c>
      <c r="AM48" s="524" t="str">
        <f>IFERROR(IF(F48="","",IF(AH48="Check Data ⚠","Check Data ⚠",VLOOKUP(AL48, 'G-3 Multipliers'!$P$2:$Q$6,2,FALSE))),"")</f>
        <v/>
      </c>
      <c r="AN48" s="197"/>
      <c r="AO48" s="540" t="str">
        <f>IF(AN48="","",IF(VLOOKUP(AN48,'G-3 Multipliers'!$S$3:$T$9,2,FALSE)=0,"Spatial Data Missing ⚠",VLOOKUP(AN48,'G-3 Multipliers'!$S$3:$T$9,2,FALSE)))</f>
        <v/>
      </c>
      <c r="AP48" s="513" t="str">
        <f t="shared" si="11"/>
        <v/>
      </c>
      <c r="AQ48" s="231"/>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7" t="str">
        <f>'D-1 Off Site Habitat Baseline'!AL48</f>
        <v/>
      </c>
      <c r="F49" s="520" t="str">
        <f>IF(E49="","",IF(ISNA(VLOOKUP($E49,'D-1 Off Site Habitat Baseline'!$D$1:$O$258,4,FALSE)),"",(VLOOKUP($E49,'D-1 Off Site Habitat Baseline'!$D$1:$O$258,4,FALSE))))</f>
        <v/>
      </c>
      <c r="G49" s="520" t="str">
        <f>IF(E49="","",IF(ISNA(VLOOKUP($E49,'D-1 Off Site Habitat Baseline'!$D$1:$O$258,5,FALSE)),"",(VLOOKUP($E49,'D-1 Off Site Habitat Baseline'!$D$1:$O$258,5,FALSE))))</f>
        <v/>
      </c>
      <c r="H49" s="520" t="str">
        <f>IF(E49="","",IF(ISNA(VLOOKUP($E49,'D-1 Off Site Habitat Baseline'!$D$1:$O$258,6,FALSE)),"",(VLOOKUP($E49,'D-1 Off Site Habitat Baseline'!$D$1:$O$258,6,FALSE))))</f>
        <v/>
      </c>
      <c r="I49" s="520" t="str">
        <f>IF(E49="","",IF(ISNA(VLOOKUP($E49,'D-1 Off Site Habitat Baseline'!$D$1:$O$258,7,FALSE)),"",(VLOOKUP($E49,'D-1 Off Site Habitat Baseline'!$D$1:$O$258,7,FALSE))))</f>
        <v/>
      </c>
      <c r="J49" s="520" t="str">
        <f>IF(E49="","",IF(ISNA(VLOOKUP($E49,'D-1 Off Site Habitat Baseline'!$D$1:$O$258,8,FALSE)),"",(VLOOKUP($E49,'D-1 Off Site Habitat Baseline'!$D$1:$O$258,8,FALSE))))</f>
        <v/>
      </c>
      <c r="K49" s="520" t="str">
        <f>IF(E49="","",IF(ISNA(VLOOKUP($E49,'D-1 Off Site Habitat Baseline'!$D$1:$O$258,9,FALSE)),"",(VLOOKUP($E49,'D-1 Off Site Habitat Baseline'!$D$1:$O$258,9,FALSE))))</f>
        <v/>
      </c>
      <c r="L49" s="520" t="str">
        <f>IF(E49="","",IF(ISNA(VLOOKUP($E49,'D-1 Off Site Habitat Baseline'!$D$1:$O$258,11,FALSE)),"",(VLOOKUP($E49,'D-1 Off Site Habitat Baseline'!$D$1:$O$258,11,FALSE))))</f>
        <v/>
      </c>
      <c r="M49" s="520" t="str">
        <f>IF(E49="","",IF(ISNA(VLOOKUP($E49,'D-1 Off Site Habitat Baseline'!$D$1:$O$258,12,FALSE)),"",(VLOOKUP($E49,'D-1 Off Site Habitat Baseline'!$D$1:$O$258,12,FALSE))))</f>
        <v/>
      </c>
      <c r="N49" s="520" t="str">
        <f>IF(E49="","",IF(ISNA(VLOOKUP($E49,'D-1 Off Site Habitat Baseline'!$D$1:$X$258,14,FALSE)),"",(VLOOKUP($E49,'D-1 Off Site Habitat Baseline'!$D$1:$X$258,14,FALSE))))</f>
        <v/>
      </c>
      <c r="O49" s="524" t="str">
        <f>IF(E49="","",IF(ISNA(VLOOKUP($E49,'D-1 Off Site Habitat Baseline'!$D$1:$X$258,13,FALSE)),"",(VLOOKUP($E49,'D-1 Off Site Habitat Baseline'!$D$1:$X$258,13,FALSE))))</f>
        <v/>
      </c>
      <c r="P49" s="232" t="str">
        <f>IFERROR(INDEX('G-1 All Habitats'!$AG$3:$AG$15,MATCH(Q49,'G-1 All Habitats'!$AF$3:$AF$15,0)),"")</f>
        <v/>
      </c>
      <c r="Q49" s="228" t="str">
        <f t="shared" si="12"/>
        <v/>
      </c>
      <c r="R49" s="229" t="str">
        <f t="shared" si="13"/>
        <v/>
      </c>
      <c r="S49" s="233" t="str">
        <f>IFERROR(INDEX('G-1 All Habitats'!$B$3:$B$129,MATCH(R49,'G-1 All Habitats'!$A$3:$A$129,0)),"")</f>
        <v/>
      </c>
      <c r="T49" s="507" t="str">
        <f t="shared" si="5"/>
        <v/>
      </c>
      <c r="U49" s="524" t="str">
        <f t="shared" si="6"/>
        <v/>
      </c>
      <c r="V49" s="523" t="str">
        <f t="shared" si="2"/>
        <v/>
      </c>
      <c r="W49" s="520" t="str">
        <f>IF(S49="","",VLOOKUP(S49,'G-1 All Habitats'!$B$2:$M$129,10,FALSE))</f>
        <v/>
      </c>
      <c r="X49" s="520" t="str">
        <f>IFERROR(VLOOKUP(W49,'G-1 All Habitats'!$V$3:$W$7,2,FALSE),"")</f>
        <v/>
      </c>
      <c r="Y49" s="203"/>
      <c r="Z49" s="524" t="str">
        <f>IFERROR(INDEX('G-8 Condition Look up'!$A$3:$H$130,MATCH(S49,'G-8 Condition Look up'!$A$3:$A$130,0),MATCH(Y49,'G-8 Condition Look up'!$A$3:$H$3,0)),"")</f>
        <v/>
      </c>
      <c r="AA49" s="145"/>
      <c r="AB49" s="540" t="str">
        <f>IF(AA49="","",IF(VLOOKUP(AA49,'G-3 Multipliers'!$L$3:$N$6,2,FALSE)=0,"Spatial Data Missing ⚠",VLOOKUP(AA49,'G-3 Multipliers'!$L$3:$N$6,2,FALSE)))</f>
        <v/>
      </c>
      <c r="AC49" s="524" t="str">
        <f>IF(AA49="","",IF(VLOOKUP(AA49,'G-3 Multipliers'!$L$3:$N$6,3,FALSE)=0,"Spatial Data Missing ⚠",VLOOKUP(AA49,'G-3 Multipliers'!$L$3:$N$6,3,FALSE)))</f>
        <v/>
      </c>
      <c r="AD49" s="537" t="str">
        <f t="shared" si="3"/>
        <v/>
      </c>
      <c r="AE49" s="203"/>
      <c r="AF49" s="203"/>
      <c r="AG49" s="520" t="str">
        <f t="shared" si="7"/>
        <v/>
      </c>
      <c r="AH49" s="544" t="str">
        <f t="shared" si="8"/>
        <v/>
      </c>
      <c r="AI49" s="525" t="str">
        <f>IF(AH49="Check Data ⚠","Check Data ⚠",IFERROR(VLOOKUP(AH49,'G-4 Temporal multipliers'!$A$4:$C$36,3,FALSE),""))</f>
        <v/>
      </c>
      <c r="AJ49" s="537" t="str">
        <f>IF(S49="","",VLOOKUP(S49,'G-3 Multipliers'!$A$2:$E$129,4,FALSE))</f>
        <v/>
      </c>
      <c r="AK49" s="520" t="str">
        <f t="shared" si="9"/>
        <v/>
      </c>
      <c r="AL49" s="520" t="str">
        <f t="shared" si="10"/>
        <v/>
      </c>
      <c r="AM49" s="524" t="str">
        <f>IFERROR(IF(F49="","",IF(AH49="Check Data ⚠","Check Data ⚠",VLOOKUP(AL49, 'G-3 Multipliers'!$P$2:$Q$6,2,FALSE))),"")</f>
        <v/>
      </c>
      <c r="AN49" s="197"/>
      <c r="AO49" s="540" t="str">
        <f>IF(AN49="","",IF(VLOOKUP(AN49,'G-3 Multipliers'!$S$3:$T$9,2,FALSE)=0,"Spatial Data Missing ⚠",VLOOKUP(AN49,'G-3 Multipliers'!$S$3:$T$9,2,FALSE)))</f>
        <v/>
      </c>
      <c r="AP49" s="513" t="str">
        <f t="shared" si="11"/>
        <v/>
      </c>
      <c r="AQ49" s="231"/>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7" t="str">
        <f>'D-1 Off Site Habitat Baseline'!AL49</f>
        <v/>
      </c>
      <c r="F50" s="520" t="str">
        <f>IF(E50="","",IF(ISNA(VLOOKUP($E50,'D-1 Off Site Habitat Baseline'!$D$1:$O$258,4,FALSE)),"",(VLOOKUP($E50,'D-1 Off Site Habitat Baseline'!$D$1:$O$258,4,FALSE))))</f>
        <v/>
      </c>
      <c r="G50" s="520" t="str">
        <f>IF(E50="","",IF(ISNA(VLOOKUP($E50,'D-1 Off Site Habitat Baseline'!$D$1:$O$258,5,FALSE)),"",(VLOOKUP($E50,'D-1 Off Site Habitat Baseline'!$D$1:$O$258,5,FALSE))))</f>
        <v/>
      </c>
      <c r="H50" s="520" t="str">
        <f>IF(E50="","",IF(ISNA(VLOOKUP($E50,'D-1 Off Site Habitat Baseline'!$D$1:$O$258,6,FALSE)),"",(VLOOKUP($E50,'D-1 Off Site Habitat Baseline'!$D$1:$O$258,6,FALSE))))</f>
        <v/>
      </c>
      <c r="I50" s="520" t="str">
        <f>IF(E50="","",IF(ISNA(VLOOKUP($E50,'D-1 Off Site Habitat Baseline'!$D$1:$O$258,7,FALSE)),"",(VLOOKUP($E50,'D-1 Off Site Habitat Baseline'!$D$1:$O$258,7,FALSE))))</f>
        <v/>
      </c>
      <c r="J50" s="520" t="str">
        <f>IF(E50="","",IF(ISNA(VLOOKUP($E50,'D-1 Off Site Habitat Baseline'!$D$1:$O$258,8,FALSE)),"",(VLOOKUP($E50,'D-1 Off Site Habitat Baseline'!$D$1:$O$258,8,FALSE))))</f>
        <v/>
      </c>
      <c r="K50" s="520" t="str">
        <f>IF(E50="","",IF(ISNA(VLOOKUP($E50,'D-1 Off Site Habitat Baseline'!$D$1:$O$258,9,FALSE)),"",(VLOOKUP($E50,'D-1 Off Site Habitat Baseline'!$D$1:$O$258,9,FALSE))))</f>
        <v/>
      </c>
      <c r="L50" s="520" t="str">
        <f>IF(E50="","",IF(ISNA(VLOOKUP($E50,'D-1 Off Site Habitat Baseline'!$D$1:$O$258,11,FALSE)),"",(VLOOKUP($E50,'D-1 Off Site Habitat Baseline'!$D$1:$O$258,11,FALSE))))</f>
        <v/>
      </c>
      <c r="M50" s="520" t="str">
        <f>IF(E50="","",IF(ISNA(VLOOKUP($E50,'D-1 Off Site Habitat Baseline'!$D$1:$O$258,12,FALSE)),"",(VLOOKUP($E50,'D-1 Off Site Habitat Baseline'!$D$1:$O$258,12,FALSE))))</f>
        <v/>
      </c>
      <c r="N50" s="520" t="str">
        <f>IF(E50="","",IF(ISNA(VLOOKUP($E50,'D-1 Off Site Habitat Baseline'!$D$1:$X$258,14,FALSE)),"",(VLOOKUP($E50,'D-1 Off Site Habitat Baseline'!$D$1:$X$258,14,FALSE))))</f>
        <v/>
      </c>
      <c r="O50" s="524" t="str">
        <f>IF(E50="","",IF(ISNA(VLOOKUP($E50,'D-1 Off Site Habitat Baseline'!$D$1:$X$258,13,FALSE)),"",(VLOOKUP($E50,'D-1 Off Site Habitat Baseline'!$D$1:$X$258,13,FALSE))))</f>
        <v/>
      </c>
      <c r="P50" s="232" t="str">
        <f>IFERROR(INDEX('G-1 All Habitats'!$AG$3:$AG$15,MATCH(Q50,'G-1 All Habitats'!$AF$3:$AF$15,0)),"")</f>
        <v/>
      </c>
      <c r="Q50" s="228" t="str">
        <f t="shared" si="12"/>
        <v/>
      </c>
      <c r="R50" s="229" t="str">
        <f t="shared" si="13"/>
        <v/>
      </c>
      <c r="S50" s="233" t="str">
        <f>IFERROR(INDEX('G-1 All Habitats'!$B$3:$B$129,MATCH(R50,'G-1 All Habitats'!$A$3:$A$129,0)),"")</f>
        <v/>
      </c>
      <c r="T50" s="507" t="str">
        <f t="shared" si="5"/>
        <v/>
      </c>
      <c r="U50" s="524" t="str">
        <f t="shared" si="6"/>
        <v/>
      </c>
      <c r="V50" s="523" t="str">
        <f t="shared" si="2"/>
        <v/>
      </c>
      <c r="W50" s="520" t="str">
        <f>IF(S50="","",VLOOKUP(S50,'G-1 All Habitats'!$B$2:$M$129,10,FALSE))</f>
        <v/>
      </c>
      <c r="X50" s="520" t="str">
        <f>IFERROR(VLOOKUP(W50,'G-1 All Habitats'!$V$3:$W$7,2,FALSE),"")</f>
        <v/>
      </c>
      <c r="Y50" s="203"/>
      <c r="Z50" s="524" t="str">
        <f>IFERROR(INDEX('G-8 Condition Look up'!$A$3:$H$130,MATCH(S50,'G-8 Condition Look up'!$A$3:$A$130,0),MATCH(Y50,'G-8 Condition Look up'!$A$3:$H$3,0)),"")</f>
        <v/>
      </c>
      <c r="AA50" s="145"/>
      <c r="AB50" s="540" t="str">
        <f>IF(AA50="","",IF(VLOOKUP(AA50,'G-3 Multipliers'!$L$3:$N$6,2,FALSE)=0,"Spatial Data Missing ⚠",VLOOKUP(AA50,'G-3 Multipliers'!$L$3:$N$6,2,FALSE)))</f>
        <v/>
      </c>
      <c r="AC50" s="524" t="str">
        <f>IF(AA50="","",IF(VLOOKUP(AA50,'G-3 Multipliers'!$L$3:$N$6,3,FALSE)=0,"Spatial Data Missing ⚠",VLOOKUP(AA50,'G-3 Multipliers'!$L$3:$N$6,3,FALSE)))</f>
        <v/>
      </c>
      <c r="AD50" s="537" t="str">
        <f t="shared" si="3"/>
        <v/>
      </c>
      <c r="AE50" s="203"/>
      <c r="AF50" s="203"/>
      <c r="AG50" s="520" t="str">
        <f t="shared" si="7"/>
        <v/>
      </c>
      <c r="AH50" s="544" t="str">
        <f t="shared" si="8"/>
        <v/>
      </c>
      <c r="AI50" s="525" t="str">
        <f>IF(AH50="Check Data ⚠","Check Data ⚠",IFERROR(VLOOKUP(AH50,'G-4 Temporal multipliers'!$A$4:$C$36,3,FALSE),""))</f>
        <v/>
      </c>
      <c r="AJ50" s="537" t="str">
        <f>IF(S50="","",VLOOKUP(S50,'G-3 Multipliers'!$A$2:$E$129,4,FALSE))</f>
        <v/>
      </c>
      <c r="AK50" s="520" t="str">
        <f t="shared" si="9"/>
        <v/>
      </c>
      <c r="AL50" s="520" t="str">
        <f t="shared" si="10"/>
        <v/>
      </c>
      <c r="AM50" s="524" t="str">
        <f>IFERROR(IF(F50="","",IF(AH50="Check Data ⚠","Check Data ⚠",VLOOKUP(AL50, 'G-3 Multipliers'!$P$2:$Q$6,2,FALSE))),"")</f>
        <v/>
      </c>
      <c r="AN50" s="197"/>
      <c r="AO50" s="540" t="str">
        <f>IF(AN50="","",IF(VLOOKUP(AN50,'G-3 Multipliers'!$S$3:$T$9,2,FALSE)=0,"Spatial Data Missing ⚠",VLOOKUP(AN50,'G-3 Multipliers'!$S$3:$T$9,2,FALSE)))</f>
        <v/>
      </c>
      <c r="AP50" s="513" t="str">
        <f t="shared" si="11"/>
        <v/>
      </c>
      <c r="AQ50" s="231"/>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7" t="str">
        <f>'D-1 Off Site Habitat Baseline'!AL50</f>
        <v/>
      </c>
      <c r="F51" s="520" t="str">
        <f>IF(E51="","",IF(ISNA(VLOOKUP($E51,'D-1 Off Site Habitat Baseline'!$D$1:$O$258,4,FALSE)),"",(VLOOKUP($E51,'D-1 Off Site Habitat Baseline'!$D$1:$O$258,4,FALSE))))</f>
        <v/>
      </c>
      <c r="G51" s="520" t="str">
        <f>IF(E51="","",IF(ISNA(VLOOKUP($E51,'D-1 Off Site Habitat Baseline'!$D$1:$O$258,5,FALSE)),"",(VLOOKUP($E51,'D-1 Off Site Habitat Baseline'!$D$1:$O$258,5,FALSE))))</f>
        <v/>
      </c>
      <c r="H51" s="520" t="str">
        <f>IF(E51="","",IF(ISNA(VLOOKUP($E51,'D-1 Off Site Habitat Baseline'!$D$1:$O$258,6,FALSE)),"",(VLOOKUP($E51,'D-1 Off Site Habitat Baseline'!$D$1:$O$258,6,FALSE))))</f>
        <v/>
      </c>
      <c r="I51" s="520" t="str">
        <f>IF(E51="","",IF(ISNA(VLOOKUP($E51,'D-1 Off Site Habitat Baseline'!$D$1:$O$258,7,FALSE)),"",(VLOOKUP($E51,'D-1 Off Site Habitat Baseline'!$D$1:$O$258,7,FALSE))))</f>
        <v/>
      </c>
      <c r="J51" s="520" t="str">
        <f>IF(E51="","",IF(ISNA(VLOOKUP($E51,'D-1 Off Site Habitat Baseline'!$D$1:$O$258,8,FALSE)),"",(VLOOKUP($E51,'D-1 Off Site Habitat Baseline'!$D$1:$O$258,8,FALSE))))</f>
        <v/>
      </c>
      <c r="K51" s="520" t="str">
        <f>IF(E51="","",IF(ISNA(VLOOKUP($E51,'D-1 Off Site Habitat Baseline'!$D$1:$O$258,9,FALSE)),"",(VLOOKUP($E51,'D-1 Off Site Habitat Baseline'!$D$1:$O$258,9,FALSE))))</f>
        <v/>
      </c>
      <c r="L51" s="520" t="str">
        <f>IF(E51="","",IF(ISNA(VLOOKUP($E51,'D-1 Off Site Habitat Baseline'!$D$1:$O$258,11,FALSE)),"",(VLOOKUP($E51,'D-1 Off Site Habitat Baseline'!$D$1:$O$258,11,FALSE))))</f>
        <v/>
      </c>
      <c r="M51" s="520" t="str">
        <f>IF(E51="","",IF(ISNA(VLOOKUP($E51,'D-1 Off Site Habitat Baseline'!$D$1:$O$258,12,FALSE)),"",(VLOOKUP($E51,'D-1 Off Site Habitat Baseline'!$D$1:$O$258,12,FALSE))))</f>
        <v/>
      </c>
      <c r="N51" s="520" t="str">
        <f>IF(E51="","",IF(ISNA(VLOOKUP($E51,'D-1 Off Site Habitat Baseline'!$D$1:$X$258,14,FALSE)),"",(VLOOKUP($E51,'D-1 Off Site Habitat Baseline'!$D$1:$X$258,14,FALSE))))</f>
        <v/>
      </c>
      <c r="O51" s="524" t="str">
        <f>IF(E51="","",IF(ISNA(VLOOKUP($E51,'D-1 Off Site Habitat Baseline'!$D$1:$X$258,13,FALSE)),"",(VLOOKUP($E51,'D-1 Off Site Habitat Baseline'!$D$1:$X$258,13,FALSE))))</f>
        <v/>
      </c>
      <c r="P51" s="232" t="str">
        <f>IFERROR(INDEX('G-1 All Habitats'!$AG$3:$AG$15,MATCH(Q51,'G-1 All Habitats'!$AF$3:$AF$15,0)),"")</f>
        <v/>
      </c>
      <c r="Q51" s="228" t="str">
        <f t="shared" si="12"/>
        <v/>
      </c>
      <c r="R51" s="229" t="str">
        <f t="shared" si="13"/>
        <v/>
      </c>
      <c r="S51" s="233" t="str">
        <f>IFERROR(INDEX('G-1 All Habitats'!$B$3:$B$129,MATCH(R51,'G-1 All Habitats'!$A$3:$A$129,0)),"")</f>
        <v/>
      </c>
      <c r="T51" s="507" t="str">
        <f t="shared" si="5"/>
        <v/>
      </c>
      <c r="U51" s="524" t="str">
        <f t="shared" si="6"/>
        <v/>
      </c>
      <c r="V51" s="523" t="str">
        <f t="shared" si="2"/>
        <v/>
      </c>
      <c r="W51" s="520" t="str">
        <f>IF(S51="","",VLOOKUP(S51,'G-1 All Habitats'!$B$2:$M$129,10,FALSE))</f>
        <v/>
      </c>
      <c r="X51" s="520" t="str">
        <f>IFERROR(VLOOKUP(W51,'G-1 All Habitats'!$V$3:$W$7,2,FALSE),"")</f>
        <v/>
      </c>
      <c r="Y51" s="203"/>
      <c r="Z51" s="524" t="str">
        <f>IFERROR(INDEX('G-8 Condition Look up'!$A$3:$H$130,MATCH(S51,'G-8 Condition Look up'!$A$3:$A$130,0),MATCH(Y51,'G-8 Condition Look up'!$A$3:$H$3,0)),"")</f>
        <v/>
      </c>
      <c r="AA51" s="145"/>
      <c r="AB51" s="540" t="str">
        <f>IF(AA51="","",IF(VLOOKUP(AA51,'G-3 Multipliers'!$L$3:$N$6,2,FALSE)=0,"Spatial Data Missing ⚠",VLOOKUP(AA51,'G-3 Multipliers'!$L$3:$N$6,2,FALSE)))</f>
        <v/>
      </c>
      <c r="AC51" s="524" t="str">
        <f>IF(AA51="","",IF(VLOOKUP(AA51,'G-3 Multipliers'!$L$3:$N$6,3,FALSE)=0,"Spatial Data Missing ⚠",VLOOKUP(AA51,'G-3 Multipliers'!$L$3:$N$6,3,FALSE)))</f>
        <v/>
      </c>
      <c r="AD51" s="537" t="str">
        <f t="shared" si="3"/>
        <v/>
      </c>
      <c r="AE51" s="203"/>
      <c r="AF51" s="203"/>
      <c r="AG51" s="520" t="str">
        <f t="shared" si="7"/>
        <v/>
      </c>
      <c r="AH51" s="544" t="str">
        <f t="shared" si="8"/>
        <v/>
      </c>
      <c r="AI51" s="525" t="str">
        <f>IF(AH51="Check Data ⚠","Check Data ⚠",IFERROR(VLOOKUP(AH51,'G-4 Temporal multipliers'!$A$4:$C$36,3,FALSE),""))</f>
        <v/>
      </c>
      <c r="AJ51" s="537" t="str">
        <f>IF(S51="","",VLOOKUP(S51,'G-3 Multipliers'!$A$2:$E$129,4,FALSE))</f>
        <v/>
      </c>
      <c r="AK51" s="520" t="str">
        <f t="shared" si="9"/>
        <v/>
      </c>
      <c r="AL51" s="520" t="str">
        <f t="shared" si="10"/>
        <v/>
      </c>
      <c r="AM51" s="524" t="str">
        <f>IFERROR(IF(F51="","",IF(AH51="Check Data ⚠","Check Data ⚠",VLOOKUP(AL51, 'G-3 Multipliers'!$P$2:$Q$6,2,FALSE))),"")</f>
        <v/>
      </c>
      <c r="AN51" s="197"/>
      <c r="AO51" s="540" t="str">
        <f>IF(AN51="","",IF(VLOOKUP(AN51,'G-3 Multipliers'!$S$3:$T$9,2,FALSE)=0,"Spatial Data Missing ⚠",VLOOKUP(AN51,'G-3 Multipliers'!$S$3:$T$9,2,FALSE)))</f>
        <v/>
      </c>
      <c r="AP51" s="513" t="str">
        <f t="shared" si="11"/>
        <v/>
      </c>
      <c r="AQ51" s="231"/>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7" t="str">
        <f>'D-1 Off Site Habitat Baseline'!AL51</f>
        <v/>
      </c>
      <c r="F52" s="520" t="str">
        <f>IF(E52="","",IF(ISNA(VLOOKUP($E52,'D-1 Off Site Habitat Baseline'!$D$1:$O$258,4,FALSE)),"",(VLOOKUP($E52,'D-1 Off Site Habitat Baseline'!$D$1:$O$258,4,FALSE))))</f>
        <v/>
      </c>
      <c r="G52" s="520" t="str">
        <f>IF(E52="","",IF(ISNA(VLOOKUP($E52,'D-1 Off Site Habitat Baseline'!$D$1:$O$258,5,FALSE)),"",(VLOOKUP($E52,'D-1 Off Site Habitat Baseline'!$D$1:$O$258,5,FALSE))))</f>
        <v/>
      </c>
      <c r="H52" s="520" t="str">
        <f>IF(E52="","",IF(ISNA(VLOOKUP($E52,'D-1 Off Site Habitat Baseline'!$D$1:$O$258,6,FALSE)),"",(VLOOKUP($E52,'D-1 Off Site Habitat Baseline'!$D$1:$O$258,6,FALSE))))</f>
        <v/>
      </c>
      <c r="I52" s="520" t="str">
        <f>IF(E52="","",IF(ISNA(VLOOKUP($E52,'D-1 Off Site Habitat Baseline'!$D$1:$O$258,7,FALSE)),"",(VLOOKUP($E52,'D-1 Off Site Habitat Baseline'!$D$1:$O$258,7,FALSE))))</f>
        <v/>
      </c>
      <c r="J52" s="520" t="str">
        <f>IF(E52="","",IF(ISNA(VLOOKUP($E52,'D-1 Off Site Habitat Baseline'!$D$1:$O$258,8,FALSE)),"",(VLOOKUP($E52,'D-1 Off Site Habitat Baseline'!$D$1:$O$258,8,FALSE))))</f>
        <v/>
      </c>
      <c r="K52" s="520" t="str">
        <f>IF(E52="","",IF(ISNA(VLOOKUP($E52,'D-1 Off Site Habitat Baseline'!$D$1:$O$258,9,FALSE)),"",(VLOOKUP($E52,'D-1 Off Site Habitat Baseline'!$D$1:$O$258,9,FALSE))))</f>
        <v/>
      </c>
      <c r="L52" s="520" t="str">
        <f>IF(E52="","",IF(ISNA(VLOOKUP($E52,'D-1 Off Site Habitat Baseline'!$D$1:$O$258,11,FALSE)),"",(VLOOKUP($E52,'D-1 Off Site Habitat Baseline'!$D$1:$O$258,11,FALSE))))</f>
        <v/>
      </c>
      <c r="M52" s="520" t="str">
        <f>IF(E52="","",IF(ISNA(VLOOKUP($E52,'D-1 Off Site Habitat Baseline'!$D$1:$O$258,12,FALSE)),"",(VLOOKUP($E52,'D-1 Off Site Habitat Baseline'!$D$1:$O$258,12,FALSE))))</f>
        <v/>
      </c>
      <c r="N52" s="520" t="str">
        <f>IF(E52="","",IF(ISNA(VLOOKUP($E52,'D-1 Off Site Habitat Baseline'!$D$1:$X$258,14,FALSE)),"",(VLOOKUP($E52,'D-1 Off Site Habitat Baseline'!$D$1:$X$258,14,FALSE))))</f>
        <v/>
      </c>
      <c r="O52" s="524" t="str">
        <f>IF(E52="","",IF(ISNA(VLOOKUP($E52,'D-1 Off Site Habitat Baseline'!$D$1:$X$258,13,FALSE)),"",(VLOOKUP($E52,'D-1 Off Site Habitat Baseline'!$D$1:$X$258,13,FALSE))))</f>
        <v/>
      </c>
      <c r="P52" s="232" t="str">
        <f>IFERROR(INDEX('G-1 All Habitats'!$AG$3:$AG$15,MATCH(Q52,'G-1 All Habitats'!$AF$3:$AF$15,0)),"")</f>
        <v/>
      </c>
      <c r="Q52" s="228" t="str">
        <f t="shared" si="12"/>
        <v/>
      </c>
      <c r="R52" s="229" t="str">
        <f t="shared" si="13"/>
        <v/>
      </c>
      <c r="S52" s="233" t="str">
        <f>IFERROR(INDEX('G-1 All Habitats'!$B$3:$B$129,MATCH(R52,'G-1 All Habitats'!$A$3:$A$129,0)),"")</f>
        <v/>
      </c>
      <c r="T52" s="507" t="str">
        <f t="shared" si="5"/>
        <v/>
      </c>
      <c r="U52" s="524" t="str">
        <f t="shared" si="6"/>
        <v/>
      </c>
      <c r="V52" s="523" t="str">
        <f t="shared" si="2"/>
        <v/>
      </c>
      <c r="W52" s="520" t="str">
        <f>IF(S52="","",VLOOKUP(S52,'G-1 All Habitats'!$B$2:$M$129,10,FALSE))</f>
        <v/>
      </c>
      <c r="X52" s="520" t="str">
        <f>IFERROR(VLOOKUP(W52,'G-1 All Habitats'!$V$3:$W$7,2,FALSE),"")</f>
        <v/>
      </c>
      <c r="Y52" s="203"/>
      <c r="Z52" s="524" t="str">
        <f>IFERROR(INDEX('G-8 Condition Look up'!$A$3:$H$130,MATCH(S52,'G-8 Condition Look up'!$A$3:$A$130,0),MATCH(Y52,'G-8 Condition Look up'!$A$3:$H$3,0)),"")</f>
        <v/>
      </c>
      <c r="AA52" s="145"/>
      <c r="AB52" s="540" t="str">
        <f>IF(AA52="","",IF(VLOOKUP(AA52,'G-3 Multipliers'!$L$3:$N$6,2,FALSE)=0,"Spatial Data Missing ⚠",VLOOKUP(AA52,'G-3 Multipliers'!$L$3:$N$6,2,FALSE)))</f>
        <v/>
      </c>
      <c r="AC52" s="524" t="str">
        <f>IF(AA52="","",IF(VLOOKUP(AA52,'G-3 Multipliers'!$L$3:$N$6,3,FALSE)=0,"Spatial Data Missing ⚠",VLOOKUP(AA52,'G-3 Multipliers'!$L$3:$N$6,3,FALSE)))</f>
        <v/>
      </c>
      <c r="AD52" s="537" t="str">
        <f t="shared" si="3"/>
        <v/>
      </c>
      <c r="AE52" s="203"/>
      <c r="AF52" s="203"/>
      <c r="AG52" s="520" t="str">
        <f t="shared" si="7"/>
        <v/>
      </c>
      <c r="AH52" s="544" t="str">
        <f t="shared" si="8"/>
        <v/>
      </c>
      <c r="AI52" s="525" t="str">
        <f>IF(AH52="Check Data ⚠","Check Data ⚠",IFERROR(VLOOKUP(AH52,'G-4 Temporal multipliers'!$A$4:$C$36,3,FALSE),""))</f>
        <v/>
      </c>
      <c r="AJ52" s="537" t="str">
        <f>IF(S52="","",VLOOKUP(S52,'G-3 Multipliers'!$A$2:$E$129,4,FALSE))</f>
        <v/>
      </c>
      <c r="AK52" s="520" t="str">
        <f t="shared" si="9"/>
        <v/>
      </c>
      <c r="AL52" s="520" t="str">
        <f t="shared" si="10"/>
        <v/>
      </c>
      <c r="AM52" s="524" t="str">
        <f>IFERROR(IF(F52="","",IF(AH52="Check Data ⚠","Check Data ⚠",VLOOKUP(AL52, 'G-3 Multipliers'!$P$2:$Q$6,2,FALSE))),"")</f>
        <v/>
      </c>
      <c r="AN52" s="197"/>
      <c r="AO52" s="540" t="str">
        <f>IF(AN52="","",IF(VLOOKUP(AN52,'G-3 Multipliers'!$S$3:$T$9,2,FALSE)=0,"Spatial Data Missing ⚠",VLOOKUP(AN52,'G-3 Multipliers'!$S$3:$T$9,2,FALSE)))</f>
        <v/>
      </c>
      <c r="AP52" s="513" t="str">
        <f t="shared" si="11"/>
        <v/>
      </c>
      <c r="AQ52" s="231"/>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7" t="str">
        <f>'D-1 Off Site Habitat Baseline'!AL52</f>
        <v/>
      </c>
      <c r="F53" s="520" t="str">
        <f>IF(E53="","",IF(ISNA(VLOOKUP($E53,'D-1 Off Site Habitat Baseline'!$D$1:$O$258,4,FALSE)),"",(VLOOKUP($E53,'D-1 Off Site Habitat Baseline'!$D$1:$O$258,4,FALSE))))</f>
        <v/>
      </c>
      <c r="G53" s="520" t="str">
        <f>IF(E53="","",IF(ISNA(VLOOKUP($E53,'D-1 Off Site Habitat Baseline'!$D$1:$O$258,5,FALSE)),"",(VLOOKUP($E53,'D-1 Off Site Habitat Baseline'!$D$1:$O$258,5,FALSE))))</f>
        <v/>
      </c>
      <c r="H53" s="520" t="str">
        <f>IF(E53="","",IF(ISNA(VLOOKUP($E53,'D-1 Off Site Habitat Baseline'!$D$1:$O$258,6,FALSE)),"",(VLOOKUP($E53,'D-1 Off Site Habitat Baseline'!$D$1:$O$258,6,FALSE))))</f>
        <v/>
      </c>
      <c r="I53" s="520" t="str">
        <f>IF(E53="","",IF(ISNA(VLOOKUP($E53,'D-1 Off Site Habitat Baseline'!$D$1:$O$258,7,FALSE)),"",(VLOOKUP($E53,'D-1 Off Site Habitat Baseline'!$D$1:$O$258,7,FALSE))))</f>
        <v/>
      </c>
      <c r="J53" s="520" t="str">
        <f>IF(E53="","",IF(ISNA(VLOOKUP($E53,'D-1 Off Site Habitat Baseline'!$D$1:$O$258,8,FALSE)),"",(VLOOKUP($E53,'D-1 Off Site Habitat Baseline'!$D$1:$O$258,8,FALSE))))</f>
        <v/>
      </c>
      <c r="K53" s="520" t="str">
        <f>IF(E53="","",IF(ISNA(VLOOKUP($E53,'D-1 Off Site Habitat Baseline'!$D$1:$O$258,9,FALSE)),"",(VLOOKUP($E53,'D-1 Off Site Habitat Baseline'!$D$1:$O$258,9,FALSE))))</f>
        <v/>
      </c>
      <c r="L53" s="520" t="str">
        <f>IF(E53="","",IF(ISNA(VLOOKUP($E53,'D-1 Off Site Habitat Baseline'!$D$1:$O$258,11,FALSE)),"",(VLOOKUP($E53,'D-1 Off Site Habitat Baseline'!$D$1:$O$258,11,FALSE))))</f>
        <v/>
      </c>
      <c r="M53" s="520" t="str">
        <f>IF(E53="","",IF(ISNA(VLOOKUP($E53,'D-1 Off Site Habitat Baseline'!$D$1:$O$258,12,FALSE)),"",(VLOOKUP($E53,'D-1 Off Site Habitat Baseline'!$D$1:$O$258,12,FALSE))))</f>
        <v/>
      </c>
      <c r="N53" s="520" t="str">
        <f>IF(E53="","",IF(ISNA(VLOOKUP($E53,'D-1 Off Site Habitat Baseline'!$D$1:$X$258,14,FALSE)),"",(VLOOKUP($E53,'D-1 Off Site Habitat Baseline'!$D$1:$X$258,14,FALSE))))</f>
        <v/>
      </c>
      <c r="O53" s="524" t="str">
        <f>IF(E53="","",IF(ISNA(VLOOKUP($E53,'D-1 Off Site Habitat Baseline'!$D$1:$X$258,13,FALSE)),"",(VLOOKUP($E53,'D-1 Off Site Habitat Baseline'!$D$1:$X$258,13,FALSE))))</f>
        <v/>
      </c>
      <c r="P53" s="232" t="str">
        <f>IFERROR(INDEX('G-1 All Habitats'!$AG$3:$AG$15,MATCH(Q53,'G-1 All Habitats'!$AF$3:$AF$15,0)),"")</f>
        <v/>
      </c>
      <c r="Q53" s="228" t="str">
        <f t="shared" si="12"/>
        <v/>
      </c>
      <c r="R53" s="229" t="str">
        <f t="shared" si="13"/>
        <v/>
      </c>
      <c r="S53" s="233" t="str">
        <f>IFERROR(INDEX('G-1 All Habitats'!$B$3:$B$129,MATCH(R53,'G-1 All Habitats'!$A$3:$A$129,0)),"")</f>
        <v/>
      </c>
      <c r="T53" s="507" t="str">
        <f t="shared" si="5"/>
        <v/>
      </c>
      <c r="U53" s="524" t="str">
        <f t="shared" si="6"/>
        <v/>
      </c>
      <c r="V53" s="523" t="str">
        <f t="shared" si="2"/>
        <v/>
      </c>
      <c r="W53" s="520" t="str">
        <f>IF(S53="","",VLOOKUP(S53,'G-1 All Habitats'!$B$2:$M$129,10,FALSE))</f>
        <v/>
      </c>
      <c r="X53" s="520" t="str">
        <f>IFERROR(VLOOKUP(W53,'G-1 All Habitats'!$V$3:$W$7,2,FALSE),"")</f>
        <v/>
      </c>
      <c r="Y53" s="203"/>
      <c r="Z53" s="524" t="str">
        <f>IFERROR(INDEX('G-8 Condition Look up'!$A$3:$H$130,MATCH(S53,'G-8 Condition Look up'!$A$3:$A$130,0),MATCH(Y53,'G-8 Condition Look up'!$A$3:$H$3,0)),"")</f>
        <v/>
      </c>
      <c r="AA53" s="145"/>
      <c r="AB53" s="540" t="str">
        <f>IF(AA53="","",IF(VLOOKUP(AA53,'G-3 Multipliers'!$L$3:$N$6,2,FALSE)=0,"Spatial Data Missing ⚠",VLOOKUP(AA53,'G-3 Multipliers'!$L$3:$N$6,2,FALSE)))</f>
        <v/>
      </c>
      <c r="AC53" s="524" t="str">
        <f>IF(AA53="","",IF(VLOOKUP(AA53,'G-3 Multipliers'!$L$3:$N$6,3,FALSE)=0,"Spatial Data Missing ⚠",VLOOKUP(AA53,'G-3 Multipliers'!$L$3:$N$6,3,FALSE)))</f>
        <v/>
      </c>
      <c r="AD53" s="537" t="str">
        <f t="shared" si="3"/>
        <v/>
      </c>
      <c r="AE53" s="203"/>
      <c r="AF53" s="203"/>
      <c r="AG53" s="520" t="str">
        <f t="shared" si="7"/>
        <v/>
      </c>
      <c r="AH53" s="544" t="str">
        <f t="shared" si="8"/>
        <v/>
      </c>
      <c r="AI53" s="525" t="str">
        <f>IF(AH53="Check Data ⚠","Check Data ⚠",IFERROR(VLOOKUP(AH53,'G-4 Temporal multipliers'!$A$4:$C$36,3,FALSE),""))</f>
        <v/>
      </c>
      <c r="AJ53" s="537" t="str">
        <f>IF(S53="","",VLOOKUP(S53,'G-3 Multipliers'!$A$2:$E$129,4,FALSE))</f>
        <v/>
      </c>
      <c r="AK53" s="520" t="str">
        <f t="shared" si="9"/>
        <v/>
      </c>
      <c r="AL53" s="520" t="str">
        <f t="shared" si="10"/>
        <v/>
      </c>
      <c r="AM53" s="524" t="str">
        <f>IFERROR(IF(F53="","",IF(AH53="Check Data ⚠","Check Data ⚠",VLOOKUP(AL53, 'G-3 Multipliers'!$P$2:$Q$6,2,FALSE))),"")</f>
        <v/>
      </c>
      <c r="AN53" s="197"/>
      <c r="AO53" s="540" t="str">
        <f>IF(AN53="","",IF(VLOOKUP(AN53,'G-3 Multipliers'!$S$3:$T$9,2,FALSE)=0,"Spatial Data Missing ⚠",VLOOKUP(AN53,'G-3 Multipliers'!$S$3:$T$9,2,FALSE)))</f>
        <v/>
      </c>
      <c r="AP53" s="513" t="str">
        <f t="shared" si="11"/>
        <v/>
      </c>
      <c r="AQ53" s="231"/>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7" t="str">
        <f>'D-1 Off Site Habitat Baseline'!AL53</f>
        <v/>
      </c>
      <c r="F54" s="520" t="str">
        <f>IF(E54="","",IF(ISNA(VLOOKUP($E54,'D-1 Off Site Habitat Baseline'!$D$1:$O$258,4,FALSE)),"",(VLOOKUP($E54,'D-1 Off Site Habitat Baseline'!$D$1:$O$258,4,FALSE))))</f>
        <v/>
      </c>
      <c r="G54" s="520" t="str">
        <f>IF(E54="","",IF(ISNA(VLOOKUP($E54,'D-1 Off Site Habitat Baseline'!$D$1:$O$258,5,FALSE)),"",(VLOOKUP($E54,'D-1 Off Site Habitat Baseline'!$D$1:$O$258,5,FALSE))))</f>
        <v/>
      </c>
      <c r="H54" s="520" t="str">
        <f>IF(E54="","",IF(ISNA(VLOOKUP($E54,'D-1 Off Site Habitat Baseline'!$D$1:$O$258,6,FALSE)),"",(VLOOKUP($E54,'D-1 Off Site Habitat Baseline'!$D$1:$O$258,6,FALSE))))</f>
        <v/>
      </c>
      <c r="I54" s="520" t="str">
        <f>IF(E54="","",IF(ISNA(VLOOKUP($E54,'D-1 Off Site Habitat Baseline'!$D$1:$O$258,7,FALSE)),"",(VLOOKUP($E54,'D-1 Off Site Habitat Baseline'!$D$1:$O$258,7,FALSE))))</f>
        <v/>
      </c>
      <c r="J54" s="520" t="str">
        <f>IF(E54="","",IF(ISNA(VLOOKUP($E54,'D-1 Off Site Habitat Baseline'!$D$1:$O$258,8,FALSE)),"",(VLOOKUP($E54,'D-1 Off Site Habitat Baseline'!$D$1:$O$258,8,FALSE))))</f>
        <v/>
      </c>
      <c r="K54" s="520" t="str">
        <f>IF(E54="","",IF(ISNA(VLOOKUP($E54,'D-1 Off Site Habitat Baseline'!$D$1:$O$258,9,FALSE)),"",(VLOOKUP($E54,'D-1 Off Site Habitat Baseline'!$D$1:$O$258,9,FALSE))))</f>
        <v/>
      </c>
      <c r="L54" s="520" t="str">
        <f>IF(E54="","",IF(ISNA(VLOOKUP($E54,'D-1 Off Site Habitat Baseline'!$D$1:$O$258,11,FALSE)),"",(VLOOKUP($E54,'D-1 Off Site Habitat Baseline'!$D$1:$O$258,11,FALSE))))</f>
        <v/>
      </c>
      <c r="M54" s="520" t="str">
        <f>IF(E54="","",IF(ISNA(VLOOKUP($E54,'D-1 Off Site Habitat Baseline'!$D$1:$O$258,12,FALSE)),"",(VLOOKUP($E54,'D-1 Off Site Habitat Baseline'!$D$1:$O$258,12,FALSE))))</f>
        <v/>
      </c>
      <c r="N54" s="520" t="str">
        <f>IF(E54="","",IF(ISNA(VLOOKUP($E54,'D-1 Off Site Habitat Baseline'!$D$1:$X$258,14,FALSE)),"",(VLOOKUP($E54,'D-1 Off Site Habitat Baseline'!$D$1:$X$258,14,FALSE))))</f>
        <v/>
      </c>
      <c r="O54" s="524" t="str">
        <f>IF(E54="","",IF(ISNA(VLOOKUP($E54,'D-1 Off Site Habitat Baseline'!$D$1:$X$258,13,FALSE)),"",(VLOOKUP($E54,'D-1 Off Site Habitat Baseline'!$D$1:$X$258,13,FALSE))))</f>
        <v/>
      </c>
      <c r="P54" s="232" t="str">
        <f>IFERROR(INDEX('G-1 All Habitats'!$AG$3:$AG$15,MATCH(Q54,'G-1 All Habitats'!$AF$3:$AF$15,0)),"")</f>
        <v/>
      </c>
      <c r="Q54" s="228" t="str">
        <f t="shared" si="12"/>
        <v/>
      </c>
      <c r="R54" s="229" t="str">
        <f t="shared" si="13"/>
        <v/>
      </c>
      <c r="S54" s="233" t="str">
        <f>IFERROR(INDEX('G-1 All Habitats'!$B$3:$B$129,MATCH(R54,'G-1 All Habitats'!$A$3:$A$129,0)),"")</f>
        <v/>
      </c>
      <c r="T54" s="507" t="str">
        <f t="shared" si="5"/>
        <v/>
      </c>
      <c r="U54" s="524" t="str">
        <f t="shared" si="6"/>
        <v/>
      </c>
      <c r="V54" s="523" t="str">
        <f t="shared" si="2"/>
        <v/>
      </c>
      <c r="W54" s="520" t="str">
        <f>IF(S54="","",VLOOKUP(S54,'G-1 All Habitats'!$B$2:$M$129,10,FALSE))</f>
        <v/>
      </c>
      <c r="X54" s="520" t="str">
        <f>IFERROR(VLOOKUP(W54,'G-1 All Habitats'!$V$3:$W$7,2,FALSE),"")</f>
        <v/>
      </c>
      <c r="Y54" s="203"/>
      <c r="Z54" s="524" t="str">
        <f>IFERROR(INDEX('G-8 Condition Look up'!$A$3:$H$130,MATCH(S54,'G-8 Condition Look up'!$A$3:$A$130,0),MATCH(Y54,'G-8 Condition Look up'!$A$3:$H$3,0)),"")</f>
        <v/>
      </c>
      <c r="AA54" s="145"/>
      <c r="AB54" s="540" t="str">
        <f>IF(AA54="","",IF(VLOOKUP(AA54,'G-3 Multipliers'!$L$3:$N$6,2,FALSE)=0,"Spatial Data Missing ⚠",VLOOKUP(AA54,'G-3 Multipliers'!$L$3:$N$6,2,FALSE)))</f>
        <v/>
      </c>
      <c r="AC54" s="524" t="str">
        <f>IF(AA54="","",IF(VLOOKUP(AA54,'G-3 Multipliers'!$L$3:$N$6,3,FALSE)=0,"Spatial Data Missing ⚠",VLOOKUP(AA54,'G-3 Multipliers'!$L$3:$N$6,3,FALSE)))</f>
        <v/>
      </c>
      <c r="AD54" s="537" t="str">
        <f t="shared" si="3"/>
        <v/>
      </c>
      <c r="AE54" s="203"/>
      <c r="AF54" s="203"/>
      <c r="AG54" s="520" t="str">
        <f t="shared" si="7"/>
        <v/>
      </c>
      <c r="AH54" s="544" t="str">
        <f t="shared" si="8"/>
        <v/>
      </c>
      <c r="AI54" s="525" t="str">
        <f>IF(AH54="Check Data ⚠","Check Data ⚠",IFERROR(VLOOKUP(AH54,'G-4 Temporal multipliers'!$A$4:$C$36,3,FALSE),""))</f>
        <v/>
      </c>
      <c r="AJ54" s="537" t="str">
        <f>IF(S54="","",VLOOKUP(S54,'G-3 Multipliers'!$A$2:$E$129,4,FALSE))</f>
        <v/>
      </c>
      <c r="AK54" s="520" t="str">
        <f t="shared" si="9"/>
        <v/>
      </c>
      <c r="AL54" s="520" t="str">
        <f t="shared" si="10"/>
        <v/>
      </c>
      <c r="AM54" s="524" t="str">
        <f>IFERROR(IF(F54="","",IF(AH54="Check Data ⚠","Check Data ⚠",VLOOKUP(AL54, 'G-3 Multipliers'!$P$2:$Q$6,2,FALSE))),"")</f>
        <v/>
      </c>
      <c r="AN54" s="197"/>
      <c r="AO54" s="540" t="str">
        <f>IF(AN54="","",IF(VLOOKUP(AN54,'G-3 Multipliers'!$S$3:$T$9,2,FALSE)=0,"Spatial Data Missing ⚠",VLOOKUP(AN54,'G-3 Multipliers'!$S$3:$T$9,2,FALSE)))</f>
        <v/>
      </c>
      <c r="AP54" s="513" t="str">
        <f t="shared" si="11"/>
        <v/>
      </c>
      <c r="AQ54" s="231"/>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7" t="str">
        <f>'D-1 Off Site Habitat Baseline'!AL54</f>
        <v/>
      </c>
      <c r="F55" s="520" t="str">
        <f>IF(E55="","",IF(ISNA(VLOOKUP($E55,'D-1 Off Site Habitat Baseline'!$D$1:$O$258,4,FALSE)),"",(VLOOKUP($E55,'D-1 Off Site Habitat Baseline'!$D$1:$O$258,4,FALSE))))</f>
        <v/>
      </c>
      <c r="G55" s="520" t="str">
        <f>IF(E55="","",IF(ISNA(VLOOKUP($E55,'D-1 Off Site Habitat Baseline'!$D$1:$O$258,5,FALSE)),"",(VLOOKUP($E55,'D-1 Off Site Habitat Baseline'!$D$1:$O$258,5,FALSE))))</f>
        <v/>
      </c>
      <c r="H55" s="520" t="str">
        <f>IF(E55="","",IF(ISNA(VLOOKUP($E55,'D-1 Off Site Habitat Baseline'!$D$1:$O$258,6,FALSE)),"",(VLOOKUP($E55,'D-1 Off Site Habitat Baseline'!$D$1:$O$258,6,FALSE))))</f>
        <v/>
      </c>
      <c r="I55" s="520" t="str">
        <f>IF(E55="","",IF(ISNA(VLOOKUP($E55,'D-1 Off Site Habitat Baseline'!$D$1:$O$258,7,FALSE)),"",(VLOOKUP($E55,'D-1 Off Site Habitat Baseline'!$D$1:$O$258,7,FALSE))))</f>
        <v/>
      </c>
      <c r="J55" s="520" t="str">
        <f>IF(E55="","",IF(ISNA(VLOOKUP($E55,'D-1 Off Site Habitat Baseline'!$D$1:$O$258,8,FALSE)),"",(VLOOKUP($E55,'D-1 Off Site Habitat Baseline'!$D$1:$O$258,8,FALSE))))</f>
        <v/>
      </c>
      <c r="K55" s="520" t="str">
        <f>IF(E55="","",IF(ISNA(VLOOKUP($E55,'D-1 Off Site Habitat Baseline'!$D$1:$O$258,9,FALSE)),"",(VLOOKUP($E55,'D-1 Off Site Habitat Baseline'!$D$1:$O$258,9,FALSE))))</f>
        <v/>
      </c>
      <c r="L55" s="520" t="str">
        <f>IF(E55="","",IF(ISNA(VLOOKUP($E55,'D-1 Off Site Habitat Baseline'!$D$1:$O$258,11,FALSE)),"",(VLOOKUP($E55,'D-1 Off Site Habitat Baseline'!$D$1:$O$258,11,FALSE))))</f>
        <v/>
      </c>
      <c r="M55" s="520" t="str">
        <f>IF(E55="","",IF(ISNA(VLOOKUP($E55,'D-1 Off Site Habitat Baseline'!$D$1:$O$258,12,FALSE)),"",(VLOOKUP($E55,'D-1 Off Site Habitat Baseline'!$D$1:$O$258,12,FALSE))))</f>
        <v/>
      </c>
      <c r="N55" s="520" t="str">
        <f>IF(E55="","",IF(ISNA(VLOOKUP($E55,'D-1 Off Site Habitat Baseline'!$D$1:$X$258,14,FALSE)),"",(VLOOKUP($E55,'D-1 Off Site Habitat Baseline'!$D$1:$X$258,14,FALSE))))</f>
        <v/>
      </c>
      <c r="O55" s="524" t="str">
        <f>IF(E55="","",IF(ISNA(VLOOKUP($E55,'D-1 Off Site Habitat Baseline'!$D$1:$X$258,13,FALSE)),"",(VLOOKUP($E55,'D-1 Off Site Habitat Baseline'!$D$1:$X$258,13,FALSE))))</f>
        <v/>
      </c>
      <c r="P55" s="232" t="str">
        <f>IFERROR(INDEX('G-1 All Habitats'!$AG$3:$AG$15,MATCH(Q55,'G-1 All Habitats'!$AF$3:$AF$15,0)),"")</f>
        <v/>
      </c>
      <c r="Q55" s="228" t="str">
        <f t="shared" si="12"/>
        <v/>
      </c>
      <c r="R55" s="229" t="str">
        <f t="shared" si="13"/>
        <v/>
      </c>
      <c r="S55" s="233" t="str">
        <f>IFERROR(INDEX('G-1 All Habitats'!$B$3:$B$129,MATCH(R55,'G-1 All Habitats'!$A$3:$A$129,0)),"")</f>
        <v/>
      </c>
      <c r="T55" s="507" t="str">
        <f t="shared" si="5"/>
        <v/>
      </c>
      <c r="U55" s="524" t="str">
        <f t="shared" si="6"/>
        <v/>
      </c>
      <c r="V55" s="523" t="str">
        <f t="shared" si="2"/>
        <v/>
      </c>
      <c r="W55" s="520" t="str">
        <f>IF(S55="","",VLOOKUP(S55,'G-1 All Habitats'!$B$2:$M$129,10,FALSE))</f>
        <v/>
      </c>
      <c r="X55" s="520" t="str">
        <f>IFERROR(VLOOKUP(W55,'G-1 All Habitats'!$V$3:$W$7,2,FALSE),"")</f>
        <v/>
      </c>
      <c r="Y55" s="203"/>
      <c r="Z55" s="524" t="str">
        <f>IFERROR(INDEX('G-8 Condition Look up'!$A$3:$H$130,MATCH(S55,'G-8 Condition Look up'!$A$3:$A$130,0),MATCH(Y55,'G-8 Condition Look up'!$A$3:$H$3,0)),"")</f>
        <v/>
      </c>
      <c r="AA55" s="145"/>
      <c r="AB55" s="540" t="str">
        <f>IF(AA55="","",IF(VLOOKUP(AA55,'G-3 Multipliers'!$L$3:$N$6,2,FALSE)=0,"Spatial Data Missing ⚠",VLOOKUP(AA55,'G-3 Multipliers'!$L$3:$N$6,2,FALSE)))</f>
        <v/>
      </c>
      <c r="AC55" s="524" t="str">
        <f>IF(AA55="","",IF(VLOOKUP(AA55,'G-3 Multipliers'!$L$3:$N$6,3,FALSE)=0,"Spatial Data Missing ⚠",VLOOKUP(AA55,'G-3 Multipliers'!$L$3:$N$6,3,FALSE)))</f>
        <v/>
      </c>
      <c r="AD55" s="537" t="str">
        <f t="shared" si="3"/>
        <v/>
      </c>
      <c r="AE55" s="203"/>
      <c r="AF55" s="203"/>
      <c r="AG55" s="520" t="str">
        <f t="shared" si="7"/>
        <v/>
      </c>
      <c r="AH55" s="544" t="str">
        <f t="shared" si="8"/>
        <v/>
      </c>
      <c r="AI55" s="525" t="str">
        <f>IF(AH55="Check Data ⚠","Check Data ⚠",IFERROR(VLOOKUP(AH55,'G-4 Temporal multipliers'!$A$4:$C$36,3,FALSE),""))</f>
        <v/>
      </c>
      <c r="AJ55" s="537" t="str">
        <f>IF(S55="","",VLOOKUP(S55,'G-3 Multipliers'!$A$2:$E$129,4,FALSE))</f>
        <v/>
      </c>
      <c r="AK55" s="520" t="str">
        <f t="shared" si="9"/>
        <v/>
      </c>
      <c r="AL55" s="520" t="str">
        <f t="shared" si="10"/>
        <v/>
      </c>
      <c r="AM55" s="524" t="str">
        <f>IFERROR(IF(F55="","",IF(AH55="Check Data ⚠","Check Data ⚠",VLOOKUP(AL55, 'G-3 Multipliers'!$P$2:$Q$6,2,FALSE))),"")</f>
        <v/>
      </c>
      <c r="AN55" s="197"/>
      <c r="AO55" s="540" t="str">
        <f>IF(AN55="","",IF(VLOOKUP(AN55,'G-3 Multipliers'!$S$3:$T$9,2,FALSE)=0,"Spatial Data Missing ⚠",VLOOKUP(AN55,'G-3 Multipliers'!$S$3:$T$9,2,FALSE)))</f>
        <v/>
      </c>
      <c r="AP55" s="513" t="str">
        <f t="shared" si="11"/>
        <v/>
      </c>
      <c r="AQ55" s="231"/>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7" t="str">
        <f>'D-1 Off Site Habitat Baseline'!AL55</f>
        <v/>
      </c>
      <c r="F56" s="520" t="str">
        <f>IF(E56="","",IF(ISNA(VLOOKUP($E56,'D-1 Off Site Habitat Baseline'!$D$1:$O$258,4,FALSE)),"",(VLOOKUP($E56,'D-1 Off Site Habitat Baseline'!$D$1:$O$258,4,FALSE))))</f>
        <v/>
      </c>
      <c r="G56" s="520" t="str">
        <f>IF(E56="","",IF(ISNA(VLOOKUP($E56,'D-1 Off Site Habitat Baseline'!$D$1:$O$258,5,FALSE)),"",(VLOOKUP($E56,'D-1 Off Site Habitat Baseline'!$D$1:$O$258,5,FALSE))))</f>
        <v/>
      </c>
      <c r="H56" s="520" t="str">
        <f>IF(E56="","",IF(ISNA(VLOOKUP($E56,'D-1 Off Site Habitat Baseline'!$D$1:$O$258,6,FALSE)),"",(VLOOKUP($E56,'D-1 Off Site Habitat Baseline'!$D$1:$O$258,6,FALSE))))</f>
        <v/>
      </c>
      <c r="I56" s="520" t="str">
        <f>IF(E56="","",IF(ISNA(VLOOKUP($E56,'D-1 Off Site Habitat Baseline'!$D$1:$O$258,7,FALSE)),"",(VLOOKUP($E56,'D-1 Off Site Habitat Baseline'!$D$1:$O$258,7,FALSE))))</f>
        <v/>
      </c>
      <c r="J56" s="520" t="str">
        <f>IF(E56="","",IF(ISNA(VLOOKUP($E56,'D-1 Off Site Habitat Baseline'!$D$1:$O$258,8,FALSE)),"",(VLOOKUP($E56,'D-1 Off Site Habitat Baseline'!$D$1:$O$258,8,FALSE))))</f>
        <v/>
      </c>
      <c r="K56" s="520" t="str">
        <f>IF(E56="","",IF(ISNA(VLOOKUP($E56,'D-1 Off Site Habitat Baseline'!$D$1:$O$258,9,FALSE)),"",(VLOOKUP($E56,'D-1 Off Site Habitat Baseline'!$D$1:$O$258,9,FALSE))))</f>
        <v/>
      </c>
      <c r="L56" s="520" t="str">
        <f>IF(E56="","",IF(ISNA(VLOOKUP($E56,'D-1 Off Site Habitat Baseline'!$D$1:$O$258,11,FALSE)),"",(VLOOKUP($E56,'D-1 Off Site Habitat Baseline'!$D$1:$O$258,11,FALSE))))</f>
        <v/>
      </c>
      <c r="M56" s="520" t="str">
        <f>IF(E56="","",IF(ISNA(VLOOKUP($E56,'D-1 Off Site Habitat Baseline'!$D$1:$O$258,12,FALSE)),"",(VLOOKUP($E56,'D-1 Off Site Habitat Baseline'!$D$1:$O$258,12,FALSE))))</f>
        <v/>
      </c>
      <c r="N56" s="520" t="str">
        <f>IF(E56="","",IF(ISNA(VLOOKUP($E56,'D-1 Off Site Habitat Baseline'!$D$1:$X$258,14,FALSE)),"",(VLOOKUP($E56,'D-1 Off Site Habitat Baseline'!$D$1:$X$258,14,FALSE))))</f>
        <v/>
      </c>
      <c r="O56" s="524" t="str">
        <f>IF(E56="","",IF(ISNA(VLOOKUP($E56,'D-1 Off Site Habitat Baseline'!$D$1:$X$258,13,FALSE)),"",(VLOOKUP($E56,'D-1 Off Site Habitat Baseline'!$D$1:$X$258,13,FALSE))))</f>
        <v/>
      </c>
      <c r="P56" s="232" t="str">
        <f>IFERROR(INDEX('G-1 All Habitats'!$AG$3:$AG$15,MATCH(Q56,'G-1 All Habitats'!$AF$3:$AF$15,0)),"")</f>
        <v/>
      </c>
      <c r="Q56" s="228" t="str">
        <f t="shared" si="12"/>
        <v/>
      </c>
      <c r="R56" s="229" t="str">
        <f t="shared" si="13"/>
        <v/>
      </c>
      <c r="S56" s="233" t="str">
        <f>IFERROR(INDEX('G-1 All Habitats'!$B$3:$B$129,MATCH(R56,'G-1 All Habitats'!$A$3:$A$129,0)),"")</f>
        <v/>
      </c>
      <c r="T56" s="507" t="str">
        <f t="shared" si="5"/>
        <v/>
      </c>
      <c r="U56" s="524" t="str">
        <f t="shared" si="6"/>
        <v/>
      </c>
      <c r="V56" s="523" t="str">
        <f t="shared" si="2"/>
        <v/>
      </c>
      <c r="W56" s="520" t="str">
        <f>IF(S56="","",VLOOKUP(S56,'G-1 All Habitats'!$B$2:$M$129,10,FALSE))</f>
        <v/>
      </c>
      <c r="X56" s="520" t="str">
        <f>IFERROR(VLOOKUP(W56,'G-1 All Habitats'!$V$3:$W$7,2,FALSE),"")</f>
        <v/>
      </c>
      <c r="Y56" s="203"/>
      <c r="Z56" s="524" t="str">
        <f>IFERROR(INDEX('G-8 Condition Look up'!$A$3:$H$130,MATCH(S56,'G-8 Condition Look up'!$A$3:$A$130,0),MATCH(Y56,'G-8 Condition Look up'!$A$3:$H$3,0)),"")</f>
        <v/>
      </c>
      <c r="AA56" s="145"/>
      <c r="AB56" s="540" t="str">
        <f>IF(AA56="","",IF(VLOOKUP(AA56,'G-3 Multipliers'!$L$3:$N$6,2,FALSE)=0,"Spatial Data Missing ⚠",VLOOKUP(AA56,'G-3 Multipliers'!$L$3:$N$6,2,FALSE)))</f>
        <v/>
      </c>
      <c r="AC56" s="524" t="str">
        <f>IF(AA56="","",IF(VLOOKUP(AA56,'G-3 Multipliers'!$L$3:$N$6,3,FALSE)=0,"Spatial Data Missing ⚠",VLOOKUP(AA56,'G-3 Multipliers'!$L$3:$N$6,3,FALSE)))</f>
        <v/>
      </c>
      <c r="AD56" s="537" t="str">
        <f t="shared" si="3"/>
        <v/>
      </c>
      <c r="AE56" s="203"/>
      <c r="AF56" s="203"/>
      <c r="AG56" s="520" t="str">
        <f t="shared" si="7"/>
        <v/>
      </c>
      <c r="AH56" s="544" t="str">
        <f t="shared" si="8"/>
        <v/>
      </c>
      <c r="AI56" s="525" t="str">
        <f>IF(AH56="Check Data ⚠","Check Data ⚠",IFERROR(VLOOKUP(AH56,'G-4 Temporal multipliers'!$A$4:$C$36,3,FALSE),""))</f>
        <v/>
      </c>
      <c r="AJ56" s="537" t="str">
        <f>IF(S56="","",VLOOKUP(S56,'G-3 Multipliers'!$A$2:$E$129,4,FALSE))</f>
        <v/>
      </c>
      <c r="AK56" s="520" t="str">
        <f t="shared" si="9"/>
        <v/>
      </c>
      <c r="AL56" s="520" t="str">
        <f t="shared" si="10"/>
        <v/>
      </c>
      <c r="AM56" s="524" t="str">
        <f>IFERROR(IF(F56="","",IF(AH56="Check Data ⚠","Check Data ⚠",VLOOKUP(AL56, 'G-3 Multipliers'!$P$2:$Q$6,2,FALSE))),"")</f>
        <v/>
      </c>
      <c r="AN56" s="197"/>
      <c r="AO56" s="540" t="str">
        <f>IF(AN56="","",IF(VLOOKUP(AN56,'G-3 Multipliers'!$S$3:$T$9,2,FALSE)=0,"Spatial Data Missing ⚠",VLOOKUP(AN56,'G-3 Multipliers'!$S$3:$T$9,2,FALSE)))</f>
        <v/>
      </c>
      <c r="AP56" s="513" t="str">
        <f t="shared" si="11"/>
        <v/>
      </c>
      <c r="AQ56" s="231"/>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7" t="str">
        <f>'D-1 Off Site Habitat Baseline'!AL56</f>
        <v/>
      </c>
      <c r="F57" s="520" t="str">
        <f>IF(E57="","",IF(ISNA(VLOOKUP($E57,'D-1 Off Site Habitat Baseline'!$D$1:$O$258,4,FALSE)),"",(VLOOKUP($E57,'D-1 Off Site Habitat Baseline'!$D$1:$O$258,4,FALSE))))</f>
        <v/>
      </c>
      <c r="G57" s="520" t="str">
        <f>IF(E57="","",IF(ISNA(VLOOKUP($E57,'D-1 Off Site Habitat Baseline'!$D$1:$O$258,5,FALSE)),"",(VLOOKUP($E57,'D-1 Off Site Habitat Baseline'!$D$1:$O$258,5,FALSE))))</f>
        <v/>
      </c>
      <c r="H57" s="520" t="str">
        <f>IF(E57="","",IF(ISNA(VLOOKUP($E57,'D-1 Off Site Habitat Baseline'!$D$1:$O$258,6,FALSE)),"",(VLOOKUP($E57,'D-1 Off Site Habitat Baseline'!$D$1:$O$258,6,FALSE))))</f>
        <v/>
      </c>
      <c r="I57" s="520" t="str">
        <f>IF(E57="","",IF(ISNA(VLOOKUP($E57,'D-1 Off Site Habitat Baseline'!$D$1:$O$258,7,FALSE)),"",(VLOOKUP($E57,'D-1 Off Site Habitat Baseline'!$D$1:$O$258,7,FALSE))))</f>
        <v/>
      </c>
      <c r="J57" s="520" t="str">
        <f>IF(E57="","",IF(ISNA(VLOOKUP($E57,'D-1 Off Site Habitat Baseline'!$D$1:$O$258,8,FALSE)),"",(VLOOKUP($E57,'D-1 Off Site Habitat Baseline'!$D$1:$O$258,8,FALSE))))</f>
        <v/>
      </c>
      <c r="K57" s="520" t="str">
        <f>IF(E57="","",IF(ISNA(VLOOKUP($E57,'D-1 Off Site Habitat Baseline'!$D$1:$O$258,9,FALSE)),"",(VLOOKUP($E57,'D-1 Off Site Habitat Baseline'!$D$1:$O$258,9,FALSE))))</f>
        <v/>
      </c>
      <c r="L57" s="520" t="str">
        <f>IF(E57="","",IF(ISNA(VLOOKUP($E57,'D-1 Off Site Habitat Baseline'!$D$1:$O$258,11,FALSE)),"",(VLOOKUP($E57,'D-1 Off Site Habitat Baseline'!$D$1:$O$258,11,FALSE))))</f>
        <v/>
      </c>
      <c r="M57" s="520" t="str">
        <f>IF(E57="","",IF(ISNA(VLOOKUP($E57,'D-1 Off Site Habitat Baseline'!$D$1:$O$258,12,FALSE)),"",(VLOOKUP($E57,'D-1 Off Site Habitat Baseline'!$D$1:$O$258,12,FALSE))))</f>
        <v/>
      </c>
      <c r="N57" s="520" t="str">
        <f>IF(E57="","",IF(ISNA(VLOOKUP($E57,'D-1 Off Site Habitat Baseline'!$D$1:$X$258,14,FALSE)),"",(VLOOKUP($E57,'D-1 Off Site Habitat Baseline'!$D$1:$X$258,14,FALSE))))</f>
        <v/>
      </c>
      <c r="O57" s="524" t="str">
        <f>IF(E57="","",IF(ISNA(VLOOKUP($E57,'D-1 Off Site Habitat Baseline'!$D$1:$X$258,13,FALSE)),"",(VLOOKUP($E57,'D-1 Off Site Habitat Baseline'!$D$1:$X$258,13,FALSE))))</f>
        <v/>
      </c>
      <c r="P57" s="232" t="str">
        <f>IFERROR(INDEX('G-1 All Habitats'!$AG$3:$AG$15,MATCH(Q57,'G-1 All Habitats'!$AF$3:$AF$15,0)),"")</f>
        <v/>
      </c>
      <c r="Q57" s="228" t="str">
        <f t="shared" si="12"/>
        <v/>
      </c>
      <c r="R57" s="229" t="str">
        <f t="shared" si="13"/>
        <v/>
      </c>
      <c r="S57" s="233" t="str">
        <f>IFERROR(INDEX('G-1 All Habitats'!$B$3:$B$129,MATCH(R57,'G-1 All Habitats'!$A$3:$A$129,0)),"")</f>
        <v/>
      </c>
      <c r="T57" s="507" t="str">
        <f t="shared" si="5"/>
        <v/>
      </c>
      <c r="U57" s="524" t="str">
        <f t="shared" si="6"/>
        <v/>
      </c>
      <c r="V57" s="523" t="str">
        <f t="shared" si="2"/>
        <v/>
      </c>
      <c r="W57" s="520" t="str">
        <f>IF(S57="","",VLOOKUP(S57,'G-1 All Habitats'!$B$2:$M$129,10,FALSE))</f>
        <v/>
      </c>
      <c r="X57" s="520" t="str">
        <f>IFERROR(VLOOKUP(W57,'G-1 All Habitats'!$V$3:$W$7,2,FALSE),"")</f>
        <v/>
      </c>
      <c r="Y57" s="203"/>
      <c r="Z57" s="524" t="str">
        <f>IFERROR(INDEX('G-8 Condition Look up'!$A$3:$H$130,MATCH(S57,'G-8 Condition Look up'!$A$3:$A$130,0),MATCH(Y57,'G-8 Condition Look up'!$A$3:$H$3,0)),"")</f>
        <v/>
      </c>
      <c r="AA57" s="145"/>
      <c r="AB57" s="540" t="str">
        <f>IF(AA57="","",IF(VLOOKUP(AA57,'G-3 Multipliers'!$L$3:$N$6,2,FALSE)=0,"Spatial Data Missing ⚠",VLOOKUP(AA57,'G-3 Multipliers'!$L$3:$N$6,2,FALSE)))</f>
        <v/>
      </c>
      <c r="AC57" s="524" t="str">
        <f>IF(AA57="","",IF(VLOOKUP(AA57,'G-3 Multipliers'!$L$3:$N$6,3,FALSE)=0,"Spatial Data Missing ⚠",VLOOKUP(AA57,'G-3 Multipliers'!$L$3:$N$6,3,FALSE)))</f>
        <v/>
      </c>
      <c r="AD57" s="537" t="str">
        <f t="shared" si="3"/>
        <v/>
      </c>
      <c r="AE57" s="203"/>
      <c r="AF57" s="203"/>
      <c r="AG57" s="520" t="str">
        <f t="shared" si="7"/>
        <v/>
      </c>
      <c r="AH57" s="544" t="str">
        <f t="shared" si="8"/>
        <v/>
      </c>
      <c r="AI57" s="525" t="str">
        <f>IF(AH57="Check Data ⚠","Check Data ⚠",IFERROR(VLOOKUP(AH57,'G-4 Temporal multipliers'!$A$4:$C$36,3,FALSE),""))</f>
        <v/>
      </c>
      <c r="AJ57" s="537" t="str">
        <f>IF(S57="","",VLOOKUP(S57,'G-3 Multipliers'!$A$2:$E$129,4,FALSE))</f>
        <v/>
      </c>
      <c r="AK57" s="520" t="str">
        <f t="shared" si="9"/>
        <v/>
      </c>
      <c r="AL57" s="520" t="str">
        <f t="shared" si="10"/>
        <v/>
      </c>
      <c r="AM57" s="524" t="str">
        <f>IFERROR(IF(F57="","",IF(AH57="Check Data ⚠","Check Data ⚠",VLOOKUP(AL57, 'G-3 Multipliers'!$P$2:$Q$6,2,FALSE))),"")</f>
        <v/>
      </c>
      <c r="AN57" s="197"/>
      <c r="AO57" s="540" t="str">
        <f>IF(AN57="","",IF(VLOOKUP(AN57,'G-3 Multipliers'!$S$3:$T$9,2,FALSE)=0,"Spatial Data Missing ⚠",VLOOKUP(AN57,'G-3 Multipliers'!$S$3:$T$9,2,FALSE)))</f>
        <v/>
      </c>
      <c r="AP57" s="513" t="str">
        <f t="shared" si="11"/>
        <v/>
      </c>
      <c r="AQ57" s="231"/>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7" t="str">
        <f>'D-1 Off Site Habitat Baseline'!AL57</f>
        <v/>
      </c>
      <c r="F58" s="520" t="str">
        <f>IF(E58="","",IF(ISNA(VLOOKUP($E58,'D-1 Off Site Habitat Baseline'!$D$1:$O$258,4,FALSE)),"",(VLOOKUP($E58,'D-1 Off Site Habitat Baseline'!$D$1:$O$258,4,FALSE))))</f>
        <v/>
      </c>
      <c r="G58" s="520" t="str">
        <f>IF(E58="","",IF(ISNA(VLOOKUP($E58,'D-1 Off Site Habitat Baseline'!$D$1:$O$258,5,FALSE)),"",(VLOOKUP($E58,'D-1 Off Site Habitat Baseline'!$D$1:$O$258,5,FALSE))))</f>
        <v/>
      </c>
      <c r="H58" s="520" t="str">
        <f>IF(E58="","",IF(ISNA(VLOOKUP($E58,'D-1 Off Site Habitat Baseline'!$D$1:$O$258,6,FALSE)),"",(VLOOKUP($E58,'D-1 Off Site Habitat Baseline'!$D$1:$O$258,6,FALSE))))</f>
        <v/>
      </c>
      <c r="I58" s="520" t="str">
        <f>IF(E58="","",IF(ISNA(VLOOKUP($E58,'D-1 Off Site Habitat Baseline'!$D$1:$O$258,7,FALSE)),"",(VLOOKUP($E58,'D-1 Off Site Habitat Baseline'!$D$1:$O$258,7,FALSE))))</f>
        <v/>
      </c>
      <c r="J58" s="520" t="str">
        <f>IF(E58="","",IF(ISNA(VLOOKUP($E58,'D-1 Off Site Habitat Baseline'!$D$1:$O$258,8,FALSE)),"",(VLOOKUP($E58,'D-1 Off Site Habitat Baseline'!$D$1:$O$258,8,FALSE))))</f>
        <v/>
      </c>
      <c r="K58" s="520" t="str">
        <f>IF(E58="","",IF(ISNA(VLOOKUP($E58,'D-1 Off Site Habitat Baseline'!$D$1:$O$258,9,FALSE)),"",(VLOOKUP($E58,'D-1 Off Site Habitat Baseline'!$D$1:$O$258,9,FALSE))))</f>
        <v/>
      </c>
      <c r="L58" s="520" t="str">
        <f>IF(E58="","",IF(ISNA(VLOOKUP($E58,'D-1 Off Site Habitat Baseline'!$D$1:$O$258,11,FALSE)),"",(VLOOKUP($E58,'D-1 Off Site Habitat Baseline'!$D$1:$O$258,11,FALSE))))</f>
        <v/>
      </c>
      <c r="M58" s="520" t="str">
        <f>IF(E58="","",IF(ISNA(VLOOKUP($E58,'D-1 Off Site Habitat Baseline'!$D$1:$O$258,12,FALSE)),"",(VLOOKUP($E58,'D-1 Off Site Habitat Baseline'!$D$1:$O$258,12,FALSE))))</f>
        <v/>
      </c>
      <c r="N58" s="520" t="str">
        <f>IF(E58="","",IF(ISNA(VLOOKUP($E58,'D-1 Off Site Habitat Baseline'!$D$1:$X$258,14,FALSE)),"",(VLOOKUP($E58,'D-1 Off Site Habitat Baseline'!$D$1:$X$258,14,FALSE))))</f>
        <v/>
      </c>
      <c r="O58" s="524" t="str">
        <f>IF(E58="","",IF(ISNA(VLOOKUP($E58,'D-1 Off Site Habitat Baseline'!$D$1:$X$258,13,FALSE)),"",(VLOOKUP($E58,'D-1 Off Site Habitat Baseline'!$D$1:$X$258,13,FALSE))))</f>
        <v/>
      </c>
      <c r="P58" s="232" t="str">
        <f>IFERROR(INDEX('G-1 All Habitats'!$AG$3:$AG$15,MATCH(Q58,'G-1 All Habitats'!$AF$3:$AF$15,0)),"")</f>
        <v/>
      </c>
      <c r="Q58" s="228" t="str">
        <f t="shared" si="12"/>
        <v/>
      </c>
      <c r="R58" s="229" t="str">
        <f t="shared" si="13"/>
        <v/>
      </c>
      <c r="S58" s="233" t="str">
        <f>IFERROR(INDEX('G-1 All Habitats'!$B$3:$B$129,MATCH(R58,'G-1 All Habitats'!$A$3:$A$129,0)),"")</f>
        <v/>
      </c>
      <c r="T58" s="507" t="str">
        <f t="shared" si="5"/>
        <v/>
      </c>
      <c r="U58" s="524" t="str">
        <f t="shared" si="6"/>
        <v/>
      </c>
      <c r="V58" s="523" t="str">
        <f t="shared" si="2"/>
        <v/>
      </c>
      <c r="W58" s="520" t="str">
        <f>IF(S58="","",VLOOKUP(S58,'G-1 All Habitats'!$B$2:$M$129,10,FALSE))</f>
        <v/>
      </c>
      <c r="X58" s="520" t="str">
        <f>IFERROR(VLOOKUP(W58,'G-1 All Habitats'!$V$3:$W$7,2,FALSE),"")</f>
        <v/>
      </c>
      <c r="Y58" s="203"/>
      <c r="Z58" s="524" t="str">
        <f>IFERROR(INDEX('G-8 Condition Look up'!$A$3:$H$130,MATCH(S58,'G-8 Condition Look up'!$A$3:$A$130,0),MATCH(Y58,'G-8 Condition Look up'!$A$3:$H$3,0)),"")</f>
        <v/>
      </c>
      <c r="AA58" s="145"/>
      <c r="AB58" s="540" t="str">
        <f>IF(AA58="","",IF(VLOOKUP(AA58,'G-3 Multipliers'!$L$3:$N$6,2,FALSE)=0,"Spatial Data Missing ⚠",VLOOKUP(AA58,'G-3 Multipliers'!$L$3:$N$6,2,FALSE)))</f>
        <v/>
      </c>
      <c r="AC58" s="524" t="str">
        <f>IF(AA58="","",IF(VLOOKUP(AA58,'G-3 Multipliers'!$L$3:$N$6,3,FALSE)=0,"Spatial Data Missing ⚠",VLOOKUP(AA58,'G-3 Multipliers'!$L$3:$N$6,3,FALSE)))</f>
        <v/>
      </c>
      <c r="AD58" s="537" t="str">
        <f t="shared" si="3"/>
        <v/>
      </c>
      <c r="AE58" s="203"/>
      <c r="AF58" s="203"/>
      <c r="AG58" s="520" t="str">
        <f t="shared" si="7"/>
        <v/>
      </c>
      <c r="AH58" s="544" t="str">
        <f t="shared" si="8"/>
        <v/>
      </c>
      <c r="AI58" s="525" t="str">
        <f>IF(AH58="Check Data ⚠","Check Data ⚠",IFERROR(VLOOKUP(AH58,'G-4 Temporal multipliers'!$A$4:$C$36,3,FALSE),""))</f>
        <v/>
      </c>
      <c r="AJ58" s="537" t="str">
        <f>IF(S58="","",VLOOKUP(S58,'G-3 Multipliers'!$A$2:$E$129,4,FALSE))</f>
        <v/>
      </c>
      <c r="AK58" s="520" t="str">
        <f t="shared" si="9"/>
        <v/>
      </c>
      <c r="AL58" s="520" t="str">
        <f t="shared" si="10"/>
        <v/>
      </c>
      <c r="AM58" s="524" t="str">
        <f>IFERROR(IF(F58="","",IF(AH58="Check Data ⚠","Check Data ⚠",VLOOKUP(AL58, 'G-3 Multipliers'!$P$2:$Q$6,2,FALSE))),"")</f>
        <v/>
      </c>
      <c r="AN58" s="197"/>
      <c r="AO58" s="540" t="str">
        <f>IF(AN58="","",IF(VLOOKUP(AN58,'G-3 Multipliers'!$S$3:$T$9,2,FALSE)=0,"Spatial Data Missing ⚠",VLOOKUP(AN58,'G-3 Multipliers'!$S$3:$T$9,2,FALSE)))</f>
        <v/>
      </c>
      <c r="AP58" s="513" t="str">
        <f t="shared" si="11"/>
        <v/>
      </c>
      <c r="AQ58" s="231"/>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7" t="str">
        <f>'D-1 Off Site Habitat Baseline'!AL58</f>
        <v/>
      </c>
      <c r="F59" s="520" t="str">
        <f>IF(E59="","",IF(ISNA(VLOOKUP($E59,'D-1 Off Site Habitat Baseline'!$D$1:$O$258,4,FALSE)),"",(VLOOKUP($E59,'D-1 Off Site Habitat Baseline'!$D$1:$O$258,4,FALSE))))</f>
        <v/>
      </c>
      <c r="G59" s="520" t="str">
        <f>IF(E59="","",IF(ISNA(VLOOKUP($E59,'D-1 Off Site Habitat Baseline'!$D$1:$O$258,5,FALSE)),"",(VLOOKUP($E59,'D-1 Off Site Habitat Baseline'!$D$1:$O$258,5,FALSE))))</f>
        <v/>
      </c>
      <c r="H59" s="520" t="str">
        <f>IF(E59="","",IF(ISNA(VLOOKUP($E59,'D-1 Off Site Habitat Baseline'!$D$1:$O$258,6,FALSE)),"",(VLOOKUP($E59,'D-1 Off Site Habitat Baseline'!$D$1:$O$258,6,FALSE))))</f>
        <v/>
      </c>
      <c r="I59" s="520" t="str">
        <f>IF(E59="","",IF(ISNA(VLOOKUP($E59,'D-1 Off Site Habitat Baseline'!$D$1:$O$258,7,FALSE)),"",(VLOOKUP($E59,'D-1 Off Site Habitat Baseline'!$D$1:$O$258,7,FALSE))))</f>
        <v/>
      </c>
      <c r="J59" s="520" t="str">
        <f>IF(E59="","",IF(ISNA(VLOOKUP($E59,'D-1 Off Site Habitat Baseline'!$D$1:$O$258,8,FALSE)),"",(VLOOKUP($E59,'D-1 Off Site Habitat Baseline'!$D$1:$O$258,8,FALSE))))</f>
        <v/>
      </c>
      <c r="K59" s="520" t="str">
        <f>IF(E59="","",IF(ISNA(VLOOKUP($E59,'D-1 Off Site Habitat Baseline'!$D$1:$O$258,9,FALSE)),"",(VLOOKUP($E59,'D-1 Off Site Habitat Baseline'!$D$1:$O$258,9,FALSE))))</f>
        <v/>
      </c>
      <c r="L59" s="520" t="str">
        <f>IF(E59="","",IF(ISNA(VLOOKUP($E59,'D-1 Off Site Habitat Baseline'!$D$1:$O$258,11,FALSE)),"",(VLOOKUP($E59,'D-1 Off Site Habitat Baseline'!$D$1:$O$258,11,FALSE))))</f>
        <v/>
      </c>
      <c r="M59" s="520" t="str">
        <f>IF(E59="","",IF(ISNA(VLOOKUP($E59,'D-1 Off Site Habitat Baseline'!$D$1:$O$258,12,FALSE)),"",(VLOOKUP($E59,'D-1 Off Site Habitat Baseline'!$D$1:$O$258,12,FALSE))))</f>
        <v/>
      </c>
      <c r="N59" s="520" t="str">
        <f>IF(E59="","",IF(ISNA(VLOOKUP($E59,'D-1 Off Site Habitat Baseline'!$D$1:$X$258,14,FALSE)),"",(VLOOKUP($E59,'D-1 Off Site Habitat Baseline'!$D$1:$X$258,14,FALSE))))</f>
        <v/>
      </c>
      <c r="O59" s="524" t="str">
        <f>IF(E59="","",IF(ISNA(VLOOKUP($E59,'D-1 Off Site Habitat Baseline'!$D$1:$X$258,13,FALSE)),"",(VLOOKUP($E59,'D-1 Off Site Habitat Baseline'!$D$1:$X$258,13,FALSE))))</f>
        <v/>
      </c>
      <c r="P59" s="232" t="str">
        <f>IFERROR(INDEX('G-1 All Habitats'!$AG$3:$AG$15,MATCH(Q59,'G-1 All Habitats'!$AF$3:$AF$15,0)),"")</f>
        <v/>
      </c>
      <c r="Q59" s="228" t="str">
        <f t="shared" si="12"/>
        <v/>
      </c>
      <c r="R59" s="229" t="str">
        <f t="shared" si="13"/>
        <v/>
      </c>
      <c r="S59" s="233" t="str">
        <f>IFERROR(INDEX('G-1 All Habitats'!$B$3:$B$129,MATCH(R59,'G-1 All Habitats'!$A$3:$A$129,0)),"")</f>
        <v/>
      </c>
      <c r="T59" s="507" t="str">
        <f t="shared" si="5"/>
        <v/>
      </c>
      <c r="U59" s="524" t="str">
        <f t="shared" si="6"/>
        <v/>
      </c>
      <c r="V59" s="523" t="str">
        <f t="shared" si="2"/>
        <v/>
      </c>
      <c r="W59" s="520" t="str">
        <f>IF(S59="","",VLOOKUP(S59,'G-1 All Habitats'!$B$2:$M$129,10,FALSE))</f>
        <v/>
      </c>
      <c r="X59" s="520" t="str">
        <f>IFERROR(VLOOKUP(W59,'G-1 All Habitats'!$V$3:$W$7,2,FALSE),"")</f>
        <v/>
      </c>
      <c r="Y59" s="203"/>
      <c r="Z59" s="524" t="str">
        <f>IFERROR(INDEX('G-8 Condition Look up'!$A$3:$H$130,MATCH(S59,'G-8 Condition Look up'!$A$3:$A$130,0),MATCH(Y59,'G-8 Condition Look up'!$A$3:$H$3,0)),"")</f>
        <v/>
      </c>
      <c r="AA59" s="145"/>
      <c r="AB59" s="540" t="str">
        <f>IF(AA59="","",IF(VLOOKUP(AA59,'G-3 Multipliers'!$L$3:$N$6,2,FALSE)=0,"Spatial Data Missing ⚠",VLOOKUP(AA59,'G-3 Multipliers'!$L$3:$N$6,2,FALSE)))</f>
        <v/>
      </c>
      <c r="AC59" s="524" t="str">
        <f>IF(AA59="","",IF(VLOOKUP(AA59,'G-3 Multipliers'!$L$3:$N$6,3,FALSE)=0,"Spatial Data Missing ⚠",VLOOKUP(AA59,'G-3 Multipliers'!$L$3:$N$6,3,FALSE)))</f>
        <v/>
      </c>
      <c r="AD59" s="537" t="str">
        <f t="shared" si="3"/>
        <v/>
      </c>
      <c r="AE59" s="203"/>
      <c r="AF59" s="203"/>
      <c r="AG59" s="520" t="str">
        <f t="shared" si="7"/>
        <v/>
      </c>
      <c r="AH59" s="544" t="str">
        <f t="shared" si="8"/>
        <v/>
      </c>
      <c r="AI59" s="525" t="str">
        <f>IF(AH59="Check Data ⚠","Check Data ⚠",IFERROR(VLOOKUP(AH59,'G-4 Temporal multipliers'!$A$4:$C$36,3,FALSE),""))</f>
        <v/>
      </c>
      <c r="AJ59" s="537" t="str">
        <f>IF(S59="","",VLOOKUP(S59,'G-3 Multipliers'!$A$2:$E$129,4,FALSE))</f>
        <v/>
      </c>
      <c r="AK59" s="520" t="str">
        <f t="shared" si="9"/>
        <v/>
      </c>
      <c r="AL59" s="520" t="str">
        <f t="shared" si="10"/>
        <v/>
      </c>
      <c r="AM59" s="524" t="str">
        <f>IFERROR(IF(F59="","",IF(AH59="Check Data ⚠","Check Data ⚠",VLOOKUP(AL59, 'G-3 Multipliers'!$P$2:$Q$6,2,FALSE))),"")</f>
        <v/>
      </c>
      <c r="AN59" s="197"/>
      <c r="AO59" s="540" t="str">
        <f>IF(AN59="","",IF(VLOOKUP(AN59,'G-3 Multipliers'!$S$3:$T$9,2,FALSE)=0,"Spatial Data Missing ⚠",VLOOKUP(AN59,'G-3 Multipliers'!$S$3:$T$9,2,FALSE)))</f>
        <v/>
      </c>
      <c r="AP59" s="513" t="str">
        <f t="shared" si="11"/>
        <v/>
      </c>
      <c r="AQ59" s="231"/>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7" t="str">
        <f>'D-1 Off Site Habitat Baseline'!AL59</f>
        <v/>
      </c>
      <c r="F60" s="520" t="str">
        <f>IF(E60="","",IF(ISNA(VLOOKUP($E60,'D-1 Off Site Habitat Baseline'!$D$1:$O$258,4,FALSE)),"",(VLOOKUP($E60,'D-1 Off Site Habitat Baseline'!$D$1:$O$258,4,FALSE))))</f>
        <v/>
      </c>
      <c r="G60" s="520" t="str">
        <f>IF(E60="","",IF(ISNA(VLOOKUP($E60,'D-1 Off Site Habitat Baseline'!$D$1:$O$258,5,FALSE)),"",(VLOOKUP($E60,'D-1 Off Site Habitat Baseline'!$D$1:$O$258,5,FALSE))))</f>
        <v/>
      </c>
      <c r="H60" s="520" t="str">
        <f>IF(E60="","",IF(ISNA(VLOOKUP($E60,'D-1 Off Site Habitat Baseline'!$D$1:$O$258,6,FALSE)),"",(VLOOKUP($E60,'D-1 Off Site Habitat Baseline'!$D$1:$O$258,6,FALSE))))</f>
        <v/>
      </c>
      <c r="I60" s="520" t="str">
        <f>IF(E60="","",IF(ISNA(VLOOKUP($E60,'D-1 Off Site Habitat Baseline'!$D$1:$O$258,7,FALSE)),"",(VLOOKUP($E60,'D-1 Off Site Habitat Baseline'!$D$1:$O$258,7,FALSE))))</f>
        <v/>
      </c>
      <c r="J60" s="520" t="str">
        <f>IF(E60="","",IF(ISNA(VLOOKUP($E60,'D-1 Off Site Habitat Baseline'!$D$1:$O$258,8,FALSE)),"",(VLOOKUP($E60,'D-1 Off Site Habitat Baseline'!$D$1:$O$258,8,FALSE))))</f>
        <v/>
      </c>
      <c r="K60" s="520" t="str">
        <f>IF(E60="","",IF(ISNA(VLOOKUP($E60,'D-1 Off Site Habitat Baseline'!$D$1:$O$258,9,FALSE)),"",(VLOOKUP($E60,'D-1 Off Site Habitat Baseline'!$D$1:$O$258,9,FALSE))))</f>
        <v/>
      </c>
      <c r="L60" s="520" t="str">
        <f>IF(E60="","",IF(ISNA(VLOOKUP($E60,'D-1 Off Site Habitat Baseline'!$D$1:$O$258,11,FALSE)),"",(VLOOKUP($E60,'D-1 Off Site Habitat Baseline'!$D$1:$O$258,11,FALSE))))</f>
        <v/>
      </c>
      <c r="M60" s="520" t="str">
        <f>IF(E60="","",IF(ISNA(VLOOKUP($E60,'D-1 Off Site Habitat Baseline'!$D$1:$O$258,12,FALSE)),"",(VLOOKUP($E60,'D-1 Off Site Habitat Baseline'!$D$1:$O$258,12,FALSE))))</f>
        <v/>
      </c>
      <c r="N60" s="520" t="str">
        <f>IF(E60="","",IF(ISNA(VLOOKUP($E60,'D-1 Off Site Habitat Baseline'!$D$1:$X$258,14,FALSE)),"",(VLOOKUP($E60,'D-1 Off Site Habitat Baseline'!$D$1:$X$258,14,FALSE))))</f>
        <v/>
      </c>
      <c r="O60" s="524" t="str">
        <f>IF(E60="","",IF(ISNA(VLOOKUP($E60,'D-1 Off Site Habitat Baseline'!$D$1:$X$258,13,FALSE)),"",(VLOOKUP($E60,'D-1 Off Site Habitat Baseline'!$D$1:$X$258,13,FALSE))))</f>
        <v/>
      </c>
      <c r="P60" s="232" t="str">
        <f>IFERROR(INDEX('G-1 All Habitats'!$AG$3:$AG$15,MATCH(Q60,'G-1 All Habitats'!$AF$3:$AF$15,0)),"")</f>
        <v/>
      </c>
      <c r="Q60" s="228" t="str">
        <f t="shared" si="12"/>
        <v/>
      </c>
      <c r="R60" s="229" t="str">
        <f t="shared" si="13"/>
        <v/>
      </c>
      <c r="S60" s="233" t="str">
        <f>IFERROR(INDEX('G-1 All Habitats'!$B$3:$B$129,MATCH(R60,'G-1 All Habitats'!$A$3:$A$129,0)),"")</f>
        <v/>
      </c>
      <c r="T60" s="507" t="str">
        <f t="shared" si="5"/>
        <v/>
      </c>
      <c r="U60" s="524" t="str">
        <f t="shared" si="6"/>
        <v/>
      </c>
      <c r="V60" s="523" t="str">
        <f t="shared" si="2"/>
        <v/>
      </c>
      <c r="W60" s="520" t="str">
        <f>IF(S60="","",VLOOKUP(S60,'G-1 All Habitats'!$B$2:$M$129,10,FALSE))</f>
        <v/>
      </c>
      <c r="X60" s="520" t="str">
        <f>IFERROR(VLOOKUP(W60,'G-1 All Habitats'!$V$3:$W$7,2,FALSE),"")</f>
        <v/>
      </c>
      <c r="Y60" s="203"/>
      <c r="Z60" s="524" t="str">
        <f>IFERROR(INDEX('G-8 Condition Look up'!$A$3:$H$130,MATCH(S60,'G-8 Condition Look up'!$A$3:$A$130,0),MATCH(Y60,'G-8 Condition Look up'!$A$3:$H$3,0)),"")</f>
        <v/>
      </c>
      <c r="AA60" s="145"/>
      <c r="AB60" s="540" t="str">
        <f>IF(AA60="","",IF(VLOOKUP(AA60,'G-3 Multipliers'!$L$3:$N$6,2,FALSE)=0,"Spatial Data Missing ⚠",VLOOKUP(AA60,'G-3 Multipliers'!$L$3:$N$6,2,FALSE)))</f>
        <v/>
      </c>
      <c r="AC60" s="524" t="str">
        <f>IF(AA60="","",IF(VLOOKUP(AA60,'G-3 Multipliers'!$L$3:$N$6,3,FALSE)=0,"Spatial Data Missing ⚠",VLOOKUP(AA60,'G-3 Multipliers'!$L$3:$N$6,3,FALSE)))</f>
        <v/>
      </c>
      <c r="AD60" s="537" t="str">
        <f t="shared" si="3"/>
        <v/>
      </c>
      <c r="AE60" s="203"/>
      <c r="AF60" s="203"/>
      <c r="AG60" s="520" t="str">
        <f t="shared" si="7"/>
        <v/>
      </c>
      <c r="AH60" s="544" t="str">
        <f t="shared" si="8"/>
        <v/>
      </c>
      <c r="AI60" s="525" t="str">
        <f>IF(AH60="Check Data ⚠","Check Data ⚠",IFERROR(VLOOKUP(AH60,'G-4 Temporal multipliers'!$A$4:$C$36,3,FALSE),""))</f>
        <v/>
      </c>
      <c r="AJ60" s="537" t="str">
        <f>IF(S60="","",VLOOKUP(S60,'G-3 Multipliers'!$A$2:$E$129,4,FALSE))</f>
        <v/>
      </c>
      <c r="AK60" s="520" t="str">
        <f t="shared" si="9"/>
        <v/>
      </c>
      <c r="AL60" s="520" t="str">
        <f t="shared" si="10"/>
        <v/>
      </c>
      <c r="AM60" s="524" t="str">
        <f>IFERROR(IF(F60="","",IF(AH60="Check Data ⚠","Check Data ⚠",VLOOKUP(AL60, 'G-3 Multipliers'!$P$2:$Q$6,2,FALSE))),"")</f>
        <v/>
      </c>
      <c r="AN60" s="197"/>
      <c r="AO60" s="540" t="str">
        <f>IF(AN60="","",IF(VLOOKUP(AN60,'G-3 Multipliers'!$S$3:$T$9,2,FALSE)=0,"Spatial Data Missing ⚠",VLOOKUP(AN60,'G-3 Multipliers'!$S$3:$T$9,2,FALSE)))</f>
        <v/>
      </c>
      <c r="AP60" s="513" t="str">
        <f t="shared" si="11"/>
        <v/>
      </c>
      <c r="AQ60" s="231"/>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7" t="str">
        <f>'D-1 Off Site Habitat Baseline'!AL60</f>
        <v/>
      </c>
      <c r="F61" s="520" t="str">
        <f>IF(E61="","",IF(ISNA(VLOOKUP($E61,'D-1 Off Site Habitat Baseline'!$D$1:$O$258,4,FALSE)),"",(VLOOKUP($E61,'D-1 Off Site Habitat Baseline'!$D$1:$O$258,4,FALSE))))</f>
        <v/>
      </c>
      <c r="G61" s="520" t="str">
        <f>IF(E61="","",IF(ISNA(VLOOKUP($E61,'D-1 Off Site Habitat Baseline'!$D$1:$O$258,5,FALSE)),"",(VLOOKUP($E61,'D-1 Off Site Habitat Baseline'!$D$1:$O$258,5,FALSE))))</f>
        <v/>
      </c>
      <c r="H61" s="520" t="str">
        <f>IF(E61="","",IF(ISNA(VLOOKUP($E61,'D-1 Off Site Habitat Baseline'!$D$1:$O$258,6,FALSE)),"",(VLOOKUP($E61,'D-1 Off Site Habitat Baseline'!$D$1:$O$258,6,FALSE))))</f>
        <v/>
      </c>
      <c r="I61" s="520" t="str">
        <f>IF(E61="","",IF(ISNA(VLOOKUP($E61,'D-1 Off Site Habitat Baseline'!$D$1:$O$258,7,FALSE)),"",(VLOOKUP($E61,'D-1 Off Site Habitat Baseline'!$D$1:$O$258,7,FALSE))))</f>
        <v/>
      </c>
      <c r="J61" s="520" t="str">
        <f>IF(E61="","",IF(ISNA(VLOOKUP($E61,'D-1 Off Site Habitat Baseline'!$D$1:$O$258,8,FALSE)),"",(VLOOKUP($E61,'D-1 Off Site Habitat Baseline'!$D$1:$O$258,8,FALSE))))</f>
        <v/>
      </c>
      <c r="K61" s="520" t="str">
        <f>IF(E61="","",IF(ISNA(VLOOKUP($E61,'D-1 Off Site Habitat Baseline'!$D$1:$O$258,9,FALSE)),"",(VLOOKUP($E61,'D-1 Off Site Habitat Baseline'!$D$1:$O$258,9,FALSE))))</f>
        <v/>
      </c>
      <c r="L61" s="520" t="str">
        <f>IF(E61="","",IF(ISNA(VLOOKUP($E61,'D-1 Off Site Habitat Baseline'!$D$1:$O$258,11,FALSE)),"",(VLOOKUP($E61,'D-1 Off Site Habitat Baseline'!$D$1:$O$258,11,FALSE))))</f>
        <v/>
      </c>
      <c r="M61" s="520" t="str">
        <f>IF(E61="","",IF(ISNA(VLOOKUP($E61,'D-1 Off Site Habitat Baseline'!$D$1:$O$258,12,FALSE)),"",(VLOOKUP($E61,'D-1 Off Site Habitat Baseline'!$D$1:$O$258,12,FALSE))))</f>
        <v/>
      </c>
      <c r="N61" s="520" t="str">
        <f>IF(E61="","",IF(ISNA(VLOOKUP($E61,'D-1 Off Site Habitat Baseline'!$D$1:$X$258,14,FALSE)),"",(VLOOKUP($E61,'D-1 Off Site Habitat Baseline'!$D$1:$X$258,14,FALSE))))</f>
        <v/>
      </c>
      <c r="O61" s="524" t="str">
        <f>IF(E61="","",IF(ISNA(VLOOKUP($E61,'D-1 Off Site Habitat Baseline'!$D$1:$X$258,13,FALSE)),"",(VLOOKUP($E61,'D-1 Off Site Habitat Baseline'!$D$1:$X$258,13,FALSE))))</f>
        <v/>
      </c>
      <c r="P61" s="232" t="str">
        <f>IFERROR(INDEX('G-1 All Habitats'!$AG$3:$AG$15,MATCH(Q61,'G-1 All Habitats'!$AF$3:$AF$15,0)),"")</f>
        <v/>
      </c>
      <c r="Q61" s="228" t="str">
        <f t="shared" si="12"/>
        <v/>
      </c>
      <c r="R61" s="229" t="str">
        <f t="shared" si="13"/>
        <v/>
      </c>
      <c r="S61" s="233" t="str">
        <f>IFERROR(INDEX('G-1 All Habitats'!$B$3:$B$129,MATCH(R61,'G-1 All Habitats'!$A$3:$A$129,0)),"")</f>
        <v/>
      </c>
      <c r="T61" s="507" t="str">
        <f t="shared" si="5"/>
        <v/>
      </c>
      <c r="U61" s="524" t="str">
        <f t="shared" si="6"/>
        <v/>
      </c>
      <c r="V61" s="523" t="str">
        <f t="shared" si="2"/>
        <v/>
      </c>
      <c r="W61" s="520" t="str">
        <f>IF(S61="","",VLOOKUP(S61,'G-1 All Habitats'!$B$2:$M$129,10,FALSE))</f>
        <v/>
      </c>
      <c r="X61" s="520" t="str">
        <f>IFERROR(VLOOKUP(W61,'G-1 All Habitats'!$V$3:$W$7,2,FALSE),"")</f>
        <v/>
      </c>
      <c r="Y61" s="203"/>
      <c r="Z61" s="524" t="str">
        <f>IFERROR(INDEX('G-8 Condition Look up'!$A$3:$H$130,MATCH(S61,'G-8 Condition Look up'!$A$3:$A$130,0),MATCH(Y61,'G-8 Condition Look up'!$A$3:$H$3,0)),"")</f>
        <v/>
      </c>
      <c r="AA61" s="145"/>
      <c r="AB61" s="540" t="str">
        <f>IF(AA61="","",IF(VLOOKUP(AA61,'G-3 Multipliers'!$L$3:$N$6,2,FALSE)=0,"Spatial Data Missing ⚠",VLOOKUP(AA61,'G-3 Multipliers'!$L$3:$N$6,2,FALSE)))</f>
        <v/>
      </c>
      <c r="AC61" s="524" t="str">
        <f>IF(AA61="","",IF(VLOOKUP(AA61,'G-3 Multipliers'!$L$3:$N$6,3,FALSE)=0,"Spatial Data Missing ⚠",VLOOKUP(AA61,'G-3 Multipliers'!$L$3:$N$6,3,FALSE)))</f>
        <v/>
      </c>
      <c r="AD61" s="537" t="str">
        <f t="shared" si="3"/>
        <v/>
      </c>
      <c r="AE61" s="203"/>
      <c r="AF61" s="203"/>
      <c r="AG61" s="520" t="str">
        <f t="shared" si="7"/>
        <v/>
      </c>
      <c r="AH61" s="544" t="str">
        <f t="shared" si="8"/>
        <v/>
      </c>
      <c r="AI61" s="525" t="str">
        <f>IF(AH61="Check Data ⚠","Check Data ⚠",IFERROR(VLOOKUP(AH61,'G-4 Temporal multipliers'!$A$4:$C$36,3,FALSE),""))</f>
        <v/>
      </c>
      <c r="AJ61" s="537" t="str">
        <f>IF(S61="","",VLOOKUP(S61,'G-3 Multipliers'!$A$2:$E$129,4,FALSE))</f>
        <v/>
      </c>
      <c r="AK61" s="520" t="str">
        <f t="shared" si="9"/>
        <v/>
      </c>
      <c r="AL61" s="520" t="str">
        <f t="shared" si="10"/>
        <v/>
      </c>
      <c r="AM61" s="524" t="str">
        <f>IFERROR(IF(F61="","",IF(AH61="Check Data ⚠","Check Data ⚠",VLOOKUP(AL61, 'G-3 Multipliers'!$P$2:$Q$6,2,FALSE))),"")</f>
        <v/>
      </c>
      <c r="AN61" s="197"/>
      <c r="AO61" s="540" t="str">
        <f>IF(AN61="","",IF(VLOOKUP(AN61,'G-3 Multipliers'!$S$3:$T$9,2,FALSE)=0,"Spatial Data Missing ⚠",VLOOKUP(AN61,'G-3 Multipliers'!$S$3:$T$9,2,FALSE)))</f>
        <v/>
      </c>
      <c r="AP61" s="513" t="str">
        <f t="shared" si="11"/>
        <v/>
      </c>
      <c r="AQ61" s="231"/>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7" t="str">
        <f>'D-1 Off Site Habitat Baseline'!AL61</f>
        <v/>
      </c>
      <c r="F62" s="520" t="str">
        <f>IF(E62="","",IF(ISNA(VLOOKUP($E62,'D-1 Off Site Habitat Baseline'!$D$1:$O$258,4,FALSE)),"",(VLOOKUP($E62,'D-1 Off Site Habitat Baseline'!$D$1:$O$258,4,FALSE))))</f>
        <v/>
      </c>
      <c r="G62" s="520" t="str">
        <f>IF(E62="","",IF(ISNA(VLOOKUP($E62,'D-1 Off Site Habitat Baseline'!$D$1:$O$258,5,FALSE)),"",(VLOOKUP($E62,'D-1 Off Site Habitat Baseline'!$D$1:$O$258,5,FALSE))))</f>
        <v/>
      </c>
      <c r="H62" s="520" t="str">
        <f>IF(E62="","",IF(ISNA(VLOOKUP($E62,'D-1 Off Site Habitat Baseline'!$D$1:$O$258,6,FALSE)),"",(VLOOKUP($E62,'D-1 Off Site Habitat Baseline'!$D$1:$O$258,6,FALSE))))</f>
        <v/>
      </c>
      <c r="I62" s="520" t="str">
        <f>IF(E62="","",IF(ISNA(VLOOKUP($E62,'D-1 Off Site Habitat Baseline'!$D$1:$O$258,7,FALSE)),"",(VLOOKUP($E62,'D-1 Off Site Habitat Baseline'!$D$1:$O$258,7,FALSE))))</f>
        <v/>
      </c>
      <c r="J62" s="520" t="str">
        <f>IF(E62="","",IF(ISNA(VLOOKUP($E62,'D-1 Off Site Habitat Baseline'!$D$1:$O$258,8,FALSE)),"",(VLOOKUP($E62,'D-1 Off Site Habitat Baseline'!$D$1:$O$258,8,FALSE))))</f>
        <v/>
      </c>
      <c r="K62" s="520" t="str">
        <f>IF(E62="","",IF(ISNA(VLOOKUP($E62,'D-1 Off Site Habitat Baseline'!$D$1:$O$258,9,FALSE)),"",(VLOOKUP($E62,'D-1 Off Site Habitat Baseline'!$D$1:$O$258,9,FALSE))))</f>
        <v/>
      </c>
      <c r="L62" s="520" t="str">
        <f>IF(E62="","",IF(ISNA(VLOOKUP($E62,'D-1 Off Site Habitat Baseline'!$D$1:$O$258,11,FALSE)),"",(VLOOKUP($E62,'D-1 Off Site Habitat Baseline'!$D$1:$O$258,11,FALSE))))</f>
        <v/>
      </c>
      <c r="M62" s="520" t="str">
        <f>IF(E62="","",IF(ISNA(VLOOKUP($E62,'D-1 Off Site Habitat Baseline'!$D$1:$O$258,12,FALSE)),"",(VLOOKUP($E62,'D-1 Off Site Habitat Baseline'!$D$1:$O$258,12,FALSE))))</f>
        <v/>
      </c>
      <c r="N62" s="520" t="str">
        <f>IF(E62="","",IF(ISNA(VLOOKUP($E62,'D-1 Off Site Habitat Baseline'!$D$1:$X$258,14,FALSE)),"",(VLOOKUP($E62,'D-1 Off Site Habitat Baseline'!$D$1:$X$258,14,FALSE))))</f>
        <v/>
      </c>
      <c r="O62" s="524" t="str">
        <f>IF(E62="","",IF(ISNA(VLOOKUP($E62,'D-1 Off Site Habitat Baseline'!$D$1:$X$258,13,FALSE)),"",(VLOOKUP($E62,'D-1 Off Site Habitat Baseline'!$D$1:$X$258,13,FALSE))))</f>
        <v/>
      </c>
      <c r="P62" s="232" t="str">
        <f>IFERROR(INDEX('G-1 All Habitats'!$AG$3:$AG$15,MATCH(Q62,'G-1 All Habitats'!$AF$3:$AF$15,0)),"")</f>
        <v/>
      </c>
      <c r="Q62" s="228" t="str">
        <f t="shared" si="12"/>
        <v/>
      </c>
      <c r="R62" s="229" t="str">
        <f t="shared" si="13"/>
        <v/>
      </c>
      <c r="S62" s="233" t="str">
        <f>IFERROR(INDEX('G-1 All Habitats'!$B$3:$B$129,MATCH(R62,'G-1 All Habitats'!$A$3:$A$129,0)),"")</f>
        <v/>
      </c>
      <c r="T62" s="507" t="str">
        <f t="shared" si="5"/>
        <v/>
      </c>
      <c r="U62" s="524" t="str">
        <f t="shared" si="6"/>
        <v/>
      </c>
      <c r="V62" s="523" t="str">
        <f t="shared" si="2"/>
        <v/>
      </c>
      <c r="W62" s="520" t="str">
        <f>IF(S62="","",VLOOKUP(S62,'G-1 All Habitats'!$B$2:$M$129,10,FALSE))</f>
        <v/>
      </c>
      <c r="X62" s="520" t="str">
        <f>IFERROR(VLOOKUP(W62,'G-1 All Habitats'!$V$3:$W$7,2,FALSE),"")</f>
        <v/>
      </c>
      <c r="Y62" s="203"/>
      <c r="Z62" s="524" t="str">
        <f>IFERROR(INDEX('G-8 Condition Look up'!$A$3:$H$130,MATCH(S62,'G-8 Condition Look up'!$A$3:$A$130,0),MATCH(Y62,'G-8 Condition Look up'!$A$3:$H$3,0)),"")</f>
        <v/>
      </c>
      <c r="AA62" s="145"/>
      <c r="AB62" s="540" t="str">
        <f>IF(AA62="","",IF(VLOOKUP(AA62,'G-3 Multipliers'!$L$3:$N$6,2,FALSE)=0,"Spatial Data Missing ⚠",VLOOKUP(AA62,'G-3 Multipliers'!$L$3:$N$6,2,FALSE)))</f>
        <v/>
      </c>
      <c r="AC62" s="524" t="str">
        <f>IF(AA62="","",IF(VLOOKUP(AA62,'G-3 Multipliers'!$L$3:$N$6,3,FALSE)=0,"Spatial Data Missing ⚠",VLOOKUP(AA62,'G-3 Multipliers'!$L$3:$N$6,3,FALSE)))</f>
        <v/>
      </c>
      <c r="AD62" s="537" t="str">
        <f t="shared" si="3"/>
        <v/>
      </c>
      <c r="AE62" s="203"/>
      <c r="AF62" s="203"/>
      <c r="AG62" s="520" t="str">
        <f t="shared" si="7"/>
        <v/>
      </c>
      <c r="AH62" s="544" t="str">
        <f t="shared" si="8"/>
        <v/>
      </c>
      <c r="AI62" s="525" t="str">
        <f>IF(AH62="Check Data ⚠","Check Data ⚠",IFERROR(VLOOKUP(AH62,'G-4 Temporal multipliers'!$A$4:$C$36,3,FALSE),""))</f>
        <v/>
      </c>
      <c r="AJ62" s="537" t="str">
        <f>IF(S62="","",VLOOKUP(S62,'G-3 Multipliers'!$A$2:$E$129,4,FALSE))</f>
        <v/>
      </c>
      <c r="AK62" s="520" t="str">
        <f t="shared" si="9"/>
        <v/>
      </c>
      <c r="AL62" s="520" t="str">
        <f t="shared" si="10"/>
        <v/>
      </c>
      <c r="AM62" s="524" t="str">
        <f>IFERROR(IF(F62="","",IF(AH62="Check Data ⚠","Check Data ⚠",VLOOKUP(AL62, 'G-3 Multipliers'!$P$2:$Q$6,2,FALSE))),"")</f>
        <v/>
      </c>
      <c r="AN62" s="197"/>
      <c r="AO62" s="540" t="str">
        <f>IF(AN62="","",IF(VLOOKUP(AN62,'G-3 Multipliers'!$S$3:$T$9,2,FALSE)=0,"Spatial Data Missing ⚠",VLOOKUP(AN62,'G-3 Multipliers'!$S$3:$T$9,2,FALSE)))</f>
        <v/>
      </c>
      <c r="AP62" s="513" t="str">
        <f t="shared" si="11"/>
        <v/>
      </c>
      <c r="AQ62" s="231"/>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7" t="str">
        <f>'D-1 Off Site Habitat Baseline'!AL62</f>
        <v/>
      </c>
      <c r="F63" s="520" t="str">
        <f>IF(E63="","",IF(ISNA(VLOOKUP($E63,'D-1 Off Site Habitat Baseline'!$D$1:$O$258,4,FALSE)),"",(VLOOKUP($E63,'D-1 Off Site Habitat Baseline'!$D$1:$O$258,4,FALSE))))</f>
        <v/>
      </c>
      <c r="G63" s="520" t="str">
        <f>IF(E63="","",IF(ISNA(VLOOKUP($E63,'D-1 Off Site Habitat Baseline'!$D$1:$O$258,5,FALSE)),"",(VLOOKUP($E63,'D-1 Off Site Habitat Baseline'!$D$1:$O$258,5,FALSE))))</f>
        <v/>
      </c>
      <c r="H63" s="520" t="str">
        <f>IF(E63="","",IF(ISNA(VLOOKUP($E63,'D-1 Off Site Habitat Baseline'!$D$1:$O$258,6,FALSE)),"",(VLOOKUP($E63,'D-1 Off Site Habitat Baseline'!$D$1:$O$258,6,FALSE))))</f>
        <v/>
      </c>
      <c r="I63" s="520" t="str">
        <f>IF(E63="","",IF(ISNA(VLOOKUP($E63,'D-1 Off Site Habitat Baseline'!$D$1:$O$258,7,FALSE)),"",(VLOOKUP($E63,'D-1 Off Site Habitat Baseline'!$D$1:$O$258,7,FALSE))))</f>
        <v/>
      </c>
      <c r="J63" s="520" t="str">
        <f>IF(E63="","",IF(ISNA(VLOOKUP($E63,'D-1 Off Site Habitat Baseline'!$D$1:$O$258,8,FALSE)),"",(VLOOKUP($E63,'D-1 Off Site Habitat Baseline'!$D$1:$O$258,8,FALSE))))</f>
        <v/>
      </c>
      <c r="K63" s="520" t="str">
        <f>IF(E63="","",IF(ISNA(VLOOKUP($E63,'D-1 Off Site Habitat Baseline'!$D$1:$O$258,9,FALSE)),"",(VLOOKUP($E63,'D-1 Off Site Habitat Baseline'!$D$1:$O$258,9,FALSE))))</f>
        <v/>
      </c>
      <c r="L63" s="520" t="str">
        <f>IF(E63="","",IF(ISNA(VLOOKUP($E63,'D-1 Off Site Habitat Baseline'!$D$1:$O$258,11,FALSE)),"",(VLOOKUP($E63,'D-1 Off Site Habitat Baseline'!$D$1:$O$258,11,FALSE))))</f>
        <v/>
      </c>
      <c r="M63" s="520" t="str">
        <f>IF(E63="","",IF(ISNA(VLOOKUP($E63,'D-1 Off Site Habitat Baseline'!$D$1:$O$258,12,FALSE)),"",(VLOOKUP($E63,'D-1 Off Site Habitat Baseline'!$D$1:$O$258,12,FALSE))))</f>
        <v/>
      </c>
      <c r="N63" s="520" t="str">
        <f>IF(E63="","",IF(ISNA(VLOOKUP($E63,'D-1 Off Site Habitat Baseline'!$D$1:$X$258,14,FALSE)),"",(VLOOKUP($E63,'D-1 Off Site Habitat Baseline'!$D$1:$X$258,14,FALSE))))</f>
        <v/>
      </c>
      <c r="O63" s="524" t="str">
        <f>IF(E63="","",IF(ISNA(VLOOKUP($E63,'D-1 Off Site Habitat Baseline'!$D$1:$X$258,13,FALSE)),"",(VLOOKUP($E63,'D-1 Off Site Habitat Baseline'!$D$1:$X$258,13,FALSE))))</f>
        <v/>
      </c>
      <c r="P63" s="232" t="str">
        <f>IFERROR(INDEX('G-1 All Habitats'!$AG$3:$AG$15,MATCH(Q63,'G-1 All Habitats'!$AF$3:$AF$15,0)),"")</f>
        <v/>
      </c>
      <c r="Q63" s="228" t="str">
        <f t="shared" si="12"/>
        <v/>
      </c>
      <c r="R63" s="229" t="str">
        <f t="shared" si="13"/>
        <v/>
      </c>
      <c r="S63" s="233" t="str">
        <f>IFERROR(INDEX('G-1 All Habitats'!$B$3:$B$129,MATCH(R63,'G-1 All Habitats'!$A$3:$A$129,0)),"")</f>
        <v/>
      </c>
      <c r="T63" s="507" t="str">
        <f t="shared" si="5"/>
        <v/>
      </c>
      <c r="U63" s="524" t="str">
        <f t="shared" si="6"/>
        <v/>
      </c>
      <c r="V63" s="523" t="str">
        <f t="shared" si="2"/>
        <v/>
      </c>
      <c r="W63" s="520" t="str">
        <f>IF(S63="","",VLOOKUP(S63,'G-1 All Habitats'!$B$2:$M$129,10,FALSE))</f>
        <v/>
      </c>
      <c r="X63" s="520" t="str">
        <f>IFERROR(VLOOKUP(W63,'G-1 All Habitats'!$V$3:$W$7,2,FALSE),"")</f>
        <v/>
      </c>
      <c r="Y63" s="203"/>
      <c r="Z63" s="524" t="str">
        <f>IFERROR(INDEX('G-8 Condition Look up'!$A$3:$H$130,MATCH(S63,'G-8 Condition Look up'!$A$3:$A$130,0),MATCH(Y63,'G-8 Condition Look up'!$A$3:$H$3,0)),"")</f>
        <v/>
      </c>
      <c r="AA63" s="145"/>
      <c r="AB63" s="540" t="str">
        <f>IF(AA63="","",IF(VLOOKUP(AA63,'G-3 Multipliers'!$L$3:$N$6,2,FALSE)=0,"Spatial Data Missing ⚠",VLOOKUP(AA63,'G-3 Multipliers'!$L$3:$N$6,2,FALSE)))</f>
        <v/>
      </c>
      <c r="AC63" s="524" t="str">
        <f>IF(AA63="","",IF(VLOOKUP(AA63,'G-3 Multipliers'!$L$3:$N$6,3,FALSE)=0,"Spatial Data Missing ⚠",VLOOKUP(AA63,'G-3 Multipliers'!$L$3:$N$6,3,FALSE)))</f>
        <v/>
      </c>
      <c r="AD63" s="537" t="str">
        <f t="shared" si="3"/>
        <v/>
      </c>
      <c r="AE63" s="203"/>
      <c r="AF63" s="203"/>
      <c r="AG63" s="520" t="str">
        <f t="shared" si="7"/>
        <v/>
      </c>
      <c r="AH63" s="544" t="str">
        <f t="shared" si="8"/>
        <v/>
      </c>
      <c r="AI63" s="525" t="str">
        <f>IF(AH63="Check Data ⚠","Check Data ⚠",IFERROR(VLOOKUP(AH63,'G-4 Temporal multipliers'!$A$4:$C$36,3,FALSE),""))</f>
        <v/>
      </c>
      <c r="AJ63" s="537" t="str">
        <f>IF(S63="","",VLOOKUP(S63,'G-3 Multipliers'!$A$2:$E$129,4,FALSE))</f>
        <v/>
      </c>
      <c r="AK63" s="520" t="str">
        <f t="shared" si="9"/>
        <v/>
      </c>
      <c r="AL63" s="520" t="str">
        <f t="shared" si="10"/>
        <v/>
      </c>
      <c r="AM63" s="524" t="str">
        <f>IFERROR(IF(F63="","",IF(AH63="Check Data ⚠","Check Data ⚠",VLOOKUP(AL63, 'G-3 Multipliers'!$P$2:$Q$6,2,FALSE))),"")</f>
        <v/>
      </c>
      <c r="AN63" s="197"/>
      <c r="AO63" s="540" t="str">
        <f>IF(AN63="","",IF(VLOOKUP(AN63,'G-3 Multipliers'!$S$3:$T$9,2,FALSE)=0,"Spatial Data Missing ⚠",VLOOKUP(AN63,'G-3 Multipliers'!$S$3:$T$9,2,FALSE)))</f>
        <v/>
      </c>
      <c r="AP63" s="513" t="str">
        <f t="shared" si="11"/>
        <v/>
      </c>
      <c r="AQ63" s="231"/>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7" t="str">
        <f>'D-1 Off Site Habitat Baseline'!AL63</f>
        <v/>
      </c>
      <c r="F64" s="520" t="str">
        <f>IF(E64="","",IF(ISNA(VLOOKUP($E64,'D-1 Off Site Habitat Baseline'!$D$1:$O$258,4,FALSE)),"",(VLOOKUP($E64,'D-1 Off Site Habitat Baseline'!$D$1:$O$258,4,FALSE))))</f>
        <v/>
      </c>
      <c r="G64" s="520" t="str">
        <f>IF(E64="","",IF(ISNA(VLOOKUP($E64,'D-1 Off Site Habitat Baseline'!$D$1:$O$258,5,FALSE)),"",(VLOOKUP($E64,'D-1 Off Site Habitat Baseline'!$D$1:$O$258,5,FALSE))))</f>
        <v/>
      </c>
      <c r="H64" s="520" t="str">
        <f>IF(E64="","",IF(ISNA(VLOOKUP($E64,'D-1 Off Site Habitat Baseline'!$D$1:$O$258,6,FALSE)),"",(VLOOKUP($E64,'D-1 Off Site Habitat Baseline'!$D$1:$O$258,6,FALSE))))</f>
        <v/>
      </c>
      <c r="I64" s="520" t="str">
        <f>IF(E64="","",IF(ISNA(VLOOKUP($E64,'D-1 Off Site Habitat Baseline'!$D$1:$O$258,7,FALSE)),"",(VLOOKUP($E64,'D-1 Off Site Habitat Baseline'!$D$1:$O$258,7,FALSE))))</f>
        <v/>
      </c>
      <c r="J64" s="520" t="str">
        <f>IF(E64="","",IF(ISNA(VLOOKUP($E64,'D-1 Off Site Habitat Baseline'!$D$1:$O$258,8,FALSE)),"",(VLOOKUP($E64,'D-1 Off Site Habitat Baseline'!$D$1:$O$258,8,FALSE))))</f>
        <v/>
      </c>
      <c r="K64" s="520" t="str">
        <f>IF(E64="","",IF(ISNA(VLOOKUP($E64,'D-1 Off Site Habitat Baseline'!$D$1:$O$258,9,FALSE)),"",(VLOOKUP($E64,'D-1 Off Site Habitat Baseline'!$D$1:$O$258,9,FALSE))))</f>
        <v/>
      </c>
      <c r="L64" s="520" t="str">
        <f>IF(E64="","",IF(ISNA(VLOOKUP($E64,'D-1 Off Site Habitat Baseline'!$D$1:$O$258,11,FALSE)),"",(VLOOKUP($E64,'D-1 Off Site Habitat Baseline'!$D$1:$O$258,11,FALSE))))</f>
        <v/>
      </c>
      <c r="M64" s="520" t="str">
        <f>IF(E64="","",IF(ISNA(VLOOKUP($E64,'D-1 Off Site Habitat Baseline'!$D$1:$O$258,12,FALSE)),"",(VLOOKUP($E64,'D-1 Off Site Habitat Baseline'!$D$1:$O$258,12,FALSE))))</f>
        <v/>
      </c>
      <c r="N64" s="520" t="str">
        <f>IF(E64="","",IF(ISNA(VLOOKUP($E64,'D-1 Off Site Habitat Baseline'!$D$1:$X$258,14,FALSE)),"",(VLOOKUP($E64,'D-1 Off Site Habitat Baseline'!$D$1:$X$258,14,FALSE))))</f>
        <v/>
      </c>
      <c r="O64" s="524" t="str">
        <f>IF(E64="","",IF(ISNA(VLOOKUP($E64,'D-1 Off Site Habitat Baseline'!$D$1:$X$258,13,FALSE)),"",(VLOOKUP($E64,'D-1 Off Site Habitat Baseline'!$D$1:$X$258,13,FALSE))))</f>
        <v/>
      </c>
      <c r="P64" s="232" t="str">
        <f>IFERROR(INDEX('G-1 All Habitats'!$AG$3:$AG$15,MATCH(Q64,'G-1 All Habitats'!$AF$3:$AF$15,0)),"")</f>
        <v/>
      </c>
      <c r="Q64" s="228" t="str">
        <f t="shared" si="12"/>
        <v/>
      </c>
      <c r="R64" s="229" t="str">
        <f t="shared" si="13"/>
        <v/>
      </c>
      <c r="S64" s="233" t="str">
        <f>IFERROR(INDEX('G-1 All Habitats'!$B$3:$B$129,MATCH(R64,'G-1 All Habitats'!$A$3:$A$129,0)),"")</f>
        <v/>
      </c>
      <c r="T64" s="507" t="str">
        <f t="shared" si="5"/>
        <v/>
      </c>
      <c r="U64" s="524" t="str">
        <f t="shared" si="6"/>
        <v/>
      </c>
      <c r="V64" s="523" t="str">
        <f t="shared" si="2"/>
        <v/>
      </c>
      <c r="W64" s="520" t="str">
        <f>IF(S64="","",VLOOKUP(S64,'G-1 All Habitats'!$B$2:$M$129,10,FALSE))</f>
        <v/>
      </c>
      <c r="X64" s="520" t="str">
        <f>IFERROR(VLOOKUP(W64,'G-1 All Habitats'!$V$3:$W$7,2,FALSE),"")</f>
        <v/>
      </c>
      <c r="Y64" s="203"/>
      <c r="Z64" s="524" t="str">
        <f>IFERROR(INDEX('G-8 Condition Look up'!$A$3:$H$130,MATCH(S64,'G-8 Condition Look up'!$A$3:$A$130,0),MATCH(Y64,'G-8 Condition Look up'!$A$3:$H$3,0)),"")</f>
        <v/>
      </c>
      <c r="AA64" s="145"/>
      <c r="AB64" s="540" t="str">
        <f>IF(AA64="","",IF(VLOOKUP(AA64,'G-3 Multipliers'!$L$3:$N$6,2,FALSE)=0,"Spatial Data Missing ⚠",VLOOKUP(AA64,'G-3 Multipliers'!$L$3:$N$6,2,FALSE)))</f>
        <v/>
      </c>
      <c r="AC64" s="524" t="str">
        <f>IF(AA64="","",IF(VLOOKUP(AA64,'G-3 Multipliers'!$L$3:$N$6,3,FALSE)=0,"Spatial Data Missing ⚠",VLOOKUP(AA64,'G-3 Multipliers'!$L$3:$N$6,3,FALSE)))</f>
        <v/>
      </c>
      <c r="AD64" s="537" t="str">
        <f t="shared" si="3"/>
        <v/>
      </c>
      <c r="AE64" s="203"/>
      <c r="AF64" s="203"/>
      <c r="AG64" s="520" t="str">
        <f t="shared" si="7"/>
        <v/>
      </c>
      <c r="AH64" s="544" t="str">
        <f t="shared" si="8"/>
        <v/>
      </c>
      <c r="AI64" s="525" t="str">
        <f>IF(AH64="Check Data ⚠","Check Data ⚠",IFERROR(VLOOKUP(AH64,'G-4 Temporal multipliers'!$A$4:$C$36,3,FALSE),""))</f>
        <v/>
      </c>
      <c r="AJ64" s="537" t="str">
        <f>IF(S64="","",VLOOKUP(S64,'G-3 Multipliers'!$A$2:$E$129,4,FALSE))</f>
        <v/>
      </c>
      <c r="AK64" s="520" t="str">
        <f t="shared" si="9"/>
        <v/>
      </c>
      <c r="AL64" s="520" t="str">
        <f t="shared" si="10"/>
        <v/>
      </c>
      <c r="AM64" s="524" t="str">
        <f>IFERROR(IF(F64="","",IF(AH64="Check Data ⚠","Check Data ⚠",VLOOKUP(AL64, 'G-3 Multipliers'!$P$2:$Q$6,2,FALSE))),"")</f>
        <v/>
      </c>
      <c r="AN64" s="197"/>
      <c r="AO64" s="540" t="str">
        <f>IF(AN64="","",IF(VLOOKUP(AN64,'G-3 Multipliers'!$S$3:$T$9,2,FALSE)=0,"Spatial Data Missing ⚠",VLOOKUP(AN64,'G-3 Multipliers'!$S$3:$T$9,2,FALSE)))</f>
        <v/>
      </c>
      <c r="AP64" s="513" t="str">
        <f t="shared" si="11"/>
        <v/>
      </c>
      <c r="AQ64" s="231"/>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7" t="str">
        <f>'D-1 Off Site Habitat Baseline'!AL64</f>
        <v/>
      </c>
      <c r="F65" s="520" t="str">
        <f>IF(E65="","",IF(ISNA(VLOOKUP($E65,'D-1 Off Site Habitat Baseline'!$D$1:$O$258,4,FALSE)),"",(VLOOKUP($E65,'D-1 Off Site Habitat Baseline'!$D$1:$O$258,4,FALSE))))</f>
        <v/>
      </c>
      <c r="G65" s="520" t="str">
        <f>IF(E65="","",IF(ISNA(VLOOKUP($E65,'D-1 Off Site Habitat Baseline'!$D$1:$O$258,5,FALSE)),"",(VLOOKUP($E65,'D-1 Off Site Habitat Baseline'!$D$1:$O$258,5,FALSE))))</f>
        <v/>
      </c>
      <c r="H65" s="520" t="str">
        <f>IF(E65="","",IF(ISNA(VLOOKUP($E65,'D-1 Off Site Habitat Baseline'!$D$1:$O$258,6,FALSE)),"",(VLOOKUP($E65,'D-1 Off Site Habitat Baseline'!$D$1:$O$258,6,FALSE))))</f>
        <v/>
      </c>
      <c r="I65" s="520" t="str">
        <f>IF(E65="","",IF(ISNA(VLOOKUP($E65,'D-1 Off Site Habitat Baseline'!$D$1:$O$258,7,FALSE)),"",(VLOOKUP($E65,'D-1 Off Site Habitat Baseline'!$D$1:$O$258,7,FALSE))))</f>
        <v/>
      </c>
      <c r="J65" s="520" t="str">
        <f>IF(E65="","",IF(ISNA(VLOOKUP($E65,'D-1 Off Site Habitat Baseline'!$D$1:$O$258,8,FALSE)),"",(VLOOKUP($E65,'D-1 Off Site Habitat Baseline'!$D$1:$O$258,8,FALSE))))</f>
        <v/>
      </c>
      <c r="K65" s="520" t="str">
        <f>IF(E65="","",IF(ISNA(VLOOKUP($E65,'D-1 Off Site Habitat Baseline'!$D$1:$O$258,9,FALSE)),"",(VLOOKUP($E65,'D-1 Off Site Habitat Baseline'!$D$1:$O$258,9,FALSE))))</f>
        <v/>
      </c>
      <c r="L65" s="520" t="str">
        <f>IF(E65="","",IF(ISNA(VLOOKUP($E65,'D-1 Off Site Habitat Baseline'!$D$1:$O$258,11,FALSE)),"",(VLOOKUP($E65,'D-1 Off Site Habitat Baseline'!$D$1:$O$258,11,FALSE))))</f>
        <v/>
      </c>
      <c r="M65" s="520" t="str">
        <f>IF(E65="","",IF(ISNA(VLOOKUP($E65,'D-1 Off Site Habitat Baseline'!$D$1:$O$258,12,FALSE)),"",(VLOOKUP($E65,'D-1 Off Site Habitat Baseline'!$D$1:$O$258,12,FALSE))))</f>
        <v/>
      </c>
      <c r="N65" s="520" t="str">
        <f>IF(E65="","",IF(ISNA(VLOOKUP($E65,'D-1 Off Site Habitat Baseline'!$D$1:$X$258,14,FALSE)),"",(VLOOKUP($E65,'D-1 Off Site Habitat Baseline'!$D$1:$X$258,14,FALSE))))</f>
        <v/>
      </c>
      <c r="O65" s="524" t="str">
        <f>IF(E65="","",IF(ISNA(VLOOKUP($E65,'D-1 Off Site Habitat Baseline'!$D$1:$X$258,13,FALSE)),"",(VLOOKUP($E65,'D-1 Off Site Habitat Baseline'!$D$1:$X$258,13,FALSE))))</f>
        <v/>
      </c>
      <c r="P65" s="232" t="str">
        <f>IFERROR(INDEX('G-1 All Habitats'!$AG$3:$AG$15,MATCH(Q65,'G-1 All Habitats'!$AF$3:$AF$15,0)),"")</f>
        <v/>
      </c>
      <c r="Q65" s="228" t="str">
        <f t="shared" si="12"/>
        <v/>
      </c>
      <c r="R65" s="229" t="str">
        <f t="shared" si="13"/>
        <v/>
      </c>
      <c r="S65" s="233" t="str">
        <f>IFERROR(INDEX('G-1 All Habitats'!$B$3:$B$129,MATCH(R65,'G-1 All Habitats'!$A$3:$A$129,0)),"")</f>
        <v/>
      </c>
      <c r="T65" s="507" t="str">
        <f t="shared" si="5"/>
        <v/>
      </c>
      <c r="U65" s="524" t="str">
        <f t="shared" si="6"/>
        <v/>
      </c>
      <c r="V65" s="523" t="str">
        <f t="shared" si="2"/>
        <v/>
      </c>
      <c r="W65" s="520" t="str">
        <f>IF(S65="","",VLOOKUP(S65,'G-1 All Habitats'!$B$2:$M$129,10,FALSE))</f>
        <v/>
      </c>
      <c r="X65" s="520" t="str">
        <f>IFERROR(VLOOKUP(W65,'G-1 All Habitats'!$V$3:$W$7,2,FALSE),"")</f>
        <v/>
      </c>
      <c r="Y65" s="203"/>
      <c r="Z65" s="524" t="str">
        <f>IFERROR(INDEX('G-8 Condition Look up'!$A$3:$H$130,MATCH(S65,'G-8 Condition Look up'!$A$3:$A$130,0),MATCH(Y65,'G-8 Condition Look up'!$A$3:$H$3,0)),"")</f>
        <v/>
      </c>
      <c r="AA65" s="145"/>
      <c r="AB65" s="540" t="str">
        <f>IF(AA65="","",IF(VLOOKUP(AA65,'G-3 Multipliers'!$L$3:$N$6,2,FALSE)=0,"Spatial Data Missing ⚠",VLOOKUP(AA65,'G-3 Multipliers'!$L$3:$N$6,2,FALSE)))</f>
        <v/>
      </c>
      <c r="AC65" s="524" t="str">
        <f>IF(AA65="","",IF(VLOOKUP(AA65,'G-3 Multipliers'!$L$3:$N$6,3,FALSE)=0,"Spatial Data Missing ⚠",VLOOKUP(AA65,'G-3 Multipliers'!$L$3:$N$6,3,FALSE)))</f>
        <v/>
      </c>
      <c r="AD65" s="537" t="str">
        <f t="shared" si="3"/>
        <v/>
      </c>
      <c r="AE65" s="203"/>
      <c r="AF65" s="203"/>
      <c r="AG65" s="520" t="str">
        <f t="shared" si="7"/>
        <v/>
      </c>
      <c r="AH65" s="544" t="str">
        <f t="shared" si="8"/>
        <v/>
      </c>
      <c r="AI65" s="525" t="str">
        <f>IF(AH65="Check Data ⚠","Check Data ⚠",IFERROR(VLOOKUP(AH65,'G-4 Temporal multipliers'!$A$4:$C$36,3,FALSE),""))</f>
        <v/>
      </c>
      <c r="AJ65" s="537" t="str">
        <f>IF(S65="","",VLOOKUP(S65,'G-3 Multipliers'!$A$2:$E$129,4,FALSE))</f>
        <v/>
      </c>
      <c r="AK65" s="520" t="str">
        <f t="shared" si="9"/>
        <v/>
      </c>
      <c r="AL65" s="520" t="str">
        <f t="shared" si="10"/>
        <v/>
      </c>
      <c r="AM65" s="524" t="str">
        <f>IFERROR(IF(F65="","",IF(AH65="Check Data ⚠","Check Data ⚠",VLOOKUP(AL65, 'G-3 Multipliers'!$P$2:$Q$6,2,FALSE))),"")</f>
        <v/>
      </c>
      <c r="AN65" s="197"/>
      <c r="AO65" s="540" t="str">
        <f>IF(AN65="","",IF(VLOOKUP(AN65,'G-3 Multipliers'!$S$3:$T$9,2,FALSE)=0,"Spatial Data Missing ⚠",VLOOKUP(AN65,'G-3 Multipliers'!$S$3:$T$9,2,FALSE)))</f>
        <v/>
      </c>
      <c r="AP65" s="513" t="str">
        <f t="shared" si="11"/>
        <v/>
      </c>
      <c r="AQ65" s="231"/>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7" t="str">
        <f>'D-1 Off Site Habitat Baseline'!AL65</f>
        <v/>
      </c>
      <c r="F66" s="520" t="str">
        <f>IF(E66="","",IF(ISNA(VLOOKUP($E66,'D-1 Off Site Habitat Baseline'!$D$1:$O$258,4,FALSE)),"",(VLOOKUP($E66,'D-1 Off Site Habitat Baseline'!$D$1:$O$258,4,FALSE))))</f>
        <v/>
      </c>
      <c r="G66" s="520" t="str">
        <f>IF(E66="","",IF(ISNA(VLOOKUP($E66,'D-1 Off Site Habitat Baseline'!$D$1:$O$258,5,FALSE)),"",(VLOOKUP($E66,'D-1 Off Site Habitat Baseline'!$D$1:$O$258,5,FALSE))))</f>
        <v/>
      </c>
      <c r="H66" s="520" t="str">
        <f>IF(E66="","",IF(ISNA(VLOOKUP($E66,'D-1 Off Site Habitat Baseline'!$D$1:$O$258,6,FALSE)),"",(VLOOKUP($E66,'D-1 Off Site Habitat Baseline'!$D$1:$O$258,6,FALSE))))</f>
        <v/>
      </c>
      <c r="I66" s="520" t="str">
        <f>IF(E66="","",IF(ISNA(VLOOKUP($E66,'D-1 Off Site Habitat Baseline'!$D$1:$O$258,7,FALSE)),"",(VLOOKUP($E66,'D-1 Off Site Habitat Baseline'!$D$1:$O$258,7,FALSE))))</f>
        <v/>
      </c>
      <c r="J66" s="520" t="str">
        <f>IF(E66="","",IF(ISNA(VLOOKUP($E66,'D-1 Off Site Habitat Baseline'!$D$1:$O$258,8,FALSE)),"",(VLOOKUP($E66,'D-1 Off Site Habitat Baseline'!$D$1:$O$258,8,FALSE))))</f>
        <v/>
      </c>
      <c r="K66" s="520" t="str">
        <f>IF(E66="","",IF(ISNA(VLOOKUP($E66,'D-1 Off Site Habitat Baseline'!$D$1:$O$258,9,FALSE)),"",(VLOOKUP($E66,'D-1 Off Site Habitat Baseline'!$D$1:$O$258,9,FALSE))))</f>
        <v/>
      </c>
      <c r="L66" s="520" t="str">
        <f>IF(E66="","",IF(ISNA(VLOOKUP($E66,'D-1 Off Site Habitat Baseline'!$D$1:$O$258,11,FALSE)),"",(VLOOKUP($E66,'D-1 Off Site Habitat Baseline'!$D$1:$O$258,11,FALSE))))</f>
        <v/>
      </c>
      <c r="M66" s="520" t="str">
        <f>IF(E66="","",IF(ISNA(VLOOKUP($E66,'D-1 Off Site Habitat Baseline'!$D$1:$O$258,12,FALSE)),"",(VLOOKUP($E66,'D-1 Off Site Habitat Baseline'!$D$1:$O$258,12,FALSE))))</f>
        <v/>
      </c>
      <c r="N66" s="520" t="str">
        <f>IF(E66="","",IF(ISNA(VLOOKUP($E66,'D-1 Off Site Habitat Baseline'!$D$1:$X$258,14,FALSE)),"",(VLOOKUP($E66,'D-1 Off Site Habitat Baseline'!$D$1:$X$258,14,FALSE))))</f>
        <v/>
      </c>
      <c r="O66" s="524" t="str">
        <f>IF(E66="","",IF(ISNA(VLOOKUP($E66,'D-1 Off Site Habitat Baseline'!$D$1:$X$258,13,FALSE)),"",(VLOOKUP($E66,'D-1 Off Site Habitat Baseline'!$D$1:$X$258,13,FALSE))))</f>
        <v/>
      </c>
      <c r="P66" s="232" t="str">
        <f>IFERROR(INDEX('G-1 All Habitats'!$AG$3:$AG$15,MATCH(Q66,'G-1 All Habitats'!$AF$3:$AF$15,0)),"")</f>
        <v/>
      </c>
      <c r="Q66" s="228" t="str">
        <f t="shared" si="12"/>
        <v/>
      </c>
      <c r="R66" s="229" t="str">
        <f t="shared" si="13"/>
        <v/>
      </c>
      <c r="S66" s="233" t="str">
        <f>IFERROR(INDEX('G-1 All Habitats'!$B$3:$B$129,MATCH(R66,'G-1 All Habitats'!$A$3:$A$129,0)),"")</f>
        <v/>
      </c>
      <c r="T66" s="507" t="str">
        <f t="shared" si="5"/>
        <v/>
      </c>
      <c r="U66" s="524" t="str">
        <f t="shared" si="6"/>
        <v/>
      </c>
      <c r="V66" s="523" t="str">
        <f t="shared" si="2"/>
        <v/>
      </c>
      <c r="W66" s="520" t="str">
        <f>IF(S66="","",VLOOKUP(S66,'G-1 All Habitats'!$B$2:$M$129,10,FALSE))</f>
        <v/>
      </c>
      <c r="X66" s="520" t="str">
        <f>IFERROR(VLOOKUP(W66,'G-1 All Habitats'!$V$3:$W$7,2,FALSE),"")</f>
        <v/>
      </c>
      <c r="Y66" s="203"/>
      <c r="Z66" s="524" t="str">
        <f>IFERROR(INDEX('G-8 Condition Look up'!$A$3:$H$130,MATCH(S66,'G-8 Condition Look up'!$A$3:$A$130,0),MATCH(Y66,'G-8 Condition Look up'!$A$3:$H$3,0)),"")</f>
        <v/>
      </c>
      <c r="AA66" s="145"/>
      <c r="AB66" s="540" t="str">
        <f>IF(AA66="","",IF(VLOOKUP(AA66,'G-3 Multipliers'!$L$3:$N$6,2,FALSE)=0,"Spatial Data Missing ⚠",VLOOKUP(AA66,'G-3 Multipliers'!$L$3:$N$6,2,FALSE)))</f>
        <v/>
      </c>
      <c r="AC66" s="524" t="str">
        <f>IF(AA66="","",IF(VLOOKUP(AA66,'G-3 Multipliers'!$L$3:$N$6,3,FALSE)=0,"Spatial Data Missing ⚠",VLOOKUP(AA66,'G-3 Multipliers'!$L$3:$N$6,3,FALSE)))</f>
        <v/>
      </c>
      <c r="AD66" s="537" t="str">
        <f t="shared" si="3"/>
        <v/>
      </c>
      <c r="AE66" s="203"/>
      <c r="AF66" s="203"/>
      <c r="AG66" s="520" t="str">
        <f t="shared" si="7"/>
        <v/>
      </c>
      <c r="AH66" s="544" t="str">
        <f t="shared" si="8"/>
        <v/>
      </c>
      <c r="AI66" s="525" t="str">
        <f>IF(AH66="Check Data ⚠","Check Data ⚠",IFERROR(VLOOKUP(AH66,'G-4 Temporal multipliers'!$A$4:$C$36,3,FALSE),""))</f>
        <v/>
      </c>
      <c r="AJ66" s="537" t="str">
        <f>IF(S66="","",VLOOKUP(S66,'G-3 Multipliers'!$A$2:$E$129,4,FALSE))</f>
        <v/>
      </c>
      <c r="AK66" s="520" t="str">
        <f t="shared" si="9"/>
        <v/>
      </c>
      <c r="AL66" s="520" t="str">
        <f t="shared" si="10"/>
        <v/>
      </c>
      <c r="AM66" s="524" t="str">
        <f>IFERROR(IF(F66="","",IF(AH66="Check Data ⚠","Check Data ⚠",VLOOKUP(AL66, 'G-3 Multipliers'!$P$2:$Q$6,2,FALSE))),"")</f>
        <v/>
      </c>
      <c r="AN66" s="197"/>
      <c r="AO66" s="540" t="str">
        <f>IF(AN66="","",IF(VLOOKUP(AN66,'G-3 Multipliers'!$S$3:$T$9,2,FALSE)=0,"Spatial Data Missing ⚠",VLOOKUP(AN66,'G-3 Multipliers'!$S$3:$T$9,2,FALSE)))</f>
        <v/>
      </c>
      <c r="AP66" s="513" t="str">
        <f t="shared" si="11"/>
        <v/>
      </c>
      <c r="AQ66" s="231"/>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7" t="str">
        <f>'D-1 Off Site Habitat Baseline'!AL66</f>
        <v/>
      </c>
      <c r="F67" s="520" t="str">
        <f>IF(E67="","",IF(ISNA(VLOOKUP($E67,'D-1 Off Site Habitat Baseline'!$D$1:$O$258,4,FALSE)),"",(VLOOKUP($E67,'D-1 Off Site Habitat Baseline'!$D$1:$O$258,4,FALSE))))</f>
        <v/>
      </c>
      <c r="G67" s="520" t="str">
        <f>IF(E67="","",IF(ISNA(VLOOKUP($E67,'D-1 Off Site Habitat Baseline'!$D$1:$O$258,5,FALSE)),"",(VLOOKUP($E67,'D-1 Off Site Habitat Baseline'!$D$1:$O$258,5,FALSE))))</f>
        <v/>
      </c>
      <c r="H67" s="520" t="str">
        <f>IF(E67="","",IF(ISNA(VLOOKUP($E67,'D-1 Off Site Habitat Baseline'!$D$1:$O$258,6,FALSE)),"",(VLOOKUP($E67,'D-1 Off Site Habitat Baseline'!$D$1:$O$258,6,FALSE))))</f>
        <v/>
      </c>
      <c r="I67" s="520" t="str">
        <f>IF(E67="","",IF(ISNA(VLOOKUP($E67,'D-1 Off Site Habitat Baseline'!$D$1:$O$258,7,FALSE)),"",(VLOOKUP($E67,'D-1 Off Site Habitat Baseline'!$D$1:$O$258,7,FALSE))))</f>
        <v/>
      </c>
      <c r="J67" s="520" t="str">
        <f>IF(E67="","",IF(ISNA(VLOOKUP($E67,'D-1 Off Site Habitat Baseline'!$D$1:$O$258,8,FALSE)),"",(VLOOKUP($E67,'D-1 Off Site Habitat Baseline'!$D$1:$O$258,8,FALSE))))</f>
        <v/>
      </c>
      <c r="K67" s="520" t="str">
        <f>IF(E67="","",IF(ISNA(VLOOKUP($E67,'D-1 Off Site Habitat Baseline'!$D$1:$O$258,9,FALSE)),"",(VLOOKUP($E67,'D-1 Off Site Habitat Baseline'!$D$1:$O$258,9,FALSE))))</f>
        <v/>
      </c>
      <c r="L67" s="520" t="str">
        <f>IF(E67="","",IF(ISNA(VLOOKUP($E67,'D-1 Off Site Habitat Baseline'!$D$1:$O$258,11,FALSE)),"",(VLOOKUP($E67,'D-1 Off Site Habitat Baseline'!$D$1:$O$258,11,FALSE))))</f>
        <v/>
      </c>
      <c r="M67" s="520" t="str">
        <f>IF(E67="","",IF(ISNA(VLOOKUP($E67,'D-1 Off Site Habitat Baseline'!$D$1:$O$258,12,FALSE)),"",(VLOOKUP($E67,'D-1 Off Site Habitat Baseline'!$D$1:$O$258,12,FALSE))))</f>
        <v/>
      </c>
      <c r="N67" s="520" t="str">
        <f>IF(E67="","",IF(ISNA(VLOOKUP($E67,'D-1 Off Site Habitat Baseline'!$D$1:$X$258,14,FALSE)),"",(VLOOKUP($E67,'D-1 Off Site Habitat Baseline'!$D$1:$X$258,14,FALSE))))</f>
        <v/>
      </c>
      <c r="O67" s="524" t="str">
        <f>IF(E67="","",IF(ISNA(VLOOKUP($E67,'D-1 Off Site Habitat Baseline'!$D$1:$X$258,13,FALSE)),"",(VLOOKUP($E67,'D-1 Off Site Habitat Baseline'!$D$1:$X$258,13,FALSE))))</f>
        <v/>
      </c>
      <c r="P67" s="232" t="str">
        <f>IFERROR(INDEX('G-1 All Habitats'!$AG$3:$AG$15,MATCH(Q67,'G-1 All Habitats'!$AF$3:$AF$15,0)),"")</f>
        <v/>
      </c>
      <c r="Q67" s="228" t="str">
        <f t="shared" si="12"/>
        <v/>
      </c>
      <c r="R67" s="229" t="str">
        <f t="shared" si="13"/>
        <v/>
      </c>
      <c r="S67" s="233" t="str">
        <f>IFERROR(INDEX('G-1 All Habitats'!$B$3:$B$129,MATCH(R67,'G-1 All Habitats'!$A$3:$A$129,0)),"")</f>
        <v/>
      </c>
      <c r="T67" s="507" t="str">
        <f t="shared" si="5"/>
        <v/>
      </c>
      <c r="U67" s="524" t="str">
        <f t="shared" si="6"/>
        <v/>
      </c>
      <c r="V67" s="523" t="str">
        <f t="shared" si="2"/>
        <v/>
      </c>
      <c r="W67" s="520" t="str">
        <f>IF(S67="","",VLOOKUP(S67,'G-1 All Habitats'!$B$2:$M$129,10,FALSE))</f>
        <v/>
      </c>
      <c r="X67" s="520" t="str">
        <f>IFERROR(VLOOKUP(W67,'G-1 All Habitats'!$V$3:$W$7,2,FALSE),"")</f>
        <v/>
      </c>
      <c r="Y67" s="203"/>
      <c r="Z67" s="524" t="str">
        <f>IFERROR(INDEX('G-8 Condition Look up'!$A$3:$H$130,MATCH(S67,'G-8 Condition Look up'!$A$3:$A$130,0),MATCH(Y67,'G-8 Condition Look up'!$A$3:$H$3,0)),"")</f>
        <v/>
      </c>
      <c r="AA67" s="145"/>
      <c r="AB67" s="540" t="str">
        <f>IF(AA67="","",IF(VLOOKUP(AA67,'G-3 Multipliers'!$L$3:$N$6,2,FALSE)=0,"Spatial Data Missing ⚠",VLOOKUP(AA67,'G-3 Multipliers'!$L$3:$N$6,2,FALSE)))</f>
        <v/>
      </c>
      <c r="AC67" s="524" t="str">
        <f>IF(AA67="","",IF(VLOOKUP(AA67,'G-3 Multipliers'!$L$3:$N$6,3,FALSE)=0,"Spatial Data Missing ⚠",VLOOKUP(AA67,'G-3 Multipliers'!$L$3:$N$6,3,FALSE)))</f>
        <v/>
      </c>
      <c r="AD67" s="537" t="str">
        <f t="shared" si="3"/>
        <v/>
      </c>
      <c r="AE67" s="203"/>
      <c r="AF67" s="203"/>
      <c r="AG67" s="520" t="str">
        <f t="shared" si="7"/>
        <v/>
      </c>
      <c r="AH67" s="544" t="str">
        <f t="shared" si="8"/>
        <v/>
      </c>
      <c r="AI67" s="525" t="str">
        <f>IF(AH67="Check Data ⚠","Check Data ⚠",IFERROR(VLOOKUP(AH67,'G-4 Temporal multipliers'!$A$4:$C$36,3,FALSE),""))</f>
        <v/>
      </c>
      <c r="AJ67" s="537" t="str">
        <f>IF(S67="","",VLOOKUP(S67,'G-3 Multipliers'!$A$2:$E$129,4,FALSE))</f>
        <v/>
      </c>
      <c r="AK67" s="520" t="str">
        <f t="shared" si="9"/>
        <v/>
      </c>
      <c r="AL67" s="520" t="str">
        <f t="shared" si="10"/>
        <v/>
      </c>
      <c r="AM67" s="524" t="str">
        <f>IFERROR(IF(F67="","",IF(AH67="Check Data ⚠","Check Data ⚠",VLOOKUP(AL67, 'G-3 Multipliers'!$P$2:$Q$6,2,FALSE))),"")</f>
        <v/>
      </c>
      <c r="AN67" s="197"/>
      <c r="AO67" s="540" t="str">
        <f>IF(AN67="","",IF(VLOOKUP(AN67,'G-3 Multipliers'!$S$3:$T$9,2,FALSE)=0,"Spatial Data Missing ⚠",VLOOKUP(AN67,'G-3 Multipliers'!$S$3:$T$9,2,FALSE)))</f>
        <v/>
      </c>
      <c r="AP67" s="513" t="str">
        <f t="shared" si="11"/>
        <v/>
      </c>
      <c r="AQ67" s="231"/>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7" t="str">
        <f>'D-1 Off Site Habitat Baseline'!AL67</f>
        <v/>
      </c>
      <c r="F68" s="520" t="str">
        <f>IF(E68="","",IF(ISNA(VLOOKUP($E68,'D-1 Off Site Habitat Baseline'!$D$1:$O$258,4,FALSE)),"",(VLOOKUP($E68,'D-1 Off Site Habitat Baseline'!$D$1:$O$258,4,FALSE))))</f>
        <v/>
      </c>
      <c r="G68" s="520" t="str">
        <f>IF(E68="","",IF(ISNA(VLOOKUP($E68,'D-1 Off Site Habitat Baseline'!$D$1:$O$258,5,FALSE)),"",(VLOOKUP($E68,'D-1 Off Site Habitat Baseline'!$D$1:$O$258,5,FALSE))))</f>
        <v/>
      </c>
      <c r="H68" s="520" t="str">
        <f>IF(E68="","",IF(ISNA(VLOOKUP($E68,'D-1 Off Site Habitat Baseline'!$D$1:$O$258,6,FALSE)),"",(VLOOKUP($E68,'D-1 Off Site Habitat Baseline'!$D$1:$O$258,6,FALSE))))</f>
        <v/>
      </c>
      <c r="I68" s="520" t="str">
        <f>IF(E68="","",IF(ISNA(VLOOKUP($E68,'D-1 Off Site Habitat Baseline'!$D$1:$O$258,7,FALSE)),"",(VLOOKUP($E68,'D-1 Off Site Habitat Baseline'!$D$1:$O$258,7,FALSE))))</f>
        <v/>
      </c>
      <c r="J68" s="520" t="str">
        <f>IF(E68="","",IF(ISNA(VLOOKUP($E68,'D-1 Off Site Habitat Baseline'!$D$1:$O$258,8,FALSE)),"",(VLOOKUP($E68,'D-1 Off Site Habitat Baseline'!$D$1:$O$258,8,FALSE))))</f>
        <v/>
      </c>
      <c r="K68" s="520" t="str">
        <f>IF(E68="","",IF(ISNA(VLOOKUP($E68,'D-1 Off Site Habitat Baseline'!$D$1:$O$258,9,FALSE)),"",(VLOOKUP($E68,'D-1 Off Site Habitat Baseline'!$D$1:$O$258,9,FALSE))))</f>
        <v/>
      </c>
      <c r="L68" s="520" t="str">
        <f>IF(E68="","",IF(ISNA(VLOOKUP($E68,'D-1 Off Site Habitat Baseline'!$D$1:$O$258,11,FALSE)),"",(VLOOKUP($E68,'D-1 Off Site Habitat Baseline'!$D$1:$O$258,11,FALSE))))</f>
        <v/>
      </c>
      <c r="M68" s="520" t="str">
        <f>IF(E68="","",IF(ISNA(VLOOKUP($E68,'D-1 Off Site Habitat Baseline'!$D$1:$O$258,12,FALSE)),"",(VLOOKUP($E68,'D-1 Off Site Habitat Baseline'!$D$1:$O$258,12,FALSE))))</f>
        <v/>
      </c>
      <c r="N68" s="520" t="str">
        <f>IF(E68="","",IF(ISNA(VLOOKUP($E68,'D-1 Off Site Habitat Baseline'!$D$1:$X$258,14,FALSE)),"",(VLOOKUP($E68,'D-1 Off Site Habitat Baseline'!$D$1:$X$258,14,FALSE))))</f>
        <v/>
      </c>
      <c r="O68" s="524" t="str">
        <f>IF(E68="","",IF(ISNA(VLOOKUP($E68,'D-1 Off Site Habitat Baseline'!$D$1:$X$258,13,FALSE)),"",(VLOOKUP($E68,'D-1 Off Site Habitat Baseline'!$D$1:$X$258,13,FALSE))))</f>
        <v/>
      </c>
      <c r="P68" s="232" t="str">
        <f>IFERROR(INDEX('G-1 All Habitats'!$AG$3:$AG$15,MATCH(Q68,'G-1 All Habitats'!$AF$3:$AF$15,0)),"")</f>
        <v/>
      </c>
      <c r="Q68" s="228" t="str">
        <f t="shared" si="12"/>
        <v/>
      </c>
      <c r="R68" s="229" t="str">
        <f t="shared" si="13"/>
        <v/>
      </c>
      <c r="S68" s="233" t="str">
        <f>IFERROR(INDEX('G-1 All Habitats'!$B$3:$B$129,MATCH(R68,'G-1 All Habitats'!$A$3:$A$129,0)),"")</f>
        <v/>
      </c>
      <c r="T68" s="507" t="str">
        <f t="shared" si="5"/>
        <v/>
      </c>
      <c r="U68" s="524" t="str">
        <f t="shared" si="6"/>
        <v/>
      </c>
      <c r="V68" s="523" t="str">
        <f t="shared" si="2"/>
        <v/>
      </c>
      <c r="W68" s="520" t="str">
        <f>IF(S68="","",VLOOKUP(S68,'G-1 All Habitats'!$B$2:$M$129,10,FALSE))</f>
        <v/>
      </c>
      <c r="X68" s="520" t="str">
        <f>IFERROR(VLOOKUP(W68,'G-1 All Habitats'!$V$3:$W$7,2,FALSE),"")</f>
        <v/>
      </c>
      <c r="Y68" s="203"/>
      <c r="Z68" s="524" t="str">
        <f>IFERROR(INDEX('G-8 Condition Look up'!$A$3:$H$130,MATCH(S68,'G-8 Condition Look up'!$A$3:$A$130,0),MATCH(Y68,'G-8 Condition Look up'!$A$3:$H$3,0)),"")</f>
        <v/>
      </c>
      <c r="AA68" s="145"/>
      <c r="AB68" s="540" t="str">
        <f>IF(AA68="","",IF(VLOOKUP(AA68,'G-3 Multipliers'!$L$3:$N$6,2,FALSE)=0,"Spatial Data Missing ⚠",VLOOKUP(AA68,'G-3 Multipliers'!$L$3:$N$6,2,FALSE)))</f>
        <v/>
      </c>
      <c r="AC68" s="524" t="str">
        <f>IF(AA68="","",IF(VLOOKUP(AA68,'G-3 Multipliers'!$L$3:$N$6,3,FALSE)=0,"Spatial Data Missing ⚠",VLOOKUP(AA68,'G-3 Multipliers'!$L$3:$N$6,3,FALSE)))</f>
        <v/>
      </c>
      <c r="AD68" s="537" t="str">
        <f t="shared" si="3"/>
        <v/>
      </c>
      <c r="AE68" s="203"/>
      <c r="AF68" s="203"/>
      <c r="AG68" s="520" t="str">
        <f t="shared" si="7"/>
        <v/>
      </c>
      <c r="AH68" s="544" t="str">
        <f t="shared" si="8"/>
        <v/>
      </c>
      <c r="AI68" s="525" t="str">
        <f>IF(AH68="Check Data ⚠","Check Data ⚠",IFERROR(VLOOKUP(AH68,'G-4 Temporal multipliers'!$A$4:$C$36,3,FALSE),""))</f>
        <v/>
      </c>
      <c r="AJ68" s="537" t="str">
        <f>IF(S68="","",VLOOKUP(S68,'G-3 Multipliers'!$A$2:$E$129,4,FALSE))</f>
        <v/>
      </c>
      <c r="AK68" s="520" t="str">
        <f t="shared" si="9"/>
        <v/>
      </c>
      <c r="AL68" s="520" t="str">
        <f t="shared" si="10"/>
        <v/>
      </c>
      <c r="AM68" s="524" t="str">
        <f>IFERROR(IF(F68="","",IF(AH68="Check Data ⚠","Check Data ⚠",VLOOKUP(AL68, 'G-3 Multipliers'!$P$2:$Q$6,2,FALSE))),"")</f>
        <v/>
      </c>
      <c r="AN68" s="197"/>
      <c r="AO68" s="540" t="str">
        <f>IF(AN68="","",IF(VLOOKUP(AN68,'G-3 Multipliers'!$S$3:$T$9,2,FALSE)=0,"Spatial Data Missing ⚠",VLOOKUP(AN68,'G-3 Multipliers'!$S$3:$T$9,2,FALSE)))</f>
        <v/>
      </c>
      <c r="AP68" s="513" t="str">
        <f t="shared" si="11"/>
        <v/>
      </c>
      <c r="AQ68" s="231"/>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7" t="str">
        <f>'D-1 Off Site Habitat Baseline'!AL68</f>
        <v/>
      </c>
      <c r="F69" s="520" t="str">
        <f>IF(E69="","",IF(ISNA(VLOOKUP($E69,'D-1 Off Site Habitat Baseline'!$D$1:$O$258,4,FALSE)),"",(VLOOKUP($E69,'D-1 Off Site Habitat Baseline'!$D$1:$O$258,4,FALSE))))</f>
        <v/>
      </c>
      <c r="G69" s="520" t="str">
        <f>IF(E69="","",IF(ISNA(VLOOKUP($E69,'D-1 Off Site Habitat Baseline'!$D$1:$O$258,5,FALSE)),"",(VLOOKUP($E69,'D-1 Off Site Habitat Baseline'!$D$1:$O$258,5,FALSE))))</f>
        <v/>
      </c>
      <c r="H69" s="520" t="str">
        <f>IF(E69="","",IF(ISNA(VLOOKUP($E69,'D-1 Off Site Habitat Baseline'!$D$1:$O$258,6,FALSE)),"",(VLOOKUP($E69,'D-1 Off Site Habitat Baseline'!$D$1:$O$258,6,FALSE))))</f>
        <v/>
      </c>
      <c r="I69" s="520" t="str">
        <f>IF(E69="","",IF(ISNA(VLOOKUP($E69,'D-1 Off Site Habitat Baseline'!$D$1:$O$258,7,FALSE)),"",(VLOOKUP($E69,'D-1 Off Site Habitat Baseline'!$D$1:$O$258,7,FALSE))))</f>
        <v/>
      </c>
      <c r="J69" s="520" t="str">
        <f>IF(E69="","",IF(ISNA(VLOOKUP($E69,'D-1 Off Site Habitat Baseline'!$D$1:$O$258,8,FALSE)),"",(VLOOKUP($E69,'D-1 Off Site Habitat Baseline'!$D$1:$O$258,8,FALSE))))</f>
        <v/>
      </c>
      <c r="K69" s="520" t="str">
        <f>IF(E69="","",IF(ISNA(VLOOKUP($E69,'D-1 Off Site Habitat Baseline'!$D$1:$O$258,9,FALSE)),"",(VLOOKUP($E69,'D-1 Off Site Habitat Baseline'!$D$1:$O$258,9,FALSE))))</f>
        <v/>
      </c>
      <c r="L69" s="520" t="str">
        <f>IF(E69="","",IF(ISNA(VLOOKUP($E69,'D-1 Off Site Habitat Baseline'!$D$1:$O$258,11,FALSE)),"",(VLOOKUP($E69,'D-1 Off Site Habitat Baseline'!$D$1:$O$258,11,FALSE))))</f>
        <v/>
      </c>
      <c r="M69" s="520" t="str">
        <f>IF(E69="","",IF(ISNA(VLOOKUP($E69,'D-1 Off Site Habitat Baseline'!$D$1:$O$258,12,FALSE)),"",(VLOOKUP($E69,'D-1 Off Site Habitat Baseline'!$D$1:$O$258,12,FALSE))))</f>
        <v/>
      </c>
      <c r="N69" s="520" t="str">
        <f>IF(E69="","",IF(ISNA(VLOOKUP($E69,'D-1 Off Site Habitat Baseline'!$D$1:$X$258,14,FALSE)),"",(VLOOKUP($E69,'D-1 Off Site Habitat Baseline'!$D$1:$X$258,14,FALSE))))</f>
        <v/>
      </c>
      <c r="O69" s="524" t="str">
        <f>IF(E69="","",IF(ISNA(VLOOKUP($E69,'D-1 Off Site Habitat Baseline'!$D$1:$X$258,13,FALSE)),"",(VLOOKUP($E69,'D-1 Off Site Habitat Baseline'!$D$1:$X$258,13,FALSE))))</f>
        <v/>
      </c>
      <c r="P69" s="232" t="str">
        <f>IFERROR(INDEX('G-1 All Habitats'!$AG$3:$AG$15,MATCH(Q69,'G-1 All Habitats'!$AF$3:$AF$15,0)),"")</f>
        <v/>
      </c>
      <c r="Q69" s="228" t="str">
        <f t="shared" si="12"/>
        <v/>
      </c>
      <c r="R69" s="229" t="str">
        <f t="shared" si="13"/>
        <v/>
      </c>
      <c r="S69" s="233" t="str">
        <f>IFERROR(INDEX('G-1 All Habitats'!$B$3:$B$129,MATCH(R69,'G-1 All Habitats'!$A$3:$A$129,0)),"")</f>
        <v/>
      </c>
      <c r="T69" s="507" t="str">
        <f t="shared" si="5"/>
        <v/>
      </c>
      <c r="U69" s="524" t="str">
        <f t="shared" si="6"/>
        <v/>
      </c>
      <c r="V69" s="523" t="str">
        <f t="shared" si="2"/>
        <v/>
      </c>
      <c r="W69" s="520" t="str">
        <f>IF(S69="","",VLOOKUP(S69,'G-1 All Habitats'!$B$2:$M$129,10,FALSE))</f>
        <v/>
      </c>
      <c r="X69" s="520" t="str">
        <f>IFERROR(VLOOKUP(W69,'G-1 All Habitats'!$V$3:$W$7,2,FALSE),"")</f>
        <v/>
      </c>
      <c r="Y69" s="203"/>
      <c r="Z69" s="524" t="str">
        <f>IFERROR(INDEX('G-8 Condition Look up'!$A$3:$H$130,MATCH(S69,'G-8 Condition Look up'!$A$3:$A$130,0),MATCH(Y69,'G-8 Condition Look up'!$A$3:$H$3,0)),"")</f>
        <v/>
      </c>
      <c r="AA69" s="145"/>
      <c r="AB69" s="540" t="str">
        <f>IF(AA69="","",IF(VLOOKUP(AA69,'G-3 Multipliers'!$L$3:$N$6,2,FALSE)=0,"Spatial Data Missing ⚠",VLOOKUP(AA69,'G-3 Multipliers'!$L$3:$N$6,2,FALSE)))</f>
        <v/>
      </c>
      <c r="AC69" s="524" t="str">
        <f>IF(AA69="","",IF(VLOOKUP(AA69,'G-3 Multipliers'!$L$3:$N$6,3,FALSE)=0,"Spatial Data Missing ⚠",VLOOKUP(AA69,'G-3 Multipliers'!$L$3:$N$6,3,FALSE)))</f>
        <v/>
      </c>
      <c r="AD69" s="537" t="str">
        <f t="shared" si="3"/>
        <v/>
      </c>
      <c r="AE69" s="203"/>
      <c r="AF69" s="203"/>
      <c r="AG69" s="520" t="str">
        <f t="shared" si="7"/>
        <v/>
      </c>
      <c r="AH69" s="544" t="str">
        <f t="shared" si="8"/>
        <v/>
      </c>
      <c r="AI69" s="525" t="str">
        <f>IF(AH69="Check Data ⚠","Check Data ⚠",IFERROR(VLOOKUP(AH69,'G-4 Temporal multipliers'!$A$4:$C$36,3,FALSE),""))</f>
        <v/>
      </c>
      <c r="AJ69" s="537" t="str">
        <f>IF(S69="","",VLOOKUP(S69,'G-3 Multipliers'!$A$2:$E$129,4,FALSE))</f>
        <v/>
      </c>
      <c r="AK69" s="520" t="str">
        <f t="shared" si="9"/>
        <v/>
      </c>
      <c r="AL69" s="520" t="str">
        <f t="shared" si="10"/>
        <v/>
      </c>
      <c r="AM69" s="524" t="str">
        <f>IFERROR(IF(F69="","",IF(AH69="Check Data ⚠","Check Data ⚠",VLOOKUP(AL69, 'G-3 Multipliers'!$P$2:$Q$6,2,FALSE))),"")</f>
        <v/>
      </c>
      <c r="AN69" s="197"/>
      <c r="AO69" s="540" t="str">
        <f>IF(AN69="","",IF(VLOOKUP(AN69,'G-3 Multipliers'!$S$3:$T$9,2,FALSE)=0,"Spatial Data Missing ⚠",VLOOKUP(AN69,'G-3 Multipliers'!$S$3:$T$9,2,FALSE)))</f>
        <v/>
      </c>
      <c r="AP69" s="513" t="str">
        <f t="shared" si="11"/>
        <v/>
      </c>
      <c r="AQ69" s="231"/>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7" t="str">
        <f>'D-1 Off Site Habitat Baseline'!AL69</f>
        <v/>
      </c>
      <c r="F70" s="520" t="str">
        <f>IF(E70="","",IF(ISNA(VLOOKUP($E70,'D-1 Off Site Habitat Baseline'!$D$1:$O$258,4,FALSE)),"",(VLOOKUP($E70,'D-1 Off Site Habitat Baseline'!$D$1:$O$258,4,FALSE))))</f>
        <v/>
      </c>
      <c r="G70" s="520" t="str">
        <f>IF(E70="","",IF(ISNA(VLOOKUP($E70,'D-1 Off Site Habitat Baseline'!$D$1:$O$258,5,FALSE)),"",(VLOOKUP($E70,'D-1 Off Site Habitat Baseline'!$D$1:$O$258,5,FALSE))))</f>
        <v/>
      </c>
      <c r="H70" s="520" t="str">
        <f>IF(E70="","",IF(ISNA(VLOOKUP($E70,'D-1 Off Site Habitat Baseline'!$D$1:$O$258,6,FALSE)),"",(VLOOKUP($E70,'D-1 Off Site Habitat Baseline'!$D$1:$O$258,6,FALSE))))</f>
        <v/>
      </c>
      <c r="I70" s="520" t="str">
        <f>IF(E70="","",IF(ISNA(VLOOKUP($E70,'D-1 Off Site Habitat Baseline'!$D$1:$O$258,7,FALSE)),"",(VLOOKUP($E70,'D-1 Off Site Habitat Baseline'!$D$1:$O$258,7,FALSE))))</f>
        <v/>
      </c>
      <c r="J70" s="520" t="str">
        <f>IF(E70="","",IF(ISNA(VLOOKUP($E70,'D-1 Off Site Habitat Baseline'!$D$1:$O$258,8,FALSE)),"",(VLOOKUP($E70,'D-1 Off Site Habitat Baseline'!$D$1:$O$258,8,FALSE))))</f>
        <v/>
      </c>
      <c r="K70" s="520" t="str">
        <f>IF(E70="","",IF(ISNA(VLOOKUP($E70,'D-1 Off Site Habitat Baseline'!$D$1:$O$258,9,FALSE)),"",(VLOOKUP($E70,'D-1 Off Site Habitat Baseline'!$D$1:$O$258,9,FALSE))))</f>
        <v/>
      </c>
      <c r="L70" s="520" t="str">
        <f>IF(E70="","",IF(ISNA(VLOOKUP($E70,'D-1 Off Site Habitat Baseline'!$D$1:$O$258,11,FALSE)),"",(VLOOKUP($E70,'D-1 Off Site Habitat Baseline'!$D$1:$O$258,11,FALSE))))</f>
        <v/>
      </c>
      <c r="M70" s="520" t="str">
        <f>IF(E70="","",IF(ISNA(VLOOKUP($E70,'D-1 Off Site Habitat Baseline'!$D$1:$O$258,12,FALSE)),"",(VLOOKUP($E70,'D-1 Off Site Habitat Baseline'!$D$1:$O$258,12,FALSE))))</f>
        <v/>
      </c>
      <c r="N70" s="520" t="str">
        <f>IF(E70="","",IF(ISNA(VLOOKUP($E70,'D-1 Off Site Habitat Baseline'!$D$1:$X$258,14,FALSE)),"",(VLOOKUP($E70,'D-1 Off Site Habitat Baseline'!$D$1:$X$258,14,FALSE))))</f>
        <v/>
      </c>
      <c r="O70" s="524" t="str">
        <f>IF(E70="","",IF(ISNA(VLOOKUP($E70,'D-1 Off Site Habitat Baseline'!$D$1:$X$258,13,FALSE)),"",(VLOOKUP($E70,'D-1 Off Site Habitat Baseline'!$D$1:$X$258,13,FALSE))))</f>
        <v/>
      </c>
      <c r="P70" s="232" t="str">
        <f>IFERROR(INDEX('G-1 All Habitats'!$AG$3:$AG$15,MATCH(Q70,'G-1 All Habitats'!$AF$3:$AF$15,0)),"")</f>
        <v/>
      </c>
      <c r="Q70" s="228" t="str">
        <f t="shared" si="12"/>
        <v/>
      </c>
      <c r="R70" s="229" t="str">
        <f t="shared" si="13"/>
        <v/>
      </c>
      <c r="S70" s="233" t="str">
        <f>IFERROR(INDEX('G-1 All Habitats'!$B$3:$B$129,MATCH(R70,'G-1 All Habitats'!$A$3:$A$129,0)),"")</f>
        <v/>
      </c>
      <c r="T70" s="507" t="str">
        <f t="shared" si="5"/>
        <v/>
      </c>
      <c r="U70" s="524" t="str">
        <f t="shared" si="6"/>
        <v/>
      </c>
      <c r="V70" s="523" t="str">
        <f t="shared" si="2"/>
        <v/>
      </c>
      <c r="W70" s="520" t="str">
        <f>IF(S70="","",VLOOKUP(S70,'G-1 All Habitats'!$B$2:$M$129,10,FALSE))</f>
        <v/>
      </c>
      <c r="X70" s="520" t="str">
        <f>IFERROR(VLOOKUP(W70,'G-1 All Habitats'!$V$3:$W$7,2,FALSE),"")</f>
        <v/>
      </c>
      <c r="Y70" s="203"/>
      <c r="Z70" s="524" t="str">
        <f>IFERROR(INDEX('G-8 Condition Look up'!$A$3:$H$130,MATCH(S70,'G-8 Condition Look up'!$A$3:$A$130,0),MATCH(Y70,'G-8 Condition Look up'!$A$3:$H$3,0)),"")</f>
        <v/>
      </c>
      <c r="AA70" s="145"/>
      <c r="AB70" s="540" t="str">
        <f>IF(AA70="","",IF(VLOOKUP(AA70,'G-3 Multipliers'!$L$3:$N$6,2,FALSE)=0,"Spatial Data Missing ⚠",VLOOKUP(AA70,'G-3 Multipliers'!$L$3:$N$6,2,FALSE)))</f>
        <v/>
      </c>
      <c r="AC70" s="524" t="str">
        <f>IF(AA70="","",IF(VLOOKUP(AA70,'G-3 Multipliers'!$L$3:$N$6,3,FALSE)=0,"Spatial Data Missing ⚠",VLOOKUP(AA70,'G-3 Multipliers'!$L$3:$N$6,3,FALSE)))</f>
        <v/>
      </c>
      <c r="AD70" s="537" t="str">
        <f t="shared" si="3"/>
        <v/>
      </c>
      <c r="AE70" s="203"/>
      <c r="AF70" s="203"/>
      <c r="AG70" s="520" t="str">
        <f t="shared" si="7"/>
        <v/>
      </c>
      <c r="AH70" s="544" t="str">
        <f t="shared" si="8"/>
        <v/>
      </c>
      <c r="AI70" s="525" t="str">
        <f>IF(AH70="Check Data ⚠","Check Data ⚠",IFERROR(VLOOKUP(AH70,'G-4 Temporal multipliers'!$A$4:$C$36,3,FALSE),""))</f>
        <v/>
      </c>
      <c r="AJ70" s="537" t="str">
        <f>IF(S70="","",VLOOKUP(S70,'G-3 Multipliers'!$A$2:$E$129,4,FALSE))</f>
        <v/>
      </c>
      <c r="AK70" s="520" t="str">
        <f t="shared" si="9"/>
        <v/>
      </c>
      <c r="AL70" s="520" t="str">
        <f t="shared" si="10"/>
        <v/>
      </c>
      <c r="AM70" s="524" t="str">
        <f>IFERROR(IF(F70="","",IF(AH70="Check Data ⚠","Check Data ⚠",VLOOKUP(AL70, 'G-3 Multipliers'!$P$2:$Q$6,2,FALSE))),"")</f>
        <v/>
      </c>
      <c r="AN70" s="197"/>
      <c r="AO70" s="540" t="str">
        <f>IF(AN70="","",IF(VLOOKUP(AN70,'G-3 Multipliers'!$S$3:$T$9,2,FALSE)=0,"Spatial Data Missing ⚠",VLOOKUP(AN70,'G-3 Multipliers'!$S$3:$T$9,2,FALSE)))</f>
        <v/>
      </c>
      <c r="AP70" s="513" t="str">
        <f t="shared" si="11"/>
        <v/>
      </c>
      <c r="AQ70" s="231"/>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7" t="str">
        <f>'D-1 Off Site Habitat Baseline'!AL70</f>
        <v/>
      </c>
      <c r="F71" s="520" t="str">
        <f>IF(E71="","",IF(ISNA(VLOOKUP($E71,'D-1 Off Site Habitat Baseline'!$D$1:$O$258,4,FALSE)),"",(VLOOKUP($E71,'D-1 Off Site Habitat Baseline'!$D$1:$O$258,4,FALSE))))</f>
        <v/>
      </c>
      <c r="G71" s="520" t="str">
        <f>IF(E71="","",IF(ISNA(VLOOKUP($E71,'D-1 Off Site Habitat Baseline'!$D$1:$O$258,5,FALSE)),"",(VLOOKUP($E71,'D-1 Off Site Habitat Baseline'!$D$1:$O$258,5,FALSE))))</f>
        <v/>
      </c>
      <c r="H71" s="520" t="str">
        <f>IF(E71="","",IF(ISNA(VLOOKUP($E71,'D-1 Off Site Habitat Baseline'!$D$1:$O$258,6,FALSE)),"",(VLOOKUP($E71,'D-1 Off Site Habitat Baseline'!$D$1:$O$258,6,FALSE))))</f>
        <v/>
      </c>
      <c r="I71" s="520" t="str">
        <f>IF(E71="","",IF(ISNA(VLOOKUP($E71,'D-1 Off Site Habitat Baseline'!$D$1:$O$258,7,FALSE)),"",(VLOOKUP($E71,'D-1 Off Site Habitat Baseline'!$D$1:$O$258,7,FALSE))))</f>
        <v/>
      </c>
      <c r="J71" s="520" t="str">
        <f>IF(E71="","",IF(ISNA(VLOOKUP($E71,'D-1 Off Site Habitat Baseline'!$D$1:$O$258,8,FALSE)),"",(VLOOKUP($E71,'D-1 Off Site Habitat Baseline'!$D$1:$O$258,8,FALSE))))</f>
        <v/>
      </c>
      <c r="K71" s="520" t="str">
        <f>IF(E71="","",IF(ISNA(VLOOKUP($E71,'D-1 Off Site Habitat Baseline'!$D$1:$O$258,9,FALSE)),"",(VLOOKUP($E71,'D-1 Off Site Habitat Baseline'!$D$1:$O$258,9,FALSE))))</f>
        <v/>
      </c>
      <c r="L71" s="520" t="str">
        <f>IF(E71="","",IF(ISNA(VLOOKUP($E71,'D-1 Off Site Habitat Baseline'!$D$1:$O$258,11,FALSE)),"",(VLOOKUP($E71,'D-1 Off Site Habitat Baseline'!$D$1:$O$258,11,FALSE))))</f>
        <v/>
      </c>
      <c r="M71" s="520" t="str">
        <f>IF(E71="","",IF(ISNA(VLOOKUP($E71,'D-1 Off Site Habitat Baseline'!$D$1:$O$258,12,FALSE)),"",(VLOOKUP($E71,'D-1 Off Site Habitat Baseline'!$D$1:$O$258,12,FALSE))))</f>
        <v/>
      </c>
      <c r="N71" s="520" t="str">
        <f>IF(E71="","",IF(ISNA(VLOOKUP($E71,'D-1 Off Site Habitat Baseline'!$D$1:$X$258,14,FALSE)),"",(VLOOKUP($E71,'D-1 Off Site Habitat Baseline'!$D$1:$X$258,14,FALSE))))</f>
        <v/>
      </c>
      <c r="O71" s="524" t="str">
        <f>IF(E71="","",IF(ISNA(VLOOKUP($E71,'D-1 Off Site Habitat Baseline'!$D$1:$X$258,13,FALSE)),"",(VLOOKUP($E71,'D-1 Off Site Habitat Baseline'!$D$1:$X$258,13,FALSE))))</f>
        <v/>
      </c>
      <c r="P71" s="232" t="str">
        <f>IFERROR(INDEX('G-1 All Habitats'!$AG$3:$AG$15,MATCH(Q71,'G-1 All Habitats'!$AF$3:$AF$15,0)),"")</f>
        <v/>
      </c>
      <c r="Q71" s="228" t="str">
        <f t="shared" si="12"/>
        <v/>
      </c>
      <c r="R71" s="229" t="str">
        <f t="shared" si="13"/>
        <v/>
      </c>
      <c r="S71" s="233" t="str">
        <f>IFERROR(INDEX('G-1 All Habitats'!$B$3:$B$129,MATCH(R71,'G-1 All Habitats'!$A$3:$A$129,0)),"")</f>
        <v/>
      </c>
      <c r="T71" s="507" t="str">
        <f t="shared" si="5"/>
        <v/>
      </c>
      <c r="U71" s="524" t="str">
        <f t="shared" si="6"/>
        <v/>
      </c>
      <c r="V71" s="523" t="str">
        <f t="shared" si="2"/>
        <v/>
      </c>
      <c r="W71" s="520" t="str">
        <f>IF(S71="","",VLOOKUP(S71,'G-1 All Habitats'!$B$2:$M$129,10,FALSE))</f>
        <v/>
      </c>
      <c r="X71" s="520" t="str">
        <f>IFERROR(VLOOKUP(W71,'G-1 All Habitats'!$V$3:$W$7,2,FALSE),"")</f>
        <v/>
      </c>
      <c r="Y71" s="203"/>
      <c r="Z71" s="524" t="str">
        <f>IFERROR(INDEX('G-8 Condition Look up'!$A$3:$H$130,MATCH(S71,'G-8 Condition Look up'!$A$3:$A$130,0),MATCH(Y71,'G-8 Condition Look up'!$A$3:$H$3,0)),"")</f>
        <v/>
      </c>
      <c r="AA71" s="145"/>
      <c r="AB71" s="540" t="str">
        <f>IF(AA71="","",IF(VLOOKUP(AA71,'G-3 Multipliers'!$L$3:$N$6,2,FALSE)=0,"Spatial Data Missing ⚠",VLOOKUP(AA71,'G-3 Multipliers'!$L$3:$N$6,2,FALSE)))</f>
        <v/>
      </c>
      <c r="AC71" s="524" t="str">
        <f>IF(AA71="","",IF(VLOOKUP(AA71,'G-3 Multipliers'!$L$3:$N$6,3,FALSE)=0,"Spatial Data Missing ⚠",VLOOKUP(AA71,'G-3 Multipliers'!$L$3:$N$6,3,FALSE)))</f>
        <v/>
      </c>
      <c r="AD71" s="537" t="str">
        <f t="shared" si="3"/>
        <v/>
      </c>
      <c r="AE71" s="203"/>
      <c r="AF71" s="203"/>
      <c r="AG71" s="520" t="str">
        <f t="shared" si="7"/>
        <v/>
      </c>
      <c r="AH71" s="544" t="str">
        <f t="shared" si="8"/>
        <v/>
      </c>
      <c r="AI71" s="525" t="str">
        <f>IF(AH71="Check Data ⚠","Check Data ⚠",IFERROR(VLOOKUP(AH71,'G-4 Temporal multipliers'!$A$4:$C$36,3,FALSE),""))</f>
        <v/>
      </c>
      <c r="AJ71" s="537" t="str">
        <f>IF(S71="","",VLOOKUP(S71,'G-3 Multipliers'!$A$2:$E$129,4,FALSE))</f>
        <v/>
      </c>
      <c r="AK71" s="520" t="str">
        <f t="shared" si="9"/>
        <v/>
      </c>
      <c r="AL71" s="520" t="str">
        <f t="shared" si="10"/>
        <v/>
      </c>
      <c r="AM71" s="524" t="str">
        <f>IFERROR(IF(F71="","",IF(AH71="Check Data ⚠","Check Data ⚠",VLOOKUP(AL71, 'G-3 Multipliers'!$P$2:$Q$6,2,FALSE))),"")</f>
        <v/>
      </c>
      <c r="AN71" s="197"/>
      <c r="AO71" s="540" t="str">
        <f>IF(AN71="","",IF(VLOOKUP(AN71,'G-3 Multipliers'!$S$3:$T$9,2,FALSE)=0,"Spatial Data Missing ⚠",VLOOKUP(AN71,'G-3 Multipliers'!$S$3:$T$9,2,FALSE)))</f>
        <v/>
      </c>
      <c r="AP71" s="513" t="str">
        <f t="shared" si="11"/>
        <v/>
      </c>
      <c r="AQ71" s="231"/>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7" t="str">
        <f>'D-1 Off Site Habitat Baseline'!AL71</f>
        <v/>
      </c>
      <c r="F72" s="520" t="str">
        <f>IF(E72="","",IF(ISNA(VLOOKUP($E72,'D-1 Off Site Habitat Baseline'!$D$1:$O$258,4,FALSE)),"",(VLOOKUP($E72,'D-1 Off Site Habitat Baseline'!$D$1:$O$258,4,FALSE))))</f>
        <v/>
      </c>
      <c r="G72" s="520" t="str">
        <f>IF(E72="","",IF(ISNA(VLOOKUP($E72,'D-1 Off Site Habitat Baseline'!$D$1:$O$258,5,FALSE)),"",(VLOOKUP($E72,'D-1 Off Site Habitat Baseline'!$D$1:$O$258,5,FALSE))))</f>
        <v/>
      </c>
      <c r="H72" s="520" t="str">
        <f>IF(E72="","",IF(ISNA(VLOOKUP($E72,'D-1 Off Site Habitat Baseline'!$D$1:$O$258,6,FALSE)),"",(VLOOKUP($E72,'D-1 Off Site Habitat Baseline'!$D$1:$O$258,6,FALSE))))</f>
        <v/>
      </c>
      <c r="I72" s="520" t="str">
        <f>IF(E72="","",IF(ISNA(VLOOKUP($E72,'D-1 Off Site Habitat Baseline'!$D$1:$O$258,7,FALSE)),"",(VLOOKUP($E72,'D-1 Off Site Habitat Baseline'!$D$1:$O$258,7,FALSE))))</f>
        <v/>
      </c>
      <c r="J72" s="520" t="str">
        <f>IF(E72="","",IF(ISNA(VLOOKUP($E72,'D-1 Off Site Habitat Baseline'!$D$1:$O$258,8,FALSE)),"",(VLOOKUP($E72,'D-1 Off Site Habitat Baseline'!$D$1:$O$258,8,FALSE))))</f>
        <v/>
      </c>
      <c r="K72" s="520" t="str">
        <f>IF(E72="","",IF(ISNA(VLOOKUP($E72,'D-1 Off Site Habitat Baseline'!$D$1:$O$258,9,FALSE)),"",(VLOOKUP($E72,'D-1 Off Site Habitat Baseline'!$D$1:$O$258,9,FALSE))))</f>
        <v/>
      </c>
      <c r="L72" s="520" t="str">
        <f>IF(E72="","",IF(ISNA(VLOOKUP($E72,'D-1 Off Site Habitat Baseline'!$D$1:$O$258,11,FALSE)),"",(VLOOKUP($E72,'D-1 Off Site Habitat Baseline'!$D$1:$O$258,11,FALSE))))</f>
        <v/>
      </c>
      <c r="M72" s="520" t="str">
        <f>IF(E72="","",IF(ISNA(VLOOKUP($E72,'D-1 Off Site Habitat Baseline'!$D$1:$O$258,12,FALSE)),"",(VLOOKUP($E72,'D-1 Off Site Habitat Baseline'!$D$1:$O$258,12,FALSE))))</f>
        <v/>
      </c>
      <c r="N72" s="520" t="str">
        <f>IF(E72="","",IF(ISNA(VLOOKUP($E72,'D-1 Off Site Habitat Baseline'!$D$1:$X$258,14,FALSE)),"",(VLOOKUP($E72,'D-1 Off Site Habitat Baseline'!$D$1:$X$258,14,FALSE))))</f>
        <v/>
      </c>
      <c r="O72" s="524" t="str">
        <f>IF(E72="","",IF(ISNA(VLOOKUP($E72,'D-1 Off Site Habitat Baseline'!$D$1:$X$258,13,FALSE)),"",(VLOOKUP($E72,'D-1 Off Site Habitat Baseline'!$D$1:$X$258,13,FALSE))))</f>
        <v/>
      </c>
      <c r="P72" s="232" t="str">
        <f>IFERROR(INDEX('G-1 All Habitats'!$AG$3:$AG$15,MATCH(Q72,'G-1 All Habitats'!$AF$3:$AF$15,0)),"")</f>
        <v/>
      </c>
      <c r="Q72" s="228" t="str">
        <f t="shared" si="12"/>
        <v/>
      </c>
      <c r="R72" s="229" t="str">
        <f t="shared" si="13"/>
        <v/>
      </c>
      <c r="S72" s="233" t="str">
        <f>IFERROR(INDEX('G-1 All Habitats'!$B$3:$B$129,MATCH(R72,'G-1 All Habitats'!$A$3:$A$129,0)),"")</f>
        <v/>
      </c>
      <c r="T72" s="507" t="str">
        <f t="shared" si="5"/>
        <v/>
      </c>
      <c r="U72" s="524" t="str">
        <f t="shared" si="6"/>
        <v/>
      </c>
      <c r="V72" s="523" t="str">
        <f t="shared" si="2"/>
        <v/>
      </c>
      <c r="W72" s="520" t="str">
        <f>IF(S72="","",VLOOKUP(S72,'G-1 All Habitats'!$B$2:$M$129,10,FALSE))</f>
        <v/>
      </c>
      <c r="X72" s="520" t="str">
        <f>IFERROR(VLOOKUP(W72,'G-1 All Habitats'!$V$3:$W$7,2,FALSE),"")</f>
        <v/>
      </c>
      <c r="Y72" s="203"/>
      <c r="Z72" s="524" t="str">
        <f>IFERROR(INDEX('G-8 Condition Look up'!$A$3:$H$130,MATCH(S72,'G-8 Condition Look up'!$A$3:$A$130,0),MATCH(Y72,'G-8 Condition Look up'!$A$3:$H$3,0)),"")</f>
        <v/>
      </c>
      <c r="AA72" s="145"/>
      <c r="AB72" s="540" t="str">
        <f>IF(AA72="","",IF(VLOOKUP(AA72,'G-3 Multipliers'!$L$3:$N$6,2,FALSE)=0,"Spatial Data Missing ⚠",VLOOKUP(AA72,'G-3 Multipliers'!$L$3:$N$6,2,FALSE)))</f>
        <v/>
      </c>
      <c r="AC72" s="524" t="str">
        <f>IF(AA72="","",IF(VLOOKUP(AA72,'G-3 Multipliers'!$L$3:$N$6,3,FALSE)=0,"Spatial Data Missing ⚠",VLOOKUP(AA72,'G-3 Multipliers'!$L$3:$N$6,3,FALSE)))</f>
        <v/>
      </c>
      <c r="AD72" s="537" t="str">
        <f t="shared" si="3"/>
        <v/>
      </c>
      <c r="AE72" s="203"/>
      <c r="AF72" s="203"/>
      <c r="AG72" s="520" t="str">
        <f t="shared" si="7"/>
        <v/>
      </c>
      <c r="AH72" s="544" t="str">
        <f t="shared" si="8"/>
        <v/>
      </c>
      <c r="AI72" s="525" t="str">
        <f>IF(AH72="Check Data ⚠","Check Data ⚠",IFERROR(VLOOKUP(AH72,'G-4 Temporal multipliers'!$A$4:$C$36,3,FALSE),""))</f>
        <v/>
      </c>
      <c r="AJ72" s="537" t="str">
        <f>IF(S72="","",VLOOKUP(S72,'G-3 Multipliers'!$A$2:$E$129,4,FALSE))</f>
        <v/>
      </c>
      <c r="AK72" s="520" t="str">
        <f t="shared" si="9"/>
        <v/>
      </c>
      <c r="AL72" s="520" t="str">
        <f t="shared" si="10"/>
        <v/>
      </c>
      <c r="AM72" s="524" t="str">
        <f>IFERROR(IF(F72="","",IF(AH72="Check Data ⚠","Check Data ⚠",VLOOKUP(AL72, 'G-3 Multipliers'!$P$2:$Q$6,2,FALSE))),"")</f>
        <v/>
      </c>
      <c r="AN72" s="197"/>
      <c r="AO72" s="540" t="str">
        <f>IF(AN72="","",IF(VLOOKUP(AN72,'G-3 Multipliers'!$S$3:$T$9,2,FALSE)=0,"Spatial Data Missing ⚠",VLOOKUP(AN72,'G-3 Multipliers'!$S$3:$T$9,2,FALSE)))</f>
        <v/>
      </c>
      <c r="AP72" s="513" t="str">
        <f t="shared" si="11"/>
        <v/>
      </c>
      <c r="AQ72" s="231"/>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7" t="str">
        <f>'D-1 Off Site Habitat Baseline'!AL72</f>
        <v/>
      </c>
      <c r="F73" s="520" t="str">
        <f>IF(E73="","",IF(ISNA(VLOOKUP($E73,'D-1 Off Site Habitat Baseline'!$D$1:$O$258,4,FALSE)),"",(VLOOKUP($E73,'D-1 Off Site Habitat Baseline'!$D$1:$O$258,4,FALSE))))</f>
        <v/>
      </c>
      <c r="G73" s="520" t="str">
        <f>IF(E73="","",IF(ISNA(VLOOKUP($E73,'D-1 Off Site Habitat Baseline'!$D$1:$O$258,5,FALSE)),"",(VLOOKUP($E73,'D-1 Off Site Habitat Baseline'!$D$1:$O$258,5,FALSE))))</f>
        <v/>
      </c>
      <c r="H73" s="520" t="str">
        <f>IF(E73="","",IF(ISNA(VLOOKUP($E73,'D-1 Off Site Habitat Baseline'!$D$1:$O$258,6,FALSE)),"",(VLOOKUP($E73,'D-1 Off Site Habitat Baseline'!$D$1:$O$258,6,FALSE))))</f>
        <v/>
      </c>
      <c r="I73" s="520" t="str">
        <f>IF(E73="","",IF(ISNA(VLOOKUP($E73,'D-1 Off Site Habitat Baseline'!$D$1:$O$258,7,FALSE)),"",(VLOOKUP($E73,'D-1 Off Site Habitat Baseline'!$D$1:$O$258,7,FALSE))))</f>
        <v/>
      </c>
      <c r="J73" s="520" t="str">
        <f>IF(E73="","",IF(ISNA(VLOOKUP($E73,'D-1 Off Site Habitat Baseline'!$D$1:$O$258,8,FALSE)),"",(VLOOKUP($E73,'D-1 Off Site Habitat Baseline'!$D$1:$O$258,8,FALSE))))</f>
        <v/>
      </c>
      <c r="K73" s="520" t="str">
        <f>IF(E73="","",IF(ISNA(VLOOKUP($E73,'D-1 Off Site Habitat Baseline'!$D$1:$O$258,9,FALSE)),"",(VLOOKUP($E73,'D-1 Off Site Habitat Baseline'!$D$1:$O$258,9,FALSE))))</f>
        <v/>
      </c>
      <c r="L73" s="520" t="str">
        <f>IF(E73="","",IF(ISNA(VLOOKUP($E73,'D-1 Off Site Habitat Baseline'!$D$1:$O$258,11,FALSE)),"",(VLOOKUP($E73,'D-1 Off Site Habitat Baseline'!$D$1:$O$258,11,FALSE))))</f>
        <v/>
      </c>
      <c r="M73" s="520" t="str">
        <f>IF(E73="","",IF(ISNA(VLOOKUP($E73,'D-1 Off Site Habitat Baseline'!$D$1:$O$258,12,FALSE)),"",(VLOOKUP($E73,'D-1 Off Site Habitat Baseline'!$D$1:$O$258,12,FALSE))))</f>
        <v/>
      </c>
      <c r="N73" s="520" t="str">
        <f>IF(E73="","",IF(ISNA(VLOOKUP($E73,'D-1 Off Site Habitat Baseline'!$D$1:$X$258,14,FALSE)),"",(VLOOKUP($E73,'D-1 Off Site Habitat Baseline'!$D$1:$X$258,14,FALSE))))</f>
        <v/>
      </c>
      <c r="O73" s="524" t="str">
        <f>IF(E73="","",IF(ISNA(VLOOKUP($E73,'D-1 Off Site Habitat Baseline'!$D$1:$X$258,13,FALSE)),"",(VLOOKUP($E73,'D-1 Off Site Habitat Baseline'!$D$1:$X$258,13,FALSE))))</f>
        <v/>
      </c>
      <c r="P73" s="232" t="str">
        <f>IFERROR(INDEX('G-1 All Habitats'!$AG$3:$AG$15,MATCH(Q73,'G-1 All Habitats'!$AF$3:$AF$15,0)),"")</f>
        <v/>
      </c>
      <c r="Q73" s="228" t="str">
        <f t="shared" si="12"/>
        <v/>
      </c>
      <c r="R73" s="229" t="str">
        <f t="shared" si="13"/>
        <v/>
      </c>
      <c r="S73" s="233" t="str">
        <f>IFERROR(INDEX('G-1 All Habitats'!$B$3:$B$129,MATCH(R73,'G-1 All Habitats'!$A$3:$A$129,0)),"")</f>
        <v/>
      </c>
      <c r="T73" s="507" t="str">
        <f t="shared" si="5"/>
        <v/>
      </c>
      <c r="U73" s="524" t="str">
        <f t="shared" si="6"/>
        <v/>
      </c>
      <c r="V73" s="523" t="str">
        <f t="shared" si="2"/>
        <v/>
      </c>
      <c r="W73" s="520" t="str">
        <f>IF(S73="","",VLOOKUP(S73,'G-1 All Habitats'!$B$2:$M$129,10,FALSE))</f>
        <v/>
      </c>
      <c r="X73" s="520" t="str">
        <f>IFERROR(VLOOKUP(W73,'G-1 All Habitats'!$V$3:$W$7,2,FALSE),"")</f>
        <v/>
      </c>
      <c r="Y73" s="203"/>
      <c r="Z73" s="524" t="str">
        <f>IFERROR(INDEX('G-8 Condition Look up'!$A$3:$H$130,MATCH(S73,'G-8 Condition Look up'!$A$3:$A$130,0),MATCH(Y73,'G-8 Condition Look up'!$A$3:$H$3,0)),"")</f>
        <v/>
      </c>
      <c r="AA73" s="145"/>
      <c r="AB73" s="540" t="str">
        <f>IF(AA73="","",IF(VLOOKUP(AA73,'G-3 Multipliers'!$L$3:$N$6,2,FALSE)=0,"Spatial Data Missing ⚠",VLOOKUP(AA73,'G-3 Multipliers'!$L$3:$N$6,2,FALSE)))</f>
        <v/>
      </c>
      <c r="AC73" s="524" t="str">
        <f>IF(AA73="","",IF(VLOOKUP(AA73,'G-3 Multipliers'!$L$3:$N$6,3,FALSE)=0,"Spatial Data Missing ⚠",VLOOKUP(AA73,'G-3 Multipliers'!$L$3:$N$6,3,FALSE)))</f>
        <v/>
      </c>
      <c r="AD73" s="537" t="str">
        <f t="shared" si="3"/>
        <v/>
      </c>
      <c r="AE73" s="203"/>
      <c r="AF73" s="203"/>
      <c r="AG73" s="520" t="str">
        <f t="shared" si="7"/>
        <v/>
      </c>
      <c r="AH73" s="544" t="str">
        <f t="shared" si="8"/>
        <v/>
      </c>
      <c r="AI73" s="525" t="str">
        <f>IF(AH73="Check Data ⚠","Check Data ⚠",IFERROR(VLOOKUP(AH73,'G-4 Temporal multipliers'!$A$4:$C$36,3,FALSE),""))</f>
        <v/>
      </c>
      <c r="AJ73" s="537" t="str">
        <f>IF(S73="","",VLOOKUP(S73,'G-3 Multipliers'!$A$2:$E$129,4,FALSE))</f>
        <v/>
      </c>
      <c r="AK73" s="520" t="str">
        <f t="shared" si="9"/>
        <v/>
      </c>
      <c r="AL73" s="520" t="str">
        <f t="shared" si="10"/>
        <v/>
      </c>
      <c r="AM73" s="524" t="str">
        <f>IFERROR(IF(F73="","",IF(AH73="Check Data ⚠","Check Data ⚠",VLOOKUP(AL73, 'G-3 Multipliers'!$P$2:$Q$6,2,FALSE))),"")</f>
        <v/>
      </c>
      <c r="AN73" s="197"/>
      <c r="AO73" s="540" t="str">
        <f>IF(AN73="","",IF(VLOOKUP(AN73,'G-3 Multipliers'!$S$3:$T$9,2,FALSE)=0,"Spatial Data Missing ⚠",VLOOKUP(AN73,'G-3 Multipliers'!$S$3:$T$9,2,FALSE)))</f>
        <v/>
      </c>
      <c r="AP73" s="513" t="str">
        <f t="shared" si="11"/>
        <v/>
      </c>
      <c r="AQ73" s="231"/>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7" t="str">
        <f>'D-1 Off Site Habitat Baseline'!AL73</f>
        <v/>
      </c>
      <c r="F74" s="520" t="str">
        <f>IF(E74="","",IF(ISNA(VLOOKUP($E74,'D-1 Off Site Habitat Baseline'!$D$1:$O$258,4,FALSE)),"",(VLOOKUP($E74,'D-1 Off Site Habitat Baseline'!$D$1:$O$258,4,FALSE))))</f>
        <v/>
      </c>
      <c r="G74" s="520" t="str">
        <f>IF(E74="","",IF(ISNA(VLOOKUP($E74,'D-1 Off Site Habitat Baseline'!$D$1:$O$258,5,FALSE)),"",(VLOOKUP($E74,'D-1 Off Site Habitat Baseline'!$D$1:$O$258,5,FALSE))))</f>
        <v/>
      </c>
      <c r="H74" s="520" t="str">
        <f>IF(E74="","",IF(ISNA(VLOOKUP($E74,'D-1 Off Site Habitat Baseline'!$D$1:$O$258,6,FALSE)),"",(VLOOKUP($E74,'D-1 Off Site Habitat Baseline'!$D$1:$O$258,6,FALSE))))</f>
        <v/>
      </c>
      <c r="I74" s="520" t="str">
        <f>IF(E74="","",IF(ISNA(VLOOKUP($E74,'D-1 Off Site Habitat Baseline'!$D$1:$O$258,7,FALSE)),"",(VLOOKUP($E74,'D-1 Off Site Habitat Baseline'!$D$1:$O$258,7,FALSE))))</f>
        <v/>
      </c>
      <c r="J74" s="520" t="str">
        <f>IF(E74="","",IF(ISNA(VLOOKUP($E74,'D-1 Off Site Habitat Baseline'!$D$1:$O$258,8,FALSE)),"",(VLOOKUP($E74,'D-1 Off Site Habitat Baseline'!$D$1:$O$258,8,FALSE))))</f>
        <v/>
      </c>
      <c r="K74" s="520" t="str">
        <f>IF(E74="","",IF(ISNA(VLOOKUP($E74,'D-1 Off Site Habitat Baseline'!$D$1:$O$258,9,FALSE)),"",(VLOOKUP($E74,'D-1 Off Site Habitat Baseline'!$D$1:$O$258,9,FALSE))))</f>
        <v/>
      </c>
      <c r="L74" s="520" t="str">
        <f>IF(E74="","",IF(ISNA(VLOOKUP($E74,'D-1 Off Site Habitat Baseline'!$D$1:$O$258,11,FALSE)),"",(VLOOKUP($E74,'D-1 Off Site Habitat Baseline'!$D$1:$O$258,11,FALSE))))</f>
        <v/>
      </c>
      <c r="M74" s="520" t="str">
        <f>IF(E74="","",IF(ISNA(VLOOKUP($E74,'D-1 Off Site Habitat Baseline'!$D$1:$O$258,12,FALSE)),"",(VLOOKUP($E74,'D-1 Off Site Habitat Baseline'!$D$1:$O$258,12,FALSE))))</f>
        <v/>
      </c>
      <c r="N74" s="520" t="str">
        <f>IF(E74="","",IF(ISNA(VLOOKUP($E74,'D-1 Off Site Habitat Baseline'!$D$1:$X$258,14,FALSE)),"",(VLOOKUP($E74,'D-1 Off Site Habitat Baseline'!$D$1:$X$258,14,FALSE))))</f>
        <v/>
      </c>
      <c r="O74" s="524" t="str">
        <f>IF(E74="","",IF(ISNA(VLOOKUP($E74,'D-1 Off Site Habitat Baseline'!$D$1:$X$258,13,FALSE)),"",(VLOOKUP($E74,'D-1 Off Site Habitat Baseline'!$D$1:$X$258,13,FALSE))))</f>
        <v/>
      </c>
      <c r="P74" s="232" t="str">
        <f>IFERROR(INDEX('G-1 All Habitats'!$AG$3:$AG$15,MATCH(Q74,'G-1 All Habitats'!$AF$3:$AF$15,0)),"")</f>
        <v/>
      </c>
      <c r="Q74" s="228" t="str">
        <f t="shared" si="12"/>
        <v/>
      </c>
      <c r="R74" s="229" t="str">
        <f t="shared" si="13"/>
        <v/>
      </c>
      <c r="S74" s="233" t="str">
        <f>IFERROR(INDEX('G-1 All Habitats'!$B$3:$B$129,MATCH(R74,'G-1 All Habitats'!$A$3:$A$129,0)),"")</f>
        <v/>
      </c>
      <c r="T74" s="507" t="str">
        <f t="shared" si="5"/>
        <v/>
      </c>
      <c r="U74" s="524" t="str">
        <f t="shared" si="6"/>
        <v/>
      </c>
      <c r="V74" s="523" t="str">
        <f t="shared" si="2"/>
        <v/>
      </c>
      <c r="W74" s="520" t="str">
        <f>IF(S74="","",VLOOKUP(S74,'G-1 All Habitats'!$B$2:$M$129,10,FALSE))</f>
        <v/>
      </c>
      <c r="X74" s="520" t="str">
        <f>IFERROR(VLOOKUP(W74,'G-1 All Habitats'!$V$3:$W$7,2,FALSE),"")</f>
        <v/>
      </c>
      <c r="Y74" s="203"/>
      <c r="Z74" s="524" t="str">
        <f>IFERROR(INDEX('G-8 Condition Look up'!$A$3:$H$130,MATCH(S74,'G-8 Condition Look up'!$A$3:$A$130,0),MATCH(Y74,'G-8 Condition Look up'!$A$3:$H$3,0)),"")</f>
        <v/>
      </c>
      <c r="AA74" s="145"/>
      <c r="AB74" s="540" t="str">
        <f>IF(AA74="","",IF(VLOOKUP(AA74,'G-3 Multipliers'!$L$3:$N$6,2,FALSE)=0,"Spatial Data Missing ⚠",VLOOKUP(AA74,'G-3 Multipliers'!$L$3:$N$6,2,FALSE)))</f>
        <v/>
      </c>
      <c r="AC74" s="524" t="str">
        <f>IF(AA74="","",IF(VLOOKUP(AA74,'G-3 Multipliers'!$L$3:$N$6,3,FALSE)=0,"Spatial Data Missing ⚠",VLOOKUP(AA74,'G-3 Multipliers'!$L$3:$N$6,3,FALSE)))</f>
        <v/>
      </c>
      <c r="AD74" s="537" t="str">
        <f t="shared" si="3"/>
        <v/>
      </c>
      <c r="AE74" s="203"/>
      <c r="AF74" s="203"/>
      <c r="AG74" s="520" t="str">
        <f t="shared" si="7"/>
        <v/>
      </c>
      <c r="AH74" s="544" t="str">
        <f t="shared" si="8"/>
        <v/>
      </c>
      <c r="AI74" s="525" t="str">
        <f>IF(AH74="Check Data ⚠","Check Data ⚠",IFERROR(VLOOKUP(AH74,'G-4 Temporal multipliers'!$A$4:$C$36,3,FALSE),""))</f>
        <v/>
      </c>
      <c r="AJ74" s="537" t="str">
        <f>IF(S74="","",VLOOKUP(S74,'G-3 Multipliers'!$A$2:$E$129,4,FALSE))</f>
        <v/>
      </c>
      <c r="AK74" s="520" t="str">
        <f t="shared" si="9"/>
        <v/>
      </c>
      <c r="AL74" s="520" t="str">
        <f t="shared" si="10"/>
        <v/>
      </c>
      <c r="AM74" s="524" t="str">
        <f>IFERROR(IF(F74="","",IF(AH74="Check Data ⚠","Check Data ⚠",VLOOKUP(AL74, 'G-3 Multipliers'!$P$2:$Q$6,2,FALSE))),"")</f>
        <v/>
      </c>
      <c r="AN74" s="197"/>
      <c r="AO74" s="540" t="str">
        <f>IF(AN74="","",IF(VLOOKUP(AN74,'G-3 Multipliers'!$S$3:$T$9,2,FALSE)=0,"Spatial Data Missing ⚠",VLOOKUP(AN74,'G-3 Multipliers'!$S$3:$T$9,2,FALSE)))</f>
        <v/>
      </c>
      <c r="AP74" s="513" t="str">
        <f t="shared" si="11"/>
        <v/>
      </c>
      <c r="AQ74" s="231"/>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7" t="str">
        <f>'D-1 Off Site Habitat Baseline'!AL74</f>
        <v/>
      </c>
      <c r="F75" s="520" t="str">
        <f>IF(E75="","",IF(ISNA(VLOOKUP($E75,'D-1 Off Site Habitat Baseline'!$D$1:$O$258,4,FALSE)),"",(VLOOKUP($E75,'D-1 Off Site Habitat Baseline'!$D$1:$O$258,4,FALSE))))</f>
        <v/>
      </c>
      <c r="G75" s="520" t="str">
        <f>IF(E75="","",IF(ISNA(VLOOKUP($E75,'D-1 Off Site Habitat Baseline'!$D$1:$O$258,5,FALSE)),"",(VLOOKUP($E75,'D-1 Off Site Habitat Baseline'!$D$1:$O$258,5,FALSE))))</f>
        <v/>
      </c>
      <c r="H75" s="520" t="str">
        <f>IF(E75="","",IF(ISNA(VLOOKUP($E75,'D-1 Off Site Habitat Baseline'!$D$1:$O$258,6,FALSE)),"",(VLOOKUP($E75,'D-1 Off Site Habitat Baseline'!$D$1:$O$258,6,FALSE))))</f>
        <v/>
      </c>
      <c r="I75" s="520" t="str">
        <f>IF(E75="","",IF(ISNA(VLOOKUP($E75,'D-1 Off Site Habitat Baseline'!$D$1:$O$258,7,FALSE)),"",(VLOOKUP($E75,'D-1 Off Site Habitat Baseline'!$D$1:$O$258,7,FALSE))))</f>
        <v/>
      </c>
      <c r="J75" s="520" t="str">
        <f>IF(E75="","",IF(ISNA(VLOOKUP($E75,'D-1 Off Site Habitat Baseline'!$D$1:$O$258,8,FALSE)),"",(VLOOKUP($E75,'D-1 Off Site Habitat Baseline'!$D$1:$O$258,8,FALSE))))</f>
        <v/>
      </c>
      <c r="K75" s="520" t="str">
        <f>IF(E75="","",IF(ISNA(VLOOKUP($E75,'D-1 Off Site Habitat Baseline'!$D$1:$O$258,9,FALSE)),"",(VLOOKUP($E75,'D-1 Off Site Habitat Baseline'!$D$1:$O$258,9,FALSE))))</f>
        <v/>
      </c>
      <c r="L75" s="520" t="str">
        <f>IF(E75="","",IF(ISNA(VLOOKUP($E75,'D-1 Off Site Habitat Baseline'!$D$1:$O$258,11,FALSE)),"",(VLOOKUP($E75,'D-1 Off Site Habitat Baseline'!$D$1:$O$258,11,FALSE))))</f>
        <v/>
      </c>
      <c r="M75" s="520" t="str">
        <f>IF(E75="","",IF(ISNA(VLOOKUP($E75,'D-1 Off Site Habitat Baseline'!$D$1:$O$258,12,FALSE)),"",(VLOOKUP($E75,'D-1 Off Site Habitat Baseline'!$D$1:$O$258,12,FALSE))))</f>
        <v/>
      </c>
      <c r="N75" s="520" t="str">
        <f>IF(E75="","",IF(ISNA(VLOOKUP($E75,'D-1 Off Site Habitat Baseline'!$D$1:$X$258,14,FALSE)),"",(VLOOKUP($E75,'D-1 Off Site Habitat Baseline'!$D$1:$X$258,14,FALSE))))</f>
        <v/>
      </c>
      <c r="O75" s="524" t="str">
        <f>IF(E75="","",IF(ISNA(VLOOKUP($E75,'D-1 Off Site Habitat Baseline'!$D$1:$X$258,13,FALSE)),"",(VLOOKUP($E75,'D-1 Off Site Habitat Baseline'!$D$1:$X$258,13,FALSE))))</f>
        <v/>
      </c>
      <c r="P75" s="232" t="str">
        <f>IFERROR(INDEX('G-1 All Habitats'!$AG$3:$AG$15,MATCH(Q75,'G-1 All Habitats'!$AF$3:$AF$15,0)),"")</f>
        <v/>
      </c>
      <c r="Q75" s="228" t="str">
        <f t="shared" si="12"/>
        <v/>
      </c>
      <c r="R75" s="229" t="str">
        <f t="shared" si="13"/>
        <v/>
      </c>
      <c r="S75" s="233" t="str">
        <f>IFERROR(INDEX('G-1 All Habitats'!$B$3:$B$129,MATCH(R75,'G-1 All Habitats'!$A$3:$A$129,0)),"")</f>
        <v/>
      </c>
      <c r="T75" s="507" t="str">
        <f t="shared" si="5"/>
        <v/>
      </c>
      <c r="U75" s="524" t="str">
        <f t="shared" si="6"/>
        <v/>
      </c>
      <c r="V75" s="523" t="str">
        <f t="shared" si="2"/>
        <v/>
      </c>
      <c r="W75" s="520" t="str">
        <f>IF(S75="","",VLOOKUP(S75,'G-1 All Habitats'!$B$2:$M$129,10,FALSE))</f>
        <v/>
      </c>
      <c r="X75" s="520" t="str">
        <f>IFERROR(VLOOKUP(W75,'G-1 All Habitats'!$V$3:$W$7,2,FALSE),"")</f>
        <v/>
      </c>
      <c r="Y75" s="203"/>
      <c r="Z75" s="524" t="str">
        <f>IFERROR(INDEX('G-8 Condition Look up'!$A$3:$H$130,MATCH(S75,'G-8 Condition Look up'!$A$3:$A$130,0),MATCH(Y75,'G-8 Condition Look up'!$A$3:$H$3,0)),"")</f>
        <v/>
      </c>
      <c r="AA75" s="145"/>
      <c r="AB75" s="540" t="str">
        <f>IF(AA75="","",IF(VLOOKUP(AA75,'G-3 Multipliers'!$L$3:$N$6,2,FALSE)=0,"Spatial Data Missing ⚠",VLOOKUP(AA75,'G-3 Multipliers'!$L$3:$N$6,2,FALSE)))</f>
        <v/>
      </c>
      <c r="AC75" s="524" t="str">
        <f>IF(AA75="","",IF(VLOOKUP(AA75,'G-3 Multipliers'!$L$3:$N$6,3,FALSE)=0,"Spatial Data Missing ⚠",VLOOKUP(AA75,'G-3 Multipliers'!$L$3:$N$6,3,FALSE)))</f>
        <v/>
      </c>
      <c r="AD75" s="537" t="str">
        <f t="shared" si="3"/>
        <v/>
      </c>
      <c r="AE75" s="203"/>
      <c r="AF75" s="203"/>
      <c r="AG75" s="520" t="str">
        <f t="shared" si="7"/>
        <v/>
      </c>
      <c r="AH75" s="544" t="str">
        <f t="shared" si="8"/>
        <v/>
      </c>
      <c r="AI75" s="525" t="str">
        <f>IF(AH75="Check Data ⚠","Check Data ⚠",IFERROR(VLOOKUP(AH75,'G-4 Temporal multipliers'!$A$4:$C$36,3,FALSE),""))</f>
        <v/>
      </c>
      <c r="AJ75" s="537" t="str">
        <f>IF(S75="","",VLOOKUP(S75,'G-3 Multipliers'!$A$2:$E$129,4,FALSE))</f>
        <v/>
      </c>
      <c r="AK75" s="520" t="str">
        <f t="shared" si="9"/>
        <v/>
      </c>
      <c r="AL75" s="520" t="str">
        <f t="shared" si="10"/>
        <v/>
      </c>
      <c r="AM75" s="524" t="str">
        <f>IFERROR(IF(F75="","",IF(AH75="Check Data ⚠","Check Data ⚠",VLOOKUP(AL75, 'G-3 Multipliers'!$P$2:$Q$6,2,FALSE))),"")</f>
        <v/>
      </c>
      <c r="AN75" s="197"/>
      <c r="AO75" s="540" t="str">
        <f>IF(AN75="","",IF(VLOOKUP(AN75,'G-3 Multipliers'!$S$3:$T$9,2,FALSE)=0,"Spatial Data Missing ⚠",VLOOKUP(AN75,'G-3 Multipliers'!$S$3:$T$9,2,FALSE)))</f>
        <v/>
      </c>
      <c r="AP75" s="513" t="str">
        <f t="shared" si="11"/>
        <v/>
      </c>
      <c r="AQ75" s="231"/>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7" t="str">
        <f>'D-1 Off Site Habitat Baseline'!AL75</f>
        <v/>
      </c>
      <c r="F76" s="520" t="str">
        <f>IF(E76="","",IF(ISNA(VLOOKUP($E76,'D-1 Off Site Habitat Baseline'!$D$1:$O$258,4,FALSE)),"",(VLOOKUP($E76,'D-1 Off Site Habitat Baseline'!$D$1:$O$258,4,FALSE))))</f>
        <v/>
      </c>
      <c r="G76" s="520" t="str">
        <f>IF(E76="","",IF(ISNA(VLOOKUP($E76,'D-1 Off Site Habitat Baseline'!$D$1:$O$258,5,FALSE)),"",(VLOOKUP($E76,'D-1 Off Site Habitat Baseline'!$D$1:$O$258,5,FALSE))))</f>
        <v/>
      </c>
      <c r="H76" s="520" t="str">
        <f>IF(E76="","",IF(ISNA(VLOOKUP($E76,'D-1 Off Site Habitat Baseline'!$D$1:$O$258,6,FALSE)),"",(VLOOKUP($E76,'D-1 Off Site Habitat Baseline'!$D$1:$O$258,6,FALSE))))</f>
        <v/>
      </c>
      <c r="I76" s="520" t="str">
        <f>IF(E76="","",IF(ISNA(VLOOKUP($E76,'D-1 Off Site Habitat Baseline'!$D$1:$O$258,7,FALSE)),"",(VLOOKUP($E76,'D-1 Off Site Habitat Baseline'!$D$1:$O$258,7,FALSE))))</f>
        <v/>
      </c>
      <c r="J76" s="520" t="str">
        <f>IF(E76="","",IF(ISNA(VLOOKUP($E76,'D-1 Off Site Habitat Baseline'!$D$1:$O$258,8,FALSE)),"",(VLOOKUP($E76,'D-1 Off Site Habitat Baseline'!$D$1:$O$258,8,FALSE))))</f>
        <v/>
      </c>
      <c r="K76" s="520" t="str">
        <f>IF(E76="","",IF(ISNA(VLOOKUP($E76,'D-1 Off Site Habitat Baseline'!$D$1:$O$258,9,FALSE)),"",(VLOOKUP($E76,'D-1 Off Site Habitat Baseline'!$D$1:$O$258,9,FALSE))))</f>
        <v/>
      </c>
      <c r="L76" s="520" t="str">
        <f>IF(E76="","",IF(ISNA(VLOOKUP($E76,'D-1 Off Site Habitat Baseline'!$D$1:$O$258,11,FALSE)),"",(VLOOKUP($E76,'D-1 Off Site Habitat Baseline'!$D$1:$O$258,11,FALSE))))</f>
        <v/>
      </c>
      <c r="M76" s="520" t="str">
        <f>IF(E76="","",IF(ISNA(VLOOKUP($E76,'D-1 Off Site Habitat Baseline'!$D$1:$O$258,12,FALSE)),"",(VLOOKUP($E76,'D-1 Off Site Habitat Baseline'!$D$1:$O$258,12,FALSE))))</f>
        <v/>
      </c>
      <c r="N76" s="520" t="str">
        <f>IF(E76="","",IF(ISNA(VLOOKUP($E76,'D-1 Off Site Habitat Baseline'!$D$1:$X$258,14,FALSE)),"",(VLOOKUP($E76,'D-1 Off Site Habitat Baseline'!$D$1:$X$258,14,FALSE))))</f>
        <v/>
      </c>
      <c r="O76" s="524" t="str">
        <f>IF(E76="","",IF(ISNA(VLOOKUP($E76,'D-1 Off Site Habitat Baseline'!$D$1:$X$258,13,FALSE)),"",(VLOOKUP($E76,'D-1 Off Site Habitat Baseline'!$D$1:$X$258,13,FALSE))))</f>
        <v/>
      </c>
      <c r="P76" s="232" t="str">
        <f>IFERROR(INDEX('G-1 All Habitats'!$AG$3:$AG$15,MATCH(Q76,'G-1 All Habitats'!$AF$3:$AF$15,0)),"")</f>
        <v/>
      </c>
      <c r="Q76" s="228" t="str">
        <f t="shared" si="12"/>
        <v/>
      </c>
      <c r="R76" s="229" t="str">
        <f t="shared" si="13"/>
        <v/>
      </c>
      <c r="S76" s="233" t="str">
        <f>IFERROR(INDEX('G-1 All Habitats'!$B$3:$B$129,MATCH(R76,'G-1 All Habitats'!$A$3:$A$129,0)),"")</f>
        <v/>
      </c>
      <c r="T76" s="507" t="str">
        <f t="shared" si="5"/>
        <v/>
      </c>
      <c r="U76" s="524" t="str">
        <f t="shared" si="6"/>
        <v/>
      </c>
      <c r="V76" s="523" t="str">
        <f t="shared" ref="V76:V139" si="14">IF(S76="","",VLOOKUP(E76,BaselineHabOffsite,17,FALSE))</f>
        <v/>
      </c>
      <c r="W76" s="520" t="str">
        <f>IF(S76="","",VLOOKUP(S76,'G-1 All Habitats'!$B$2:$M$129,10,FALSE))</f>
        <v/>
      </c>
      <c r="X76" s="520" t="str">
        <f>IFERROR(VLOOKUP(W76,'G-1 All Habitats'!$V$3:$W$7,2,FALSE),"")</f>
        <v/>
      </c>
      <c r="Y76" s="203"/>
      <c r="Z76" s="524" t="str">
        <f>IFERROR(INDEX('G-8 Condition Look up'!$A$3:$H$130,MATCH(S76,'G-8 Condition Look up'!$A$3:$A$130,0),MATCH(Y76,'G-8 Condition Look up'!$A$3:$H$3,0)),"")</f>
        <v/>
      </c>
      <c r="AA76" s="145"/>
      <c r="AB76" s="540" t="str">
        <f>IF(AA76="","",IF(VLOOKUP(AA76,'G-3 Multipliers'!$L$3:$N$6,2,FALSE)=0,"Spatial Data Missing ⚠",VLOOKUP(AA76,'G-3 Multipliers'!$L$3:$N$6,2,FALSE)))</f>
        <v/>
      </c>
      <c r="AC76" s="524" t="str">
        <f>IF(AA76="","",IF(VLOOKUP(AA76,'G-3 Multipliers'!$L$3:$N$6,3,FALSE)=0,"Spatial Data Missing ⚠",VLOOKUP(AA76,'G-3 Multipliers'!$L$3:$N$6,3,FALSE)))</f>
        <v/>
      </c>
      <c r="AD76" s="537" t="str">
        <f t="shared" ref="AD76:AD139" si="15">IFERROR(IF(OR(LEFT(U76,5)="Error ▲",LEFT(T76,5)="Error ▲"),"Check Data ⚠",INDEX(EnhanceTemporal,MATCH(S76,EnhanceHabitat,0),MATCH(U76,EnhanceCondition,0))),"")</f>
        <v/>
      </c>
      <c r="AE76" s="203"/>
      <c r="AF76" s="203"/>
      <c r="AG76" s="520" t="str">
        <f t="shared" si="7"/>
        <v/>
      </c>
      <c r="AH76" s="544" t="str">
        <f t="shared" si="8"/>
        <v/>
      </c>
      <c r="AI76" s="525" t="str">
        <f>IF(AH76="Check Data ⚠","Check Data ⚠",IFERROR(VLOOKUP(AH76,'G-4 Temporal multipliers'!$A$4:$C$36,3,FALSE),""))</f>
        <v/>
      </c>
      <c r="AJ76" s="537" t="str">
        <f>IF(S76="","",VLOOKUP(S76,'G-3 Multipliers'!$A$2:$E$129,4,FALSE))</f>
        <v/>
      </c>
      <c r="AK76" s="520" t="str">
        <f t="shared" si="9"/>
        <v/>
      </c>
      <c r="AL76" s="520" t="str">
        <f t="shared" si="10"/>
        <v/>
      </c>
      <c r="AM76" s="524" t="str">
        <f>IFERROR(IF(F76="","",IF(AH76="Check Data ⚠","Check Data ⚠",VLOOKUP(AL76, 'G-3 Multipliers'!$P$2:$Q$6,2,FALSE))),"")</f>
        <v/>
      </c>
      <c r="AN76" s="197"/>
      <c r="AO76" s="540" t="str">
        <f>IF(AN76="","",IF(VLOOKUP(AN76,'G-3 Multipliers'!$S$3:$T$9,2,FALSE)=0,"Spatial Data Missing ⚠",VLOOKUP(AN76,'G-3 Multipliers'!$S$3:$T$9,2,FALSE)))</f>
        <v/>
      </c>
      <c r="AP76" s="513" t="str">
        <f t="shared" si="11"/>
        <v/>
      </c>
      <c r="AQ76" s="231"/>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7" t="str">
        <f>'D-1 Off Site Habitat Baseline'!AL76</f>
        <v/>
      </c>
      <c r="F77" s="520" t="str">
        <f>IF(E77="","",IF(ISNA(VLOOKUP($E77,'D-1 Off Site Habitat Baseline'!$D$1:$O$258,4,FALSE)),"",(VLOOKUP($E77,'D-1 Off Site Habitat Baseline'!$D$1:$O$258,4,FALSE))))</f>
        <v/>
      </c>
      <c r="G77" s="520" t="str">
        <f>IF(E77="","",IF(ISNA(VLOOKUP($E77,'D-1 Off Site Habitat Baseline'!$D$1:$O$258,5,FALSE)),"",(VLOOKUP($E77,'D-1 Off Site Habitat Baseline'!$D$1:$O$258,5,FALSE))))</f>
        <v/>
      </c>
      <c r="H77" s="520" t="str">
        <f>IF(E77="","",IF(ISNA(VLOOKUP($E77,'D-1 Off Site Habitat Baseline'!$D$1:$O$258,6,FALSE)),"",(VLOOKUP($E77,'D-1 Off Site Habitat Baseline'!$D$1:$O$258,6,FALSE))))</f>
        <v/>
      </c>
      <c r="I77" s="520" t="str">
        <f>IF(E77="","",IF(ISNA(VLOOKUP($E77,'D-1 Off Site Habitat Baseline'!$D$1:$O$258,7,FALSE)),"",(VLOOKUP($E77,'D-1 Off Site Habitat Baseline'!$D$1:$O$258,7,FALSE))))</f>
        <v/>
      </c>
      <c r="J77" s="520" t="str">
        <f>IF(E77="","",IF(ISNA(VLOOKUP($E77,'D-1 Off Site Habitat Baseline'!$D$1:$O$258,8,FALSE)),"",(VLOOKUP($E77,'D-1 Off Site Habitat Baseline'!$D$1:$O$258,8,FALSE))))</f>
        <v/>
      </c>
      <c r="K77" s="520" t="str">
        <f>IF(E77="","",IF(ISNA(VLOOKUP($E77,'D-1 Off Site Habitat Baseline'!$D$1:$O$258,9,FALSE)),"",(VLOOKUP($E77,'D-1 Off Site Habitat Baseline'!$D$1:$O$258,9,FALSE))))</f>
        <v/>
      </c>
      <c r="L77" s="520" t="str">
        <f>IF(E77="","",IF(ISNA(VLOOKUP($E77,'D-1 Off Site Habitat Baseline'!$D$1:$O$258,11,FALSE)),"",(VLOOKUP($E77,'D-1 Off Site Habitat Baseline'!$D$1:$O$258,11,FALSE))))</f>
        <v/>
      </c>
      <c r="M77" s="520" t="str">
        <f>IF(E77="","",IF(ISNA(VLOOKUP($E77,'D-1 Off Site Habitat Baseline'!$D$1:$O$258,12,FALSE)),"",(VLOOKUP($E77,'D-1 Off Site Habitat Baseline'!$D$1:$O$258,12,FALSE))))</f>
        <v/>
      </c>
      <c r="N77" s="520" t="str">
        <f>IF(E77="","",IF(ISNA(VLOOKUP($E77,'D-1 Off Site Habitat Baseline'!$D$1:$X$258,14,FALSE)),"",(VLOOKUP($E77,'D-1 Off Site Habitat Baseline'!$D$1:$X$258,14,FALSE))))</f>
        <v/>
      </c>
      <c r="O77" s="524" t="str">
        <f>IF(E77="","",IF(ISNA(VLOOKUP($E77,'D-1 Off Site Habitat Baseline'!$D$1:$X$258,13,FALSE)),"",(VLOOKUP($E77,'D-1 Off Site Habitat Baseline'!$D$1:$X$258,13,FALSE))))</f>
        <v/>
      </c>
      <c r="P77" s="232" t="str">
        <f>IFERROR(INDEX('G-1 All Habitats'!$AG$3:$AG$15,MATCH(Q77,'G-1 All Habitats'!$AF$3:$AF$15,0)),"")</f>
        <v/>
      </c>
      <c r="Q77" s="228" t="str">
        <f t="shared" si="12"/>
        <v/>
      </c>
      <c r="R77" s="229" t="str">
        <f t="shared" si="13"/>
        <v/>
      </c>
      <c r="S77" s="233" t="str">
        <f>IFERROR(INDEX('G-1 All Habitats'!$B$3:$B$129,MATCH(R77,'G-1 All Habitats'!$A$3:$A$129,0)),"")</f>
        <v/>
      </c>
      <c r="T77" s="507"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4"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3" t="str">
        <f t="shared" si="14"/>
        <v/>
      </c>
      <c r="W77" s="520" t="str">
        <f>IF(S77="","",VLOOKUP(S77,'G-1 All Habitats'!$B$2:$M$129,10,FALSE))</f>
        <v/>
      </c>
      <c r="X77" s="520" t="str">
        <f>IFERROR(VLOOKUP(W77,'G-1 All Habitats'!$V$3:$W$7,2,FALSE),"")</f>
        <v/>
      </c>
      <c r="Y77" s="203"/>
      <c r="Z77" s="524" t="str">
        <f>IFERROR(INDEX('G-8 Condition Look up'!$A$3:$H$130,MATCH(S77,'G-8 Condition Look up'!$A$3:$A$130,0),MATCH(Y77,'G-8 Condition Look up'!$A$3:$H$3,0)),"")</f>
        <v/>
      </c>
      <c r="AA77" s="145"/>
      <c r="AB77" s="540" t="str">
        <f>IF(AA77="","",IF(VLOOKUP(AA77,'G-3 Multipliers'!$L$3:$N$6,2,FALSE)=0,"Spatial Data Missing ⚠",VLOOKUP(AA77,'G-3 Multipliers'!$L$3:$N$6,2,FALSE)))</f>
        <v/>
      </c>
      <c r="AC77" s="524" t="str">
        <f>IF(AA77="","",IF(VLOOKUP(AA77,'G-3 Multipliers'!$L$3:$N$6,3,FALSE)=0,"Spatial Data Missing ⚠",VLOOKUP(AA77,'G-3 Multipliers'!$L$3:$N$6,3,FALSE)))</f>
        <v/>
      </c>
      <c r="AD77" s="537" t="str">
        <f t="shared" si="15"/>
        <v/>
      </c>
      <c r="AE77" s="203"/>
      <c r="AF77" s="203"/>
      <c r="AG77" s="520"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4"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5" t="str">
        <f>IF(AH77="Check Data ⚠","Check Data ⚠",IFERROR(VLOOKUP(AH77,'G-4 Temporal multipliers'!$A$4:$C$36,3,FALSE),""))</f>
        <v/>
      </c>
      <c r="AJ77" s="537" t="str">
        <f>IF(S77="","",VLOOKUP(S77,'G-3 Multipliers'!$A$2:$E$129,4,FALSE))</f>
        <v/>
      </c>
      <c r="AK77" s="520" t="str">
        <f t="shared" ref="AK77:AK140" si="20">IF(E77="","",IF(AG77="Check details - Is there evidence that habitat has reached target condition? ⚠","Low Difficulty - only applicable if all habitat created before losses","Standard difficulty applied"))</f>
        <v/>
      </c>
      <c r="AL77" s="520" t="str">
        <f t="shared" ref="AL77:AL140" si="21">(IF(AND(AK77="Standard difficulty applied",AD77&gt;AE77),AJ77,IF(AND(AK77="Low Difficulty - only applicable if all habitat created before losses",AE77&gt;=AD77),"Low", AJ77)))</f>
        <v/>
      </c>
      <c r="AM77" s="524" t="str">
        <f>IFERROR(IF(F77="","",IF(AH77="Check Data ⚠","Check Data ⚠",VLOOKUP(AL77, 'G-3 Multipliers'!$P$2:$Q$6,2,FALSE))),"")</f>
        <v/>
      </c>
      <c r="AN77" s="197"/>
      <c r="AO77" s="540" t="str">
        <f>IF(AN77="","",IF(VLOOKUP(AN77,'G-3 Multipliers'!$S$3:$T$9,2,FALSE)=0,"Spatial Data Missing ⚠",VLOOKUP(AN77,'G-3 Multipliers'!$S$3:$T$9,2,FALSE)))</f>
        <v/>
      </c>
      <c r="AP77" s="513" t="str">
        <f t="shared" ref="AP77:AP140" si="22">IFERROR(((((V77*X77*Z77)-(V77*I77*K77))*(AM77*AI77))+(V77*I77*K77))*(AC77)*AO77,"")</f>
        <v/>
      </c>
      <c r="AQ77" s="231"/>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7" t="str">
        <f>'D-1 Off Site Habitat Baseline'!AL77</f>
        <v/>
      </c>
      <c r="F78" s="520" t="str">
        <f>IF(E78="","",IF(ISNA(VLOOKUP($E78,'D-1 Off Site Habitat Baseline'!$D$1:$O$258,4,FALSE)),"",(VLOOKUP($E78,'D-1 Off Site Habitat Baseline'!$D$1:$O$258,4,FALSE))))</f>
        <v/>
      </c>
      <c r="G78" s="520" t="str">
        <f>IF(E78="","",IF(ISNA(VLOOKUP($E78,'D-1 Off Site Habitat Baseline'!$D$1:$O$258,5,FALSE)),"",(VLOOKUP($E78,'D-1 Off Site Habitat Baseline'!$D$1:$O$258,5,FALSE))))</f>
        <v/>
      </c>
      <c r="H78" s="520" t="str">
        <f>IF(E78="","",IF(ISNA(VLOOKUP($E78,'D-1 Off Site Habitat Baseline'!$D$1:$O$258,6,FALSE)),"",(VLOOKUP($E78,'D-1 Off Site Habitat Baseline'!$D$1:$O$258,6,FALSE))))</f>
        <v/>
      </c>
      <c r="I78" s="520" t="str">
        <f>IF(E78="","",IF(ISNA(VLOOKUP($E78,'D-1 Off Site Habitat Baseline'!$D$1:$O$258,7,FALSE)),"",(VLOOKUP($E78,'D-1 Off Site Habitat Baseline'!$D$1:$O$258,7,FALSE))))</f>
        <v/>
      </c>
      <c r="J78" s="520" t="str">
        <f>IF(E78="","",IF(ISNA(VLOOKUP($E78,'D-1 Off Site Habitat Baseline'!$D$1:$O$258,8,FALSE)),"",(VLOOKUP($E78,'D-1 Off Site Habitat Baseline'!$D$1:$O$258,8,FALSE))))</f>
        <v/>
      </c>
      <c r="K78" s="520" t="str">
        <f>IF(E78="","",IF(ISNA(VLOOKUP($E78,'D-1 Off Site Habitat Baseline'!$D$1:$O$258,9,FALSE)),"",(VLOOKUP($E78,'D-1 Off Site Habitat Baseline'!$D$1:$O$258,9,FALSE))))</f>
        <v/>
      </c>
      <c r="L78" s="520" t="str">
        <f>IF(E78="","",IF(ISNA(VLOOKUP($E78,'D-1 Off Site Habitat Baseline'!$D$1:$O$258,11,FALSE)),"",(VLOOKUP($E78,'D-1 Off Site Habitat Baseline'!$D$1:$O$258,11,FALSE))))</f>
        <v/>
      </c>
      <c r="M78" s="520" t="str">
        <f>IF(E78="","",IF(ISNA(VLOOKUP($E78,'D-1 Off Site Habitat Baseline'!$D$1:$O$258,12,FALSE)),"",(VLOOKUP($E78,'D-1 Off Site Habitat Baseline'!$D$1:$O$258,12,FALSE))))</f>
        <v/>
      </c>
      <c r="N78" s="520" t="str">
        <f>IF(E78="","",IF(ISNA(VLOOKUP($E78,'D-1 Off Site Habitat Baseline'!$D$1:$X$258,14,FALSE)),"",(VLOOKUP($E78,'D-1 Off Site Habitat Baseline'!$D$1:$X$258,14,FALSE))))</f>
        <v/>
      </c>
      <c r="O78" s="524" t="str">
        <f>IF(E78="","",IF(ISNA(VLOOKUP($E78,'D-1 Off Site Habitat Baseline'!$D$1:$X$258,13,FALSE)),"",(VLOOKUP($E78,'D-1 Off Site Habitat Baseline'!$D$1:$X$258,13,FALSE))))</f>
        <v/>
      </c>
      <c r="P78" s="232" t="str">
        <f>IFERROR(INDEX('G-1 All Habitats'!$AG$3:$AG$15,MATCH(Q78,'G-1 All Habitats'!$AF$3:$AF$15,0)),"")</f>
        <v/>
      </c>
      <c r="Q78" s="228" t="str">
        <f t="shared" si="12"/>
        <v/>
      </c>
      <c r="R78" s="229" t="str">
        <f t="shared" si="13"/>
        <v/>
      </c>
      <c r="S78" s="233" t="str">
        <f>IFERROR(INDEX('G-1 All Habitats'!$B$3:$B$129,MATCH(R78,'G-1 All Habitats'!$A$3:$A$129,0)),"")</f>
        <v/>
      </c>
      <c r="T78" s="507" t="str">
        <f t="shared" si="16"/>
        <v/>
      </c>
      <c r="U78" s="524" t="str">
        <f t="shared" si="17"/>
        <v/>
      </c>
      <c r="V78" s="523" t="str">
        <f t="shared" si="14"/>
        <v/>
      </c>
      <c r="W78" s="520" t="str">
        <f>IF(S78="","",VLOOKUP(S78,'G-1 All Habitats'!$B$2:$M$129,10,FALSE))</f>
        <v/>
      </c>
      <c r="X78" s="520" t="str">
        <f>IFERROR(VLOOKUP(W78,'G-1 All Habitats'!$V$3:$W$7,2,FALSE),"")</f>
        <v/>
      </c>
      <c r="Y78" s="203"/>
      <c r="Z78" s="524" t="str">
        <f>IFERROR(INDEX('G-8 Condition Look up'!$A$3:$H$130,MATCH(S78,'G-8 Condition Look up'!$A$3:$A$130,0),MATCH(Y78,'G-8 Condition Look up'!$A$3:$H$3,0)),"")</f>
        <v/>
      </c>
      <c r="AA78" s="145"/>
      <c r="AB78" s="540" t="str">
        <f>IF(AA78="","",IF(VLOOKUP(AA78,'G-3 Multipliers'!$L$3:$N$6,2,FALSE)=0,"Spatial Data Missing ⚠",VLOOKUP(AA78,'G-3 Multipliers'!$L$3:$N$6,2,FALSE)))</f>
        <v/>
      </c>
      <c r="AC78" s="524" t="str">
        <f>IF(AA78="","",IF(VLOOKUP(AA78,'G-3 Multipliers'!$L$3:$N$6,3,FALSE)=0,"Spatial Data Missing ⚠",VLOOKUP(AA78,'G-3 Multipliers'!$L$3:$N$6,3,FALSE)))</f>
        <v/>
      </c>
      <c r="AD78" s="537" t="str">
        <f t="shared" si="15"/>
        <v/>
      </c>
      <c r="AE78" s="203"/>
      <c r="AF78" s="203"/>
      <c r="AG78" s="520" t="str">
        <f t="shared" si="18"/>
        <v/>
      </c>
      <c r="AH78" s="544" t="str">
        <f t="shared" si="19"/>
        <v/>
      </c>
      <c r="AI78" s="525" t="str">
        <f>IF(AH78="Check Data ⚠","Check Data ⚠",IFERROR(VLOOKUP(AH78,'G-4 Temporal multipliers'!$A$4:$C$36,3,FALSE),""))</f>
        <v/>
      </c>
      <c r="AJ78" s="537" t="str">
        <f>IF(S78="","",VLOOKUP(S78,'G-3 Multipliers'!$A$2:$E$129,4,FALSE))</f>
        <v/>
      </c>
      <c r="AK78" s="520" t="str">
        <f t="shared" si="20"/>
        <v/>
      </c>
      <c r="AL78" s="520" t="str">
        <f t="shared" si="21"/>
        <v/>
      </c>
      <c r="AM78" s="524" t="str">
        <f>IFERROR(IF(F78="","",IF(AH78="Check Data ⚠","Check Data ⚠",VLOOKUP(AL78, 'G-3 Multipliers'!$P$2:$Q$6,2,FALSE))),"")</f>
        <v/>
      </c>
      <c r="AN78" s="197"/>
      <c r="AO78" s="540" t="str">
        <f>IF(AN78="","",IF(VLOOKUP(AN78,'G-3 Multipliers'!$S$3:$T$9,2,FALSE)=0,"Spatial Data Missing ⚠",VLOOKUP(AN78,'G-3 Multipliers'!$S$3:$T$9,2,FALSE)))</f>
        <v/>
      </c>
      <c r="AP78" s="513" t="str">
        <f t="shared" si="22"/>
        <v/>
      </c>
      <c r="AQ78" s="231"/>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7" t="str">
        <f>'D-1 Off Site Habitat Baseline'!AL78</f>
        <v/>
      </c>
      <c r="F79" s="520" t="str">
        <f>IF(E79="","",IF(ISNA(VLOOKUP($E79,'D-1 Off Site Habitat Baseline'!$D$1:$O$258,4,FALSE)),"",(VLOOKUP($E79,'D-1 Off Site Habitat Baseline'!$D$1:$O$258,4,FALSE))))</f>
        <v/>
      </c>
      <c r="G79" s="520" t="str">
        <f>IF(E79="","",IF(ISNA(VLOOKUP($E79,'D-1 Off Site Habitat Baseline'!$D$1:$O$258,5,FALSE)),"",(VLOOKUP($E79,'D-1 Off Site Habitat Baseline'!$D$1:$O$258,5,FALSE))))</f>
        <v/>
      </c>
      <c r="H79" s="520" t="str">
        <f>IF(E79="","",IF(ISNA(VLOOKUP($E79,'D-1 Off Site Habitat Baseline'!$D$1:$O$258,6,FALSE)),"",(VLOOKUP($E79,'D-1 Off Site Habitat Baseline'!$D$1:$O$258,6,FALSE))))</f>
        <v/>
      </c>
      <c r="I79" s="520" t="str">
        <f>IF(E79="","",IF(ISNA(VLOOKUP($E79,'D-1 Off Site Habitat Baseline'!$D$1:$O$258,7,FALSE)),"",(VLOOKUP($E79,'D-1 Off Site Habitat Baseline'!$D$1:$O$258,7,FALSE))))</f>
        <v/>
      </c>
      <c r="J79" s="520" t="str">
        <f>IF(E79="","",IF(ISNA(VLOOKUP($E79,'D-1 Off Site Habitat Baseline'!$D$1:$O$258,8,FALSE)),"",(VLOOKUP($E79,'D-1 Off Site Habitat Baseline'!$D$1:$O$258,8,FALSE))))</f>
        <v/>
      </c>
      <c r="K79" s="520" t="str">
        <f>IF(E79="","",IF(ISNA(VLOOKUP($E79,'D-1 Off Site Habitat Baseline'!$D$1:$O$258,9,FALSE)),"",(VLOOKUP($E79,'D-1 Off Site Habitat Baseline'!$D$1:$O$258,9,FALSE))))</f>
        <v/>
      </c>
      <c r="L79" s="520" t="str">
        <f>IF(E79="","",IF(ISNA(VLOOKUP($E79,'D-1 Off Site Habitat Baseline'!$D$1:$O$258,11,FALSE)),"",(VLOOKUP($E79,'D-1 Off Site Habitat Baseline'!$D$1:$O$258,11,FALSE))))</f>
        <v/>
      </c>
      <c r="M79" s="520" t="str">
        <f>IF(E79="","",IF(ISNA(VLOOKUP($E79,'D-1 Off Site Habitat Baseline'!$D$1:$O$258,12,FALSE)),"",(VLOOKUP($E79,'D-1 Off Site Habitat Baseline'!$D$1:$O$258,12,FALSE))))</f>
        <v/>
      </c>
      <c r="N79" s="520" t="str">
        <f>IF(E79="","",IF(ISNA(VLOOKUP($E79,'D-1 Off Site Habitat Baseline'!$D$1:$X$258,14,FALSE)),"",(VLOOKUP($E79,'D-1 Off Site Habitat Baseline'!$D$1:$X$258,14,FALSE))))</f>
        <v/>
      </c>
      <c r="O79" s="524" t="str">
        <f>IF(E79="","",IF(ISNA(VLOOKUP($E79,'D-1 Off Site Habitat Baseline'!$D$1:$X$258,13,FALSE)),"",(VLOOKUP($E79,'D-1 Off Site Habitat Baseline'!$D$1:$X$258,13,FALSE))))</f>
        <v/>
      </c>
      <c r="P79" s="232" t="str">
        <f>IFERROR(INDEX('G-1 All Habitats'!$AG$3:$AG$15,MATCH(Q79,'G-1 All Habitats'!$AF$3:$AF$15,0)),"")</f>
        <v/>
      </c>
      <c r="Q79" s="228" t="str">
        <f t="shared" ref="Q79:Q142" si="23">A79</f>
        <v/>
      </c>
      <c r="R79" s="229" t="str">
        <f t="shared" ref="R79:R142" si="24">B79</f>
        <v/>
      </c>
      <c r="S79" s="233" t="str">
        <f>IFERROR(INDEX('G-1 All Habitats'!$B$3:$B$129,MATCH(R79,'G-1 All Habitats'!$A$3:$A$129,0)),"")</f>
        <v/>
      </c>
      <c r="T79" s="507" t="str">
        <f t="shared" si="16"/>
        <v/>
      </c>
      <c r="U79" s="524" t="str">
        <f t="shared" si="17"/>
        <v/>
      </c>
      <c r="V79" s="523" t="str">
        <f t="shared" si="14"/>
        <v/>
      </c>
      <c r="W79" s="520" t="str">
        <f>IF(S79="","",VLOOKUP(S79,'G-1 All Habitats'!$B$2:$M$129,10,FALSE))</f>
        <v/>
      </c>
      <c r="X79" s="520" t="str">
        <f>IFERROR(VLOOKUP(W79,'G-1 All Habitats'!$V$3:$W$7,2,FALSE),"")</f>
        <v/>
      </c>
      <c r="Y79" s="203"/>
      <c r="Z79" s="524" t="str">
        <f>IFERROR(INDEX('G-8 Condition Look up'!$A$3:$H$130,MATCH(S79,'G-8 Condition Look up'!$A$3:$A$130,0),MATCH(Y79,'G-8 Condition Look up'!$A$3:$H$3,0)),"")</f>
        <v/>
      </c>
      <c r="AA79" s="145"/>
      <c r="AB79" s="540" t="str">
        <f>IF(AA79="","",IF(VLOOKUP(AA79,'G-3 Multipliers'!$L$3:$N$6,2,FALSE)=0,"Spatial Data Missing ⚠",VLOOKUP(AA79,'G-3 Multipliers'!$L$3:$N$6,2,FALSE)))</f>
        <v/>
      </c>
      <c r="AC79" s="524" t="str">
        <f>IF(AA79="","",IF(VLOOKUP(AA79,'G-3 Multipliers'!$L$3:$N$6,3,FALSE)=0,"Spatial Data Missing ⚠",VLOOKUP(AA79,'G-3 Multipliers'!$L$3:$N$6,3,FALSE)))</f>
        <v/>
      </c>
      <c r="AD79" s="537" t="str">
        <f t="shared" si="15"/>
        <v/>
      </c>
      <c r="AE79" s="203"/>
      <c r="AF79" s="203"/>
      <c r="AG79" s="520" t="str">
        <f t="shared" si="18"/>
        <v/>
      </c>
      <c r="AH79" s="544" t="str">
        <f t="shared" si="19"/>
        <v/>
      </c>
      <c r="AI79" s="525" t="str">
        <f>IF(AH79="Check Data ⚠","Check Data ⚠",IFERROR(VLOOKUP(AH79,'G-4 Temporal multipliers'!$A$4:$C$36,3,FALSE),""))</f>
        <v/>
      </c>
      <c r="AJ79" s="537" t="str">
        <f>IF(S79="","",VLOOKUP(S79,'G-3 Multipliers'!$A$2:$E$129,4,FALSE))</f>
        <v/>
      </c>
      <c r="AK79" s="520" t="str">
        <f t="shared" si="20"/>
        <v/>
      </c>
      <c r="AL79" s="520" t="str">
        <f t="shared" si="21"/>
        <v/>
      </c>
      <c r="AM79" s="524" t="str">
        <f>IFERROR(IF(F79="","",IF(AH79="Check Data ⚠","Check Data ⚠",VLOOKUP(AL79, 'G-3 Multipliers'!$P$2:$Q$6,2,FALSE))),"")</f>
        <v/>
      </c>
      <c r="AN79" s="197"/>
      <c r="AO79" s="540" t="str">
        <f>IF(AN79="","",IF(VLOOKUP(AN79,'G-3 Multipliers'!$S$3:$T$9,2,FALSE)=0,"Spatial Data Missing ⚠",VLOOKUP(AN79,'G-3 Multipliers'!$S$3:$T$9,2,FALSE)))</f>
        <v/>
      </c>
      <c r="AP79" s="513" t="str">
        <f t="shared" si="22"/>
        <v/>
      </c>
      <c r="AQ79" s="231"/>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7" t="str">
        <f>'D-1 Off Site Habitat Baseline'!AL79</f>
        <v/>
      </c>
      <c r="F80" s="520" t="str">
        <f>IF(E80="","",IF(ISNA(VLOOKUP($E80,'D-1 Off Site Habitat Baseline'!$D$1:$O$258,4,FALSE)),"",(VLOOKUP($E80,'D-1 Off Site Habitat Baseline'!$D$1:$O$258,4,FALSE))))</f>
        <v/>
      </c>
      <c r="G80" s="520" t="str">
        <f>IF(E80="","",IF(ISNA(VLOOKUP($E80,'D-1 Off Site Habitat Baseline'!$D$1:$O$258,5,FALSE)),"",(VLOOKUP($E80,'D-1 Off Site Habitat Baseline'!$D$1:$O$258,5,FALSE))))</f>
        <v/>
      </c>
      <c r="H80" s="520" t="str">
        <f>IF(E80="","",IF(ISNA(VLOOKUP($E80,'D-1 Off Site Habitat Baseline'!$D$1:$O$258,6,FALSE)),"",(VLOOKUP($E80,'D-1 Off Site Habitat Baseline'!$D$1:$O$258,6,FALSE))))</f>
        <v/>
      </c>
      <c r="I80" s="520" t="str">
        <f>IF(E80="","",IF(ISNA(VLOOKUP($E80,'D-1 Off Site Habitat Baseline'!$D$1:$O$258,7,FALSE)),"",(VLOOKUP($E80,'D-1 Off Site Habitat Baseline'!$D$1:$O$258,7,FALSE))))</f>
        <v/>
      </c>
      <c r="J80" s="520" t="str">
        <f>IF(E80="","",IF(ISNA(VLOOKUP($E80,'D-1 Off Site Habitat Baseline'!$D$1:$O$258,8,FALSE)),"",(VLOOKUP($E80,'D-1 Off Site Habitat Baseline'!$D$1:$O$258,8,FALSE))))</f>
        <v/>
      </c>
      <c r="K80" s="520" t="str">
        <f>IF(E80="","",IF(ISNA(VLOOKUP($E80,'D-1 Off Site Habitat Baseline'!$D$1:$O$258,9,FALSE)),"",(VLOOKUP($E80,'D-1 Off Site Habitat Baseline'!$D$1:$O$258,9,FALSE))))</f>
        <v/>
      </c>
      <c r="L80" s="520" t="str">
        <f>IF(E80="","",IF(ISNA(VLOOKUP($E80,'D-1 Off Site Habitat Baseline'!$D$1:$O$258,11,FALSE)),"",(VLOOKUP($E80,'D-1 Off Site Habitat Baseline'!$D$1:$O$258,11,FALSE))))</f>
        <v/>
      </c>
      <c r="M80" s="520" t="str">
        <f>IF(E80="","",IF(ISNA(VLOOKUP($E80,'D-1 Off Site Habitat Baseline'!$D$1:$O$258,12,FALSE)),"",(VLOOKUP($E80,'D-1 Off Site Habitat Baseline'!$D$1:$O$258,12,FALSE))))</f>
        <v/>
      </c>
      <c r="N80" s="520" t="str">
        <f>IF(E80="","",IF(ISNA(VLOOKUP($E80,'D-1 Off Site Habitat Baseline'!$D$1:$X$258,14,FALSE)),"",(VLOOKUP($E80,'D-1 Off Site Habitat Baseline'!$D$1:$X$258,14,FALSE))))</f>
        <v/>
      </c>
      <c r="O80" s="524" t="str">
        <f>IF(E80="","",IF(ISNA(VLOOKUP($E80,'D-1 Off Site Habitat Baseline'!$D$1:$X$258,13,FALSE)),"",(VLOOKUP($E80,'D-1 Off Site Habitat Baseline'!$D$1:$X$258,13,FALSE))))</f>
        <v/>
      </c>
      <c r="P80" s="232" t="str">
        <f>IFERROR(INDEX('G-1 All Habitats'!$AG$3:$AG$15,MATCH(Q80,'G-1 All Habitats'!$AF$3:$AF$15,0)),"")</f>
        <v/>
      </c>
      <c r="Q80" s="228" t="str">
        <f t="shared" si="23"/>
        <v/>
      </c>
      <c r="R80" s="229" t="str">
        <f t="shared" si="24"/>
        <v/>
      </c>
      <c r="S80" s="233" t="str">
        <f>IFERROR(INDEX('G-1 All Habitats'!$B$3:$B$129,MATCH(R80,'G-1 All Habitats'!$A$3:$A$129,0)),"")</f>
        <v/>
      </c>
      <c r="T80" s="507" t="str">
        <f t="shared" si="16"/>
        <v/>
      </c>
      <c r="U80" s="524" t="str">
        <f t="shared" si="17"/>
        <v/>
      </c>
      <c r="V80" s="523" t="str">
        <f t="shared" si="14"/>
        <v/>
      </c>
      <c r="W80" s="520" t="str">
        <f>IF(S80="","",VLOOKUP(S80,'G-1 All Habitats'!$B$2:$M$129,10,FALSE))</f>
        <v/>
      </c>
      <c r="X80" s="520" t="str">
        <f>IFERROR(VLOOKUP(W80,'G-1 All Habitats'!$V$3:$W$7,2,FALSE),"")</f>
        <v/>
      </c>
      <c r="Y80" s="203"/>
      <c r="Z80" s="524" t="str">
        <f>IFERROR(INDEX('G-8 Condition Look up'!$A$3:$H$130,MATCH(S80,'G-8 Condition Look up'!$A$3:$A$130,0),MATCH(Y80,'G-8 Condition Look up'!$A$3:$H$3,0)),"")</f>
        <v/>
      </c>
      <c r="AA80" s="145"/>
      <c r="AB80" s="540" t="str">
        <f>IF(AA80="","",IF(VLOOKUP(AA80,'G-3 Multipliers'!$L$3:$N$6,2,FALSE)=0,"Spatial Data Missing ⚠",VLOOKUP(AA80,'G-3 Multipliers'!$L$3:$N$6,2,FALSE)))</f>
        <v/>
      </c>
      <c r="AC80" s="524" t="str">
        <f>IF(AA80="","",IF(VLOOKUP(AA80,'G-3 Multipliers'!$L$3:$N$6,3,FALSE)=0,"Spatial Data Missing ⚠",VLOOKUP(AA80,'G-3 Multipliers'!$L$3:$N$6,3,FALSE)))</f>
        <v/>
      </c>
      <c r="AD80" s="537" t="str">
        <f t="shared" si="15"/>
        <v/>
      </c>
      <c r="AE80" s="203"/>
      <c r="AF80" s="203"/>
      <c r="AG80" s="520" t="str">
        <f t="shared" si="18"/>
        <v/>
      </c>
      <c r="AH80" s="544" t="str">
        <f t="shared" si="19"/>
        <v/>
      </c>
      <c r="AI80" s="525" t="str">
        <f>IF(AH80="Check Data ⚠","Check Data ⚠",IFERROR(VLOOKUP(AH80,'G-4 Temporal multipliers'!$A$4:$C$36,3,FALSE),""))</f>
        <v/>
      </c>
      <c r="AJ80" s="537" t="str">
        <f>IF(S80="","",VLOOKUP(S80,'G-3 Multipliers'!$A$2:$E$129,4,FALSE))</f>
        <v/>
      </c>
      <c r="AK80" s="520" t="str">
        <f t="shared" si="20"/>
        <v/>
      </c>
      <c r="AL80" s="520" t="str">
        <f t="shared" si="21"/>
        <v/>
      </c>
      <c r="AM80" s="524" t="str">
        <f>IFERROR(IF(F80="","",IF(AH80="Check Data ⚠","Check Data ⚠",VLOOKUP(AL80, 'G-3 Multipliers'!$P$2:$Q$6,2,FALSE))),"")</f>
        <v/>
      </c>
      <c r="AN80" s="197"/>
      <c r="AO80" s="540" t="str">
        <f>IF(AN80="","",IF(VLOOKUP(AN80,'G-3 Multipliers'!$S$3:$T$9,2,FALSE)=0,"Spatial Data Missing ⚠",VLOOKUP(AN80,'G-3 Multipliers'!$S$3:$T$9,2,FALSE)))</f>
        <v/>
      </c>
      <c r="AP80" s="513" t="str">
        <f t="shared" si="22"/>
        <v/>
      </c>
      <c r="AQ80" s="231"/>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7" t="str">
        <f>'D-1 Off Site Habitat Baseline'!AL80</f>
        <v/>
      </c>
      <c r="F81" s="520" t="str">
        <f>IF(E81="","",IF(ISNA(VLOOKUP($E81,'D-1 Off Site Habitat Baseline'!$D$1:$O$258,4,FALSE)),"",(VLOOKUP($E81,'D-1 Off Site Habitat Baseline'!$D$1:$O$258,4,FALSE))))</f>
        <v/>
      </c>
      <c r="G81" s="520" t="str">
        <f>IF(E81="","",IF(ISNA(VLOOKUP($E81,'D-1 Off Site Habitat Baseline'!$D$1:$O$258,5,FALSE)),"",(VLOOKUP($E81,'D-1 Off Site Habitat Baseline'!$D$1:$O$258,5,FALSE))))</f>
        <v/>
      </c>
      <c r="H81" s="520" t="str">
        <f>IF(E81="","",IF(ISNA(VLOOKUP($E81,'D-1 Off Site Habitat Baseline'!$D$1:$O$258,6,FALSE)),"",(VLOOKUP($E81,'D-1 Off Site Habitat Baseline'!$D$1:$O$258,6,FALSE))))</f>
        <v/>
      </c>
      <c r="I81" s="520" t="str">
        <f>IF(E81="","",IF(ISNA(VLOOKUP($E81,'D-1 Off Site Habitat Baseline'!$D$1:$O$258,7,FALSE)),"",(VLOOKUP($E81,'D-1 Off Site Habitat Baseline'!$D$1:$O$258,7,FALSE))))</f>
        <v/>
      </c>
      <c r="J81" s="520" t="str">
        <f>IF(E81="","",IF(ISNA(VLOOKUP($E81,'D-1 Off Site Habitat Baseline'!$D$1:$O$258,8,FALSE)),"",(VLOOKUP($E81,'D-1 Off Site Habitat Baseline'!$D$1:$O$258,8,FALSE))))</f>
        <v/>
      </c>
      <c r="K81" s="520" t="str">
        <f>IF(E81="","",IF(ISNA(VLOOKUP($E81,'D-1 Off Site Habitat Baseline'!$D$1:$O$258,9,FALSE)),"",(VLOOKUP($E81,'D-1 Off Site Habitat Baseline'!$D$1:$O$258,9,FALSE))))</f>
        <v/>
      </c>
      <c r="L81" s="520" t="str">
        <f>IF(E81="","",IF(ISNA(VLOOKUP($E81,'D-1 Off Site Habitat Baseline'!$D$1:$O$258,11,FALSE)),"",(VLOOKUP($E81,'D-1 Off Site Habitat Baseline'!$D$1:$O$258,11,FALSE))))</f>
        <v/>
      </c>
      <c r="M81" s="520" t="str">
        <f>IF(E81="","",IF(ISNA(VLOOKUP($E81,'D-1 Off Site Habitat Baseline'!$D$1:$O$258,12,FALSE)),"",(VLOOKUP($E81,'D-1 Off Site Habitat Baseline'!$D$1:$O$258,12,FALSE))))</f>
        <v/>
      </c>
      <c r="N81" s="520" t="str">
        <f>IF(E81="","",IF(ISNA(VLOOKUP($E81,'D-1 Off Site Habitat Baseline'!$D$1:$X$258,14,FALSE)),"",(VLOOKUP($E81,'D-1 Off Site Habitat Baseline'!$D$1:$X$258,14,FALSE))))</f>
        <v/>
      </c>
      <c r="O81" s="524" t="str">
        <f>IF(E81="","",IF(ISNA(VLOOKUP($E81,'D-1 Off Site Habitat Baseline'!$D$1:$X$258,13,FALSE)),"",(VLOOKUP($E81,'D-1 Off Site Habitat Baseline'!$D$1:$X$258,13,FALSE))))</f>
        <v/>
      </c>
      <c r="P81" s="232" t="str">
        <f>IFERROR(INDEX('G-1 All Habitats'!$AG$3:$AG$15,MATCH(Q81,'G-1 All Habitats'!$AF$3:$AF$15,0)),"")</f>
        <v/>
      </c>
      <c r="Q81" s="228" t="str">
        <f t="shared" si="23"/>
        <v/>
      </c>
      <c r="R81" s="229" t="str">
        <f t="shared" si="24"/>
        <v/>
      </c>
      <c r="S81" s="233" t="str">
        <f>IFERROR(INDEX('G-1 All Habitats'!$B$3:$B$129,MATCH(R81,'G-1 All Habitats'!$A$3:$A$129,0)),"")</f>
        <v/>
      </c>
      <c r="T81" s="507" t="str">
        <f t="shared" si="16"/>
        <v/>
      </c>
      <c r="U81" s="524" t="str">
        <f t="shared" si="17"/>
        <v/>
      </c>
      <c r="V81" s="523" t="str">
        <f t="shared" si="14"/>
        <v/>
      </c>
      <c r="W81" s="520" t="str">
        <f>IF(S81="","",VLOOKUP(S81,'G-1 All Habitats'!$B$2:$M$129,10,FALSE))</f>
        <v/>
      </c>
      <c r="X81" s="520" t="str">
        <f>IFERROR(VLOOKUP(W81,'G-1 All Habitats'!$V$3:$W$7,2,FALSE),"")</f>
        <v/>
      </c>
      <c r="Y81" s="203"/>
      <c r="Z81" s="524" t="str">
        <f>IFERROR(INDEX('G-8 Condition Look up'!$A$3:$H$130,MATCH(S81,'G-8 Condition Look up'!$A$3:$A$130,0),MATCH(Y81,'G-8 Condition Look up'!$A$3:$H$3,0)),"")</f>
        <v/>
      </c>
      <c r="AA81" s="145"/>
      <c r="AB81" s="540" t="str">
        <f>IF(AA81="","",IF(VLOOKUP(AA81,'G-3 Multipliers'!$L$3:$N$6,2,FALSE)=0,"Spatial Data Missing ⚠",VLOOKUP(AA81,'G-3 Multipliers'!$L$3:$N$6,2,FALSE)))</f>
        <v/>
      </c>
      <c r="AC81" s="524" t="str">
        <f>IF(AA81="","",IF(VLOOKUP(AA81,'G-3 Multipliers'!$L$3:$N$6,3,FALSE)=0,"Spatial Data Missing ⚠",VLOOKUP(AA81,'G-3 Multipliers'!$L$3:$N$6,3,FALSE)))</f>
        <v/>
      </c>
      <c r="AD81" s="537" t="str">
        <f t="shared" si="15"/>
        <v/>
      </c>
      <c r="AE81" s="203"/>
      <c r="AF81" s="203"/>
      <c r="AG81" s="520" t="str">
        <f t="shared" si="18"/>
        <v/>
      </c>
      <c r="AH81" s="544" t="str">
        <f t="shared" si="19"/>
        <v/>
      </c>
      <c r="AI81" s="525" t="str">
        <f>IF(AH81="Check Data ⚠","Check Data ⚠",IFERROR(VLOOKUP(AH81,'G-4 Temporal multipliers'!$A$4:$C$36,3,FALSE),""))</f>
        <v/>
      </c>
      <c r="AJ81" s="537" t="str">
        <f>IF(S81="","",VLOOKUP(S81,'G-3 Multipliers'!$A$2:$E$129,4,FALSE))</f>
        <v/>
      </c>
      <c r="AK81" s="520" t="str">
        <f t="shared" si="20"/>
        <v/>
      </c>
      <c r="AL81" s="520" t="str">
        <f t="shared" si="21"/>
        <v/>
      </c>
      <c r="AM81" s="524" t="str">
        <f>IFERROR(IF(F81="","",IF(AH81="Check Data ⚠","Check Data ⚠",VLOOKUP(AL81, 'G-3 Multipliers'!$P$2:$Q$6,2,FALSE))),"")</f>
        <v/>
      </c>
      <c r="AN81" s="197"/>
      <c r="AO81" s="540" t="str">
        <f>IF(AN81="","",IF(VLOOKUP(AN81,'G-3 Multipliers'!$S$3:$T$9,2,FALSE)=0,"Spatial Data Missing ⚠",VLOOKUP(AN81,'G-3 Multipliers'!$S$3:$T$9,2,FALSE)))</f>
        <v/>
      </c>
      <c r="AP81" s="513" t="str">
        <f t="shared" si="22"/>
        <v/>
      </c>
      <c r="AQ81" s="231"/>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7" t="str">
        <f>'D-1 Off Site Habitat Baseline'!AL81</f>
        <v/>
      </c>
      <c r="F82" s="520" t="str">
        <f>IF(E82="","",IF(ISNA(VLOOKUP($E82,'D-1 Off Site Habitat Baseline'!$D$1:$O$258,4,FALSE)),"",(VLOOKUP($E82,'D-1 Off Site Habitat Baseline'!$D$1:$O$258,4,FALSE))))</f>
        <v/>
      </c>
      <c r="G82" s="520" t="str">
        <f>IF(E82="","",IF(ISNA(VLOOKUP($E82,'D-1 Off Site Habitat Baseline'!$D$1:$O$258,5,FALSE)),"",(VLOOKUP($E82,'D-1 Off Site Habitat Baseline'!$D$1:$O$258,5,FALSE))))</f>
        <v/>
      </c>
      <c r="H82" s="520" t="str">
        <f>IF(E82="","",IF(ISNA(VLOOKUP($E82,'D-1 Off Site Habitat Baseline'!$D$1:$O$258,6,FALSE)),"",(VLOOKUP($E82,'D-1 Off Site Habitat Baseline'!$D$1:$O$258,6,FALSE))))</f>
        <v/>
      </c>
      <c r="I82" s="520" t="str">
        <f>IF(E82="","",IF(ISNA(VLOOKUP($E82,'D-1 Off Site Habitat Baseline'!$D$1:$O$258,7,FALSE)),"",(VLOOKUP($E82,'D-1 Off Site Habitat Baseline'!$D$1:$O$258,7,FALSE))))</f>
        <v/>
      </c>
      <c r="J82" s="520" t="str">
        <f>IF(E82="","",IF(ISNA(VLOOKUP($E82,'D-1 Off Site Habitat Baseline'!$D$1:$O$258,8,FALSE)),"",(VLOOKUP($E82,'D-1 Off Site Habitat Baseline'!$D$1:$O$258,8,FALSE))))</f>
        <v/>
      </c>
      <c r="K82" s="520" t="str">
        <f>IF(E82="","",IF(ISNA(VLOOKUP($E82,'D-1 Off Site Habitat Baseline'!$D$1:$O$258,9,FALSE)),"",(VLOOKUP($E82,'D-1 Off Site Habitat Baseline'!$D$1:$O$258,9,FALSE))))</f>
        <v/>
      </c>
      <c r="L82" s="520" t="str">
        <f>IF(E82="","",IF(ISNA(VLOOKUP($E82,'D-1 Off Site Habitat Baseline'!$D$1:$O$258,11,FALSE)),"",(VLOOKUP($E82,'D-1 Off Site Habitat Baseline'!$D$1:$O$258,11,FALSE))))</f>
        <v/>
      </c>
      <c r="M82" s="520" t="str">
        <f>IF(E82="","",IF(ISNA(VLOOKUP($E82,'D-1 Off Site Habitat Baseline'!$D$1:$O$258,12,FALSE)),"",(VLOOKUP($E82,'D-1 Off Site Habitat Baseline'!$D$1:$O$258,12,FALSE))))</f>
        <v/>
      </c>
      <c r="N82" s="520" t="str">
        <f>IF(E82="","",IF(ISNA(VLOOKUP($E82,'D-1 Off Site Habitat Baseline'!$D$1:$X$258,14,FALSE)),"",(VLOOKUP($E82,'D-1 Off Site Habitat Baseline'!$D$1:$X$258,14,FALSE))))</f>
        <v/>
      </c>
      <c r="O82" s="524" t="str">
        <f>IF(E82="","",IF(ISNA(VLOOKUP($E82,'D-1 Off Site Habitat Baseline'!$D$1:$X$258,13,FALSE)),"",(VLOOKUP($E82,'D-1 Off Site Habitat Baseline'!$D$1:$X$258,13,FALSE))))</f>
        <v/>
      </c>
      <c r="P82" s="232" t="str">
        <f>IFERROR(INDEX('G-1 All Habitats'!$AG$3:$AG$15,MATCH(Q82,'G-1 All Habitats'!$AF$3:$AF$15,0)),"")</f>
        <v/>
      </c>
      <c r="Q82" s="228" t="str">
        <f t="shared" si="23"/>
        <v/>
      </c>
      <c r="R82" s="229" t="str">
        <f t="shared" si="24"/>
        <v/>
      </c>
      <c r="S82" s="233" t="str">
        <f>IFERROR(INDEX('G-1 All Habitats'!$B$3:$B$129,MATCH(R82,'G-1 All Habitats'!$A$3:$A$129,0)),"")</f>
        <v/>
      </c>
      <c r="T82" s="507" t="str">
        <f t="shared" si="16"/>
        <v/>
      </c>
      <c r="U82" s="524" t="str">
        <f t="shared" si="17"/>
        <v/>
      </c>
      <c r="V82" s="523" t="str">
        <f t="shared" si="14"/>
        <v/>
      </c>
      <c r="W82" s="520" t="str">
        <f>IF(S82="","",VLOOKUP(S82,'G-1 All Habitats'!$B$2:$M$129,10,FALSE))</f>
        <v/>
      </c>
      <c r="X82" s="520" t="str">
        <f>IFERROR(VLOOKUP(W82,'G-1 All Habitats'!$V$3:$W$7,2,FALSE),"")</f>
        <v/>
      </c>
      <c r="Y82" s="203"/>
      <c r="Z82" s="524" t="str">
        <f>IFERROR(INDEX('G-8 Condition Look up'!$A$3:$H$130,MATCH(S82,'G-8 Condition Look up'!$A$3:$A$130,0),MATCH(Y82,'G-8 Condition Look up'!$A$3:$H$3,0)),"")</f>
        <v/>
      </c>
      <c r="AA82" s="145"/>
      <c r="AB82" s="540" t="str">
        <f>IF(AA82="","",IF(VLOOKUP(AA82,'G-3 Multipliers'!$L$3:$N$6,2,FALSE)=0,"Spatial Data Missing ⚠",VLOOKUP(AA82,'G-3 Multipliers'!$L$3:$N$6,2,FALSE)))</f>
        <v/>
      </c>
      <c r="AC82" s="524" t="str">
        <f>IF(AA82="","",IF(VLOOKUP(AA82,'G-3 Multipliers'!$L$3:$N$6,3,FALSE)=0,"Spatial Data Missing ⚠",VLOOKUP(AA82,'G-3 Multipliers'!$L$3:$N$6,3,FALSE)))</f>
        <v/>
      </c>
      <c r="AD82" s="537" t="str">
        <f t="shared" si="15"/>
        <v/>
      </c>
      <c r="AE82" s="203"/>
      <c r="AF82" s="203"/>
      <c r="AG82" s="520" t="str">
        <f t="shared" si="18"/>
        <v/>
      </c>
      <c r="AH82" s="544" t="str">
        <f t="shared" si="19"/>
        <v/>
      </c>
      <c r="AI82" s="525" t="str">
        <f>IF(AH82="Check Data ⚠","Check Data ⚠",IFERROR(VLOOKUP(AH82,'G-4 Temporal multipliers'!$A$4:$C$36,3,FALSE),""))</f>
        <v/>
      </c>
      <c r="AJ82" s="537" t="str">
        <f>IF(S82="","",VLOOKUP(S82,'G-3 Multipliers'!$A$2:$E$129,4,FALSE))</f>
        <v/>
      </c>
      <c r="AK82" s="520" t="str">
        <f t="shared" si="20"/>
        <v/>
      </c>
      <c r="AL82" s="520" t="str">
        <f t="shared" si="21"/>
        <v/>
      </c>
      <c r="AM82" s="524" t="str">
        <f>IFERROR(IF(F82="","",IF(AH82="Check Data ⚠","Check Data ⚠",VLOOKUP(AL82, 'G-3 Multipliers'!$P$2:$Q$6,2,FALSE))),"")</f>
        <v/>
      </c>
      <c r="AN82" s="197"/>
      <c r="AO82" s="540" t="str">
        <f>IF(AN82="","",IF(VLOOKUP(AN82,'G-3 Multipliers'!$S$3:$T$9,2,FALSE)=0,"Spatial Data Missing ⚠",VLOOKUP(AN82,'G-3 Multipliers'!$S$3:$T$9,2,FALSE)))</f>
        <v/>
      </c>
      <c r="AP82" s="513" t="str">
        <f t="shared" si="22"/>
        <v/>
      </c>
      <c r="AQ82" s="231"/>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7" t="str">
        <f>'D-1 Off Site Habitat Baseline'!AL82</f>
        <v/>
      </c>
      <c r="F83" s="520" t="str">
        <f>IF(E83="","",IF(ISNA(VLOOKUP($E83,'D-1 Off Site Habitat Baseline'!$D$1:$O$258,4,FALSE)),"",(VLOOKUP($E83,'D-1 Off Site Habitat Baseline'!$D$1:$O$258,4,FALSE))))</f>
        <v/>
      </c>
      <c r="G83" s="520" t="str">
        <f>IF(E83="","",IF(ISNA(VLOOKUP($E83,'D-1 Off Site Habitat Baseline'!$D$1:$O$258,5,FALSE)),"",(VLOOKUP($E83,'D-1 Off Site Habitat Baseline'!$D$1:$O$258,5,FALSE))))</f>
        <v/>
      </c>
      <c r="H83" s="520" t="str">
        <f>IF(E83="","",IF(ISNA(VLOOKUP($E83,'D-1 Off Site Habitat Baseline'!$D$1:$O$258,6,FALSE)),"",(VLOOKUP($E83,'D-1 Off Site Habitat Baseline'!$D$1:$O$258,6,FALSE))))</f>
        <v/>
      </c>
      <c r="I83" s="520" t="str">
        <f>IF(E83="","",IF(ISNA(VLOOKUP($E83,'D-1 Off Site Habitat Baseline'!$D$1:$O$258,7,FALSE)),"",(VLOOKUP($E83,'D-1 Off Site Habitat Baseline'!$D$1:$O$258,7,FALSE))))</f>
        <v/>
      </c>
      <c r="J83" s="520" t="str">
        <f>IF(E83="","",IF(ISNA(VLOOKUP($E83,'D-1 Off Site Habitat Baseline'!$D$1:$O$258,8,FALSE)),"",(VLOOKUP($E83,'D-1 Off Site Habitat Baseline'!$D$1:$O$258,8,FALSE))))</f>
        <v/>
      </c>
      <c r="K83" s="520" t="str">
        <f>IF(E83="","",IF(ISNA(VLOOKUP($E83,'D-1 Off Site Habitat Baseline'!$D$1:$O$258,9,FALSE)),"",(VLOOKUP($E83,'D-1 Off Site Habitat Baseline'!$D$1:$O$258,9,FALSE))))</f>
        <v/>
      </c>
      <c r="L83" s="520" t="str">
        <f>IF(E83="","",IF(ISNA(VLOOKUP($E83,'D-1 Off Site Habitat Baseline'!$D$1:$O$258,11,FALSE)),"",(VLOOKUP($E83,'D-1 Off Site Habitat Baseline'!$D$1:$O$258,11,FALSE))))</f>
        <v/>
      </c>
      <c r="M83" s="520" t="str">
        <f>IF(E83="","",IF(ISNA(VLOOKUP($E83,'D-1 Off Site Habitat Baseline'!$D$1:$O$258,12,FALSE)),"",(VLOOKUP($E83,'D-1 Off Site Habitat Baseline'!$D$1:$O$258,12,FALSE))))</f>
        <v/>
      </c>
      <c r="N83" s="520" t="str">
        <f>IF(E83="","",IF(ISNA(VLOOKUP($E83,'D-1 Off Site Habitat Baseline'!$D$1:$X$258,14,FALSE)),"",(VLOOKUP($E83,'D-1 Off Site Habitat Baseline'!$D$1:$X$258,14,FALSE))))</f>
        <v/>
      </c>
      <c r="O83" s="524" t="str">
        <f>IF(E83="","",IF(ISNA(VLOOKUP($E83,'D-1 Off Site Habitat Baseline'!$D$1:$X$258,13,FALSE)),"",(VLOOKUP($E83,'D-1 Off Site Habitat Baseline'!$D$1:$X$258,13,FALSE))))</f>
        <v/>
      </c>
      <c r="P83" s="232" t="str">
        <f>IFERROR(INDEX('G-1 All Habitats'!$AG$3:$AG$15,MATCH(Q83,'G-1 All Habitats'!$AF$3:$AF$15,0)),"")</f>
        <v/>
      </c>
      <c r="Q83" s="228" t="str">
        <f t="shared" si="23"/>
        <v/>
      </c>
      <c r="R83" s="229" t="str">
        <f t="shared" si="24"/>
        <v/>
      </c>
      <c r="S83" s="233" t="str">
        <f>IFERROR(INDEX('G-1 All Habitats'!$B$3:$B$129,MATCH(R83,'G-1 All Habitats'!$A$3:$A$129,0)),"")</f>
        <v/>
      </c>
      <c r="T83" s="507" t="str">
        <f t="shared" si="16"/>
        <v/>
      </c>
      <c r="U83" s="524" t="str">
        <f t="shared" si="17"/>
        <v/>
      </c>
      <c r="V83" s="523" t="str">
        <f t="shared" si="14"/>
        <v/>
      </c>
      <c r="W83" s="520" t="str">
        <f>IF(S83="","",VLOOKUP(S83,'G-1 All Habitats'!$B$2:$M$129,10,FALSE))</f>
        <v/>
      </c>
      <c r="X83" s="520" t="str">
        <f>IFERROR(VLOOKUP(W83,'G-1 All Habitats'!$V$3:$W$7,2,FALSE),"")</f>
        <v/>
      </c>
      <c r="Y83" s="203"/>
      <c r="Z83" s="524" t="str">
        <f>IFERROR(INDEX('G-8 Condition Look up'!$A$3:$H$130,MATCH(S83,'G-8 Condition Look up'!$A$3:$A$130,0),MATCH(Y83,'G-8 Condition Look up'!$A$3:$H$3,0)),"")</f>
        <v/>
      </c>
      <c r="AA83" s="145"/>
      <c r="AB83" s="540" t="str">
        <f>IF(AA83="","",IF(VLOOKUP(AA83,'G-3 Multipliers'!$L$3:$N$6,2,FALSE)=0,"Spatial Data Missing ⚠",VLOOKUP(AA83,'G-3 Multipliers'!$L$3:$N$6,2,FALSE)))</f>
        <v/>
      </c>
      <c r="AC83" s="524" t="str">
        <f>IF(AA83="","",IF(VLOOKUP(AA83,'G-3 Multipliers'!$L$3:$N$6,3,FALSE)=0,"Spatial Data Missing ⚠",VLOOKUP(AA83,'G-3 Multipliers'!$L$3:$N$6,3,FALSE)))</f>
        <v/>
      </c>
      <c r="AD83" s="537" t="str">
        <f t="shared" si="15"/>
        <v/>
      </c>
      <c r="AE83" s="203"/>
      <c r="AF83" s="203"/>
      <c r="AG83" s="520" t="str">
        <f t="shared" si="18"/>
        <v/>
      </c>
      <c r="AH83" s="544" t="str">
        <f t="shared" si="19"/>
        <v/>
      </c>
      <c r="AI83" s="525" t="str">
        <f>IF(AH83="Check Data ⚠","Check Data ⚠",IFERROR(VLOOKUP(AH83,'G-4 Temporal multipliers'!$A$4:$C$36,3,FALSE),""))</f>
        <v/>
      </c>
      <c r="AJ83" s="537" t="str">
        <f>IF(S83="","",VLOOKUP(S83,'G-3 Multipliers'!$A$2:$E$129,4,FALSE))</f>
        <v/>
      </c>
      <c r="AK83" s="520" t="str">
        <f t="shared" si="20"/>
        <v/>
      </c>
      <c r="AL83" s="520" t="str">
        <f t="shared" si="21"/>
        <v/>
      </c>
      <c r="AM83" s="524" t="str">
        <f>IFERROR(IF(F83="","",IF(AH83="Check Data ⚠","Check Data ⚠",VLOOKUP(AL83, 'G-3 Multipliers'!$P$2:$Q$6,2,FALSE))),"")</f>
        <v/>
      </c>
      <c r="AN83" s="197"/>
      <c r="AO83" s="540" t="str">
        <f>IF(AN83="","",IF(VLOOKUP(AN83,'G-3 Multipliers'!$S$3:$T$9,2,FALSE)=0,"Spatial Data Missing ⚠",VLOOKUP(AN83,'G-3 Multipliers'!$S$3:$T$9,2,FALSE)))</f>
        <v/>
      </c>
      <c r="AP83" s="513" t="str">
        <f t="shared" si="22"/>
        <v/>
      </c>
      <c r="AQ83" s="231"/>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7" t="str">
        <f>'D-1 Off Site Habitat Baseline'!AL83</f>
        <v/>
      </c>
      <c r="F84" s="520" t="str">
        <f>IF(E84="","",IF(ISNA(VLOOKUP($E84,'D-1 Off Site Habitat Baseline'!$D$1:$O$258,4,FALSE)),"",(VLOOKUP($E84,'D-1 Off Site Habitat Baseline'!$D$1:$O$258,4,FALSE))))</f>
        <v/>
      </c>
      <c r="G84" s="520" t="str">
        <f>IF(E84="","",IF(ISNA(VLOOKUP($E84,'D-1 Off Site Habitat Baseline'!$D$1:$O$258,5,FALSE)),"",(VLOOKUP($E84,'D-1 Off Site Habitat Baseline'!$D$1:$O$258,5,FALSE))))</f>
        <v/>
      </c>
      <c r="H84" s="520" t="str">
        <f>IF(E84="","",IF(ISNA(VLOOKUP($E84,'D-1 Off Site Habitat Baseline'!$D$1:$O$258,6,FALSE)),"",(VLOOKUP($E84,'D-1 Off Site Habitat Baseline'!$D$1:$O$258,6,FALSE))))</f>
        <v/>
      </c>
      <c r="I84" s="520" t="str">
        <f>IF(E84="","",IF(ISNA(VLOOKUP($E84,'D-1 Off Site Habitat Baseline'!$D$1:$O$258,7,FALSE)),"",(VLOOKUP($E84,'D-1 Off Site Habitat Baseline'!$D$1:$O$258,7,FALSE))))</f>
        <v/>
      </c>
      <c r="J84" s="520" t="str">
        <f>IF(E84="","",IF(ISNA(VLOOKUP($E84,'D-1 Off Site Habitat Baseline'!$D$1:$O$258,8,FALSE)),"",(VLOOKUP($E84,'D-1 Off Site Habitat Baseline'!$D$1:$O$258,8,FALSE))))</f>
        <v/>
      </c>
      <c r="K84" s="520" t="str">
        <f>IF(E84="","",IF(ISNA(VLOOKUP($E84,'D-1 Off Site Habitat Baseline'!$D$1:$O$258,9,FALSE)),"",(VLOOKUP($E84,'D-1 Off Site Habitat Baseline'!$D$1:$O$258,9,FALSE))))</f>
        <v/>
      </c>
      <c r="L84" s="520" t="str">
        <f>IF(E84="","",IF(ISNA(VLOOKUP($E84,'D-1 Off Site Habitat Baseline'!$D$1:$O$258,11,FALSE)),"",(VLOOKUP($E84,'D-1 Off Site Habitat Baseline'!$D$1:$O$258,11,FALSE))))</f>
        <v/>
      </c>
      <c r="M84" s="520" t="str">
        <f>IF(E84="","",IF(ISNA(VLOOKUP($E84,'D-1 Off Site Habitat Baseline'!$D$1:$O$258,12,FALSE)),"",(VLOOKUP($E84,'D-1 Off Site Habitat Baseline'!$D$1:$O$258,12,FALSE))))</f>
        <v/>
      </c>
      <c r="N84" s="520" t="str">
        <f>IF(E84="","",IF(ISNA(VLOOKUP($E84,'D-1 Off Site Habitat Baseline'!$D$1:$X$258,14,FALSE)),"",(VLOOKUP($E84,'D-1 Off Site Habitat Baseline'!$D$1:$X$258,14,FALSE))))</f>
        <v/>
      </c>
      <c r="O84" s="524" t="str">
        <f>IF(E84="","",IF(ISNA(VLOOKUP($E84,'D-1 Off Site Habitat Baseline'!$D$1:$X$258,13,FALSE)),"",(VLOOKUP($E84,'D-1 Off Site Habitat Baseline'!$D$1:$X$258,13,FALSE))))</f>
        <v/>
      </c>
      <c r="P84" s="232" t="str">
        <f>IFERROR(INDEX('G-1 All Habitats'!$AG$3:$AG$15,MATCH(Q84,'G-1 All Habitats'!$AF$3:$AF$15,0)),"")</f>
        <v/>
      </c>
      <c r="Q84" s="228" t="str">
        <f t="shared" si="23"/>
        <v/>
      </c>
      <c r="R84" s="229" t="str">
        <f t="shared" si="24"/>
        <v/>
      </c>
      <c r="S84" s="233" t="str">
        <f>IFERROR(INDEX('G-1 All Habitats'!$B$3:$B$129,MATCH(R84,'G-1 All Habitats'!$A$3:$A$129,0)),"")</f>
        <v/>
      </c>
      <c r="T84" s="507" t="str">
        <f t="shared" si="16"/>
        <v/>
      </c>
      <c r="U84" s="524" t="str">
        <f t="shared" si="17"/>
        <v/>
      </c>
      <c r="V84" s="523" t="str">
        <f t="shared" si="14"/>
        <v/>
      </c>
      <c r="W84" s="520" t="str">
        <f>IF(S84="","",VLOOKUP(S84,'G-1 All Habitats'!$B$2:$M$129,10,FALSE))</f>
        <v/>
      </c>
      <c r="X84" s="520" t="str">
        <f>IFERROR(VLOOKUP(W84,'G-1 All Habitats'!$V$3:$W$7,2,FALSE),"")</f>
        <v/>
      </c>
      <c r="Y84" s="203"/>
      <c r="Z84" s="524" t="str">
        <f>IFERROR(INDEX('G-8 Condition Look up'!$A$3:$H$130,MATCH(S84,'G-8 Condition Look up'!$A$3:$A$130,0),MATCH(Y84,'G-8 Condition Look up'!$A$3:$H$3,0)),"")</f>
        <v/>
      </c>
      <c r="AA84" s="145"/>
      <c r="AB84" s="540" t="str">
        <f>IF(AA84="","",IF(VLOOKUP(AA84,'G-3 Multipliers'!$L$3:$N$6,2,FALSE)=0,"Spatial Data Missing ⚠",VLOOKUP(AA84,'G-3 Multipliers'!$L$3:$N$6,2,FALSE)))</f>
        <v/>
      </c>
      <c r="AC84" s="524" t="str">
        <f>IF(AA84="","",IF(VLOOKUP(AA84,'G-3 Multipliers'!$L$3:$N$6,3,FALSE)=0,"Spatial Data Missing ⚠",VLOOKUP(AA84,'G-3 Multipliers'!$L$3:$N$6,3,FALSE)))</f>
        <v/>
      </c>
      <c r="AD84" s="537" t="str">
        <f t="shared" si="15"/>
        <v/>
      </c>
      <c r="AE84" s="203"/>
      <c r="AF84" s="203"/>
      <c r="AG84" s="520" t="str">
        <f t="shared" si="18"/>
        <v/>
      </c>
      <c r="AH84" s="544" t="str">
        <f t="shared" si="19"/>
        <v/>
      </c>
      <c r="AI84" s="525" t="str">
        <f>IF(AH84="Check Data ⚠","Check Data ⚠",IFERROR(VLOOKUP(AH84,'G-4 Temporal multipliers'!$A$4:$C$36,3,FALSE),""))</f>
        <v/>
      </c>
      <c r="AJ84" s="537" t="str">
        <f>IF(S84="","",VLOOKUP(S84,'G-3 Multipliers'!$A$2:$E$129,4,FALSE))</f>
        <v/>
      </c>
      <c r="AK84" s="520" t="str">
        <f t="shared" si="20"/>
        <v/>
      </c>
      <c r="AL84" s="520" t="str">
        <f t="shared" si="21"/>
        <v/>
      </c>
      <c r="AM84" s="524" t="str">
        <f>IFERROR(IF(F84="","",IF(AH84="Check Data ⚠","Check Data ⚠",VLOOKUP(AL84, 'G-3 Multipliers'!$P$2:$Q$6,2,FALSE))),"")</f>
        <v/>
      </c>
      <c r="AN84" s="197"/>
      <c r="AO84" s="540" t="str">
        <f>IF(AN84="","",IF(VLOOKUP(AN84,'G-3 Multipliers'!$S$3:$T$9,2,FALSE)=0,"Spatial Data Missing ⚠",VLOOKUP(AN84,'G-3 Multipliers'!$S$3:$T$9,2,FALSE)))</f>
        <v/>
      </c>
      <c r="AP84" s="513" t="str">
        <f t="shared" si="22"/>
        <v/>
      </c>
      <c r="AQ84" s="231"/>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7" t="str">
        <f>'D-1 Off Site Habitat Baseline'!AL84</f>
        <v/>
      </c>
      <c r="F85" s="520" t="str">
        <f>IF(E85="","",IF(ISNA(VLOOKUP($E85,'D-1 Off Site Habitat Baseline'!$D$1:$O$258,4,FALSE)),"",(VLOOKUP($E85,'D-1 Off Site Habitat Baseline'!$D$1:$O$258,4,FALSE))))</f>
        <v/>
      </c>
      <c r="G85" s="520" t="str">
        <f>IF(E85="","",IF(ISNA(VLOOKUP($E85,'D-1 Off Site Habitat Baseline'!$D$1:$O$258,5,FALSE)),"",(VLOOKUP($E85,'D-1 Off Site Habitat Baseline'!$D$1:$O$258,5,FALSE))))</f>
        <v/>
      </c>
      <c r="H85" s="520" t="str">
        <f>IF(E85="","",IF(ISNA(VLOOKUP($E85,'D-1 Off Site Habitat Baseline'!$D$1:$O$258,6,FALSE)),"",(VLOOKUP($E85,'D-1 Off Site Habitat Baseline'!$D$1:$O$258,6,FALSE))))</f>
        <v/>
      </c>
      <c r="I85" s="520" t="str">
        <f>IF(E85="","",IF(ISNA(VLOOKUP($E85,'D-1 Off Site Habitat Baseline'!$D$1:$O$258,7,FALSE)),"",(VLOOKUP($E85,'D-1 Off Site Habitat Baseline'!$D$1:$O$258,7,FALSE))))</f>
        <v/>
      </c>
      <c r="J85" s="520" t="str">
        <f>IF(E85="","",IF(ISNA(VLOOKUP($E85,'D-1 Off Site Habitat Baseline'!$D$1:$O$258,8,FALSE)),"",(VLOOKUP($E85,'D-1 Off Site Habitat Baseline'!$D$1:$O$258,8,FALSE))))</f>
        <v/>
      </c>
      <c r="K85" s="520" t="str">
        <f>IF(E85="","",IF(ISNA(VLOOKUP($E85,'D-1 Off Site Habitat Baseline'!$D$1:$O$258,9,FALSE)),"",(VLOOKUP($E85,'D-1 Off Site Habitat Baseline'!$D$1:$O$258,9,FALSE))))</f>
        <v/>
      </c>
      <c r="L85" s="520" t="str">
        <f>IF(E85="","",IF(ISNA(VLOOKUP($E85,'D-1 Off Site Habitat Baseline'!$D$1:$O$258,11,FALSE)),"",(VLOOKUP($E85,'D-1 Off Site Habitat Baseline'!$D$1:$O$258,11,FALSE))))</f>
        <v/>
      </c>
      <c r="M85" s="520" t="str">
        <f>IF(E85="","",IF(ISNA(VLOOKUP($E85,'D-1 Off Site Habitat Baseline'!$D$1:$O$258,12,FALSE)),"",(VLOOKUP($E85,'D-1 Off Site Habitat Baseline'!$D$1:$O$258,12,FALSE))))</f>
        <v/>
      </c>
      <c r="N85" s="520" t="str">
        <f>IF(E85="","",IF(ISNA(VLOOKUP($E85,'D-1 Off Site Habitat Baseline'!$D$1:$X$258,14,FALSE)),"",(VLOOKUP($E85,'D-1 Off Site Habitat Baseline'!$D$1:$X$258,14,FALSE))))</f>
        <v/>
      </c>
      <c r="O85" s="524" t="str">
        <f>IF(E85="","",IF(ISNA(VLOOKUP($E85,'D-1 Off Site Habitat Baseline'!$D$1:$X$258,13,FALSE)),"",(VLOOKUP($E85,'D-1 Off Site Habitat Baseline'!$D$1:$X$258,13,FALSE))))</f>
        <v/>
      </c>
      <c r="P85" s="232" t="str">
        <f>IFERROR(INDEX('G-1 All Habitats'!$AG$3:$AG$15,MATCH(Q85,'G-1 All Habitats'!$AF$3:$AF$15,0)),"")</f>
        <v/>
      </c>
      <c r="Q85" s="228" t="str">
        <f t="shared" si="23"/>
        <v/>
      </c>
      <c r="R85" s="229" t="str">
        <f t="shared" si="24"/>
        <v/>
      </c>
      <c r="S85" s="233" t="str">
        <f>IFERROR(INDEX('G-1 All Habitats'!$B$3:$B$129,MATCH(R85,'G-1 All Habitats'!$A$3:$A$129,0)),"")</f>
        <v/>
      </c>
      <c r="T85" s="507" t="str">
        <f t="shared" si="16"/>
        <v/>
      </c>
      <c r="U85" s="524" t="str">
        <f t="shared" si="17"/>
        <v/>
      </c>
      <c r="V85" s="523" t="str">
        <f t="shared" si="14"/>
        <v/>
      </c>
      <c r="W85" s="520" t="str">
        <f>IF(S85="","",VLOOKUP(S85,'G-1 All Habitats'!$B$2:$M$129,10,FALSE))</f>
        <v/>
      </c>
      <c r="X85" s="520" t="str">
        <f>IFERROR(VLOOKUP(W85,'G-1 All Habitats'!$V$3:$W$7,2,FALSE),"")</f>
        <v/>
      </c>
      <c r="Y85" s="203"/>
      <c r="Z85" s="524" t="str">
        <f>IFERROR(INDEX('G-8 Condition Look up'!$A$3:$H$130,MATCH(S85,'G-8 Condition Look up'!$A$3:$A$130,0),MATCH(Y85,'G-8 Condition Look up'!$A$3:$H$3,0)),"")</f>
        <v/>
      </c>
      <c r="AA85" s="145"/>
      <c r="AB85" s="540" t="str">
        <f>IF(AA85="","",IF(VLOOKUP(AA85,'G-3 Multipliers'!$L$3:$N$6,2,FALSE)=0,"Spatial Data Missing ⚠",VLOOKUP(AA85,'G-3 Multipliers'!$L$3:$N$6,2,FALSE)))</f>
        <v/>
      </c>
      <c r="AC85" s="524" t="str">
        <f>IF(AA85="","",IF(VLOOKUP(AA85,'G-3 Multipliers'!$L$3:$N$6,3,FALSE)=0,"Spatial Data Missing ⚠",VLOOKUP(AA85,'G-3 Multipliers'!$L$3:$N$6,3,FALSE)))</f>
        <v/>
      </c>
      <c r="AD85" s="537" t="str">
        <f t="shared" si="15"/>
        <v/>
      </c>
      <c r="AE85" s="203"/>
      <c r="AF85" s="203"/>
      <c r="AG85" s="520" t="str">
        <f t="shared" si="18"/>
        <v/>
      </c>
      <c r="AH85" s="544" t="str">
        <f t="shared" si="19"/>
        <v/>
      </c>
      <c r="AI85" s="525" t="str">
        <f>IF(AH85="Check Data ⚠","Check Data ⚠",IFERROR(VLOOKUP(AH85,'G-4 Temporal multipliers'!$A$4:$C$36,3,FALSE),""))</f>
        <v/>
      </c>
      <c r="AJ85" s="537" t="str">
        <f>IF(S85="","",VLOOKUP(S85,'G-3 Multipliers'!$A$2:$E$129,4,FALSE))</f>
        <v/>
      </c>
      <c r="AK85" s="520" t="str">
        <f t="shared" si="20"/>
        <v/>
      </c>
      <c r="AL85" s="520" t="str">
        <f t="shared" si="21"/>
        <v/>
      </c>
      <c r="AM85" s="524" t="str">
        <f>IFERROR(IF(F85="","",IF(AH85="Check Data ⚠","Check Data ⚠",VLOOKUP(AL85, 'G-3 Multipliers'!$P$2:$Q$6,2,FALSE))),"")</f>
        <v/>
      </c>
      <c r="AN85" s="197"/>
      <c r="AO85" s="540" t="str">
        <f>IF(AN85="","",IF(VLOOKUP(AN85,'G-3 Multipliers'!$S$3:$T$9,2,FALSE)=0,"Spatial Data Missing ⚠",VLOOKUP(AN85,'G-3 Multipliers'!$S$3:$T$9,2,FALSE)))</f>
        <v/>
      </c>
      <c r="AP85" s="513" t="str">
        <f t="shared" si="22"/>
        <v/>
      </c>
      <c r="AQ85" s="231"/>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7" t="str">
        <f>'D-1 Off Site Habitat Baseline'!AL85</f>
        <v/>
      </c>
      <c r="F86" s="520" t="str">
        <f>IF(E86="","",IF(ISNA(VLOOKUP($E86,'D-1 Off Site Habitat Baseline'!$D$1:$O$258,4,FALSE)),"",(VLOOKUP($E86,'D-1 Off Site Habitat Baseline'!$D$1:$O$258,4,FALSE))))</f>
        <v/>
      </c>
      <c r="G86" s="520" t="str">
        <f>IF(E86="","",IF(ISNA(VLOOKUP($E86,'D-1 Off Site Habitat Baseline'!$D$1:$O$258,5,FALSE)),"",(VLOOKUP($E86,'D-1 Off Site Habitat Baseline'!$D$1:$O$258,5,FALSE))))</f>
        <v/>
      </c>
      <c r="H86" s="520" t="str">
        <f>IF(E86="","",IF(ISNA(VLOOKUP($E86,'D-1 Off Site Habitat Baseline'!$D$1:$O$258,6,FALSE)),"",(VLOOKUP($E86,'D-1 Off Site Habitat Baseline'!$D$1:$O$258,6,FALSE))))</f>
        <v/>
      </c>
      <c r="I86" s="520" t="str">
        <f>IF(E86="","",IF(ISNA(VLOOKUP($E86,'D-1 Off Site Habitat Baseline'!$D$1:$O$258,7,FALSE)),"",(VLOOKUP($E86,'D-1 Off Site Habitat Baseline'!$D$1:$O$258,7,FALSE))))</f>
        <v/>
      </c>
      <c r="J86" s="520" t="str">
        <f>IF(E86="","",IF(ISNA(VLOOKUP($E86,'D-1 Off Site Habitat Baseline'!$D$1:$O$258,8,FALSE)),"",(VLOOKUP($E86,'D-1 Off Site Habitat Baseline'!$D$1:$O$258,8,FALSE))))</f>
        <v/>
      </c>
      <c r="K86" s="520" t="str">
        <f>IF(E86="","",IF(ISNA(VLOOKUP($E86,'D-1 Off Site Habitat Baseline'!$D$1:$O$258,9,FALSE)),"",(VLOOKUP($E86,'D-1 Off Site Habitat Baseline'!$D$1:$O$258,9,FALSE))))</f>
        <v/>
      </c>
      <c r="L86" s="520" t="str">
        <f>IF(E86="","",IF(ISNA(VLOOKUP($E86,'D-1 Off Site Habitat Baseline'!$D$1:$O$258,11,FALSE)),"",(VLOOKUP($E86,'D-1 Off Site Habitat Baseline'!$D$1:$O$258,11,FALSE))))</f>
        <v/>
      </c>
      <c r="M86" s="520" t="str">
        <f>IF(E86="","",IF(ISNA(VLOOKUP($E86,'D-1 Off Site Habitat Baseline'!$D$1:$O$258,12,FALSE)),"",(VLOOKUP($E86,'D-1 Off Site Habitat Baseline'!$D$1:$O$258,12,FALSE))))</f>
        <v/>
      </c>
      <c r="N86" s="520" t="str">
        <f>IF(E86="","",IF(ISNA(VLOOKUP($E86,'D-1 Off Site Habitat Baseline'!$D$1:$X$258,14,FALSE)),"",(VLOOKUP($E86,'D-1 Off Site Habitat Baseline'!$D$1:$X$258,14,FALSE))))</f>
        <v/>
      </c>
      <c r="O86" s="524" t="str">
        <f>IF(E86="","",IF(ISNA(VLOOKUP($E86,'D-1 Off Site Habitat Baseline'!$D$1:$X$258,13,FALSE)),"",(VLOOKUP($E86,'D-1 Off Site Habitat Baseline'!$D$1:$X$258,13,FALSE))))</f>
        <v/>
      </c>
      <c r="P86" s="232" t="str">
        <f>IFERROR(INDEX('G-1 All Habitats'!$AG$3:$AG$15,MATCH(Q86,'G-1 All Habitats'!$AF$3:$AF$15,0)),"")</f>
        <v/>
      </c>
      <c r="Q86" s="228" t="str">
        <f t="shared" si="23"/>
        <v/>
      </c>
      <c r="R86" s="229" t="str">
        <f t="shared" si="24"/>
        <v/>
      </c>
      <c r="S86" s="233" t="str">
        <f>IFERROR(INDEX('G-1 All Habitats'!$B$3:$B$129,MATCH(R86,'G-1 All Habitats'!$A$3:$A$129,0)),"")</f>
        <v/>
      </c>
      <c r="T86" s="507" t="str">
        <f t="shared" si="16"/>
        <v/>
      </c>
      <c r="U86" s="524" t="str">
        <f t="shared" si="17"/>
        <v/>
      </c>
      <c r="V86" s="523" t="str">
        <f t="shared" si="14"/>
        <v/>
      </c>
      <c r="W86" s="520" t="str">
        <f>IF(S86="","",VLOOKUP(S86,'G-1 All Habitats'!$B$2:$M$129,10,FALSE))</f>
        <v/>
      </c>
      <c r="X86" s="520" t="str">
        <f>IFERROR(VLOOKUP(W86,'G-1 All Habitats'!$V$3:$W$7,2,FALSE),"")</f>
        <v/>
      </c>
      <c r="Y86" s="203"/>
      <c r="Z86" s="524" t="str">
        <f>IFERROR(INDEX('G-8 Condition Look up'!$A$3:$H$130,MATCH(S86,'G-8 Condition Look up'!$A$3:$A$130,0),MATCH(Y86,'G-8 Condition Look up'!$A$3:$H$3,0)),"")</f>
        <v/>
      </c>
      <c r="AA86" s="145"/>
      <c r="AB86" s="540" t="str">
        <f>IF(AA86="","",IF(VLOOKUP(AA86,'G-3 Multipliers'!$L$3:$N$6,2,FALSE)=0,"Spatial Data Missing ⚠",VLOOKUP(AA86,'G-3 Multipliers'!$L$3:$N$6,2,FALSE)))</f>
        <v/>
      </c>
      <c r="AC86" s="524" t="str">
        <f>IF(AA86="","",IF(VLOOKUP(AA86,'G-3 Multipliers'!$L$3:$N$6,3,FALSE)=0,"Spatial Data Missing ⚠",VLOOKUP(AA86,'G-3 Multipliers'!$L$3:$N$6,3,FALSE)))</f>
        <v/>
      </c>
      <c r="AD86" s="537" t="str">
        <f t="shared" si="15"/>
        <v/>
      </c>
      <c r="AE86" s="203"/>
      <c r="AF86" s="203"/>
      <c r="AG86" s="520" t="str">
        <f t="shared" si="18"/>
        <v/>
      </c>
      <c r="AH86" s="544" t="str">
        <f t="shared" si="19"/>
        <v/>
      </c>
      <c r="AI86" s="525" t="str">
        <f>IF(AH86="Check Data ⚠","Check Data ⚠",IFERROR(VLOOKUP(AH86,'G-4 Temporal multipliers'!$A$4:$C$36,3,FALSE),""))</f>
        <v/>
      </c>
      <c r="AJ86" s="537" t="str">
        <f>IF(S86="","",VLOOKUP(S86,'G-3 Multipliers'!$A$2:$E$129,4,FALSE))</f>
        <v/>
      </c>
      <c r="AK86" s="520" t="str">
        <f t="shared" si="20"/>
        <v/>
      </c>
      <c r="AL86" s="520" t="str">
        <f t="shared" si="21"/>
        <v/>
      </c>
      <c r="AM86" s="524" t="str">
        <f>IFERROR(IF(F86="","",IF(AH86="Check Data ⚠","Check Data ⚠",VLOOKUP(AL86, 'G-3 Multipliers'!$P$2:$Q$6,2,FALSE))),"")</f>
        <v/>
      </c>
      <c r="AN86" s="197"/>
      <c r="AO86" s="540" t="str">
        <f>IF(AN86="","",IF(VLOOKUP(AN86,'G-3 Multipliers'!$S$3:$T$9,2,FALSE)=0,"Spatial Data Missing ⚠",VLOOKUP(AN86,'G-3 Multipliers'!$S$3:$T$9,2,FALSE)))</f>
        <v/>
      </c>
      <c r="AP86" s="513" t="str">
        <f t="shared" si="22"/>
        <v/>
      </c>
      <c r="AQ86" s="231"/>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7" t="str">
        <f>'D-1 Off Site Habitat Baseline'!AL86</f>
        <v/>
      </c>
      <c r="F87" s="520" t="str">
        <f>IF(E87="","",IF(ISNA(VLOOKUP($E87,'D-1 Off Site Habitat Baseline'!$D$1:$O$258,4,FALSE)),"",(VLOOKUP($E87,'D-1 Off Site Habitat Baseline'!$D$1:$O$258,4,FALSE))))</f>
        <v/>
      </c>
      <c r="G87" s="520" t="str">
        <f>IF(E87="","",IF(ISNA(VLOOKUP($E87,'D-1 Off Site Habitat Baseline'!$D$1:$O$258,5,FALSE)),"",(VLOOKUP($E87,'D-1 Off Site Habitat Baseline'!$D$1:$O$258,5,FALSE))))</f>
        <v/>
      </c>
      <c r="H87" s="520" t="str">
        <f>IF(E87="","",IF(ISNA(VLOOKUP($E87,'D-1 Off Site Habitat Baseline'!$D$1:$O$258,6,FALSE)),"",(VLOOKUP($E87,'D-1 Off Site Habitat Baseline'!$D$1:$O$258,6,FALSE))))</f>
        <v/>
      </c>
      <c r="I87" s="520" t="str">
        <f>IF(E87="","",IF(ISNA(VLOOKUP($E87,'D-1 Off Site Habitat Baseline'!$D$1:$O$258,7,FALSE)),"",(VLOOKUP($E87,'D-1 Off Site Habitat Baseline'!$D$1:$O$258,7,FALSE))))</f>
        <v/>
      </c>
      <c r="J87" s="520" t="str">
        <f>IF(E87="","",IF(ISNA(VLOOKUP($E87,'D-1 Off Site Habitat Baseline'!$D$1:$O$258,8,FALSE)),"",(VLOOKUP($E87,'D-1 Off Site Habitat Baseline'!$D$1:$O$258,8,FALSE))))</f>
        <v/>
      </c>
      <c r="K87" s="520" t="str">
        <f>IF(E87="","",IF(ISNA(VLOOKUP($E87,'D-1 Off Site Habitat Baseline'!$D$1:$O$258,9,FALSE)),"",(VLOOKUP($E87,'D-1 Off Site Habitat Baseline'!$D$1:$O$258,9,FALSE))))</f>
        <v/>
      </c>
      <c r="L87" s="520" t="str">
        <f>IF(E87="","",IF(ISNA(VLOOKUP($E87,'D-1 Off Site Habitat Baseline'!$D$1:$O$258,11,FALSE)),"",(VLOOKUP($E87,'D-1 Off Site Habitat Baseline'!$D$1:$O$258,11,FALSE))))</f>
        <v/>
      </c>
      <c r="M87" s="520" t="str">
        <f>IF(E87="","",IF(ISNA(VLOOKUP($E87,'D-1 Off Site Habitat Baseline'!$D$1:$O$258,12,FALSE)),"",(VLOOKUP($E87,'D-1 Off Site Habitat Baseline'!$D$1:$O$258,12,FALSE))))</f>
        <v/>
      </c>
      <c r="N87" s="520" t="str">
        <f>IF(E87="","",IF(ISNA(VLOOKUP($E87,'D-1 Off Site Habitat Baseline'!$D$1:$X$258,14,FALSE)),"",(VLOOKUP($E87,'D-1 Off Site Habitat Baseline'!$D$1:$X$258,14,FALSE))))</f>
        <v/>
      </c>
      <c r="O87" s="524" t="str">
        <f>IF(E87="","",IF(ISNA(VLOOKUP($E87,'D-1 Off Site Habitat Baseline'!$D$1:$X$258,13,FALSE)),"",(VLOOKUP($E87,'D-1 Off Site Habitat Baseline'!$D$1:$X$258,13,FALSE))))</f>
        <v/>
      </c>
      <c r="P87" s="232" t="str">
        <f>IFERROR(INDEX('G-1 All Habitats'!$AG$3:$AG$15,MATCH(Q87,'G-1 All Habitats'!$AF$3:$AF$15,0)),"")</f>
        <v/>
      </c>
      <c r="Q87" s="228" t="str">
        <f t="shared" si="23"/>
        <v/>
      </c>
      <c r="R87" s="229" t="str">
        <f t="shared" si="24"/>
        <v/>
      </c>
      <c r="S87" s="233" t="str">
        <f>IFERROR(INDEX('G-1 All Habitats'!$B$3:$B$129,MATCH(R87,'G-1 All Habitats'!$A$3:$A$129,0)),"")</f>
        <v/>
      </c>
      <c r="T87" s="507" t="str">
        <f t="shared" si="16"/>
        <v/>
      </c>
      <c r="U87" s="524" t="str">
        <f t="shared" si="17"/>
        <v/>
      </c>
      <c r="V87" s="523" t="str">
        <f t="shared" si="14"/>
        <v/>
      </c>
      <c r="W87" s="520" t="str">
        <f>IF(S87="","",VLOOKUP(S87,'G-1 All Habitats'!$B$2:$M$129,10,FALSE))</f>
        <v/>
      </c>
      <c r="X87" s="520" t="str">
        <f>IFERROR(VLOOKUP(W87,'G-1 All Habitats'!$V$3:$W$7,2,FALSE),"")</f>
        <v/>
      </c>
      <c r="Y87" s="203"/>
      <c r="Z87" s="524" t="str">
        <f>IFERROR(INDEX('G-8 Condition Look up'!$A$3:$H$130,MATCH(S87,'G-8 Condition Look up'!$A$3:$A$130,0),MATCH(Y87,'G-8 Condition Look up'!$A$3:$H$3,0)),"")</f>
        <v/>
      </c>
      <c r="AA87" s="145"/>
      <c r="AB87" s="540" t="str">
        <f>IF(AA87="","",IF(VLOOKUP(AA87,'G-3 Multipliers'!$L$3:$N$6,2,FALSE)=0,"Spatial Data Missing ⚠",VLOOKUP(AA87,'G-3 Multipliers'!$L$3:$N$6,2,FALSE)))</f>
        <v/>
      </c>
      <c r="AC87" s="524" t="str">
        <f>IF(AA87="","",IF(VLOOKUP(AA87,'G-3 Multipliers'!$L$3:$N$6,3,FALSE)=0,"Spatial Data Missing ⚠",VLOOKUP(AA87,'G-3 Multipliers'!$L$3:$N$6,3,FALSE)))</f>
        <v/>
      </c>
      <c r="AD87" s="537" t="str">
        <f t="shared" si="15"/>
        <v/>
      </c>
      <c r="AE87" s="203"/>
      <c r="AF87" s="203"/>
      <c r="AG87" s="520" t="str">
        <f t="shared" si="18"/>
        <v/>
      </c>
      <c r="AH87" s="544" t="str">
        <f t="shared" si="19"/>
        <v/>
      </c>
      <c r="AI87" s="525" t="str">
        <f>IF(AH87="Check Data ⚠","Check Data ⚠",IFERROR(VLOOKUP(AH87,'G-4 Temporal multipliers'!$A$4:$C$36,3,FALSE),""))</f>
        <v/>
      </c>
      <c r="AJ87" s="537" t="str">
        <f>IF(S87="","",VLOOKUP(S87,'G-3 Multipliers'!$A$2:$E$129,4,FALSE))</f>
        <v/>
      </c>
      <c r="AK87" s="520" t="str">
        <f t="shared" si="20"/>
        <v/>
      </c>
      <c r="AL87" s="520" t="str">
        <f t="shared" si="21"/>
        <v/>
      </c>
      <c r="AM87" s="524" t="str">
        <f>IFERROR(IF(F87="","",IF(AH87="Check Data ⚠","Check Data ⚠",VLOOKUP(AL87, 'G-3 Multipliers'!$P$2:$Q$6,2,FALSE))),"")</f>
        <v/>
      </c>
      <c r="AN87" s="197"/>
      <c r="AO87" s="540" t="str">
        <f>IF(AN87="","",IF(VLOOKUP(AN87,'G-3 Multipliers'!$S$3:$T$9,2,FALSE)=0,"Spatial Data Missing ⚠",VLOOKUP(AN87,'G-3 Multipliers'!$S$3:$T$9,2,FALSE)))</f>
        <v/>
      </c>
      <c r="AP87" s="513" t="str">
        <f t="shared" si="22"/>
        <v/>
      </c>
      <c r="AQ87" s="231"/>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7" t="str">
        <f>'D-1 Off Site Habitat Baseline'!AL87</f>
        <v/>
      </c>
      <c r="F88" s="520" t="str">
        <f>IF(E88="","",IF(ISNA(VLOOKUP($E88,'D-1 Off Site Habitat Baseline'!$D$1:$O$258,4,FALSE)),"",(VLOOKUP($E88,'D-1 Off Site Habitat Baseline'!$D$1:$O$258,4,FALSE))))</f>
        <v/>
      </c>
      <c r="G88" s="520" t="str">
        <f>IF(E88="","",IF(ISNA(VLOOKUP($E88,'D-1 Off Site Habitat Baseline'!$D$1:$O$258,5,FALSE)),"",(VLOOKUP($E88,'D-1 Off Site Habitat Baseline'!$D$1:$O$258,5,FALSE))))</f>
        <v/>
      </c>
      <c r="H88" s="520" t="str">
        <f>IF(E88="","",IF(ISNA(VLOOKUP($E88,'D-1 Off Site Habitat Baseline'!$D$1:$O$258,6,FALSE)),"",(VLOOKUP($E88,'D-1 Off Site Habitat Baseline'!$D$1:$O$258,6,FALSE))))</f>
        <v/>
      </c>
      <c r="I88" s="520" t="str">
        <f>IF(E88="","",IF(ISNA(VLOOKUP($E88,'D-1 Off Site Habitat Baseline'!$D$1:$O$258,7,FALSE)),"",(VLOOKUP($E88,'D-1 Off Site Habitat Baseline'!$D$1:$O$258,7,FALSE))))</f>
        <v/>
      </c>
      <c r="J88" s="520" t="str">
        <f>IF(E88="","",IF(ISNA(VLOOKUP($E88,'D-1 Off Site Habitat Baseline'!$D$1:$O$258,8,FALSE)),"",(VLOOKUP($E88,'D-1 Off Site Habitat Baseline'!$D$1:$O$258,8,FALSE))))</f>
        <v/>
      </c>
      <c r="K88" s="520" t="str">
        <f>IF(E88="","",IF(ISNA(VLOOKUP($E88,'D-1 Off Site Habitat Baseline'!$D$1:$O$258,9,FALSE)),"",(VLOOKUP($E88,'D-1 Off Site Habitat Baseline'!$D$1:$O$258,9,FALSE))))</f>
        <v/>
      </c>
      <c r="L88" s="520" t="str">
        <f>IF(E88="","",IF(ISNA(VLOOKUP($E88,'D-1 Off Site Habitat Baseline'!$D$1:$O$258,11,FALSE)),"",(VLOOKUP($E88,'D-1 Off Site Habitat Baseline'!$D$1:$O$258,11,FALSE))))</f>
        <v/>
      </c>
      <c r="M88" s="520" t="str">
        <f>IF(E88="","",IF(ISNA(VLOOKUP($E88,'D-1 Off Site Habitat Baseline'!$D$1:$O$258,12,FALSE)),"",(VLOOKUP($E88,'D-1 Off Site Habitat Baseline'!$D$1:$O$258,12,FALSE))))</f>
        <v/>
      </c>
      <c r="N88" s="520" t="str">
        <f>IF(E88="","",IF(ISNA(VLOOKUP($E88,'D-1 Off Site Habitat Baseline'!$D$1:$X$258,14,FALSE)),"",(VLOOKUP($E88,'D-1 Off Site Habitat Baseline'!$D$1:$X$258,14,FALSE))))</f>
        <v/>
      </c>
      <c r="O88" s="524" t="str">
        <f>IF(E88="","",IF(ISNA(VLOOKUP($E88,'D-1 Off Site Habitat Baseline'!$D$1:$X$258,13,FALSE)),"",(VLOOKUP($E88,'D-1 Off Site Habitat Baseline'!$D$1:$X$258,13,FALSE))))</f>
        <v/>
      </c>
      <c r="P88" s="232" t="str">
        <f>IFERROR(INDEX('G-1 All Habitats'!$AG$3:$AG$15,MATCH(Q88,'G-1 All Habitats'!$AF$3:$AF$15,0)),"")</f>
        <v/>
      </c>
      <c r="Q88" s="228" t="str">
        <f t="shared" si="23"/>
        <v/>
      </c>
      <c r="R88" s="229" t="str">
        <f t="shared" si="24"/>
        <v/>
      </c>
      <c r="S88" s="233" t="str">
        <f>IFERROR(INDEX('G-1 All Habitats'!$B$3:$B$129,MATCH(R88,'G-1 All Habitats'!$A$3:$A$129,0)),"")</f>
        <v/>
      </c>
      <c r="T88" s="507" t="str">
        <f t="shared" si="16"/>
        <v/>
      </c>
      <c r="U88" s="524" t="str">
        <f t="shared" si="17"/>
        <v/>
      </c>
      <c r="V88" s="523" t="str">
        <f t="shared" si="14"/>
        <v/>
      </c>
      <c r="W88" s="520" t="str">
        <f>IF(S88="","",VLOOKUP(S88,'G-1 All Habitats'!$B$2:$M$129,10,FALSE))</f>
        <v/>
      </c>
      <c r="X88" s="520" t="str">
        <f>IFERROR(VLOOKUP(W88,'G-1 All Habitats'!$V$3:$W$7,2,FALSE),"")</f>
        <v/>
      </c>
      <c r="Y88" s="203"/>
      <c r="Z88" s="524" t="str">
        <f>IFERROR(INDEX('G-8 Condition Look up'!$A$3:$H$130,MATCH(S88,'G-8 Condition Look up'!$A$3:$A$130,0),MATCH(Y88,'G-8 Condition Look up'!$A$3:$H$3,0)),"")</f>
        <v/>
      </c>
      <c r="AA88" s="145"/>
      <c r="AB88" s="540" t="str">
        <f>IF(AA88="","",IF(VLOOKUP(AA88,'G-3 Multipliers'!$L$3:$N$6,2,FALSE)=0,"Spatial Data Missing ⚠",VLOOKUP(AA88,'G-3 Multipliers'!$L$3:$N$6,2,FALSE)))</f>
        <v/>
      </c>
      <c r="AC88" s="524" t="str">
        <f>IF(AA88="","",IF(VLOOKUP(AA88,'G-3 Multipliers'!$L$3:$N$6,3,FALSE)=0,"Spatial Data Missing ⚠",VLOOKUP(AA88,'G-3 Multipliers'!$L$3:$N$6,3,FALSE)))</f>
        <v/>
      </c>
      <c r="AD88" s="537" t="str">
        <f t="shared" si="15"/>
        <v/>
      </c>
      <c r="AE88" s="203"/>
      <c r="AF88" s="203"/>
      <c r="AG88" s="520" t="str">
        <f t="shared" si="18"/>
        <v/>
      </c>
      <c r="AH88" s="544" t="str">
        <f t="shared" si="19"/>
        <v/>
      </c>
      <c r="AI88" s="525" t="str">
        <f>IF(AH88="Check Data ⚠","Check Data ⚠",IFERROR(VLOOKUP(AH88,'G-4 Temporal multipliers'!$A$4:$C$36,3,FALSE),""))</f>
        <v/>
      </c>
      <c r="AJ88" s="537" t="str">
        <f>IF(S88="","",VLOOKUP(S88,'G-3 Multipliers'!$A$2:$E$129,4,FALSE))</f>
        <v/>
      </c>
      <c r="AK88" s="520" t="str">
        <f t="shared" si="20"/>
        <v/>
      </c>
      <c r="AL88" s="520" t="str">
        <f t="shared" si="21"/>
        <v/>
      </c>
      <c r="AM88" s="524" t="str">
        <f>IFERROR(IF(F88="","",IF(AH88="Check Data ⚠","Check Data ⚠",VLOOKUP(AL88, 'G-3 Multipliers'!$P$2:$Q$6,2,FALSE))),"")</f>
        <v/>
      </c>
      <c r="AN88" s="197"/>
      <c r="AO88" s="540" t="str">
        <f>IF(AN88="","",IF(VLOOKUP(AN88,'G-3 Multipliers'!$S$3:$T$9,2,FALSE)=0,"Spatial Data Missing ⚠",VLOOKUP(AN88,'G-3 Multipliers'!$S$3:$T$9,2,FALSE)))</f>
        <v/>
      </c>
      <c r="AP88" s="513" t="str">
        <f t="shared" si="22"/>
        <v/>
      </c>
      <c r="AQ88" s="231"/>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7" t="str">
        <f>'D-1 Off Site Habitat Baseline'!AL88</f>
        <v/>
      </c>
      <c r="F89" s="520" t="str">
        <f>IF(E89="","",IF(ISNA(VLOOKUP($E89,'D-1 Off Site Habitat Baseline'!$D$1:$O$258,4,FALSE)),"",(VLOOKUP($E89,'D-1 Off Site Habitat Baseline'!$D$1:$O$258,4,FALSE))))</f>
        <v/>
      </c>
      <c r="G89" s="520" t="str">
        <f>IF(E89="","",IF(ISNA(VLOOKUP($E89,'D-1 Off Site Habitat Baseline'!$D$1:$O$258,5,FALSE)),"",(VLOOKUP($E89,'D-1 Off Site Habitat Baseline'!$D$1:$O$258,5,FALSE))))</f>
        <v/>
      </c>
      <c r="H89" s="520" t="str">
        <f>IF(E89="","",IF(ISNA(VLOOKUP($E89,'D-1 Off Site Habitat Baseline'!$D$1:$O$258,6,FALSE)),"",(VLOOKUP($E89,'D-1 Off Site Habitat Baseline'!$D$1:$O$258,6,FALSE))))</f>
        <v/>
      </c>
      <c r="I89" s="520" t="str">
        <f>IF(E89="","",IF(ISNA(VLOOKUP($E89,'D-1 Off Site Habitat Baseline'!$D$1:$O$258,7,FALSE)),"",(VLOOKUP($E89,'D-1 Off Site Habitat Baseline'!$D$1:$O$258,7,FALSE))))</f>
        <v/>
      </c>
      <c r="J89" s="520" t="str">
        <f>IF(E89="","",IF(ISNA(VLOOKUP($E89,'D-1 Off Site Habitat Baseline'!$D$1:$O$258,8,FALSE)),"",(VLOOKUP($E89,'D-1 Off Site Habitat Baseline'!$D$1:$O$258,8,FALSE))))</f>
        <v/>
      </c>
      <c r="K89" s="520" t="str">
        <f>IF(E89="","",IF(ISNA(VLOOKUP($E89,'D-1 Off Site Habitat Baseline'!$D$1:$O$258,9,FALSE)),"",(VLOOKUP($E89,'D-1 Off Site Habitat Baseline'!$D$1:$O$258,9,FALSE))))</f>
        <v/>
      </c>
      <c r="L89" s="520" t="str">
        <f>IF(E89="","",IF(ISNA(VLOOKUP($E89,'D-1 Off Site Habitat Baseline'!$D$1:$O$258,11,FALSE)),"",(VLOOKUP($E89,'D-1 Off Site Habitat Baseline'!$D$1:$O$258,11,FALSE))))</f>
        <v/>
      </c>
      <c r="M89" s="520" t="str">
        <f>IF(E89="","",IF(ISNA(VLOOKUP($E89,'D-1 Off Site Habitat Baseline'!$D$1:$O$258,12,FALSE)),"",(VLOOKUP($E89,'D-1 Off Site Habitat Baseline'!$D$1:$O$258,12,FALSE))))</f>
        <v/>
      </c>
      <c r="N89" s="520" t="str">
        <f>IF(E89="","",IF(ISNA(VLOOKUP($E89,'D-1 Off Site Habitat Baseline'!$D$1:$X$258,14,FALSE)),"",(VLOOKUP($E89,'D-1 Off Site Habitat Baseline'!$D$1:$X$258,14,FALSE))))</f>
        <v/>
      </c>
      <c r="O89" s="524" t="str">
        <f>IF(E89="","",IF(ISNA(VLOOKUP($E89,'D-1 Off Site Habitat Baseline'!$D$1:$X$258,13,FALSE)),"",(VLOOKUP($E89,'D-1 Off Site Habitat Baseline'!$D$1:$X$258,13,FALSE))))</f>
        <v/>
      </c>
      <c r="P89" s="232" t="str">
        <f>IFERROR(INDEX('G-1 All Habitats'!$AG$3:$AG$15,MATCH(Q89,'G-1 All Habitats'!$AF$3:$AF$15,0)),"")</f>
        <v/>
      </c>
      <c r="Q89" s="228" t="str">
        <f t="shared" si="23"/>
        <v/>
      </c>
      <c r="R89" s="229" t="str">
        <f t="shared" si="24"/>
        <v/>
      </c>
      <c r="S89" s="233" t="str">
        <f>IFERROR(INDEX('G-1 All Habitats'!$B$3:$B$129,MATCH(R89,'G-1 All Habitats'!$A$3:$A$129,0)),"")</f>
        <v/>
      </c>
      <c r="T89" s="507" t="str">
        <f t="shared" si="16"/>
        <v/>
      </c>
      <c r="U89" s="524" t="str">
        <f t="shared" si="17"/>
        <v/>
      </c>
      <c r="V89" s="523" t="str">
        <f t="shared" si="14"/>
        <v/>
      </c>
      <c r="W89" s="520" t="str">
        <f>IF(S89="","",VLOOKUP(S89,'G-1 All Habitats'!$B$2:$M$129,10,FALSE))</f>
        <v/>
      </c>
      <c r="X89" s="520" t="str">
        <f>IFERROR(VLOOKUP(W89,'G-1 All Habitats'!$V$3:$W$7,2,FALSE),"")</f>
        <v/>
      </c>
      <c r="Y89" s="203"/>
      <c r="Z89" s="524" t="str">
        <f>IFERROR(INDEX('G-8 Condition Look up'!$A$3:$H$130,MATCH(S89,'G-8 Condition Look up'!$A$3:$A$130,0),MATCH(Y89,'G-8 Condition Look up'!$A$3:$H$3,0)),"")</f>
        <v/>
      </c>
      <c r="AA89" s="145"/>
      <c r="AB89" s="540" t="str">
        <f>IF(AA89="","",IF(VLOOKUP(AA89,'G-3 Multipliers'!$L$3:$N$6,2,FALSE)=0,"Spatial Data Missing ⚠",VLOOKUP(AA89,'G-3 Multipliers'!$L$3:$N$6,2,FALSE)))</f>
        <v/>
      </c>
      <c r="AC89" s="524" t="str">
        <f>IF(AA89="","",IF(VLOOKUP(AA89,'G-3 Multipliers'!$L$3:$N$6,3,FALSE)=0,"Spatial Data Missing ⚠",VLOOKUP(AA89,'G-3 Multipliers'!$L$3:$N$6,3,FALSE)))</f>
        <v/>
      </c>
      <c r="AD89" s="537" t="str">
        <f t="shared" si="15"/>
        <v/>
      </c>
      <c r="AE89" s="203"/>
      <c r="AF89" s="203"/>
      <c r="AG89" s="520" t="str">
        <f t="shared" si="18"/>
        <v/>
      </c>
      <c r="AH89" s="544" t="str">
        <f t="shared" si="19"/>
        <v/>
      </c>
      <c r="AI89" s="525" t="str">
        <f>IF(AH89="Check Data ⚠","Check Data ⚠",IFERROR(VLOOKUP(AH89,'G-4 Temporal multipliers'!$A$4:$C$36,3,FALSE),""))</f>
        <v/>
      </c>
      <c r="AJ89" s="537" t="str">
        <f>IF(S89="","",VLOOKUP(S89,'G-3 Multipliers'!$A$2:$E$129,4,FALSE))</f>
        <v/>
      </c>
      <c r="AK89" s="520" t="str">
        <f t="shared" si="20"/>
        <v/>
      </c>
      <c r="AL89" s="520" t="str">
        <f t="shared" si="21"/>
        <v/>
      </c>
      <c r="AM89" s="524" t="str">
        <f>IFERROR(IF(F89="","",IF(AH89="Check Data ⚠","Check Data ⚠",VLOOKUP(AL89, 'G-3 Multipliers'!$P$2:$Q$6,2,FALSE))),"")</f>
        <v/>
      </c>
      <c r="AN89" s="197"/>
      <c r="AO89" s="540" t="str">
        <f>IF(AN89="","",IF(VLOOKUP(AN89,'G-3 Multipliers'!$S$3:$T$9,2,FALSE)=0,"Spatial Data Missing ⚠",VLOOKUP(AN89,'G-3 Multipliers'!$S$3:$T$9,2,FALSE)))</f>
        <v/>
      </c>
      <c r="AP89" s="513" t="str">
        <f t="shared" si="22"/>
        <v/>
      </c>
      <c r="AQ89" s="231"/>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7" t="str">
        <f>'D-1 Off Site Habitat Baseline'!AL89</f>
        <v/>
      </c>
      <c r="F90" s="520" t="str">
        <f>IF(E90="","",IF(ISNA(VLOOKUP($E90,'D-1 Off Site Habitat Baseline'!$D$1:$O$258,4,FALSE)),"",(VLOOKUP($E90,'D-1 Off Site Habitat Baseline'!$D$1:$O$258,4,FALSE))))</f>
        <v/>
      </c>
      <c r="G90" s="520" t="str">
        <f>IF(E90="","",IF(ISNA(VLOOKUP($E90,'D-1 Off Site Habitat Baseline'!$D$1:$O$258,5,FALSE)),"",(VLOOKUP($E90,'D-1 Off Site Habitat Baseline'!$D$1:$O$258,5,FALSE))))</f>
        <v/>
      </c>
      <c r="H90" s="520" t="str">
        <f>IF(E90="","",IF(ISNA(VLOOKUP($E90,'D-1 Off Site Habitat Baseline'!$D$1:$O$258,6,FALSE)),"",(VLOOKUP($E90,'D-1 Off Site Habitat Baseline'!$D$1:$O$258,6,FALSE))))</f>
        <v/>
      </c>
      <c r="I90" s="520" t="str">
        <f>IF(E90="","",IF(ISNA(VLOOKUP($E90,'D-1 Off Site Habitat Baseline'!$D$1:$O$258,7,FALSE)),"",(VLOOKUP($E90,'D-1 Off Site Habitat Baseline'!$D$1:$O$258,7,FALSE))))</f>
        <v/>
      </c>
      <c r="J90" s="520" t="str">
        <f>IF(E90="","",IF(ISNA(VLOOKUP($E90,'D-1 Off Site Habitat Baseline'!$D$1:$O$258,8,FALSE)),"",(VLOOKUP($E90,'D-1 Off Site Habitat Baseline'!$D$1:$O$258,8,FALSE))))</f>
        <v/>
      </c>
      <c r="K90" s="520" t="str">
        <f>IF(E90="","",IF(ISNA(VLOOKUP($E90,'D-1 Off Site Habitat Baseline'!$D$1:$O$258,9,FALSE)),"",(VLOOKUP($E90,'D-1 Off Site Habitat Baseline'!$D$1:$O$258,9,FALSE))))</f>
        <v/>
      </c>
      <c r="L90" s="520" t="str">
        <f>IF(E90="","",IF(ISNA(VLOOKUP($E90,'D-1 Off Site Habitat Baseline'!$D$1:$O$258,11,FALSE)),"",(VLOOKUP($E90,'D-1 Off Site Habitat Baseline'!$D$1:$O$258,11,FALSE))))</f>
        <v/>
      </c>
      <c r="M90" s="520" t="str">
        <f>IF(E90="","",IF(ISNA(VLOOKUP($E90,'D-1 Off Site Habitat Baseline'!$D$1:$O$258,12,FALSE)),"",(VLOOKUP($E90,'D-1 Off Site Habitat Baseline'!$D$1:$O$258,12,FALSE))))</f>
        <v/>
      </c>
      <c r="N90" s="520" t="str">
        <f>IF(E90="","",IF(ISNA(VLOOKUP($E90,'D-1 Off Site Habitat Baseline'!$D$1:$X$258,14,FALSE)),"",(VLOOKUP($E90,'D-1 Off Site Habitat Baseline'!$D$1:$X$258,14,FALSE))))</f>
        <v/>
      </c>
      <c r="O90" s="524" t="str">
        <f>IF(E90="","",IF(ISNA(VLOOKUP($E90,'D-1 Off Site Habitat Baseline'!$D$1:$X$258,13,FALSE)),"",(VLOOKUP($E90,'D-1 Off Site Habitat Baseline'!$D$1:$X$258,13,FALSE))))</f>
        <v/>
      </c>
      <c r="P90" s="232" t="str">
        <f>IFERROR(INDEX('G-1 All Habitats'!$AG$3:$AG$15,MATCH(Q90,'G-1 All Habitats'!$AF$3:$AF$15,0)),"")</f>
        <v/>
      </c>
      <c r="Q90" s="228" t="str">
        <f t="shared" si="23"/>
        <v/>
      </c>
      <c r="R90" s="229" t="str">
        <f t="shared" si="24"/>
        <v/>
      </c>
      <c r="S90" s="233" t="str">
        <f>IFERROR(INDEX('G-1 All Habitats'!$B$3:$B$129,MATCH(R90,'G-1 All Habitats'!$A$3:$A$129,0)),"")</f>
        <v/>
      </c>
      <c r="T90" s="507" t="str">
        <f t="shared" si="16"/>
        <v/>
      </c>
      <c r="U90" s="524" t="str">
        <f t="shared" si="17"/>
        <v/>
      </c>
      <c r="V90" s="523" t="str">
        <f t="shared" si="14"/>
        <v/>
      </c>
      <c r="W90" s="520" t="str">
        <f>IF(S90="","",VLOOKUP(S90,'G-1 All Habitats'!$B$2:$M$129,10,FALSE))</f>
        <v/>
      </c>
      <c r="X90" s="520" t="str">
        <f>IFERROR(VLOOKUP(W90,'G-1 All Habitats'!$V$3:$W$7,2,FALSE),"")</f>
        <v/>
      </c>
      <c r="Y90" s="203"/>
      <c r="Z90" s="524" t="str">
        <f>IFERROR(INDEX('G-8 Condition Look up'!$A$3:$H$130,MATCH(S90,'G-8 Condition Look up'!$A$3:$A$130,0),MATCH(Y90,'G-8 Condition Look up'!$A$3:$H$3,0)),"")</f>
        <v/>
      </c>
      <c r="AA90" s="145"/>
      <c r="AB90" s="540" t="str">
        <f>IF(AA90="","",IF(VLOOKUP(AA90,'G-3 Multipliers'!$L$3:$N$6,2,FALSE)=0,"Spatial Data Missing ⚠",VLOOKUP(AA90,'G-3 Multipliers'!$L$3:$N$6,2,FALSE)))</f>
        <v/>
      </c>
      <c r="AC90" s="524" t="str">
        <f>IF(AA90="","",IF(VLOOKUP(AA90,'G-3 Multipliers'!$L$3:$N$6,3,FALSE)=0,"Spatial Data Missing ⚠",VLOOKUP(AA90,'G-3 Multipliers'!$L$3:$N$6,3,FALSE)))</f>
        <v/>
      </c>
      <c r="AD90" s="537" t="str">
        <f t="shared" si="15"/>
        <v/>
      </c>
      <c r="AE90" s="203"/>
      <c r="AF90" s="203"/>
      <c r="AG90" s="520" t="str">
        <f t="shared" si="18"/>
        <v/>
      </c>
      <c r="AH90" s="544" t="str">
        <f t="shared" si="19"/>
        <v/>
      </c>
      <c r="AI90" s="525" t="str">
        <f>IF(AH90="Check Data ⚠","Check Data ⚠",IFERROR(VLOOKUP(AH90,'G-4 Temporal multipliers'!$A$4:$C$36,3,FALSE),""))</f>
        <v/>
      </c>
      <c r="AJ90" s="537" t="str">
        <f>IF(S90="","",VLOOKUP(S90,'G-3 Multipliers'!$A$2:$E$129,4,FALSE))</f>
        <v/>
      </c>
      <c r="AK90" s="520" t="str">
        <f t="shared" si="20"/>
        <v/>
      </c>
      <c r="AL90" s="520" t="str">
        <f t="shared" si="21"/>
        <v/>
      </c>
      <c r="AM90" s="524" t="str">
        <f>IFERROR(IF(F90="","",IF(AH90="Check Data ⚠","Check Data ⚠",VLOOKUP(AL90, 'G-3 Multipliers'!$P$2:$Q$6,2,FALSE))),"")</f>
        <v/>
      </c>
      <c r="AN90" s="197"/>
      <c r="AO90" s="540" t="str">
        <f>IF(AN90="","",IF(VLOOKUP(AN90,'G-3 Multipliers'!$S$3:$T$9,2,FALSE)=0,"Spatial Data Missing ⚠",VLOOKUP(AN90,'G-3 Multipliers'!$S$3:$T$9,2,FALSE)))</f>
        <v/>
      </c>
      <c r="AP90" s="513" t="str">
        <f t="shared" si="22"/>
        <v/>
      </c>
      <c r="AQ90" s="231"/>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7" t="str">
        <f>'D-1 Off Site Habitat Baseline'!AL90</f>
        <v/>
      </c>
      <c r="F91" s="520" t="str">
        <f>IF(E91="","",IF(ISNA(VLOOKUP($E91,'D-1 Off Site Habitat Baseline'!$D$1:$O$258,4,FALSE)),"",(VLOOKUP($E91,'D-1 Off Site Habitat Baseline'!$D$1:$O$258,4,FALSE))))</f>
        <v/>
      </c>
      <c r="G91" s="520" t="str">
        <f>IF(E91="","",IF(ISNA(VLOOKUP($E91,'D-1 Off Site Habitat Baseline'!$D$1:$O$258,5,FALSE)),"",(VLOOKUP($E91,'D-1 Off Site Habitat Baseline'!$D$1:$O$258,5,FALSE))))</f>
        <v/>
      </c>
      <c r="H91" s="520" t="str">
        <f>IF(E91="","",IF(ISNA(VLOOKUP($E91,'D-1 Off Site Habitat Baseline'!$D$1:$O$258,6,FALSE)),"",(VLOOKUP($E91,'D-1 Off Site Habitat Baseline'!$D$1:$O$258,6,FALSE))))</f>
        <v/>
      </c>
      <c r="I91" s="520" t="str">
        <f>IF(E91="","",IF(ISNA(VLOOKUP($E91,'D-1 Off Site Habitat Baseline'!$D$1:$O$258,7,FALSE)),"",(VLOOKUP($E91,'D-1 Off Site Habitat Baseline'!$D$1:$O$258,7,FALSE))))</f>
        <v/>
      </c>
      <c r="J91" s="520" t="str">
        <f>IF(E91="","",IF(ISNA(VLOOKUP($E91,'D-1 Off Site Habitat Baseline'!$D$1:$O$258,8,FALSE)),"",(VLOOKUP($E91,'D-1 Off Site Habitat Baseline'!$D$1:$O$258,8,FALSE))))</f>
        <v/>
      </c>
      <c r="K91" s="520" t="str">
        <f>IF(E91="","",IF(ISNA(VLOOKUP($E91,'D-1 Off Site Habitat Baseline'!$D$1:$O$258,9,FALSE)),"",(VLOOKUP($E91,'D-1 Off Site Habitat Baseline'!$D$1:$O$258,9,FALSE))))</f>
        <v/>
      </c>
      <c r="L91" s="520" t="str">
        <f>IF(E91="","",IF(ISNA(VLOOKUP($E91,'D-1 Off Site Habitat Baseline'!$D$1:$O$258,11,FALSE)),"",(VLOOKUP($E91,'D-1 Off Site Habitat Baseline'!$D$1:$O$258,11,FALSE))))</f>
        <v/>
      </c>
      <c r="M91" s="520" t="str">
        <f>IF(E91="","",IF(ISNA(VLOOKUP($E91,'D-1 Off Site Habitat Baseline'!$D$1:$O$258,12,FALSE)),"",(VLOOKUP($E91,'D-1 Off Site Habitat Baseline'!$D$1:$O$258,12,FALSE))))</f>
        <v/>
      </c>
      <c r="N91" s="520" t="str">
        <f>IF(E91="","",IF(ISNA(VLOOKUP($E91,'D-1 Off Site Habitat Baseline'!$D$1:$X$258,14,FALSE)),"",(VLOOKUP($E91,'D-1 Off Site Habitat Baseline'!$D$1:$X$258,14,FALSE))))</f>
        <v/>
      </c>
      <c r="O91" s="524" t="str">
        <f>IF(E91="","",IF(ISNA(VLOOKUP($E91,'D-1 Off Site Habitat Baseline'!$D$1:$X$258,13,FALSE)),"",(VLOOKUP($E91,'D-1 Off Site Habitat Baseline'!$D$1:$X$258,13,FALSE))))</f>
        <v/>
      </c>
      <c r="P91" s="232" t="str">
        <f>IFERROR(INDEX('G-1 All Habitats'!$AG$3:$AG$15,MATCH(Q91,'G-1 All Habitats'!$AF$3:$AF$15,0)),"")</f>
        <v/>
      </c>
      <c r="Q91" s="228" t="str">
        <f t="shared" si="23"/>
        <v/>
      </c>
      <c r="R91" s="229" t="str">
        <f t="shared" si="24"/>
        <v/>
      </c>
      <c r="S91" s="233" t="str">
        <f>IFERROR(INDEX('G-1 All Habitats'!$B$3:$B$129,MATCH(R91,'G-1 All Habitats'!$A$3:$A$129,0)),"")</f>
        <v/>
      </c>
      <c r="T91" s="507" t="str">
        <f t="shared" si="16"/>
        <v/>
      </c>
      <c r="U91" s="524" t="str">
        <f t="shared" si="17"/>
        <v/>
      </c>
      <c r="V91" s="523" t="str">
        <f t="shared" si="14"/>
        <v/>
      </c>
      <c r="W91" s="520" t="str">
        <f>IF(S91="","",VLOOKUP(S91,'G-1 All Habitats'!$B$2:$M$129,10,FALSE))</f>
        <v/>
      </c>
      <c r="X91" s="520" t="str">
        <f>IFERROR(VLOOKUP(W91,'G-1 All Habitats'!$V$3:$W$7,2,FALSE),"")</f>
        <v/>
      </c>
      <c r="Y91" s="203"/>
      <c r="Z91" s="524" t="str">
        <f>IFERROR(INDEX('G-8 Condition Look up'!$A$3:$H$130,MATCH(S91,'G-8 Condition Look up'!$A$3:$A$130,0),MATCH(Y91,'G-8 Condition Look up'!$A$3:$H$3,0)),"")</f>
        <v/>
      </c>
      <c r="AA91" s="145"/>
      <c r="AB91" s="540" t="str">
        <f>IF(AA91="","",IF(VLOOKUP(AA91,'G-3 Multipliers'!$L$3:$N$6,2,FALSE)=0,"Spatial Data Missing ⚠",VLOOKUP(AA91,'G-3 Multipliers'!$L$3:$N$6,2,FALSE)))</f>
        <v/>
      </c>
      <c r="AC91" s="524" t="str">
        <f>IF(AA91="","",IF(VLOOKUP(AA91,'G-3 Multipliers'!$L$3:$N$6,3,FALSE)=0,"Spatial Data Missing ⚠",VLOOKUP(AA91,'G-3 Multipliers'!$L$3:$N$6,3,FALSE)))</f>
        <v/>
      </c>
      <c r="AD91" s="537" t="str">
        <f t="shared" si="15"/>
        <v/>
      </c>
      <c r="AE91" s="203"/>
      <c r="AF91" s="203"/>
      <c r="AG91" s="520" t="str">
        <f t="shared" si="18"/>
        <v/>
      </c>
      <c r="AH91" s="544" t="str">
        <f t="shared" si="19"/>
        <v/>
      </c>
      <c r="AI91" s="525" t="str">
        <f>IF(AH91="Check Data ⚠","Check Data ⚠",IFERROR(VLOOKUP(AH91,'G-4 Temporal multipliers'!$A$4:$C$36,3,FALSE),""))</f>
        <v/>
      </c>
      <c r="AJ91" s="537" t="str">
        <f>IF(S91="","",VLOOKUP(S91,'G-3 Multipliers'!$A$2:$E$129,4,FALSE))</f>
        <v/>
      </c>
      <c r="AK91" s="520" t="str">
        <f t="shared" si="20"/>
        <v/>
      </c>
      <c r="AL91" s="520" t="str">
        <f t="shared" si="21"/>
        <v/>
      </c>
      <c r="AM91" s="524" t="str">
        <f>IFERROR(IF(F91="","",IF(AH91="Check Data ⚠","Check Data ⚠",VLOOKUP(AL91, 'G-3 Multipliers'!$P$2:$Q$6,2,FALSE))),"")</f>
        <v/>
      </c>
      <c r="AN91" s="197"/>
      <c r="AO91" s="540" t="str">
        <f>IF(AN91="","",IF(VLOOKUP(AN91,'G-3 Multipliers'!$S$3:$T$9,2,FALSE)=0,"Spatial Data Missing ⚠",VLOOKUP(AN91,'G-3 Multipliers'!$S$3:$T$9,2,FALSE)))</f>
        <v/>
      </c>
      <c r="AP91" s="513" t="str">
        <f t="shared" si="22"/>
        <v/>
      </c>
      <c r="AQ91" s="231"/>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7" t="str">
        <f>'D-1 Off Site Habitat Baseline'!AL91</f>
        <v/>
      </c>
      <c r="F92" s="520" t="str">
        <f>IF(E92="","",IF(ISNA(VLOOKUP($E92,'D-1 Off Site Habitat Baseline'!$D$1:$O$258,4,FALSE)),"",(VLOOKUP($E92,'D-1 Off Site Habitat Baseline'!$D$1:$O$258,4,FALSE))))</f>
        <v/>
      </c>
      <c r="G92" s="520" t="str">
        <f>IF(E92="","",IF(ISNA(VLOOKUP($E92,'D-1 Off Site Habitat Baseline'!$D$1:$O$258,5,FALSE)),"",(VLOOKUP($E92,'D-1 Off Site Habitat Baseline'!$D$1:$O$258,5,FALSE))))</f>
        <v/>
      </c>
      <c r="H92" s="520" t="str">
        <f>IF(E92="","",IF(ISNA(VLOOKUP($E92,'D-1 Off Site Habitat Baseline'!$D$1:$O$258,6,FALSE)),"",(VLOOKUP($E92,'D-1 Off Site Habitat Baseline'!$D$1:$O$258,6,FALSE))))</f>
        <v/>
      </c>
      <c r="I92" s="520" t="str">
        <f>IF(E92="","",IF(ISNA(VLOOKUP($E92,'D-1 Off Site Habitat Baseline'!$D$1:$O$258,7,FALSE)),"",(VLOOKUP($E92,'D-1 Off Site Habitat Baseline'!$D$1:$O$258,7,FALSE))))</f>
        <v/>
      </c>
      <c r="J92" s="520" t="str">
        <f>IF(E92="","",IF(ISNA(VLOOKUP($E92,'D-1 Off Site Habitat Baseline'!$D$1:$O$258,8,FALSE)),"",(VLOOKUP($E92,'D-1 Off Site Habitat Baseline'!$D$1:$O$258,8,FALSE))))</f>
        <v/>
      </c>
      <c r="K92" s="520" t="str">
        <f>IF(E92="","",IF(ISNA(VLOOKUP($E92,'D-1 Off Site Habitat Baseline'!$D$1:$O$258,9,FALSE)),"",(VLOOKUP($E92,'D-1 Off Site Habitat Baseline'!$D$1:$O$258,9,FALSE))))</f>
        <v/>
      </c>
      <c r="L92" s="520" t="str">
        <f>IF(E92="","",IF(ISNA(VLOOKUP($E92,'D-1 Off Site Habitat Baseline'!$D$1:$O$258,11,FALSE)),"",(VLOOKUP($E92,'D-1 Off Site Habitat Baseline'!$D$1:$O$258,11,FALSE))))</f>
        <v/>
      </c>
      <c r="M92" s="520" t="str">
        <f>IF(E92="","",IF(ISNA(VLOOKUP($E92,'D-1 Off Site Habitat Baseline'!$D$1:$O$258,12,FALSE)),"",(VLOOKUP($E92,'D-1 Off Site Habitat Baseline'!$D$1:$O$258,12,FALSE))))</f>
        <v/>
      </c>
      <c r="N92" s="520" t="str">
        <f>IF(E92="","",IF(ISNA(VLOOKUP($E92,'D-1 Off Site Habitat Baseline'!$D$1:$X$258,14,FALSE)),"",(VLOOKUP($E92,'D-1 Off Site Habitat Baseline'!$D$1:$X$258,14,FALSE))))</f>
        <v/>
      </c>
      <c r="O92" s="524" t="str">
        <f>IF(E92="","",IF(ISNA(VLOOKUP($E92,'D-1 Off Site Habitat Baseline'!$D$1:$X$258,13,FALSE)),"",(VLOOKUP($E92,'D-1 Off Site Habitat Baseline'!$D$1:$X$258,13,FALSE))))</f>
        <v/>
      </c>
      <c r="P92" s="232" t="str">
        <f>IFERROR(INDEX('G-1 All Habitats'!$AG$3:$AG$15,MATCH(Q92,'G-1 All Habitats'!$AF$3:$AF$15,0)),"")</f>
        <v/>
      </c>
      <c r="Q92" s="228" t="str">
        <f t="shared" si="23"/>
        <v/>
      </c>
      <c r="R92" s="229" t="str">
        <f t="shared" si="24"/>
        <v/>
      </c>
      <c r="S92" s="233" t="str">
        <f>IFERROR(INDEX('G-1 All Habitats'!$B$3:$B$129,MATCH(R92,'G-1 All Habitats'!$A$3:$A$129,0)),"")</f>
        <v/>
      </c>
      <c r="T92" s="507" t="str">
        <f t="shared" si="16"/>
        <v/>
      </c>
      <c r="U92" s="524" t="str">
        <f t="shared" si="17"/>
        <v/>
      </c>
      <c r="V92" s="523" t="str">
        <f t="shared" si="14"/>
        <v/>
      </c>
      <c r="W92" s="520" t="str">
        <f>IF(S92="","",VLOOKUP(S92,'G-1 All Habitats'!$B$2:$M$129,10,FALSE))</f>
        <v/>
      </c>
      <c r="X92" s="520" t="str">
        <f>IFERROR(VLOOKUP(W92,'G-1 All Habitats'!$V$3:$W$7,2,FALSE),"")</f>
        <v/>
      </c>
      <c r="Y92" s="203"/>
      <c r="Z92" s="524" t="str">
        <f>IFERROR(INDEX('G-8 Condition Look up'!$A$3:$H$130,MATCH(S92,'G-8 Condition Look up'!$A$3:$A$130,0),MATCH(Y92,'G-8 Condition Look up'!$A$3:$H$3,0)),"")</f>
        <v/>
      </c>
      <c r="AA92" s="145"/>
      <c r="AB92" s="540" t="str">
        <f>IF(AA92="","",IF(VLOOKUP(AA92,'G-3 Multipliers'!$L$3:$N$6,2,FALSE)=0,"Spatial Data Missing ⚠",VLOOKUP(AA92,'G-3 Multipliers'!$L$3:$N$6,2,FALSE)))</f>
        <v/>
      </c>
      <c r="AC92" s="524" t="str">
        <f>IF(AA92="","",IF(VLOOKUP(AA92,'G-3 Multipliers'!$L$3:$N$6,3,FALSE)=0,"Spatial Data Missing ⚠",VLOOKUP(AA92,'G-3 Multipliers'!$L$3:$N$6,3,FALSE)))</f>
        <v/>
      </c>
      <c r="AD92" s="537" t="str">
        <f t="shared" si="15"/>
        <v/>
      </c>
      <c r="AE92" s="203"/>
      <c r="AF92" s="203"/>
      <c r="AG92" s="520" t="str">
        <f t="shared" si="18"/>
        <v/>
      </c>
      <c r="AH92" s="544" t="str">
        <f t="shared" si="19"/>
        <v/>
      </c>
      <c r="AI92" s="525" t="str">
        <f>IF(AH92="Check Data ⚠","Check Data ⚠",IFERROR(VLOOKUP(AH92,'G-4 Temporal multipliers'!$A$4:$C$36,3,FALSE),""))</f>
        <v/>
      </c>
      <c r="AJ92" s="537" t="str">
        <f>IF(S92="","",VLOOKUP(S92,'G-3 Multipliers'!$A$2:$E$129,4,FALSE))</f>
        <v/>
      </c>
      <c r="AK92" s="520" t="str">
        <f t="shared" si="20"/>
        <v/>
      </c>
      <c r="AL92" s="520" t="str">
        <f t="shared" si="21"/>
        <v/>
      </c>
      <c r="AM92" s="524" t="str">
        <f>IFERROR(IF(F92="","",IF(AH92="Check Data ⚠","Check Data ⚠",VLOOKUP(AL92, 'G-3 Multipliers'!$P$2:$Q$6,2,FALSE))),"")</f>
        <v/>
      </c>
      <c r="AN92" s="197"/>
      <c r="AO92" s="540" t="str">
        <f>IF(AN92="","",IF(VLOOKUP(AN92,'G-3 Multipliers'!$S$3:$T$9,2,FALSE)=0,"Spatial Data Missing ⚠",VLOOKUP(AN92,'G-3 Multipliers'!$S$3:$T$9,2,FALSE)))</f>
        <v/>
      </c>
      <c r="AP92" s="513" t="str">
        <f t="shared" si="22"/>
        <v/>
      </c>
      <c r="AQ92" s="231"/>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7" t="str">
        <f>'D-1 Off Site Habitat Baseline'!AL92</f>
        <v/>
      </c>
      <c r="F93" s="520" t="str">
        <f>IF(E93="","",IF(ISNA(VLOOKUP($E93,'D-1 Off Site Habitat Baseline'!$D$1:$O$258,4,FALSE)),"",(VLOOKUP($E93,'D-1 Off Site Habitat Baseline'!$D$1:$O$258,4,FALSE))))</f>
        <v/>
      </c>
      <c r="G93" s="520" t="str">
        <f>IF(E93="","",IF(ISNA(VLOOKUP($E93,'D-1 Off Site Habitat Baseline'!$D$1:$O$258,5,FALSE)),"",(VLOOKUP($E93,'D-1 Off Site Habitat Baseline'!$D$1:$O$258,5,FALSE))))</f>
        <v/>
      </c>
      <c r="H93" s="520" t="str">
        <f>IF(E93="","",IF(ISNA(VLOOKUP($E93,'D-1 Off Site Habitat Baseline'!$D$1:$O$258,6,FALSE)),"",(VLOOKUP($E93,'D-1 Off Site Habitat Baseline'!$D$1:$O$258,6,FALSE))))</f>
        <v/>
      </c>
      <c r="I93" s="520" t="str">
        <f>IF(E93="","",IF(ISNA(VLOOKUP($E93,'D-1 Off Site Habitat Baseline'!$D$1:$O$258,7,FALSE)),"",(VLOOKUP($E93,'D-1 Off Site Habitat Baseline'!$D$1:$O$258,7,FALSE))))</f>
        <v/>
      </c>
      <c r="J93" s="520" t="str">
        <f>IF(E93="","",IF(ISNA(VLOOKUP($E93,'D-1 Off Site Habitat Baseline'!$D$1:$O$258,8,FALSE)),"",(VLOOKUP($E93,'D-1 Off Site Habitat Baseline'!$D$1:$O$258,8,FALSE))))</f>
        <v/>
      </c>
      <c r="K93" s="520" t="str">
        <f>IF(E93="","",IF(ISNA(VLOOKUP($E93,'D-1 Off Site Habitat Baseline'!$D$1:$O$258,9,FALSE)),"",(VLOOKUP($E93,'D-1 Off Site Habitat Baseline'!$D$1:$O$258,9,FALSE))))</f>
        <v/>
      </c>
      <c r="L93" s="520" t="str">
        <f>IF(E93="","",IF(ISNA(VLOOKUP($E93,'D-1 Off Site Habitat Baseline'!$D$1:$O$258,11,FALSE)),"",(VLOOKUP($E93,'D-1 Off Site Habitat Baseline'!$D$1:$O$258,11,FALSE))))</f>
        <v/>
      </c>
      <c r="M93" s="520" t="str">
        <f>IF(E93="","",IF(ISNA(VLOOKUP($E93,'D-1 Off Site Habitat Baseline'!$D$1:$O$258,12,FALSE)),"",(VLOOKUP($E93,'D-1 Off Site Habitat Baseline'!$D$1:$O$258,12,FALSE))))</f>
        <v/>
      </c>
      <c r="N93" s="520" t="str">
        <f>IF(E93="","",IF(ISNA(VLOOKUP($E93,'D-1 Off Site Habitat Baseline'!$D$1:$X$258,14,FALSE)),"",(VLOOKUP($E93,'D-1 Off Site Habitat Baseline'!$D$1:$X$258,14,FALSE))))</f>
        <v/>
      </c>
      <c r="O93" s="524" t="str">
        <f>IF(E93="","",IF(ISNA(VLOOKUP($E93,'D-1 Off Site Habitat Baseline'!$D$1:$X$258,13,FALSE)),"",(VLOOKUP($E93,'D-1 Off Site Habitat Baseline'!$D$1:$X$258,13,FALSE))))</f>
        <v/>
      </c>
      <c r="P93" s="232" t="str">
        <f>IFERROR(INDEX('G-1 All Habitats'!$AG$3:$AG$15,MATCH(Q93,'G-1 All Habitats'!$AF$3:$AF$15,0)),"")</f>
        <v/>
      </c>
      <c r="Q93" s="228" t="str">
        <f t="shared" si="23"/>
        <v/>
      </c>
      <c r="R93" s="229" t="str">
        <f t="shared" si="24"/>
        <v/>
      </c>
      <c r="S93" s="233" t="str">
        <f>IFERROR(INDEX('G-1 All Habitats'!$B$3:$B$129,MATCH(R93,'G-1 All Habitats'!$A$3:$A$129,0)),"")</f>
        <v/>
      </c>
      <c r="T93" s="507" t="str">
        <f t="shared" si="16"/>
        <v/>
      </c>
      <c r="U93" s="524" t="str">
        <f t="shared" si="17"/>
        <v/>
      </c>
      <c r="V93" s="523" t="str">
        <f t="shared" si="14"/>
        <v/>
      </c>
      <c r="W93" s="520" t="str">
        <f>IF(S93="","",VLOOKUP(S93,'G-1 All Habitats'!$B$2:$M$129,10,FALSE))</f>
        <v/>
      </c>
      <c r="X93" s="520" t="str">
        <f>IFERROR(VLOOKUP(W93,'G-1 All Habitats'!$V$3:$W$7,2,FALSE),"")</f>
        <v/>
      </c>
      <c r="Y93" s="203"/>
      <c r="Z93" s="524" t="str">
        <f>IFERROR(INDEX('G-8 Condition Look up'!$A$3:$H$130,MATCH(S93,'G-8 Condition Look up'!$A$3:$A$130,0),MATCH(Y93,'G-8 Condition Look up'!$A$3:$H$3,0)),"")</f>
        <v/>
      </c>
      <c r="AA93" s="145"/>
      <c r="AB93" s="540" t="str">
        <f>IF(AA93="","",IF(VLOOKUP(AA93,'G-3 Multipliers'!$L$3:$N$6,2,FALSE)=0,"Spatial Data Missing ⚠",VLOOKUP(AA93,'G-3 Multipliers'!$L$3:$N$6,2,FALSE)))</f>
        <v/>
      </c>
      <c r="AC93" s="524" t="str">
        <f>IF(AA93="","",IF(VLOOKUP(AA93,'G-3 Multipliers'!$L$3:$N$6,3,FALSE)=0,"Spatial Data Missing ⚠",VLOOKUP(AA93,'G-3 Multipliers'!$L$3:$N$6,3,FALSE)))</f>
        <v/>
      </c>
      <c r="AD93" s="537" t="str">
        <f t="shared" si="15"/>
        <v/>
      </c>
      <c r="AE93" s="203"/>
      <c r="AF93" s="203"/>
      <c r="AG93" s="520" t="str">
        <f t="shared" si="18"/>
        <v/>
      </c>
      <c r="AH93" s="544" t="str">
        <f t="shared" si="19"/>
        <v/>
      </c>
      <c r="AI93" s="525" t="str">
        <f>IF(AH93="Check Data ⚠","Check Data ⚠",IFERROR(VLOOKUP(AH93,'G-4 Temporal multipliers'!$A$4:$C$36,3,FALSE),""))</f>
        <v/>
      </c>
      <c r="AJ93" s="537" t="str">
        <f>IF(S93="","",VLOOKUP(S93,'G-3 Multipliers'!$A$2:$E$129,4,FALSE))</f>
        <v/>
      </c>
      <c r="AK93" s="520" t="str">
        <f t="shared" si="20"/>
        <v/>
      </c>
      <c r="AL93" s="520" t="str">
        <f t="shared" si="21"/>
        <v/>
      </c>
      <c r="AM93" s="524" t="str">
        <f>IFERROR(IF(F93="","",IF(AH93="Check Data ⚠","Check Data ⚠",VLOOKUP(AL93, 'G-3 Multipliers'!$P$2:$Q$6,2,FALSE))),"")</f>
        <v/>
      </c>
      <c r="AN93" s="197"/>
      <c r="AO93" s="540" t="str">
        <f>IF(AN93="","",IF(VLOOKUP(AN93,'G-3 Multipliers'!$S$3:$T$9,2,FALSE)=0,"Spatial Data Missing ⚠",VLOOKUP(AN93,'G-3 Multipliers'!$S$3:$T$9,2,FALSE)))</f>
        <v/>
      </c>
      <c r="AP93" s="513" t="str">
        <f t="shared" si="22"/>
        <v/>
      </c>
      <c r="AQ93" s="231"/>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7" t="str">
        <f>'D-1 Off Site Habitat Baseline'!AL93</f>
        <v/>
      </c>
      <c r="F94" s="520" t="str">
        <f>IF(E94="","",IF(ISNA(VLOOKUP($E94,'D-1 Off Site Habitat Baseline'!$D$1:$O$258,4,FALSE)),"",(VLOOKUP($E94,'D-1 Off Site Habitat Baseline'!$D$1:$O$258,4,FALSE))))</f>
        <v/>
      </c>
      <c r="G94" s="520" t="str">
        <f>IF(E94="","",IF(ISNA(VLOOKUP($E94,'D-1 Off Site Habitat Baseline'!$D$1:$O$258,5,FALSE)),"",(VLOOKUP($E94,'D-1 Off Site Habitat Baseline'!$D$1:$O$258,5,FALSE))))</f>
        <v/>
      </c>
      <c r="H94" s="520" t="str">
        <f>IF(E94="","",IF(ISNA(VLOOKUP($E94,'D-1 Off Site Habitat Baseline'!$D$1:$O$258,6,FALSE)),"",(VLOOKUP($E94,'D-1 Off Site Habitat Baseline'!$D$1:$O$258,6,FALSE))))</f>
        <v/>
      </c>
      <c r="I94" s="520" t="str">
        <f>IF(E94="","",IF(ISNA(VLOOKUP($E94,'D-1 Off Site Habitat Baseline'!$D$1:$O$258,7,FALSE)),"",(VLOOKUP($E94,'D-1 Off Site Habitat Baseline'!$D$1:$O$258,7,FALSE))))</f>
        <v/>
      </c>
      <c r="J94" s="520" t="str">
        <f>IF(E94="","",IF(ISNA(VLOOKUP($E94,'D-1 Off Site Habitat Baseline'!$D$1:$O$258,8,FALSE)),"",(VLOOKUP($E94,'D-1 Off Site Habitat Baseline'!$D$1:$O$258,8,FALSE))))</f>
        <v/>
      </c>
      <c r="K94" s="520" t="str">
        <f>IF(E94="","",IF(ISNA(VLOOKUP($E94,'D-1 Off Site Habitat Baseline'!$D$1:$O$258,9,FALSE)),"",(VLOOKUP($E94,'D-1 Off Site Habitat Baseline'!$D$1:$O$258,9,FALSE))))</f>
        <v/>
      </c>
      <c r="L94" s="520" t="str">
        <f>IF(E94="","",IF(ISNA(VLOOKUP($E94,'D-1 Off Site Habitat Baseline'!$D$1:$O$258,11,FALSE)),"",(VLOOKUP($E94,'D-1 Off Site Habitat Baseline'!$D$1:$O$258,11,FALSE))))</f>
        <v/>
      </c>
      <c r="M94" s="520" t="str">
        <f>IF(E94="","",IF(ISNA(VLOOKUP($E94,'D-1 Off Site Habitat Baseline'!$D$1:$O$258,12,FALSE)),"",(VLOOKUP($E94,'D-1 Off Site Habitat Baseline'!$D$1:$O$258,12,FALSE))))</f>
        <v/>
      </c>
      <c r="N94" s="520" t="str">
        <f>IF(E94="","",IF(ISNA(VLOOKUP($E94,'D-1 Off Site Habitat Baseline'!$D$1:$X$258,14,FALSE)),"",(VLOOKUP($E94,'D-1 Off Site Habitat Baseline'!$D$1:$X$258,14,FALSE))))</f>
        <v/>
      </c>
      <c r="O94" s="524" t="str">
        <f>IF(E94="","",IF(ISNA(VLOOKUP($E94,'D-1 Off Site Habitat Baseline'!$D$1:$X$258,13,FALSE)),"",(VLOOKUP($E94,'D-1 Off Site Habitat Baseline'!$D$1:$X$258,13,FALSE))))</f>
        <v/>
      </c>
      <c r="P94" s="232" t="str">
        <f>IFERROR(INDEX('G-1 All Habitats'!$AG$3:$AG$15,MATCH(Q94,'G-1 All Habitats'!$AF$3:$AF$15,0)),"")</f>
        <v/>
      </c>
      <c r="Q94" s="228" t="str">
        <f t="shared" si="23"/>
        <v/>
      </c>
      <c r="R94" s="229" t="str">
        <f t="shared" si="24"/>
        <v/>
      </c>
      <c r="S94" s="233" t="str">
        <f>IFERROR(INDEX('G-1 All Habitats'!$B$3:$B$129,MATCH(R94,'G-1 All Habitats'!$A$3:$A$129,0)),"")</f>
        <v/>
      </c>
      <c r="T94" s="507" t="str">
        <f t="shared" si="16"/>
        <v/>
      </c>
      <c r="U94" s="524" t="str">
        <f t="shared" si="17"/>
        <v/>
      </c>
      <c r="V94" s="523" t="str">
        <f t="shared" si="14"/>
        <v/>
      </c>
      <c r="W94" s="520" t="str">
        <f>IF(S94="","",VLOOKUP(S94,'G-1 All Habitats'!$B$2:$M$129,10,FALSE))</f>
        <v/>
      </c>
      <c r="X94" s="520" t="str">
        <f>IFERROR(VLOOKUP(W94,'G-1 All Habitats'!$V$3:$W$7,2,FALSE),"")</f>
        <v/>
      </c>
      <c r="Y94" s="203"/>
      <c r="Z94" s="524" t="str">
        <f>IFERROR(INDEX('G-8 Condition Look up'!$A$3:$H$130,MATCH(S94,'G-8 Condition Look up'!$A$3:$A$130,0),MATCH(Y94,'G-8 Condition Look up'!$A$3:$H$3,0)),"")</f>
        <v/>
      </c>
      <c r="AA94" s="145"/>
      <c r="AB94" s="540" t="str">
        <f>IF(AA94="","",IF(VLOOKUP(AA94,'G-3 Multipliers'!$L$3:$N$6,2,FALSE)=0,"Spatial Data Missing ⚠",VLOOKUP(AA94,'G-3 Multipliers'!$L$3:$N$6,2,FALSE)))</f>
        <v/>
      </c>
      <c r="AC94" s="524" t="str">
        <f>IF(AA94="","",IF(VLOOKUP(AA94,'G-3 Multipliers'!$L$3:$N$6,3,FALSE)=0,"Spatial Data Missing ⚠",VLOOKUP(AA94,'G-3 Multipliers'!$L$3:$N$6,3,FALSE)))</f>
        <v/>
      </c>
      <c r="AD94" s="537" t="str">
        <f t="shared" si="15"/>
        <v/>
      </c>
      <c r="AE94" s="203"/>
      <c r="AF94" s="203"/>
      <c r="AG94" s="520" t="str">
        <f t="shared" si="18"/>
        <v/>
      </c>
      <c r="AH94" s="544" t="str">
        <f t="shared" si="19"/>
        <v/>
      </c>
      <c r="AI94" s="525" t="str">
        <f>IF(AH94="Check Data ⚠","Check Data ⚠",IFERROR(VLOOKUP(AH94,'G-4 Temporal multipliers'!$A$4:$C$36,3,FALSE),""))</f>
        <v/>
      </c>
      <c r="AJ94" s="537" t="str">
        <f>IF(S94="","",VLOOKUP(S94,'G-3 Multipliers'!$A$2:$E$129,4,FALSE))</f>
        <v/>
      </c>
      <c r="AK94" s="520" t="str">
        <f t="shared" si="20"/>
        <v/>
      </c>
      <c r="AL94" s="520" t="str">
        <f t="shared" si="21"/>
        <v/>
      </c>
      <c r="AM94" s="524" t="str">
        <f>IFERROR(IF(F94="","",IF(AH94="Check Data ⚠","Check Data ⚠",VLOOKUP(AL94, 'G-3 Multipliers'!$P$2:$Q$6,2,FALSE))),"")</f>
        <v/>
      </c>
      <c r="AN94" s="197"/>
      <c r="AO94" s="540" t="str">
        <f>IF(AN94="","",IF(VLOOKUP(AN94,'G-3 Multipliers'!$S$3:$T$9,2,FALSE)=0,"Spatial Data Missing ⚠",VLOOKUP(AN94,'G-3 Multipliers'!$S$3:$T$9,2,FALSE)))</f>
        <v/>
      </c>
      <c r="AP94" s="513" t="str">
        <f t="shared" si="22"/>
        <v/>
      </c>
      <c r="AQ94" s="231"/>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7" t="str">
        <f>'D-1 Off Site Habitat Baseline'!AL94</f>
        <v/>
      </c>
      <c r="F95" s="520" t="str">
        <f>IF(E95="","",IF(ISNA(VLOOKUP($E95,'D-1 Off Site Habitat Baseline'!$D$1:$O$258,4,FALSE)),"",(VLOOKUP($E95,'D-1 Off Site Habitat Baseline'!$D$1:$O$258,4,FALSE))))</f>
        <v/>
      </c>
      <c r="G95" s="520" t="str">
        <f>IF(E95="","",IF(ISNA(VLOOKUP($E95,'D-1 Off Site Habitat Baseline'!$D$1:$O$258,5,FALSE)),"",(VLOOKUP($E95,'D-1 Off Site Habitat Baseline'!$D$1:$O$258,5,FALSE))))</f>
        <v/>
      </c>
      <c r="H95" s="520" t="str">
        <f>IF(E95="","",IF(ISNA(VLOOKUP($E95,'D-1 Off Site Habitat Baseline'!$D$1:$O$258,6,FALSE)),"",(VLOOKUP($E95,'D-1 Off Site Habitat Baseline'!$D$1:$O$258,6,FALSE))))</f>
        <v/>
      </c>
      <c r="I95" s="520" t="str">
        <f>IF(E95="","",IF(ISNA(VLOOKUP($E95,'D-1 Off Site Habitat Baseline'!$D$1:$O$258,7,FALSE)),"",(VLOOKUP($E95,'D-1 Off Site Habitat Baseline'!$D$1:$O$258,7,FALSE))))</f>
        <v/>
      </c>
      <c r="J95" s="520" t="str">
        <f>IF(E95="","",IF(ISNA(VLOOKUP($E95,'D-1 Off Site Habitat Baseline'!$D$1:$O$258,8,FALSE)),"",(VLOOKUP($E95,'D-1 Off Site Habitat Baseline'!$D$1:$O$258,8,FALSE))))</f>
        <v/>
      </c>
      <c r="K95" s="520" t="str">
        <f>IF(E95="","",IF(ISNA(VLOOKUP($E95,'D-1 Off Site Habitat Baseline'!$D$1:$O$258,9,FALSE)),"",(VLOOKUP($E95,'D-1 Off Site Habitat Baseline'!$D$1:$O$258,9,FALSE))))</f>
        <v/>
      </c>
      <c r="L95" s="520" t="str">
        <f>IF(E95="","",IF(ISNA(VLOOKUP($E95,'D-1 Off Site Habitat Baseline'!$D$1:$O$258,11,FALSE)),"",(VLOOKUP($E95,'D-1 Off Site Habitat Baseline'!$D$1:$O$258,11,FALSE))))</f>
        <v/>
      </c>
      <c r="M95" s="520" t="str">
        <f>IF(E95="","",IF(ISNA(VLOOKUP($E95,'D-1 Off Site Habitat Baseline'!$D$1:$O$258,12,FALSE)),"",(VLOOKUP($E95,'D-1 Off Site Habitat Baseline'!$D$1:$O$258,12,FALSE))))</f>
        <v/>
      </c>
      <c r="N95" s="520" t="str">
        <f>IF(E95="","",IF(ISNA(VLOOKUP($E95,'D-1 Off Site Habitat Baseline'!$D$1:$X$258,14,FALSE)),"",(VLOOKUP($E95,'D-1 Off Site Habitat Baseline'!$D$1:$X$258,14,FALSE))))</f>
        <v/>
      </c>
      <c r="O95" s="524" t="str">
        <f>IF(E95="","",IF(ISNA(VLOOKUP($E95,'D-1 Off Site Habitat Baseline'!$D$1:$X$258,13,FALSE)),"",(VLOOKUP($E95,'D-1 Off Site Habitat Baseline'!$D$1:$X$258,13,FALSE))))</f>
        <v/>
      </c>
      <c r="P95" s="232" t="str">
        <f>IFERROR(INDEX('G-1 All Habitats'!$AG$3:$AG$15,MATCH(Q95,'G-1 All Habitats'!$AF$3:$AF$15,0)),"")</f>
        <v/>
      </c>
      <c r="Q95" s="228" t="str">
        <f t="shared" si="23"/>
        <v/>
      </c>
      <c r="R95" s="229" t="str">
        <f t="shared" si="24"/>
        <v/>
      </c>
      <c r="S95" s="233" t="str">
        <f>IFERROR(INDEX('G-1 All Habitats'!$B$3:$B$129,MATCH(R95,'G-1 All Habitats'!$A$3:$A$129,0)),"")</f>
        <v/>
      </c>
      <c r="T95" s="507" t="str">
        <f t="shared" si="16"/>
        <v/>
      </c>
      <c r="U95" s="524" t="str">
        <f t="shared" si="17"/>
        <v/>
      </c>
      <c r="V95" s="523" t="str">
        <f t="shared" si="14"/>
        <v/>
      </c>
      <c r="W95" s="520" t="str">
        <f>IF(S95="","",VLOOKUP(S95,'G-1 All Habitats'!$B$2:$M$129,10,FALSE))</f>
        <v/>
      </c>
      <c r="X95" s="520" t="str">
        <f>IFERROR(VLOOKUP(W95,'G-1 All Habitats'!$V$3:$W$7,2,FALSE),"")</f>
        <v/>
      </c>
      <c r="Y95" s="203"/>
      <c r="Z95" s="524" t="str">
        <f>IFERROR(INDEX('G-8 Condition Look up'!$A$3:$H$130,MATCH(S95,'G-8 Condition Look up'!$A$3:$A$130,0),MATCH(Y95,'G-8 Condition Look up'!$A$3:$H$3,0)),"")</f>
        <v/>
      </c>
      <c r="AA95" s="145"/>
      <c r="AB95" s="540" t="str">
        <f>IF(AA95="","",IF(VLOOKUP(AA95,'G-3 Multipliers'!$L$3:$N$6,2,FALSE)=0,"Spatial Data Missing ⚠",VLOOKUP(AA95,'G-3 Multipliers'!$L$3:$N$6,2,FALSE)))</f>
        <v/>
      </c>
      <c r="AC95" s="524" t="str">
        <f>IF(AA95="","",IF(VLOOKUP(AA95,'G-3 Multipliers'!$L$3:$N$6,3,FALSE)=0,"Spatial Data Missing ⚠",VLOOKUP(AA95,'G-3 Multipliers'!$L$3:$N$6,3,FALSE)))</f>
        <v/>
      </c>
      <c r="AD95" s="537" t="str">
        <f t="shared" si="15"/>
        <v/>
      </c>
      <c r="AE95" s="203"/>
      <c r="AF95" s="203"/>
      <c r="AG95" s="520" t="str">
        <f t="shared" si="18"/>
        <v/>
      </c>
      <c r="AH95" s="544" t="str">
        <f t="shared" si="19"/>
        <v/>
      </c>
      <c r="AI95" s="525" t="str">
        <f>IF(AH95="Check Data ⚠","Check Data ⚠",IFERROR(VLOOKUP(AH95,'G-4 Temporal multipliers'!$A$4:$C$36,3,FALSE),""))</f>
        <v/>
      </c>
      <c r="AJ95" s="537" t="str">
        <f>IF(S95="","",VLOOKUP(S95,'G-3 Multipliers'!$A$2:$E$129,4,FALSE))</f>
        <v/>
      </c>
      <c r="AK95" s="520" t="str">
        <f t="shared" si="20"/>
        <v/>
      </c>
      <c r="AL95" s="520" t="str">
        <f t="shared" si="21"/>
        <v/>
      </c>
      <c r="AM95" s="524" t="str">
        <f>IFERROR(IF(F95="","",IF(AH95="Check Data ⚠","Check Data ⚠",VLOOKUP(AL95, 'G-3 Multipliers'!$P$2:$Q$6,2,FALSE))),"")</f>
        <v/>
      </c>
      <c r="AN95" s="197"/>
      <c r="AO95" s="540" t="str">
        <f>IF(AN95="","",IF(VLOOKUP(AN95,'G-3 Multipliers'!$S$3:$T$9,2,FALSE)=0,"Spatial Data Missing ⚠",VLOOKUP(AN95,'G-3 Multipliers'!$S$3:$T$9,2,FALSE)))</f>
        <v/>
      </c>
      <c r="AP95" s="513" t="str">
        <f t="shared" si="22"/>
        <v/>
      </c>
      <c r="AQ95" s="231"/>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7" t="str">
        <f>'D-1 Off Site Habitat Baseline'!AL95</f>
        <v/>
      </c>
      <c r="F96" s="520" t="str">
        <f>IF(E96="","",IF(ISNA(VLOOKUP($E96,'D-1 Off Site Habitat Baseline'!$D$1:$O$258,4,FALSE)),"",(VLOOKUP($E96,'D-1 Off Site Habitat Baseline'!$D$1:$O$258,4,FALSE))))</f>
        <v/>
      </c>
      <c r="G96" s="520" t="str">
        <f>IF(E96="","",IF(ISNA(VLOOKUP($E96,'D-1 Off Site Habitat Baseline'!$D$1:$O$258,5,FALSE)),"",(VLOOKUP($E96,'D-1 Off Site Habitat Baseline'!$D$1:$O$258,5,FALSE))))</f>
        <v/>
      </c>
      <c r="H96" s="520" t="str">
        <f>IF(E96="","",IF(ISNA(VLOOKUP($E96,'D-1 Off Site Habitat Baseline'!$D$1:$O$258,6,FALSE)),"",(VLOOKUP($E96,'D-1 Off Site Habitat Baseline'!$D$1:$O$258,6,FALSE))))</f>
        <v/>
      </c>
      <c r="I96" s="520" t="str">
        <f>IF(E96="","",IF(ISNA(VLOOKUP($E96,'D-1 Off Site Habitat Baseline'!$D$1:$O$258,7,FALSE)),"",(VLOOKUP($E96,'D-1 Off Site Habitat Baseline'!$D$1:$O$258,7,FALSE))))</f>
        <v/>
      </c>
      <c r="J96" s="520" t="str">
        <f>IF(E96="","",IF(ISNA(VLOOKUP($E96,'D-1 Off Site Habitat Baseline'!$D$1:$O$258,8,FALSE)),"",(VLOOKUP($E96,'D-1 Off Site Habitat Baseline'!$D$1:$O$258,8,FALSE))))</f>
        <v/>
      </c>
      <c r="K96" s="520" t="str">
        <f>IF(E96="","",IF(ISNA(VLOOKUP($E96,'D-1 Off Site Habitat Baseline'!$D$1:$O$258,9,FALSE)),"",(VLOOKUP($E96,'D-1 Off Site Habitat Baseline'!$D$1:$O$258,9,FALSE))))</f>
        <v/>
      </c>
      <c r="L96" s="520" t="str">
        <f>IF(E96="","",IF(ISNA(VLOOKUP($E96,'D-1 Off Site Habitat Baseline'!$D$1:$O$258,11,FALSE)),"",(VLOOKUP($E96,'D-1 Off Site Habitat Baseline'!$D$1:$O$258,11,FALSE))))</f>
        <v/>
      </c>
      <c r="M96" s="520" t="str">
        <f>IF(E96="","",IF(ISNA(VLOOKUP($E96,'D-1 Off Site Habitat Baseline'!$D$1:$O$258,12,FALSE)),"",(VLOOKUP($E96,'D-1 Off Site Habitat Baseline'!$D$1:$O$258,12,FALSE))))</f>
        <v/>
      </c>
      <c r="N96" s="520" t="str">
        <f>IF(E96="","",IF(ISNA(VLOOKUP($E96,'D-1 Off Site Habitat Baseline'!$D$1:$X$258,14,FALSE)),"",(VLOOKUP($E96,'D-1 Off Site Habitat Baseline'!$D$1:$X$258,14,FALSE))))</f>
        <v/>
      </c>
      <c r="O96" s="524" t="str">
        <f>IF(E96="","",IF(ISNA(VLOOKUP($E96,'D-1 Off Site Habitat Baseline'!$D$1:$X$258,13,FALSE)),"",(VLOOKUP($E96,'D-1 Off Site Habitat Baseline'!$D$1:$X$258,13,FALSE))))</f>
        <v/>
      </c>
      <c r="P96" s="232" t="str">
        <f>IFERROR(INDEX('G-1 All Habitats'!$AG$3:$AG$15,MATCH(Q96,'G-1 All Habitats'!$AF$3:$AF$15,0)),"")</f>
        <v/>
      </c>
      <c r="Q96" s="228" t="str">
        <f t="shared" si="23"/>
        <v/>
      </c>
      <c r="R96" s="229" t="str">
        <f t="shared" si="24"/>
        <v/>
      </c>
      <c r="S96" s="233" t="str">
        <f>IFERROR(INDEX('G-1 All Habitats'!$B$3:$B$129,MATCH(R96,'G-1 All Habitats'!$A$3:$A$129,0)),"")</f>
        <v/>
      </c>
      <c r="T96" s="507" t="str">
        <f t="shared" si="16"/>
        <v/>
      </c>
      <c r="U96" s="524" t="str">
        <f t="shared" si="17"/>
        <v/>
      </c>
      <c r="V96" s="523" t="str">
        <f t="shared" si="14"/>
        <v/>
      </c>
      <c r="W96" s="520" t="str">
        <f>IF(S96="","",VLOOKUP(S96,'G-1 All Habitats'!$B$2:$M$129,10,FALSE))</f>
        <v/>
      </c>
      <c r="X96" s="520" t="str">
        <f>IFERROR(VLOOKUP(W96,'G-1 All Habitats'!$V$3:$W$7,2,FALSE),"")</f>
        <v/>
      </c>
      <c r="Y96" s="203"/>
      <c r="Z96" s="524" t="str">
        <f>IFERROR(INDEX('G-8 Condition Look up'!$A$3:$H$130,MATCH(S96,'G-8 Condition Look up'!$A$3:$A$130,0),MATCH(Y96,'G-8 Condition Look up'!$A$3:$H$3,0)),"")</f>
        <v/>
      </c>
      <c r="AA96" s="145"/>
      <c r="AB96" s="540" t="str">
        <f>IF(AA96="","",IF(VLOOKUP(AA96,'G-3 Multipliers'!$L$3:$N$6,2,FALSE)=0,"Spatial Data Missing ⚠",VLOOKUP(AA96,'G-3 Multipliers'!$L$3:$N$6,2,FALSE)))</f>
        <v/>
      </c>
      <c r="AC96" s="524" t="str">
        <f>IF(AA96="","",IF(VLOOKUP(AA96,'G-3 Multipliers'!$L$3:$N$6,3,FALSE)=0,"Spatial Data Missing ⚠",VLOOKUP(AA96,'G-3 Multipliers'!$L$3:$N$6,3,FALSE)))</f>
        <v/>
      </c>
      <c r="AD96" s="537" t="str">
        <f t="shared" si="15"/>
        <v/>
      </c>
      <c r="AE96" s="203"/>
      <c r="AF96" s="203"/>
      <c r="AG96" s="520" t="str">
        <f t="shared" si="18"/>
        <v/>
      </c>
      <c r="AH96" s="544" t="str">
        <f t="shared" si="19"/>
        <v/>
      </c>
      <c r="AI96" s="525" t="str">
        <f>IF(AH96="Check Data ⚠","Check Data ⚠",IFERROR(VLOOKUP(AH96,'G-4 Temporal multipliers'!$A$4:$C$36,3,FALSE),""))</f>
        <v/>
      </c>
      <c r="AJ96" s="537" t="str">
        <f>IF(S96="","",VLOOKUP(S96,'G-3 Multipliers'!$A$2:$E$129,4,FALSE))</f>
        <v/>
      </c>
      <c r="AK96" s="520" t="str">
        <f t="shared" si="20"/>
        <v/>
      </c>
      <c r="AL96" s="520" t="str">
        <f t="shared" si="21"/>
        <v/>
      </c>
      <c r="AM96" s="524" t="str">
        <f>IFERROR(IF(F96="","",IF(AH96="Check Data ⚠","Check Data ⚠",VLOOKUP(AL96, 'G-3 Multipliers'!$P$2:$Q$6,2,FALSE))),"")</f>
        <v/>
      </c>
      <c r="AN96" s="197"/>
      <c r="AO96" s="540" t="str">
        <f>IF(AN96="","",IF(VLOOKUP(AN96,'G-3 Multipliers'!$S$3:$T$9,2,FALSE)=0,"Spatial Data Missing ⚠",VLOOKUP(AN96,'G-3 Multipliers'!$S$3:$T$9,2,FALSE)))</f>
        <v/>
      </c>
      <c r="AP96" s="513" t="str">
        <f t="shared" si="22"/>
        <v/>
      </c>
      <c r="AQ96" s="231"/>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7" t="str">
        <f>'D-1 Off Site Habitat Baseline'!AL96</f>
        <v/>
      </c>
      <c r="F97" s="520" t="str">
        <f>IF(E97="","",IF(ISNA(VLOOKUP($E97,'D-1 Off Site Habitat Baseline'!$D$1:$O$258,4,FALSE)),"",(VLOOKUP($E97,'D-1 Off Site Habitat Baseline'!$D$1:$O$258,4,FALSE))))</f>
        <v/>
      </c>
      <c r="G97" s="520" t="str">
        <f>IF(E97="","",IF(ISNA(VLOOKUP($E97,'D-1 Off Site Habitat Baseline'!$D$1:$O$258,5,FALSE)),"",(VLOOKUP($E97,'D-1 Off Site Habitat Baseline'!$D$1:$O$258,5,FALSE))))</f>
        <v/>
      </c>
      <c r="H97" s="520" t="str">
        <f>IF(E97="","",IF(ISNA(VLOOKUP($E97,'D-1 Off Site Habitat Baseline'!$D$1:$O$258,6,FALSE)),"",(VLOOKUP($E97,'D-1 Off Site Habitat Baseline'!$D$1:$O$258,6,FALSE))))</f>
        <v/>
      </c>
      <c r="I97" s="520" t="str">
        <f>IF(E97="","",IF(ISNA(VLOOKUP($E97,'D-1 Off Site Habitat Baseline'!$D$1:$O$258,7,FALSE)),"",(VLOOKUP($E97,'D-1 Off Site Habitat Baseline'!$D$1:$O$258,7,FALSE))))</f>
        <v/>
      </c>
      <c r="J97" s="520" t="str">
        <f>IF(E97="","",IF(ISNA(VLOOKUP($E97,'D-1 Off Site Habitat Baseline'!$D$1:$O$258,8,FALSE)),"",(VLOOKUP($E97,'D-1 Off Site Habitat Baseline'!$D$1:$O$258,8,FALSE))))</f>
        <v/>
      </c>
      <c r="K97" s="520" t="str">
        <f>IF(E97="","",IF(ISNA(VLOOKUP($E97,'D-1 Off Site Habitat Baseline'!$D$1:$O$258,9,FALSE)),"",(VLOOKUP($E97,'D-1 Off Site Habitat Baseline'!$D$1:$O$258,9,FALSE))))</f>
        <v/>
      </c>
      <c r="L97" s="520" t="str">
        <f>IF(E97="","",IF(ISNA(VLOOKUP($E97,'D-1 Off Site Habitat Baseline'!$D$1:$O$258,11,FALSE)),"",(VLOOKUP($E97,'D-1 Off Site Habitat Baseline'!$D$1:$O$258,11,FALSE))))</f>
        <v/>
      </c>
      <c r="M97" s="520" t="str">
        <f>IF(E97="","",IF(ISNA(VLOOKUP($E97,'D-1 Off Site Habitat Baseline'!$D$1:$O$258,12,FALSE)),"",(VLOOKUP($E97,'D-1 Off Site Habitat Baseline'!$D$1:$O$258,12,FALSE))))</f>
        <v/>
      </c>
      <c r="N97" s="520" t="str">
        <f>IF(E97="","",IF(ISNA(VLOOKUP($E97,'D-1 Off Site Habitat Baseline'!$D$1:$X$258,14,FALSE)),"",(VLOOKUP($E97,'D-1 Off Site Habitat Baseline'!$D$1:$X$258,14,FALSE))))</f>
        <v/>
      </c>
      <c r="O97" s="524" t="str">
        <f>IF(E97="","",IF(ISNA(VLOOKUP($E97,'D-1 Off Site Habitat Baseline'!$D$1:$X$258,13,FALSE)),"",(VLOOKUP($E97,'D-1 Off Site Habitat Baseline'!$D$1:$X$258,13,FALSE))))</f>
        <v/>
      </c>
      <c r="P97" s="232" t="str">
        <f>IFERROR(INDEX('G-1 All Habitats'!$AG$3:$AG$15,MATCH(Q97,'G-1 All Habitats'!$AF$3:$AF$15,0)),"")</f>
        <v/>
      </c>
      <c r="Q97" s="228" t="str">
        <f t="shared" si="23"/>
        <v/>
      </c>
      <c r="R97" s="229" t="str">
        <f t="shared" si="24"/>
        <v/>
      </c>
      <c r="S97" s="233" t="str">
        <f>IFERROR(INDEX('G-1 All Habitats'!$B$3:$B$129,MATCH(R97,'G-1 All Habitats'!$A$3:$A$129,0)),"")</f>
        <v/>
      </c>
      <c r="T97" s="507" t="str">
        <f t="shared" si="16"/>
        <v/>
      </c>
      <c r="U97" s="524" t="str">
        <f t="shared" si="17"/>
        <v/>
      </c>
      <c r="V97" s="523" t="str">
        <f t="shared" si="14"/>
        <v/>
      </c>
      <c r="W97" s="520" t="str">
        <f>IF(S97="","",VLOOKUP(S97,'G-1 All Habitats'!$B$2:$M$129,10,FALSE))</f>
        <v/>
      </c>
      <c r="X97" s="520" t="str">
        <f>IFERROR(VLOOKUP(W97,'G-1 All Habitats'!$V$3:$W$7,2,FALSE),"")</f>
        <v/>
      </c>
      <c r="Y97" s="203"/>
      <c r="Z97" s="524" t="str">
        <f>IFERROR(INDEX('G-8 Condition Look up'!$A$3:$H$130,MATCH(S97,'G-8 Condition Look up'!$A$3:$A$130,0),MATCH(Y97,'G-8 Condition Look up'!$A$3:$H$3,0)),"")</f>
        <v/>
      </c>
      <c r="AA97" s="145"/>
      <c r="AB97" s="540" t="str">
        <f>IF(AA97="","",IF(VLOOKUP(AA97,'G-3 Multipliers'!$L$3:$N$6,2,FALSE)=0,"Spatial Data Missing ⚠",VLOOKUP(AA97,'G-3 Multipliers'!$L$3:$N$6,2,FALSE)))</f>
        <v/>
      </c>
      <c r="AC97" s="524" t="str">
        <f>IF(AA97="","",IF(VLOOKUP(AA97,'G-3 Multipliers'!$L$3:$N$6,3,FALSE)=0,"Spatial Data Missing ⚠",VLOOKUP(AA97,'G-3 Multipliers'!$L$3:$N$6,3,FALSE)))</f>
        <v/>
      </c>
      <c r="AD97" s="537" t="str">
        <f t="shared" si="15"/>
        <v/>
      </c>
      <c r="AE97" s="203"/>
      <c r="AF97" s="203"/>
      <c r="AG97" s="520" t="str">
        <f t="shared" si="18"/>
        <v/>
      </c>
      <c r="AH97" s="544" t="str">
        <f t="shared" si="19"/>
        <v/>
      </c>
      <c r="AI97" s="525" t="str">
        <f>IF(AH97="Check Data ⚠","Check Data ⚠",IFERROR(VLOOKUP(AH97,'G-4 Temporal multipliers'!$A$4:$C$36,3,FALSE),""))</f>
        <v/>
      </c>
      <c r="AJ97" s="537" t="str">
        <f>IF(S97="","",VLOOKUP(S97,'G-3 Multipliers'!$A$2:$E$129,4,FALSE))</f>
        <v/>
      </c>
      <c r="AK97" s="520" t="str">
        <f t="shared" si="20"/>
        <v/>
      </c>
      <c r="AL97" s="520" t="str">
        <f t="shared" si="21"/>
        <v/>
      </c>
      <c r="AM97" s="524" t="str">
        <f>IFERROR(IF(F97="","",IF(AH97="Check Data ⚠","Check Data ⚠",VLOOKUP(AL97, 'G-3 Multipliers'!$P$2:$Q$6,2,FALSE))),"")</f>
        <v/>
      </c>
      <c r="AN97" s="197"/>
      <c r="AO97" s="540" t="str">
        <f>IF(AN97="","",IF(VLOOKUP(AN97,'G-3 Multipliers'!$S$3:$T$9,2,FALSE)=0,"Spatial Data Missing ⚠",VLOOKUP(AN97,'G-3 Multipliers'!$S$3:$T$9,2,FALSE)))</f>
        <v/>
      </c>
      <c r="AP97" s="513" t="str">
        <f t="shared" si="22"/>
        <v/>
      </c>
      <c r="AQ97" s="231"/>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7" t="str">
        <f>'D-1 Off Site Habitat Baseline'!AL97</f>
        <v/>
      </c>
      <c r="F98" s="520" t="str">
        <f>IF(E98="","",IF(ISNA(VLOOKUP($E98,'D-1 Off Site Habitat Baseline'!$D$1:$O$258,4,FALSE)),"",(VLOOKUP($E98,'D-1 Off Site Habitat Baseline'!$D$1:$O$258,4,FALSE))))</f>
        <v/>
      </c>
      <c r="G98" s="520" t="str">
        <f>IF(E98="","",IF(ISNA(VLOOKUP($E98,'D-1 Off Site Habitat Baseline'!$D$1:$O$258,5,FALSE)),"",(VLOOKUP($E98,'D-1 Off Site Habitat Baseline'!$D$1:$O$258,5,FALSE))))</f>
        <v/>
      </c>
      <c r="H98" s="520" t="str">
        <f>IF(E98="","",IF(ISNA(VLOOKUP($E98,'D-1 Off Site Habitat Baseline'!$D$1:$O$258,6,FALSE)),"",(VLOOKUP($E98,'D-1 Off Site Habitat Baseline'!$D$1:$O$258,6,FALSE))))</f>
        <v/>
      </c>
      <c r="I98" s="520" t="str">
        <f>IF(E98="","",IF(ISNA(VLOOKUP($E98,'D-1 Off Site Habitat Baseline'!$D$1:$O$258,7,FALSE)),"",(VLOOKUP($E98,'D-1 Off Site Habitat Baseline'!$D$1:$O$258,7,FALSE))))</f>
        <v/>
      </c>
      <c r="J98" s="520" t="str">
        <f>IF(E98="","",IF(ISNA(VLOOKUP($E98,'D-1 Off Site Habitat Baseline'!$D$1:$O$258,8,FALSE)),"",(VLOOKUP($E98,'D-1 Off Site Habitat Baseline'!$D$1:$O$258,8,FALSE))))</f>
        <v/>
      </c>
      <c r="K98" s="520" t="str">
        <f>IF(E98="","",IF(ISNA(VLOOKUP($E98,'D-1 Off Site Habitat Baseline'!$D$1:$O$258,9,FALSE)),"",(VLOOKUP($E98,'D-1 Off Site Habitat Baseline'!$D$1:$O$258,9,FALSE))))</f>
        <v/>
      </c>
      <c r="L98" s="520" t="str">
        <f>IF(E98="","",IF(ISNA(VLOOKUP($E98,'D-1 Off Site Habitat Baseline'!$D$1:$O$258,11,FALSE)),"",(VLOOKUP($E98,'D-1 Off Site Habitat Baseline'!$D$1:$O$258,11,FALSE))))</f>
        <v/>
      </c>
      <c r="M98" s="520" t="str">
        <f>IF(E98="","",IF(ISNA(VLOOKUP($E98,'D-1 Off Site Habitat Baseline'!$D$1:$O$258,12,FALSE)),"",(VLOOKUP($E98,'D-1 Off Site Habitat Baseline'!$D$1:$O$258,12,FALSE))))</f>
        <v/>
      </c>
      <c r="N98" s="520" t="str">
        <f>IF(E98="","",IF(ISNA(VLOOKUP($E98,'D-1 Off Site Habitat Baseline'!$D$1:$X$258,14,FALSE)),"",(VLOOKUP($E98,'D-1 Off Site Habitat Baseline'!$D$1:$X$258,14,FALSE))))</f>
        <v/>
      </c>
      <c r="O98" s="524" t="str">
        <f>IF(E98="","",IF(ISNA(VLOOKUP($E98,'D-1 Off Site Habitat Baseline'!$D$1:$X$258,13,FALSE)),"",(VLOOKUP($E98,'D-1 Off Site Habitat Baseline'!$D$1:$X$258,13,FALSE))))</f>
        <v/>
      </c>
      <c r="P98" s="232" t="str">
        <f>IFERROR(INDEX('G-1 All Habitats'!$AG$3:$AG$15,MATCH(Q98,'G-1 All Habitats'!$AF$3:$AF$15,0)),"")</f>
        <v/>
      </c>
      <c r="Q98" s="228" t="str">
        <f t="shared" si="23"/>
        <v/>
      </c>
      <c r="R98" s="229" t="str">
        <f t="shared" si="24"/>
        <v/>
      </c>
      <c r="S98" s="233" t="str">
        <f>IFERROR(INDEX('G-1 All Habitats'!$B$3:$B$129,MATCH(R98,'G-1 All Habitats'!$A$3:$A$129,0)),"")</f>
        <v/>
      </c>
      <c r="T98" s="507" t="str">
        <f t="shared" si="16"/>
        <v/>
      </c>
      <c r="U98" s="524" t="str">
        <f t="shared" si="17"/>
        <v/>
      </c>
      <c r="V98" s="523" t="str">
        <f t="shared" si="14"/>
        <v/>
      </c>
      <c r="W98" s="520" t="str">
        <f>IF(S98="","",VLOOKUP(S98,'G-1 All Habitats'!$B$2:$M$129,10,FALSE))</f>
        <v/>
      </c>
      <c r="X98" s="520" t="str">
        <f>IFERROR(VLOOKUP(W98,'G-1 All Habitats'!$V$3:$W$7,2,FALSE),"")</f>
        <v/>
      </c>
      <c r="Y98" s="203"/>
      <c r="Z98" s="524" t="str">
        <f>IFERROR(INDEX('G-8 Condition Look up'!$A$3:$H$130,MATCH(S98,'G-8 Condition Look up'!$A$3:$A$130,0),MATCH(Y98,'G-8 Condition Look up'!$A$3:$H$3,0)),"")</f>
        <v/>
      </c>
      <c r="AA98" s="145"/>
      <c r="AB98" s="540" t="str">
        <f>IF(AA98="","",IF(VLOOKUP(AA98,'G-3 Multipliers'!$L$3:$N$6,2,FALSE)=0,"Spatial Data Missing ⚠",VLOOKUP(AA98,'G-3 Multipliers'!$L$3:$N$6,2,FALSE)))</f>
        <v/>
      </c>
      <c r="AC98" s="524" t="str">
        <f>IF(AA98="","",IF(VLOOKUP(AA98,'G-3 Multipliers'!$L$3:$N$6,3,FALSE)=0,"Spatial Data Missing ⚠",VLOOKUP(AA98,'G-3 Multipliers'!$L$3:$N$6,3,FALSE)))</f>
        <v/>
      </c>
      <c r="AD98" s="537" t="str">
        <f t="shared" si="15"/>
        <v/>
      </c>
      <c r="AE98" s="203"/>
      <c r="AF98" s="203"/>
      <c r="AG98" s="520" t="str">
        <f t="shared" si="18"/>
        <v/>
      </c>
      <c r="AH98" s="544" t="str">
        <f t="shared" si="19"/>
        <v/>
      </c>
      <c r="AI98" s="525" t="str">
        <f>IF(AH98="Check Data ⚠","Check Data ⚠",IFERROR(VLOOKUP(AH98,'G-4 Temporal multipliers'!$A$4:$C$36,3,FALSE),""))</f>
        <v/>
      </c>
      <c r="AJ98" s="537" t="str">
        <f>IF(S98="","",VLOOKUP(S98,'G-3 Multipliers'!$A$2:$E$129,4,FALSE))</f>
        <v/>
      </c>
      <c r="AK98" s="520" t="str">
        <f t="shared" si="20"/>
        <v/>
      </c>
      <c r="AL98" s="520" t="str">
        <f t="shared" si="21"/>
        <v/>
      </c>
      <c r="AM98" s="524" t="str">
        <f>IFERROR(IF(F98="","",IF(AH98="Check Data ⚠","Check Data ⚠",VLOOKUP(AL98, 'G-3 Multipliers'!$P$2:$Q$6,2,FALSE))),"")</f>
        <v/>
      </c>
      <c r="AN98" s="197"/>
      <c r="AO98" s="540" t="str">
        <f>IF(AN98="","",IF(VLOOKUP(AN98,'G-3 Multipliers'!$S$3:$T$9,2,FALSE)=0,"Spatial Data Missing ⚠",VLOOKUP(AN98,'G-3 Multipliers'!$S$3:$T$9,2,FALSE)))</f>
        <v/>
      </c>
      <c r="AP98" s="513" t="str">
        <f t="shared" si="22"/>
        <v/>
      </c>
      <c r="AQ98" s="231"/>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7" t="str">
        <f>'D-1 Off Site Habitat Baseline'!AL98</f>
        <v/>
      </c>
      <c r="F99" s="520" t="str">
        <f>IF(E99="","",IF(ISNA(VLOOKUP($E99,'D-1 Off Site Habitat Baseline'!$D$1:$O$258,4,FALSE)),"",(VLOOKUP($E99,'D-1 Off Site Habitat Baseline'!$D$1:$O$258,4,FALSE))))</f>
        <v/>
      </c>
      <c r="G99" s="520" t="str">
        <f>IF(E99="","",IF(ISNA(VLOOKUP($E99,'D-1 Off Site Habitat Baseline'!$D$1:$O$258,5,FALSE)),"",(VLOOKUP($E99,'D-1 Off Site Habitat Baseline'!$D$1:$O$258,5,FALSE))))</f>
        <v/>
      </c>
      <c r="H99" s="520" t="str">
        <f>IF(E99="","",IF(ISNA(VLOOKUP($E99,'D-1 Off Site Habitat Baseline'!$D$1:$O$258,6,FALSE)),"",(VLOOKUP($E99,'D-1 Off Site Habitat Baseline'!$D$1:$O$258,6,FALSE))))</f>
        <v/>
      </c>
      <c r="I99" s="520" t="str">
        <f>IF(E99="","",IF(ISNA(VLOOKUP($E99,'D-1 Off Site Habitat Baseline'!$D$1:$O$258,7,FALSE)),"",(VLOOKUP($E99,'D-1 Off Site Habitat Baseline'!$D$1:$O$258,7,FALSE))))</f>
        <v/>
      </c>
      <c r="J99" s="520" t="str">
        <f>IF(E99="","",IF(ISNA(VLOOKUP($E99,'D-1 Off Site Habitat Baseline'!$D$1:$O$258,8,FALSE)),"",(VLOOKUP($E99,'D-1 Off Site Habitat Baseline'!$D$1:$O$258,8,FALSE))))</f>
        <v/>
      </c>
      <c r="K99" s="520" t="str">
        <f>IF(E99="","",IF(ISNA(VLOOKUP($E99,'D-1 Off Site Habitat Baseline'!$D$1:$O$258,9,FALSE)),"",(VLOOKUP($E99,'D-1 Off Site Habitat Baseline'!$D$1:$O$258,9,FALSE))))</f>
        <v/>
      </c>
      <c r="L99" s="520" t="str">
        <f>IF(E99="","",IF(ISNA(VLOOKUP($E99,'D-1 Off Site Habitat Baseline'!$D$1:$O$258,11,FALSE)),"",(VLOOKUP($E99,'D-1 Off Site Habitat Baseline'!$D$1:$O$258,11,FALSE))))</f>
        <v/>
      </c>
      <c r="M99" s="520" t="str">
        <f>IF(E99="","",IF(ISNA(VLOOKUP($E99,'D-1 Off Site Habitat Baseline'!$D$1:$O$258,12,FALSE)),"",(VLOOKUP($E99,'D-1 Off Site Habitat Baseline'!$D$1:$O$258,12,FALSE))))</f>
        <v/>
      </c>
      <c r="N99" s="520" t="str">
        <f>IF(E99="","",IF(ISNA(VLOOKUP($E99,'D-1 Off Site Habitat Baseline'!$D$1:$X$258,14,FALSE)),"",(VLOOKUP($E99,'D-1 Off Site Habitat Baseline'!$D$1:$X$258,14,FALSE))))</f>
        <v/>
      </c>
      <c r="O99" s="524" t="str">
        <f>IF(E99="","",IF(ISNA(VLOOKUP($E99,'D-1 Off Site Habitat Baseline'!$D$1:$X$258,13,FALSE)),"",(VLOOKUP($E99,'D-1 Off Site Habitat Baseline'!$D$1:$X$258,13,FALSE))))</f>
        <v/>
      </c>
      <c r="P99" s="232" t="str">
        <f>IFERROR(INDEX('G-1 All Habitats'!$AG$3:$AG$15,MATCH(Q99,'G-1 All Habitats'!$AF$3:$AF$15,0)),"")</f>
        <v/>
      </c>
      <c r="Q99" s="228" t="str">
        <f t="shared" si="23"/>
        <v/>
      </c>
      <c r="R99" s="229" t="str">
        <f t="shared" si="24"/>
        <v/>
      </c>
      <c r="S99" s="233" t="str">
        <f>IFERROR(INDEX('G-1 All Habitats'!$B$3:$B$129,MATCH(R99,'G-1 All Habitats'!$A$3:$A$129,0)),"")</f>
        <v/>
      </c>
      <c r="T99" s="507" t="str">
        <f t="shared" si="16"/>
        <v/>
      </c>
      <c r="U99" s="524" t="str">
        <f t="shared" si="17"/>
        <v/>
      </c>
      <c r="V99" s="523" t="str">
        <f t="shared" si="14"/>
        <v/>
      </c>
      <c r="W99" s="520" t="str">
        <f>IF(S99="","",VLOOKUP(S99,'G-1 All Habitats'!$B$2:$M$129,10,FALSE))</f>
        <v/>
      </c>
      <c r="X99" s="520" t="str">
        <f>IFERROR(VLOOKUP(W99,'G-1 All Habitats'!$V$3:$W$7,2,FALSE),"")</f>
        <v/>
      </c>
      <c r="Y99" s="203"/>
      <c r="Z99" s="524" t="str">
        <f>IFERROR(INDEX('G-8 Condition Look up'!$A$3:$H$130,MATCH(S99,'G-8 Condition Look up'!$A$3:$A$130,0),MATCH(Y99,'G-8 Condition Look up'!$A$3:$H$3,0)),"")</f>
        <v/>
      </c>
      <c r="AA99" s="145"/>
      <c r="AB99" s="540" t="str">
        <f>IF(AA99="","",IF(VLOOKUP(AA99,'G-3 Multipliers'!$L$3:$N$6,2,FALSE)=0,"Spatial Data Missing ⚠",VLOOKUP(AA99,'G-3 Multipliers'!$L$3:$N$6,2,FALSE)))</f>
        <v/>
      </c>
      <c r="AC99" s="524" t="str">
        <f>IF(AA99="","",IF(VLOOKUP(AA99,'G-3 Multipliers'!$L$3:$N$6,3,FALSE)=0,"Spatial Data Missing ⚠",VLOOKUP(AA99,'G-3 Multipliers'!$L$3:$N$6,3,FALSE)))</f>
        <v/>
      </c>
      <c r="AD99" s="537" t="str">
        <f t="shared" si="15"/>
        <v/>
      </c>
      <c r="AE99" s="203"/>
      <c r="AF99" s="203"/>
      <c r="AG99" s="520" t="str">
        <f t="shared" si="18"/>
        <v/>
      </c>
      <c r="AH99" s="544" t="str">
        <f t="shared" si="19"/>
        <v/>
      </c>
      <c r="AI99" s="525" t="str">
        <f>IF(AH99="Check Data ⚠","Check Data ⚠",IFERROR(VLOOKUP(AH99,'G-4 Temporal multipliers'!$A$4:$C$36,3,FALSE),""))</f>
        <v/>
      </c>
      <c r="AJ99" s="537" t="str">
        <f>IF(S99="","",VLOOKUP(S99,'G-3 Multipliers'!$A$2:$E$129,4,FALSE))</f>
        <v/>
      </c>
      <c r="AK99" s="520" t="str">
        <f t="shared" si="20"/>
        <v/>
      </c>
      <c r="AL99" s="520" t="str">
        <f t="shared" si="21"/>
        <v/>
      </c>
      <c r="AM99" s="524" t="str">
        <f>IFERROR(IF(F99="","",IF(AH99="Check Data ⚠","Check Data ⚠",VLOOKUP(AL99, 'G-3 Multipliers'!$P$2:$Q$6,2,FALSE))),"")</f>
        <v/>
      </c>
      <c r="AN99" s="197"/>
      <c r="AO99" s="540" t="str">
        <f>IF(AN99="","",IF(VLOOKUP(AN99,'G-3 Multipliers'!$S$3:$T$9,2,FALSE)=0,"Spatial Data Missing ⚠",VLOOKUP(AN99,'G-3 Multipliers'!$S$3:$T$9,2,FALSE)))</f>
        <v/>
      </c>
      <c r="AP99" s="513" t="str">
        <f t="shared" si="22"/>
        <v/>
      </c>
      <c r="AQ99" s="231"/>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7" t="str">
        <f>'D-1 Off Site Habitat Baseline'!AL99</f>
        <v/>
      </c>
      <c r="F100" s="520" t="str">
        <f>IF(E100="","",IF(ISNA(VLOOKUP($E100,'D-1 Off Site Habitat Baseline'!$D$1:$O$258,4,FALSE)),"",(VLOOKUP($E100,'D-1 Off Site Habitat Baseline'!$D$1:$O$258,4,FALSE))))</f>
        <v/>
      </c>
      <c r="G100" s="520" t="str">
        <f>IF(E100="","",IF(ISNA(VLOOKUP($E100,'D-1 Off Site Habitat Baseline'!$D$1:$O$258,5,FALSE)),"",(VLOOKUP($E100,'D-1 Off Site Habitat Baseline'!$D$1:$O$258,5,FALSE))))</f>
        <v/>
      </c>
      <c r="H100" s="520" t="str">
        <f>IF(E100="","",IF(ISNA(VLOOKUP($E100,'D-1 Off Site Habitat Baseline'!$D$1:$O$258,6,FALSE)),"",(VLOOKUP($E100,'D-1 Off Site Habitat Baseline'!$D$1:$O$258,6,FALSE))))</f>
        <v/>
      </c>
      <c r="I100" s="520" t="str">
        <f>IF(E100="","",IF(ISNA(VLOOKUP($E100,'D-1 Off Site Habitat Baseline'!$D$1:$O$258,7,FALSE)),"",(VLOOKUP($E100,'D-1 Off Site Habitat Baseline'!$D$1:$O$258,7,FALSE))))</f>
        <v/>
      </c>
      <c r="J100" s="520" t="str">
        <f>IF(E100="","",IF(ISNA(VLOOKUP($E100,'D-1 Off Site Habitat Baseline'!$D$1:$O$258,8,FALSE)),"",(VLOOKUP($E100,'D-1 Off Site Habitat Baseline'!$D$1:$O$258,8,FALSE))))</f>
        <v/>
      </c>
      <c r="K100" s="520" t="str">
        <f>IF(E100="","",IF(ISNA(VLOOKUP($E100,'D-1 Off Site Habitat Baseline'!$D$1:$O$258,9,FALSE)),"",(VLOOKUP($E100,'D-1 Off Site Habitat Baseline'!$D$1:$O$258,9,FALSE))))</f>
        <v/>
      </c>
      <c r="L100" s="520" t="str">
        <f>IF(E100="","",IF(ISNA(VLOOKUP($E100,'D-1 Off Site Habitat Baseline'!$D$1:$O$258,11,FALSE)),"",(VLOOKUP($E100,'D-1 Off Site Habitat Baseline'!$D$1:$O$258,11,FALSE))))</f>
        <v/>
      </c>
      <c r="M100" s="520" t="str">
        <f>IF(E100="","",IF(ISNA(VLOOKUP($E100,'D-1 Off Site Habitat Baseline'!$D$1:$O$258,12,FALSE)),"",(VLOOKUP($E100,'D-1 Off Site Habitat Baseline'!$D$1:$O$258,12,FALSE))))</f>
        <v/>
      </c>
      <c r="N100" s="520" t="str">
        <f>IF(E100="","",IF(ISNA(VLOOKUP($E100,'D-1 Off Site Habitat Baseline'!$D$1:$X$258,14,FALSE)),"",(VLOOKUP($E100,'D-1 Off Site Habitat Baseline'!$D$1:$X$258,14,FALSE))))</f>
        <v/>
      </c>
      <c r="O100" s="524" t="str">
        <f>IF(E100="","",IF(ISNA(VLOOKUP($E100,'D-1 Off Site Habitat Baseline'!$D$1:$X$258,13,FALSE)),"",(VLOOKUP($E100,'D-1 Off Site Habitat Baseline'!$D$1:$X$258,13,FALSE))))</f>
        <v/>
      </c>
      <c r="P100" s="232" t="str">
        <f>IFERROR(INDEX('G-1 All Habitats'!$AG$3:$AG$15,MATCH(Q100,'G-1 All Habitats'!$AF$3:$AF$15,0)),"")</f>
        <v/>
      </c>
      <c r="Q100" s="228" t="str">
        <f t="shared" si="23"/>
        <v/>
      </c>
      <c r="R100" s="229" t="str">
        <f t="shared" si="24"/>
        <v/>
      </c>
      <c r="S100" s="233" t="str">
        <f>IFERROR(INDEX('G-1 All Habitats'!$B$3:$B$129,MATCH(R100,'G-1 All Habitats'!$A$3:$A$129,0)),"")</f>
        <v/>
      </c>
      <c r="T100" s="507" t="str">
        <f t="shared" si="16"/>
        <v/>
      </c>
      <c r="U100" s="524" t="str">
        <f t="shared" si="17"/>
        <v/>
      </c>
      <c r="V100" s="523" t="str">
        <f t="shared" si="14"/>
        <v/>
      </c>
      <c r="W100" s="520" t="str">
        <f>IF(S100="","",VLOOKUP(S100,'G-1 All Habitats'!$B$2:$M$129,10,FALSE))</f>
        <v/>
      </c>
      <c r="X100" s="520" t="str">
        <f>IFERROR(VLOOKUP(W100,'G-1 All Habitats'!$V$3:$W$7,2,FALSE),"")</f>
        <v/>
      </c>
      <c r="Y100" s="203"/>
      <c r="Z100" s="524" t="str">
        <f>IFERROR(INDEX('G-8 Condition Look up'!$A$3:$H$130,MATCH(S100,'G-8 Condition Look up'!$A$3:$A$130,0),MATCH(Y100,'G-8 Condition Look up'!$A$3:$H$3,0)),"")</f>
        <v/>
      </c>
      <c r="AA100" s="145"/>
      <c r="AB100" s="540" t="str">
        <f>IF(AA100="","",IF(VLOOKUP(AA100,'G-3 Multipliers'!$L$3:$N$6,2,FALSE)=0,"Spatial Data Missing ⚠",VLOOKUP(AA100,'G-3 Multipliers'!$L$3:$N$6,2,FALSE)))</f>
        <v/>
      </c>
      <c r="AC100" s="524" t="str">
        <f>IF(AA100="","",IF(VLOOKUP(AA100,'G-3 Multipliers'!$L$3:$N$6,3,FALSE)=0,"Spatial Data Missing ⚠",VLOOKUP(AA100,'G-3 Multipliers'!$L$3:$N$6,3,FALSE)))</f>
        <v/>
      </c>
      <c r="AD100" s="537" t="str">
        <f t="shared" si="15"/>
        <v/>
      </c>
      <c r="AE100" s="203"/>
      <c r="AF100" s="203"/>
      <c r="AG100" s="520" t="str">
        <f t="shared" si="18"/>
        <v/>
      </c>
      <c r="AH100" s="544" t="str">
        <f t="shared" si="19"/>
        <v/>
      </c>
      <c r="AI100" s="525" t="str">
        <f>IF(AH100="Check Data ⚠","Check Data ⚠",IFERROR(VLOOKUP(AH100,'G-4 Temporal multipliers'!$A$4:$C$36,3,FALSE),""))</f>
        <v/>
      </c>
      <c r="AJ100" s="537" t="str">
        <f>IF(S100="","",VLOOKUP(S100,'G-3 Multipliers'!$A$2:$E$129,4,FALSE))</f>
        <v/>
      </c>
      <c r="AK100" s="520" t="str">
        <f t="shared" si="20"/>
        <v/>
      </c>
      <c r="AL100" s="520" t="str">
        <f t="shared" si="21"/>
        <v/>
      </c>
      <c r="AM100" s="524" t="str">
        <f>IFERROR(IF(F100="","",IF(AH100="Check Data ⚠","Check Data ⚠",VLOOKUP(AL100, 'G-3 Multipliers'!$P$2:$Q$6,2,FALSE))),"")</f>
        <v/>
      </c>
      <c r="AN100" s="197"/>
      <c r="AO100" s="540" t="str">
        <f>IF(AN100="","",IF(VLOOKUP(AN100,'G-3 Multipliers'!$S$3:$T$9,2,FALSE)=0,"Spatial Data Missing ⚠",VLOOKUP(AN100,'G-3 Multipliers'!$S$3:$T$9,2,FALSE)))</f>
        <v/>
      </c>
      <c r="AP100" s="513" t="str">
        <f t="shared" si="22"/>
        <v/>
      </c>
      <c r="AQ100" s="231"/>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7" t="str">
        <f>'D-1 Off Site Habitat Baseline'!AL100</f>
        <v/>
      </c>
      <c r="F101" s="520" t="str">
        <f>IF(E101="","",IF(ISNA(VLOOKUP($E101,'D-1 Off Site Habitat Baseline'!$D$1:$O$258,4,FALSE)),"",(VLOOKUP($E101,'D-1 Off Site Habitat Baseline'!$D$1:$O$258,4,FALSE))))</f>
        <v/>
      </c>
      <c r="G101" s="520" t="str">
        <f>IF(E101="","",IF(ISNA(VLOOKUP($E101,'D-1 Off Site Habitat Baseline'!$D$1:$O$258,5,FALSE)),"",(VLOOKUP($E101,'D-1 Off Site Habitat Baseline'!$D$1:$O$258,5,FALSE))))</f>
        <v/>
      </c>
      <c r="H101" s="520" t="str">
        <f>IF(E101="","",IF(ISNA(VLOOKUP($E101,'D-1 Off Site Habitat Baseline'!$D$1:$O$258,6,FALSE)),"",(VLOOKUP($E101,'D-1 Off Site Habitat Baseline'!$D$1:$O$258,6,FALSE))))</f>
        <v/>
      </c>
      <c r="I101" s="520" t="str">
        <f>IF(E101="","",IF(ISNA(VLOOKUP($E101,'D-1 Off Site Habitat Baseline'!$D$1:$O$258,7,FALSE)),"",(VLOOKUP($E101,'D-1 Off Site Habitat Baseline'!$D$1:$O$258,7,FALSE))))</f>
        <v/>
      </c>
      <c r="J101" s="520" t="str">
        <f>IF(E101="","",IF(ISNA(VLOOKUP($E101,'D-1 Off Site Habitat Baseline'!$D$1:$O$258,8,FALSE)),"",(VLOOKUP($E101,'D-1 Off Site Habitat Baseline'!$D$1:$O$258,8,FALSE))))</f>
        <v/>
      </c>
      <c r="K101" s="520" t="str">
        <f>IF(E101="","",IF(ISNA(VLOOKUP($E101,'D-1 Off Site Habitat Baseline'!$D$1:$O$258,9,FALSE)),"",(VLOOKUP($E101,'D-1 Off Site Habitat Baseline'!$D$1:$O$258,9,FALSE))))</f>
        <v/>
      </c>
      <c r="L101" s="520" t="str">
        <f>IF(E101="","",IF(ISNA(VLOOKUP($E101,'D-1 Off Site Habitat Baseline'!$D$1:$O$258,11,FALSE)),"",(VLOOKUP($E101,'D-1 Off Site Habitat Baseline'!$D$1:$O$258,11,FALSE))))</f>
        <v/>
      </c>
      <c r="M101" s="520" t="str">
        <f>IF(E101="","",IF(ISNA(VLOOKUP($E101,'D-1 Off Site Habitat Baseline'!$D$1:$O$258,12,FALSE)),"",(VLOOKUP($E101,'D-1 Off Site Habitat Baseline'!$D$1:$O$258,12,FALSE))))</f>
        <v/>
      </c>
      <c r="N101" s="520" t="str">
        <f>IF(E101="","",IF(ISNA(VLOOKUP($E101,'D-1 Off Site Habitat Baseline'!$D$1:$X$258,14,FALSE)),"",(VLOOKUP($E101,'D-1 Off Site Habitat Baseline'!$D$1:$X$258,14,FALSE))))</f>
        <v/>
      </c>
      <c r="O101" s="524" t="str">
        <f>IF(E101="","",IF(ISNA(VLOOKUP($E101,'D-1 Off Site Habitat Baseline'!$D$1:$X$258,13,FALSE)),"",(VLOOKUP($E101,'D-1 Off Site Habitat Baseline'!$D$1:$X$258,13,FALSE))))</f>
        <v/>
      </c>
      <c r="P101" s="232" t="str">
        <f>IFERROR(INDEX('G-1 All Habitats'!$AG$3:$AG$15,MATCH(Q101,'G-1 All Habitats'!$AF$3:$AF$15,0)),"")</f>
        <v/>
      </c>
      <c r="Q101" s="228" t="str">
        <f t="shared" si="23"/>
        <v/>
      </c>
      <c r="R101" s="229" t="str">
        <f t="shared" si="24"/>
        <v/>
      </c>
      <c r="S101" s="233" t="str">
        <f>IFERROR(INDEX('G-1 All Habitats'!$B$3:$B$129,MATCH(R101,'G-1 All Habitats'!$A$3:$A$129,0)),"")</f>
        <v/>
      </c>
      <c r="T101" s="507" t="str">
        <f t="shared" si="16"/>
        <v/>
      </c>
      <c r="U101" s="524" t="str">
        <f t="shared" si="17"/>
        <v/>
      </c>
      <c r="V101" s="523" t="str">
        <f t="shared" si="14"/>
        <v/>
      </c>
      <c r="W101" s="520" t="str">
        <f>IF(S101="","",VLOOKUP(S101,'G-1 All Habitats'!$B$2:$M$129,10,FALSE))</f>
        <v/>
      </c>
      <c r="X101" s="520" t="str">
        <f>IFERROR(VLOOKUP(W101,'G-1 All Habitats'!$V$3:$W$7,2,FALSE),"")</f>
        <v/>
      </c>
      <c r="Y101" s="203"/>
      <c r="Z101" s="524" t="str">
        <f>IFERROR(INDEX('G-8 Condition Look up'!$A$3:$H$130,MATCH(S101,'G-8 Condition Look up'!$A$3:$A$130,0),MATCH(Y101,'G-8 Condition Look up'!$A$3:$H$3,0)),"")</f>
        <v/>
      </c>
      <c r="AA101" s="145"/>
      <c r="AB101" s="540" t="str">
        <f>IF(AA101="","",IF(VLOOKUP(AA101,'G-3 Multipliers'!$L$3:$N$6,2,FALSE)=0,"Spatial Data Missing ⚠",VLOOKUP(AA101,'G-3 Multipliers'!$L$3:$N$6,2,FALSE)))</f>
        <v/>
      </c>
      <c r="AC101" s="524" t="str">
        <f>IF(AA101="","",IF(VLOOKUP(AA101,'G-3 Multipliers'!$L$3:$N$6,3,FALSE)=0,"Spatial Data Missing ⚠",VLOOKUP(AA101,'G-3 Multipliers'!$L$3:$N$6,3,FALSE)))</f>
        <v/>
      </c>
      <c r="AD101" s="537" t="str">
        <f t="shared" si="15"/>
        <v/>
      </c>
      <c r="AE101" s="203"/>
      <c r="AF101" s="203"/>
      <c r="AG101" s="520" t="str">
        <f t="shared" si="18"/>
        <v/>
      </c>
      <c r="AH101" s="544" t="str">
        <f t="shared" si="19"/>
        <v/>
      </c>
      <c r="AI101" s="525" t="str">
        <f>IF(AH101="Check Data ⚠","Check Data ⚠",IFERROR(VLOOKUP(AH101,'G-4 Temporal multipliers'!$A$4:$C$36,3,FALSE),""))</f>
        <v/>
      </c>
      <c r="AJ101" s="537" t="str">
        <f>IF(S101="","",VLOOKUP(S101,'G-3 Multipliers'!$A$2:$E$129,4,FALSE))</f>
        <v/>
      </c>
      <c r="AK101" s="520" t="str">
        <f t="shared" si="20"/>
        <v/>
      </c>
      <c r="AL101" s="520" t="str">
        <f t="shared" si="21"/>
        <v/>
      </c>
      <c r="AM101" s="524" t="str">
        <f>IFERROR(IF(F101="","",IF(AH101="Check Data ⚠","Check Data ⚠",VLOOKUP(AL101, 'G-3 Multipliers'!$P$2:$Q$6,2,FALSE))),"")</f>
        <v/>
      </c>
      <c r="AN101" s="197"/>
      <c r="AO101" s="540" t="str">
        <f>IF(AN101="","",IF(VLOOKUP(AN101,'G-3 Multipliers'!$S$3:$T$9,2,FALSE)=0,"Spatial Data Missing ⚠",VLOOKUP(AN101,'G-3 Multipliers'!$S$3:$T$9,2,FALSE)))</f>
        <v/>
      </c>
      <c r="AP101" s="513" t="str">
        <f t="shared" si="22"/>
        <v/>
      </c>
      <c r="AQ101" s="231"/>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7" t="str">
        <f>'D-1 Off Site Habitat Baseline'!AL101</f>
        <v/>
      </c>
      <c r="F102" s="520" t="str">
        <f>IF(E102="","",IF(ISNA(VLOOKUP($E102,'D-1 Off Site Habitat Baseline'!$D$1:$O$258,4,FALSE)),"",(VLOOKUP($E102,'D-1 Off Site Habitat Baseline'!$D$1:$O$258,4,FALSE))))</f>
        <v/>
      </c>
      <c r="G102" s="520" t="str">
        <f>IF(E102="","",IF(ISNA(VLOOKUP($E102,'D-1 Off Site Habitat Baseline'!$D$1:$O$258,5,FALSE)),"",(VLOOKUP($E102,'D-1 Off Site Habitat Baseline'!$D$1:$O$258,5,FALSE))))</f>
        <v/>
      </c>
      <c r="H102" s="520" t="str">
        <f>IF(E102="","",IF(ISNA(VLOOKUP($E102,'D-1 Off Site Habitat Baseline'!$D$1:$O$258,6,FALSE)),"",(VLOOKUP($E102,'D-1 Off Site Habitat Baseline'!$D$1:$O$258,6,FALSE))))</f>
        <v/>
      </c>
      <c r="I102" s="520" t="str">
        <f>IF(E102="","",IF(ISNA(VLOOKUP($E102,'D-1 Off Site Habitat Baseline'!$D$1:$O$258,7,FALSE)),"",(VLOOKUP($E102,'D-1 Off Site Habitat Baseline'!$D$1:$O$258,7,FALSE))))</f>
        <v/>
      </c>
      <c r="J102" s="520" t="str">
        <f>IF(E102="","",IF(ISNA(VLOOKUP($E102,'D-1 Off Site Habitat Baseline'!$D$1:$O$258,8,FALSE)),"",(VLOOKUP($E102,'D-1 Off Site Habitat Baseline'!$D$1:$O$258,8,FALSE))))</f>
        <v/>
      </c>
      <c r="K102" s="520" t="str">
        <f>IF(E102="","",IF(ISNA(VLOOKUP($E102,'D-1 Off Site Habitat Baseline'!$D$1:$O$258,9,FALSE)),"",(VLOOKUP($E102,'D-1 Off Site Habitat Baseline'!$D$1:$O$258,9,FALSE))))</f>
        <v/>
      </c>
      <c r="L102" s="520" t="str">
        <f>IF(E102="","",IF(ISNA(VLOOKUP($E102,'D-1 Off Site Habitat Baseline'!$D$1:$O$258,11,FALSE)),"",(VLOOKUP($E102,'D-1 Off Site Habitat Baseline'!$D$1:$O$258,11,FALSE))))</f>
        <v/>
      </c>
      <c r="M102" s="520" t="str">
        <f>IF(E102="","",IF(ISNA(VLOOKUP($E102,'D-1 Off Site Habitat Baseline'!$D$1:$O$258,12,FALSE)),"",(VLOOKUP($E102,'D-1 Off Site Habitat Baseline'!$D$1:$O$258,12,FALSE))))</f>
        <v/>
      </c>
      <c r="N102" s="520" t="str">
        <f>IF(E102="","",IF(ISNA(VLOOKUP($E102,'D-1 Off Site Habitat Baseline'!$D$1:$X$258,14,FALSE)),"",(VLOOKUP($E102,'D-1 Off Site Habitat Baseline'!$D$1:$X$258,14,FALSE))))</f>
        <v/>
      </c>
      <c r="O102" s="524" t="str">
        <f>IF(E102="","",IF(ISNA(VLOOKUP($E102,'D-1 Off Site Habitat Baseline'!$D$1:$X$258,13,FALSE)),"",(VLOOKUP($E102,'D-1 Off Site Habitat Baseline'!$D$1:$X$258,13,FALSE))))</f>
        <v/>
      </c>
      <c r="P102" s="232" t="str">
        <f>IFERROR(INDEX('G-1 All Habitats'!$AG$3:$AG$15,MATCH(Q102,'G-1 All Habitats'!$AF$3:$AF$15,0)),"")</f>
        <v/>
      </c>
      <c r="Q102" s="228" t="str">
        <f t="shared" si="23"/>
        <v/>
      </c>
      <c r="R102" s="229" t="str">
        <f t="shared" si="24"/>
        <v/>
      </c>
      <c r="S102" s="233" t="str">
        <f>IFERROR(INDEX('G-1 All Habitats'!$B$3:$B$129,MATCH(R102,'G-1 All Habitats'!$A$3:$A$129,0)),"")</f>
        <v/>
      </c>
      <c r="T102" s="507" t="str">
        <f t="shared" si="16"/>
        <v/>
      </c>
      <c r="U102" s="524" t="str">
        <f t="shared" si="17"/>
        <v/>
      </c>
      <c r="V102" s="523" t="str">
        <f t="shared" si="14"/>
        <v/>
      </c>
      <c r="W102" s="520" t="str">
        <f>IF(S102="","",VLOOKUP(S102,'G-1 All Habitats'!$B$2:$M$129,10,FALSE))</f>
        <v/>
      </c>
      <c r="X102" s="520" t="str">
        <f>IFERROR(VLOOKUP(W102,'G-1 All Habitats'!$V$3:$W$7,2,FALSE),"")</f>
        <v/>
      </c>
      <c r="Y102" s="203"/>
      <c r="Z102" s="524" t="str">
        <f>IFERROR(INDEX('G-8 Condition Look up'!$A$3:$H$130,MATCH(S102,'G-8 Condition Look up'!$A$3:$A$130,0),MATCH(Y102,'G-8 Condition Look up'!$A$3:$H$3,0)),"")</f>
        <v/>
      </c>
      <c r="AA102" s="145"/>
      <c r="AB102" s="540" t="str">
        <f>IF(AA102="","",IF(VLOOKUP(AA102,'G-3 Multipliers'!$L$3:$N$6,2,FALSE)=0,"Spatial Data Missing ⚠",VLOOKUP(AA102,'G-3 Multipliers'!$L$3:$N$6,2,FALSE)))</f>
        <v/>
      </c>
      <c r="AC102" s="524" t="str">
        <f>IF(AA102="","",IF(VLOOKUP(AA102,'G-3 Multipliers'!$L$3:$N$6,3,FALSE)=0,"Spatial Data Missing ⚠",VLOOKUP(AA102,'G-3 Multipliers'!$L$3:$N$6,3,FALSE)))</f>
        <v/>
      </c>
      <c r="AD102" s="537" t="str">
        <f t="shared" si="15"/>
        <v/>
      </c>
      <c r="AE102" s="203"/>
      <c r="AF102" s="203"/>
      <c r="AG102" s="520" t="str">
        <f t="shared" si="18"/>
        <v/>
      </c>
      <c r="AH102" s="544" t="str">
        <f t="shared" si="19"/>
        <v/>
      </c>
      <c r="AI102" s="525" t="str">
        <f>IF(AH102="Check Data ⚠","Check Data ⚠",IFERROR(VLOOKUP(AH102,'G-4 Temporal multipliers'!$A$4:$C$36,3,FALSE),""))</f>
        <v/>
      </c>
      <c r="AJ102" s="537" t="str">
        <f>IF(S102="","",VLOOKUP(S102,'G-3 Multipliers'!$A$2:$E$129,4,FALSE))</f>
        <v/>
      </c>
      <c r="AK102" s="520" t="str">
        <f t="shared" si="20"/>
        <v/>
      </c>
      <c r="AL102" s="520" t="str">
        <f t="shared" si="21"/>
        <v/>
      </c>
      <c r="AM102" s="524" t="str">
        <f>IFERROR(IF(F102="","",IF(AH102="Check Data ⚠","Check Data ⚠",VLOOKUP(AL102, 'G-3 Multipliers'!$P$2:$Q$6,2,FALSE))),"")</f>
        <v/>
      </c>
      <c r="AN102" s="197"/>
      <c r="AO102" s="540" t="str">
        <f>IF(AN102="","",IF(VLOOKUP(AN102,'G-3 Multipliers'!$S$3:$T$9,2,FALSE)=0,"Spatial Data Missing ⚠",VLOOKUP(AN102,'G-3 Multipliers'!$S$3:$T$9,2,FALSE)))</f>
        <v/>
      </c>
      <c r="AP102" s="513" t="str">
        <f t="shared" si="22"/>
        <v/>
      </c>
      <c r="AQ102" s="231"/>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7" t="str">
        <f>'D-1 Off Site Habitat Baseline'!AL102</f>
        <v/>
      </c>
      <c r="F103" s="520" t="str">
        <f>IF(E103="","",IF(ISNA(VLOOKUP($E103,'D-1 Off Site Habitat Baseline'!$D$1:$O$258,4,FALSE)),"",(VLOOKUP($E103,'D-1 Off Site Habitat Baseline'!$D$1:$O$258,4,FALSE))))</f>
        <v/>
      </c>
      <c r="G103" s="520" t="str">
        <f>IF(E103="","",IF(ISNA(VLOOKUP($E103,'D-1 Off Site Habitat Baseline'!$D$1:$O$258,5,FALSE)),"",(VLOOKUP($E103,'D-1 Off Site Habitat Baseline'!$D$1:$O$258,5,FALSE))))</f>
        <v/>
      </c>
      <c r="H103" s="520" t="str">
        <f>IF(E103="","",IF(ISNA(VLOOKUP($E103,'D-1 Off Site Habitat Baseline'!$D$1:$O$258,6,FALSE)),"",(VLOOKUP($E103,'D-1 Off Site Habitat Baseline'!$D$1:$O$258,6,FALSE))))</f>
        <v/>
      </c>
      <c r="I103" s="520" t="str">
        <f>IF(E103="","",IF(ISNA(VLOOKUP($E103,'D-1 Off Site Habitat Baseline'!$D$1:$O$258,7,FALSE)),"",(VLOOKUP($E103,'D-1 Off Site Habitat Baseline'!$D$1:$O$258,7,FALSE))))</f>
        <v/>
      </c>
      <c r="J103" s="520" t="str">
        <f>IF(E103="","",IF(ISNA(VLOOKUP($E103,'D-1 Off Site Habitat Baseline'!$D$1:$O$258,8,FALSE)),"",(VLOOKUP($E103,'D-1 Off Site Habitat Baseline'!$D$1:$O$258,8,FALSE))))</f>
        <v/>
      </c>
      <c r="K103" s="520" t="str">
        <f>IF(E103="","",IF(ISNA(VLOOKUP($E103,'D-1 Off Site Habitat Baseline'!$D$1:$O$258,9,FALSE)),"",(VLOOKUP($E103,'D-1 Off Site Habitat Baseline'!$D$1:$O$258,9,FALSE))))</f>
        <v/>
      </c>
      <c r="L103" s="520" t="str">
        <f>IF(E103="","",IF(ISNA(VLOOKUP($E103,'D-1 Off Site Habitat Baseline'!$D$1:$O$258,11,FALSE)),"",(VLOOKUP($E103,'D-1 Off Site Habitat Baseline'!$D$1:$O$258,11,FALSE))))</f>
        <v/>
      </c>
      <c r="M103" s="520" t="str">
        <f>IF(E103="","",IF(ISNA(VLOOKUP($E103,'D-1 Off Site Habitat Baseline'!$D$1:$O$258,12,FALSE)),"",(VLOOKUP($E103,'D-1 Off Site Habitat Baseline'!$D$1:$O$258,12,FALSE))))</f>
        <v/>
      </c>
      <c r="N103" s="520" t="str">
        <f>IF(E103="","",IF(ISNA(VLOOKUP($E103,'D-1 Off Site Habitat Baseline'!$D$1:$X$258,14,FALSE)),"",(VLOOKUP($E103,'D-1 Off Site Habitat Baseline'!$D$1:$X$258,14,FALSE))))</f>
        <v/>
      </c>
      <c r="O103" s="524" t="str">
        <f>IF(E103="","",IF(ISNA(VLOOKUP($E103,'D-1 Off Site Habitat Baseline'!$D$1:$X$258,13,FALSE)),"",(VLOOKUP($E103,'D-1 Off Site Habitat Baseline'!$D$1:$X$258,13,FALSE))))</f>
        <v/>
      </c>
      <c r="P103" s="232" t="str">
        <f>IFERROR(INDEX('G-1 All Habitats'!$AG$3:$AG$15,MATCH(Q103,'G-1 All Habitats'!$AF$3:$AF$15,0)),"")</f>
        <v/>
      </c>
      <c r="Q103" s="228" t="str">
        <f t="shared" si="23"/>
        <v/>
      </c>
      <c r="R103" s="229" t="str">
        <f t="shared" si="24"/>
        <v/>
      </c>
      <c r="S103" s="233" t="str">
        <f>IFERROR(INDEX('G-1 All Habitats'!$B$3:$B$129,MATCH(R103,'G-1 All Habitats'!$A$3:$A$129,0)),"")</f>
        <v/>
      </c>
      <c r="T103" s="507" t="str">
        <f t="shared" si="16"/>
        <v/>
      </c>
      <c r="U103" s="524" t="str">
        <f t="shared" si="17"/>
        <v/>
      </c>
      <c r="V103" s="523" t="str">
        <f t="shared" si="14"/>
        <v/>
      </c>
      <c r="W103" s="520" t="str">
        <f>IF(S103="","",VLOOKUP(S103,'G-1 All Habitats'!$B$2:$M$129,10,FALSE))</f>
        <v/>
      </c>
      <c r="X103" s="520" t="str">
        <f>IFERROR(VLOOKUP(W103,'G-1 All Habitats'!$V$3:$W$7,2,FALSE),"")</f>
        <v/>
      </c>
      <c r="Y103" s="203"/>
      <c r="Z103" s="524" t="str">
        <f>IFERROR(INDEX('G-8 Condition Look up'!$A$3:$H$130,MATCH(S103,'G-8 Condition Look up'!$A$3:$A$130,0),MATCH(Y103,'G-8 Condition Look up'!$A$3:$H$3,0)),"")</f>
        <v/>
      </c>
      <c r="AA103" s="145"/>
      <c r="AB103" s="540" t="str">
        <f>IF(AA103="","",IF(VLOOKUP(AA103,'G-3 Multipliers'!$L$3:$N$6,2,FALSE)=0,"Spatial Data Missing ⚠",VLOOKUP(AA103,'G-3 Multipliers'!$L$3:$N$6,2,FALSE)))</f>
        <v/>
      </c>
      <c r="AC103" s="524" t="str">
        <f>IF(AA103="","",IF(VLOOKUP(AA103,'G-3 Multipliers'!$L$3:$N$6,3,FALSE)=0,"Spatial Data Missing ⚠",VLOOKUP(AA103,'G-3 Multipliers'!$L$3:$N$6,3,FALSE)))</f>
        <v/>
      </c>
      <c r="AD103" s="537" t="str">
        <f t="shared" si="15"/>
        <v/>
      </c>
      <c r="AE103" s="203"/>
      <c r="AF103" s="203"/>
      <c r="AG103" s="520" t="str">
        <f t="shared" si="18"/>
        <v/>
      </c>
      <c r="AH103" s="544" t="str">
        <f t="shared" si="19"/>
        <v/>
      </c>
      <c r="AI103" s="525" t="str">
        <f>IF(AH103="Check Data ⚠","Check Data ⚠",IFERROR(VLOOKUP(AH103,'G-4 Temporal multipliers'!$A$4:$C$36,3,FALSE),""))</f>
        <v/>
      </c>
      <c r="AJ103" s="537" t="str">
        <f>IF(S103="","",VLOOKUP(S103,'G-3 Multipliers'!$A$2:$E$129,4,FALSE))</f>
        <v/>
      </c>
      <c r="AK103" s="520" t="str">
        <f t="shared" si="20"/>
        <v/>
      </c>
      <c r="AL103" s="520" t="str">
        <f t="shared" si="21"/>
        <v/>
      </c>
      <c r="AM103" s="524" t="str">
        <f>IFERROR(IF(F103="","",IF(AH103="Check Data ⚠","Check Data ⚠",VLOOKUP(AL103, 'G-3 Multipliers'!$P$2:$Q$6,2,FALSE))),"")</f>
        <v/>
      </c>
      <c r="AN103" s="197"/>
      <c r="AO103" s="540" t="str">
        <f>IF(AN103="","",IF(VLOOKUP(AN103,'G-3 Multipliers'!$S$3:$T$9,2,FALSE)=0,"Spatial Data Missing ⚠",VLOOKUP(AN103,'G-3 Multipliers'!$S$3:$T$9,2,FALSE)))</f>
        <v/>
      </c>
      <c r="AP103" s="513" t="str">
        <f t="shared" si="22"/>
        <v/>
      </c>
      <c r="AQ103" s="231"/>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7" t="str">
        <f>'D-1 Off Site Habitat Baseline'!AL103</f>
        <v/>
      </c>
      <c r="F104" s="520" t="str">
        <f>IF(E104="","",IF(ISNA(VLOOKUP($E104,'D-1 Off Site Habitat Baseline'!$D$1:$O$258,4,FALSE)),"",(VLOOKUP($E104,'D-1 Off Site Habitat Baseline'!$D$1:$O$258,4,FALSE))))</f>
        <v/>
      </c>
      <c r="G104" s="520" t="str">
        <f>IF(E104="","",IF(ISNA(VLOOKUP($E104,'D-1 Off Site Habitat Baseline'!$D$1:$O$258,5,FALSE)),"",(VLOOKUP($E104,'D-1 Off Site Habitat Baseline'!$D$1:$O$258,5,FALSE))))</f>
        <v/>
      </c>
      <c r="H104" s="520" t="str">
        <f>IF(E104="","",IF(ISNA(VLOOKUP($E104,'D-1 Off Site Habitat Baseline'!$D$1:$O$258,6,FALSE)),"",(VLOOKUP($E104,'D-1 Off Site Habitat Baseline'!$D$1:$O$258,6,FALSE))))</f>
        <v/>
      </c>
      <c r="I104" s="520" t="str">
        <f>IF(E104="","",IF(ISNA(VLOOKUP($E104,'D-1 Off Site Habitat Baseline'!$D$1:$O$258,7,FALSE)),"",(VLOOKUP($E104,'D-1 Off Site Habitat Baseline'!$D$1:$O$258,7,FALSE))))</f>
        <v/>
      </c>
      <c r="J104" s="520" t="str">
        <f>IF(E104="","",IF(ISNA(VLOOKUP($E104,'D-1 Off Site Habitat Baseline'!$D$1:$O$258,8,FALSE)),"",(VLOOKUP($E104,'D-1 Off Site Habitat Baseline'!$D$1:$O$258,8,FALSE))))</f>
        <v/>
      </c>
      <c r="K104" s="520" t="str">
        <f>IF(E104="","",IF(ISNA(VLOOKUP($E104,'D-1 Off Site Habitat Baseline'!$D$1:$O$258,9,FALSE)),"",(VLOOKUP($E104,'D-1 Off Site Habitat Baseline'!$D$1:$O$258,9,FALSE))))</f>
        <v/>
      </c>
      <c r="L104" s="520" t="str">
        <f>IF(E104="","",IF(ISNA(VLOOKUP($E104,'D-1 Off Site Habitat Baseline'!$D$1:$O$258,11,FALSE)),"",(VLOOKUP($E104,'D-1 Off Site Habitat Baseline'!$D$1:$O$258,11,FALSE))))</f>
        <v/>
      </c>
      <c r="M104" s="520" t="str">
        <f>IF(E104="","",IF(ISNA(VLOOKUP($E104,'D-1 Off Site Habitat Baseline'!$D$1:$O$258,12,FALSE)),"",(VLOOKUP($E104,'D-1 Off Site Habitat Baseline'!$D$1:$O$258,12,FALSE))))</f>
        <v/>
      </c>
      <c r="N104" s="520" t="str">
        <f>IF(E104="","",IF(ISNA(VLOOKUP($E104,'D-1 Off Site Habitat Baseline'!$D$1:$X$258,14,FALSE)),"",(VLOOKUP($E104,'D-1 Off Site Habitat Baseline'!$D$1:$X$258,14,FALSE))))</f>
        <v/>
      </c>
      <c r="O104" s="524" t="str">
        <f>IF(E104="","",IF(ISNA(VLOOKUP($E104,'D-1 Off Site Habitat Baseline'!$D$1:$X$258,13,FALSE)),"",(VLOOKUP($E104,'D-1 Off Site Habitat Baseline'!$D$1:$X$258,13,FALSE))))</f>
        <v/>
      </c>
      <c r="P104" s="232" t="str">
        <f>IFERROR(INDEX('G-1 All Habitats'!$AG$3:$AG$15,MATCH(Q104,'G-1 All Habitats'!$AF$3:$AF$15,0)),"")</f>
        <v/>
      </c>
      <c r="Q104" s="228" t="str">
        <f t="shared" si="23"/>
        <v/>
      </c>
      <c r="R104" s="229" t="str">
        <f t="shared" si="24"/>
        <v/>
      </c>
      <c r="S104" s="233" t="str">
        <f>IFERROR(INDEX('G-1 All Habitats'!$B$3:$B$129,MATCH(R104,'G-1 All Habitats'!$A$3:$A$129,0)),"")</f>
        <v/>
      </c>
      <c r="T104" s="507" t="str">
        <f t="shared" si="16"/>
        <v/>
      </c>
      <c r="U104" s="524" t="str">
        <f t="shared" si="17"/>
        <v/>
      </c>
      <c r="V104" s="523" t="str">
        <f t="shared" si="14"/>
        <v/>
      </c>
      <c r="W104" s="520" t="str">
        <f>IF(S104="","",VLOOKUP(S104,'G-1 All Habitats'!$B$2:$M$129,10,FALSE))</f>
        <v/>
      </c>
      <c r="X104" s="520" t="str">
        <f>IFERROR(VLOOKUP(W104,'G-1 All Habitats'!$V$3:$W$7,2,FALSE),"")</f>
        <v/>
      </c>
      <c r="Y104" s="203"/>
      <c r="Z104" s="524" t="str">
        <f>IFERROR(INDEX('G-8 Condition Look up'!$A$3:$H$130,MATCH(S104,'G-8 Condition Look up'!$A$3:$A$130,0),MATCH(Y104,'G-8 Condition Look up'!$A$3:$H$3,0)),"")</f>
        <v/>
      </c>
      <c r="AA104" s="145"/>
      <c r="AB104" s="540" t="str">
        <f>IF(AA104="","",IF(VLOOKUP(AA104,'G-3 Multipliers'!$L$3:$N$6,2,FALSE)=0,"Spatial Data Missing ⚠",VLOOKUP(AA104,'G-3 Multipliers'!$L$3:$N$6,2,FALSE)))</f>
        <v/>
      </c>
      <c r="AC104" s="524" t="str">
        <f>IF(AA104="","",IF(VLOOKUP(AA104,'G-3 Multipliers'!$L$3:$N$6,3,FALSE)=0,"Spatial Data Missing ⚠",VLOOKUP(AA104,'G-3 Multipliers'!$L$3:$N$6,3,FALSE)))</f>
        <v/>
      </c>
      <c r="AD104" s="537" t="str">
        <f t="shared" si="15"/>
        <v/>
      </c>
      <c r="AE104" s="203"/>
      <c r="AF104" s="203"/>
      <c r="AG104" s="520" t="str">
        <f t="shared" si="18"/>
        <v/>
      </c>
      <c r="AH104" s="544" t="str">
        <f t="shared" si="19"/>
        <v/>
      </c>
      <c r="AI104" s="525" t="str">
        <f>IF(AH104="Check Data ⚠","Check Data ⚠",IFERROR(VLOOKUP(AH104,'G-4 Temporal multipliers'!$A$4:$C$36,3,FALSE),""))</f>
        <v/>
      </c>
      <c r="AJ104" s="537" t="str">
        <f>IF(S104="","",VLOOKUP(S104,'G-3 Multipliers'!$A$2:$E$129,4,FALSE))</f>
        <v/>
      </c>
      <c r="AK104" s="520" t="str">
        <f t="shared" si="20"/>
        <v/>
      </c>
      <c r="AL104" s="520" t="str">
        <f t="shared" si="21"/>
        <v/>
      </c>
      <c r="AM104" s="524" t="str">
        <f>IFERROR(IF(F104="","",IF(AH104="Check Data ⚠","Check Data ⚠",VLOOKUP(AL104, 'G-3 Multipliers'!$P$2:$Q$6,2,FALSE))),"")</f>
        <v/>
      </c>
      <c r="AN104" s="197"/>
      <c r="AO104" s="540" t="str">
        <f>IF(AN104="","",IF(VLOOKUP(AN104,'G-3 Multipliers'!$S$3:$T$9,2,FALSE)=0,"Spatial Data Missing ⚠",VLOOKUP(AN104,'G-3 Multipliers'!$S$3:$T$9,2,FALSE)))</f>
        <v/>
      </c>
      <c r="AP104" s="513" t="str">
        <f t="shared" si="22"/>
        <v/>
      </c>
      <c r="AQ104" s="231"/>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7" t="str">
        <f>'D-1 Off Site Habitat Baseline'!AL104</f>
        <v/>
      </c>
      <c r="F105" s="520" t="str">
        <f>IF(E105="","",IF(ISNA(VLOOKUP($E105,'D-1 Off Site Habitat Baseline'!$D$1:$O$258,4,FALSE)),"",(VLOOKUP($E105,'D-1 Off Site Habitat Baseline'!$D$1:$O$258,4,FALSE))))</f>
        <v/>
      </c>
      <c r="G105" s="520" t="str">
        <f>IF(E105="","",IF(ISNA(VLOOKUP($E105,'D-1 Off Site Habitat Baseline'!$D$1:$O$258,5,FALSE)),"",(VLOOKUP($E105,'D-1 Off Site Habitat Baseline'!$D$1:$O$258,5,FALSE))))</f>
        <v/>
      </c>
      <c r="H105" s="520" t="str">
        <f>IF(E105="","",IF(ISNA(VLOOKUP($E105,'D-1 Off Site Habitat Baseline'!$D$1:$O$258,6,FALSE)),"",(VLOOKUP($E105,'D-1 Off Site Habitat Baseline'!$D$1:$O$258,6,FALSE))))</f>
        <v/>
      </c>
      <c r="I105" s="520" t="str">
        <f>IF(E105="","",IF(ISNA(VLOOKUP($E105,'D-1 Off Site Habitat Baseline'!$D$1:$O$258,7,FALSE)),"",(VLOOKUP($E105,'D-1 Off Site Habitat Baseline'!$D$1:$O$258,7,FALSE))))</f>
        <v/>
      </c>
      <c r="J105" s="520" t="str">
        <f>IF(E105="","",IF(ISNA(VLOOKUP($E105,'D-1 Off Site Habitat Baseline'!$D$1:$O$258,8,FALSE)),"",(VLOOKUP($E105,'D-1 Off Site Habitat Baseline'!$D$1:$O$258,8,FALSE))))</f>
        <v/>
      </c>
      <c r="K105" s="520" t="str">
        <f>IF(E105="","",IF(ISNA(VLOOKUP($E105,'D-1 Off Site Habitat Baseline'!$D$1:$O$258,9,FALSE)),"",(VLOOKUP($E105,'D-1 Off Site Habitat Baseline'!$D$1:$O$258,9,FALSE))))</f>
        <v/>
      </c>
      <c r="L105" s="520" t="str">
        <f>IF(E105="","",IF(ISNA(VLOOKUP($E105,'D-1 Off Site Habitat Baseline'!$D$1:$O$258,11,FALSE)),"",(VLOOKUP($E105,'D-1 Off Site Habitat Baseline'!$D$1:$O$258,11,FALSE))))</f>
        <v/>
      </c>
      <c r="M105" s="520" t="str">
        <f>IF(E105="","",IF(ISNA(VLOOKUP($E105,'D-1 Off Site Habitat Baseline'!$D$1:$O$258,12,FALSE)),"",(VLOOKUP($E105,'D-1 Off Site Habitat Baseline'!$D$1:$O$258,12,FALSE))))</f>
        <v/>
      </c>
      <c r="N105" s="520" t="str">
        <f>IF(E105="","",IF(ISNA(VLOOKUP($E105,'D-1 Off Site Habitat Baseline'!$D$1:$X$258,14,FALSE)),"",(VLOOKUP($E105,'D-1 Off Site Habitat Baseline'!$D$1:$X$258,14,FALSE))))</f>
        <v/>
      </c>
      <c r="O105" s="524" t="str">
        <f>IF(E105="","",IF(ISNA(VLOOKUP($E105,'D-1 Off Site Habitat Baseline'!$D$1:$X$258,13,FALSE)),"",(VLOOKUP($E105,'D-1 Off Site Habitat Baseline'!$D$1:$X$258,13,FALSE))))</f>
        <v/>
      </c>
      <c r="P105" s="232" t="str">
        <f>IFERROR(INDEX('G-1 All Habitats'!$AG$3:$AG$15,MATCH(Q105,'G-1 All Habitats'!$AF$3:$AF$15,0)),"")</f>
        <v/>
      </c>
      <c r="Q105" s="228" t="str">
        <f t="shared" si="23"/>
        <v/>
      </c>
      <c r="R105" s="229" t="str">
        <f t="shared" si="24"/>
        <v/>
      </c>
      <c r="S105" s="233" t="str">
        <f>IFERROR(INDEX('G-1 All Habitats'!$B$3:$B$129,MATCH(R105,'G-1 All Habitats'!$A$3:$A$129,0)),"")</f>
        <v/>
      </c>
      <c r="T105" s="507" t="str">
        <f t="shared" si="16"/>
        <v/>
      </c>
      <c r="U105" s="524" t="str">
        <f t="shared" si="17"/>
        <v/>
      </c>
      <c r="V105" s="523" t="str">
        <f t="shared" si="14"/>
        <v/>
      </c>
      <c r="W105" s="520" t="str">
        <f>IF(S105="","",VLOOKUP(S105,'G-1 All Habitats'!$B$2:$M$129,10,FALSE))</f>
        <v/>
      </c>
      <c r="X105" s="520" t="str">
        <f>IFERROR(VLOOKUP(W105,'G-1 All Habitats'!$V$3:$W$7,2,FALSE),"")</f>
        <v/>
      </c>
      <c r="Y105" s="203"/>
      <c r="Z105" s="524" t="str">
        <f>IFERROR(INDEX('G-8 Condition Look up'!$A$3:$H$130,MATCH(S105,'G-8 Condition Look up'!$A$3:$A$130,0),MATCH(Y105,'G-8 Condition Look up'!$A$3:$H$3,0)),"")</f>
        <v/>
      </c>
      <c r="AA105" s="145"/>
      <c r="AB105" s="540" t="str">
        <f>IF(AA105="","",IF(VLOOKUP(AA105,'G-3 Multipliers'!$L$3:$N$6,2,FALSE)=0,"Spatial Data Missing ⚠",VLOOKUP(AA105,'G-3 Multipliers'!$L$3:$N$6,2,FALSE)))</f>
        <v/>
      </c>
      <c r="AC105" s="524" t="str">
        <f>IF(AA105="","",IF(VLOOKUP(AA105,'G-3 Multipliers'!$L$3:$N$6,3,FALSE)=0,"Spatial Data Missing ⚠",VLOOKUP(AA105,'G-3 Multipliers'!$L$3:$N$6,3,FALSE)))</f>
        <v/>
      </c>
      <c r="AD105" s="537" t="str">
        <f t="shared" si="15"/>
        <v/>
      </c>
      <c r="AE105" s="203"/>
      <c r="AF105" s="203"/>
      <c r="AG105" s="520" t="str">
        <f t="shared" si="18"/>
        <v/>
      </c>
      <c r="AH105" s="544" t="str">
        <f t="shared" si="19"/>
        <v/>
      </c>
      <c r="AI105" s="525" t="str">
        <f>IF(AH105="Check Data ⚠","Check Data ⚠",IFERROR(VLOOKUP(AH105,'G-4 Temporal multipliers'!$A$4:$C$36,3,FALSE),""))</f>
        <v/>
      </c>
      <c r="AJ105" s="537" t="str">
        <f>IF(S105="","",VLOOKUP(S105,'G-3 Multipliers'!$A$2:$E$129,4,FALSE))</f>
        <v/>
      </c>
      <c r="AK105" s="520" t="str">
        <f t="shared" si="20"/>
        <v/>
      </c>
      <c r="AL105" s="520" t="str">
        <f t="shared" si="21"/>
        <v/>
      </c>
      <c r="AM105" s="524" t="str">
        <f>IFERROR(IF(F105="","",IF(AH105="Check Data ⚠","Check Data ⚠",VLOOKUP(AL105, 'G-3 Multipliers'!$P$2:$Q$6,2,FALSE))),"")</f>
        <v/>
      </c>
      <c r="AN105" s="197"/>
      <c r="AO105" s="540" t="str">
        <f>IF(AN105="","",IF(VLOOKUP(AN105,'G-3 Multipliers'!$S$3:$T$9,2,FALSE)=0,"Spatial Data Missing ⚠",VLOOKUP(AN105,'G-3 Multipliers'!$S$3:$T$9,2,FALSE)))</f>
        <v/>
      </c>
      <c r="AP105" s="513" t="str">
        <f t="shared" si="22"/>
        <v/>
      </c>
      <c r="AQ105" s="231"/>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7" t="str">
        <f>'D-1 Off Site Habitat Baseline'!AL105</f>
        <v/>
      </c>
      <c r="F106" s="520" t="str">
        <f>IF(E106="","",IF(ISNA(VLOOKUP($E106,'D-1 Off Site Habitat Baseline'!$D$1:$O$258,4,FALSE)),"",(VLOOKUP($E106,'D-1 Off Site Habitat Baseline'!$D$1:$O$258,4,FALSE))))</f>
        <v/>
      </c>
      <c r="G106" s="520" t="str">
        <f>IF(E106="","",IF(ISNA(VLOOKUP($E106,'D-1 Off Site Habitat Baseline'!$D$1:$O$258,5,FALSE)),"",(VLOOKUP($E106,'D-1 Off Site Habitat Baseline'!$D$1:$O$258,5,FALSE))))</f>
        <v/>
      </c>
      <c r="H106" s="520" t="str">
        <f>IF(E106="","",IF(ISNA(VLOOKUP($E106,'D-1 Off Site Habitat Baseline'!$D$1:$O$258,6,FALSE)),"",(VLOOKUP($E106,'D-1 Off Site Habitat Baseline'!$D$1:$O$258,6,FALSE))))</f>
        <v/>
      </c>
      <c r="I106" s="520" t="str">
        <f>IF(E106="","",IF(ISNA(VLOOKUP($E106,'D-1 Off Site Habitat Baseline'!$D$1:$O$258,7,FALSE)),"",(VLOOKUP($E106,'D-1 Off Site Habitat Baseline'!$D$1:$O$258,7,FALSE))))</f>
        <v/>
      </c>
      <c r="J106" s="520" t="str">
        <f>IF(E106="","",IF(ISNA(VLOOKUP($E106,'D-1 Off Site Habitat Baseline'!$D$1:$O$258,8,FALSE)),"",(VLOOKUP($E106,'D-1 Off Site Habitat Baseline'!$D$1:$O$258,8,FALSE))))</f>
        <v/>
      </c>
      <c r="K106" s="520" t="str">
        <f>IF(E106="","",IF(ISNA(VLOOKUP($E106,'D-1 Off Site Habitat Baseline'!$D$1:$O$258,9,FALSE)),"",(VLOOKUP($E106,'D-1 Off Site Habitat Baseline'!$D$1:$O$258,9,FALSE))))</f>
        <v/>
      </c>
      <c r="L106" s="520" t="str">
        <f>IF(E106="","",IF(ISNA(VLOOKUP($E106,'D-1 Off Site Habitat Baseline'!$D$1:$O$258,11,FALSE)),"",(VLOOKUP($E106,'D-1 Off Site Habitat Baseline'!$D$1:$O$258,11,FALSE))))</f>
        <v/>
      </c>
      <c r="M106" s="520" t="str">
        <f>IF(E106="","",IF(ISNA(VLOOKUP($E106,'D-1 Off Site Habitat Baseline'!$D$1:$O$258,12,FALSE)),"",(VLOOKUP($E106,'D-1 Off Site Habitat Baseline'!$D$1:$O$258,12,FALSE))))</f>
        <v/>
      </c>
      <c r="N106" s="520" t="str">
        <f>IF(E106="","",IF(ISNA(VLOOKUP($E106,'D-1 Off Site Habitat Baseline'!$D$1:$X$258,14,FALSE)),"",(VLOOKUP($E106,'D-1 Off Site Habitat Baseline'!$D$1:$X$258,14,FALSE))))</f>
        <v/>
      </c>
      <c r="O106" s="524" t="str">
        <f>IF(E106="","",IF(ISNA(VLOOKUP($E106,'D-1 Off Site Habitat Baseline'!$D$1:$X$258,13,FALSE)),"",(VLOOKUP($E106,'D-1 Off Site Habitat Baseline'!$D$1:$X$258,13,FALSE))))</f>
        <v/>
      </c>
      <c r="P106" s="232" t="str">
        <f>IFERROR(INDEX('G-1 All Habitats'!$AG$3:$AG$15,MATCH(Q106,'G-1 All Habitats'!$AF$3:$AF$15,0)),"")</f>
        <v/>
      </c>
      <c r="Q106" s="228" t="str">
        <f t="shared" si="23"/>
        <v/>
      </c>
      <c r="R106" s="229" t="str">
        <f t="shared" si="24"/>
        <v/>
      </c>
      <c r="S106" s="233" t="str">
        <f>IFERROR(INDEX('G-1 All Habitats'!$B$3:$B$129,MATCH(R106,'G-1 All Habitats'!$A$3:$A$129,0)),"")</f>
        <v/>
      </c>
      <c r="T106" s="507" t="str">
        <f t="shared" si="16"/>
        <v/>
      </c>
      <c r="U106" s="524" t="str">
        <f t="shared" si="17"/>
        <v/>
      </c>
      <c r="V106" s="523" t="str">
        <f t="shared" si="14"/>
        <v/>
      </c>
      <c r="W106" s="520" t="str">
        <f>IF(S106="","",VLOOKUP(S106,'G-1 All Habitats'!$B$2:$M$129,10,FALSE))</f>
        <v/>
      </c>
      <c r="X106" s="520" t="str">
        <f>IFERROR(VLOOKUP(W106,'G-1 All Habitats'!$V$3:$W$7,2,FALSE),"")</f>
        <v/>
      </c>
      <c r="Y106" s="203"/>
      <c r="Z106" s="524" t="str">
        <f>IFERROR(INDEX('G-8 Condition Look up'!$A$3:$H$130,MATCH(S106,'G-8 Condition Look up'!$A$3:$A$130,0),MATCH(Y106,'G-8 Condition Look up'!$A$3:$H$3,0)),"")</f>
        <v/>
      </c>
      <c r="AA106" s="145"/>
      <c r="AB106" s="540" t="str">
        <f>IF(AA106="","",IF(VLOOKUP(AA106,'G-3 Multipliers'!$L$3:$N$6,2,FALSE)=0,"Spatial Data Missing ⚠",VLOOKUP(AA106,'G-3 Multipliers'!$L$3:$N$6,2,FALSE)))</f>
        <v/>
      </c>
      <c r="AC106" s="524" t="str">
        <f>IF(AA106="","",IF(VLOOKUP(AA106,'G-3 Multipliers'!$L$3:$N$6,3,FALSE)=0,"Spatial Data Missing ⚠",VLOOKUP(AA106,'G-3 Multipliers'!$L$3:$N$6,3,FALSE)))</f>
        <v/>
      </c>
      <c r="AD106" s="537" t="str">
        <f t="shared" si="15"/>
        <v/>
      </c>
      <c r="AE106" s="203"/>
      <c r="AF106" s="203"/>
      <c r="AG106" s="520" t="str">
        <f t="shared" si="18"/>
        <v/>
      </c>
      <c r="AH106" s="544" t="str">
        <f t="shared" si="19"/>
        <v/>
      </c>
      <c r="AI106" s="525" t="str">
        <f>IF(AH106="Check Data ⚠","Check Data ⚠",IFERROR(VLOOKUP(AH106,'G-4 Temporal multipliers'!$A$4:$C$36,3,FALSE),""))</f>
        <v/>
      </c>
      <c r="AJ106" s="537" t="str">
        <f>IF(S106="","",VLOOKUP(S106,'G-3 Multipliers'!$A$2:$E$129,4,FALSE))</f>
        <v/>
      </c>
      <c r="AK106" s="520" t="str">
        <f t="shared" si="20"/>
        <v/>
      </c>
      <c r="AL106" s="520" t="str">
        <f t="shared" si="21"/>
        <v/>
      </c>
      <c r="AM106" s="524" t="str">
        <f>IFERROR(IF(F106="","",IF(AH106="Check Data ⚠","Check Data ⚠",VLOOKUP(AL106, 'G-3 Multipliers'!$P$2:$Q$6,2,FALSE))),"")</f>
        <v/>
      </c>
      <c r="AN106" s="197"/>
      <c r="AO106" s="540" t="str">
        <f>IF(AN106="","",IF(VLOOKUP(AN106,'G-3 Multipliers'!$S$3:$T$9,2,FALSE)=0,"Spatial Data Missing ⚠",VLOOKUP(AN106,'G-3 Multipliers'!$S$3:$T$9,2,FALSE)))</f>
        <v/>
      </c>
      <c r="AP106" s="513" t="str">
        <f t="shared" si="22"/>
        <v/>
      </c>
      <c r="AQ106" s="231"/>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7" t="str">
        <f>'D-1 Off Site Habitat Baseline'!AL106</f>
        <v/>
      </c>
      <c r="F107" s="520" t="str">
        <f>IF(E107="","",IF(ISNA(VLOOKUP($E107,'D-1 Off Site Habitat Baseline'!$D$1:$O$258,4,FALSE)),"",(VLOOKUP($E107,'D-1 Off Site Habitat Baseline'!$D$1:$O$258,4,FALSE))))</f>
        <v/>
      </c>
      <c r="G107" s="520" t="str">
        <f>IF(E107="","",IF(ISNA(VLOOKUP($E107,'D-1 Off Site Habitat Baseline'!$D$1:$O$258,5,FALSE)),"",(VLOOKUP($E107,'D-1 Off Site Habitat Baseline'!$D$1:$O$258,5,FALSE))))</f>
        <v/>
      </c>
      <c r="H107" s="520" t="str">
        <f>IF(E107="","",IF(ISNA(VLOOKUP($E107,'D-1 Off Site Habitat Baseline'!$D$1:$O$258,6,FALSE)),"",(VLOOKUP($E107,'D-1 Off Site Habitat Baseline'!$D$1:$O$258,6,FALSE))))</f>
        <v/>
      </c>
      <c r="I107" s="520" t="str">
        <f>IF(E107="","",IF(ISNA(VLOOKUP($E107,'D-1 Off Site Habitat Baseline'!$D$1:$O$258,7,FALSE)),"",(VLOOKUP($E107,'D-1 Off Site Habitat Baseline'!$D$1:$O$258,7,FALSE))))</f>
        <v/>
      </c>
      <c r="J107" s="520" t="str">
        <f>IF(E107="","",IF(ISNA(VLOOKUP($E107,'D-1 Off Site Habitat Baseline'!$D$1:$O$258,8,FALSE)),"",(VLOOKUP($E107,'D-1 Off Site Habitat Baseline'!$D$1:$O$258,8,FALSE))))</f>
        <v/>
      </c>
      <c r="K107" s="520" t="str">
        <f>IF(E107="","",IF(ISNA(VLOOKUP($E107,'D-1 Off Site Habitat Baseline'!$D$1:$O$258,9,FALSE)),"",(VLOOKUP($E107,'D-1 Off Site Habitat Baseline'!$D$1:$O$258,9,FALSE))))</f>
        <v/>
      </c>
      <c r="L107" s="520" t="str">
        <f>IF(E107="","",IF(ISNA(VLOOKUP($E107,'D-1 Off Site Habitat Baseline'!$D$1:$O$258,11,FALSE)),"",(VLOOKUP($E107,'D-1 Off Site Habitat Baseline'!$D$1:$O$258,11,FALSE))))</f>
        <v/>
      </c>
      <c r="M107" s="520" t="str">
        <f>IF(E107="","",IF(ISNA(VLOOKUP($E107,'D-1 Off Site Habitat Baseline'!$D$1:$O$258,12,FALSE)),"",(VLOOKUP($E107,'D-1 Off Site Habitat Baseline'!$D$1:$O$258,12,FALSE))))</f>
        <v/>
      </c>
      <c r="N107" s="520" t="str">
        <f>IF(E107="","",IF(ISNA(VLOOKUP($E107,'D-1 Off Site Habitat Baseline'!$D$1:$X$258,14,FALSE)),"",(VLOOKUP($E107,'D-1 Off Site Habitat Baseline'!$D$1:$X$258,14,FALSE))))</f>
        <v/>
      </c>
      <c r="O107" s="524" t="str">
        <f>IF(E107="","",IF(ISNA(VLOOKUP($E107,'D-1 Off Site Habitat Baseline'!$D$1:$X$258,13,FALSE)),"",(VLOOKUP($E107,'D-1 Off Site Habitat Baseline'!$D$1:$X$258,13,FALSE))))</f>
        <v/>
      </c>
      <c r="P107" s="232" t="str">
        <f>IFERROR(INDEX('G-1 All Habitats'!$AG$3:$AG$15,MATCH(Q107,'G-1 All Habitats'!$AF$3:$AF$15,0)),"")</f>
        <v/>
      </c>
      <c r="Q107" s="228" t="str">
        <f t="shared" si="23"/>
        <v/>
      </c>
      <c r="R107" s="229" t="str">
        <f t="shared" si="24"/>
        <v/>
      </c>
      <c r="S107" s="233" t="str">
        <f>IFERROR(INDEX('G-1 All Habitats'!$B$3:$B$129,MATCH(R107,'G-1 All Habitats'!$A$3:$A$129,0)),"")</f>
        <v/>
      </c>
      <c r="T107" s="507" t="str">
        <f t="shared" si="16"/>
        <v/>
      </c>
      <c r="U107" s="524"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3" t="str">
        <f t="shared" si="14"/>
        <v/>
      </c>
      <c r="W107" s="520" t="str">
        <f>IF(S107="","",VLOOKUP(S107,'G-1 All Habitats'!$B$2:$M$129,10,FALSE))</f>
        <v/>
      </c>
      <c r="X107" s="520" t="str">
        <f>IFERROR(VLOOKUP(W107,'G-1 All Habitats'!$V$3:$W$7,2,FALSE),"")</f>
        <v/>
      </c>
      <c r="Y107" s="203"/>
      <c r="Z107" s="524" t="str">
        <f>IFERROR(INDEX('G-8 Condition Look up'!$A$3:$H$130,MATCH(S107,'G-8 Condition Look up'!$A$3:$A$130,0),MATCH(Y107,'G-8 Condition Look up'!$A$3:$H$3,0)),"")</f>
        <v/>
      </c>
      <c r="AA107" s="145"/>
      <c r="AB107" s="540" t="str">
        <f>IF(AA107="","",IF(VLOOKUP(AA107,'G-3 Multipliers'!$L$3:$N$6,2,FALSE)=0,"Spatial Data Missing ⚠",VLOOKUP(AA107,'G-3 Multipliers'!$L$3:$N$6,2,FALSE)))</f>
        <v/>
      </c>
      <c r="AC107" s="524" t="str">
        <f>IF(AA107="","",IF(VLOOKUP(AA107,'G-3 Multipliers'!$L$3:$N$6,3,FALSE)=0,"Spatial Data Missing ⚠",VLOOKUP(AA107,'G-3 Multipliers'!$L$3:$N$6,3,FALSE)))</f>
        <v/>
      </c>
      <c r="AD107" s="537" t="str">
        <f t="shared" si="15"/>
        <v/>
      </c>
      <c r="AE107" s="203"/>
      <c r="AF107" s="203"/>
      <c r="AG107" s="520" t="str">
        <f t="shared" si="18"/>
        <v/>
      </c>
      <c r="AH107" s="544" t="str">
        <f t="shared" si="19"/>
        <v/>
      </c>
      <c r="AI107" s="525" t="str">
        <f>IF(AH107="Check Data ⚠","Check Data ⚠",IFERROR(VLOOKUP(AH107,'G-4 Temporal multipliers'!$A$4:$C$36,3,FALSE),""))</f>
        <v/>
      </c>
      <c r="AJ107" s="537" t="str">
        <f>IF(S107="","",VLOOKUP(S107,'G-3 Multipliers'!$A$2:$E$129,4,FALSE))</f>
        <v/>
      </c>
      <c r="AK107" s="520" t="str">
        <f t="shared" si="20"/>
        <v/>
      </c>
      <c r="AL107" s="520" t="str">
        <f t="shared" si="21"/>
        <v/>
      </c>
      <c r="AM107" s="524" t="str">
        <f>IFERROR(IF(F107="","",IF(AH107="Check Data ⚠","Check Data ⚠",VLOOKUP(AL107, 'G-3 Multipliers'!$P$2:$Q$6,2,FALSE))),"")</f>
        <v/>
      </c>
      <c r="AN107" s="197"/>
      <c r="AO107" s="540" t="str">
        <f>IF(AN107="","",IF(VLOOKUP(AN107,'G-3 Multipliers'!$S$3:$T$9,2,FALSE)=0,"Spatial Data Missing ⚠",VLOOKUP(AN107,'G-3 Multipliers'!$S$3:$T$9,2,FALSE)))</f>
        <v/>
      </c>
      <c r="AP107" s="513" t="str">
        <f t="shared" si="22"/>
        <v/>
      </c>
      <c r="AQ107" s="231"/>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7" t="str">
        <f>'D-1 Off Site Habitat Baseline'!AL107</f>
        <v/>
      </c>
      <c r="F108" s="520" t="str">
        <f>IF(E108="","",IF(ISNA(VLOOKUP($E108,'D-1 Off Site Habitat Baseline'!$D$1:$O$258,4,FALSE)),"",(VLOOKUP($E108,'D-1 Off Site Habitat Baseline'!$D$1:$O$258,4,FALSE))))</f>
        <v/>
      </c>
      <c r="G108" s="520" t="str">
        <f>IF(E108="","",IF(ISNA(VLOOKUP($E108,'D-1 Off Site Habitat Baseline'!$D$1:$O$258,5,FALSE)),"",(VLOOKUP($E108,'D-1 Off Site Habitat Baseline'!$D$1:$O$258,5,FALSE))))</f>
        <v/>
      </c>
      <c r="H108" s="520" t="str">
        <f>IF(E108="","",IF(ISNA(VLOOKUP($E108,'D-1 Off Site Habitat Baseline'!$D$1:$O$258,6,FALSE)),"",(VLOOKUP($E108,'D-1 Off Site Habitat Baseline'!$D$1:$O$258,6,FALSE))))</f>
        <v/>
      </c>
      <c r="I108" s="520" t="str">
        <f>IF(E108="","",IF(ISNA(VLOOKUP($E108,'D-1 Off Site Habitat Baseline'!$D$1:$O$258,7,FALSE)),"",(VLOOKUP($E108,'D-1 Off Site Habitat Baseline'!$D$1:$O$258,7,FALSE))))</f>
        <v/>
      </c>
      <c r="J108" s="520" t="str">
        <f>IF(E108="","",IF(ISNA(VLOOKUP($E108,'D-1 Off Site Habitat Baseline'!$D$1:$O$258,8,FALSE)),"",(VLOOKUP($E108,'D-1 Off Site Habitat Baseline'!$D$1:$O$258,8,FALSE))))</f>
        <v/>
      </c>
      <c r="K108" s="520" t="str">
        <f>IF(E108="","",IF(ISNA(VLOOKUP($E108,'D-1 Off Site Habitat Baseline'!$D$1:$O$258,9,FALSE)),"",(VLOOKUP($E108,'D-1 Off Site Habitat Baseline'!$D$1:$O$258,9,FALSE))))</f>
        <v/>
      </c>
      <c r="L108" s="520" t="str">
        <f>IF(E108="","",IF(ISNA(VLOOKUP($E108,'D-1 Off Site Habitat Baseline'!$D$1:$O$258,11,FALSE)),"",(VLOOKUP($E108,'D-1 Off Site Habitat Baseline'!$D$1:$O$258,11,FALSE))))</f>
        <v/>
      </c>
      <c r="M108" s="520" t="str">
        <f>IF(E108="","",IF(ISNA(VLOOKUP($E108,'D-1 Off Site Habitat Baseline'!$D$1:$O$258,12,FALSE)),"",(VLOOKUP($E108,'D-1 Off Site Habitat Baseline'!$D$1:$O$258,12,FALSE))))</f>
        <v/>
      </c>
      <c r="N108" s="520" t="str">
        <f>IF(E108="","",IF(ISNA(VLOOKUP($E108,'D-1 Off Site Habitat Baseline'!$D$1:$X$258,14,FALSE)),"",(VLOOKUP($E108,'D-1 Off Site Habitat Baseline'!$D$1:$X$258,14,FALSE))))</f>
        <v/>
      </c>
      <c r="O108" s="524" t="str">
        <f>IF(E108="","",IF(ISNA(VLOOKUP($E108,'D-1 Off Site Habitat Baseline'!$D$1:$X$258,13,FALSE)),"",(VLOOKUP($E108,'D-1 Off Site Habitat Baseline'!$D$1:$X$258,13,FALSE))))</f>
        <v/>
      </c>
      <c r="P108" s="232" t="str">
        <f>IFERROR(INDEX('G-1 All Habitats'!$AG$3:$AG$15,MATCH(Q108,'G-1 All Habitats'!$AF$3:$AF$15,0)),"")</f>
        <v/>
      </c>
      <c r="Q108" s="228" t="str">
        <f t="shared" si="23"/>
        <v/>
      </c>
      <c r="R108" s="229" t="str">
        <f t="shared" si="24"/>
        <v/>
      </c>
      <c r="S108" s="233" t="str">
        <f>IFERROR(INDEX('G-1 All Habitats'!$B$3:$B$129,MATCH(R108,'G-1 All Habitats'!$A$3:$A$129,0)),"")</f>
        <v/>
      </c>
      <c r="T108" s="507" t="str">
        <f t="shared" si="16"/>
        <v/>
      </c>
      <c r="U108" s="524" t="str">
        <f t="shared" si="17"/>
        <v/>
      </c>
      <c r="V108" s="523" t="str">
        <f t="shared" si="14"/>
        <v/>
      </c>
      <c r="W108" s="520" t="str">
        <f>IF(S108="","",VLOOKUP(S108,'G-1 All Habitats'!$B$2:$M$129,10,FALSE))</f>
        <v/>
      </c>
      <c r="X108" s="520" t="str">
        <f>IFERROR(VLOOKUP(W108,'G-1 All Habitats'!$V$3:$W$7,2,FALSE),"")</f>
        <v/>
      </c>
      <c r="Y108" s="203"/>
      <c r="Z108" s="524" t="str">
        <f>IFERROR(INDEX('G-8 Condition Look up'!$A$3:$H$130,MATCH(S108,'G-8 Condition Look up'!$A$3:$A$130,0),MATCH(Y108,'G-8 Condition Look up'!$A$3:$H$3,0)),"")</f>
        <v/>
      </c>
      <c r="AA108" s="145"/>
      <c r="AB108" s="540" t="str">
        <f>IF(AA108="","",IF(VLOOKUP(AA108,'G-3 Multipliers'!$L$3:$N$6,2,FALSE)=0,"Spatial Data Missing ⚠",VLOOKUP(AA108,'G-3 Multipliers'!$L$3:$N$6,2,FALSE)))</f>
        <v/>
      </c>
      <c r="AC108" s="524" t="str">
        <f>IF(AA108="","",IF(VLOOKUP(AA108,'G-3 Multipliers'!$L$3:$N$6,3,FALSE)=0,"Spatial Data Missing ⚠",VLOOKUP(AA108,'G-3 Multipliers'!$L$3:$N$6,3,FALSE)))</f>
        <v/>
      </c>
      <c r="AD108" s="537" t="str">
        <f t="shared" si="15"/>
        <v/>
      </c>
      <c r="AE108" s="203"/>
      <c r="AF108" s="203"/>
      <c r="AG108" s="520" t="str">
        <f t="shared" si="18"/>
        <v/>
      </c>
      <c r="AH108" s="544" t="str">
        <f t="shared" si="19"/>
        <v/>
      </c>
      <c r="AI108" s="525" t="str">
        <f>IF(AH108="Check Data ⚠","Check Data ⚠",IFERROR(VLOOKUP(AH108,'G-4 Temporal multipliers'!$A$4:$C$36,3,FALSE),""))</f>
        <v/>
      </c>
      <c r="AJ108" s="537" t="str">
        <f>IF(S108="","",VLOOKUP(S108,'G-3 Multipliers'!$A$2:$E$129,4,FALSE))</f>
        <v/>
      </c>
      <c r="AK108" s="520" t="str">
        <f t="shared" si="20"/>
        <v/>
      </c>
      <c r="AL108" s="520" t="str">
        <f t="shared" si="21"/>
        <v/>
      </c>
      <c r="AM108" s="524" t="str">
        <f>IFERROR(IF(F108="","",IF(AH108="Check Data ⚠","Check Data ⚠",VLOOKUP(AL108, 'G-3 Multipliers'!$P$2:$Q$6,2,FALSE))),"")</f>
        <v/>
      </c>
      <c r="AN108" s="197"/>
      <c r="AO108" s="540" t="str">
        <f>IF(AN108="","",IF(VLOOKUP(AN108,'G-3 Multipliers'!$S$3:$T$9,2,FALSE)=0,"Spatial Data Missing ⚠",VLOOKUP(AN108,'G-3 Multipliers'!$S$3:$T$9,2,FALSE)))</f>
        <v/>
      </c>
      <c r="AP108" s="513" t="str">
        <f t="shared" si="22"/>
        <v/>
      </c>
      <c r="AQ108" s="231"/>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7" t="str">
        <f>'D-1 Off Site Habitat Baseline'!AL108</f>
        <v/>
      </c>
      <c r="F109" s="520" t="str">
        <f>IF(E109="","",IF(ISNA(VLOOKUP($E109,'D-1 Off Site Habitat Baseline'!$D$1:$O$258,4,FALSE)),"",(VLOOKUP($E109,'D-1 Off Site Habitat Baseline'!$D$1:$O$258,4,FALSE))))</f>
        <v/>
      </c>
      <c r="G109" s="520" t="str">
        <f>IF(E109="","",IF(ISNA(VLOOKUP($E109,'D-1 Off Site Habitat Baseline'!$D$1:$O$258,5,FALSE)),"",(VLOOKUP($E109,'D-1 Off Site Habitat Baseline'!$D$1:$O$258,5,FALSE))))</f>
        <v/>
      </c>
      <c r="H109" s="520" t="str">
        <f>IF(E109="","",IF(ISNA(VLOOKUP($E109,'D-1 Off Site Habitat Baseline'!$D$1:$O$258,6,FALSE)),"",(VLOOKUP($E109,'D-1 Off Site Habitat Baseline'!$D$1:$O$258,6,FALSE))))</f>
        <v/>
      </c>
      <c r="I109" s="520" t="str">
        <f>IF(E109="","",IF(ISNA(VLOOKUP($E109,'D-1 Off Site Habitat Baseline'!$D$1:$O$258,7,FALSE)),"",(VLOOKUP($E109,'D-1 Off Site Habitat Baseline'!$D$1:$O$258,7,FALSE))))</f>
        <v/>
      </c>
      <c r="J109" s="520" t="str">
        <f>IF(E109="","",IF(ISNA(VLOOKUP($E109,'D-1 Off Site Habitat Baseline'!$D$1:$O$258,8,FALSE)),"",(VLOOKUP($E109,'D-1 Off Site Habitat Baseline'!$D$1:$O$258,8,FALSE))))</f>
        <v/>
      </c>
      <c r="K109" s="520" t="str">
        <f>IF(E109="","",IF(ISNA(VLOOKUP($E109,'D-1 Off Site Habitat Baseline'!$D$1:$O$258,9,FALSE)),"",(VLOOKUP($E109,'D-1 Off Site Habitat Baseline'!$D$1:$O$258,9,FALSE))))</f>
        <v/>
      </c>
      <c r="L109" s="520" t="str">
        <f>IF(E109="","",IF(ISNA(VLOOKUP($E109,'D-1 Off Site Habitat Baseline'!$D$1:$O$258,11,FALSE)),"",(VLOOKUP($E109,'D-1 Off Site Habitat Baseline'!$D$1:$O$258,11,FALSE))))</f>
        <v/>
      </c>
      <c r="M109" s="520" t="str">
        <f>IF(E109="","",IF(ISNA(VLOOKUP($E109,'D-1 Off Site Habitat Baseline'!$D$1:$O$258,12,FALSE)),"",(VLOOKUP($E109,'D-1 Off Site Habitat Baseline'!$D$1:$O$258,12,FALSE))))</f>
        <v/>
      </c>
      <c r="N109" s="520" t="str">
        <f>IF(E109="","",IF(ISNA(VLOOKUP($E109,'D-1 Off Site Habitat Baseline'!$D$1:$X$258,14,FALSE)),"",(VLOOKUP($E109,'D-1 Off Site Habitat Baseline'!$D$1:$X$258,14,FALSE))))</f>
        <v/>
      </c>
      <c r="O109" s="524" t="str">
        <f>IF(E109="","",IF(ISNA(VLOOKUP($E109,'D-1 Off Site Habitat Baseline'!$D$1:$X$258,13,FALSE)),"",(VLOOKUP($E109,'D-1 Off Site Habitat Baseline'!$D$1:$X$258,13,FALSE))))</f>
        <v/>
      </c>
      <c r="P109" s="232" t="str">
        <f>IFERROR(INDEX('G-1 All Habitats'!$AG$3:$AG$15,MATCH(Q109,'G-1 All Habitats'!$AF$3:$AF$15,0)),"")</f>
        <v/>
      </c>
      <c r="Q109" s="228" t="str">
        <f t="shared" si="23"/>
        <v/>
      </c>
      <c r="R109" s="229" t="str">
        <f t="shared" si="24"/>
        <v/>
      </c>
      <c r="S109" s="233" t="str">
        <f>IFERROR(INDEX('G-1 All Habitats'!$B$3:$B$129,MATCH(R109,'G-1 All Habitats'!$A$3:$A$129,0)),"")</f>
        <v/>
      </c>
      <c r="T109" s="507" t="str">
        <f t="shared" si="16"/>
        <v/>
      </c>
      <c r="U109" s="524" t="str">
        <f t="shared" si="17"/>
        <v/>
      </c>
      <c r="V109" s="523" t="str">
        <f t="shared" si="14"/>
        <v/>
      </c>
      <c r="W109" s="520" t="str">
        <f>IF(S109="","",VLOOKUP(S109,'G-1 All Habitats'!$B$2:$M$129,10,FALSE))</f>
        <v/>
      </c>
      <c r="X109" s="520" t="str">
        <f>IFERROR(VLOOKUP(W109,'G-1 All Habitats'!$V$3:$W$7,2,FALSE),"")</f>
        <v/>
      </c>
      <c r="Y109" s="203"/>
      <c r="Z109" s="524" t="str">
        <f>IFERROR(INDEX('G-8 Condition Look up'!$A$3:$H$130,MATCH(S109,'G-8 Condition Look up'!$A$3:$A$130,0),MATCH(Y109,'G-8 Condition Look up'!$A$3:$H$3,0)),"")</f>
        <v/>
      </c>
      <c r="AA109" s="145"/>
      <c r="AB109" s="540" t="str">
        <f>IF(AA109="","",IF(VLOOKUP(AA109,'G-3 Multipliers'!$L$3:$N$6,2,FALSE)=0,"Spatial Data Missing ⚠",VLOOKUP(AA109,'G-3 Multipliers'!$L$3:$N$6,2,FALSE)))</f>
        <v/>
      </c>
      <c r="AC109" s="524" t="str">
        <f>IF(AA109="","",IF(VLOOKUP(AA109,'G-3 Multipliers'!$L$3:$N$6,3,FALSE)=0,"Spatial Data Missing ⚠",VLOOKUP(AA109,'G-3 Multipliers'!$L$3:$N$6,3,FALSE)))</f>
        <v/>
      </c>
      <c r="AD109" s="537" t="str">
        <f t="shared" si="15"/>
        <v/>
      </c>
      <c r="AE109" s="203"/>
      <c r="AF109" s="203"/>
      <c r="AG109" s="520" t="str">
        <f t="shared" si="18"/>
        <v/>
      </c>
      <c r="AH109" s="544" t="str">
        <f t="shared" si="19"/>
        <v/>
      </c>
      <c r="AI109" s="525" t="str">
        <f>IF(AH109="Check Data ⚠","Check Data ⚠",IFERROR(VLOOKUP(AH109,'G-4 Temporal multipliers'!$A$4:$C$36,3,FALSE),""))</f>
        <v/>
      </c>
      <c r="AJ109" s="537" t="str">
        <f>IF(S109="","",VLOOKUP(S109,'G-3 Multipliers'!$A$2:$E$129,4,FALSE))</f>
        <v/>
      </c>
      <c r="AK109" s="520" t="str">
        <f t="shared" si="20"/>
        <v/>
      </c>
      <c r="AL109" s="520" t="str">
        <f t="shared" si="21"/>
        <v/>
      </c>
      <c r="AM109" s="524" t="str">
        <f>IFERROR(IF(F109="","",IF(AH109="Check Data ⚠","Check Data ⚠",VLOOKUP(AL109, 'G-3 Multipliers'!$P$2:$Q$6,2,FALSE))),"")</f>
        <v/>
      </c>
      <c r="AN109" s="197"/>
      <c r="AO109" s="540" t="str">
        <f>IF(AN109="","",IF(VLOOKUP(AN109,'G-3 Multipliers'!$S$3:$T$9,2,FALSE)=0,"Spatial Data Missing ⚠",VLOOKUP(AN109,'G-3 Multipliers'!$S$3:$T$9,2,FALSE)))</f>
        <v/>
      </c>
      <c r="AP109" s="513" t="str">
        <f t="shared" si="22"/>
        <v/>
      </c>
      <c r="AQ109" s="231"/>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7" t="str">
        <f>'D-1 Off Site Habitat Baseline'!AL109</f>
        <v/>
      </c>
      <c r="F110" s="520" t="str">
        <f>IF(E110="","",IF(ISNA(VLOOKUP($E110,'D-1 Off Site Habitat Baseline'!$D$1:$O$258,4,FALSE)),"",(VLOOKUP($E110,'D-1 Off Site Habitat Baseline'!$D$1:$O$258,4,FALSE))))</f>
        <v/>
      </c>
      <c r="G110" s="520" t="str">
        <f>IF(E110="","",IF(ISNA(VLOOKUP($E110,'D-1 Off Site Habitat Baseline'!$D$1:$O$258,5,FALSE)),"",(VLOOKUP($E110,'D-1 Off Site Habitat Baseline'!$D$1:$O$258,5,FALSE))))</f>
        <v/>
      </c>
      <c r="H110" s="520" t="str">
        <f>IF(E110="","",IF(ISNA(VLOOKUP($E110,'D-1 Off Site Habitat Baseline'!$D$1:$O$258,6,FALSE)),"",(VLOOKUP($E110,'D-1 Off Site Habitat Baseline'!$D$1:$O$258,6,FALSE))))</f>
        <v/>
      </c>
      <c r="I110" s="520" t="str">
        <f>IF(E110="","",IF(ISNA(VLOOKUP($E110,'D-1 Off Site Habitat Baseline'!$D$1:$O$258,7,FALSE)),"",(VLOOKUP($E110,'D-1 Off Site Habitat Baseline'!$D$1:$O$258,7,FALSE))))</f>
        <v/>
      </c>
      <c r="J110" s="520" t="str">
        <f>IF(E110="","",IF(ISNA(VLOOKUP($E110,'D-1 Off Site Habitat Baseline'!$D$1:$O$258,8,FALSE)),"",(VLOOKUP($E110,'D-1 Off Site Habitat Baseline'!$D$1:$O$258,8,FALSE))))</f>
        <v/>
      </c>
      <c r="K110" s="520" t="str">
        <f>IF(E110="","",IF(ISNA(VLOOKUP($E110,'D-1 Off Site Habitat Baseline'!$D$1:$O$258,9,FALSE)),"",(VLOOKUP($E110,'D-1 Off Site Habitat Baseline'!$D$1:$O$258,9,FALSE))))</f>
        <v/>
      </c>
      <c r="L110" s="520" t="str">
        <f>IF(E110="","",IF(ISNA(VLOOKUP($E110,'D-1 Off Site Habitat Baseline'!$D$1:$O$258,11,FALSE)),"",(VLOOKUP($E110,'D-1 Off Site Habitat Baseline'!$D$1:$O$258,11,FALSE))))</f>
        <v/>
      </c>
      <c r="M110" s="520" t="str">
        <f>IF(E110="","",IF(ISNA(VLOOKUP($E110,'D-1 Off Site Habitat Baseline'!$D$1:$O$258,12,FALSE)),"",(VLOOKUP($E110,'D-1 Off Site Habitat Baseline'!$D$1:$O$258,12,FALSE))))</f>
        <v/>
      </c>
      <c r="N110" s="520" t="str">
        <f>IF(E110="","",IF(ISNA(VLOOKUP($E110,'D-1 Off Site Habitat Baseline'!$D$1:$X$258,14,FALSE)),"",(VLOOKUP($E110,'D-1 Off Site Habitat Baseline'!$D$1:$X$258,14,FALSE))))</f>
        <v/>
      </c>
      <c r="O110" s="524" t="str">
        <f>IF(E110="","",IF(ISNA(VLOOKUP($E110,'D-1 Off Site Habitat Baseline'!$D$1:$X$258,13,FALSE)),"",(VLOOKUP($E110,'D-1 Off Site Habitat Baseline'!$D$1:$X$258,13,FALSE))))</f>
        <v/>
      </c>
      <c r="P110" s="232" t="str">
        <f>IFERROR(INDEX('G-1 All Habitats'!$AG$3:$AG$15,MATCH(Q110,'G-1 All Habitats'!$AF$3:$AF$15,0)),"")</f>
        <v/>
      </c>
      <c r="Q110" s="228" t="str">
        <f t="shared" si="23"/>
        <v/>
      </c>
      <c r="R110" s="229" t="str">
        <f t="shared" si="24"/>
        <v/>
      </c>
      <c r="S110" s="233" t="str">
        <f>IFERROR(INDEX('G-1 All Habitats'!$B$3:$B$129,MATCH(R110,'G-1 All Habitats'!$A$3:$A$129,0)),"")</f>
        <v/>
      </c>
      <c r="T110" s="507" t="str">
        <f t="shared" si="16"/>
        <v/>
      </c>
      <c r="U110" s="524" t="str">
        <f t="shared" si="17"/>
        <v/>
      </c>
      <c r="V110" s="523" t="str">
        <f t="shared" si="14"/>
        <v/>
      </c>
      <c r="W110" s="520" t="str">
        <f>IF(S110="","",VLOOKUP(S110,'G-1 All Habitats'!$B$2:$M$129,10,FALSE))</f>
        <v/>
      </c>
      <c r="X110" s="520" t="str">
        <f>IFERROR(VLOOKUP(W110,'G-1 All Habitats'!$V$3:$W$7,2,FALSE),"")</f>
        <v/>
      </c>
      <c r="Y110" s="203"/>
      <c r="Z110" s="524" t="str">
        <f>IFERROR(INDEX('G-8 Condition Look up'!$A$3:$H$130,MATCH(S110,'G-8 Condition Look up'!$A$3:$A$130,0),MATCH(Y110,'G-8 Condition Look up'!$A$3:$H$3,0)),"")</f>
        <v/>
      </c>
      <c r="AA110" s="145"/>
      <c r="AB110" s="540" t="str">
        <f>IF(AA110="","",IF(VLOOKUP(AA110,'G-3 Multipliers'!$L$3:$N$6,2,FALSE)=0,"Spatial Data Missing ⚠",VLOOKUP(AA110,'G-3 Multipliers'!$L$3:$N$6,2,FALSE)))</f>
        <v/>
      </c>
      <c r="AC110" s="524" t="str">
        <f>IF(AA110="","",IF(VLOOKUP(AA110,'G-3 Multipliers'!$L$3:$N$6,3,FALSE)=0,"Spatial Data Missing ⚠",VLOOKUP(AA110,'G-3 Multipliers'!$L$3:$N$6,3,FALSE)))</f>
        <v/>
      </c>
      <c r="AD110" s="537" t="str">
        <f t="shared" si="15"/>
        <v/>
      </c>
      <c r="AE110" s="203"/>
      <c r="AF110" s="203"/>
      <c r="AG110" s="520" t="str">
        <f t="shared" si="18"/>
        <v/>
      </c>
      <c r="AH110" s="544" t="str">
        <f t="shared" si="19"/>
        <v/>
      </c>
      <c r="AI110" s="525" t="str">
        <f>IF(AH110="Check Data ⚠","Check Data ⚠",IFERROR(VLOOKUP(AH110,'G-4 Temporal multipliers'!$A$4:$C$36,3,FALSE),""))</f>
        <v/>
      </c>
      <c r="AJ110" s="537" t="str">
        <f>IF(S110="","",VLOOKUP(S110,'G-3 Multipliers'!$A$2:$E$129,4,FALSE))</f>
        <v/>
      </c>
      <c r="AK110" s="520" t="str">
        <f t="shared" si="20"/>
        <v/>
      </c>
      <c r="AL110" s="520" t="str">
        <f t="shared" si="21"/>
        <v/>
      </c>
      <c r="AM110" s="524" t="str">
        <f>IFERROR(IF(F110="","",IF(AH110="Check Data ⚠","Check Data ⚠",VLOOKUP(AL110, 'G-3 Multipliers'!$P$2:$Q$6,2,FALSE))),"")</f>
        <v/>
      </c>
      <c r="AN110" s="197"/>
      <c r="AO110" s="540" t="str">
        <f>IF(AN110="","",IF(VLOOKUP(AN110,'G-3 Multipliers'!$S$3:$T$9,2,FALSE)=0,"Spatial Data Missing ⚠",VLOOKUP(AN110,'G-3 Multipliers'!$S$3:$T$9,2,FALSE)))</f>
        <v/>
      </c>
      <c r="AP110" s="513" t="str">
        <f t="shared" si="22"/>
        <v/>
      </c>
      <c r="AQ110" s="231"/>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7" t="str">
        <f>'D-1 Off Site Habitat Baseline'!AL110</f>
        <v/>
      </c>
      <c r="F111" s="520" t="str">
        <f>IF(E111="","",IF(ISNA(VLOOKUP($E111,'D-1 Off Site Habitat Baseline'!$D$1:$O$258,4,FALSE)),"",(VLOOKUP($E111,'D-1 Off Site Habitat Baseline'!$D$1:$O$258,4,FALSE))))</f>
        <v/>
      </c>
      <c r="G111" s="520" t="str">
        <f>IF(E111="","",IF(ISNA(VLOOKUP($E111,'D-1 Off Site Habitat Baseline'!$D$1:$O$258,5,FALSE)),"",(VLOOKUP($E111,'D-1 Off Site Habitat Baseline'!$D$1:$O$258,5,FALSE))))</f>
        <v/>
      </c>
      <c r="H111" s="520" t="str">
        <f>IF(E111="","",IF(ISNA(VLOOKUP($E111,'D-1 Off Site Habitat Baseline'!$D$1:$O$258,6,FALSE)),"",(VLOOKUP($E111,'D-1 Off Site Habitat Baseline'!$D$1:$O$258,6,FALSE))))</f>
        <v/>
      </c>
      <c r="I111" s="520" t="str">
        <f>IF(E111="","",IF(ISNA(VLOOKUP($E111,'D-1 Off Site Habitat Baseline'!$D$1:$O$258,7,FALSE)),"",(VLOOKUP($E111,'D-1 Off Site Habitat Baseline'!$D$1:$O$258,7,FALSE))))</f>
        <v/>
      </c>
      <c r="J111" s="520" t="str">
        <f>IF(E111="","",IF(ISNA(VLOOKUP($E111,'D-1 Off Site Habitat Baseline'!$D$1:$O$258,8,FALSE)),"",(VLOOKUP($E111,'D-1 Off Site Habitat Baseline'!$D$1:$O$258,8,FALSE))))</f>
        <v/>
      </c>
      <c r="K111" s="520" t="str">
        <f>IF(E111="","",IF(ISNA(VLOOKUP($E111,'D-1 Off Site Habitat Baseline'!$D$1:$O$258,9,FALSE)),"",(VLOOKUP($E111,'D-1 Off Site Habitat Baseline'!$D$1:$O$258,9,FALSE))))</f>
        <v/>
      </c>
      <c r="L111" s="520" t="str">
        <f>IF(E111="","",IF(ISNA(VLOOKUP($E111,'D-1 Off Site Habitat Baseline'!$D$1:$O$258,11,FALSE)),"",(VLOOKUP($E111,'D-1 Off Site Habitat Baseline'!$D$1:$O$258,11,FALSE))))</f>
        <v/>
      </c>
      <c r="M111" s="520" t="str">
        <f>IF(E111="","",IF(ISNA(VLOOKUP($E111,'D-1 Off Site Habitat Baseline'!$D$1:$O$258,12,FALSE)),"",(VLOOKUP($E111,'D-1 Off Site Habitat Baseline'!$D$1:$O$258,12,FALSE))))</f>
        <v/>
      </c>
      <c r="N111" s="520" t="str">
        <f>IF(E111="","",IF(ISNA(VLOOKUP($E111,'D-1 Off Site Habitat Baseline'!$D$1:$X$258,14,FALSE)),"",(VLOOKUP($E111,'D-1 Off Site Habitat Baseline'!$D$1:$X$258,14,FALSE))))</f>
        <v/>
      </c>
      <c r="O111" s="524" t="str">
        <f>IF(E111="","",IF(ISNA(VLOOKUP($E111,'D-1 Off Site Habitat Baseline'!$D$1:$X$258,13,FALSE)),"",(VLOOKUP($E111,'D-1 Off Site Habitat Baseline'!$D$1:$X$258,13,FALSE))))</f>
        <v/>
      </c>
      <c r="P111" s="232" t="str">
        <f>IFERROR(INDEX('G-1 All Habitats'!$AG$3:$AG$15,MATCH(Q111,'G-1 All Habitats'!$AF$3:$AF$15,0)),"")</f>
        <v/>
      </c>
      <c r="Q111" s="228" t="str">
        <f t="shared" si="23"/>
        <v/>
      </c>
      <c r="R111" s="229" t="str">
        <f t="shared" si="24"/>
        <v/>
      </c>
      <c r="S111" s="233" t="str">
        <f>IFERROR(INDEX('G-1 All Habitats'!$B$3:$B$129,MATCH(R111,'G-1 All Habitats'!$A$3:$A$129,0)),"")</f>
        <v/>
      </c>
      <c r="T111" s="507" t="str">
        <f t="shared" si="16"/>
        <v/>
      </c>
      <c r="U111" s="524" t="str">
        <f t="shared" si="17"/>
        <v/>
      </c>
      <c r="V111" s="523" t="str">
        <f t="shared" si="14"/>
        <v/>
      </c>
      <c r="W111" s="520" t="str">
        <f>IF(S111="","",VLOOKUP(S111,'G-1 All Habitats'!$B$2:$M$129,10,FALSE))</f>
        <v/>
      </c>
      <c r="X111" s="520" t="str">
        <f>IFERROR(VLOOKUP(W111,'G-1 All Habitats'!$V$3:$W$7,2,FALSE),"")</f>
        <v/>
      </c>
      <c r="Y111" s="203"/>
      <c r="Z111" s="524" t="str">
        <f>IFERROR(INDEX('G-8 Condition Look up'!$A$3:$H$130,MATCH(S111,'G-8 Condition Look up'!$A$3:$A$130,0),MATCH(Y111,'G-8 Condition Look up'!$A$3:$H$3,0)),"")</f>
        <v/>
      </c>
      <c r="AA111" s="145"/>
      <c r="AB111" s="540" t="str">
        <f>IF(AA111="","",IF(VLOOKUP(AA111,'G-3 Multipliers'!$L$3:$N$6,2,FALSE)=0,"Spatial Data Missing ⚠",VLOOKUP(AA111,'G-3 Multipliers'!$L$3:$N$6,2,FALSE)))</f>
        <v/>
      </c>
      <c r="AC111" s="524" t="str">
        <f>IF(AA111="","",IF(VLOOKUP(AA111,'G-3 Multipliers'!$L$3:$N$6,3,FALSE)=0,"Spatial Data Missing ⚠",VLOOKUP(AA111,'G-3 Multipliers'!$L$3:$N$6,3,FALSE)))</f>
        <v/>
      </c>
      <c r="AD111" s="537" t="str">
        <f t="shared" si="15"/>
        <v/>
      </c>
      <c r="AE111" s="203"/>
      <c r="AF111" s="203"/>
      <c r="AG111" s="520" t="str">
        <f t="shared" si="18"/>
        <v/>
      </c>
      <c r="AH111" s="544" t="str">
        <f t="shared" si="19"/>
        <v/>
      </c>
      <c r="AI111" s="525" t="str">
        <f>IF(AH111="Check Data ⚠","Check Data ⚠",IFERROR(VLOOKUP(AH111,'G-4 Temporal multipliers'!$A$4:$C$36,3,FALSE),""))</f>
        <v/>
      </c>
      <c r="AJ111" s="537" t="str">
        <f>IF(S111="","",VLOOKUP(S111,'G-3 Multipliers'!$A$2:$E$129,4,FALSE))</f>
        <v/>
      </c>
      <c r="AK111" s="520" t="str">
        <f t="shared" si="20"/>
        <v/>
      </c>
      <c r="AL111" s="520" t="str">
        <f t="shared" si="21"/>
        <v/>
      </c>
      <c r="AM111" s="524" t="str">
        <f>IFERROR(IF(F111="","",IF(AH111="Check Data ⚠","Check Data ⚠",VLOOKUP(AL111, 'G-3 Multipliers'!$P$2:$Q$6,2,FALSE))),"")</f>
        <v/>
      </c>
      <c r="AN111" s="197"/>
      <c r="AO111" s="540" t="str">
        <f>IF(AN111="","",IF(VLOOKUP(AN111,'G-3 Multipliers'!$S$3:$T$9,2,FALSE)=0,"Spatial Data Missing ⚠",VLOOKUP(AN111,'G-3 Multipliers'!$S$3:$T$9,2,FALSE)))</f>
        <v/>
      </c>
      <c r="AP111" s="513" t="str">
        <f t="shared" si="22"/>
        <v/>
      </c>
      <c r="AQ111" s="231"/>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7" t="str">
        <f>'D-1 Off Site Habitat Baseline'!AL111</f>
        <v/>
      </c>
      <c r="F112" s="520" t="str">
        <f>IF(E112="","",IF(ISNA(VLOOKUP($E112,'D-1 Off Site Habitat Baseline'!$D$1:$O$258,4,FALSE)),"",(VLOOKUP($E112,'D-1 Off Site Habitat Baseline'!$D$1:$O$258,4,FALSE))))</f>
        <v/>
      </c>
      <c r="G112" s="520" t="str">
        <f>IF(E112="","",IF(ISNA(VLOOKUP($E112,'D-1 Off Site Habitat Baseline'!$D$1:$O$258,5,FALSE)),"",(VLOOKUP($E112,'D-1 Off Site Habitat Baseline'!$D$1:$O$258,5,FALSE))))</f>
        <v/>
      </c>
      <c r="H112" s="520" t="str">
        <f>IF(E112="","",IF(ISNA(VLOOKUP($E112,'D-1 Off Site Habitat Baseline'!$D$1:$O$258,6,FALSE)),"",(VLOOKUP($E112,'D-1 Off Site Habitat Baseline'!$D$1:$O$258,6,FALSE))))</f>
        <v/>
      </c>
      <c r="I112" s="520" t="str">
        <f>IF(E112="","",IF(ISNA(VLOOKUP($E112,'D-1 Off Site Habitat Baseline'!$D$1:$O$258,7,FALSE)),"",(VLOOKUP($E112,'D-1 Off Site Habitat Baseline'!$D$1:$O$258,7,FALSE))))</f>
        <v/>
      </c>
      <c r="J112" s="520" t="str">
        <f>IF(E112="","",IF(ISNA(VLOOKUP($E112,'D-1 Off Site Habitat Baseline'!$D$1:$O$258,8,FALSE)),"",(VLOOKUP($E112,'D-1 Off Site Habitat Baseline'!$D$1:$O$258,8,FALSE))))</f>
        <v/>
      </c>
      <c r="K112" s="520" t="str">
        <f>IF(E112="","",IF(ISNA(VLOOKUP($E112,'D-1 Off Site Habitat Baseline'!$D$1:$O$258,9,FALSE)),"",(VLOOKUP($E112,'D-1 Off Site Habitat Baseline'!$D$1:$O$258,9,FALSE))))</f>
        <v/>
      </c>
      <c r="L112" s="520" t="str">
        <f>IF(E112="","",IF(ISNA(VLOOKUP($E112,'D-1 Off Site Habitat Baseline'!$D$1:$O$258,11,FALSE)),"",(VLOOKUP($E112,'D-1 Off Site Habitat Baseline'!$D$1:$O$258,11,FALSE))))</f>
        <v/>
      </c>
      <c r="M112" s="520" t="str">
        <f>IF(E112="","",IF(ISNA(VLOOKUP($E112,'D-1 Off Site Habitat Baseline'!$D$1:$O$258,12,FALSE)),"",(VLOOKUP($E112,'D-1 Off Site Habitat Baseline'!$D$1:$O$258,12,FALSE))))</f>
        <v/>
      </c>
      <c r="N112" s="520" t="str">
        <f>IF(E112="","",IF(ISNA(VLOOKUP($E112,'D-1 Off Site Habitat Baseline'!$D$1:$X$258,14,FALSE)),"",(VLOOKUP($E112,'D-1 Off Site Habitat Baseline'!$D$1:$X$258,14,FALSE))))</f>
        <v/>
      </c>
      <c r="O112" s="524" t="str">
        <f>IF(E112="","",IF(ISNA(VLOOKUP($E112,'D-1 Off Site Habitat Baseline'!$D$1:$X$258,13,FALSE)),"",(VLOOKUP($E112,'D-1 Off Site Habitat Baseline'!$D$1:$X$258,13,FALSE))))</f>
        <v/>
      </c>
      <c r="P112" s="232" t="str">
        <f>IFERROR(INDEX('G-1 All Habitats'!$AG$3:$AG$15,MATCH(Q112,'G-1 All Habitats'!$AF$3:$AF$15,0)),"")</f>
        <v/>
      </c>
      <c r="Q112" s="228" t="str">
        <f t="shared" si="23"/>
        <v/>
      </c>
      <c r="R112" s="229" t="str">
        <f t="shared" si="24"/>
        <v/>
      </c>
      <c r="S112" s="233" t="str">
        <f>IFERROR(INDEX('G-1 All Habitats'!$B$3:$B$129,MATCH(R112,'G-1 All Habitats'!$A$3:$A$129,0)),"")</f>
        <v/>
      </c>
      <c r="T112" s="507" t="str">
        <f t="shared" si="16"/>
        <v/>
      </c>
      <c r="U112" s="524" t="str">
        <f t="shared" si="17"/>
        <v/>
      </c>
      <c r="V112" s="523" t="str">
        <f t="shared" si="14"/>
        <v/>
      </c>
      <c r="W112" s="520" t="str">
        <f>IF(S112="","",VLOOKUP(S112,'G-1 All Habitats'!$B$2:$M$129,10,FALSE))</f>
        <v/>
      </c>
      <c r="X112" s="520" t="str">
        <f>IFERROR(VLOOKUP(W112,'G-1 All Habitats'!$V$3:$W$7,2,FALSE),"")</f>
        <v/>
      </c>
      <c r="Y112" s="203"/>
      <c r="Z112" s="524" t="str">
        <f>IFERROR(INDEX('G-8 Condition Look up'!$A$3:$H$130,MATCH(S112,'G-8 Condition Look up'!$A$3:$A$130,0),MATCH(Y112,'G-8 Condition Look up'!$A$3:$H$3,0)),"")</f>
        <v/>
      </c>
      <c r="AA112" s="145"/>
      <c r="AB112" s="540" t="str">
        <f>IF(AA112="","",IF(VLOOKUP(AA112,'G-3 Multipliers'!$L$3:$N$6,2,FALSE)=0,"Spatial Data Missing ⚠",VLOOKUP(AA112,'G-3 Multipliers'!$L$3:$N$6,2,FALSE)))</f>
        <v/>
      </c>
      <c r="AC112" s="524" t="str">
        <f>IF(AA112="","",IF(VLOOKUP(AA112,'G-3 Multipliers'!$L$3:$N$6,3,FALSE)=0,"Spatial Data Missing ⚠",VLOOKUP(AA112,'G-3 Multipliers'!$L$3:$N$6,3,FALSE)))</f>
        <v/>
      </c>
      <c r="AD112" s="537" t="str">
        <f t="shared" si="15"/>
        <v/>
      </c>
      <c r="AE112" s="203"/>
      <c r="AF112" s="203"/>
      <c r="AG112" s="520" t="str">
        <f t="shared" si="18"/>
        <v/>
      </c>
      <c r="AH112" s="544" t="str">
        <f t="shared" si="19"/>
        <v/>
      </c>
      <c r="AI112" s="525" t="str">
        <f>IF(AH112="Check Data ⚠","Check Data ⚠",IFERROR(VLOOKUP(AH112,'G-4 Temporal multipliers'!$A$4:$C$36,3,FALSE),""))</f>
        <v/>
      </c>
      <c r="AJ112" s="537" t="str">
        <f>IF(S112="","",VLOOKUP(S112,'G-3 Multipliers'!$A$2:$E$129,4,FALSE))</f>
        <v/>
      </c>
      <c r="AK112" s="520" t="str">
        <f t="shared" si="20"/>
        <v/>
      </c>
      <c r="AL112" s="520" t="str">
        <f t="shared" si="21"/>
        <v/>
      </c>
      <c r="AM112" s="524" t="str">
        <f>IFERROR(IF(F112="","",IF(AH112="Check Data ⚠","Check Data ⚠",VLOOKUP(AL112, 'G-3 Multipliers'!$P$2:$Q$6,2,FALSE))),"")</f>
        <v/>
      </c>
      <c r="AN112" s="197"/>
      <c r="AO112" s="540" t="str">
        <f>IF(AN112="","",IF(VLOOKUP(AN112,'G-3 Multipliers'!$S$3:$T$9,2,FALSE)=0,"Spatial Data Missing ⚠",VLOOKUP(AN112,'G-3 Multipliers'!$S$3:$T$9,2,FALSE)))</f>
        <v/>
      </c>
      <c r="AP112" s="513" t="str">
        <f t="shared" si="22"/>
        <v/>
      </c>
      <c r="AQ112" s="231"/>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7" t="str">
        <f>'D-1 Off Site Habitat Baseline'!AL112</f>
        <v/>
      </c>
      <c r="F113" s="520" t="str">
        <f>IF(E113="","",IF(ISNA(VLOOKUP($E113,'D-1 Off Site Habitat Baseline'!$D$1:$O$258,4,FALSE)),"",(VLOOKUP($E113,'D-1 Off Site Habitat Baseline'!$D$1:$O$258,4,FALSE))))</f>
        <v/>
      </c>
      <c r="G113" s="520" t="str">
        <f>IF(E113="","",IF(ISNA(VLOOKUP($E113,'D-1 Off Site Habitat Baseline'!$D$1:$O$258,5,FALSE)),"",(VLOOKUP($E113,'D-1 Off Site Habitat Baseline'!$D$1:$O$258,5,FALSE))))</f>
        <v/>
      </c>
      <c r="H113" s="520" t="str">
        <f>IF(E113="","",IF(ISNA(VLOOKUP($E113,'D-1 Off Site Habitat Baseline'!$D$1:$O$258,6,FALSE)),"",(VLOOKUP($E113,'D-1 Off Site Habitat Baseline'!$D$1:$O$258,6,FALSE))))</f>
        <v/>
      </c>
      <c r="I113" s="520" t="str">
        <f>IF(E113="","",IF(ISNA(VLOOKUP($E113,'D-1 Off Site Habitat Baseline'!$D$1:$O$258,7,FALSE)),"",(VLOOKUP($E113,'D-1 Off Site Habitat Baseline'!$D$1:$O$258,7,FALSE))))</f>
        <v/>
      </c>
      <c r="J113" s="520" t="str">
        <f>IF(E113="","",IF(ISNA(VLOOKUP($E113,'D-1 Off Site Habitat Baseline'!$D$1:$O$258,8,FALSE)),"",(VLOOKUP($E113,'D-1 Off Site Habitat Baseline'!$D$1:$O$258,8,FALSE))))</f>
        <v/>
      </c>
      <c r="K113" s="520" t="str">
        <f>IF(E113="","",IF(ISNA(VLOOKUP($E113,'D-1 Off Site Habitat Baseline'!$D$1:$O$258,9,FALSE)),"",(VLOOKUP($E113,'D-1 Off Site Habitat Baseline'!$D$1:$O$258,9,FALSE))))</f>
        <v/>
      </c>
      <c r="L113" s="520" t="str">
        <f>IF(E113="","",IF(ISNA(VLOOKUP($E113,'D-1 Off Site Habitat Baseline'!$D$1:$O$258,11,FALSE)),"",(VLOOKUP($E113,'D-1 Off Site Habitat Baseline'!$D$1:$O$258,11,FALSE))))</f>
        <v/>
      </c>
      <c r="M113" s="520" t="str">
        <f>IF(E113="","",IF(ISNA(VLOOKUP($E113,'D-1 Off Site Habitat Baseline'!$D$1:$O$258,12,FALSE)),"",(VLOOKUP($E113,'D-1 Off Site Habitat Baseline'!$D$1:$O$258,12,FALSE))))</f>
        <v/>
      </c>
      <c r="N113" s="520" t="str">
        <f>IF(E113="","",IF(ISNA(VLOOKUP($E113,'D-1 Off Site Habitat Baseline'!$D$1:$X$258,14,FALSE)),"",(VLOOKUP($E113,'D-1 Off Site Habitat Baseline'!$D$1:$X$258,14,FALSE))))</f>
        <v/>
      </c>
      <c r="O113" s="524" t="str">
        <f>IF(E113="","",IF(ISNA(VLOOKUP($E113,'D-1 Off Site Habitat Baseline'!$D$1:$X$258,13,FALSE)),"",(VLOOKUP($E113,'D-1 Off Site Habitat Baseline'!$D$1:$X$258,13,FALSE))))</f>
        <v/>
      </c>
      <c r="P113" s="232" t="str">
        <f>IFERROR(INDEX('G-1 All Habitats'!$AG$3:$AG$15,MATCH(Q113,'G-1 All Habitats'!$AF$3:$AF$15,0)),"")</f>
        <v/>
      </c>
      <c r="Q113" s="228" t="str">
        <f t="shared" si="23"/>
        <v/>
      </c>
      <c r="R113" s="229" t="str">
        <f t="shared" si="24"/>
        <v/>
      </c>
      <c r="S113" s="233" t="str">
        <f>IFERROR(INDEX('G-1 All Habitats'!$B$3:$B$129,MATCH(R113,'G-1 All Habitats'!$A$3:$A$129,0)),"")</f>
        <v/>
      </c>
      <c r="T113" s="507" t="str">
        <f t="shared" si="16"/>
        <v/>
      </c>
      <c r="U113" s="524" t="str">
        <f t="shared" si="17"/>
        <v/>
      </c>
      <c r="V113" s="523" t="str">
        <f t="shared" si="14"/>
        <v/>
      </c>
      <c r="W113" s="520" t="str">
        <f>IF(S113="","",VLOOKUP(S113,'G-1 All Habitats'!$B$2:$M$129,10,FALSE))</f>
        <v/>
      </c>
      <c r="X113" s="520" t="str">
        <f>IFERROR(VLOOKUP(W113,'G-1 All Habitats'!$V$3:$W$7,2,FALSE),"")</f>
        <v/>
      </c>
      <c r="Y113" s="203"/>
      <c r="Z113" s="524" t="str">
        <f>IFERROR(INDEX('G-8 Condition Look up'!$A$3:$H$130,MATCH(S113,'G-8 Condition Look up'!$A$3:$A$130,0),MATCH(Y113,'G-8 Condition Look up'!$A$3:$H$3,0)),"")</f>
        <v/>
      </c>
      <c r="AA113" s="145"/>
      <c r="AB113" s="540" t="str">
        <f>IF(AA113="","",IF(VLOOKUP(AA113,'G-3 Multipliers'!$L$3:$N$6,2,FALSE)=0,"Spatial Data Missing ⚠",VLOOKUP(AA113,'G-3 Multipliers'!$L$3:$N$6,2,FALSE)))</f>
        <v/>
      </c>
      <c r="AC113" s="524" t="str">
        <f>IF(AA113="","",IF(VLOOKUP(AA113,'G-3 Multipliers'!$L$3:$N$6,3,FALSE)=0,"Spatial Data Missing ⚠",VLOOKUP(AA113,'G-3 Multipliers'!$L$3:$N$6,3,FALSE)))</f>
        <v/>
      </c>
      <c r="AD113" s="537" t="str">
        <f t="shared" si="15"/>
        <v/>
      </c>
      <c r="AE113" s="203"/>
      <c r="AF113" s="203"/>
      <c r="AG113" s="520" t="str">
        <f t="shared" si="18"/>
        <v/>
      </c>
      <c r="AH113" s="544" t="str">
        <f t="shared" si="19"/>
        <v/>
      </c>
      <c r="AI113" s="525" t="str">
        <f>IF(AH113="Check Data ⚠","Check Data ⚠",IFERROR(VLOOKUP(AH113,'G-4 Temporal multipliers'!$A$4:$C$36,3,FALSE),""))</f>
        <v/>
      </c>
      <c r="AJ113" s="537" t="str">
        <f>IF(S113="","",VLOOKUP(S113,'G-3 Multipliers'!$A$2:$E$129,4,FALSE))</f>
        <v/>
      </c>
      <c r="AK113" s="520" t="str">
        <f t="shared" si="20"/>
        <v/>
      </c>
      <c r="AL113" s="520" t="str">
        <f t="shared" si="21"/>
        <v/>
      </c>
      <c r="AM113" s="524" t="str">
        <f>IFERROR(IF(F113="","",IF(AH113="Check Data ⚠","Check Data ⚠",VLOOKUP(AL113, 'G-3 Multipliers'!$P$2:$Q$6,2,FALSE))),"")</f>
        <v/>
      </c>
      <c r="AN113" s="197"/>
      <c r="AO113" s="540" t="str">
        <f>IF(AN113="","",IF(VLOOKUP(AN113,'G-3 Multipliers'!$S$3:$T$9,2,FALSE)=0,"Spatial Data Missing ⚠",VLOOKUP(AN113,'G-3 Multipliers'!$S$3:$T$9,2,FALSE)))</f>
        <v/>
      </c>
      <c r="AP113" s="513" t="str">
        <f t="shared" si="22"/>
        <v/>
      </c>
      <c r="AQ113" s="231"/>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7" t="str">
        <f>'D-1 Off Site Habitat Baseline'!AL113</f>
        <v/>
      </c>
      <c r="F114" s="520" t="str">
        <f>IF(E114="","",IF(ISNA(VLOOKUP($E114,'D-1 Off Site Habitat Baseline'!$D$1:$O$258,4,FALSE)),"",(VLOOKUP($E114,'D-1 Off Site Habitat Baseline'!$D$1:$O$258,4,FALSE))))</f>
        <v/>
      </c>
      <c r="G114" s="520" t="str">
        <f>IF(E114="","",IF(ISNA(VLOOKUP($E114,'D-1 Off Site Habitat Baseline'!$D$1:$O$258,5,FALSE)),"",(VLOOKUP($E114,'D-1 Off Site Habitat Baseline'!$D$1:$O$258,5,FALSE))))</f>
        <v/>
      </c>
      <c r="H114" s="520" t="str">
        <f>IF(E114="","",IF(ISNA(VLOOKUP($E114,'D-1 Off Site Habitat Baseline'!$D$1:$O$258,6,FALSE)),"",(VLOOKUP($E114,'D-1 Off Site Habitat Baseline'!$D$1:$O$258,6,FALSE))))</f>
        <v/>
      </c>
      <c r="I114" s="520" t="str">
        <f>IF(E114="","",IF(ISNA(VLOOKUP($E114,'D-1 Off Site Habitat Baseline'!$D$1:$O$258,7,FALSE)),"",(VLOOKUP($E114,'D-1 Off Site Habitat Baseline'!$D$1:$O$258,7,FALSE))))</f>
        <v/>
      </c>
      <c r="J114" s="520" t="str">
        <f>IF(E114="","",IF(ISNA(VLOOKUP($E114,'D-1 Off Site Habitat Baseline'!$D$1:$O$258,8,FALSE)),"",(VLOOKUP($E114,'D-1 Off Site Habitat Baseline'!$D$1:$O$258,8,FALSE))))</f>
        <v/>
      </c>
      <c r="K114" s="520" t="str">
        <f>IF(E114="","",IF(ISNA(VLOOKUP($E114,'D-1 Off Site Habitat Baseline'!$D$1:$O$258,9,FALSE)),"",(VLOOKUP($E114,'D-1 Off Site Habitat Baseline'!$D$1:$O$258,9,FALSE))))</f>
        <v/>
      </c>
      <c r="L114" s="520" t="str">
        <f>IF(E114="","",IF(ISNA(VLOOKUP($E114,'D-1 Off Site Habitat Baseline'!$D$1:$O$258,11,FALSE)),"",(VLOOKUP($E114,'D-1 Off Site Habitat Baseline'!$D$1:$O$258,11,FALSE))))</f>
        <v/>
      </c>
      <c r="M114" s="520" t="str">
        <f>IF(E114="","",IF(ISNA(VLOOKUP($E114,'D-1 Off Site Habitat Baseline'!$D$1:$O$258,12,FALSE)),"",(VLOOKUP($E114,'D-1 Off Site Habitat Baseline'!$D$1:$O$258,12,FALSE))))</f>
        <v/>
      </c>
      <c r="N114" s="520" t="str">
        <f>IF(E114="","",IF(ISNA(VLOOKUP($E114,'D-1 Off Site Habitat Baseline'!$D$1:$X$258,14,FALSE)),"",(VLOOKUP($E114,'D-1 Off Site Habitat Baseline'!$D$1:$X$258,14,FALSE))))</f>
        <v/>
      </c>
      <c r="O114" s="524" t="str">
        <f>IF(E114="","",IF(ISNA(VLOOKUP($E114,'D-1 Off Site Habitat Baseline'!$D$1:$X$258,13,FALSE)),"",(VLOOKUP($E114,'D-1 Off Site Habitat Baseline'!$D$1:$X$258,13,FALSE))))</f>
        <v/>
      </c>
      <c r="P114" s="232" t="str">
        <f>IFERROR(INDEX('G-1 All Habitats'!$AG$3:$AG$15,MATCH(Q114,'G-1 All Habitats'!$AF$3:$AF$15,0)),"")</f>
        <v/>
      </c>
      <c r="Q114" s="228" t="str">
        <f t="shared" si="23"/>
        <v/>
      </c>
      <c r="R114" s="229" t="str">
        <f t="shared" si="24"/>
        <v/>
      </c>
      <c r="S114" s="233" t="str">
        <f>IFERROR(INDEX('G-1 All Habitats'!$B$3:$B$129,MATCH(R114,'G-1 All Habitats'!$A$3:$A$129,0)),"")</f>
        <v/>
      </c>
      <c r="T114" s="507" t="str">
        <f t="shared" si="16"/>
        <v/>
      </c>
      <c r="U114" s="524" t="str">
        <f t="shared" si="17"/>
        <v/>
      </c>
      <c r="V114" s="523" t="str">
        <f t="shared" si="14"/>
        <v/>
      </c>
      <c r="W114" s="520" t="str">
        <f>IF(S114="","",VLOOKUP(S114,'G-1 All Habitats'!$B$2:$M$129,10,FALSE))</f>
        <v/>
      </c>
      <c r="X114" s="520" t="str">
        <f>IFERROR(VLOOKUP(W114,'G-1 All Habitats'!$V$3:$W$7,2,FALSE),"")</f>
        <v/>
      </c>
      <c r="Y114" s="203"/>
      <c r="Z114" s="524" t="str">
        <f>IFERROR(INDEX('G-8 Condition Look up'!$A$3:$H$130,MATCH(S114,'G-8 Condition Look up'!$A$3:$A$130,0),MATCH(Y114,'G-8 Condition Look up'!$A$3:$H$3,0)),"")</f>
        <v/>
      </c>
      <c r="AA114" s="145"/>
      <c r="AB114" s="540" t="str">
        <f>IF(AA114="","",IF(VLOOKUP(AA114,'G-3 Multipliers'!$L$3:$N$6,2,FALSE)=0,"Spatial Data Missing ⚠",VLOOKUP(AA114,'G-3 Multipliers'!$L$3:$N$6,2,FALSE)))</f>
        <v/>
      </c>
      <c r="AC114" s="524" t="str">
        <f>IF(AA114="","",IF(VLOOKUP(AA114,'G-3 Multipliers'!$L$3:$N$6,3,FALSE)=0,"Spatial Data Missing ⚠",VLOOKUP(AA114,'G-3 Multipliers'!$L$3:$N$6,3,FALSE)))</f>
        <v/>
      </c>
      <c r="AD114" s="537" t="str">
        <f t="shared" si="15"/>
        <v/>
      </c>
      <c r="AE114" s="203"/>
      <c r="AF114" s="203"/>
      <c r="AG114" s="520" t="str">
        <f t="shared" si="18"/>
        <v/>
      </c>
      <c r="AH114" s="544" t="str">
        <f t="shared" si="19"/>
        <v/>
      </c>
      <c r="AI114" s="525" t="str">
        <f>IF(AH114="Check Data ⚠","Check Data ⚠",IFERROR(VLOOKUP(AH114,'G-4 Temporal multipliers'!$A$4:$C$36,3,FALSE),""))</f>
        <v/>
      </c>
      <c r="AJ114" s="537" t="str">
        <f>IF(S114="","",VLOOKUP(S114,'G-3 Multipliers'!$A$2:$E$129,4,FALSE))</f>
        <v/>
      </c>
      <c r="AK114" s="520" t="str">
        <f t="shared" si="20"/>
        <v/>
      </c>
      <c r="AL114" s="520" t="str">
        <f t="shared" si="21"/>
        <v/>
      </c>
      <c r="AM114" s="524" t="str">
        <f>IFERROR(IF(F114="","",IF(AH114="Check Data ⚠","Check Data ⚠",VLOOKUP(AL114, 'G-3 Multipliers'!$P$2:$Q$6,2,FALSE))),"")</f>
        <v/>
      </c>
      <c r="AN114" s="197"/>
      <c r="AO114" s="540" t="str">
        <f>IF(AN114="","",IF(VLOOKUP(AN114,'G-3 Multipliers'!$S$3:$T$9,2,FALSE)=0,"Spatial Data Missing ⚠",VLOOKUP(AN114,'G-3 Multipliers'!$S$3:$T$9,2,FALSE)))</f>
        <v/>
      </c>
      <c r="AP114" s="513" t="str">
        <f t="shared" si="22"/>
        <v/>
      </c>
      <c r="AQ114" s="231"/>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7" t="str">
        <f>'D-1 Off Site Habitat Baseline'!AL114</f>
        <v/>
      </c>
      <c r="F115" s="520" t="str">
        <f>IF(E115="","",IF(ISNA(VLOOKUP($E115,'D-1 Off Site Habitat Baseline'!$D$1:$O$258,4,FALSE)),"",(VLOOKUP($E115,'D-1 Off Site Habitat Baseline'!$D$1:$O$258,4,FALSE))))</f>
        <v/>
      </c>
      <c r="G115" s="520" t="str">
        <f>IF(E115="","",IF(ISNA(VLOOKUP($E115,'D-1 Off Site Habitat Baseline'!$D$1:$O$258,5,FALSE)),"",(VLOOKUP($E115,'D-1 Off Site Habitat Baseline'!$D$1:$O$258,5,FALSE))))</f>
        <v/>
      </c>
      <c r="H115" s="520" t="str">
        <f>IF(E115="","",IF(ISNA(VLOOKUP($E115,'D-1 Off Site Habitat Baseline'!$D$1:$O$258,6,FALSE)),"",(VLOOKUP($E115,'D-1 Off Site Habitat Baseline'!$D$1:$O$258,6,FALSE))))</f>
        <v/>
      </c>
      <c r="I115" s="520" t="str">
        <f>IF(E115="","",IF(ISNA(VLOOKUP($E115,'D-1 Off Site Habitat Baseline'!$D$1:$O$258,7,FALSE)),"",(VLOOKUP($E115,'D-1 Off Site Habitat Baseline'!$D$1:$O$258,7,FALSE))))</f>
        <v/>
      </c>
      <c r="J115" s="520" t="str">
        <f>IF(E115="","",IF(ISNA(VLOOKUP($E115,'D-1 Off Site Habitat Baseline'!$D$1:$O$258,8,FALSE)),"",(VLOOKUP($E115,'D-1 Off Site Habitat Baseline'!$D$1:$O$258,8,FALSE))))</f>
        <v/>
      </c>
      <c r="K115" s="520" t="str">
        <f>IF(E115="","",IF(ISNA(VLOOKUP($E115,'D-1 Off Site Habitat Baseline'!$D$1:$O$258,9,FALSE)),"",(VLOOKUP($E115,'D-1 Off Site Habitat Baseline'!$D$1:$O$258,9,FALSE))))</f>
        <v/>
      </c>
      <c r="L115" s="520" t="str">
        <f>IF(E115="","",IF(ISNA(VLOOKUP($E115,'D-1 Off Site Habitat Baseline'!$D$1:$O$258,11,FALSE)),"",(VLOOKUP($E115,'D-1 Off Site Habitat Baseline'!$D$1:$O$258,11,FALSE))))</f>
        <v/>
      </c>
      <c r="M115" s="520" t="str">
        <f>IF(E115="","",IF(ISNA(VLOOKUP($E115,'D-1 Off Site Habitat Baseline'!$D$1:$O$258,12,FALSE)),"",(VLOOKUP($E115,'D-1 Off Site Habitat Baseline'!$D$1:$O$258,12,FALSE))))</f>
        <v/>
      </c>
      <c r="N115" s="520" t="str">
        <f>IF(E115="","",IF(ISNA(VLOOKUP($E115,'D-1 Off Site Habitat Baseline'!$D$1:$X$258,14,FALSE)),"",(VLOOKUP($E115,'D-1 Off Site Habitat Baseline'!$D$1:$X$258,14,FALSE))))</f>
        <v/>
      </c>
      <c r="O115" s="524" t="str">
        <f>IF(E115="","",IF(ISNA(VLOOKUP($E115,'D-1 Off Site Habitat Baseline'!$D$1:$X$258,13,FALSE)),"",(VLOOKUP($E115,'D-1 Off Site Habitat Baseline'!$D$1:$X$258,13,FALSE))))</f>
        <v/>
      </c>
      <c r="P115" s="232" t="str">
        <f>IFERROR(INDEX('G-1 All Habitats'!$AG$3:$AG$15,MATCH(Q115,'G-1 All Habitats'!$AF$3:$AF$15,0)),"")</f>
        <v/>
      </c>
      <c r="Q115" s="228" t="str">
        <f t="shared" si="23"/>
        <v/>
      </c>
      <c r="R115" s="229" t="str">
        <f t="shared" si="24"/>
        <v/>
      </c>
      <c r="S115" s="233" t="str">
        <f>IFERROR(INDEX('G-1 All Habitats'!$B$3:$B$129,MATCH(R115,'G-1 All Habitats'!$A$3:$A$129,0)),"")</f>
        <v/>
      </c>
      <c r="T115" s="507" t="str">
        <f t="shared" si="16"/>
        <v/>
      </c>
      <c r="U115" s="524" t="str">
        <f t="shared" si="17"/>
        <v/>
      </c>
      <c r="V115" s="523" t="str">
        <f t="shared" si="14"/>
        <v/>
      </c>
      <c r="W115" s="520" t="str">
        <f>IF(S115="","",VLOOKUP(S115,'G-1 All Habitats'!$B$2:$M$129,10,FALSE))</f>
        <v/>
      </c>
      <c r="X115" s="520" t="str">
        <f>IFERROR(VLOOKUP(W115,'G-1 All Habitats'!$V$3:$W$7,2,FALSE),"")</f>
        <v/>
      </c>
      <c r="Y115" s="203"/>
      <c r="Z115" s="524" t="str">
        <f>IFERROR(INDEX('G-8 Condition Look up'!$A$3:$H$130,MATCH(S115,'G-8 Condition Look up'!$A$3:$A$130,0),MATCH(Y115,'G-8 Condition Look up'!$A$3:$H$3,0)),"")</f>
        <v/>
      </c>
      <c r="AA115" s="145"/>
      <c r="AB115" s="540" t="str">
        <f>IF(AA115="","",IF(VLOOKUP(AA115,'G-3 Multipliers'!$L$3:$N$6,2,FALSE)=0,"Spatial Data Missing ⚠",VLOOKUP(AA115,'G-3 Multipliers'!$L$3:$N$6,2,FALSE)))</f>
        <v/>
      </c>
      <c r="AC115" s="524" t="str">
        <f>IF(AA115="","",IF(VLOOKUP(AA115,'G-3 Multipliers'!$L$3:$N$6,3,FALSE)=0,"Spatial Data Missing ⚠",VLOOKUP(AA115,'G-3 Multipliers'!$L$3:$N$6,3,FALSE)))</f>
        <v/>
      </c>
      <c r="AD115" s="537" t="str">
        <f t="shared" si="15"/>
        <v/>
      </c>
      <c r="AE115" s="203"/>
      <c r="AF115" s="203"/>
      <c r="AG115" s="520" t="str">
        <f t="shared" si="18"/>
        <v/>
      </c>
      <c r="AH115" s="544" t="str">
        <f t="shared" si="19"/>
        <v/>
      </c>
      <c r="AI115" s="525" t="str">
        <f>IF(AH115="Check Data ⚠","Check Data ⚠",IFERROR(VLOOKUP(AH115,'G-4 Temporal multipliers'!$A$4:$C$36,3,FALSE),""))</f>
        <v/>
      </c>
      <c r="AJ115" s="537" t="str">
        <f>IF(S115="","",VLOOKUP(S115,'G-3 Multipliers'!$A$2:$E$129,4,FALSE))</f>
        <v/>
      </c>
      <c r="AK115" s="520" t="str">
        <f t="shared" si="20"/>
        <v/>
      </c>
      <c r="AL115" s="520" t="str">
        <f t="shared" si="21"/>
        <v/>
      </c>
      <c r="AM115" s="524" t="str">
        <f>IFERROR(IF(F115="","",IF(AH115="Check Data ⚠","Check Data ⚠",VLOOKUP(AL115, 'G-3 Multipliers'!$P$2:$Q$6,2,FALSE))),"")</f>
        <v/>
      </c>
      <c r="AN115" s="197"/>
      <c r="AO115" s="540" t="str">
        <f>IF(AN115="","",IF(VLOOKUP(AN115,'G-3 Multipliers'!$S$3:$T$9,2,FALSE)=0,"Spatial Data Missing ⚠",VLOOKUP(AN115,'G-3 Multipliers'!$S$3:$T$9,2,FALSE)))</f>
        <v/>
      </c>
      <c r="AP115" s="513" t="str">
        <f t="shared" si="22"/>
        <v/>
      </c>
      <c r="AQ115" s="231"/>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7" t="str">
        <f>'D-1 Off Site Habitat Baseline'!AL115</f>
        <v/>
      </c>
      <c r="F116" s="520" t="str">
        <f>IF(E116="","",IF(ISNA(VLOOKUP($E116,'D-1 Off Site Habitat Baseline'!$D$1:$O$258,4,FALSE)),"",(VLOOKUP($E116,'D-1 Off Site Habitat Baseline'!$D$1:$O$258,4,FALSE))))</f>
        <v/>
      </c>
      <c r="G116" s="520" t="str">
        <f>IF(E116="","",IF(ISNA(VLOOKUP($E116,'D-1 Off Site Habitat Baseline'!$D$1:$O$258,5,FALSE)),"",(VLOOKUP($E116,'D-1 Off Site Habitat Baseline'!$D$1:$O$258,5,FALSE))))</f>
        <v/>
      </c>
      <c r="H116" s="520" t="str">
        <f>IF(E116="","",IF(ISNA(VLOOKUP($E116,'D-1 Off Site Habitat Baseline'!$D$1:$O$258,6,FALSE)),"",(VLOOKUP($E116,'D-1 Off Site Habitat Baseline'!$D$1:$O$258,6,FALSE))))</f>
        <v/>
      </c>
      <c r="I116" s="520" t="str">
        <f>IF(E116="","",IF(ISNA(VLOOKUP($E116,'D-1 Off Site Habitat Baseline'!$D$1:$O$258,7,FALSE)),"",(VLOOKUP($E116,'D-1 Off Site Habitat Baseline'!$D$1:$O$258,7,FALSE))))</f>
        <v/>
      </c>
      <c r="J116" s="520" t="str">
        <f>IF(E116="","",IF(ISNA(VLOOKUP($E116,'D-1 Off Site Habitat Baseline'!$D$1:$O$258,8,FALSE)),"",(VLOOKUP($E116,'D-1 Off Site Habitat Baseline'!$D$1:$O$258,8,FALSE))))</f>
        <v/>
      </c>
      <c r="K116" s="520" t="str">
        <f>IF(E116="","",IF(ISNA(VLOOKUP($E116,'D-1 Off Site Habitat Baseline'!$D$1:$O$258,9,FALSE)),"",(VLOOKUP($E116,'D-1 Off Site Habitat Baseline'!$D$1:$O$258,9,FALSE))))</f>
        <v/>
      </c>
      <c r="L116" s="520" t="str">
        <f>IF(E116="","",IF(ISNA(VLOOKUP($E116,'D-1 Off Site Habitat Baseline'!$D$1:$O$258,11,FALSE)),"",(VLOOKUP($E116,'D-1 Off Site Habitat Baseline'!$D$1:$O$258,11,FALSE))))</f>
        <v/>
      </c>
      <c r="M116" s="520" t="str">
        <f>IF(E116="","",IF(ISNA(VLOOKUP($E116,'D-1 Off Site Habitat Baseline'!$D$1:$O$258,12,FALSE)),"",(VLOOKUP($E116,'D-1 Off Site Habitat Baseline'!$D$1:$O$258,12,FALSE))))</f>
        <v/>
      </c>
      <c r="N116" s="520" t="str">
        <f>IF(E116="","",IF(ISNA(VLOOKUP($E116,'D-1 Off Site Habitat Baseline'!$D$1:$X$258,14,FALSE)),"",(VLOOKUP($E116,'D-1 Off Site Habitat Baseline'!$D$1:$X$258,14,FALSE))))</f>
        <v/>
      </c>
      <c r="O116" s="524" t="str">
        <f>IF(E116="","",IF(ISNA(VLOOKUP($E116,'D-1 Off Site Habitat Baseline'!$D$1:$X$258,13,FALSE)),"",(VLOOKUP($E116,'D-1 Off Site Habitat Baseline'!$D$1:$X$258,13,FALSE))))</f>
        <v/>
      </c>
      <c r="P116" s="232" t="str">
        <f>IFERROR(INDEX('G-1 All Habitats'!$AG$3:$AG$15,MATCH(Q116,'G-1 All Habitats'!$AF$3:$AF$15,0)),"")</f>
        <v/>
      </c>
      <c r="Q116" s="228" t="str">
        <f t="shared" si="23"/>
        <v/>
      </c>
      <c r="R116" s="229" t="str">
        <f t="shared" si="24"/>
        <v/>
      </c>
      <c r="S116" s="233" t="str">
        <f>IFERROR(INDEX('G-1 All Habitats'!$B$3:$B$129,MATCH(R116,'G-1 All Habitats'!$A$3:$A$129,0)),"")</f>
        <v/>
      </c>
      <c r="T116" s="507" t="str">
        <f t="shared" si="16"/>
        <v/>
      </c>
      <c r="U116" s="524" t="str">
        <f t="shared" si="17"/>
        <v/>
      </c>
      <c r="V116" s="523" t="str">
        <f t="shared" si="14"/>
        <v/>
      </c>
      <c r="W116" s="520" t="str">
        <f>IF(S116="","",VLOOKUP(S116,'G-1 All Habitats'!$B$2:$M$129,10,FALSE))</f>
        <v/>
      </c>
      <c r="X116" s="520" t="str">
        <f>IFERROR(VLOOKUP(W116,'G-1 All Habitats'!$V$3:$W$7,2,FALSE),"")</f>
        <v/>
      </c>
      <c r="Y116" s="203"/>
      <c r="Z116" s="524" t="str">
        <f>IFERROR(INDEX('G-8 Condition Look up'!$A$3:$H$130,MATCH(S116,'G-8 Condition Look up'!$A$3:$A$130,0),MATCH(Y116,'G-8 Condition Look up'!$A$3:$H$3,0)),"")</f>
        <v/>
      </c>
      <c r="AA116" s="145"/>
      <c r="AB116" s="540" t="str">
        <f>IF(AA116="","",IF(VLOOKUP(AA116,'G-3 Multipliers'!$L$3:$N$6,2,FALSE)=0,"Spatial Data Missing ⚠",VLOOKUP(AA116,'G-3 Multipliers'!$L$3:$N$6,2,FALSE)))</f>
        <v/>
      </c>
      <c r="AC116" s="524" t="str">
        <f>IF(AA116="","",IF(VLOOKUP(AA116,'G-3 Multipliers'!$L$3:$N$6,3,FALSE)=0,"Spatial Data Missing ⚠",VLOOKUP(AA116,'G-3 Multipliers'!$L$3:$N$6,3,FALSE)))</f>
        <v/>
      </c>
      <c r="AD116" s="537" t="str">
        <f t="shared" si="15"/>
        <v/>
      </c>
      <c r="AE116" s="203"/>
      <c r="AF116" s="203"/>
      <c r="AG116" s="520" t="str">
        <f t="shared" si="18"/>
        <v/>
      </c>
      <c r="AH116" s="544" t="str">
        <f t="shared" si="19"/>
        <v/>
      </c>
      <c r="AI116" s="525" t="str">
        <f>IF(AH116="Check Data ⚠","Check Data ⚠",IFERROR(VLOOKUP(AH116,'G-4 Temporal multipliers'!$A$4:$C$36,3,FALSE),""))</f>
        <v/>
      </c>
      <c r="AJ116" s="537" t="str">
        <f>IF(S116="","",VLOOKUP(S116,'G-3 Multipliers'!$A$2:$E$129,4,FALSE))</f>
        <v/>
      </c>
      <c r="AK116" s="520" t="str">
        <f t="shared" si="20"/>
        <v/>
      </c>
      <c r="AL116" s="520" t="str">
        <f t="shared" si="21"/>
        <v/>
      </c>
      <c r="AM116" s="524" t="str">
        <f>IFERROR(IF(F116="","",IF(AH116="Check Data ⚠","Check Data ⚠",VLOOKUP(AL116, 'G-3 Multipliers'!$P$2:$Q$6,2,FALSE))),"")</f>
        <v/>
      </c>
      <c r="AN116" s="197"/>
      <c r="AO116" s="540" t="str">
        <f>IF(AN116="","",IF(VLOOKUP(AN116,'G-3 Multipliers'!$S$3:$T$9,2,FALSE)=0,"Spatial Data Missing ⚠",VLOOKUP(AN116,'G-3 Multipliers'!$S$3:$T$9,2,FALSE)))</f>
        <v/>
      </c>
      <c r="AP116" s="513" t="str">
        <f t="shared" si="22"/>
        <v/>
      </c>
      <c r="AQ116" s="231"/>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7" t="str">
        <f>'D-1 Off Site Habitat Baseline'!AL116</f>
        <v/>
      </c>
      <c r="F117" s="520" t="str">
        <f>IF(E117="","",IF(ISNA(VLOOKUP($E117,'D-1 Off Site Habitat Baseline'!$D$1:$O$258,4,FALSE)),"",(VLOOKUP($E117,'D-1 Off Site Habitat Baseline'!$D$1:$O$258,4,FALSE))))</f>
        <v/>
      </c>
      <c r="G117" s="520" t="str">
        <f>IF(E117="","",IF(ISNA(VLOOKUP($E117,'D-1 Off Site Habitat Baseline'!$D$1:$O$258,5,FALSE)),"",(VLOOKUP($E117,'D-1 Off Site Habitat Baseline'!$D$1:$O$258,5,FALSE))))</f>
        <v/>
      </c>
      <c r="H117" s="520" t="str">
        <f>IF(E117="","",IF(ISNA(VLOOKUP($E117,'D-1 Off Site Habitat Baseline'!$D$1:$O$258,6,FALSE)),"",(VLOOKUP($E117,'D-1 Off Site Habitat Baseline'!$D$1:$O$258,6,FALSE))))</f>
        <v/>
      </c>
      <c r="I117" s="520" t="str">
        <f>IF(E117="","",IF(ISNA(VLOOKUP($E117,'D-1 Off Site Habitat Baseline'!$D$1:$O$258,7,FALSE)),"",(VLOOKUP($E117,'D-1 Off Site Habitat Baseline'!$D$1:$O$258,7,FALSE))))</f>
        <v/>
      </c>
      <c r="J117" s="520" t="str">
        <f>IF(E117="","",IF(ISNA(VLOOKUP($E117,'D-1 Off Site Habitat Baseline'!$D$1:$O$258,8,FALSE)),"",(VLOOKUP($E117,'D-1 Off Site Habitat Baseline'!$D$1:$O$258,8,FALSE))))</f>
        <v/>
      </c>
      <c r="K117" s="520" t="str">
        <f>IF(E117="","",IF(ISNA(VLOOKUP($E117,'D-1 Off Site Habitat Baseline'!$D$1:$O$258,9,FALSE)),"",(VLOOKUP($E117,'D-1 Off Site Habitat Baseline'!$D$1:$O$258,9,FALSE))))</f>
        <v/>
      </c>
      <c r="L117" s="520" t="str">
        <f>IF(E117="","",IF(ISNA(VLOOKUP($E117,'D-1 Off Site Habitat Baseline'!$D$1:$O$258,11,FALSE)),"",(VLOOKUP($E117,'D-1 Off Site Habitat Baseline'!$D$1:$O$258,11,FALSE))))</f>
        <v/>
      </c>
      <c r="M117" s="520" t="str">
        <f>IF(E117="","",IF(ISNA(VLOOKUP($E117,'D-1 Off Site Habitat Baseline'!$D$1:$O$258,12,FALSE)),"",(VLOOKUP($E117,'D-1 Off Site Habitat Baseline'!$D$1:$O$258,12,FALSE))))</f>
        <v/>
      </c>
      <c r="N117" s="520" t="str">
        <f>IF(E117="","",IF(ISNA(VLOOKUP($E117,'D-1 Off Site Habitat Baseline'!$D$1:$X$258,14,FALSE)),"",(VLOOKUP($E117,'D-1 Off Site Habitat Baseline'!$D$1:$X$258,14,FALSE))))</f>
        <v/>
      </c>
      <c r="O117" s="524" t="str">
        <f>IF(E117="","",IF(ISNA(VLOOKUP($E117,'D-1 Off Site Habitat Baseline'!$D$1:$X$258,13,FALSE)),"",(VLOOKUP($E117,'D-1 Off Site Habitat Baseline'!$D$1:$X$258,13,FALSE))))</f>
        <v/>
      </c>
      <c r="P117" s="232" t="str">
        <f>IFERROR(INDEX('G-1 All Habitats'!$AG$3:$AG$15,MATCH(Q117,'G-1 All Habitats'!$AF$3:$AF$15,0)),"")</f>
        <v/>
      </c>
      <c r="Q117" s="228" t="str">
        <f t="shared" si="23"/>
        <v/>
      </c>
      <c r="R117" s="229" t="str">
        <f t="shared" si="24"/>
        <v/>
      </c>
      <c r="S117" s="233" t="str">
        <f>IFERROR(INDEX('G-1 All Habitats'!$B$3:$B$129,MATCH(R117,'G-1 All Habitats'!$A$3:$A$129,0)),"")</f>
        <v/>
      </c>
      <c r="T117" s="507" t="str">
        <f t="shared" si="16"/>
        <v/>
      </c>
      <c r="U117" s="524" t="str">
        <f t="shared" si="17"/>
        <v/>
      </c>
      <c r="V117" s="523" t="str">
        <f t="shared" si="14"/>
        <v/>
      </c>
      <c r="W117" s="520" t="str">
        <f>IF(S117="","",VLOOKUP(S117,'G-1 All Habitats'!$B$2:$M$129,10,FALSE))</f>
        <v/>
      </c>
      <c r="X117" s="520" t="str">
        <f>IFERROR(VLOOKUP(W117,'G-1 All Habitats'!$V$3:$W$7,2,FALSE),"")</f>
        <v/>
      </c>
      <c r="Y117" s="203"/>
      <c r="Z117" s="524" t="str">
        <f>IFERROR(INDEX('G-8 Condition Look up'!$A$3:$H$130,MATCH(S117,'G-8 Condition Look up'!$A$3:$A$130,0),MATCH(Y117,'G-8 Condition Look up'!$A$3:$H$3,0)),"")</f>
        <v/>
      </c>
      <c r="AA117" s="145"/>
      <c r="AB117" s="540" t="str">
        <f>IF(AA117="","",IF(VLOOKUP(AA117,'G-3 Multipliers'!$L$3:$N$6,2,FALSE)=0,"Spatial Data Missing ⚠",VLOOKUP(AA117,'G-3 Multipliers'!$L$3:$N$6,2,FALSE)))</f>
        <v/>
      </c>
      <c r="AC117" s="524" t="str">
        <f>IF(AA117="","",IF(VLOOKUP(AA117,'G-3 Multipliers'!$L$3:$N$6,3,FALSE)=0,"Spatial Data Missing ⚠",VLOOKUP(AA117,'G-3 Multipliers'!$L$3:$N$6,3,FALSE)))</f>
        <v/>
      </c>
      <c r="AD117" s="537" t="str">
        <f t="shared" si="15"/>
        <v/>
      </c>
      <c r="AE117" s="203"/>
      <c r="AF117" s="203"/>
      <c r="AG117" s="520" t="str">
        <f t="shared" si="18"/>
        <v/>
      </c>
      <c r="AH117" s="544" t="str">
        <f t="shared" si="19"/>
        <v/>
      </c>
      <c r="AI117" s="525" t="str">
        <f>IF(AH117="Check Data ⚠","Check Data ⚠",IFERROR(VLOOKUP(AH117,'G-4 Temporal multipliers'!$A$4:$C$36,3,FALSE),""))</f>
        <v/>
      </c>
      <c r="AJ117" s="537" t="str">
        <f>IF(S117="","",VLOOKUP(S117,'G-3 Multipliers'!$A$2:$E$129,4,FALSE))</f>
        <v/>
      </c>
      <c r="AK117" s="520" t="str">
        <f t="shared" si="20"/>
        <v/>
      </c>
      <c r="AL117" s="520" t="str">
        <f t="shared" si="21"/>
        <v/>
      </c>
      <c r="AM117" s="524" t="str">
        <f>IFERROR(IF(F117="","",IF(AH117="Check Data ⚠","Check Data ⚠",VLOOKUP(AL117, 'G-3 Multipliers'!$P$2:$Q$6,2,FALSE))),"")</f>
        <v/>
      </c>
      <c r="AN117" s="197"/>
      <c r="AO117" s="540" t="str">
        <f>IF(AN117="","",IF(VLOOKUP(AN117,'G-3 Multipliers'!$S$3:$T$9,2,FALSE)=0,"Spatial Data Missing ⚠",VLOOKUP(AN117,'G-3 Multipliers'!$S$3:$T$9,2,FALSE)))</f>
        <v/>
      </c>
      <c r="AP117" s="513" t="str">
        <f t="shared" si="22"/>
        <v/>
      </c>
      <c r="AQ117" s="231"/>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7" t="str">
        <f>'D-1 Off Site Habitat Baseline'!AL117</f>
        <v/>
      </c>
      <c r="F118" s="520" t="str">
        <f>IF(E118="","",IF(ISNA(VLOOKUP($E118,'D-1 Off Site Habitat Baseline'!$D$1:$O$258,4,FALSE)),"",(VLOOKUP($E118,'D-1 Off Site Habitat Baseline'!$D$1:$O$258,4,FALSE))))</f>
        <v/>
      </c>
      <c r="G118" s="520" t="str">
        <f>IF(E118="","",IF(ISNA(VLOOKUP($E118,'D-1 Off Site Habitat Baseline'!$D$1:$O$258,5,FALSE)),"",(VLOOKUP($E118,'D-1 Off Site Habitat Baseline'!$D$1:$O$258,5,FALSE))))</f>
        <v/>
      </c>
      <c r="H118" s="520" t="str">
        <f>IF(E118="","",IF(ISNA(VLOOKUP($E118,'D-1 Off Site Habitat Baseline'!$D$1:$O$258,6,FALSE)),"",(VLOOKUP($E118,'D-1 Off Site Habitat Baseline'!$D$1:$O$258,6,FALSE))))</f>
        <v/>
      </c>
      <c r="I118" s="520" t="str">
        <f>IF(E118="","",IF(ISNA(VLOOKUP($E118,'D-1 Off Site Habitat Baseline'!$D$1:$O$258,7,FALSE)),"",(VLOOKUP($E118,'D-1 Off Site Habitat Baseline'!$D$1:$O$258,7,FALSE))))</f>
        <v/>
      </c>
      <c r="J118" s="520" t="str">
        <f>IF(E118="","",IF(ISNA(VLOOKUP($E118,'D-1 Off Site Habitat Baseline'!$D$1:$O$258,8,FALSE)),"",(VLOOKUP($E118,'D-1 Off Site Habitat Baseline'!$D$1:$O$258,8,FALSE))))</f>
        <v/>
      </c>
      <c r="K118" s="520" t="str">
        <f>IF(E118="","",IF(ISNA(VLOOKUP($E118,'D-1 Off Site Habitat Baseline'!$D$1:$O$258,9,FALSE)),"",(VLOOKUP($E118,'D-1 Off Site Habitat Baseline'!$D$1:$O$258,9,FALSE))))</f>
        <v/>
      </c>
      <c r="L118" s="520" t="str">
        <f>IF(E118="","",IF(ISNA(VLOOKUP($E118,'D-1 Off Site Habitat Baseline'!$D$1:$O$258,11,FALSE)),"",(VLOOKUP($E118,'D-1 Off Site Habitat Baseline'!$D$1:$O$258,11,FALSE))))</f>
        <v/>
      </c>
      <c r="M118" s="520" t="str">
        <f>IF(E118="","",IF(ISNA(VLOOKUP($E118,'D-1 Off Site Habitat Baseline'!$D$1:$O$258,12,FALSE)),"",(VLOOKUP($E118,'D-1 Off Site Habitat Baseline'!$D$1:$O$258,12,FALSE))))</f>
        <v/>
      </c>
      <c r="N118" s="520" t="str">
        <f>IF(E118="","",IF(ISNA(VLOOKUP($E118,'D-1 Off Site Habitat Baseline'!$D$1:$X$258,14,FALSE)),"",(VLOOKUP($E118,'D-1 Off Site Habitat Baseline'!$D$1:$X$258,14,FALSE))))</f>
        <v/>
      </c>
      <c r="O118" s="524" t="str">
        <f>IF(E118="","",IF(ISNA(VLOOKUP($E118,'D-1 Off Site Habitat Baseline'!$D$1:$X$258,13,FALSE)),"",(VLOOKUP($E118,'D-1 Off Site Habitat Baseline'!$D$1:$X$258,13,FALSE))))</f>
        <v/>
      </c>
      <c r="P118" s="232" t="str">
        <f>IFERROR(INDEX('G-1 All Habitats'!$AG$3:$AG$15,MATCH(Q118,'G-1 All Habitats'!$AF$3:$AF$15,0)),"")</f>
        <v/>
      </c>
      <c r="Q118" s="228" t="str">
        <f t="shared" si="23"/>
        <v/>
      </c>
      <c r="R118" s="229" t="str">
        <f t="shared" si="24"/>
        <v/>
      </c>
      <c r="S118" s="233" t="str">
        <f>IFERROR(INDEX('G-1 All Habitats'!$B$3:$B$129,MATCH(R118,'G-1 All Habitats'!$A$3:$A$129,0)),"")</f>
        <v/>
      </c>
      <c r="T118" s="507" t="str">
        <f t="shared" si="16"/>
        <v/>
      </c>
      <c r="U118" s="524" t="str">
        <f t="shared" si="17"/>
        <v/>
      </c>
      <c r="V118" s="523" t="str">
        <f t="shared" si="14"/>
        <v/>
      </c>
      <c r="W118" s="520" t="str">
        <f>IF(S118="","",VLOOKUP(S118,'G-1 All Habitats'!$B$2:$M$129,10,FALSE))</f>
        <v/>
      </c>
      <c r="X118" s="520" t="str">
        <f>IFERROR(VLOOKUP(W118,'G-1 All Habitats'!$V$3:$W$7,2,FALSE),"")</f>
        <v/>
      </c>
      <c r="Y118" s="203"/>
      <c r="Z118" s="524" t="str">
        <f>IFERROR(INDEX('G-8 Condition Look up'!$A$3:$H$130,MATCH(S118,'G-8 Condition Look up'!$A$3:$A$130,0),MATCH(Y118,'G-8 Condition Look up'!$A$3:$H$3,0)),"")</f>
        <v/>
      </c>
      <c r="AA118" s="145"/>
      <c r="AB118" s="540" t="str">
        <f>IF(AA118="","",IF(VLOOKUP(AA118,'G-3 Multipliers'!$L$3:$N$6,2,FALSE)=0,"Spatial Data Missing ⚠",VLOOKUP(AA118,'G-3 Multipliers'!$L$3:$N$6,2,FALSE)))</f>
        <v/>
      </c>
      <c r="AC118" s="524" t="str">
        <f>IF(AA118="","",IF(VLOOKUP(AA118,'G-3 Multipliers'!$L$3:$N$6,3,FALSE)=0,"Spatial Data Missing ⚠",VLOOKUP(AA118,'G-3 Multipliers'!$L$3:$N$6,3,FALSE)))</f>
        <v/>
      </c>
      <c r="AD118" s="537" t="str">
        <f t="shared" si="15"/>
        <v/>
      </c>
      <c r="AE118" s="203"/>
      <c r="AF118" s="203"/>
      <c r="AG118" s="520" t="str">
        <f t="shared" si="18"/>
        <v/>
      </c>
      <c r="AH118" s="544" t="str">
        <f t="shared" si="19"/>
        <v/>
      </c>
      <c r="AI118" s="525" t="str">
        <f>IF(AH118="Check Data ⚠","Check Data ⚠",IFERROR(VLOOKUP(AH118,'G-4 Temporal multipliers'!$A$4:$C$36,3,FALSE),""))</f>
        <v/>
      </c>
      <c r="AJ118" s="537" t="str">
        <f>IF(S118="","",VLOOKUP(S118,'G-3 Multipliers'!$A$2:$E$129,4,FALSE))</f>
        <v/>
      </c>
      <c r="AK118" s="520" t="str">
        <f t="shared" si="20"/>
        <v/>
      </c>
      <c r="AL118" s="520" t="str">
        <f t="shared" si="21"/>
        <v/>
      </c>
      <c r="AM118" s="524" t="str">
        <f>IFERROR(IF(F118="","",IF(AH118="Check Data ⚠","Check Data ⚠",VLOOKUP(AL118, 'G-3 Multipliers'!$P$2:$Q$6,2,FALSE))),"")</f>
        <v/>
      </c>
      <c r="AN118" s="197"/>
      <c r="AO118" s="540" t="str">
        <f>IF(AN118="","",IF(VLOOKUP(AN118,'G-3 Multipliers'!$S$3:$T$9,2,FALSE)=0,"Spatial Data Missing ⚠",VLOOKUP(AN118,'G-3 Multipliers'!$S$3:$T$9,2,FALSE)))</f>
        <v/>
      </c>
      <c r="AP118" s="513" t="str">
        <f t="shared" si="22"/>
        <v/>
      </c>
      <c r="AQ118" s="231"/>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7" t="str">
        <f>'D-1 Off Site Habitat Baseline'!AL118</f>
        <v/>
      </c>
      <c r="F119" s="520" t="str">
        <f>IF(E119="","",IF(ISNA(VLOOKUP($E119,'D-1 Off Site Habitat Baseline'!$D$1:$O$258,4,FALSE)),"",(VLOOKUP($E119,'D-1 Off Site Habitat Baseline'!$D$1:$O$258,4,FALSE))))</f>
        <v/>
      </c>
      <c r="G119" s="520" t="str">
        <f>IF(E119="","",IF(ISNA(VLOOKUP($E119,'D-1 Off Site Habitat Baseline'!$D$1:$O$258,5,FALSE)),"",(VLOOKUP($E119,'D-1 Off Site Habitat Baseline'!$D$1:$O$258,5,FALSE))))</f>
        <v/>
      </c>
      <c r="H119" s="520" t="str">
        <f>IF(E119="","",IF(ISNA(VLOOKUP($E119,'D-1 Off Site Habitat Baseline'!$D$1:$O$258,6,FALSE)),"",(VLOOKUP($E119,'D-1 Off Site Habitat Baseline'!$D$1:$O$258,6,FALSE))))</f>
        <v/>
      </c>
      <c r="I119" s="520" t="str">
        <f>IF(E119="","",IF(ISNA(VLOOKUP($E119,'D-1 Off Site Habitat Baseline'!$D$1:$O$258,7,FALSE)),"",(VLOOKUP($E119,'D-1 Off Site Habitat Baseline'!$D$1:$O$258,7,FALSE))))</f>
        <v/>
      </c>
      <c r="J119" s="520" t="str">
        <f>IF(E119="","",IF(ISNA(VLOOKUP($E119,'D-1 Off Site Habitat Baseline'!$D$1:$O$258,8,FALSE)),"",(VLOOKUP($E119,'D-1 Off Site Habitat Baseline'!$D$1:$O$258,8,FALSE))))</f>
        <v/>
      </c>
      <c r="K119" s="520" t="str">
        <f>IF(E119="","",IF(ISNA(VLOOKUP($E119,'D-1 Off Site Habitat Baseline'!$D$1:$O$258,9,FALSE)),"",(VLOOKUP($E119,'D-1 Off Site Habitat Baseline'!$D$1:$O$258,9,FALSE))))</f>
        <v/>
      </c>
      <c r="L119" s="520" t="str">
        <f>IF(E119="","",IF(ISNA(VLOOKUP($E119,'D-1 Off Site Habitat Baseline'!$D$1:$O$258,11,FALSE)),"",(VLOOKUP($E119,'D-1 Off Site Habitat Baseline'!$D$1:$O$258,11,FALSE))))</f>
        <v/>
      </c>
      <c r="M119" s="520" t="str">
        <f>IF(E119="","",IF(ISNA(VLOOKUP($E119,'D-1 Off Site Habitat Baseline'!$D$1:$O$258,12,FALSE)),"",(VLOOKUP($E119,'D-1 Off Site Habitat Baseline'!$D$1:$O$258,12,FALSE))))</f>
        <v/>
      </c>
      <c r="N119" s="520" t="str">
        <f>IF(E119="","",IF(ISNA(VLOOKUP($E119,'D-1 Off Site Habitat Baseline'!$D$1:$X$258,14,FALSE)),"",(VLOOKUP($E119,'D-1 Off Site Habitat Baseline'!$D$1:$X$258,14,FALSE))))</f>
        <v/>
      </c>
      <c r="O119" s="524" t="str">
        <f>IF(E119="","",IF(ISNA(VLOOKUP($E119,'D-1 Off Site Habitat Baseline'!$D$1:$X$258,13,FALSE)),"",(VLOOKUP($E119,'D-1 Off Site Habitat Baseline'!$D$1:$X$258,13,FALSE))))</f>
        <v/>
      </c>
      <c r="P119" s="232" t="str">
        <f>IFERROR(INDEX('G-1 All Habitats'!$AG$3:$AG$15,MATCH(Q119,'G-1 All Habitats'!$AF$3:$AF$15,0)),"")</f>
        <v/>
      </c>
      <c r="Q119" s="228" t="str">
        <f t="shared" si="23"/>
        <v/>
      </c>
      <c r="R119" s="229" t="str">
        <f t="shared" si="24"/>
        <v/>
      </c>
      <c r="S119" s="233" t="str">
        <f>IFERROR(INDEX('G-1 All Habitats'!$B$3:$B$129,MATCH(R119,'G-1 All Habitats'!$A$3:$A$129,0)),"")</f>
        <v/>
      </c>
      <c r="T119" s="507" t="str">
        <f t="shared" si="16"/>
        <v/>
      </c>
      <c r="U119" s="524" t="str">
        <f t="shared" si="17"/>
        <v/>
      </c>
      <c r="V119" s="523" t="str">
        <f t="shared" si="14"/>
        <v/>
      </c>
      <c r="W119" s="520" t="str">
        <f>IF(S119="","",VLOOKUP(S119,'G-1 All Habitats'!$B$2:$M$129,10,FALSE))</f>
        <v/>
      </c>
      <c r="X119" s="520" t="str">
        <f>IFERROR(VLOOKUP(W119,'G-1 All Habitats'!$V$3:$W$7,2,FALSE),"")</f>
        <v/>
      </c>
      <c r="Y119" s="203"/>
      <c r="Z119" s="524" t="str">
        <f>IFERROR(INDEX('G-8 Condition Look up'!$A$3:$H$130,MATCH(S119,'G-8 Condition Look up'!$A$3:$A$130,0),MATCH(Y119,'G-8 Condition Look up'!$A$3:$H$3,0)),"")</f>
        <v/>
      </c>
      <c r="AA119" s="145"/>
      <c r="AB119" s="540" t="str">
        <f>IF(AA119="","",IF(VLOOKUP(AA119,'G-3 Multipliers'!$L$3:$N$6,2,FALSE)=0,"Spatial Data Missing ⚠",VLOOKUP(AA119,'G-3 Multipliers'!$L$3:$N$6,2,FALSE)))</f>
        <v/>
      </c>
      <c r="AC119" s="524" t="str">
        <f>IF(AA119="","",IF(VLOOKUP(AA119,'G-3 Multipliers'!$L$3:$N$6,3,FALSE)=0,"Spatial Data Missing ⚠",VLOOKUP(AA119,'G-3 Multipliers'!$L$3:$N$6,3,FALSE)))</f>
        <v/>
      </c>
      <c r="AD119" s="537" t="str">
        <f t="shared" si="15"/>
        <v/>
      </c>
      <c r="AE119" s="203"/>
      <c r="AF119" s="203"/>
      <c r="AG119" s="520" t="str">
        <f t="shared" si="18"/>
        <v/>
      </c>
      <c r="AH119" s="544" t="str">
        <f t="shared" si="19"/>
        <v/>
      </c>
      <c r="AI119" s="525" t="str">
        <f>IF(AH119="Check Data ⚠","Check Data ⚠",IFERROR(VLOOKUP(AH119,'G-4 Temporal multipliers'!$A$4:$C$36,3,FALSE),""))</f>
        <v/>
      </c>
      <c r="AJ119" s="537" t="str">
        <f>IF(S119="","",VLOOKUP(S119,'G-3 Multipliers'!$A$2:$E$129,4,FALSE))</f>
        <v/>
      </c>
      <c r="AK119" s="520" t="str">
        <f t="shared" si="20"/>
        <v/>
      </c>
      <c r="AL119" s="520" t="str">
        <f t="shared" si="21"/>
        <v/>
      </c>
      <c r="AM119" s="524" t="str">
        <f>IFERROR(IF(F119="","",IF(AH119="Check Data ⚠","Check Data ⚠",VLOOKUP(AL119, 'G-3 Multipliers'!$P$2:$Q$6,2,FALSE))),"")</f>
        <v/>
      </c>
      <c r="AN119" s="197"/>
      <c r="AO119" s="540" t="str">
        <f>IF(AN119="","",IF(VLOOKUP(AN119,'G-3 Multipliers'!$S$3:$T$9,2,FALSE)=0,"Spatial Data Missing ⚠",VLOOKUP(AN119,'G-3 Multipliers'!$S$3:$T$9,2,FALSE)))</f>
        <v/>
      </c>
      <c r="AP119" s="513" t="str">
        <f t="shared" si="22"/>
        <v/>
      </c>
      <c r="AQ119" s="231"/>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7" t="str">
        <f>'D-1 Off Site Habitat Baseline'!AL119</f>
        <v/>
      </c>
      <c r="F120" s="520" t="str">
        <f>IF(E120="","",IF(ISNA(VLOOKUP($E120,'D-1 Off Site Habitat Baseline'!$D$1:$O$258,4,FALSE)),"",(VLOOKUP($E120,'D-1 Off Site Habitat Baseline'!$D$1:$O$258,4,FALSE))))</f>
        <v/>
      </c>
      <c r="G120" s="520" t="str">
        <f>IF(E120="","",IF(ISNA(VLOOKUP($E120,'D-1 Off Site Habitat Baseline'!$D$1:$O$258,5,FALSE)),"",(VLOOKUP($E120,'D-1 Off Site Habitat Baseline'!$D$1:$O$258,5,FALSE))))</f>
        <v/>
      </c>
      <c r="H120" s="520" t="str">
        <f>IF(E120="","",IF(ISNA(VLOOKUP($E120,'D-1 Off Site Habitat Baseline'!$D$1:$O$258,6,FALSE)),"",(VLOOKUP($E120,'D-1 Off Site Habitat Baseline'!$D$1:$O$258,6,FALSE))))</f>
        <v/>
      </c>
      <c r="I120" s="520" t="str">
        <f>IF(E120="","",IF(ISNA(VLOOKUP($E120,'D-1 Off Site Habitat Baseline'!$D$1:$O$258,7,FALSE)),"",(VLOOKUP($E120,'D-1 Off Site Habitat Baseline'!$D$1:$O$258,7,FALSE))))</f>
        <v/>
      </c>
      <c r="J120" s="520" t="str">
        <f>IF(E120="","",IF(ISNA(VLOOKUP($E120,'D-1 Off Site Habitat Baseline'!$D$1:$O$258,8,FALSE)),"",(VLOOKUP($E120,'D-1 Off Site Habitat Baseline'!$D$1:$O$258,8,FALSE))))</f>
        <v/>
      </c>
      <c r="K120" s="520" t="str">
        <f>IF(E120="","",IF(ISNA(VLOOKUP($E120,'D-1 Off Site Habitat Baseline'!$D$1:$O$258,9,FALSE)),"",(VLOOKUP($E120,'D-1 Off Site Habitat Baseline'!$D$1:$O$258,9,FALSE))))</f>
        <v/>
      </c>
      <c r="L120" s="520" t="str">
        <f>IF(E120="","",IF(ISNA(VLOOKUP($E120,'D-1 Off Site Habitat Baseline'!$D$1:$O$258,11,FALSE)),"",(VLOOKUP($E120,'D-1 Off Site Habitat Baseline'!$D$1:$O$258,11,FALSE))))</f>
        <v/>
      </c>
      <c r="M120" s="520" t="str">
        <f>IF(E120="","",IF(ISNA(VLOOKUP($E120,'D-1 Off Site Habitat Baseline'!$D$1:$O$258,12,FALSE)),"",(VLOOKUP($E120,'D-1 Off Site Habitat Baseline'!$D$1:$O$258,12,FALSE))))</f>
        <v/>
      </c>
      <c r="N120" s="520" t="str">
        <f>IF(E120="","",IF(ISNA(VLOOKUP($E120,'D-1 Off Site Habitat Baseline'!$D$1:$X$258,14,FALSE)),"",(VLOOKUP($E120,'D-1 Off Site Habitat Baseline'!$D$1:$X$258,14,FALSE))))</f>
        <v/>
      </c>
      <c r="O120" s="524" t="str">
        <f>IF(E120="","",IF(ISNA(VLOOKUP($E120,'D-1 Off Site Habitat Baseline'!$D$1:$X$258,13,FALSE)),"",(VLOOKUP($E120,'D-1 Off Site Habitat Baseline'!$D$1:$X$258,13,FALSE))))</f>
        <v/>
      </c>
      <c r="P120" s="232" t="str">
        <f>IFERROR(INDEX('G-1 All Habitats'!$AG$3:$AG$15,MATCH(Q120,'G-1 All Habitats'!$AF$3:$AF$15,0)),"")</f>
        <v/>
      </c>
      <c r="Q120" s="228" t="str">
        <f t="shared" si="23"/>
        <v/>
      </c>
      <c r="R120" s="229" t="str">
        <f t="shared" si="24"/>
        <v/>
      </c>
      <c r="S120" s="233" t="str">
        <f>IFERROR(INDEX('G-1 All Habitats'!$B$3:$B$129,MATCH(R120,'G-1 All Habitats'!$A$3:$A$129,0)),"")</f>
        <v/>
      </c>
      <c r="T120" s="507" t="str">
        <f t="shared" si="16"/>
        <v/>
      </c>
      <c r="U120" s="524" t="str">
        <f t="shared" si="17"/>
        <v/>
      </c>
      <c r="V120" s="523" t="str">
        <f t="shared" si="14"/>
        <v/>
      </c>
      <c r="W120" s="520" t="str">
        <f>IF(S120="","",VLOOKUP(S120,'G-1 All Habitats'!$B$2:$M$129,10,FALSE))</f>
        <v/>
      </c>
      <c r="X120" s="520" t="str">
        <f>IFERROR(VLOOKUP(W120,'G-1 All Habitats'!$V$3:$W$7,2,FALSE),"")</f>
        <v/>
      </c>
      <c r="Y120" s="203"/>
      <c r="Z120" s="524" t="str">
        <f>IFERROR(INDEX('G-8 Condition Look up'!$A$3:$H$130,MATCH(S120,'G-8 Condition Look up'!$A$3:$A$130,0),MATCH(Y120,'G-8 Condition Look up'!$A$3:$H$3,0)),"")</f>
        <v/>
      </c>
      <c r="AA120" s="145"/>
      <c r="AB120" s="540" t="str">
        <f>IF(AA120="","",IF(VLOOKUP(AA120,'G-3 Multipliers'!$L$3:$N$6,2,FALSE)=0,"Spatial Data Missing ⚠",VLOOKUP(AA120,'G-3 Multipliers'!$L$3:$N$6,2,FALSE)))</f>
        <v/>
      </c>
      <c r="AC120" s="524" t="str">
        <f>IF(AA120="","",IF(VLOOKUP(AA120,'G-3 Multipliers'!$L$3:$N$6,3,FALSE)=0,"Spatial Data Missing ⚠",VLOOKUP(AA120,'G-3 Multipliers'!$L$3:$N$6,3,FALSE)))</f>
        <v/>
      </c>
      <c r="AD120" s="537" t="str">
        <f t="shared" si="15"/>
        <v/>
      </c>
      <c r="AE120" s="203"/>
      <c r="AF120" s="203"/>
      <c r="AG120" s="520" t="str">
        <f t="shared" si="18"/>
        <v/>
      </c>
      <c r="AH120" s="544" t="str">
        <f t="shared" si="19"/>
        <v/>
      </c>
      <c r="AI120" s="525" t="str">
        <f>IF(AH120="Check Data ⚠","Check Data ⚠",IFERROR(VLOOKUP(AH120,'G-4 Temporal multipliers'!$A$4:$C$36,3,FALSE),""))</f>
        <v/>
      </c>
      <c r="AJ120" s="537" t="str">
        <f>IF(S120="","",VLOOKUP(S120,'G-3 Multipliers'!$A$2:$E$129,4,FALSE))</f>
        <v/>
      </c>
      <c r="AK120" s="520" t="str">
        <f t="shared" si="20"/>
        <v/>
      </c>
      <c r="AL120" s="520" t="str">
        <f t="shared" si="21"/>
        <v/>
      </c>
      <c r="AM120" s="524" t="str">
        <f>IFERROR(IF(F120="","",IF(AH120="Check Data ⚠","Check Data ⚠",VLOOKUP(AL120, 'G-3 Multipliers'!$P$2:$Q$6,2,FALSE))),"")</f>
        <v/>
      </c>
      <c r="AN120" s="197"/>
      <c r="AO120" s="540" t="str">
        <f>IF(AN120="","",IF(VLOOKUP(AN120,'G-3 Multipliers'!$S$3:$T$9,2,FALSE)=0,"Spatial Data Missing ⚠",VLOOKUP(AN120,'G-3 Multipliers'!$S$3:$T$9,2,FALSE)))</f>
        <v/>
      </c>
      <c r="AP120" s="513" t="str">
        <f t="shared" si="22"/>
        <v/>
      </c>
      <c r="AQ120" s="231"/>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7" t="str">
        <f>'D-1 Off Site Habitat Baseline'!AL120</f>
        <v/>
      </c>
      <c r="F121" s="520" t="str">
        <f>IF(E121="","",IF(ISNA(VLOOKUP($E121,'D-1 Off Site Habitat Baseline'!$D$1:$O$258,4,FALSE)),"",(VLOOKUP($E121,'D-1 Off Site Habitat Baseline'!$D$1:$O$258,4,FALSE))))</f>
        <v/>
      </c>
      <c r="G121" s="520" t="str">
        <f>IF(E121="","",IF(ISNA(VLOOKUP($E121,'D-1 Off Site Habitat Baseline'!$D$1:$O$258,5,FALSE)),"",(VLOOKUP($E121,'D-1 Off Site Habitat Baseline'!$D$1:$O$258,5,FALSE))))</f>
        <v/>
      </c>
      <c r="H121" s="520" t="str">
        <f>IF(E121="","",IF(ISNA(VLOOKUP($E121,'D-1 Off Site Habitat Baseline'!$D$1:$O$258,6,FALSE)),"",(VLOOKUP($E121,'D-1 Off Site Habitat Baseline'!$D$1:$O$258,6,FALSE))))</f>
        <v/>
      </c>
      <c r="I121" s="520" t="str">
        <f>IF(E121="","",IF(ISNA(VLOOKUP($E121,'D-1 Off Site Habitat Baseline'!$D$1:$O$258,7,FALSE)),"",(VLOOKUP($E121,'D-1 Off Site Habitat Baseline'!$D$1:$O$258,7,FALSE))))</f>
        <v/>
      </c>
      <c r="J121" s="520" t="str">
        <f>IF(E121="","",IF(ISNA(VLOOKUP($E121,'D-1 Off Site Habitat Baseline'!$D$1:$O$258,8,FALSE)),"",(VLOOKUP($E121,'D-1 Off Site Habitat Baseline'!$D$1:$O$258,8,FALSE))))</f>
        <v/>
      </c>
      <c r="K121" s="520" t="str">
        <f>IF(E121="","",IF(ISNA(VLOOKUP($E121,'D-1 Off Site Habitat Baseline'!$D$1:$O$258,9,FALSE)),"",(VLOOKUP($E121,'D-1 Off Site Habitat Baseline'!$D$1:$O$258,9,FALSE))))</f>
        <v/>
      </c>
      <c r="L121" s="520" t="str">
        <f>IF(E121="","",IF(ISNA(VLOOKUP($E121,'D-1 Off Site Habitat Baseline'!$D$1:$O$258,11,FALSE)),"",(VLOOKUP($E121,'D-1 Off Site Habitat Baseline'!$D$1:$O$258,11,FALSE))))</f>
        <v/>
      </c>
      <c r="M121" s="520" t="str">
        <f>IF(E121="","",IF(ISNA(VLOOKUP($E121,'D-1 Off Site Habitat Baseline'!$D$1:$O$258,12,FALSE)),"",(VLOOKUP($E121,'D-1 Off Site Habitat Baseline'!$D$1:$O$258,12,FALSE))))</f>
        <v/>
      </c>
      <c r="N121" s="520" t="str">
        <f>IF(E121="","",IF(ISNA(VLOOKUP($E121,'D-1 Off Site Habitat Baseline'!$D$1:$X$258,14,FALSE)),"",(VLOOKUP($E121,'D-1 Off Site Habitat Baseline'!$D$1:$X$258,14,FALSE))))</f>
        <v/>
      </c>
      <c r="O121" s="524" t="str">
        <f>IF(E121="","",IF(ISNA(VLOOKUP($E121,'D-1 Off Site Habitat Baseline'!$D$1:$X$258,13,FALSE)),"",(VLOOKUP($E121,'D-1 Off Site Habitat Baseline'!$D$1:$X$258,13,FALSE))))</f>
        <v/>
      </c>
      <c r="P121" s="232" t="str">
        <f>IFERROR(INDEX('G-1 All Habitats'!$AG$3:$AG$15,MATCH(Q121,'G-1 All Habitats'!$AF$3:$AF$15,0)),"")</f>
        <v/>
      </c>
      <c r="Q121" s="228" t="str">
        <f t="shared" si="23"/>
        <v/>
      </c>
      <c r="R121" s="229" t="str">
        <f t="shared" si="24"/>
        <v/>
      </c>
      <c r="S121" s="233" t="str">
        <f>IFERROR(INDEX('G-1 All Habitats'!$B$3:$B$129,MATCH(R121,'G-1 All Habitats'!$A$3:$A$129,0)),"")</f>
        <v/>
      </c>
      <c r="T121" s="507" t="str">
        <f t="shared" si="16"/>
        <v/>
      </c>
      <c r="U121" s="524" t="str">
        <f t="shared" si="17"/>
        <v/>
      </c>
      <c r="V121" s="523" t="str">
        <f t="shared" si="14"/>
        <v/>
      </c>
      <c r="W121" s="520" t="str">
        <f>IF(S121="","",VLOOKUP(S121,'G-1 All Habitats'!$B$2:$M$129,10,FALSE))</f>
        <v/>
      </c>
      <c r="X121" s="520" t="str">
        <f>IFERROR(VLOOKUP(W121,'G-1 All Habitats'!$V$3:$W$7,2,FALSE),"")</f>
        <v/>
      </c>
      <c r="Y121" s="203"/>
      <c r="Z121" s="524" t="str">
        <f>IFERROR(INDEX('G-8 Condition Look up'!$A$3:$H$130,MATCH(S121,'G-8 Condition Look up'!$A$3:$A$130,0),MATCH(Y121,'G-8 Condition Look up'!$A$3:$H$3,0)),"")</f>
        <v/>
      </c>
      <c r="AA121" s="145"/>
      <c r="AB121" s="540" t="str">
        <f>IF(AA121="","",IF(VLOOKUP(AA121,'G-3 Multipliers'!$L$3:$N$6,2,FALSE)=0,"Spatial Data Missing ⚠",VLOOKUP(AA121,'G-3 Multipliers'!$L$3:$N$6,2,FALSE)))</f>
        <v/>
      </c>
      <c r="AC121" s="524" t="str">
        <f>IF(AA121="","",IF(VLOOKUP(AA121,'G-3 Multipliers'!$L$3:$N$6,3,FALSE)=0,"Spatial Data Missing ⚠",VLOOKUP(AA121,'G-3 Multipliers'!$L$3:$N$6,3,FALSE)))</f>
        <v/>
      </c>
      <c r="AD121" s="537" t="str">
        <f t="shared" si="15"/>
        <v/>
      </c>
      <c r="AE121" s="203"/>
      <c r="AF121" s="203"/>
      <c r="AG121" s="520" t="str">
        <f t="shared" si="18"/>
        <v/>
      </c>
      <c r="AH121" s="544" t="str">
        <f t="shared" si="19"/>
        <v/>
      </c>
      <c r="AI121" s="525" t="str">
        <f>IF(AH121="Check Data ⚠","Check Data ⚠",IFERROR(VLOOKUP(AH121,'G-4 Temporal multipliers'!$A$4:$C$36,3,FALSE),""))</f>
        <v/>
      </c>
      <c r="AJ121" s="537" t="str">
        <f>IF(S121="","",VLOOKUP(S121,'G-3 Multipliers'!$A$2:$E$129,4,FALSE))</f>
        <v/>
      </c>
      <c r="AK121" s="520" t="str">
        <f t="shared" si="20"/>
        <v/>
      </c>
      <c r="AL121" s="520" t="str">
        <f t="shared" si="21"/>
        <v/>
      </c>
      <c r="AM121" s="524" t="str">
        <f>IFERROR(IF(F121="","",IF(AH121="Check Data ⚠","Check Data ⚠",VLOOKUP(AL121, 'G-3 Multipliers'!$P$2:$Q$6,2,FALSE))),"")</f>
        <v/>
      </c>
      <c r="AN121" s="197"/>
      <c r="AO121" s="540" t="str">
        <f>IF(AN121="","",IF(VLOOKUP(AN121,'G-3 Multipliers'!$S$3:$T$9,2,FALSE)=0,"Spatial Data Missing ⚠",VLOOKUP(AN121,'G-3 Multipliers'!$S$3:$T$9,2,FALSE)))</f>
        <v/>
      </c>
      <c r="AP121" s="513" t="str">
        <f t="shared" si="22"/>
        <v/>
      </c>
      <c r="AQ121" s="231"/>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7" t="str">
        <f>'D-1 Off Site Habitat Baseline'!AL121</f>
        <v/>
      </c>
      <c r="F122" s="520" t="str">
        <f>IF(E122="","",IF(ISNA(VLOOKUP($E122,'D-1 Off Site Habitat Baseline'!$D$1:$O$258,4,FALSE)),"",(VLOOKUP($E122,'D-1 Off Site Habitat Baseline'!$D$1:$O$258,4,FALSE))))</f>
        <v/>
      </c>
      <c r="G122" s="520" t="str">
        <f>IF(E122="","",IF(ISNA(VLOOKUP($E122,'D-1 Off Site Habitat Baseline'!$D$1:$O$258,5,FALSE)),"",(VLOOKUP($E122,'D-1 Off Site Habitat Baseline'!$D$1:$O$258,5,FALSE))))</f>
        <v/>
      </c>
      <c r="H122" s="520" t="str">
        <f>IF(E122="","",IF(ISNA(VLOOKUP($E122,'D-1 Off Site Habitat Baseline'!$D$1:$O$258,6,FALSE)),"",(VLOOKUP($E122,'D-1 Off Site Habitat Baseline'!$D$1:$O$258,6,FALSE))))</f>
        <v/>
      </c>
      <c r="I122" s="520" t="str">
        <f>IF(E122="","",IF(ISNA(VLOOKUP($E122,'D-1 Off Site Habitat Baseline'!$D$1:$O$258,7,FALSE)),"",(VLOOKUP($E122,'D-1 Off Site Habitat Baseline'!$D$1:$O$258,7,FALSE))))</f>
        <v/>
      </c>
      <c r="J122" s="520" t="str">
        <f>IF(E122="","",IF(ISNA(VLOOKUP($E122,'D-1 Off Site Habitat Baseline'!$D$1:$O$258,8,FALSE)),"",(VLOOKUP($E122,'D-1 Off Site Habitat Baseline'!$D$1:$O$258,8,FALSE))))</f>
        <v/>
      </c>
      <c r="K122" s="520" t="str">
        <f>IF(E122="","",IF(ISNA(VLOOKUP($E122,'D-1 Off Site Habitat Baseline'!$D$1:$O$258,9,FALSE)),"",(VLOOKUP($E122,'D-1 Off Site Habitat Baseline'!$D$1:$O$258,9,FALSE))))</f>
        <v/>
      </c>
      <c r="L122" s="520" t="str">
        <f>IF(E122="","",IF(ISNA(VLOOKUP($E122,'D-1 Off Site Habitat Baseline'!$D$1:$O$258,11,FALSE)),"",(VLOOKUP($E122,'D-1 Off Site Habitat Baseline'!$D$1:$O$258,11,FALSE))))</f>
        <v/>
      </c>
      <c r="M122" s="520" t="str">
        <f>IF(E122="","",IF(ISNA(VLOOKUP($E122,'D-1 Off Site Habitat Baseline'!$D$1:$O$258,12,FALSE)),"",(VLOOKUP($E122,'D-1 Off Site Habitat Baseline'!$D$1:$O$258,12,FALSE))))</f>
        <v/>
      </c>
      <c r="N122" s="520" t="str">
        <f>IF(E122="","",IF(ISNA(VLOOKUP($E122,'D-1 Off Site Habitat Baseline'!$D$1:$X$258,14,FALSE)),"",(VLOOKUP($E122,'D-1 Off Site Habitat Baseline'!$D$1:$X$258,14,FALSE))))</f>
        <v/>
      </c>
      <c r="O122" s="524" t="str">
        <f>IF(E122="","",IF(ISNA(VLOOKUP($E122,'D-1 Off Site Habitat Baseline'!$D$1:$X$258,13,FALSE)),"",(VLOOKUP($E122,'D-1 Off Site Habitat Baseline'!$D$1:$X$258,13,FALSE))))</f>
        <v/>
      </c>
      <c r="P122" s="232" t="str">
        <f>IFERROR(INDEX('G-1 All Habitats'!$AG$3:$AG$15,MATCH(Q122,'G-1 All Habitats'!$AF$3:$AF$15,0)),"")</f>
        <v/>
      </c>
      <c r="Q122" s="228" t="str">
        <f t="shared" si="23"/>
        <v/>
      </c>
      <c r="R122" s="229" t="str">
        <f t="shared" si="24"/>
        <v/>
      </c>
      <c r="S122" s="233" t="str">
        <f>IFERROR(INDEX('G-1 All Habitats'!$B$3:$B$129,MATCH(R122,'G-1 All Habitats'!$A$3:$A$129,0)),"")</f>
        <v/>
      </c>
      <c r="T122" s="507" t="str">
        <f t="shared" si="16"/>
        <v/>
      </c>
      <c r="U122" s="524" t="str">
        <f t="shared" si="17"/>
        <v/>
      </c>
      <c r="V122" s="523" t="str">
        <f t="shared" si="14"/>
        <v/>
      </c>
      <c r="W122" s="520" t="str">
        <f>IF(S122="","",VLOOKUP(S122,'G-1 All Habitats'!$B$2:$M$129,10,FALSE))</f>
        <v/>
      </c>
      <c r="X122" s="520" t="str">
        <f>IFERROR(VLOOKUP(W122,'G-1 All Habitats'!$V$3:$W$7,2,FALSE),"")</f>
        <v/>
      </c>
      <c r="Y122" s="203"/>
      <c r="Z122" s="524" t="str">
        <f>IFERROR(INDEX('G-8 Condition Look up'!$A$3:$H$130,MATCH(S122,'G-8 Condition Look up'!$A$3:$A$130,0),MATCH(Y122,'G-8 Condition Look up'!$A$3:$H$3,0)),"")</f>
        <v/>
      </c>
      <c r="AA122" s="145"/>
      <c r="AB122" s="540" t="str">
        <f>IF(AA122="","",IF(VLOOKUP(AA122,'G-3 Multipliers'!$L$3:$N$6,2,FALSE)=0,"Spatial Data Missing ⚠",VLOOKUP(AA122,'G-3 Multipliers'!$L$3:$N$6,2,FALSE)))</f>
        <v/>
      </c>
      <c r="AC122" s="524" t="str">
        <f>IF(AA122="","",IF(VLOOKUP(AA122,'G-3 Multipliers'!$L$3:$N$6,3,FALSE)=0,"Spatial Data Missing ⚠",VLOOKUP(AA122,'G-3 Multipliers'!$L$3:$N$6,3,FALSE)))</f>
        <v/>
      </c>
      <c r="AD122" s="537" t="str">
        <f t="shared" si="15"/>
        <v/>
      </c>
      <c r="AE122" s="203"/>
      <c r="AF122" s="203"/>
      <c r="AG122" s="520" t="str">
        <f t="shared" si="18"/>
        <v/>
      </c>
      <c r="AH122" s="544" t="str">
        <f t="shared" si="19"/>
        <v/>
      </c>
      <c r="AI122" s="525" t="str">
        <f>IF(AH122="Check Data ⚠","Check Data ⚠",IFERROR(VLOOKUP(AH122,'G-4 Temporal multipliers'!$A$4:$C$36,3,FALSE),""))</f>
        <v/>
      </c>
      <c r="AJ122" s="537" t="str">
        <f>IF(S122="","",VLOOKUP(S122,'G-3 Multipliers'!$A$2:$E$129,4,FALSE))</f>
        <v/>
      </c>
      <c r="AK122" s="520" t="str">
        <f t="shared" si="20"/>
        <v/>
      </c>
      <c r="AL122" s="520" t="str">
        <f t="shared" si="21"/>
        <v/>
      </c>
      <c r="AM122" s="524" t="str">
        <f>IFERROR(IF(F122="","",IF(AH122="Check Data ⚠","Check Data ⚠",VLOOKUP(AL122, 'G-3 Multipliers'!$P$2:$Q$6,2,FALSE))),"")</f>
        <v/>
      </c>
      <c r="AN122" s="197"/>
      <c r="AO122" s="540" t="str">
        <f>IF(AN122="","",IF(VLOOKUP(AN122,'G-3 Multipliers'!$S$3:$T$9,2,FALSE)=0,"Spatial Data Missing ⚠",VLOOKUP(AN122,'G-3 Multipliers'!$S$3:$T$9,2,FALSE)))</f>
        <v/>
      </c>
      <c r="AP122" s="513" t="str">
        <f t="shared" si="22"/>
        <v/>
      </c>
      <c r="AQ122" s="231"/>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7" t="str">
        <f>'D-1 Off Site Habitat Baseline'!AL122</f>
        <v/>
      </c>
      <c r="F123" s="520" t="str">
        <f>IF(E123="","",IF(ISNA(VLOOKUP($E123,'D-1 Off Site Habitat Baseline'!$D$1:$O$258,4,FALSE)),"",(VLOOKUP($E123,'D-1 Off Site Habitat Baseline'!$D$1:$O$258,4,FALSE))))</f>
        <v/>
      </c>
      <c r="G123" s="520" t="str">
        <f>IF(E123="","",IF(ISNA(VLOOKUP($E123,'D-1 Off Site Habitat Baseline'!$D$1:$O$258,5,FALSE)),"",(VLOOKUP($E123,'D-1 Off Site Habitat Baseline'!$D$1:$O$258,5,FALSE))))</f>
        <v/>
      </c>
      <c r="H123" s="520" t="str">
        <f>IF(E123="","",IF(ISNA(VLOOKUP($E123,'D-1 Off Site Habitat Baseline'!$D$1:$O$258,6,FALSE)),"",(VLOOKUP($E123,'D-1 Off Site Habitat Baseline'!$D$1:$O$258,6,FALSE))))</f>
        <v/>
      </c>
      <c r="I123" s="520" t="str">
        <f>IF(E123="","",IF(ISNA(VLOOKUP($E123,'D-1 Off Site Habitat Baseline'!$D$1:$O$258,7,FALSE)),"",(VLOOKUP($E123,'D-1 Off Site Habitat Baseline'!$D$1:$O$258,7,FALSE))))</f>
        <v/>
      </c>
      <c r="J123" s="520" t="str">
        <f>IF(E123="","",IF(ISNA(VLOOKUP($E123,'D-1 Off Site Habitat Baseline'!$D$1:$O$258,8,FALSE)),"",(VLOOKUP($E123,'D-1 Off Site Habitat Baseline'!$D$1:$O$258,8,FALSE))))</f>
        <v/>
      </c>
      <c r="K123" s="520" t="str">
        <f>IF(E123="","",IF(ISNA(VLOOKUP($E123,'D-1 Off Site Habitat Baseline'!$D$1:$O$258,9,FALSE)),"",(VLOOKUP($E123,'D-1 Off Site Habitat Baseline'!$D$1:$O$258,9,FALSE))))</f>
        <v/>
      </c>
      <c r="L123" s="520" t="str">
        <f>IF(E123="","",IF(ISNA(VLOOKUP($E123,'D-1 Off Site Habitat Baseline'!$D$1:$O$258,11,FALSE)),"",(VLOOKUP($E123,'D-1 Off Site Habitat Baseline'!$D$1:$O$258,11,FALSE))))</f>
        <v/>
      </c>
      <c r="M123" s="520" t="str">
        <f>IF(E123="","",IF(ISNA(VLOOKUP($E123,'D-1 Off Site Habitat Baseline'!$D$1:$O$258,12,FALSE)),"",(VLOOKUP($E123,'D-1 Off Site Habitat Baseline'!$D$1:$O$258,12,FALSE))))</f>
        <v/>
      </c>
      <c r="N123" s="520" t="str">
        <f>IF(E123="","",IF(ISNA(VLOOKUP($E123,'D-1 Off Site Habitat Baseline'!$D$1:$X$258,14,FALSE)),"",(VLOOKUP($E123,'D-1 Off Site Habitat Baseline'!$D$1:$X$258,14,FALSE))))</f>
        <v/>
      </c>
      <c r="O123" s="524" t="str">
        <f>IF(E123="","",IF(ISNA(VLOOKUP($E123,'D-1 Off Site Habitat Baseline'!$D$1:$X$258,13,FALSE)),"",(VLOOKUP($E123,'D-1 Off Site Habitat Baseline'!$D$1:$X$258,13,FALSE))))</f>
        <v/>
      </c>
      <c r="P123" s="232" t="str">
        <f>IFERROR(INDEX('G-1 All Habitats'!$AG$3:$AG$15,MATCH(Q123,'G-1 All Habitats'!$AF$3:$AF$15,0)),"")</f>
        <v/>
      </c>
      <c r="Q123" s="228" t="str">
        <f t="shared" si="23"/>
        <v/>
      </c>
      <c r="R123" s="229" t="str">
        <f t="shared" si="24"/>
        <v/>
      </c>
      <c r="S123" s="233" t="str">
        <f>IFERROR(INDEX('G-1 All Habitats'!$B$3:$B$129,MATCH(R123,'G-1 All Habitats'!$A$3:$A$129,0)),"")</f>
        <v/>
      </c>
      <c r="T123" s="507" t="str">
        <f t="shared" si="16"/>
        <v/>
      </c>
      <c r="U123" s="524" t="str">
        <f t="shared" si="17"/>
        <v/>
      </c>
      <c r="V123" s="523" t="str">
        <f t="shared" si="14"/>
        <v/>
      </c>
      <c r="W123" s="520" t="str">
        <f>IF(S123="","",VLOOKUP(S123,'G-1 All Habitats'!$B$2:$M$129,10,FALSE))</f>
        <v/>
      </c>
      <c r="X123" s="520" t="str">
        <f>IFERROR(VLOOKUP(W123,'G-1 All Habitats'!$V$3:$W$7,2,FALSE),"")</f>
        <v/>
      </c>
      <c r="Y123" s="203"/>
      <c r="Z123" s="524" t="str">
        <f>IFERROR(INDEX('G-8 Condition Look up'!$A$3:$H$130,MATCH(S123,'G-8 Condition Look up'!$A$3:$A$130,0),MATCH(Y123,'G-8 Condition Look up'!$A$3:$H$3,0)),"")</f>
        <v/>
      </c>
      <c r="AA123" s="145"/>
      <c r="AB123" s="540" t="str">
        <f>IF(AA123="","",IF(VLOOKUP(AA123,'G-3 Multipliers'!$L$3:$N$6,2,FALSE)=0,"Spatial Data Missing ⚠",VLOOKUP(AA123,'G-3 Multipliers'!$L$3:$N$6,2,FALSE)))</f>
        <v/>
      </c>
      <c r="AC123" s="524" t="str">
        <f>IF(AA123="","",IF(VLOOKUP(AA123,'G-3 Multipliers'!$L$3:$N$6,3,FALSE)=0,"Spatial Data Missing ⚠",VLOOKUP(AA123,'G-3 Multipliers'!$L$3:$N$6,3,FALSE)))</f>
        <v/>
      </c>
      <c r="AD123" s="537" t="str">
        <f t="shared" si="15"/>
        <v/>
      </c>
      <c r="AE123" s="203"/>
      <c r="AF123" s="203"/>
      <c r="AG123" s="520" t="str">
        <f t="shared" si="18"/>
        <v/>
      </c>
      <c r="AH123" s="544" t="str">
        <f t="shared" si="19"/>
        <v/>
      </c>
      <c r="AI123" s="525" t="str">
        <f>IF(AH123="Check Data ⚠","Check Data ⚠",IFERROR(VLOOKUP(AH123,'G-4 Temporal multipliers'!$A$4:$C$36,3,FALSE),""))</f>
        <v/>
      </c>
      <c r="AJ123" s="537" t="str">
        <f>IF(S123="","",VLOOKUP(S123,'G-3 Multipliers'!$A$2:$E$129,4,FALSE))</f>
        <v/>
      </c>
      <c r="AK123" s="520" t="str">
        <f t="shared" si="20"/>
        <v/>
      </c>
      <c r="AL123" s="520" t="str">
        <f t="shared" si="21"/>
        <v/>
      </c>
      <c r="AM123" s="524" t="str">
        <f>IFERROR(IF(F123="","",IF(AH123="Check Data ⚠","Check Data ⚠",VLOOKUP(AL123, 'G-3 Multipliers'!$P$2:$Q$6,2,FALSE))),"")</f>
        <v/>
      </c>
      <c r="AN123" s="197"/>
      <c r="AO123" s="540" t="str">
        <f>IF(AN123="","",IF(VLOOKUP(AN123,'G-3 Multipliers'!$S$3:$T$9,2,FALSE)=0,"Spatial Data Missing ⚠",VLOOKUP(AN123,'G-3 Multipliers'!$S$3:$T$9,2,FALSE)))</f>
        <v/>
      </c>
      <c r="AP123" s="513" t="str">
        <f t="shared" si="22"/>
        <v/>
      </c>
      <c r="AQ123" s="231"/>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7" t="str">
        <f>'D-1 Off Site Habitat Baseline'!AL123</f>
        <v/>
      </c>
      <c r="F124" s="520" t="str">
        <f>IF(E124="","",IF(ISNA(VLOOKUP($E124,'D-1 Off Site Habitat Baseline'!$D$1:$O$258,4,FALSE)),"",(VLOOKUP($E124,'D-1 Off Site Habitat Baseline'!$D$1:$O$258,4,FALSE))))</f>
        <v/>
      </c>
      <c r="G124" s="520" t="str">
        <f>IF(E124="","",IF(ISNA(VLOOKUP($E124,'D-1 Off Site Habitat Baseline'!$D$1:$O$258,5,FALSE)),"",(VLOOKUP($E124,'D-1 Off Site Habitat Baseline'!$D$1:$O$258,5,FALSE))))</f>
        <v/>
      </c>
      <c r="H124" s="520" t="str">
        <f>IF(E124="","",IF(ISNA(VLOOKUP($E124,'D-1 Off Site Habitat Baseline'!$D$1:$O$258,6,FALSE)),"",(VLOOKUP($E124,'D-1 Off Site Habitat Baseline'!$D$1:$O$258,6,FALSE))))</f>
        <v/>
      </c>
      <c r="I124" s="520" t="str">
        <f>IF(E124="","",IF(ISNA(VLOOKUP($E124,'D-1 Off Site Habitat Baseline'!$D$1:$O$258,7,FALSE)),"",(VLOOKUP($E124,'D-1 Off Site Habitat Baseline'!$D$1:$O$258,7,FALSE))))</f>
        <v/>
      </c>
      <c r="J124" s="520" t="str">
        <f>IF(E124="","",IF(ISNA(VLOOKUP($E124,'D-1 Off Site Habitat Baseline'!$D$1:$O$258,8,FALSE)),"",(VLOOKUP($E124,'D-1 Off Site Habitat Baseline'!$D$1:$O$258,8,FALSE))))</f>
        <v/>
      </c>
      <c r="K124" s="520" t="str">
        <f>IF(E124="","",IF(ISNA(VLOOKUP($E124,'D-1 Off Site Habitat Baseline'!$D$1:$O$258,9,FALSE)),"",(VLOOKUP($E124,'D-1 Off Site Habitat Baseline'!$D$1:$O$258,9,FALSE))))</f>
        <v/>
      </c>
      <c r="L124" s="520" t="str">
        <f>IF(E124="","",IF(ISNA(VLOOKUP($E124,'D-1 Off Site Habitat Baseline'!$D$1:$O$258,11,FALSE)),"",(VLOOKUP($E124,'D-1 Off Site Habitat Baseline'!$D$1:$O$258,11,FALSE))))</f>
        <v/>
      </c>
      <c r="M124" s="520" t="str">
        <f>IF(E124="","",IF(ISNA(VLOOKUP($E124,'D-1 Off Site Habitat Baseline'!$D$1:$O$258,12,FALSE)),"",(VLOOKUP($E124,'D-1 Off Site Habitat Baseline'!$D$1:$O$258,12,FALSE))))</f>
        <v/>
      </c>
      <c r="N124" s="520" t="str">
        <f>IF(E124="","",IF(ISNA(VLOOKUP($E124,'D-1 Off Site Habitat Baseline'!$D$1:$X$258,14,FALSE)),"",(VLOOKUP($E124,'D-1 Off Site Habitat Baseline'!$D$1:$X$258,14,FALSE))))</f>
        <v/>
      </c>
      <c r="O124" s="524" t="str">
        <f>IF(E124="","",IF(ISNA(VLOOKUP($E124,'D-1 Off Site Habitat Baseline'!$D$1:$X$258,13,FALSE)),"",(VLOOKUP($E124,'D-1 Off Site Habitat Baseline'!$D$1:$X$258,13,FALSE))))</f>
        <v/>
      </c>
      <c r="P124" s="232" t="str">
        <f>IFERROR(INDEX('G-1 All Habitats'!$AG$3:$AG$15,MATCH(Q124,'G-1 All Habitats'!$AF$3:$AF$15,0)),"")</f>
        <v/>
      </c>
      <c r="Q124" s="228" t="str">
        <f t="shared" si="23"/>
        <v/>
      </c>
      <c r="R124" s="229" t="str">
        <f t="shared" si="24"/>
        <v/>
      </c>
      <c r="S124" s="233" t="str">
        <f>IFERROR(INDEX('G-1 All Habitats'!$B$3:$B$129,MATCH(R124,'G-1 All Habitats'!$A$3:$A$129,0)),"")</f>
        <v/>
      </c>
      <c r="T124" s="507" t="str">
        <f t="shared" si="16"/>
        <v/>
      </c>
      <c r="U124" s="524" t="str">
        <f t="shared" si="17"/>
        <v/>
      </c>
      <c r="V124" s="523" t="str">
        <f t="shared" si="14"/>
        <v/>
      </c>
      <c r="W124" s="520" t="str">
        <f>IF(S124="","",VLOOKUP(S124,'G-1 All Habitats'!$B$2:$M$129,10,FALSE))</f>
        <v/>
      </c>
      <c r="X124" s="520" t="str">
        <f>IFERROR(VLOOKUP(W124,'G-1 All Habitats'!$V$3:$W$7,2,FALSE),"")</f>
        <v/>
      </c>
      <c r="Y124" s="203"/>
      <c r="Z124" s="524" t="str">
        <f>IFERROR(INDEX('G-8 Condition Look up'!$A$3:$H$130,MATCH(S124,'G-8 Condition Look up'!$A$3:$A$130,0),MATCH(Y124,'G-8 Condition Look up'!$A$3:$H$3,0)),"")</f>
        <v/>
      </c>
      <c r="AA124" s="145"/>
      <c r="AB124" s="540" t="str">
        <f>IF(AA124="","",IF(VLOOKUP(AA124,'G-3 Multipliers'!$L$3:$N$6,2,FALSE)=0,"Spatial Data Missing ⚠",VLOOKUP(AA124,'G-3 Multipliers'!$L$3:$N$6,2,FALSE)))</f>
        <v/>
      </c>
      <c r="AC124" s="524" t="str">
        <f>IF(AA124="","",IF(VLOOKUP(AA124,'G-3 Multipliers'!$L$3:$N$6,3,FALSE)=0,"Spatial Data Missing ⚠",VLOOKUP(AA124,'G-3 Multipliers'!$L$3:$N$6,3,FALSE)))</f>
        <v/>
      </c>
      <c r="AD124" s="537" t="str">
        <f t="shared" si="15"/>
        <v/>
      </c>
      <c r="AE124" s="203"/>
      <c r="AF124" s="203"/>
      <c r="AG124" s="520" t="str">
        <f t="shared" si="18"/>
        <v/>
      </c>
      <c r="AH124" s="544" t="str">
        <f t="shared" si="19"/>
        <v/>
      </c>
      <c r="AI124" s="525" t="str">
        <f>IF(AH124="Check Data ⚠","Check Data ⚠",IFERROR(VLOOKUP(AH124,'G-4 Temporal multipliers'!$A$4:$C$36,3,FALSE),""))</f>
        <v/>
      </c>
      <c r="AJ124" s="537" t="str">
        <f>IF(S124="","",VLOOKUP(S124,'G-3 Multipliers'!$A$2:$E$129,4,FALSE))</f>
        <v/>
      </c>
      <c r="AK124" s="520" t="str">
        <f t="shared" si="20"/>
        <v/>
      </c>
      <c r="AL124" s="520" t="str">
        <f t="shared" si="21"/>
        <v/>
      </c>
      <c r="AM124" s="524" t="str">
        <f>IFERROR(IF(F124="","",IF(AH124="Check Data ⚠","Check Data ⚠",VLOOKUP(AL124, 'G-3 Multipliers'!$P$2:$Q$6,2,FALSE))),"")</f>
        <v/>
      </c>
      <c r="AN124" s="197"/>
      <c r="AO124" s="540" t="str">
        <f>IF(AN124="","",IF(VLOOKUP(AN124,'G-3 Multipliers'!$S$3:$T$9,2,FALSE)=0,"Spatial Data Missing ⚠",VLOOKUP(AN124,'G-3 Multipliers'!$S$3:$T$9,2,FALSE)))</f>
        <v/>
      </c>
      <c r="AP124" s="513" t="str">
        <f t="shared" si="22"/>
        <v/>
      </c>
      <c r="AQ124" s="231"/>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7" t="str">
        <f>'D-1 Off Site Habitat Baseline'!AL124</f>
        <v/>
      </c>
      <c r="F125" s="520" t="str">
        <f>IF(E125="","",IF(ISNA(VLOOKUP($E125,'D-1 Off Site Habitat Baseline'!$D$1:$O$258,4,FALSE)),"",(VLOOKUP($E125,'D-1 Off Site Habitat Baseline'!$D$1:$O$258,4,FALSE))))</f>
        <v/>
      </c>
      <c r="G125" s="520" t="str">
        <f>IF(E125="","",IF(ISNA(VLOOKUP($E125,'D-1 Off Site Habitat Baseline'!$D$1:$O$258,5,FALSE)),"",(VLOOKUP($E125,'D-1 Off Site Habitat Baseline'!$D$1:$O$258,5,FALSE))))</f>
        <v/>
      </c>
      <c r="H125" s="520" t="str">
        <f>IF(E125="","",IF(ISNA(VLOOKUP($E125,'D-1 Off Site Habitat Baseline'!$D$1:$O$258,6,FALSE)),"",(VLOOKUP($E125,'D-1 Off Site Habitat Baseline'!$D$1:$O$258,6,FALSE))))</f>
        <v/>
      </c>
      <c r="I125" s="520" t="str">
        <f>IF(E125="","",IF(ISNA(VLOOKUP($E125,'D-1 Off Site Habitat Baseline'!$D$1:$O$258,7,FALSE)),"",(VLOOKUP($E125,'D-1 Off Site Habitat Baseline'!$D$1:$O$258,7,FALSE))))</f>
        <v/>
      </c>
      <c r="J125" s="520" t="str">
        <f>IF(E125="","",IF(ISNA(VLOOKUP($E125,'D-1 Off Site Habitat Baseline'!$D$1:$O$258,8,FALSE)),"",(VLOOKUP($E125,'D-1 Off Site Habitat Baseline'!$D$1:$O$258,8,FALSE))))</f>
        <v/>
      </c>
      <c r="K125" s="520" t="str">
        <f>IF(E125="","",IF(ISNA(VLOOKUP($E125,'D-1 Off Site Habitat Baseline'!$D$1:$O$258,9,FALSE)),"",(VLOOKUP($E125,'D-1 Off Site Habitat Baseline'!$D$1:$O$258,9,FALSE))))</f>
        <v/>
      </c>
      <c r="L125" s="520" t="str">
        <f>IF(E125="","",IF(ISNA(VLOOKUP($E125,'D-1 Off Site Habitat Baseline'!$D$1:$O$258,11,FALSE)),"",(VLOOKUP($E125,'D-1 Off Site Habitat Baseline'!$D$1:$O$258,11,FALSE))))</f>
        <v/>
      </c>
      <c r="M125" s="520" t="str">
        <f>IF(E125="","",IF(ISNA(VLOOKUP($E125,'D-1 Off Site Habitat Baseline'!$D$1:$O$258,12,FALSE)),"",(VLOOKUP($E125,'D-1 Off Site Habitat Baseline'!$D$1:$O$258,12,FALSE))))</f>
        <v/>
      </c>
      <c r="N125" s="520" t="str">
        <f>IF(E125="","",IF(ISNA(VLOOKUP($E125,'D-1 Off Site Habitat Baseline'!$D$1:$X$258,14,FALSE)),"",(VLOOKUP($E125,'D-1 Off Site Habitat Baseline'!$D$1:$X$258,14,FALSE))))</f>
        <v/>
      </c>
      <c r="O125" s="524" t="str">
        <f>IF(E125="","",IF(ISNA(VLOOKUP($E125,'D-1 Off Site Habitat Baseline'!$D$1:$X$258,13,FALSE)),"",(VLOOKUP($E125,'D-1 Off Site Habitat Baseline'!$D$1:$X$258,13,FALSE))))</f>
        <v/>
      </c>
      <c r="P125" s="232" t="str">
        <f>IFERROR(INDEX('G-1 All Habitats'!$AG$3:$AG$15,MATCH(Q125,'G-1 All Habitats'!$AF$3:$AF$15,0)),"")</f>
        <v/>
      </c>
      <c r="Q125" s="228" t="str">
        <f t="shared" si="23"/>
        <v/>
      </c>
      <c r="R125" s="229" t="str">
        <f t="shared" si="24"/>
        <v/>
      </c>
      <c r="S125" s="233" t="str">
        <f>IFERROR(INDEX('G-1 All Habitats'!$B$3:$B$129,MATCH(R125,'G-1 All Habitats'!$A$3:$A$129,0)),"")</f>
        <v/>
      </c>
      <c r="T125" s="507" t="str">
        <f t="shared" si="16"/>
        <v/>
      </c>
      <c r="U125" s="524" t="str">
        <f t="shared" si="17"/>
        <v/>
      </c>
      <c r="V125" s="523" t="str">
        <f t="shared" si="14"/>
        <v/>
      </c>
      <c r="W125" s="520" t="str">
        <f>IF(S125="","",VLOOKUP(S125,'G-1 All Habitats'!$B$2:$M$129,10,FALSE))</f>
        <v/>
      </c>
      <c r="X125" s="520" t="str">
        <f>IFERROR(VLOOKUP(W125,'G-1 All Habitats'!$V$3:$W$7,2,FALSE),"")</f>
        <v/>
      </c>
      <c r="Y125" s="203"/>
      <c r="Z125" s="524" t="str">
        <f>IFERROR(INDEX('G-8 Condition Look up'!$A$3:$H$130,MATCH(S125,'G-8 Condition Look up'!$A$3:$A$130,0),MATCH(Y125,'G-8 Condition Look up'!$A$3:$H$3,0)),"")</f>
        <v/>
      </c>
      <c r="AA125" s="145"/>
      <c r="AB125" s="540" t="str">
        <f>IF(AA125="","",IF(VLOOKUP(AA125,'G-3 Multipliers'!$L$3:$N$6,2,FALSE)=0,"Spatial Data Missing ⚠",VLOOKUP(AA125,'G-3 Multipliers'!$L$3:$N$6,2,FALSE)))</f>
        <v/>
      </c>
      <c r="AC125" s="524" t="str">
        <f>IF(AA125="","",IF(VLOOKUP(AA125,'G-3 Multipliers'!$L$3:$N$6,3,FALSE)=0,"Spatial Data Missing ⚠",VLOOKUP(AA125,'G-3 Multipliers'!$L$3:$N$6,3,FALSE)))</f>
        <v/>
      </c>
      <c r="AD125" s="537" t="str">
        <f t="shared" si="15"/>
        <v/>
      </c>
      <c r="AE125" s="203"/>
      <c r="AF125" s="203"/>
      <c r="AG125" s="520" t="str">
        <f t="shared" si="18"/>
        <v/>
      </c>
      <c r="AH125" s="544" t="str">
        <f t="shared" si="19"/>
        <v/>
      </c>
      <c r="AI125" s="525" t="str">
        <f>IF(AH125="Check Data ⚠","Check Data ⚠",IFERROR(VLOOKUP(AH125,'G-4 Temporal multipliers'!$A$4:$C$36,3,FALSE),""))</f>
        <v/>
      </c>
      <c r="AJ125" s="537" t="str">
        <f>IF(S125="","",VLOOKUP(S125,'G-3 Multipliers'!$A$2:$E$129,4,FALSE))</f>
        <v/>
      </c>
      <c r="AK125" s="520" t="str">
        <f t="shared" si="20"/>
        <v/>
      </c>
      <c r="AL125" s="520" t="str">
        <f t="shared" si="21"/>
        <v/>
      </c>
      <c r="AM125" s="524" t="str">
        <f>IFERROR(IF(F125="","",IF(AH125="Check Data ⚠","Check Data ⚠",VLOOKUP(AL125, 'G-3 Multipliers'!$P$2:$Q$6,2,FALSE))),"")</f>
        <v/>
      </c>
      <c r="AN125" s="197"/>
      <c r="AO125" s="540" t="str">
        <f>IF(AN125="","",IF(VLOOKUP(AN125,'G-3 Multipliers'!$S$3:$T$9,2,FALSE)=0,"Spatial Data Missing ⚠",VLOOKUP(AN125,'G-3 Multipliers'!$S$3:$T$9,2,FALSE)))</f>
        <v/>
      </c>
      <c r="AP125" s="513" t="str">
        <f t="shared" si="22"/>
        <v/>
      </c>
      <c r="AQ125" s="231"/>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7" t="str">
        <f>'D-1 Off Site Habitat Baseline'!AL125</f>
        <v/>
      </c>
      <c r="F126" s="520" t="str">
        <f>IF(E126="","",IF(ISNA(VLOOKUP($E126,'D-1 Off Site Habitat Baseline'!$D$1:$O$258,4,FALSE)),"",(VLOOKUP($E126,'D-1 Off Site Habitat Baseline'!$D$1:$O$258,4,FALSE))))</f>
        <v/>
      </c>
      <c r="G126" s="520" t="str">
        <f>IF(E126="","",IF(ISNA(VLOOKUP($E126,'D-1 Off Site Habitat Baseline'!$D$1:$O$258,5,FALSE)),"",(VLOOKUP($E126,'D-1 Off Site Habitat Baseline'!$D$1:$O$258,5,FALSE))))</f>
        <v/>
      </c>
      <c r="H126" s="520" t="str">
        <f>IF(E126="","",IF(ISNA(VLOOKUP($E126,'D-1 Off Site Habitat Baseline'!$D$1:$O$258,6,FALSE)),"",(VLOOKUP($E126,'D-1 Off Site Habitat Baseline'!$D$1:$O$258,6,FALSE))))</f>
        <v/>
      </c>
      <c r="I126" s="520" t="str">
        <f>IF(E126="","",IF(ISNA(VLOOKUP($E126,'D-1 Off Site Habitat Baseline'!$D$1:$O$258,7,FALSE)),"",(VLOOKUP($E126,'D-1 Off Site Habitat Baseline'!$D$1:$O$258,7,FALSE))))</f>
        <v/>
      </c>
      <c r="J126" s="520" t="str">
        <f>IF(E126="","",IF(ISNA(VLOOKUP($E126,'D-1 Off Site Habitat Baseline'!$D$1:$O$258,8,FALSE)),"",(VLOOKUP($E126,'D-1 Off Site Habitat Baseline'!$D$1:$O$258,8,FALSE))))</f>
        <v/>
      </c>
      <c r="K126" s="520" t="str">
        <f>IF(E126="","",IF(ISNA(VLOOKUP($E126,'D-1 Off Site Habitat Baseline'!$D$1:$O$258,9,FALSE)),"",(VLOOKUP($E126,'D-1 Off Site Habitat Baseline'!$D$1:$O$258,9,FALSE))))</f>
        <v/>
      </c>
      <c r="L126" s="520" t="str">
        <f>IF(E126="","",IF(ISNA(VLOOKUP($E126,'D-1 Off Site Habitat Baseline'!$D$1:$O$258,11,FALSE)),"",(VLOOKUP($E126,'D-1 Off Site Habitat Baseline'!$D$1:$O$258,11,FALSE))))</f>
        <v/>
      </c>
      <c r="M126" s="520" t="str">
        <f>IF(E126="","",IF(ISNA(VLOOKUP($E126,'D-1 Off Site Habitat Baseline'!$D$1:$O$258,12,FALSE)),"",(VLOOKUP($E126,'D-1 Off Site Habitat Baseline'!$D$1:$O$258,12,FALSE))))</f>
        <v/>
      </c>
      <c r="N126" s="520" t="str">
        <f>IF(E126="","",IF(ISNA(VLOOKUP($E126,'D-1 Off Site Habitat Baseline'!$D$1:$X$258,14,FALSE)),"",(VLOOKUP($E126,'D-1 Off Site Habitat Baseline'!$D$1:$X$258,14,FALSE))))</f>
        <v/>
      </c>
      <c r="O126" s="524" t="str">
        <f>IF(E126="","",IF(ISNA(VLOOKUP($E126,'D-1 Off Site Habitat Baseline'!$D$1:$X$258,13,FALSE)),"",(VLOOKUP($E126,'D-1 Off Site Habitat Baseline'!$D$1:$X$258,13,FALSE))))</f>
        <v/>
      </c>
      <c r="P126" s="232" t="str">
        <f>IFERROR(INDEX('G-1 All Habitats'!$AG$3:$AG$15,MATCH(Q126,'G-1 All Habitats'!$AF$3:$AF$15,0)),"")</f>
        <v/>
      </c>
      <c r="Q126" s="228" t="str">
        <f t="shared" si="23"/>
        <v/>
      </c>
      <c r="R126" s="229" t="str">
        <f t="shared" si="24"/>
        <v/>
      </c>
      <c r="S126" s="233" t="str">
        <f>IFERROR(INDEX('G-1 All Habitats'!$B$3:$B$129,MATCH(R126,'G-1 All Habitats'!$A$3:$A$129,0)),"")</f>
        <v/>
      </c>
      <c r="T126" s="507" t="str">
        <f t="shared" si="16"/>
        <v/>
      </c>
      <c r="U126" s="524" t="str">
        <f t="shared" si="17"/>
        <v/>
      </c>
      <c r="V126" s="523" t="str">
        <f t="shared" si="14"/>
        <v/>
      </c>
      <c r="W126" s="520" t="str">
        <f>IF(S126="","",VLOOKUP(S126,'G-1 All Habitats'!$B$2:$M$129,10,FALSE))</f>
        <v/>
      </c>
      <c r="X126" s="520" t="str">
        <f>IFERROR(VLOOKUP(W126,'G-1 All Habitats'!$V$3:$W$7,2,FALSE),"")</f>
        <v/>
      </c>
      <c r="Y126" s="203"/>
      <c r="Z126" s="524" t="str">
        <f>IFERROR(INDEX('G-8 Condition Look up'!$A$3:$H$130,MATCH(S126,'G-8 Condition Look up'!$A$3:$A$130,0),MATCH(Y126,'G-8 Condition Look up'!$A$3:$H$3,0)),"")</f>
        <v/>
      </c>
      <c r="AA126" s="145"/>
      <c r="AB126" s="540" t="str">
        <f>IF(AA126="","",IF(VLOOKUP(AA126,'G-3 Multipliers'!$L$3:$N$6,2,FALSE)=0,"Spatial Data Missing ⚠",VLOOKUP(AA126,'G-3 Multipliers'!$L$3:$N$6,2,FALSE)))</f>
        <v/>
      </c>
      <c r="AC126" s="524" t="str">
        <f>IF(AA126="","",IF(VLOOKUP(AA126,'G-3 Multipliers'!$L$3:$N$6,3,FALSE)=0,"Spatial Data Missing ⚠",VLOOKUP(AA126,'G-3 Multipliers'!$L$3:$N$6,3,FALSE)))</f>
        <v/>
      </c>
      <c r="AD126" s="537" t="str">
        <f t="shared" si="15"/>
        <v/>
      </c>
      <c r="AE126" s="203"/>
      <c r="AF126" s="203"/>
      <c r="AG126" s="520" t="str">
        <f t="shared" si="18"/>
        <v/>
      </c>
      <c r="AH126" s="544" t="str">
        <f t="shared" si="19"/>
        <v/>
      </c>
      <c r="AI126" s="525" t="str">
        <f>IF(AH126="Check Data ⚠","Check Data ⚠",IFERROR(VLOOKUP(AH126,'G-4 Temporal multipliers'!$A$4:$C$36,3,FALSE),""))</f>
        <v/>
      </c>
      <c r="AJ126" s="537" t="str">
        <f>IF(S126="","",VLOOKUP(S126,'G-3 Multipliers'!$A$2:$E$129,4,FALSE))</f>
        <v/>
      </c>
      <c r="AK126" s="520" t="str">
        <f t="shared" si="20"/>
        <v/>
      </c>
      <c r="AL126" s="520" t="str">
        <f t="shared" si="21"/>
        <v/>
      </c>
      <c r="AM126" s="524" t="str">
        <f>IFERROR(IF(F126="","",IF(AH126="Check Data ⚠","Check Data ⚠",VLOOKUP(AL126, 'G-3 Multipliers'!$P$2:$Q$6,2,FALSE))),"")</f>
        <v/>
      </c>
      <c r="AN126" s="197"/>
      <c r="AO126" s="540" t="str">
        <f>IF(AN126="","",IF(VLOOKUP(AN126,'G-3 Multipliers'!$S$3:$T$9,2,FALSE)=0,"Spatial Data Missing ⚠",VLOOKUP(AN126,'G-3 Multipliers'!$S$3:$T$9,2,FALSE)))</f>
        <v/>
      </c>
      <c r="AP126" s="513" t="str">
        <f t="shared" si="22"/>
        <v/>
      </c>
      <c r="AQ126" s="231"/>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7" t="str">
        <f>'D-1 Off Site Habitat Baseline'!AL126</f>
        <v/>
      </c>
      <c r="F127" s="520" t="str">
        <f>IF(E127="","",IF(ISNA(VLOOKUP($E127,'D-1 Off Site Habitat Baseline'!$D$1:$O$258,4,FALSE)),"",(VLOOKUP($E127,'D-1 Off Site Habitat Baseline'!$D$1:$O$258,4,FALSE))))</f>
        <v/>
      </c>
      <c r="G127" s="520" t="str">
        <f>IF(E127="","",IF(ISNA(VLOOKUP($E127,'D-1 Off Site Habitat Baseline'!$D$1:$O$258,5,FALSE)),"",(VLOOKUP($E127,'D-1 Off Site Habitat Baseline'!$D$1:$O$258,5,FALSE))))</f>
        <v/>
      </c>
      <c r="H127" s="520" t="str">
        <f>IF(E127="","",IF(ISNA(VLOOKUP($E127,'D-1 Off Site Habitat Baseline'!$D$1:$O$258,6,FALSE)),"",(VLOOKUP($E127,'D-1 Off Site Habitat Baseline'!$D$1:$O$258,6,FALSE))))</f>
        <v/>
      </c>
      <c r="I127" s="520" t="str">
        <f>IF(E127="","",IF(ISNA(VLOOKUP($E127,'D-1 Off Site Habitat Baseline'!$D$1:$O$258,7,FALSE)),"",(VLOOKUP($E127,'D-1 Off Site Habitat Baseline'!$D$1:$O$258,7,FALSE))))</f>
        <v/>
      </c>
      <c r="J127" s="520" t="str">
        <f>IF(E127="","",IF(ISNA(VLOOKUP($E127,'D-1 Off Site Habitat Baseline'!$D$1:$O$258,8,FALSE)),"",(VLOOKUP($E127,'D-1 Off Site Habitat Baseline'!$D$1:$O$258,8,FALSE))))</f>
        <v/>
      </c>
      <c r="K127" s="520" t="str">
        <f>IF(E127="","",IF(ISNA(VLOOKUP($E127,'D-1 Off Site Habitat Baseline'!$D$1:$O$258,9,FALSE)),"",(VLOOKUP($E127,'D-1 Off Site Habitat Baseline'!$D$1:$O$258,9,FALSE))))</f>
        <v/>
      </c>
      <c r="L127" s="520" t="str">
        <f>IF(E127="","",IF(ISNA(VLOOKUP($E127,'D-1 Off Site Habitat Baseline'!$D$1:$O$258,11,FALSE)),"",(VLOOKUP($E127,'D-1 Off Site Habitat Baseline'!$D$1:$O$258,11,FALSE))))</f>
        <v/>
      </c>
      <c r="M127" s="520" t="str">
        <f>IF(E127="","",IF(ISNA(VLOOKUP($E127,'D-1 Off Site Habitat Baseline'!$D$1:$O$258,12,FALSE)),"",(VLOOKUP($E127,'D-1 Off Site Habitat Baseline'!$D$1:$O$258,12,FALSE))))</f>
        <v/>
      </c>
      <c r="N127" s="520" t="str">
        <f>IF(E127="","",IF(ISNA(VLOOKUP($E127,'D-1 Off Site Habitat Baseline'!$D$1:$X$258,14,FALSE)),"",(VLOOKUP($E127,'D-1 Off Site Habitat Baseline'!$D$1:$X$258,14,FALSE))))</f>
        <v/>
      </c>
      <c r="O127" s="524" t="str">
        <f>IF(E127="","",IF(ISNA(VLOOKUP($E127,'D-1 Off Site Habitat Baseline'!$D$1:$X$258,13,FALSE)),"",(VLOOKUP($E127,'D-1 Off Site Habitat Baseline'!$D$1:$X$258,13,FALSE))))</f>
        <v/>
      </c>
      <c r="P127" s="232" t="str">
        <f>IFERROR(INDEX('G-1 All Habitats'!$AG$3:$AG$15,MATCH(Q127,'G-1 All Habitats'!$AF$3:$AF$15,0)),"")</f>
        <v/>
      </c>
      <c r="Q127" s="228" t="str">
        <f t="shared" si="23"/>
        <v/>
      </c>
      <c r="R127" s="229" t="str">
        <f t="shared" si="24"/>
        <v/>
      </c>
      <c r="S127" s="233" t="str">
        <f>IFERROR(INDEX('G-1 All Habitats'!$B$3:$B$129,MATCH(R127,'G-1 All Habitats'!$A$3:$A$129,0)),"")</f>
        <v/>
      </c>
      <c r="T127" s="507" t="str">
        <f t="shared" si="16"/>
        <v/>
      </c>
      <c r="U127" s="524" t="str">
        <f t="shared" si="17"/>
        <v/>
      </c>
      <c r="V127" s="523" t="str">
        <f t="shared" si="14"/>
        <v/>
      </c>
      <c r="W127" s="520" t="str">
        <f>IF(S127="","",VLOOKUP(S127,'G-1 All Habitats'!$B$2:$M$129,10,FALSE))</f>
        <v/>
      </c>
      <c r="X127" s="520" t="str">
        <f>IFERROR(VLOOKUP(W127,'G-1 All Habitats'!$V$3:$W$7,2,FALSE),"")</f>
        <v/>
      </c>
      <c r="Y127" s="203"/>
      <c r="Z127" s="524" t="str">
        <f>IFERROR(INDEX('G-8 Condition Look up'!$A$3:$H$130,MATCH(S127,'G-8 Condition Look up'!$A$3:$A$130,0),MATCH(Y127,'G-8 Condition Look up'!$A$3:$H$3,0)),"")</f>
        <v/>
      </c>
      <c r="AA127" s="145"/>
      <c r="AB127" s="540" t="str">
        <f>IF(AA127="","",IF(VLOOKUP(AA127,'G-3 Multipliers'!$L$3:$N$6,2,FALSE)=0,"Spatial Data Missing ⚠",VLOOKUP(AA127,'G-3 Multipliers'!$L$3:$N$6,2,FALSE)))</f>
        <v/>
      </c>
      <c r="AC127" s="524" t="str">
        <f>IF(AA127="","",IF(VLOOKUP(AA127,'G-3 Multipliers'!$L$3:$N$6,3,FALSE)=0,"Spatial Data Missing ⚠",VLOOKUP(AA127,'G-3 Multipliers'!$L$3:$N$6,3,FALSE)))</f>
        <v/>
      </c>
      <c r="AD127" s="537" t="str">
        <f t="shared" si="15"/>
        <v/>
      </c>
      <c r="AE127" s="203"/>
      <c r="AF127" s="203"/>
      <c r="AG127" s="520" t="str">
        <f t="shared" si="18"/>
        <v/>
      </c>
      <c r="AH127" s="544" t="str">
        <f t="shared" si="19"/>
        <v/>
      </c>
      <c r="AI127" s="525" t="str">
        <f>IF(AH127="Check Data ⚠","Check Data ⚠",IFERROR(VLOOKUP(AH127,'G-4 Temporal multipliers'!$A$4:$C$36,3,FALSE),""))</f>
        <v/>
      </c>
      <c r="AJ127" s="537" t="str">
        <f>IF(S127="","",VLOOKUP(S127,'G-3 Multipliers'!$A$2:$E$129,4,FALSE))</f>
        <v/>
      </c>
      <c r="AK127" s="520" t="str">
        <f t="shared" si="20"/>
        <v/>
      </c>
      <c r="AL127" s="520" t="str">
        <f t="shared" si="21"/>
        <v/>
      </c>
      <c r="AM127" s="524" t="str">
        <f>IFERROR(IF(F127="","",IF(AH127="Check Data ⚠","Check Data ⚠",VLOOKUP(AL127, 'G-3 Multipliers'!$P$2:$Q$6,2,FALSE))),"")</f>
        <v/>
      </c>
      <c r="AN127" s="197"/>
      <c r="AO127" s="540" t="str">
        <f>IF(AN127="","",IF(VLOOKUP(AN127,'G-3 Multipliers'!$S$3:$T$9,2,FALSE)=0,"Spatial Data Missing ⚠",VLOOKUP(AN127,'G-3 Multipliers'!$S$3:$T$9,2,FALSE)))</f>
        <v/>
      </c>
      <c r="AP127" s="513" t="str">
        <f t="shared" si="22"/>
        <v/>
      </c>
      <c r="AQ127" s="231"/>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7" t="str">
        <f>'D-1 Off Site Habitat Baseline'!AL127</f>
        <v/>
      </c>
      <c r="F128" s="520" t="str">
        <f>IF(E128="","",IF(ISNA(VLOOKUP($E128,'D-1 Off Site Habitat Baseline'!$D$1:$O$258,4,FALSE)),"",(VLOOKUP($E128,'D-1 Off Site Habitat Baseline'!$D$1:$O$258,4,FALSE))))</f>
        <v/>
      </c>
      <c r="G128" s="520" t="str">
        <f>IF(E128="","",IF(ISNA(VLOOKUP($E128,'D-1 Off Site Habitat Baseline'!$D$1:$O$258,5,FALSE)),"",(VLOOKUP($E128,'D-1 Off Site Habitat Baseline'!$D$1:$O$258,5,FALSE))))</f>
        <v/>
      </c>
      <c r="H128" s="520" t="str">
        <f>IF(E128="","",IF(ISNA(VLOOKUP($E128,'D-1 Off Site Habitat Baseline'!$D$1:$O$258,6,FALSE)),"",(VLOOKUP($E128,'D-1 Off Site Habitat Baseline'!$D$1:$O$258,6,FALSE))))</f>
        <v/>
      </c>
      <c r="I128" s="520" t="str">
        <f>IF(E128="","",IF(ISNA(VLOOKUP($E128,'D-1 Off Site Habitat Baseline'!$D$1:$O$258,7,FALSE)),"",(VLOOKUP($E128,'D-1 Off Site Habitat Baseline'!$D$1:$O$258,7,FALSE))))</f>
        <v/>
      </c>
      <c r="J128" s="520" t="str">
        <f>IF(E128="","",IF(ISNA(VLOOKUP($E128,'D-1 Off Site Habitat Baseline'!$D$1:$O$258,8,FALSE)),"",(VLOOKUP($E128,'D-1 Off Site Habitat Baseline'!$D$1:$O$258,8,FALSE))))</f>
        <v/>
      </c>
      <c r="K128" s="520" t="str">
        <f>IF(E128="","",IF(ISNA(VLOOKUP($E128,'D-1 Off Site Habitat Baseline'!$D$1:$O$258,9,FALSE)),"",(VLOOKUP($E128,'D-1 Off Site Habitat Baseline'!$D$1:$O$258,9,FALSE))))</f>
        <v/>
      </c>
      <c r="L128" s="520" t="str">
        <f>IF(E128="","",IF(ISNA(VLOOKUP($E128,'D-1 Off Site Habitat Baseline'!$D$1:$O$258,11,FALSE)),"",(VLOOKUP($E128,'D-1 Off Site Habitat Baseline'!$D$1:$O$258,11,FALSE))))</f>
        <v/>
      </c>
      <c r="M128" s="520" t="str">
        <f>IF(E128="","",IF(ISNA(VLOOKUP($E128,'D-1 Off Site Habitat Baseline'!$D$1:$O$258,12,FALSE)),"",(VLOOKUP($E128,'D-1 Off Site Habitat Baseline'!$D$1:$O$258,12,FALSE))))</f>
        <v/>
      </c>
      <c r="N128" s="520" t="str">
        <f>IF(E128="","",IF(ISNA(VLOOKUP($E128,'D-1 Off Site Habitat Baseline'!$D$1:$X$258,14,FALSE)),"",(VLOOKUP($E128,'D-1 Off Site Habitat Baseline'!$D$1:$X$258,14,FALSE))))</f>
        <v/>
      </c>
      <c r="O128" s="524" t="str">
        <f>IF(E128="","",IF(ISNA(VLOOKUP($E128,'D-1 Off Site Habitat Baseline'!$D$1:$X$258,13,FALSE)),"",(VLOOKUP($E128,'D-1 Off Site Habitat Baseline'!$D$1:$X$258,13,FALSE))))</f>
        <v/>
      </c>
      <c r="P128" s="232" t="str">
        <f>IFERROR(INDEX('G-1 All Habitats'!$AG$3:$AG$15,MATCH(Q128,'G-1 All Habitats'!$AF$3:$AF$15,0)),"")</f>
        <v/>
      </c>
      <c r="Q128" s="228" t="str">
        <f t="shared" si="23"/>
        <v/>
      </c>
      <c r="R128" s="229" t="str">
        <f t="shared" si="24"/>
        <v/>
      </c>
      <c r="S128" s="233" t="str">
        <f>IFERROR(INDEX('G-1 All Habitats'!$B$3:$B$129,MATCH(R128,'G-1 All Habitats'!$A$3:$A$129,0)),"")</f>
        <v/>
      </c>
      <c r="T128" s="507" t="str">
        <f t="shared" si="16"/>
        <v/>
      </c>
      <c r="U128" s="524" t="str">
        <f t="shared" si="17"/>
        <v/>
      </c>
      <c r="V128" s="523" t="str">
        <f t="shared" si="14"/>
        <v/>
      </c>
      <c r="W128" s="520" t="str">
        <f>IF(S128="","",VLOOKUP(S128,'G-1 All Habitats'!$B$2:$M$129,10,FALSE))</f>
        <v/>
      </c>
      <c r="X128" s="520" t="str">
        <f>IFERROR(VLOOKUP(W128,'G-1 All Habitats'!$V$3:$W$7,2,FALSE),"")</f>
        <v/>
      </c>
      <c r="Y128" s="203"/>
      <c r="Z128" s="524" t="str">
        <f>IFERROR(INDEX('G-8 Condition Look up'!$A$3:$H$130,MATCH(S128,'G-8 Condition Look up'!$A$3:$A$130,0),MATCH(Y128,'G-8 Condition Look up'!$A$3:$H$3,0)),"")</f>
        <v/>
      </c>
      <c r="AA128" s="145"/>
      <c r="AB128" s="540" t="str">
        <f>IF(AA128="","",IF(VLOOKUP(AA128,'G-3 Multipliers'!$L$3:$N$6,2,FALSE)=0,"Spatial Data Missing ⚠",VLOOKUP(AA128,'G-3 Multipliers'!$L$3:$N$6,2,FALSE)))</f>
        <v/>
      </c>
      <c r="AC128" s="524" t="str">
        <f>IF(AA128="","",IF(VLOOKUP(AA128,'G-3 Multipliers'!$L$3:$N$6,3,FALSE)=0,"Spatial Data Missing ⚠",VLOOKUP(AA128,'G-3 Multipliers'!$L$3:$N$6,3,FALSE)))</f>
        <v/>
      </c>
      <c r="AD128" s="537" t="str">
        <f t="shared" si="15"/>
        <v/>
      </c>
      <c r="AE128" s="203"/>
      <c r="AF128" s="203"/>
      <c r="AG128" s="520" t="str">
        <f t="shared" si="18"/>
        <v/>
      </c>
      <c r="AH128" s="544" t="str">
        <f t="shared" si="19"/>
        <v/>
      </c>
      <c r="AI128" s="525" t="str">
        <f>IF(AH128="Check Data ⚠","Check Data ⚠",IFERROR(VLOOKUP(AH128,'G-4 Temporal multipliers'!$A$4:$C$36,3,FALSE),""))</f>
        <v/>
      </c>
      <c r="AJ128" s="537" t="str">
        <f>IF(S128="","",VLOOKUP(S128,'G-3 Multipliers'!$A$2:$E$129,4,FALSE))</f>
        <v/>
      </c>
      <c r="AK128" s="520" t="str">
        <f t="shared" si="20"/>
        <v/>
      </c>
      <c r="AL128" s="520" t="str">
        <f t="shared" si="21"/>
        <v/>
      </c>
      <c r="AM128" s="524" t="str">
        <f>IFERROR(IF(F128="","",IF(AH128="Check Data ⚠","Check Data ⚠",VLOOKUP(AL128, 'G-3 Multipliers'!$P$2:$Q$6,2,FALSE))),"")</f>
        <v/>
      </c>
      <c r="AN128" s="197"/>
      <c r="AO128" s="540" t="str">
        <f>IF(AN128="","",IF(VLOOKUP(AN128,'G-3 Multipliers'!$S$3:$T$9,2,FALSE)=0,"Spatial Data Missing ⚠",VLOOKUP(AN128,'G-3 Multipliers'!$S$3:$T$9,2,FALSE)))</f>
        <v/>
      </c>
      <c r="AP128" s="513" t="str">
        <f t="shared" si="22"/>
        <v/>
      </c>
      <c r="AQ128" s="231"/>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7" t="str">
        <f>'D-1 Off Site Habitat Baseline'!AL128</f>
        <v/>
      </c>
      <c r="F129" s="520" t="str">
        <f>IF(E129="","",IF(ISNA(VLOOKUP($E129,'D-1 Off Site Habitat Baseline'!$D$1:$O$258,4,FALSE)),"",(VLOOKUP($E129,'D-1 Off Site Habitat Baseline'!$D$1:$O$258,4,FALSE))))</f>
        <v/>
      </c>
      <c r="G129" s="520" t="str">
        <f>IF(E129="","",IF(ISNA(VLOOKUP($E129,'D-1 Off Site Habitat Baseline'!$D$1:$O$258,5,FALSE)),"",(VLOOKUP($E129,'D-1 Off Site Habitat Baseline'!$D$1:$O$258,5,FALSE))))</f>
        <v/>
      </c>
      <c r="H129" s="520" t="str">
        <f>IF(E129="","",IF(ISNA(VLOOKUP($E129,'D-1 Off Site Habitat Baseline'!$D$1:$O$258,6,FALSE)),"",(VLOOKUP($E129,'D-1 Off Site Habitat Baseline'!$D$1:$O$258,6,FALSE))))</f>
        <v/>
      </c>
      <c r="I129" s="520" t="str">
        <f>IF(E129="","",IF(ISNA(VLOOKUP($E129,'D-1 Off Site Habitat Baseline'!$D$1:$O$258,7,FALSE)),"",(VLOOKUP($E129,'D-1 Off Site Habitat Baseline'!$D$1:$O$258,7,FALSE))))</f>
        <v/>
      </c>
      <c r="J129" s="520" t="str">
        <f>IF(E129="","",IF(ISNA(VLOOKUP($E129,'D-1 Off Site Habitat Baseline'!$D$1:$O$258,8,FALSE)),"",(VLOOKUP($E129,'D-1 Off Site Habitat Baseline'!$D$1:$O$258,8,FALSE))))</f>
        <v/>
      </c>
      <c r="K129" s="520" t="str">
        <f>IF(E129="","",IF(ISNA(VLOOKUP($E129,'D-1 Off Site Habitat Baseline'!$D$1:$O$258,9,FALSE)),"",(VLOOKUP($E129,'D-1 Off Site Habitat Baseline'!$D$1:$O$258,9,FALSE))))</f>
        <v/>
      </c>
      <c r="L129" s="520" t="str">
        <f>IF(E129="","",IF(ISNA(VLOOKUP($E129,'D-1 Off Site Habitat Baseline'!$D$1:$O$258,11,FALSE)),"",(VLOOKUP($E129,'D-1 Off Site Habitat Baseline'!$D$1:$O$258,11,FALSE))))</f>
        <v/>
      </c>
      <c r="M129" s="520" t="str">
        <f>IF(E129="","",IF(ISNA(VLOOKUP($E129,'D-1 Off Site Habitat Baseline'!$D$1:$O$258,12,FALSE)),"",(VLOOKUP($E129,'D-1 Off Site Habitat Baseline'!$D$1:$O$258,12,FALSE))))</f>
        <v/>
      </c>
      <c r="N129" s="520" t="str">
        <f>IF(E129="","",IF(ISNA(VLOOKUP($E129,'D-1 Off Site Habitat Baseline'!$D$1:$X$258,14,FALSE)),"",(VLOOKUP($E129,'D-1 Off Site Habitat Baseline'!$D$1:$X$258,14,FALSE))))</f>
        <v/>
      </c>
      <c r="O129" s="524" t="str">
        <f>IF(E129="","",IF(ISNA(VLOOKUP($E129,'D-1 Off Site Habitat Baseline'!$D$1:$X$258,13,FALSE)),"",(VLOOKUP($E129,'D-1 Off Site Habitat Baseline'!$D$1:$X$258,13,FALSE))))</f>
        <v/>
      </c>
      <c r="P129" s="232" t="str">
        <f>IFERROR(INDEX('G-1 All Habitats'!$AG$3:$AG$15,MATCH(Q129,'G-1 All Habitats'!$AF$3:$AF$15,0)),"")</f>
        <v/>
      </c>
      <c r="Q129" s="228" t="str">
        <f t="shared" si="23"/>
        <v/>
      </c>
      <c r="R129" s="229" t="str">
        <f t="shared" si="24"/>
        <v/>
      </c>
      <c r="S129" s="233" t="str">
        <f>IFERROR(INDEX('G-1 All Habitats'!$B$3:$B$129,MATCH(R129,'G-1 All Habitats'!$A$3:$A$129,0)),"")</f>
        <v/>
      </c>
      <c r="T129" s="507" t="str">
        <f t="shared" si="16"/>
        <v/>
      </c>
      <c r="U129" s="524" t="str">
        <f t="shared" si="17"/>
        <v/>
      </c>
      <c r="V129" s="523" t="str">
        <f t="shared" si="14"/>
        <v/>
      </c>
      <c r="W129" s="520" t="str">
        <f>IF(S129="","",VLOOKUP(S129,'G-1 All Habitats'!$B$2:$M$129,10,FALSE))</f>
        <v/>
      </c>
      <c r="X129" s="520" t="str">
        <f>IFERROR(VLOOKUP(W129,'G-1 All Habitats'!$V$3:$W$7,2,FALSE),"")</f>
        <v/>
      </c>
      <c r="Y129" s="203"/>
      <c r="Z129" s="524" t="str">
        <f>IFERROR(INDEX('G-8 Condition Look up'!$A$3:$H$130,MATCH(S129,'G-8 Condition Look up'!$A$3:$A$130,0),MATCH(Y129,'G-8 Condition Look up'!$A$3:$H$3,0)),"")</f>
        <v/>
      </c>
      <c r="AA129" s="145"/>
      <c r="AB129" s="540" t="str">
        <f>IF(AA129="","",IF(VLOOKUP(AA129,'G-3 Multipliers'!$L$3:$N$6,2,FALSE)=0,"Spatial Data Missing ⚠",VLOOKUP(AA129,'G-3 Multipliers'!$L$3:$N$6,2,FALSE)))</f>
        <v/>
      </c>
      <c r="AC129" s="524" t="str">
        <f>IF(AA129="","",IF(VLOOKUP(AA129,'G-3 Multipliers'!$L$3:$N$6,3,FALSE)=0,"Spatial Data Missing ⚠",VLOOKUP(AA129,'G-3 Multipliers'!$L$3:$N$6,3,FALSE)))</f>
        <v/>
      </c>
      <c r="AD129" s="537" t="str">
        <f t="shared" si="15"/>
        <v/>
      </c>
      <c r="AE129" s="203"/>
      <c r="AF129" s="203"/>
      <c r="AG129" s="520" t="str">
        <f t="shared" si="18"/>
        <v/>
      </c>
      <c r="AH129" s="544" t="str">
        <f t="shared" si="19"/>
        <v/>
      </c>
      <c r="AI129" s="525" t="str">
        <f>IF(AH129="Check Data ⚠","Check Data ⚠",IFERROR(VLOOKUP(AH129,'G-4 Temporal multipliers'!$A$4:$C$36,3,FALSE),""))</f>
        <v/>
      </c>
      <c r="AJ129" s="537" t="str">
        <f>IF(S129="","",VLOOKUP(S129,'G-3 Multipliers'!$A$2:$E$129,4,FALSE))</f>
        <v/>
      </c>
      <c r="AK129" s="520" t="str">
        <f t="shared" si="20"/>
        <v/>
      </c>
      <c r="AL129" s="520" t="str">
        <f t="shared" si="21"/>
        <v/>
      </c>
      <c r="AM129" s="524" t="str">
        <f>IFERROR(IF(F129="","",IF(AH129="Check Data ⚠","Check Data ⚠",VLOOKUP(AL129, 'G-3 Multipliers'!$P$2:$Q$6,2,FALSE))),"")</f>
        <v/>
      </c>
      <c r="AN129" s="197"/>
      <c r="AO129" s="540" t="str">
        <f>IF(AN129="","",IF(VLOOKUP(AN129,'G-3 Multipliers'!$S$3:$T$9,2,FALSE)=0,"Spatial Data Missing ⚠",VLOOKUP(AN129,'G-3 Multipliers'!$S$3:$T$9,2,FALSE)))</f>
        <v/>
      </c>
      <c r="AP129" s="513" t="str">
        <f t="shared" si="22"/>
        <v/>
      </c>
      <c r="AQ129" s="231"/>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7" t="str">
        <f>'D-1 Off Site Habitat Baseline'!AL129</f>
        <v/>
      </c>
      <c r="F130" s="520" t="str">
        <f>IF(E130="","",IF(ISNA(VLOOKUP($E130,'D-1 Off Site Habitat Baseline'!$D$1:$O$258,4,FALSE)),"",(VLOOKUP($E130,'D-1 Off Site Habitat Baseline'!$D$1:$O$258,4,FALSE))))</f>
        <v/>
      </c>
      <c r="G130" s="520" t="str">
        <f>IF(E130="","",IF(ISNA(VLOOKUP($E130,'D-1 Off Site Habitat Baseline'!$D$1:$O$258,5,FALSE)),"",(VLOOKUP($E130,'D-1 Off Site Habitat Baseline'!$D$1:$O$258,5,FALSE))))</f>
        <v/>
      </c>
      <c r="H130" s="520" t="str">
        <f>IF(E130="","",IF(ISNA(VLOOKUP($E130,'D-1 Off Site Habitat Baseline'!$D$1:$O$258,6,FALSE)),"",(VLOOKUP($E130,'D-1 Off Site Habitat Baseline'!$D$1:$O$258,6,FALSE))))</f>
        <v/>
      </c>
      <c r="I130" s="520" t="str">
        <f>IF(E130="","",IF(ISNA(VLOOKUP($E130,'D-1 Off Site Habitat Baseline'!$D$1:$O$258,7,FALSE)),"",(VLOOKUP($E130,'D-1 Off Site Habitat Baseline'!$D$1:$O$258,7,FALSE))))</f>
        <v/>
      </c>
      <c r="J130" s="520" t="str">
        <f>IF(E130="","",IF(ISNA(VLOOKUP($E130,'D-1 Off Site Habitat Baseline'!$D$1:$O$258,8,FALSE)),"",(VLOOKUP($E130,'D-1 Off Site Habitat Baseline'!$D$1:$O$258,8,FALSE))))</f>
        <v/>
      </c>
      <c r="K130" s="520" t="str">
        <f>IF(E130="","",IF(ISNA(VLOOKUP($E130,'D-1 Off Site Habitat Baseline'!$D$1:$O$258,9,FALSE)),"",(VLOOKUP($E130,'D-1 Off Site Habitat Baseline'!$D$1:$O$258,9,FALSE))))</f>
        <v/>
      </c>
      <c r="L130" s="520" t="str">
        <f>IF(E130="","",IF(ISNA(VLOOKUP($E130,'D-1 Off Site Habitat Baseline'!$D$1:$O$258,11,FALSE)),"",(VLOOKUP($E130,'D-1 Off Site Habitat Baseline'!$D$1:$O$258,11,FALSE))))</f>
        <v/>
      </c>
      <c r="M130" s="520" t="str">
        <f>IF(E130="","",IF(ISNA(VLOOKUP($E130,'D-1 Off Site Habitat Baseline'!$D$1:$O$258,12,FALSE)),"",(VLOOKUP($E130,'D-1 Off Site Habitat Baseline'!$D$1:$O$258,12,FALSE))))</f>
        <v/>
      </c>
      <c r="N130" s="520" t="str">
        <f>IF(E130="","",IF(ISNA(VLOOKUP($E130,'D-1 Off Site Habitat Baseline'!$D$1:$X$258,14,FALSE)),"",(VLOOKUP($E130,'D-1 Off Site Habitat Baseline'!$D$1:$X$258,14,FALSE))))</f>
        <v/>
      </c>
      <c r="O130" s="524" t="str">
        <f>IF(E130="","",IF(ISNA(VLOOKUP($E130,'D-1 Off Site Habitat Baseline'!$D$1:$X$258,13,FALSE)),"",(VLOOKUP($E130,'D-1 Off Site Habitat Baseline'!$D$1:$X$258,13,FALSE))))</f>
        <v/>
      </c>
      <c r="P130" s="232" t="str">
        <f>IFERROR(INDEX('G-1 All Habitats'!$AG$3:$AG$15,MATCH(Q130,'G-1 All Habitats'!$AF$3:$AF$15,0)),"")</f>
        <v/>
      </c>
      <c r="Q130" s="228" t="str">
        <f t="shared" si="23"/>
        <v/>
      </c>
      <c r="R130" s="229" t="str">
        <f t="shared" si="24"/>
        <v/>
      </c>
      <c r="S130" s="233" t="str">
        <f>IFERROR(INDEX('G-1 All Habitats'!$B$3:$B$129,MATCH(R130,'G-1 All Habitats'!$A$3:$A$129,0)),"")</f>
        <v/>
      </c>
      <c r="T130" s="507" t="str">
        <f t="shared" si="16"/>
        <v/>
      </c>
      <c r="U130" s="524" t="str">
        <f t="shared" si="17"/>
        <v/>
      </c>
      <c r="V130" s="523" t="str">
        <f t="shared" si="14"/>
        <v/>
      </c>
      <c r="W130" s="520" t="str">
        <f>IF(S130="","",VLOOKUP(S130,'G-1 All Habitats'!$B$2:$M$129,10,FALSE))</f>
        <v/>
      </c>
      <c r="X130" s="520" t="str">
        <f>IFERROR(VLOOKUP(W130,'G-1 All Habitats'!$V$3:$W$7,2,FALSE),"")</f>
        <v/>
      </c>
      <c r="Y130" s="203"/>
      <c r="Z130" s="524" t="str">
        <f>IFERROR(INDEX('G-8 Condition Look up'!$A$3:$H$130,MATCH(S130,'G-8 Condition Look up'!$A$3:$A$130,0),MATCH(Y130,'G-8 Condition Look up'!$A$3:$H$3,0)),"")</f>
        <v/>
      </c>
      <c r="AA130" s="145"/>
      <c r="AB130" s="540" t="str">
        <f>IF(AA130="","",IF(VLOOKUP(AA130,'G-3 Multipliers'!$L$3:$N$6,2,FALSE)=0,"Spatial Data Missing ⚠",VLOOKUP(AA130,'G-3 Multipliers'!$L$3:$N$6,2,FALSE)))</f>
        <v/>
      </c>
      <c r="AC130" s="524" t="str">
        <f>IF(AA130="","",IF(VLOOKUP(AA130,'G-3 Multipliers'!$L$3:$N$6,3,FALSE)=0,"Spatial Data Missing ⚠",VLOOKUP(AA130,'G-3 Multipliers'!$L$3:$N$6,3,FALSE)))</f>
        <v/>
      </c>
      <c r="AD130" s="537" t="str">
        <f t="shared" si="15"/>
        <v/>
      </c>
      <c r="AE130" s="203"/>
      <c r="AF130" s="203"/>
      <c r="AG130" s="520" t="str">
        <f t="shared" si="18"/>
        <v/>
      </c>
      <c r="AH130" s="544" t="str">
        <f t="shared" si="19"/>
        <v/>
      </c>
      <c r="AI130" s="525" t="str">
        <f>IF(AH130="Check Data ⚠","Check Data ⚠",IFERROR(VLOOKUP(AH130,'G-4 Temporal multipliers'!$A$4:$C$36,3,FALSE),""))</f>
        <v/>
      </c>
      <c r="AJ130" s="537" t="str">
        <f>IF(S130="","",VLOOKUP(S130,'G-3 Multipliers'!$A$2:$E$129,4,FALSE))</f>
        <v/>
      </c>
      <c r="AK130" s="520" t="str">
        <f t="shared" si="20"/>
        <v/>
      </c>
      <c r="AL130" s="520" t="str">
        <f t="shared" si="21"/>
        <v/>
      </c>
      <c r="AM130" s="524" t="str">
        <f>IFERROR(IF(F130="","",IF(AH130="Check Data ⚠","Check Data ⚠",VLOOKUP(AL130, 'G-3 Multipliers'!$P$2:$Q$6,2,FALSE))),"")</f>
        <v/>
      </c>
      <c r="AN130" s="197"/>
      <c r="AO130" s="540" t="str">
        <f>IF(AN130="","",IF(VLOOKUP(AN130,'G-3 Multipliers'!$S$3:$T$9,2,FALSE)=0,"Spatial Data Missing ⚠",VLOOKUP(AN130,'G-3 Multipliers'!$S$3:$T$9,2,FALSE)))</f>
        <v/>
      </c>
      <c r="AP130" s="513" t="str">
        <f t="shared" si="22"/>
        <v/>
      </c>
      <c r="AQ130" s="231"/>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7" t="str">
        <f>'D-1 Off Site Habitat Baseline'!AL130</f>
        <v/>
      </c>
      <c r="F131" s="520" t="str">
        <f>IF(E131="","",IF(ISNA(VLOOKUP($E131,'D-1 Off Site Habitat Baseline'!$D$1:$O$258,4,FALSE)),"",(VLOOKUP($E131,'D-1 Off Site Habitat Baseline'!$D$1:$O$258,4,FALSE))))</f>
        <v/>
      </c>
      <c r="G131" s="520" t="str">
        <f>IF(E131="","",IF(ISNA(VLOOKUP($E131,'D-1 Off Site Habitat Baseline'!$D$1:$O$258,5,FALSE)),"",(VLOOKUP($E131,'D-1 Off Site Habitat Baseline'!$D$1:$O$258,5,FALSE))))</f>
        <v/>
      </c>
      <c r="H131" s="520" t="str">
        <f>IF(E131="","",IF(ISNA(VLOOKUP($E131,'D-1 Off Site Habitat Baseline'!$D$1:$O$258,6,FALSE)),"",(VLOOKUP($E131,'D-1 Off Site Habitat Baseline'!$D$1:$O$258,6,FALSE))))</f>
        <v/>
      </c>
      <c r="I131" s="520" t="str">
        <f>IF(E131="","",IF(ISNA(VLOOKUP($E131,'D-1 Off Site Habitat Baseline'!$D$1:$O$258,7,FALSE)),"",(VLOOKUP($E131,'D-1 Off Site Habitat Baseline'!$D$1:$O$258,7,FALSE))))</f>
        <v/>
      </c>
      <c r="J131" s="520" t="str">
        <f>IF(E131="","",IF(ISNA(VLOOKUP($E131,'D-1 Off Site Habitat Baseline'!$D$1:$O$258,8,FALSE)),"",(VLOOKUP($E131,'D-1 Off Site Habitat Baseline'!$D$1:$O$258,8,FALSE))))</f>
        <v/>
      </c>
      <c r="K131" s="520" t="str">
        <f>IF(E131="","",IF(ISNA(VLOOKUP($E131,'D-1 Off Site Habitat Baseline'!$D$1:$O$258,9,FALSE)),"",(VLOOKUP($E131,'D-1 Off Site Habitat Baseline'!$D$1:$O$258,9,FALSE))))</f>
        <v/>
      </c>
      <c r="L131" s="520" t="str">
        <f>IF(E131="","",IF(ISNA(VLOOKUP($E131,'D-1 Off Site Habitat Baseline'!$D$1:$O$258,11,FALSE)),"",(VLOOKUP($E131,'D-1 Off Site Habitat Baseline'!$D$1:$O$258,11,FALSE))))</f>
        <v/>
      </c>
      <c r="M131" s="520" t="str">
        <f>IF(E131="","",IF(ISNA(VLOOKUP($E131,'D-1 Off Site Habitat Baseline'!$D$1:$O$258,12,FALSE)),"",(VLOOKUP($E131,'D-1 Off Site Habitat Baseline'!$D$1:$O$258,12,FALSE))))</f>
        <v/>
      </c>
      <c r="N131" s="520" t="str">
        <f>IF(E131="","",IF(ISNA(VLOOKUP($E131,'D-1 Off Site Habitat Baseline'!$D$1:$X$258,14,FALSE)),"",(VLOOKUP($E131,'D-1 Off Site Habitat Baseline'!$D$1:$X$258,14,FALSE))))</f>
        <v/>
      </c>
      <c r="O131" s="524" t="str">
        <f>IF(E131="","",IF(ISNA(VLOOKUP($E131,'D-1 Off Site Habitat Baseline'!$D$1:$X$258,13,FALSE)),"",(VLOOKUP($E131,'D-1 Off Site Habitat Baseline'!$D$1:$X$258,13,FALSE))))</f>
        <v/>
      </c>
      <c r="P131" s="232" t="str">
        <f>IFERROR(INDEX('G-1 All Habitats'!$AG$3:$AG$15,MATCH(Q131,'G-1 All Habitats'!$AF$3:$AF$15,0)),"")</f>
        <v/>
      </c>
      <c r="Q131" s="228" t="str">
        <f t="shared" si="23"/>
        <v/>
      </c>
      <c r="R131" s="229" t="str">
        <f t="shared" si="24"/>
        <v/>
      </c>
      <c r="S131" s="233" t="str">
        <f>IFERROR(INDEX('G-1 All Habitats'!$B$3:$B$129,MATCH(R131,'G-1 All Habitats'!$A$3:$A$129,0)),"")</f>
        <v/>
      </c>
      <c r="T131" s="507" t="str">
        <f t="shared" si="16"/>
        <v/>
      </c>
      <c r="U131" s="524" t="str">
        <f t="shared" si="17"/>
        <v/>
      </c>
      <c r="V131" s="523" t="str">
        <f t="shared" si="14"/>
        <v/>
      </c>
      <c r="W131" s="520" t="str">
        <f>IF(S131="","",VLOOKUP(S131,'G-1 All Habitats'!$B$2:$M$129,10,FALSE))</f>
        <v/>
      </c>
      <c r="X131" s="520" t="str">
        <f>IFERROR(VLOOKUP(W131,'G-1 All Habitats'!$V$3:$W$7,2,FALSE),"")</f>
        <v/>
      </c>
      <c r="Y131" s="203"/>
      <c r="Z131" s="524" t="str">
        <f>IFERROR(INDEX('G-8 Condition Look up'!$A$3:$H$130,MATCH(S131,'G-8 Condition Look up'!$A$3:$A$130,0),MATCH(Y131,'G-8 Condition Look up'!$A$3:$H$3,0)),"")</f>
        <v/>
      </c>
      <c r="AA131" s="145"/>
      <c r="AB131" s="540" t="str">
        <f>IF(AA131="","",IF(VLOOKUP(AA131,'G-3 Multipliers'!$L$3:$N$6,2,FALSE)=0,"Spatial Data Missing ⚠",VLOOKUP(AA131,'G-3 Multipliers'!$L$3:$N$6,2,FALSE)))</f>
        <v/>
      </c>
      <c r="AC131" s="524" t="str">
        <f>IF(AA131="","",IF(VLOOKUP(AA131,'G-3 Multipliers'!$L$3:$N$6,3,FALSE)=0,"Spatial Data Missing ⚠",VLOOKUP(AA131,'G-3 Multipliers'!$L$3:$N$6,3,FALSE)))</f>
        <v/>
      </c>
      <c r="AD131" s="537" t="str">
        <f t="shared" si="15"/>
        <v/>
      </c>
      <c r="AE131" s="203"/>
      <c r="AF131" s="203"/>
      <c r="AG131" s="520" t="str">
        <f t="shared" si="18"/>
        <v/>
      </c>
      <c r="AH131" s="544" t="str">
        <f t="shared" si="19"/>
        <v/>
      </c>
      <c r="AI131" s="525" t="str">
        <f>IF(AH131="Check Data ⚠","Check Data ⚠",IFERROR(VLOOKUP(AH131,'G-4 Temporal multipliers'!$A$4:$C$36,3,FALSE),""))</f>
        <v/>
      </c>
      <c r="AJ131" s="537" t="str">
        <f>IF(S131="","",VLOOKUP(S131,'G-3 Multipliers'!$A$2:$E$129,4,FALSE))</f>
        <v/>
      </c>
      <c r="AK131" s="520" t="str">
        <f t="shared" si="20"/>
        <v/>
      </c>
      <c r="AL131" s="520" t="str">
        <f t="shared" si="21"/>
        <v/>
      </c>
      <c r="AM131" s="524" t="str">
        <f>IFERROR(IF(F131="","",IF(AH131="Check Data ⚠","Check Data ⚠",VLOOKUP(AL131, 'G-3 Multipliers'!$P$2:$Q$6,2,FALSE))),"")</f>
        <v/>
      </c>
      <c r="AN131" s="197"/>
      <c r="AO131" s="540" t="str">
        <f>IF(AN131="","",IF(VLOOKUP(AN131,'G-3 Multipliers'!$S$3:$T$9,2,FALSE)=0,"Spatial Data Missing ⚠",VLOOKUP(AN131,'G-3 Multipliers'!$S$3:$T$9,2,FALSE)))</f>
        <v/>
      </c>
      <c r="AP131" s="513" t="str">
        <f t="shared" si="22"/>
        <v/>
      </c>
      <c r="AQ131" s="231"/>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7" t="str">
        <f>'D-1 Off Site Habitat Baseline'!AL131</f>
        <v/>
      </c>
      <c r="F132" s="520" t="str">
        <f>IF(E132="","",IF(ISNA(VLOOKUP($E132,'D-1 Off Site Habitat Baseline'!$D$1:$O$258,4,FALSE)),"",(VLOOKUP($E132,'D-1 Off Site Habitat Baseline'!$D$1:$O$258,4,FALSE))))</f>
        <v/>
      </c>
      <c r="G132" s="520" t="str">
        <f>IF(E132="","",IF(ISNA(VLOOKUP($E132,'D-1 Off Site Habitat Baseline'!$D$1:$O$258,5,FALSE)),"",(VLOOKUP($E132,'D-1 Off Site Habitat Baseline'!$D$1:$O$258,5,FALSE))))</f>
        <v/>
      </c>
      <c r="H132" s="520" t="str">
        <f>IF(E132="","",IF(ISNA(VLOOKUP($E132,'D-1 Off Site Habitat Baseline'!$D$1:$O$258,6,FALSE)),"",(VLOOKUP($E132,'D-1 Off Site Habitat Baseline'!$D$1:$O$258,6,FALSE))))</f>
        <v/>
      </c>
      <c r="I132" s="520" t="str">
        <f>IF(E132="","",IF(ISNA(VLOOKUP($E132,'D-1 Off Site Habitat Baseline'!$D$1:$O$258,7,FALSE)),"",(VLOOKUP($E132,'D-1 Off Site Habitat Baseline'!$D$1:$O$258,7,FALSE))))</f>
        <v/>
      </c>
      <c r="J132" s="520" t="str">
        <f>IF(E132="","",IF(ISNA(VLOOKUP($E132,'D-1 Off Site Habitat Baseline'!$D$1:$O$258,8,FALSE)),"",(VLOOKUP($E132,'D-1 Off Site Habitat Baseline'!$D$1:$O$258,8,FALSE))))</f>
        <v/>
      </c>
      <c r="K132" s="520" t="str">
        <f>IF(E132="","",IF(ISNA(VLOOKUP($E132,'D-1 Off Site Habitat Baseline'!$D$1:$O$258,9,FALSE)),"",(VLOOKUP($E132,'D-1 Off Site Habitat Baseline'!$D$1:$O$258,9,FALSE))))</f>
        <v/>
      </c>
      <c r="L132" s="520" t="str">
        <f>IF(E132="","",IF(ISNA(VLOOKUP($E132,'D-1 Off Site Habitat Baseline'!$D$1:$O$258,11,FALSE)),"",(VLOOKUP($E132,'D-1 Off Site Habitat Baseline'!$D$1:$O$258,11,FALSE))))</f>
        <v/>
      </c>
      <c r="M132" s="520" t="str">
        <f>IF(E132="","",IF(ISNA(VLOOKUP($E132,'D-1 Off Site Habitat Baseline'!$D$1:$O$258,12,FALSE)),"",(VLOOKUP($E132,'D-1 Off Site Habitat Baseline'!$D$1:$O$258,12,FALSE))))</f>
        <v/>
      </c>
      <c r="N132" s="520" t="str">
        <f>IF(E132="","",IF(ISNA(VLOOKUP($E132,'D-1 Off Site Habitat Baseline'!$D$1:$X$258,14,FALSE)),"",(VLOOKUP($E132,'D-1 Off Site Habitat Baseline'!$D$1:$X$258,14,FALSE))))</f>
        <v/>
      </c>
      <c r="O132" s="524" t="str">
        <f>IF(E132="","",IF(ISNA(VLOOKUP($E132,'D-1 Off Site Habitat Baseline'!$D$1:$X$258,13,FALSE)),"",(VLOOKUP($E132,'D-1 Off Site Habitat Baseline'!$D$1:$X$258,13,FALSE))))</f>
        <v/>
      </c>
      <c r="P132" s="232" t="str">
        <f>IFERROR(INDEX('G-1 All Habitats'!$AG$3:$AG$15,MATCH(Q132,'G-1 All Habitats'!$AF$3:$AF$15,0)),"")</f>
        <v/>
      </c>
      <c r="Q132" s="228" t="str">
        <f t="shared" si="23"/>
        <v/>
      </c>
      <c r="R132" s="229" t="str">
        <f t="shared" si="24"/>
        <v/>
      </c>
      <c r="S132" s="233" t="str">
        <f>IFERROR(INDEX('G-1 All Habitats'!$B$3:$B$129,MATCH(R132,'G-1 All Habitats'!$A$3:$A$129,0)),"")</f>
        <v/>
      </c>
      <c r="T132" s="507" t="str">
        <f t="shared" si="16"/>
        <v/>
      </c>
      <c r="U132" s="524" t="str">
        <f t="shared" si="17"/>
        <v/>
      </c>
      <c r="V132" s="523" t="str">
        <f t="shared" si="14"/>
        <v/>
      </c>
      <c r="W132" s="520" t="str">
        <f>IF(S132="","",VLOOKUP(S132,'G-1 All Habitats'!$B$2:$M$129,10,FALSE))</f>
        <v/>
      </c>
      <c r="X132" s="520" t="str">
        <f>IFERROR(VLOOKUP(W132,'G-1 All Habitats'!$V$3:$W$7,2,FALSE),"")</f>
        <v/>
      </c>
      <c r="Y132" s="203"/>
      <c r="Z132" s="524" t="str">
        <f>IFERROR(INDEX('G-8 Condition Look up'!$A$3:$H$130,MATCH(S132,'G-8 Condition Look up'!$A$3:$A$130,0),MATCH(Y132,'G-8 Condition Look up'!$A$3:$H$3,0)),"")</f>
        <v/>
      </c>
      <c r="AA132" s="145"/>
      <c r="AB132" s="540" t="str">
        <f>IF(AA132="","",IF(VLOOKUP(AA132,'G-3 Multipliers'!$L$3:$N$6,2,FALSE)=0,"Spatial Data Missing ⚠",VLOOKUP(AA132,'G-3 Multipliers'!$L$3:$N$6,2,FALSE)))</f>
        <v/>
      </c>
      <c r="AC132" s="524" t="str">
        <f>IF(AA132="","",IF(VLOOKUP(AA132,'G-3 Multipliers'!$L$3:$N$6,3,FALSE)=0,"Spatial Data Missing ⚠",VLOOKUP(AA132,'G-3 Multipliers'!$L$3:$N$6,3,FALSE)))</f>
        <v/>
      </c>
      <c r="AD132" s="537" t="str">
        <f t="shared" si="15"/>
        <v/>
      </c>
      <c r="AE132" s="203"/>
      <c r="AF132" s="203"/>
      <c r="AG132" s="520" t="str">
        <f t="shared" si="18"/>
        <v/>
      </c>
      <c r="AH132" s="544" t="str">
        <f t="shared" si="19"/>
        <v/>
      </c>
      <c r="AI132" s="525" t="str">
        <f>IF(AH132="Check Data ⚠","Check Data ⚠",IFERROR(VLOOKUP(AH132,'G-4 Temporal multipliers'!$A$4:$C$36,3,FALSE),""))</f>
        <v/>
      </c>
      <c r="AJ132" s="537" t="str">
        <f>IF(S132="","",VLOOKUP(S132,'G-3 Multipliers'!$A$2:$E$129,4,FALSE))</f>
        <v/>
      </c>
      <c r="AK132" s="520" t="str">
        <f t="shared" si="20"/>
        <v/>
      </c>
      <c r="AL132" s="520" t="str">
        <f t="shared" si="21"/>
        <v/>
      </c>
      <c r="AM132" s="524" t="str">
        <f>IFERROR(IF(F132="","",IF(AH132="Check Data ⚠","Check Data ⚠",VLOOKUP(AL132, 'G-3 Multipliers'!$P$2:$Q$6,2,FALSE))),"")</f>
        <v/>
      </c>
      <c r="AN132" s="197"/>
      <c r="AO132" s="540" t="str">
        <f>IF(AN132="","",IF(VLOOKUP(AN132,'G-3 Multipliers'!$S$3:$T$9,2,FALSE)=0,"Spatial Data Missing ⚠",VLOOKUP(AN132,'G-3 Multipliers'!$S$3:$T$9,2,FALSE)))</f>
        <v/>
      </c>
      <c r="AP132" s="513" t="str">
        <f t="shared" si="22"/>
        <v/>
      </c>
      <c r="AQ132" s="231"/>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7" t="str">
        <f>'D-1 Off Site Habitat Baseline'!AL132</f>
        <v/>
      </c>
      <c r="F133" s="520" t="str">
        <f>IF(E133="","",IF(ISNA(VLOOKUP($E133,'D-1 Off Site Habitat Baseline'!$D$1:$O$258,4,FALSE)),"",(VLOOKUP($E133,'D-1 Off Site Habitat Baseline'!$D$1:$O$258,4,FALSE))))</f>
        <v/>
      </c>
      <c r="G133" s="520" t="str">
        <f>IF(E133="","",IF(ISNA(VLOOKUP($E133,'D-1 Off Site Habitat Baseline'!$D$1:$O$258,5,FALSE)),"",(VLOOKUP($E133,'D-1 Off Site Habitat Baseline'!$D$1:$O$258,5,FALSE))))</f>
        <v/>
      </c>
      <c r="H133" s="520" t="str">
        <f>IF(E133="","",IF(ISNA(VLOOKUP($E133,'D-1 Off Site Habitat Baseline'!$D$1:$O$258,6,FALSE)),"",(VLOOKUP($E133,'D-1 Off Site Habitat Baseline'!$D$1:$O$258,6,FALSE))))</f>
        <v/>
      </c>
      <c r="I133" s="520" t="str">
        <f>IF(E133="","",IF(ISNA(VLOOKUP($E133,'D-1 Off Site Habitat Baseline'!$D$1:$O$258,7,FALSE)),"",(VLOOKUP($E133,'D-1 Off Site Habitat Baseline'!$D$1:$O$258,7,FALSE))))</f>
        <v/>
      </c>
      <c r="J133" s="520" t="str">
        <f>IF(E133="","",IF(ISNA(VLOOKUP($E133,'D-1 Off Site Habitat Baseline'!$D$1:$O$258,8,FALSE)),"",(VLOOKUP($E133,'D-1 Off Site Habitat Baseline'!$D$1:$O$258,8,FALSE))))</f>
        <v/>
      </c>
      <c r="K133" s="520" t="str">
        <f>IF(E133="","",IF(ISNA(VLOOKUP($E133,'D-1 Off Site Habitat Baseline'!$D$1:$O$258,9,FALSE)),"",(VLOOKUP($E133,'D-1 Off Site Habitat Baseline'!$D$1:$O$258,9,FALSE))))</f>
        <v/>
      </c>
      <c r="L133" s="520" t="str">
        <f>IF(E133="","",IF(ISNA(VLOOKUP($E133,'D-1 Off Site Habitat Baseline'!$D$1:$O$258,11,FALSE)),"",(VLOOKUP($E133,'D-1 Off Site Habitat Baseline'!$D$1:$O$258,11,FALSE))))</f>
        <v/>
      </c>
      <c r="M133" s="520" t="str">
        <f>IF(E133="","",IF(ISNA(VLOOKUP($E133,'D-1 Off Site Habitat Baseline'!$D$1:$O$258,12,FALSE)),"",(VLOOKUP($E133,'D-1 Off Site Habitat Baseline'!$D$1:$O$258,12,FALSE))))</f>
        <v/>
      </c>
      <c r="N133" s="520" t="str">
        <f>IF(E133="","",IF(ISNA(VLOOKUP($E133,'D-1 Off Site Habitat Baseline'!$D$1:$X$258,14,FALSE)),"",(VLOOKUP($E133,'D-1 Off Site Habitat Baseline'!$D$1:$X$258,14,FALSE))))</f>
        <v/>
      </c>
      <c r="O133" s="524" t="str">
        <f>IF(E133="","",IF(ISNA(VLOOKUP($E133,'D-1 Off Site Habitat Baseline'!$D$1:$X$258,13,FALSE)),"",(VLOOKUP($E133,'D-1 Off Site Habitat Baseline'!$D$1:$X$258,13,FALSE))))</f>
        <v/>
      </c>
      <c r="P133" s="232" t="str">
        <f>IFERROR(INDEX('G-1 All Habitats'!$AG$3:$AG$15,MATCH(Q133,'G-1 All Habitats'!$AF$3:$AF$15,0)),"")</f>
        <v/>
      </c>
      <c r="Q133" s="228" t="str">
        <f t="shared" si="23"/>
        <v/>
      </c>
      <c r="R133" s="229" t="str">
        <f t="shared" si="24"/>
        <v/>
      </c>
      <c r="S133" s="233" t="str">
        <f>IFERROR(INDEX('G-1 All Habitats'!$B$3:$B$129,MATCH(R133,'G-1 All Habitats'!$A$3:$A$129,0)),"")</f>
        <v/>
      </c>
      <c r="T133" s="507" t="str">
        <f t="shared" si="16"/>
        <v/>
      </c>
      <c r="U133" s="524" t="str">
        <f t="shared" si="17"/>
        <v/>
      </c>
      <c r="V133" s="523" t="str">
        <f t="shared" si="14"/>
        <v/>
      </c>
      <c r="W133" s="520" t="str">
        <f>IF(S133="","",VLOOKUP(S133,'G-1 All Habitats'!$B$2:$M$129,10,FALSE))</f>
        <v/>
      </c>
      <c r="X133" s="520" t="str">
        <f>IFERROR(VLOOKUP(W133,'G-1 All Habitats'!$V$3:$W$7,2,FALSE),"")</f>
        <v/>
      </c>
      <c r="Y133" s="203"/>
      <c r="Z133" s="524" t="str">
        <f>IFERROR(INDEX('G-8 Condition Look up'!$A$3:$H$130,MATCH(S133,'G-8 Condition Look up'!$A$3:$A$130,0),MATCH(Y133,'G-8 Condition Look up'!$A$3:$H$3,0)),"")</f>
        <v/>
      </c>
      <c r="AA133" s="145"/>
      <c r="AB133" s="540" t="str">
        <f>IF(AA133="","",IF(VLOOKUP(AA133,'G-3 Multipliers'!$L$3:$N$6,2,FALSE)=0,"Spatial Data Missing ⚠",VLOOKUP(AA133,'G-3 Multipliers'!$L$3:$N$6,2,FALSE)))</f>
        <v/>
      </c>
      <c r="AC133" s="524" t="str">
        <f>IF(AA133="","",IF(VLOOKUP(AA133,'G-3 Multipliers'!$L$3:$N$6,3,FALSE)=0,"Spatial Data Missing ⚠",VLOOKUP(AA133,'G-3 Multipliers'!$L$3:$N$6,3,FALSE)))</f>
        <v/>
      </c>
      <c r="AD133" s="537" t="str">
        <f t="shared" si="15"/>
        <v/>
      </c>
      <c r="AE133" s="203"/>
      <c r="AF133" s="203"/>
      <c r="AG133" s="520" t="str">
        <f t="shared" si="18"/>
        <v/>
      </c>
      <c r="AH133" s="544" t="str">
        <f t="shared" si="19"/>
        <v/>
      </c>
      <c r="AI133" s="525" t="str">
        <f>IF(AH133="Check Data ⚠","Check Data ⚠",IFERROR(VLOOKUP(AH133,'G-4 Temporal multipliers'!$A$4:$C$36,3,FALSE),""))</f>
        <v/>
      </c>
      <c r="AJ133" s="537" t="str">
        <f>IF(S133="","",VLOOKUP(S133,'G-3 Multipliers'!$A$2:$E$129,4,FALSE))</f>
        <v/>
      </c>
      <c r="AK133" s="520" t="str">
        <f t="shared" si="20"/>
        <v/>
      </c>
      <c r="AL133" s="520" t="str">
        <f t="shared" si="21"/>
        <v/>
      </c>
      <c r="AM133" s="524" t="str">
        <f>IFERROR(IF(F133="","",IF(AH133="Check Data ⚠","Check Data ⚠",VLOOKUP(AL133, 'G-3 Multipliers'!$P$2:$Q$6,2,FALSE))),"")</f>
        <v/>
      </c>
      <c r="AN133" s="197"/>
      <c r="AO133" s="540" t="str">
        <f>IF(AN133="","",IF(VLOOKUP(AN133,'G-3 Multipliers'!$S$3:$T$9,2,FALSE)=0,"Spatial Data Missing ⚠",VLOOKUP(AN133,'G-3 Multipliers'!$S$3:$T$9,2,FALSE)))</f>
        <v/>
      </c>
      <c r="AP133" s="513" t="str">
        <f t="shared" si="22"/>
        <v/>
      </c>
      <c r="AQ133" s="231"/>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7" t="str">
        <f>'D-1 Off Site Habitat Baseline'!AL133</f>
        <v/>
      </c>
      <c r="F134" s="520" t="str">
        <f>IF(E134="","",IF(ISNA(VLOOKUP($E134,'D-1 Off Site Habitat Baseline'!$D$1:$O$258,4,FALSE)),"",(VLOOKUP($E134,'D-1 Off Site Habitat Baseline'!$D$1:$O$258,4,FALSE))))</f>
        <v/>
      </c>
      <c r="G134" s="520" t="str">
        <f>IF(E134="","",IF(ISNA(VLOOKUP($E134,'D-1 Off Site Habitat Baseline'!$D$1:$O$258,5,FALSE)),"",(VLOOKUP($E134,'D-1 Off Site Habitat Baseline'!$D$1:$O$258,5,FALSE))))</f>
        <v/>
      </c>
      <c r="H134" s="520" t="str">
        <f>IF(E134="","",IF(ISNA(VLOOKUP($E134,'D-1 Off Site Habitat Baseline'!$D$1:$O$258,6,FALSE)),"",(VLOOKUP($E134,'D-1 Off Site Habitat Baseline'!$D$1:$O$258,6,FALSE))))</f>
        <v/>
      </c>
      <c r="I134" s="520" t="str">
        <f>IF(E134="","",IF(ISNA(VLOOKUP($E134,'D-1 Off Site Habitat Baseline'!$D$1:$O$258,7,FALSE)),"",(VLOOKUP($E134,'D-1 Off Site Habitat Baseline'!$D$1:$O$258,7,FALSE))))</f>
        <v/>
      </c>
      <c r="J134" s="520" t="str">
        <f>IF(E134="","",IF(ISNA(VLOOKUP($E134,'D-1 Off Site Habitat Baseline'!$D$1:$O$258,8,FALSE)),"",(VLOOKUP($E134,'D-1 Off Site Habitat Baseline'!$D$1:$O$258,8,FALSE))))</f>
        <v/>
      </c>
      <c r="K134" s="520" t="str">
        <f>IF(E134="","",IF(ISNA(VLOOKUP($E134,'D-1 Off Site Habitat Baseline'!$D$1:$O$258,9,FALSE)),"",(VLOOKUP($E134,'D-1 Off Site Habitat Baseline'!$D$1:$O$258,9,FALSE))))</f>
        <v/>
      </c>
      <c r="L134" s="520" t="str">
        <f>IF(E134="","",IF(ISNA(VLOOKUP($E134,'D-1 Off Site Habitat Baseline'!$D$1:$O$258,11,FALSE)),"",(VLOOKUP($E134,'D-1 Off Site Habitat Baseline'!$D$1:$O$258,11,FALSE))))</f>
        <v/>
      </c>
      <c r="M134" s="520" t="str">
        <f>IF(E134="","",IF(ISNA(VLOOKUP($E134,'D-1 Off Site Habitat Baseline'!$D$1:$O$258,12,FALSE)),"",(VLOOKUP($E134,'D-1 Off Site Habitat Baseline'!$D$1:$O$258,12,FALSE))))</f>
        <v/>
      </c>
      <c r="N134" s="520" t="str">
        <f>IF(E134="","",IF(ISNA(VLOOKUP($E134,'D-1 Off Site Habitat Baseline'!$D$1:$X$258,14,FALSE)),"",(VLOOKUP($E134,'D-1 Off Site Habitat Baseline'!$D$1:$X$258,14,FALSE))))</f>
        <v/>
      </c>
      <c r="O134" s="524" t="str">
        <f>IF(E134="","",IF(ISNA(VLOOKUP($E134,'D-1 Off Site Habitat Baseline'!$D$1:$X$258,13,FALSE)),"",(VLOOKUP($E134,'D-1 Off Site Habitat Baseline'!$D$1:$X$258,13,FALSE))))</f>
        <v/>
      </c>
      <c r="P134" s="232" t="str">
        <f>IFERROR(INDEX('G-1 All Habitats'!$AG$3:$AG$15,MATCH(Q134,'G-1 All Habitats'!$AF$3:$AF$15,0)),"")</f>
        <v/>
      </c>
      <c r="Q134" s="228" t="str">
        <f t="shared" si="23"/>
        <v/>
      </c>
      <c r="R134" s="229" t="str">
        <f t="shared" si="24"/>
        <v/>
      </c>
      <c r="S134" s="233" t="str">
        <f>IFERROR(INDEX('G-1 All Habitats'!$B$3:$B$129,MATCH(R134,'G-1 All Habitats'!$A$3:$A$129,0)),"")</f>
        <v/>
      </c>
      <c r="T134" s="507" t="str">
        <f t="shared" si="16"/>
        <v/>
      </c>
      <c r="U134" s="524" t="str">
        <f t="shared" si="17"/>
        <v/>
      </c>
      <c r="V134" s="523" t="str">
        <f t="shared" si="14"/>
        <v/>
      </c>
      <c r="W134" s="520" t="str">
        <f>IF(S134="","",VLOOKUP(S134,'G-1 All Habitats'!$B$2:$M$129,10,FALSE))</f>
        <v/>
      </c>
      <c r="X134" s="520" t="str">
        <f>IFERROR(VLOOKUP(W134,'G-1 All Habitats'!$V$3:$W$7,2,FALSE),"")</f>
        <v/>
      </c>
      <c r="Y134" s="203"/>
      <c r="Z134" s="524" t="str">
        <f>IFERROR(INDEX('G-8 Condition Look up'!$A$3:$H$130,MATCH(S134,'G-8 Condition Look up'!$A$3:$A$130,0),MATCH(Y134,'G-8 Condition Look up'!$A$3:$H$3,0)),"")</f>
        <v/>
      </c>
      <c r="AA134" s="145"/>
      <c r="AB134" s="540" t="str">
        <f>IF(AA134="","",IF(VLOOKUP(AA134,'G-3 Multipliers'!$L$3:$N$6,2,FALSE)=0,"Spatial Data Missing ⚠",VLOOKUP(AA134,'G-3 Multipliers'!$L$3:$N$6,2,FALSE)))</f>
        <v/>
      </c>
      <c r="AC134" s="524" t="str">
        <f>IF(AA134="","",IF(VLOOKUP(AA134,'G-3 Multipliers'!$L$3:$N$6,3,FALSE)=0,"Spatial Data Missing ⚠",VLOOKUP(AA134,'G-3 Multipliers'!$L$3:$N$6,3,FALSE)))</f>
        <v/>
      </c>
      <c r="AD134" s="537" t="str">
        <f t="shared" si="15"/>
        <v/>
      </c>
      <c r="AE134" s="203"/>
      <c r="AF134" s="203"/>
      <c r="AG134" s="520" t="str">
        <f t="shared" si="18"/>
        <v/>
      </c>
      <c r="AH134" s="544" t="str">
        <f t="shared" si="19"/>
        <v/>
      </c>
      <c r="AI134" s="525" t="str">
        <f>IF(AH134="Check Data ⚠","Check Data ⚠",IFERROR(VLOOKUP(AH134,'G-4 Temporal multipliers'!$A$4:$C$36,3,FALSE),""))</f>
        <v/>
      </c>
      <c r="AJ134" s="537" t="str">
        <f>IF(S134="","",VLOOKUP(S134,'G-3 Multipliers'!$A$2:$E$129,4,FALSE))</f>
        <v/>
      </c>
      <c r="AK134" s="520" t="str">
        <f t="shared" si="20"/>
        <v/>
      </c>
      <c r="AL134" s="520" t="str">
        <f t="shared" si="21"/>
        <v/>
      </c>
      <c r="AM134" s="524" t="str">
        <f>IFERROR(IF(F134="","",IF(AH134="Check Data ⚠","Check Data ⚠",VLOOKUP(AL134, 'G-3 Multipliers'!$P$2:$Q$6,2,FALSE))),"")</f>
        <v/>
      </c>
      <c r="AN134" s="197"/>
      <c r="AO134" s="540" t="str">
        <f>IF(AN134="","",IF(VLOOKUP(AN134,'G-3 Multipliers'!$S$3:$T$9,2,FALSE)=0,"Spatial Data Missing ⚠",VLOOKUP(AN134,'G-3 Multipliers'!$S$3:$T$9,2,FALSE)))</f>
        <v/>
      </c>
      <c r="AP134" s="513" t="str">
        <f t="shared" si="22"/>
        <v/>
      </c>
      <c r="AQ134" s="231"/>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7" t="str">
        <f>'D-1 Off Site Habitat Baseline'!AL134</f>
        <v/>
      </c>
      <c r="F135" s="520" t="str">
        <f>IF(E135="","",IF(ISNA(VLOOKUP($E135,'D-1 Off Site Habitat Baseline'!$D$1:$O$258,4,FALSE)),"",(VLOOKUP($E135,'D-1 Off Site Habitat Baseline'!$D$1:$O$258,4,FALSE))))</f>
        <v/>
      </c>
      <c r="G135" s="520" t="str">
        <f>IF(E135="","",IF(ISNA(VLOOKUP($E135,'D-1 Off Site Habitat Baseline'!$D$1:$O$258,5,FALSE)),"",(VLOOKUP($E135,'D-1 Off Site Habitat Baseline'!$D$1:$O$258,5,FALSE))))</f>
        <v/>
      </c>
      <c r="H135" s="520" t="str">
        <f>IF(E135="","",IF(ISNA(VLOOKUP($E135,'D-1 Off Site Habitat Baseline'!$D$1:$O$258,6,FALSE)),"",(VLOOKUP($E135,'D-1 Off Site Habitat Baseline'!$D$1:$O$258,6,FALSE))))</f>
        <v/>
      </c>
      <c r="I135" s="520" t="str">
        <f>IF(E135="","",IF(ISNA(VLOOKUP($E135,'D-1 Off Site Habitat Baseline'!$D$1:$O$258,7,FALSE)),"",(VLOOKUP($E135,'D-1 Off Site Habitat Baseline'!$D$1:$O$258,7,FALSE))))</f>
        <v/>
      </c>
      <c r="J135" s="520" t="str">
        <f>IF(E135="","",IF(ISNA(VLOOKUP($E135,'D-1 Off Site Habitat Baseline'!$D$1:$O$258,8,FALSE)),"",(VLOOKUP($E135,'D-1 Off Site Habitat Baseline'!$D$1:$O$258,8,FALSE))))</f>
        <v/>
      </c>
      <c r="K135" s="520" t="str">
        <f>IF(E135="","",IF(ISNA(VLOOKUP($E135,'D-1 Off Site Habitat Baseline'!$D$1:$O$258,9,FALSE)),"",(VLOOKUP($E135,'D-1 Off Site Habitat Baseline'!$D$1:$O$258,9,FALSE))))</f>
        <v/>
      </c>
      <c r="L135" s="520" t="str">
        <f>IF(E135="","",IF(ISNA(VLOOKUP($E135,'D-1 Off Site Habitat Baseline'!$D$1:$O$258,11,FALSE)),"",(VLOOKUP($E135,'D-1 Off Site Habitat Baseline'!$D$1:$O$258,11,FALSE))))</f>
        <v/>
      </c>
      <c r="M135" s="520" t="str">
        <f>IF(E135="","",IF(ISNA(VLOOKUP($E135,'D-1 Off Site Habitat Baseline'!$D$1:$O$258,12,FALSE)),"",(VLOOKUP($E135,'D-1 Off Site Habitat Baseline'!$D$1:$O$258,12,FALSE))))</f>
        <v/>
      </c>
      <c r="N135" s="520" t="str">
        <f>IF(E135="","",IF(ISNA(VLOOKUP($E135,'D-1 Off Site Habitat Baseline'!$D$1:$X$258,14,FALSE)),"",(VLOOKUP($E135,'D-1 Off Site Habitat Baseline'!$D$1:$X$258,14,FALSE))))</f>
        <v/>
      </c>
      <c r="O135" s="524" t="str">
        <f>IF(E135="","",IF(ISNA(VLOOKUP($E135,'D-1 Off Site Habitat Baseline'!$D$1:$X$258,13,FALSE)),"",(VLOOKUP($E135,'D-1 Off Site Habitat Baseline'!$D$1:$X$258,13,FALSE))))</f>
        <v/>
      </c>
      <c r="P135" s="232" t="str">
        <f>IFERROR(INDEX('G-1 All Habitats'!$AG$3:$AG$15,MATCH(Q135,'G-1 All Habitats'!$AF$3:$AF$15,0)),"")</f>
        <v/>
      </c>
      <c r="Q135" s="228" t="str">
        <f t="shared" si="23"/>
        <v/>
      </c>
      <c r="R135" s="229" t="str">
        <f t="shared" si="24"/>
        <v/>
      </c>
      <c r="S135" s="233" t="str">
        <f>IFERROR(INDEX('G-1 All Habitats'!$B$3:$B$129,MATCH(R135,'G-1 All Habitats'!$A$3:$A$129,0)),"")</f>
        <v/>
      </c>
      <c r="T135" s="507" t="str">
        <f t="shared" si="16"/>
        <v/>
      </c>
      <c r="U135" s="524" t="str">
        <f t="shared" si="17"/>
        <v/>
      </c>
      <c r="V135" s="523" t="str">
        <f t="shared" si="14"/>
        <v/>
      </c>
      <c r="W135" s="520" t="str">
        <f>IF(S135="","",VLOOKUP(S135,'G-1 All Habitats'!$B$2:$M$129,10,FALSE))</f>
        <v/>
      </c>
      <c r="X135" s="520" t="str">
        <f>IFERROR(VLOOKUP(W135,'G-1 All Habitats'!$V$3:$W$7,2,FALSE),"")</f>
        <v/>
      </c>
      <c r="Y135" s="203"/>
      <c r="Z135" s="524" t="str">
        <f>IFERROR(INDEX('G-8 Condition Look up'!$A$3:$H$130,MATCH(S135,'G-8 Condition Look up'!$A$3:$A$130,0),MATCH(Y135,'G-8 Condition Look up'!$A$3:$H$3,0)),"")</f>
        <v/>
      </c>
      <c r="AA135" s="145"/>
      <c r="AB135" s="540" t="str">
        <f>IF(AA135="","",IF(VLOOKUP(AA135,'G-3 Multipliers'!$L$3:$N$6,2,FALSE)=0,"Spatial Data Missing ⚠",VLOOKUP(AA135,'G-3 Multipliers'!$L$3:$N$6,2,FALSE)))</f>
        <v/>
      </c>
      <c r="AC135" s="524" t="str">
        <f>IF(AA135="","",IF(VLOOKUP(AA135,'G-3 Multipliers'!$L$3:$N$6,3,FALSE)=0,"Spatial Data Missing ⚠",VLOOKUP(AA135,'G-3 Multipliers'!$L$3:$N$6,3,FALSE)))</f>
        <v/>
      </c>
      <c r="AD135" s="537" t="str">
        <f t="shared" si="15"/>
        <v/>
      </c>
      <c r="AE135" s="203"/>
      <c r="AF135" s="203"/>
      <c r="AG135" s="520" t="str">
        <f t="shared" si="18"/>
        <v/>
      </c>
      <c r="AH135" s="544" t="str">
        <f t="shared" si="19"/>
        <v/>
      </c>
      <c r="AI135" s="525" t="str">
        <f>IF(AH135="Check Data ⚠","Check Data ⚠",IFERROR(VLOOKUP(AH135,'G-4 Temporal multipliers'!$A$4:$C$36,3,FALSE),""))</f>
        <v/>
      </c>
      <c r="AJ135" s="537" t="str">
        <f>IF(S135="","",VLOOKUP(S135,'G-3 Multipliers'!$A$2:$E$129,4,FALSE))</f>
        <v/>
      </c>
      <c r="AK135" s="520" t="str">
        <f t="shared" si="20"/>
        <v/>
      </c>
      <c r="AL135" s="520" t="str">
        <f t="shared" si="21"/>
        <v/>
      </c>
      <c r="AM135" s="524" t="str">
        <f>IFERROR(IF(F135="","",IF(AH135="Check Data ⚠","Check Data ⚠",VLOOKUP(AL135, 'G-3 Multipliers'!$P$2:$Q$6,2,FALSE))),"")</f>
        <v/>
      </c>
      <c r="AN135" s="197"/>
      <c r="AO135" s="540" t="str">
        <f>IF(AN135="","",IF(VLOOKUP(AN135,'G-3 Multipliers'!$S$3:$T$9,2,FALSE)=0,"Spatial Data Missing ⚠",VLOOKUP(AN135,'G-3 Multipliers'!$S$3:$T$9,2,FALSE)))</f>
        <v/>
      </c>
      <c r="AP135" s="513" t="str">
        <f t="shared" si="22"/>
        <v/>
      </c>
      <c r="AQ135" s="231"/>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7" t="str">
        <f>'D-1 Off Site Habitat Baseline'!AL135</f>
        <v/>
      </c>
      <c r="F136" s="520" t="str">
        <f>IF(E136="","",IF(ISNA(VLOOKUP($E136,'D-1 Off Site Habitat Baseline'!$D$1:$O$258,4,FALSE)),"",(VLOOKUP($E136,'D-1 Off Site Habitat Baseline'!$D$1:$O$258,4,FALSE))))</f>
        <v/>
      </c>
      <c r="G136" s="520" t="str">
        <f>IF(E136="","",IF(ISNA(VLOOKUP($E136,'D-1 Off Site Habitat Baseline'!$D$1:$O$258,5,FALSE)),"",(VLOOKUP($E136,'D-1 Off Site Habitat Baseline'!$D$1:$O$258,5,FALSE))))</f>
        <v/>
      </c>
      <c r="H136" s="520" t="str">
        <f>IF(E136="","",IF(ISNA(VLOOKUP($E136,'D-1 Off Site Habitat Baseline'!$D$1:$O$258,6,FALSE)),"",(VLOOKUP($E136,'D-1 Off Site Habitat Baseline'!$D$1:$O$258,6,FALSE))))</f>
        <v/>
      </c>
      <c r="I136" s="520" t="str">
        <f>IF(E136="","",IF(ISNA(VLOOKUP($E136,'D-1 Off Site Habitat Baseline'!$D$1:$O$258,7,FALSE)),"",(VLOOKUP($E136,'D-1 Off Site Habitat Baseline'!$D$1:$O$258,7,FALSE))))</f>
        <v/>
      </c>
      <c r="J136" s="520" t="str">
        <f>IF(E136="","",IF(ISNA(VLOOKUP($E136,'D-1 Off Site Habitat Baseline'!$D$1:$O$258,8,FALSE)),"",(VLOOKUP($E136,'D-1 Off Site Habitat Baseline'!$D$1:$O$258,8,FALSE))))</f>
        <v/>
      </c>
      <c r="K136" s="520" t="str">
        <f>IF(E136="","",IF(ISNA(VLOOKUP($E136,'D-1 Off Site Habitat Baseline'!$D$1:$O$258,9,FALSE)),"",(VLOOKUP($E136,'D-1 Off Site Habitat Baseline'!$D$1:$O$258,9,FALSE))))</f>
        <v/>
      </c>
      <c r="L136" s="520" t="str">
        <f>IF(E136="","",IF(ISNA(VLOOKUP($E136,'D-1 Off Site Habitat Baseline'!$D$1:$O$258,11,FALSE)),"",(VLOOKUP($E136,'D-1 Off Site Habitat Baseline'!$D$1:$O$258,11,FALSE))))</f>
        <v/>
      </c>
      <c r="M136" s="520" t="str">
        <f>IF(E136="","",IF(ISNA(VLOOKUP($E136,'D-1 Off Site Habitat Baseline'!$D$1:$O$258,12,FALSE)),"",(VLOOKUP($E136,'D-1 Off Site Habitat Baseline'!$D$1:$O$258,12,FALSE))))</f>
        <v/>
      </c>
      <c r="N136" s="520" t="str">
        <f>IF(E136="","",IF(ISNA(VLOOKUP($E136,'D-1 Off Site Habitat Baseline'!$D$1:$X$258,14,FALSE)),"",(VLOOKUP($E136,'D-1 Off Site Habitat Baseline'!$D$1:$X$258,14,FALSE))))</f>
        <v/>
      </c>
      <c r="O136" s="524" t="str">
        <f>IF(E136="","",IF(ISNA(VLOOKUP($E136,'D-1 Off Site Habitat Baseline'!$D$1:$X$258,13,FALSE)),"",(VLOOKUP($E136,'D-1 Off Site Habitat Baseline'!$D$1:$X$258,13,FALSE))))</f>
        <v/>
      </c>
      <c r="P136" s="232" t="str">
        <f>IFERROR(INDEX('G-1 All Habitats'!$AG$3:$AG$15,MATCH(Q136,'G-1 All Habitats'!$AF$3:$AF$15,0)),"")</f>
        <v/>
      </c>
      <c r="Q136" s="228" t="str">
        <f t="shared" si="23"/>
        <v/>
      </c>
      <c r="R136" s="229" t="str">
        <f t="shared" si="24"/>
        <v/>
      </c>
      <c r="S136" s="233" t="str">
        <f>IFERROR(INDEX('G-1 All Habitats'!$B$3:$B$129,MATCH(R136,'G-1 All Habitats'!$A$3:$A$129,0)),"")</f>
        <v/>
      </c>
      <c r="T136" s="507" t="str">
        <f t="shared" si="16"/>
        <v/>
      </c>
      <c r="U136" s="524" t="str">
        <f t="shared" si="17"/>
        <v/>
      </c>
      <c r="V136" s="523" t="str">
        <f t="shared" si="14"/>
        <v/>
      </c>
      <c r="W136" s="520" t="str">
        <f>IF(S136="","",VLOOKUP(S136,'G-1 All Habitats'!$B$2:$M$129,10,FALSE))</f>
        <v/>
      </c>
      <c r="X136" s="520" t="str">
        <f>IFERROR(VLOOKUP(W136,'G-1 All Habitats'!$V$3:$W$7,2,FALSE),"")</f>
        <v/>
      </c>
      <c r="Y136" s="203"/>
      <c r="Z136" s="524" t="str">
        <f>IFERROR(INDEX('G-8 Condition Look up'!$A$3:$H$130,MATCH(S136,'G-8 Condition Look up'!$A$3:$A$130,0),MATCH(Y136,'G-8 Condition Look up'!$A$3:$H$3,0)),"")</f>
        <v/>
      </c>
      <c r="AA136" s="145"/>
      <c r="AB136" s="540" t="str">
        <f>IF(AA136="","",IF(VLOOKUP(AA136,'G-3 Multipliers'!$L$3:$N$6,2,FALSE)=0,"Spatial Data Missing ⚠",VLOOKUP(AA136,'G-3 Multipliers'!$L$3:$N$6,2,FALSE)))</f>
        <v/>
      </c>
      <c r="AC136" s="524" t="str">
        <f>IF(AA136="","",IF(VLOOKUP(AA136,'G-3 Multipliers'!$L$3:$N$6,3,FALSE)=0,"Spatial Data Missing ⚠",VLOOKUP(AA136,'G-3 Multipliers'!$L$3:$N$6,3,FALSE)))</f>
        <v/>
      </c>
      <c r="AD136" s="537" t="str">
        <f t="shared" si="15"/>
        <v/>
      </c>
      <c r="AE136" s="203"/>
      <c r="AF136" s="203"/>
      <c r="AG136" s="520" t="str">
        <f t="shared" si="18"/>
        <v/>
      </c>
      <c r="AH136" s="544" t="str">
        <f t="shared" si="19"/>
        <v/>
      </c>
      <c r="AI136" s="525" t="str">
        <f>IF(AH136="Check Data ⚠","Check Data ⚠",IFERROR(VLOOKUP(AH136,'G-4 Temporal multipliers'!$A$4:$C$36,3,FALSE),""))</f>
        <v/>
      </c>
      <c r="AJ136" s="537" t="str">
        <f>IF(S136="","",VLOOKUP(S136,'G-3 Multipliers'!$A$2:$E$129,4,FALSE))</f>
        <v/>
      </c>
      <c r="AK136" s="520" t="str">
        <f t="shared" si="20"/>
        <v/>
      </c>
      <c r="AL136" s="520" t="str">
        <f t="shared" si="21"/>
        <v/>
      </c>
      <c r="AM136" s="524" t="str">
        <f>IFERROR(IF(F136="","",IF(AH136="Check Data ⚠","Check Data ⚠",VLOOKUP(AL136, 'G-3 Multipliers'!$P$2:$Q$6,2,FALSE))),"")</f>
        <v/>
      </c>
      <c r="AN136" s="197"/>
      <c r="AO136" s="540" t="str">
        <f>IF(AN136="","",IF(VLOOKUP(AN136,'G-3 Multipliers'!$S$3:$T$9,2,FALSE)=0,"Spatial Data Missing ⚠",VLOOKUP(AN136,'G-3 Multipliers'!$S$3:$T$9,2,FALSE)))</f>
        <v/>
      </c>
      <c r="AP136" s="513" t="str">
        <f t="shared" si="22"/>
        <v/>
      </c>
      <c r="AQ136" s="231"/>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7" t="str">
        <f>'D-1 Off Site Habitat Baseline'!AL136</f>
        <v/>
      </c>
      <c r="F137" s="520" t="str">
        <f>IF(E137="","",IF(ISNA(VLOOKUP($E137,'D-1 Off Site Habitat Baseline'!$D$1:$O$258,4,FALSE)),"",(VLOOKUP($E137,'D-1 Off Site Habitat Baseline'!$D$1:$O$258,4,FALSE))))</f>
        <v/>
      </c>
      <c r="G137" s="520" t="str">
        <f>IF(E137="","",IF(ISNA(VLOOKUP($E137,'D-1 Off Site Habitat Baseline'!$D$1:$O$258,5,FALSE)),"",(VLOOKUP($E137,'D-1 Off Site Habitat Baseline'!$D$1:$O$258,5,FALSE))))</f>
        <v/>
      </c>
      <c r="H137" s="520" t="str">
        <f>IF(E137="","",IF(ISNA(VLOOKUP($E137,'D-1 Off Site Habitat Baseline'!$D$1:$O$258,6,FALSE)),"",(VLOOKUP($E137,'D-1 Off Site Habitat Baseline'!$D$1:$O$258,6,FALSE))))</f>
        <v/>
      </c>
      <c r="I137" s="520" t="str">
        <f>IF(E137="","",IF(ISNA(VLOOKUP($E137,'D-1 Off Site Habitat Baseline'!$D$1:$O$258,7,FALSE)),"",(VLOOKUP($E137,'D-1 Off Site Habitat Baseline'!$D$1:$O$258,7,FALSE))))</f>
        <v/>
      </c>
      <c r="J137" s="520" t="str">
        <f>IF(E137="","",IF(ISNA(VLOOKUP($E137,'D-1 Off Site Habitat Baseline'!$D$1:$O$258,8,FALSE)),"",(VLOOKUP($E137,'D-1 Off Site Habitat Baseline'!$D$1:$O$258,8,FALSE))))</f>
        <v/>
      </c>
      <c r="K137" s="520" t="str">
        <f>IF(E137="","",IF(ISNA(VLOOKUP($E137,'D-1 Off Site Habitat Baseline'!$D$1:$O$258,9,FALSE)),"",(VLOOKUP($E137,'D-1 Off Site Habitat Baseline'!$D$1:$O$258,9,FALSE))))</f>
        <v/>
      </c>
      <c r="L137" s="520" t="str">
        <f>IF(E137="","",IF(ISNA(VLOOKUP($E137,'D-1 Off Site Habitat Baseline'!$D$1:$O$258,11,FALSE)),"",(VLOOKUP($E137,'D-1 Off Site Habitat Baseline'!$D$1:$O$258,11,FALSE))))</f>
        <v/>
      </c>
      <c r="M137" s="520" t="str">
        <f>IF(E137="","",IF(ISNA(VLOOKUP($E137,'D-1 Off Site Habitat Baseline'!$D$1:$O$258,12,FALSE)),"",(VLOOKUP($E137,'D-1 Off Site Habitat Baseline'!$D$1:$O$258,12,FALSE))))</f>
        <v/>
      </c>
      <c r="N137" s="520" t="str">
        <f>IF(E137="","",IF(ISNA(VLOOKUP($E137,'D-1 Off Site Habitat Baseline'!$D$1:$X$258,14,FALSE)),"",(VLOOKUP($E137,'D-1 Off Site Habitat Baseline'!$D$1:$X$258,14,FALSE))))</f>
        <v/>
      </c>
      <c r="O137" s="524" t="str">
        <f>IF(E137="","",IF(ISNA(VLOOKUP($E137,'D-1 Off Site Habitat Baseline'!$D$1:$X$258,13,FALSE)),"",(VLOOKUP($E137,'D-1 Off Site Habitat Baseline'!$D$1:$X$258,13,FALSE))))</f>
        <v/>
      </c>
      <c r="P137" s="232" t="str">
        <f>IFERROR(INDEX('G-1 All Habitats'!$AG$3:$AG$15,MATCH(Q137,'G-1 All Habitats'!$AF$3:$AF$15,0)),"")</f>
        <v/>
      </c>
      <c r="Q137" s="228" t="str">
        <f t="shared" si="23"/>
        <v/>
      </c>
      <c r="R137" s="229" t="str">
        <f t="shared" si="24"/>
        <v/>
      </c>
      <c r="S137" s="233" t="str">
        <f>IFERROR(INDEX('G-1 All Habitats'!$B$3:$B$129,MATCH(R137,'G-1 All Habitats'!$A$3:$A$129,0)),"")</f>
        <v/>
      </c>
      <c r="T137" s="507" t="str">
        <f t="shared" si="16"/>
        <v/>
      </c>
      <c r="U137" s="524" t="str">
        <f t="shared" si="17"/>
        <v/>
      </c>
      <c r="V137" s="523" t="str">
        <f t="shared" si="14"/>
        <v/>
      </c>
      <c r="W137" s="520" t="str">
        <f>IF(S137="","",VLOOKUP(S137,'G-1 All Habitats'!$B$2:$M$129,10,FALSE))</f>
        <v/>
      </c>
      <c r="X137" s="520" t="str">
        <f>IFERROR(VLOOKUP(W137,'G-1 All Habitats'!$V$3:$W$7,2,FALSE),"")</f>
        <v/>
      </c>
      <c r="Y137" s="203"/>
      <c r="Z137" s="524" t="str">
        <f>IFERROR(INDEX('G-8 Condition Look up'!$A$3:$H$130,MATCH(S137,'G-8 Condition Look up'!$A$3:$A$130,0),MATCH(Y137,'G-8 Condition Look up'!$A$3:$H$3,0)),"")</f>
        <v/>
      </c>
      <c r="AA137" s="145"/>
      <c r="AB137" s="540" t="str">
        <f>IF(AA137="","",IF(VLOOKUP(AA137,'G-3 Multipliers'!$L$3:$N$6,2,FALSE)=0,"Spatial Data Missing ⚠",VLOOKUP(AA137,'G-3 Multipliers'!$L$3:$N$6,2,FALSE)))</f>
        <v/>
      </c>
      <c r="AC137" s="524" t="str">
        <f>IF(AA137="","",IF(VLOOKUP(AA137,'G-3 Multipliers'!$L$3:$N$6,3,FALSE)=0,"Spatial Data Missing ⚠",VLOOKUP(AA137,'G-3 Multipliers'!$L$3:$N$6,3,FALSE)))</f>
        <v/>
      </c>
      <c r="AD137" s="537" t="str">
        <f t="shared" si="15"/>
        <v/>
      </c>
      <c r="AE137" s="203"/>
      <c r="AF137" s="203"/>
      <c r="AG137" s="520" t="str">
        <f t="shared" si="18"/>
        <v/>
      </c>
      <c r="AH137" s="544" t="str">
        <f t="shared" si="19"/>
        <v/>
      </c>
      <c r="AI137" s="525" t="str">
        <f>IF(AH137="Check Data ⚠","Check Data ⚠",IFERROR(VLOOKUP(AH137,'G-4 Temporal multipliers'!$A$4:$C$36,3,FALSE),""))</f>
        <v/>
      </c>
      <c r="AJ137" s="537" t="str">
        <f>IF(S137="","",VLOOKUP(S137,'G-3 Multipliers'!$A$2:$E$129,4,FALSE))</f>
        <v/>
      </c>
      <c r="AK137" s="520" t="str">
        <f t="shared" si="20"/>
        <v/>
      </c>
      <c r="AL137" s="520" t="str">
        <f t="shared" si="21"/>
        <v/>
      </c>
      <c r="AM137" s="524" t="str">
        <f>IFERROR(IF(F137="","",IF(AH137="Check Data ⚠","Check Data ⚠",VLOOKUP(AL137, 'G-3 Multipliers'!$P$2:$Q$6,2,FALSE))),"")</f>
        <v/>
      </c>
      <c r="AN137" s="197"/>
      <c r="AO137" s="540" t="str">
        <f>IF(AN137="","",IF(VLOOKUP(AN137,'G-3 Multipliers'!$S$3:$T$9,2,FALSE)=0,"Spatial Data Missing ⚠",VLOOKUP(AN137,'G-3 Multipliers'!$S$3:$T$9,2,FALSE)))</f>
        <v/>
      </c>
      <c r="AP137" s="513" t="str">
        <f t="shared" si="22"/>
        <v/>
      </c>
      <c r="AQ137" s="231"/>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7" t="str">
        <f>'D-1 Off Site Habitat Baseline'!AL137</f>
        <v/>
      </c>
      <c r="F138" s="520" t="str">
        <f>IF(E138="","",IF(ISNA(VLOOKUP($E138,'D-1 Off Site Habitat Baseline'!$D$1:$O$258,4,FALSE)),"",(VLOOKUP($E138,'D-1 Off Site Habitat Baseline'!$D$1:$O$258,4,FALSE))))</f>
        <v/>
      </c>
      <c r="G138" s="520" t="str">
        <f>IF(E138="","",IF(ISNA(VLOOKUP($E138,'D-1 Off Site Habitat Baseline'!$D$1:$O$258,5,FALSE)),"",(VLOOKUP($E138,'D-1 Off Site Habitat Baseline'!$D$1:$O$258,5,FALSE))))</f>
        <v/>
      </c>
      <c r="H138" s="520" t="str">
        <f>IF(E138="","",IF(ISNA(VLOOKUP($E138,'D-1 Off Site Habitat Baseline'!$D$1:$O$258,6,FALSE)),"",(VLOOKUP($E138,'D-1 Off Site Habitat Baseline'!$D$1:$O$258,6,FALSE))))</f>
        <v/>
      </c>
      <c r="I138" s="520" t="str">
        <f>IF(E138="","",IF(ISNA(VLOOKUP($E138,'D-1 Off Site Habitat Baseline'!$D$1:$O$258,7,FALSE)),"",(VLOOKUP($E138,'D-1 Off Site Habitat Baseline'!$D$1:$O$258,7,FALSE))))</f>
        <v/>
      </c>
      <c r="J138" s="520" t="str">
        <f>IF(E138="","",IF(ISNA(VLOOKUP($E138,'D-1 Off Site Habitat Baseline'!$D$1:$O$258,8,FALSE)),"",(VLOOKUP($E138,'D-1 Off Site Habitat Baseline'!$D$1:$O$258,8,FALSE))))</f>
        <v/>
      </c>
      <c r="K138" s="520" t="str">
        <f>IF(E138="","",IF(ISNA(VLOOKUP($E138,'D-1 Off Site Habitat Baseline'!$D$1:$O$258,9,FALSE)),"",(VLOOKUP($E138,'D-1 Off Site Habitat Baseline'!$D$1:$O$258,9,FALSE))))</f>
        <v/>
      </c>
      <c r="L138" s="520" t="str">
        <f>IF(E138="","",IF(ISNA(VLOOKUP($E138,'D-1 Off Site Habitat Baseline'!$D$1:$O$258,11,FALSE)),"",(VLOOKUP($E138,'D-1 Off Site Habitat Baseline'!$D$1:$O$258,11,FALSE))))</f>
        <v/>
      </c>
      <c r="M138" s="520" t="str">
        <f>IF(E138="","",IF(ISNA(VLOOKUP($E138,'D-1 Off Site Habitat Baseline'!$D$1:$O$258,12,FALSE)),"",(VLOOKUP($E138,'D-1 Off Site Habitat Baseline'!$D$1:$O$258,12,FALSE))))</f>
        <v/>
      </c>
      <c r="N138" s="520" t="str">
        <f>IF(E138="","",IF(ISNA(VLOOKUP($E138,'D-1 Off Site Habitat Baseline'!$D$1:$X$258,14,FALSE)),"",(VLOOKUP($E138,'D-1 Off Site Habitat Baseline'!$D$1:$X$258,14,FALSE))))</f>
        <v/>
      </c>
      <c r="O138" s="524" t="str">
        <f>IF(E138="","",IF(ISNA(VLOOKUP($E138,'D-1 Off Site Habitat Baseline'!$D$1:$X$258,13,FALSE)),"",(VLOOKUP($E138,'D-1 Off Site Habitat Baseline'!$D$1:$X$258,13,FALSE))))</f>
        <v/>
      </c>
      <c r="P138" s="232" t="str">
        <f>IFERROR(INDEX('G-1 All Habitats'!$AG$3:$AG$15,MATCH(Q138,'G-1 All Habitats'!$AF$3:$AF$15,0)),"")</f>
        <v/>
      </c>
      <c r="Q138" s="228" t="str">
        <f t="shared" si="23"/>
        <v/>
      </c>
      <c r="R138" s="229" t="str">
        <f t="shared" si="24"/>
        <v/>
      </c>
      <c r="S138" s="233" t="str">
        <f>IFERROR(INDEX('G-1 All Habitats'!$B$3:$B$129,MATCH(R138,'G-1 All Habitats'!$A$3:$A$129,0)),"")</f>
        <v/>
      </c>
      <c r="T138" s="507" t="str">
        <f t="shared" si="16"/>
        <v/>
      </c>
      <c r="U138" s="524" t="str">
        <f t="shared" si="17"/>
        <v/>
      </c>
      <c r="V138" s="523" t="str">
        <f t="shared" si="14"/>
        <v/>
      </c>
      <c r="W138" s="520" t="str">
        <f>IF(S138="","",VLOOKUP(S138,'G-1 All Habitats'!$B$2:$M$129,10,FALSE))</f>
        <v/>
      </c>
      <c r="X138" s="520" t="str">
        <f>IFERROR(VLOOKUP(W138,'G-1 All Habitats'!$V$3:$W$7,2,FALSE),"")</f>
        <v/>
      </c>
      <c r="Y138" s="203"/>
      <c r="Z138" s="524" t="str">
        <f>IFERROR(INDEX('G-8 Condition Look up'!$A$3:$H$130,MATCH(S138,'G-8 Condition Look up'!$A$3:$A$130,0),MATCH(Y138,'G-8 Condition Look up'!$A$3:$H$3,0)),"")</f>
        <v/>
      </c>
      <c r="AA138" s="145"/>
      <c r="AB138" s="540" t="str">
        <f>IF(AA138="","",IF(VLOOKUP(AA138,'G-3 Multipliers'!$L$3:$N$6,2,FALSE)=0,"Spatial Data Missing ⚠",VLOOKUP(AA138,'G-3 Multipliers'!$L$3:$N$6,2,FALSE)))</f>
        <v/>
      </c>
      <c r="AC138" s="524" t="str">
        <f>IF(AA138="","",IF(VLOOKUP(AA138,'G-3 Multipliers'!$L$3:$N$6,3,FALSE)=0,"Spatial Data Missing ⚠",VLOOKUP(AA138,'G-3 Multipliers'!$L$3:$N$6,3,FALSE)))</f>
        <v/>
      </c>
      <c r="AD138" s="537" t="str">
        <f t="shared" si="15"/>
        <v/>
      </c>
      <c r="AE138" s="203"/>
      <c r="AF138" s="203"/>
      <c r="AG138" s="520" t="str">
        <f t="shared" si="18"/>
        <v/>
      </c>
      <c r="AH138" s="544" t="str">
        <f t="shared" si="19"/>
        <v/>
      </c>
      <c r="AI138" s="525" t="str">
        <f>IF(AH138="Check Data ⚠","Check Data ⚠",IFERROR(VLOOKUP(AH138,'G-4 Temporal multipliers'!$A$4:$C$36,3,FALSE),""))</f>
        <v/>
      </c>
      <c r="AJ138" s="537" t="str">
        <f>IF(S138="","",VLOOKUP(S138,'G-3 Multipliers'!$A$2:$E$129,4,FALSE))</f>
        <v/>
      </c>
      <c r="AK138" s="520" t="str">
        <f t="shared" si="20"/>
        <v/>
      </c>
      <c r="AL138" s="520" t="str">
        <f t="shared" si="21"/>
        <v/>
      </c>
      <c r="AM138" s="524" t="str">
        <f>IFERROR(IF(F138="","",IF(AH138="Check Data ⚠","Check Data ⚠",VLOOKUP(AL138, 'G-3 Multipliers'!$P$2:$Q$6,2,FALSE))),"")</f>
        <v/>
      </c>
      <c r="AN138" s="197"/>
      <c r="AO138" s="540" t="str">
        <f>IF(AN138="","",IF(VLOOKUP(AN138,'G-3 Multipliers'!$S$3:$T$9,2,FALSE)=0,"Spatial Data Missing ⚠",VLOOKUP(AN138,'G-3 Multipliers'!$S$3:$T$9,2,FALSE)))</f>
        <v/>
      </c>
      <c r="AP138" s="513" t="str">
        <f t="shared" si="22"/>
        <v/>
      </c>
      <c r="AQ138" s="231"/>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7" t="str">
        <f>'D-1 Off Site Habitat Baseline'!AL138</f>
        <v/>
      </c>
      <c r="F139" s="520" t="str">
        <f>IF(E139="","",IF(ISNA(VLOOKUP($E139,'D-1 Off Site Habitat Baseline'!$D$1:$O$258,4,FALSE)),"",(VLOOKUP($E139,'D-1 Off Site Habitat Baseline'!$D$1:$O$258,4,FALSE))))</f>
        <v/>
      </c>
      <c r="G139" s="520" t="str">
        <f>IF(E139="","",IF(ISNA(VLOOKUP($E139,'D-1 Off Site Habitat Baseline'!$D$1:$O$258,5,FALSE)),"",(VLOOKUP($E139,'D-1 Off Site Habitat Baseline'!$D$1:$O$258,5,FALSE))))</f>
        <v/>
      </c>
      <c r="H139" s="520" t="str">
        <f>IF(E139="","",IF(ISNA(VLOOKUP($E139,'D-1 Off Site Habitat Baseline'!$D$1:$O$258,6,FALSE)),"",(VLOOKUP($E139,'D-1 Off Site Habitat Baseline'!$D$1:$O$258,6,FALSE))))</f>
        <v/>
      </c>
      <c r="I139" s="520" t="str">
        <f>IF(E139="","",IF(ISNA(VLOOKUP($E139,'D-1 Off Site Habitat Baseline'!$D$1:$O$258,7,FALSE)),"",(VLOOKUP($E139,'D-1 Off Site Habitat Baseline'!$D$1:$O$258,7,FALSE))))</f>
        <v/>
      </c>
      <c r="J139" s="520" t="str">
        <f>IF(E139="","",IF(ISNA(VLOOKUP($E139,'D-1 Off Site Habitat Baseline'!$D$1:$O$258,8,FALSE)),"",(VLOOKUP($E139,'D-1 Off Site Habitat Baseline'!$D$1:$O$258,8,FALSE))))</f>
        <v/>
      </c>
      <c r="K139" s="520" t="str">
        <f>IF(E139="","",IF(ISNA(VLOOKUP($E139,'D-1 Off Site Habitat Baseline'!$D$1:$O$258,9,FALSE)),"",(VLOOKUP($E139,'D-1 Off Site Habitat Baseline'!$D$1:$O$258,9,FALSE))))</f>
        <v/>
      </c>
      <c r="L139" s="520" t="str">
        <f>IF(E139="","",IF(ISNA(VLOOKUP($E139,'D-1 Off Site Habitat Baseline'!$D$1:$O$258,11,FALSE)),"",(VLOOKUP($E139,'D-1 Off Site Habitat Baseline'!$D$1:$O$258,11,FALSE))))</f>
        <v/>
      </c>
      <c r="M139" s="520" t="str">
        <f>IF(E139="","",IF(ISNA(VLOOKUP($E139,'D-1 Off Site Habitat Baseline'!$D$1:$O$258,12,FALSE)),"",(VLOOKUP($E139,'D-1 Off Site Habitat Baseline'!$D$1:$O$258,12,FALSE))))</f>
        <v/>
      </c>
      <c r="N139" s="520" t="str">
        <f>IF(E139="","",IF(ISNA(VLOOKUP($E139,'D-1 Off Site Habitat Baseline'!$D$1:$X$258,14,FALSE)),"",(VLOOKUP($E139,'D-1 Off Site Habitat Baseline'!$D$1:$X$258,14,FALSE))))</f>
        <v/>
      </c>
      <c r="O139" s="524" t="str">
        <f>IF(E139="","",IF(ISNA(VLOOKUP($E139,'D-1 Off Site Habitat Baseline'!$D$1:$X$258,13,FALSE)),"",(VLOOKUP($E139,'D-1 Off Site Habitat Baseline'!$D$1:$X$258,13,FALSE))))</f>
        <v/>
      </c>
      <c r="P139" s="232" t="str">
        <f>IFERROR(INDEX('G-1 All Habitats'!$AG$3:$AG$15,MATCH(Q139,'G-1 All Habitats'!$AF$3:$AF$15,0)),"")</f>
        <v/>
      </c>
      <c r="Q139" s="228" t="str">
        <f t="shared" si="23"/>
        <v/>
      </c>
      <c r="R139" s="229" t="str">
        <f t="shared" si="24"/>
        <v/>
      </c>
      <c r="S139" s="233" t="str">
        <f>IFERROR(INDEX('G-1 All Habitats'!$B$3:$B$129,MATCH(R139,'G-1 All Habitats'!$A$3:$A$129,0)),"")</f>
        <v/>
      </c>
      <c r="T139" s="507" t="str">
        <f t="shared" si="16"/>
        <v/>
      </c>
      <c r="U139" s="524" t="str">
        <f t="shared" si="17"/>
        <v/>
      </c>
      <c r="V139" s="523" t="str">
        <f t="shared" si="14"/>
        <v/>
      </c>
      <c r="W139" s="520" t="str">
        <f>IF(S139="","",VLOOKUP(S139,'G-1 All Habitats'!$B$2:$M$129,10,FALSE))</f>
        <v/>
      </c>
      <c r="X139" s="520" t="str">
        <f>IFERROR(VLOOKUP(W139,'G-1 All Habitats'!$V$3:$W$7,2,FALSE),"")</f>
        <v/>
      </c>
      <c r="Y139" s="203"/>
      <c r="Z139" s="524" t="str">
        <f>IFERROR(INDEX('G-8 Condition Look up'!$A$3:$H$130,MATCH(S139,'G-8 Condition Look up'!$A$3:$A$130,0),MATCH(Y139,'G-8 Condition Look up'!$A$3:$H$3,0)),"")</f>
        <v/>
      </c>
      <c r="AA139" s="145"/>
      <c r="AB139" s="540" t="str">
        <f>IF(AA139="","",IF(VLOOKUP(AA139,'G-3 Multipliers'!$L$3:$N$6,2,FALSE)=0,"Spatial Data Missing ⚠",VLOOKUP(AA139,'G-3 Multipliers'!$L$3:$N$6,2,FALSE)))</f>
        <v/>
      </c>
      <c r="AC139" s="524" t="str">
        <f>IF(AA139="","",IF(VLOOKUP(AA139,'G-3 Multipliers'!$L$3:$N$6,3,FALSE)=0,"Spatial Data Missing ⚠",VLOOKUP(AA139,'G-3 Multipliers'!$L$3:$N$6,3,FALSE)))</f>
        <v/>
      </c>
      <c r="AD139" s="537" t="str">
        <f t="shared" si="15"/>
        <v/>
      </c>
      <c r="AE139" s="203"/>
      <c r="AF139" s="203"/>
      <c r="AG139" s="520" t="str">
        <f t="shared" si="18"/>
        <v/>
      </c>
      <c r="AH139" s="544" t="str">
        <f t="shared" si="19"/>
        <v/>
      </c>
      <c r="AI139" s="525" t="str">
        <f>IF(AH139="Check Data ⚠","Check Data ⚠",IFERROR(VLOOKUP(AH139,'G-4 Temporal multipliers'!$A$4:$C$36,3,FALSE),""))</f>
        <v/>
      </c>
      <c r="AJ139" s="537" t="str">
        <f>IF(S139="","",VLOOKUP(S139,'G-3 Multipliers'!$A$2:$E$129,4,FALSE))</f>
        <v/>
      </c>
      <c r="AK139" s="520" t="str">
        <f t="shared" si="20"/>
        <v/>
      </c>
      <c r="AL139" s="520" t="str">
        <f t="shared" si="21"/>
        <v/>
      </c>
      <c r="AM139" s="524" t="str">
        <f>IFERROR(IF(F139="","",IF(AH139="Check Data ⚠","Check Data ⚠",VLOOKUP(AL139, 'G-3 Multipliers'!$P$2:$Q$6,2,FALSE))),"")</f>
        <v/>
      </c>
      <c r="AN139" s="197"/>
      <c r="AO139" s="540" t="str">
        <f>IF(AN139="","",IF(VLOOKUP(AN139,'G-3 Multipliers'!$S$3:$T$9,2,FALSE)=0,"Spatial Data Missing ⚠",VLOOKUP(AN139,'G-3 Multipliers'!$S$3:$T$9,2,FALSE)))</f>
        <v/>
      </c>
      <c r="AP139" s="513" t="str">
        <f t="shared" si="22"/>
        <v/>
      </c>
      <c r="AQ139" s="231"/>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7" t="str">
        <f>'D-1 Off Site Habitat Baseline'!AL139</f>
        <v/>
      </c>
      <c r="F140" s="520" t="str">
        <f>IF(E140="","",IF(ISNA(VLOOKUP($E140,'D-1 Off Site Habitat Baseline'!$D$1:$O$258,4,FALSE)),"",(VLOOKUP($E140,'D-1 Off Site Habitat Baseline'!$D$1:$O$258,4,FALSE))))</f>
        <v/>
      </c>
      <c r="G140" s="520" t="str">
        <f>IF(E140="","",IF(ISNA(VLOOKUP($E140,'D-1 Off Site Habitat Baseline'!$D$1:$O$258,5,FALSE)),"",(VLOOKUP($E140,'D-1 Off Site Habitat Baseline'!$D$1:$O$258,5,FALSE))))</f>
        <v/>
      </c>
      <c r="H140" s="520" t="str">
        <f>IF(E140="","",IF(ISNA(VLOOKUP($E140,'D-1 Off Site Habitat Baseline'!$D$1:$O$258,6,FALSE)),"",(VLOOKUP($E140,'D-1 Off Site Habitat Baseline'!$D$1:$O$258,6,FALSE))))</f>
        <v/>
      </c>
      <c r="I140" s="520" t="str">
        <f>IF(E140="","",IF(ISNA(VLOOKUP($E140,'D-1 Off Site Habitat Baseline'!$D$1:$O$258,7,FALSE)),"",(VLOOKUP($E140,'D-1 Off Site Habitat Baseline'!$D$1:$O$258,7,FALSE))))</f>
        <v/>
      </c>
      <c r="J140" s="520" t="str">
        <f>IF(E140="","",IF(ISNA(VLOOKUP($E140,'D-1 Off Site Habitat Baseline'!$D$1:$O$258,8,FALSE)),"",(VLOOKUP($E140,'D-1 Off Site Habitat Baseline'!$D$1:$O$258,8,FALSE))))</f>
        <v/>
      </c>
      <c r="K140" s="520" t="str">
        <f>IF(E140="","",IF(ISNA(VLOOKUP($E140,'D-1 Off Site Habitat Baseline'!$D$1:$O$258,9,FALSE)),"",(VLOOKUP($E140,'D-1 Off Site Habitat Baseline'!$D$1:$O$258,9,FALSE))))</f>
        <v/>
      </c>
      <c r="L140" s="520" t="str">
        <f>IF(E140="","",IF(ISNA(VLOOKUP($E140,'D-1 Off Site Habitat Baseline'!$D$1:$O$258,11,FALSE)),"",(VLOOKUP($E140,'D-1 Off Site Habitat Baseline'!$D$1:$O$258,11,FALSE))))</f>
        <v/>
      </c>
      <c r="M140" s="520" t="str">
        <f>IF(E140="","",IF(ISNA(VLOOKUP($E140,'D-1 Off Site Habitat Baseline'!$D$1:$O$258,12,FALSE)),"",(VLOOKUP($E140,'D-1 Off Site Habitat Baseline'!$D$1:$O$258,12,FALSE))))</f>
        <v/>
      </c>
      <c r="N140" s="520" t="str">
        <f>IF(E140="","",IF(ISNA(VLOOKUP($E140,'D-1 Off Site Habitat Baseline'!$D$1:$X$258,14,FALSE)),"",(VLOOKUP($E140,'D-1 Off Site Habitat Baseline'!$D$1:$X$258,14,FALSE))))</f>
        <v/>
      </c>
      <c r="O140" s="524" t="str">
        <f>IF(E140="","",IF(ISNA(VLOOKUP($E140,'D-1 Off Site Habitat Baseline'!$D$1:$X$258,13,FALSE)),"",(VLOOKUP($E140,'D-1 Off Site Habitat Baseline'!$D$1:$X$258,13,FALSE))))</f>
        <v/>
      </c>
      <c r="P140" s="232" t="str">
        <f>IFERROR(INDEX('G-1 All Habitats'!$AG$3:$AG$15,MATCH(Q140,'G-1 All Habitats'!$AF$3:$AF$15,0)),"")</f>
        <v/>
      </c>
      <c r="Q140" s="228" t="str">
        <f t="shared" si="23"/>
        <v/>
      </c>
      <c r="R140" s="229" t="str">
        <f t="shared" si="24"/>
        <v/>
      </c>
      <c r="S140" s="233" t="str">
        <f>IFERROR(INDEX('G-1 All Habitats'!$B$3:$B$129,MATCH(R140,'G-1 All Habitats'!$A$3:$A$129,0)),"")</f>
        <v/>
      </c>
      <c r="T140" s="507" t="str">
        <f t="shared" si="16"/>
        <v/>
      </c>
      <c r="U140" s="524" t="str">
        <f t="shared" si="17"/>
        <v/>
      </c>
      <c r="V140" s="523" t="str">
        <f t="shared" ref="V140:V203" si="25">IF(S140="","",VLOOKUP(E140,BaselineHabOffsite,17,FALSE))</f>
        <v/>
      </c>
      <c r="W140" s="520" t="str">
        <f>IF(S140="","",VLOOKUP(S140,'G-1 All Habitats'!$B$2:$M$129,10,FALSE))</f>
        <v/>
      </c>
      <c r="X140" s="520" t="str">
        <f>IFERROR(VLOOKUP(W140,'G-1 All Habitats'!$V$3:$W$7,2,FALSE),"")</f>
        <v/>
      </c>
      <c r="Y140" s="203"/>
      <c r="Z140" s="524" t="str">
        <f>IFERROR(INDEX('G-8 Condition Look up'!$A$3:$H$130,MATCH(S140,'G-8 Condition Look up'!$A$3:$A$130,0),MATCH(Y140,'G-8 Condition Look up'!$A$3:$H$3,0)),"")</f>
        <v/>
      </c>
      <c r="AA140" s="145"/>
      <c r="AB140" s="540" t="str">
        <f>IF(AA140="","",IF(VLOOKUP(AA140,'G-3 Multipliers'!$L$3:$N$6,2,FALSE)=0,"Spatial Data Missing ⚠",VLOOKUP(AA140,'G-3 Multipliers'!$L$3:$N$6,2,FALSE)))</f>
        <v/>
      </c>
      <c r="AC140" s="524" t="str">
        <f>IF(AA140="","",IF(VLOOKUP(AA140,'G-3 Multipliers'!$L$3:$N$6,3,FALSE)=0,"Spatial Data Missing ⚠",VLOOKUP(AA140,'G-3 Multipliers'!$L$3:$N$6,3,FALSE)))</f>
        <v/>
      </c>
      <c r="AD140" s="537" t="str">
        <f t="shared" ref="AD140:AD203" si="26">IFERROR(IF(OR(LEFT(U140,5)="Error ▲",LEFT(T140,5)="Error ▲"),"Check Data ⚠",INDEX(EnhanceTemporal,MATCH(S140,EnhanceHabitat,0),MATCH(U140,EnhanceCondition,0))),"")</f>
        <v/>
      </c>
      <c r="AE140" s="203"/>
      <c r="AF140" s="203"/>
      <c r="AG140" s="520" t="str">
        <f t="shared" si="18"/>
        <v/>
      </c>
      <c r="AH140" s="544" t="str">
        <f t="shared" si="19"/>
        <v/>
      </c>
      <c r="AI140" s="525" t="str">
        <f>IF(AH140="Check Data ⚠","Check Data ⚠",IFERROR(VLOOKUP(AH140,'G-4 Temporal multipliers'!$A$4:$C$36,3,FALSE),""))</f>
        <v/>
      </c>
      <c r="AJ140" s="537" t="str">
        <f>IF(S140="","",VLOOKUP(S140,'G-3 Multipliers'!$A$2:$E$129,4,FALSE))</f>
        <v/>
      </c>
      <c r="AK140" s="520" t="str">
        <f t="shared" si="20"/>
        <v/>
      </c>
      <c r="AL140" s="520" t="str">
        <f t="shared" si="21"/>
        <v/>
      </c>
      <c r="AM140" s="524" t="str">
        <f>IFERROR(IF(F140="","",IF(AH140="Check Data ⚠","Check Data ⚠",VLOOKUP(AL140, 'G-3 Multipliers'!$P$2:$Q$6,2,FALSE))),"")</f>
        <v/>
      </c>
      <c r="AN140" s="197"/>
      <c r="AO140" s="540" t="str">
        <f>IF(AN140="","",IF(VLOOKUP(AN140,'G-3 Multipliers'!$S$3:$T$9,2,FALSE)=0,"Spatial Data Missing ⚠",VLOOKUP(AN140,'G-3 Multipliers'!$S$3:$T$9,2,FALSE)))</f>
        <v/>
      </c>
      <c r="AP140" s="513" t="str">
        <f t="shared" si="22"/>
        <v/>
      </c>
      <c r="AQ140" s="231"/>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7" t="str">
        <f>'D-1 Off Site Habitat Baseline'!AL140</f>
        <v/>
      </c>
      <c r="F141" s="520" t="str">
        <f>IF(E141="","",IF(ISNA(VLOOKUP($E141,'D-1 Off Site Habitat Baseline'!$D$1:$O$258,4,FALSE)),"",(VLOOKUP($E141,'D-1 Off Site Habitat Baseline'!$D$1:$O$258,4,FALSE))))</f>
        <v/>
      </c>
      <c r="G141" s="520" t="str">
        <f>IF(E141="","",IF(ISNA(VLOOKUP($E141,'D-1 Off Site Habitat Baseline'!$D$1:$O$258,5,FALSE)),"",(VLOOKUP($E141,'D-1 Off Site Habitat Baseline'!$D$1:$O$258,5,FALSE))))</f>
        <v/>
      </c>
      <c r="H141" s="520" t="str">
        <f>IF(E141="","",IF(ISNA(VLOOKUP($E141,'D-1 Off Site Habitat Baseline'!$D$1:$O$258,6,FALSE)),"",(VLOOKUP($E141,'D-1 Off Site Habitat Baseline'!$D$1:$O$258,6,FALSE))))</f>
        <v/>
      </c>
      <c r="I141" s="520" t="str">
        <f>IF(E141="","",IF(ISNA(VLOOKUP($E141,'D-1 Off Site Habitat Baseline'!$D$1:$O$258,7,FALSE)),"",(VLOOKUP($E141,'D-1 Off Site Habitat Baseline'!$D$1:$O$258,7,FALSE))))</f>
        <v/>
      </c>
      <c r="J141" s="520" t="str">
        <f>IF(E141="","",IF(ISNA(VLOOKUP($E141,'D-1 Off Site Habitat Baseline'!$D$1:$O$258,8,FALSE)),"",(VLOOKUP($E141,'D-1 Off Site Habitat Baseline'!$D$1:$O$258,8,FALSE))))</f>
        <v/>
      </c>
      <c r="K141" s="520" t="str">
        <f>IF(E141="","",IF(ISNA(VLOOKUP($E141,'D-1 Off Site Habitat Baseline'!$D$1:$O$258,9,FALSE)),"",(VLOOKUP($E141,'D-1 Off Site Habitat Baseline'!$D$1:$O$258,9,FALSE))))</f>
        <v/>
      </c>
      <c r="L141" s="520" t="str">
        <f>IF(E141="","",IF(ISNA(VLOOKUP($E141,'D-1 Off Site Habitat Baseline'!$D$1:$O$258,11,FALSE)),"",(VLOOKUP($E141,'D-1 Off Site Habitat Baseline'!$D$1:$O$258,11,FALSE))))</f>
        <v/>
      </c>
      <c r="M141" s="520" t="str">
        <f>IF(E141="","",IF(ISNA(VLOOKUP($E141,'D-1 Off Site Habitat Baseline'!$D$1:$O$258,12,FALSE)),"",(VLOOKUP($E141,'D-1 Off Site Habitat Baseline'!$D$1:$O$258,12,FALSE))))</f>
        <v/>
      </c>
      <c r="N141" s="520" t="str">
        <f>IF(E141="","",IF(ISNA(VLOOKUP($E141,'D-1 Off Site Habitat Baseline'!$D$1:$X$258,14,FALSE)),"",(VLOOKUP($E141,'D-1 Off Site Habitat Baseline'!$D$1:$X$258,14,FALSE))))</f>
        <v/>
      </c>
      <c r="O141" s="524" t="str">
        <f>IF(E141="","",IF(ISNA(VLOOKUP($E141,'D-1 Off Site Habitat Baseline'!$D$1:$X$258,13,FALSE)),"",(VLOOKUP($E141,'D-1 Off Site Habitat Baseline'!$D$1:$X$258,13,FALSE))))</f>
        <v/>
      </c>
      <c r="P141" s="232" t="str">
        <f>IFERROR(INDEX('G-1 All Habitats'!$AG$3:$AG$15,MATCH(Q141,'G-1 All Habitats'!$AF$3:$AF$15,0)),"")</f>
        <v/>
      </c>
      <c r="Q141" s="228" t="str">
        <f t="shared" si="23"/>
        <v/>
      </c>
      <c r="R141" s="229" t="str">
        <f t="shared" si="24"/>
        <v/>
      </c>
      <c r="S141" s="233" t="str">
        <f>IFERROR(INDEX('G-1 All Habitats'!$B$3:$B$129,MATCH(R141,'G-1 All Habitats'!$A$3:$A$129,0)),"")</f>
        <v/>
      </c>
      <c r="T141" s="507"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4"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3" t="str">
        <f t="shared" si="25"/>
        <v/>
      </c>
      <c r="W141" s="520" t="str">
        <f>IF(S141="","",VLOOKUP(S141,'G-1 All Habitats'!$B$2:$M$129,10,FALSE))</f>
        <v/>
      </c>
      <c r="X141" s="520" t="str">
        <f>IFERROR(VLOOKUP(W141,'G-1 All Habitats'!$V$3:$W$7,2,FALSE),"")</f>
        <v/>
      </c>
      <c r="Y141" s="203"/>
      <c r="Z141" s="524" t="str">
        <f>IFERROR(INDEX('G-8 Condition Look up'!$A$3:$H$130,MATCH(S141,'G-8 Condition Look up'!$A$3:$A$130,0),MATCH(Y141,'G-8 Condition Look up'!$A$3:$H$3,0)),"")</f>
        <v/>
      </c>
      <c r="AA141" s="145"/>
      <c r="AB141" s="540" t="str">
        <f>IF(AA141="","",IF(VLOOKUP(AA141,'G-3 Multipliers'!$L$3:$N$6,2,FALSE)=0,"Spatial Data Missing ⚠",VLOOKUP(AA141,'G-3 Multipliers'!$L$3:$N$6,2,FALSE)))</f>
        <v/>
      </c>
      <c r="AC141" s="524" t="str">
        <f>IF(AA141="","",IF(VLOOKUP(AA141,'G-3 Multipliers'!$L$3:$N$6,3,FALSE)=0,"Spatial Data Missing ⚠",VLOOKUP(AA141,'G-3 Multipliers'!$L$3:$N$6,3,FALSE)))</f>
        <v/>
      </c>
      <c r="AD141" s="537" t="str">
        <f t="shared" si="26"/>
        <v/>
      </c>
      <c r="AE141" s="203"/>
      <c r="AF141" s="203"/>
      <c r="AG141" s="520"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4"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5" t="str">
        <f>IF(AH141="Check Data ⚠","Check Data ⚠",IFERROR(VLOOKUP(AH141,'G-4 Temporal multipliers'!$A$4:$C$36,3,FALSE),""))</f>
        <v/>
      </c>
      <c r="AJ141" s="537" t="str">
        <f>IF(S141="","",VLOOKUP(S141,'G-3 Multipliers'!$A$2:$E$129,4,FALSE))</f>
        <v/>
      </c>
      <c r="AK141" s="520" t="str">
        <f t="shared" ref="AK141:AK204" si="31">IF(E141="","",IF(AG141="Check details - Is there evidence that habitat has reached target condition? ⚠","Low Difficulty - only applicable if all habitat created before losses","Standard difficulty applied"))</f>
        <v/>
      </c>
      <c r="AL141" s="520" t="str">
        <f t="shared" ref="AL141:AL204" si="32">(IF(AND(AK141="Standard difficulty applied",AD141&gt;AE141),AJ141,IF(AND(AK141="Low Difficulty - only applicable if all habitat created before losses",AE141&gt;=AD141),"Low", AJ141)))</f>
        <v/>
      </c>
      <c r="AM141" s="524" t="str">
        <f>IFERROR(IF(F141="","",IF(AH141="Check Data ⚠","Check Data ⚠",VLOOKUP(AL141, 'G-3 Multipliers'!$P$2:$Q$6,2,FALSE))),"")</f>
        <v/>
      </c>
      <c r="AN141" s="197"/>
      <c r="AO141" s="540" t="str">
        <f>IF(AN141="","",IF(VLOOKUP(AN141,'G-3 Multipliers'!$S$3:$T$9,2,FALSE)=0,"Spatial Data Missing ⚠",VLOOKUP(AN141,'G-3 Multipliers'!$S$3:$T$9,2,FALSE)))</f>
        <v/>
      </c>
      <c r="AP141" s="513" t="str">
        <f t="shared" ref="AP141:AP204" si="33">IFERROR(((((V141*X141*Z141)-(V141*I141*K141))*(AM141*AI141))+(V141*I141*K141))*(AC141)*AO141,"")</f>
        <v/>
      </c>
      <c r="AQ141" s="231"/>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7" t="str">
        <f>'D-1 Off Site Habitat Baseline'!AL141</f>
        <v/>
      </c>
      <c r="F142" s="520" t="str">
        <f>IF(E142="","",IF(ISNA(VLOOKUP($E142,'D-1 Off Site Habitat Baseline'!$D$1:$O$258,4,FALSE)),"",(VLOOKUP($E142,'D-1 Off Site Habitat Baseline'!$D$1:$O$258,4,FALSE))))</f>
        <v/>
      </c>
      <c r="G142" s="520" t="str">
        <f>IF(E142="","",IF(ISNA(VLOOKUP($E142,'D-1 Off Site Habitat Baseline'!$D$1:$O$258,5,FALSE)),"",(VLOOKUP($E142,'D-1 Off Site Habitat Baseline'!$D$1:$O$258,5,FALSE))))</f>
        <v/>
      </c>
      <c r="H142" s="520" t="str">
        <f>IF(E142="","",IF(ISNA(VLOOKUP($E142,'D-1 Off Site Habitat Baseline'!$D$1:$O$258,6,FALSE)),"",(VLOOKUP($E142,'D-1 Off Site Habitat Baseline'!$D$1:$O$258,6,FALSE))))</f>
        <v/>
      </c>
      <c r="I142" s="520" t="str">
        <f>IF(E142="","",IF(ISNA(VLOOKUP($E142,'D-1 Off Site Habitat Baseline'!$D$1:$O$258,7,FALSE)),"",(VLOOKUP($E142,'D-1 Off Site Habitat Baseline'!$D$1:$O$258,7,FALSE))))</f>
        <v/>
      </c>
      <c r="J142" s="520" t="str">
        <f>IF(E142="","",IF(ISNA(VLOOKUP($E142,'D-1 Off Site Habitat Baseline'!$D$1:$O$258,8,FALSE)),"",(VLOOKUP($E142,'D-1 Off Site Habitat Baseline'!$D$1:$O$258,8,FALSE))))</f>
        <v/>
      </c>
      <c r="K142" s="520" t="str">
        <f>IF(E142="","",IF(ISNA(VLOOKUP($E142,'D-1 Off Site Habitat Baseline'!$D$1:$O$258,9,FALSE)),"",(VLOOKUP($E142,'D-1 Off Site Habitat Baseline'!$D$1:$O$258,9,FALSE))))</f>
        <v/>
      </c>
      <c r="L142" s="520" t="str">
        <f>IF(E142="","",IF(ISNA(VLOOKUP($E142,'D-1 Off Site Habitat Baseline'!$D$1:$O$258,11,FALSE)),"",(VLOOKUP($E142,'D-1 Off Site Habitat Baseline'!$D$1:$O$258,11,FALSE))))</f>
        <v/>
      </c>
      <c r="M142" s="520" t="str">
        <f>IF(E142="","",IF(ISNA(VLOOKUP($E142,'D-1 Off Site Habitat Baseline'!$D$1:$O$258,12,FALSE)),"",(VLOOKUP($E142,'D-1 Off Site Habitat Baseline'!$D$1:$O$258,12,FALSE))))</f>
        <v/>
      </c>
      <c r="N142" s="520" t="str">
        <f>IF(E142="","",IF(ISNA(VLOOKUP($E142,'D-1 Off Site Habitat Baseline'!$D$1:$X$258,14,FALSE)),"",(VLOOKUP($E142,'D-1 Off Site Habitat Baseline'!$D$1:$X$258,14,FALSE))))</f>
        <v/>
      </c>
      <c r="O142" s="524" t="str">
        <f>IF(E142="","",IF(ISNA(VLOOKUP($E142,'D-1 Off Site Habitat Baseline'!$D$1:$X$258,13,FALSE)),"",(VLOOKUP($E142,'D-1 Off Site Habitat Baseline'!$D$1:$X$258,13,FALSE))))</f>
        <v/>
      </c>
      <c r="P142" s="232" t="str">
        <f>IFERROR(INDEX('G-1 All Habitats'!$AG$3:$AG$15,MATCH(Q142,'G-1 All Habitats'!$AF$3:$AF$15,0)),"")</f>
        <v/>
      </c>
      <c r="Q142" s="228" t="str">
        <f t="shared" si="23"/>
        <v/>
      </c>
      <c r="R142" s="229" t="str">
        <f t="shared" si="24"/>
        <v/>
      </c>
      <c r="S142" s="233" t="str">
        <f>IFERROR(INDEX('G-1 All Habitats'!$B$3:$B$129,MATCH(R142,'G-1 All Habitats'!$A$3:$A$129,0)),"")</f>
        <v/>
      </c>
      <c r="T142" s="507" t="str">
        <f t="shared" si="27"/>
        <v/>
      </c>
      <c r="U142" s="524" t="str">
        <f t="shared" si="28"/>
        <v/>
      </c>
      <c r="V142" s="523" t="str">
        <f t="shared" si="25"/>
        <v/>
      </c>
      <c r="W142" s="520" t="str">
        <f>IF(S142="","",VLOOKUP(S142,'G-1 All Habitats'!$B$2:$M$129,10,FALSE))</f>
        <v/>
      </c>
      <c r="X142" s="520" t="str">
        <f>IFERROR(VLOOKUP(W142,'G-1 All Habitats'!$V$3:$W$7,2,FALSE),"")</f>
        <v/>
      </c>
      <c r="Y142" s="203"/>
      <c r="Z142" s="524" t="str">
        <f>IFERROR(INDEX('G-8 Condition Look up'!$A$3:$H$130,MATCH(S142,'G-8 Condition Look up'!$A$3:$A$130,0),MATCH(Y142,'G-8 Condition Look up'!$A$3:$H$3,0)),"")</f>
        <v/>
      </c>
      <c r="AA142" s="145"/>
      <c r="AB142" s="540" t="str">
        <f>IF(AA142="","",IF(VLOOKUP(AA142,'G-3 Multipliers'!$L$3:$N$6,2,FALSE)=0,"Spatial Data Missing ⚠",VLOOKUP(AA142,'G-3 Multipliers'!$L$3:$N$6,2,FALSE)))</f>
        <v/>
      </c>
      <c r="AC142" s="524" t="str">
        <f>IF(AA142="","",IF(VLOOKUP(AA142,'G-3 Multipliers'!$L$3:$N$6,3,FALSE)=0,"Spatial Data Missing ⚠",VLOOKUP(AA142,'G-3 Multipliers'!$L$3:$N$6,3,FALSE)))</f>
        <v/>
      </c>
      <c r="AD142" s="537" t="str">
        <f t="shared" si="26"/>
        <v/>
      </c>
      <c r="AE142" s="203"/>
      <c r="AF142" s="203"/>
      <c r="AG142" s="520" t="str">
        <f t="shared" si="29"/>
        <v/>
      </c>
      <c r="AH142" s="544" t="str">
        <f t="shared" si="30"/>
        <v/>
      </c>
      <c r="AI142" s="525" t="str">
        <f>IF(AH142="Check Data ⚠","Check Data ⚠",IFERROR(VLOOKUP(AH142,'G-4 Temporal multipliers'!$A$4:$C$36,3,FALSE),""))</f>
        <v/>
      </c>
      <c r="AJ142" s="537" t="str">
        <f>IF(S142="","",VLOOKUP(S142,'G-3 Multipliers'!$A$2:$E$129,4,FALSE))</f>
        <v/>
      </c>
      <c r="AK142" s="520" t="str">
        <f t="shared" si="31"/>
        <v/>
      </c>
      <c r="AL142" s="520" t="str">
        <f t="shared" si="32"/>
        <v/>
      </c>
      <c r="AM142" s="524" t="str">
        <f>IFERROR(IF(F142="","",IF(AH142="Check Data ⚠","Check Data ⚠",VLOOKUP(AL142, 'G-3 Multipliers'!$P$2:$Q$6,2,FALSE))),"")</f>
        <v/>
      </c>
      <c r="AN142" s="197"/>
      <c r="AO142" s="540" t="str">
        <f>IF(AN142="","",IF(VLOOKUP(AN142,'G-3 Multipliers'!$S$3:$T$9,2,FALSE)=0,"Spatial Data Missing ⚠",VLOOKUP(AN142,'G-3 Multipliers'!$S$3:$T$9,2,FALSE)))</f>
        <v/>
      </c>
      <c r="AP142" s="513" t="str">
        <f t="shared" si="33"/>
        <v/>
      </c>
      <c r="AQ142" s="231"/>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7" t="str">
        <f>'D-1 Off Site Habitat Baseline'!AL142</f>
        <v/>
      </c>
      <c r="F143" s="520" t="str">
        <f>IF(E143="","",IF(ISNA(VLOOKUP($E143,'D-1 Off Site Habitat Baseline'!$D$1:$O$258,4,FALSE)),"",(VLOOKUP($E143,'D-1 Off Site Habitat Baseline'!$D$1:$O$258,4,FALSE))))</f>
        <v/>
      </c>
      <c r="G143" s="520" t="str">
        <f>IF(E143="","",IF(ISNA(VLOOKUP($E143,'D-1 Off Site Habitat Baseline'!$D$1:$O$258,5,FALSE)),"",(VLOOKUP($E143,'D-1 Off Site Habitat Baseline'!$D$1:$O$258,5,FALSE))))</f>
        <v/>
      </c>
      <c r="H143" s="520" t="str">
        <f>IF(E143="","",IF(ISNA(VLOOKUP($E143,'D-1 Off Site Habitat Baseline'!$D$1:$O$258,6,FALSE)),"",(VLOOKUP($E143,'D-1 Off Site Habitat Baseline'!$D$1:$O$258,6,FALSE))))</f>
        <v/>
      </c>
      <c r="I143" s="520" t="str">
        <f>IF(E143="","",IF(ISNA(VLOOKUP($E143,'D-1 Off Site Habitat Baseline'!$D$1:$O$258,7,FALSE)),"",(VLOOKUP($E143,'D-1 Off Site Habitat Baseline'!$D$1:$O$258,7,FALSE))))</f>
        <v/>
      </c>
      <c r="J143" s="520" t="str">
        <f>IF(E143="","",IF(ISNA(VLOOKUP($E143,'D-1 Off Site Habitat Baseline'!$D$1:$O$258,8,FALSE)),"",(VLOOKUP($E143,'D-1 Off Site Habitat Baseline'!$D$1:$O$258,8,FALSE))))</f>
        <v/>
      </c>
      <c r="K143" s="520" t="str">
        <f>IF(E143="","",IF(ISNA(VLOOKUP($E143,'D-1 Off Site Habitat Baseline'!$D$1:$O$258,9,FALSE)),"",(VLOOKUP($E143,'D-1 Off Site Habitat Baseline'!$D$1:$O$258,9,FALSE))))</f>
        <v/>
      </c>
      <c r="L143" s="520" t="str">
        <f>IF(E143="","",IF(ISNA(VLOOKUP($E143,'D-1 Off Site Habitat Baseline'!$D$1:$O$258,11,FALSE)),"",(VLOOKUP($E143,'D-1 Off Site Habitat Baseline'!$D$1:$O$258,11,FALSE))))</f>
        <v/>
      </c>
      <c r="M143" s="520" t="str">
        <f>IF(E143="","",IF(ISNA(VLOOKUP($E143,'D-1 Off Site Habitat Baseline'!$D$1:$O$258,12,FALSE)),"",(VLOOKUP($E143,'D-1 Off Site Habitat Baseline'!$D$1:$O$258,12,FALSE))))</f>
        <v/>
      </c>
      <c r="N143" s="520" t="str">
        <f>IF(E143="","",IF(ISNA(VLOOKUP($E143,'D-1 Off Site Habitat Baseline'!$D$1:$X$258,14,FALSE)),"",(VLOOKUP($E143,'D-1 Off Site Habitat Baseline'!$D$1:$X$258,14,FALSE))))</f>
        <v/>
      </c>
      <c r="O143" s="524" t="str">
        <f>IF(E143="","",IF(ISNA(VLOOKUP($E143,'D-1 Off Site Habitat Baseline'!$D$1:$X$258,13,FALSE)),"",(VLOOKUP($E143,'D-1 Off Site Habitat Baseline'!$D$1:$X$258,13,FALSE))))</f>
        <v/>
      </c>
      <c r="P143" s="232" t="str">
        <f>IFERROR(INDEX('G-1 All Habitats'!$AG$3:$AG$15,MATCH(Q143,'G-1 All Habitats'!$AF$3:$AF$15,0)),"")</f>
        <v/>
      </c>
      <c r="Q143" s="228" t="str">
        <f t="shared" ref="Q143:Q206" si="34">A143</f>
        <v/>
      </c>
      <c r="R143" s="229" t="str">
        <f t="shared" ref="R143:R206" si="35">B143</f>
        <v/>
      </c>
      <c r="S143" s="233" t="str">
        <f>IFERROR(INDEX('G-1 All Habitats'!$B$3:$B$129,MATCH(R143,'G-1 All Habitats'!$A$3:$A$129,0)),"")</f>
        <v/>
      </c>
      <c r="T143" s="507" t="str">
        <f t="shared" si="27"/>
        <v/>
      </c>
      <c r="U143" s="524" t="str">
        <f t="shared" si="28"/>
        <v/>
      </c>
      <c r="V143" s="523" t="str">
        <f t="shared" si="25"/>
        <v/>
      </c>
      <c r="W143" s="520" t="str">
        <f>IF(S143="","",VLOOKUP(S143,'G-1 All Habitats'!$B$2:$M$129,10,FALSE))</f>
        <v/>
      </c>
      <c r="X143" s="520" t="str">
        <f>IFERROR(VLOOKUP(W143,'G-1 All Habitats'!$V$3:$W$7,2,FALSE),"")</f>
        <v/>
      </c>
      <c r="Y143" s="203"/>
      <c r="Z143" s="524" t="str">
        <f>IFERROR(INDEX('G-8 Condition Look up'!$A$3:$H$130,MATCH(S143,'G-8 Condition Look up'!$A$3:$A$130,0),MATCH(Y143,'G-8 Condition Look up'!$A$3:$H$3,0)),"")</f>
        <v/>
      </c>
      <c r="AA143" s="145"/>
      <c r="AB143" s="540" t="str">
        <f>IF(AA143="","",IF(VLOOKUP(AA143,'G-3 Multipliers'!$L$3:$N$6,2,FALSE)=0,"Spatial Data Missing ⚠",VLOOKUP(AA143,'G-3 Multipliers'!$L$3:$N$6,2,FALSE)))</f>
        <v/>
      </c>
      <c r="AC143" s="524" t="str">
        <f>IF(AA143="","",IF(VLOOKUP(AA143,'G-3 Multipliers'!$L$3:$N$6,3,FALSE)=0,"Spatial Data Missing ⚠",VLOOKUP(AA143,'G-3 Multipliers'!$L$3:$N$6,3,FALSE)))</f>
        <v/>
      </c>
      <c r="AD143" s="537" t="str">
        <f t="shared" si="26"/>
        <v/>
      </c>
      <c r="AE143" s="203"/>
      <c r="AF143" s="203"/>
      <c r="AG143" s="520" t="str">
        <f t="shared" si="29"/>
        <v/>
      </c>
      <c r="AH143" s="544" t="str">
        <f t="shared" si="30"/>
        <v/>
      </c>
      <c r="AI143" s="525" t="str">
        <f>IF(AH143="Check Data ⚠","Check Data ⚠",IFERROR(VLOOKUP(AH143,'G-4 Temporal multipliers'!$A$4:$C$36,3,FALSE),""))</f>
        <v/>
      </c>
      <c r="AJ143" s="537" t="str">
        <f>IF(S143="","",VLOOKUP(S143,'G-3 Multipliers'!$A$2:$E$129,4,FALSE))</f>
        <v/>
      </c>
      <c r="AK143" s="520" t="str">
        <f t="shared" si="31"/>
        <v/>
      </c>
      <c r="AL143" s="520" t="str">
        <f t="shared" si="32"/>
        <v/>
      </c>
      <c r="AM143" s="524" t="str">
        <f>IFERROR(IF(F143="","",IF(AH143="Check Data ⚠","Check Data ⚠",VLOOKUP(AL143, 'G-3 Multipliers'!$P$2:$Q$6,2,FALSE))),"")</f>
        <v/>
      </c>
      <c r="AN143" s="197"/>
      <c r="AO143" s="540" t="str">
        <f>IF(AN143="","",IF(VLOOKUP(AN143,'G-3 Multipliers'!$S$3:$T$9,2,FALSE)=0,"Spatial Data Missing ⚠",VLOOKUP(AN143,'G-3 Multipliers'!$S$3:$T$9,2,FALSE)))</f>
        <v/>
      </c>
      <c r="AP143" s="513" t="str">
        <f t="shared" si="33"/>
        <v/>
      </c>
      <c r="AQ143" s="231"/>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7" t="str">
        <f>'D-1 Off Site Habitat Baseline'!AL143</f>
        <v/>
      </c>
      <c r="F144" s="520" t="str">
        <f>IF(E144="","",IF(ISNA(VLOOKUP($E144,'D-1 Off Site Habitat Baseline'!$D$1:$O$258,4,FALSE)),"",(VLOOKUP($E144,'D-1 Off Site Habitat Baseline'!$D$1:$O$258,4,FALSE))))</f>
        <v/>
      </c>
      <c r="G144" s="520" t="str">
        <f>IF(E144="","",IF(ISNA(VLOOKUP($E144,'D-1 Off Site Habitat Baseline'!$D$1:$O$258,5,FALSE)),"",(VLOOKUP($E144,'D-1 Off Site Habitat Baseline'!$D$1:$O$258,5,FALSE))))</f>
        <v/>
      </c>
      <c r="H144" s="520" t="str">
        <f>IF(E144="","",IF(ISNA(VLOOKUP($E144,'D-1 Off Site Habitat Baseline'!$D$1:$O$258,6,FALSE)),"",(VLOOKUP($E144,'D-1 Off Site Habitat Baseline'!$D$1:$O$258,6,FALSE))))</f>
        <v/>
      </c>
      <c r="I144" s="520" t="str">
        <f>IF(E144="","",IF(ISNA(VLOOKUP($E144,'D-1 Off Site Habitat Baseline'!$D$1:$O$258,7,FALSE)),"",(VLOOKUP($E144,'D-1 Off Site Habitat Baseline'!$D$1:$O$258,7,FALSE))))</f>
        <v/>
      </c>
      <c r="J144" s="520" t="str">
        <f>IF(E144="","",IF(ISNA(VLOOKUP($E144,'D-1 Off Site Habitat Baseline'!$D$1:$O$258,8,FALSE)),"",(VLOOKUP($E144,'D-1 Off Site Habitat Baseline'!$D$1:$O$258,8,FALSE))))</f>
        <v/>
      </c>
      <c r="K144" s="520" t="str">
        <f>IF(E144="","",IF(ISNA(VLOOKUP($E144,'D-1 Off Site Habitat Baseline'!$D$1:$O$258,9,FALSE)),"",(VLOOKUP($E144,'D-1 Off Site Habitat Baseline'!$D$1:$O$258,9,FALSE))))</f>
        <v/>
      </c>
      <c r="L144" s="520" t="str">
        <f>IF(E144="","",IF(ISNA(VLOOKUP($E144,'D-1 Off Site Habitat Baseline'!$D$1:$O$258,11,FALSE)),"",(VLOOKUP($E144,'D-1 Off Site Habitat Baseline'!$D$1:$O$258,11,FALSE))))</f>
        <v/>
      </c>
      <c r="M144" s="520" t="str">
        <f>IF(E144="","",IF(ISNA(VLOOKUP($E144,'D-1 Off Site Habitat Baseline'!$D$1:$O$258,12,FALSE)),"",(VLOOKUP($E144,'D-1 Off Site Habitat Baseline'!$D$1:$O$258,12,FALSE))))</f>
        <v/>
      </c>
      <c r="N144" s="520" t="str">
        <f>IF(E144="","",IF(ISNA(VLOOKUP($E144,'D-1 Off Site Habitat Baseline'!$D$1:$X$258,14,FALSE)),"",(VLOOKUP($E144,'D-1 Off Site Habitat Baseline'!$D$1:$X$258,14,FALSE))))</f>
        <v/>
      </c>
      <c r="O144" s="524" t="str">
        <f>IF(E144="","",IF(ISNA(VLOOKUP($E144,'D-1 Off Site Habitat Baseline'!$D$1:$X$258,13,FALSE)),"",(VLOOKUP($E144,'D-1 Off Site Habitat Baseline'!$D$1:$X$258,13,FALSE))))</f>
        <v/>
      </c>
      <c r="P144" s="232" t="str">
        <f>IFERROR(INDEX('G-1 All Habitats'!$AG$3:$AG$15,MATCH(Q144,'G-1 All Habitats'!$AF$3:$AF$15,0)),"")</f>
        <v/>
      </c>
      <c r="Q144" s="228" t="str">
        <f t="shared" si="34"/>
        <v/>
      </c>
      <c r="R144" s="229" t="str">
        <f t="shared" si="35"/>
        <v/>
      </c>
      <c r="S144" s="233" t="str">
        <f>IFERROR(INDEX('G-1 All Habitats'!$B$3:$B$129,MATCH(R144,'G-1 All Habitats'!$A$3:$A$129,0)),"")</f>
        <v/>
      </c>
      <c r="T144" s="507" t="str">
        <f t="shared" si="27"/>
        <v/>
      </c>
      <c r="U144" s="524" t="str">
        <f t="shared" si="28"/>
        <v/>
      </c>
      <c r="V144" s="523" t="str">
        <f t="shared" si="25"/>
        <v/>
      </c>
      <c r="W144" s="520" t="str">
        <f>IF(S144="","",VLOOKUP(S144,'G-1 All Habitats'!$B$2:$M$129,10,FALSE))</f>
        <v/>
      </c>
      <c r="X144" s="520" t="str">
        <f>IFERROR(VLOOKUP(W144,'G-1 All Habitats'!$V$3:$W$7,2,FALSE),"")</f>
        <v/>
      </c>
      <c r="Y144" s="203"/>
      <c r="Z144" s="524" t="str">
        <f>IFERROR(INDEX('G-8 Condition Look up'!$A$3:$H$130,MATCH(S144,'G-8 Condition Look up'!$A$3:$A$130,0),MATCH(Y144,'G-8 Condition Look up'!$A$3:$H$3,0)),"")</f>
        <v/>
      </c>
      <c r="AA144" s="145"/>
      <c r="AB144" s="540" t="str">
        <f>IF(AA144="","",IF(VLOOKUP(AA144,'G-3 Multipliers'!$L$3:$N$6,2,FALSE)=0,"Spatial Data Missing ⚠",VLOOKUP(AA144,'G-3 Multipliers'!$L$3:$N$6,2,FALSE)))</f>
        <v/>
      </c>
      <c r="AC144" s="524" t="str">
        <f>IF(AA144="","",IF(VLOOKUP(AA144,'G-3 Multipliers'!$L$3:$N$6,3,FALSE)=0,"Spatial Data Missing ⚠",VLOOKUP(AA144,'G-3 Multipliers'!$L$3:$N$6,3,FALSE)))</f>
        <v/>
      </c>
      <c r="AD144" s="537" t="str">
        <f t="shared" si="26"/>
        <v/>
      </c>
      <c r="AE144" s="203"/>
      <c r="AF144" s="203"/>
      <c r="AG144" s="520" t="str">
        <f t="shared" si="29"/>
        <v/>
      </c>
      <c r="AH144" s="544" t="str">
        <f t="shared" si="30"/>
        <v/>
      </c>
      <c r="AI144" s="525" t="str">
        <f>IF(AH144="Check Data ⚠","Check Data ⚠",IFERROR(VLOOKUP(AH144,'G-4 Temporal multipliers'!$A$4:$C$36,3,FALSE),""))</f>
        <v/>
      </c>
      <c r="AJ144" s="537" t="str">
        <f>IF(S144="","",VLOOKUP(S144,'G-3 Multipliers'!$A$2:$E$129,4,FALSE))</f>
        <v/>
      </c>
      <c r="AK144" s="520" t="str">
        <f t="shared" si="31"/>
        <v/>
      </c>
      <c r="AL144" s="520" t="str">
        <f t="shared" si="32"/>
        <v/>
      </c>
      <c r="AM144" s="524" t="str">
        <f>IFERROR(IF(F144="","",IF(AH144="Check Data ⚠","Check Data ⚠",VLOOKUP(AL144, 'G-3 Multipliers'!$P$2:$Q$6,2,FALSE))),"")</f>
        <v/>
      </c>
      <c r="AN144" s="197"/>
      <c r="AO144" s="540" t="str">
        <f>IF(AN144="","",IF(VLOOKUP(AN144,'G-3 Multipliers'!$S$3:$T$9,2,FALSE)=0,"Spatial Data Missing ⚠",VLOOKUP(AN144,'G-3 Multipliers'!$S$3:$T$9,2,FALSE)))</f>
        <v/>
      </c>
      <c r="AP144" s="513" t="str">
        <f t="shared" si="33"/>
        <v/>
      </c>
      <c r="AQ144" s="231"/>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7" t="str">
        <f>'D-1 Off Site Habitat Baseline'!AL144</f>
        <v/>
      </c>
      <c r="F145" s="520" t="str">
        <f>IF(E145="","",IF(ISNA(VLOOKUP($E145,'D-1 Off Site Habitat Baseline'!$D$1:$O$258,4,FALSE)),"",(VLOOKUP($E145,'D-1 Off Site Habitat Baseline'!$D$1:$O$258,4,FALSE))))</f>
        <v/>
      </c>
      <c r="G145" s="520" t="str">
        <f>IF(E145="","",IF(ISNA(VLOOKUP($E145,'D-1 Off Site Habitat Baseline'!$D$1:$O$258,5,FALSE)),"",(VLOOKUP($E145,'D-1 Off Site Habitat Baseline'!$D$1:$O$258,5,FALSE))))</f>
        <v/>
      </c>
      <c r="H145" s="520" t="str">
        <f>IF(E145="","",IF(ISNA(VLOOKUP($E145,'D-1 Off Site Habitat Baseline'!$D$1:$O$258,6,FALSE)),"",(VLOOKUP($E145,'D-1 Off Site Habitat Baseline'!$D$1:$O$258,6,FALSE))))</f>
        <v/>
      </c>
      <c r="I145" s="520" t="str">
        <f>IF(E145="","",IF(ISNA(VLOOKUP($E145,'D-1 Off Site Habitat Baseline'!$D$1:$O$258,7,FALSE)),"",(VLOOKUP($E145,'D-1 Off Site Habitat Baseline'!$D$1:$O$258,7,FALSE))))</f>
        <v/>
      </c>
      <c r="J145" s="520" t="str">
        <f>IF(E145="","",IF(ISNA(VLOOKUP($E145,'D-1 Off Site Habitat Baseline'!$D$1:$O$258,8,FALSE)),"",(VLOOKUP($E145,'D-1 Off Site Habitat Baseline'!$D$1:$O$258,8,FALSE))))</f>
        <v/>
      </c>
      <c r="K145" s="520" t="str">
        <f>IF(E145="","",IF(ISNA(VLOOKUP($E145,'D-1 Off Site Habitat Baseline'!$D$1:$O$258,9,FALSE)),"",(VLOOKUP($E145,'D-1 Off Site Habitat Baseline'!$D$1:$O$258,9,FALSE))))</f>
        <v/>
      </c>
      <c r="L145" s="520" t="str">
        <f>IF(E145="","",IF(ISNA(VLOOKUP($E145,'D-1 Off Site Habitat Baseline'!$D$1:$O$258,11,FALSE)),"",(VLOOKUP($E145,'D-1 Off Site Habitat Baseline'!$D$1:$O$258,11,FALSE))))</f>
        <v/>
      </c>
      <c r="M145" s="520" t="str">
        <f>IF(E145="","",IF(ISNA(VLOOKUP($E145,'D-1 Off Site Habitat Baseline'!$D$1:$O$258,12,FALSE)),"",(VLOOKUP($E145,'D-1 Off Site Habitat Baseline'!$D$1:$O$258,12,FALSE))))</f>
        <v/>
      </c>
      <c r="N145" s="520" t="str">
        <f>IF(E145="","",IF(ISNA(VLOOKUP($E145,'D-1 Off Site Habitat Baseline'!$D$1:$X$258,14,FALSE)),"",(VLOOKUP($E145,'D-1 Off Site Habitat Baseline'!$D$1:$X$258,14,FALSE))))</f>
        <v/>
      </c>
      <c r="O145" s="524" t="str">
        <f>IF(E145="","",IF(ISNA(VLOOKUP($E145,'D-1 Off Site Habitat Baseline'!$D$1:$X$258,13,FALSE)),"",(VLOOKUP($E145,'D-1 Off Site Habitat Baseline'!$D$1:$X$258,13,FALSE))))</f>
        <v/>
      </c>
      <c r="P145" s="232" t="str">
        <f>IFERROR(INDEX('G-1 All Habitats'!$AG$3:$AG$15,MATCH(Q145,'G-1 All Habitats'!$AF$3:$AF$15,0)),"")</f>
        <v/>
      </c>
      <c r="Q145" s="228" t="str">
        <f t="shared" si="34"/>
        <v/>
      </c>
      <c r="R145" s="229" t="str">
        <f t="shared" si="35"/>
        <v/>
      </c>
      <c r="S145" s="233" t="str">
        <f>IFERROR(INDEX('G-1 All Habitats'!$B$3:$B$129,MATCH(R145,'G-1 All Habitats'!$A$3:$A$129,0)),"")</f>
        <v/>
      </c>
      <c r="T145" s="507" t="str">
        <f t="shared" si="27"/>
        <v/>
      </c>
      <c r="U145" s="524" t="str">
        <f t="shared" si="28"/>
        <v/>
      </c>
      <c r="V145" s="523" t="str">
        <f t="shared" si="25"/>
        <v/>
      </c>
      <c r="W145" s="520" t="str">
        <f>IF(S145="","",VLOOKUP(S145,'G-1 All Habitats'!$B$2:$M$129,10,FALSE))</f>
        <v/>
      </c>
      <c r="X145" s="520" t="str">
        <f>IFERROR(VLOOKUP(W145,'G-1 All Habitats'!$V$3:$W$7,2,FALSE),"")</f>
        <v/>
      </c>
      <c r="Y145" s="203"/>
      <c r="Z145" s="524" t="str">
        <f>IFERROR(INDEX('G-8 Condition Look up'!$A$3:$H$130,MATCH(S145,'G-8 Condition Look up'!$A$3:$A$130,0),MATCH(Y145,'G-8 Condition Look up'!$A$3:$H$3,0)),"")</f>
        <v/>
      </c>
      <c r="AA145" s="145"/>
      <c r="AB145" s="540" t="str">
        <f>IF(AA145="","",IF(VLOOKUP(AA145,'G-3 Multipliers'!$L$3:$N$6,2,FALSE)=0,"Spatial Data Missing ⚠",VLOOKUP(AA145,'G-3 Multipliers'!$L$3:$N$6,2,FALSE)))</f>
        <v/>
      </c>
      <c r="AC145" s="524" t="str">
        <f>IF(AA145="","",IF(VLOOKUP(AA145,'G-3 Multipliers'!$L$3:$N$6,3,FALSE)=0,"Spatial Data Missing ⚠",VLOOKUP(AA145,'G-3 Multipliers'!$L$3:$N$6,3,FALSE)))</f>
        <v/>
      </c>
      <c r="AD145" s="537" t="str">
        <f t="shared" si="26"/>
        <v/>
      </c>
      <c r="AE145" s="203"/>
      <c r="AF145" s="203"/>
      <c r="AG145" s="520" t="str">
        <f t="shared" si="29"/>
        <v/>
      </c>
      <c r="AH145" s="544" t="str">
        <f t="shared" si="30"/>
        <v/>
      </c>
      <c r="AI145" s="525" t="str">
        <f>IF(AH145="Check Data ⚠","Check Data ⚠",IFERROR(VLOOKUP(AH145,'G-4 Temporal multipliers'!$A$4:$C$36,3,FALSE),""))</f>
        <v/>
      </c>
      <c r="AJ145" s="537" t="str">
        <f>IF(S145="","",VLOOKUP(S145,'G-3 Multipliers'!$A$2:$E$129,4,FALSE))</f>
        <v/>
      </c>
      <c r="AK145" s="520" t="str">
        <f t="shared" si="31"/>
        <v/>
      </c>
      <c r="AL145" s="520" t="str">
        <f t="shared" si="32"/>
        <v/>
      </c>
      <c r="AM145" s="524" t="str">
        <f>IFERROR(IF(F145="","",IF(AH145="Check Data ⚠","Check Data ⚠",VLOOKUP(AL145, 'G-3 Multipliers'!$P$2:$Q$6,2,FALSE))),"")</f>
        <v/>
      </c>
      <c r="AN145" s="197"/>
      <c r="AO145" s="540" t="str">
        <f>IF(AN145="","",IF(VLOOKUP(AN145,'G-3 Multipliers'!$S$3:$T$9,2,FALSE)=0,"Spatial Data Missing ⚠",VLOOKUP(AN145,'G-3 Multipliers'!$S$3:$T$9,2,FALSE)))</f>
        <v/>
      </c>
      <c r="AP145" s="513" t="str">
        <f t="shared" si="33"/>
        <v/>
      </c>
      <c r="AQ145" s="231"/>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7" t="str">
        <f>'D-1 Off Site Habitat Baseline'!AL145</f>
        <v/>
      </c>
      <c r="F146" s="520" t="str">
        <f>IF(E146="","",IF(ISNA(VLOOKUP($E146,'D-1 Off Site Habitat Baseline'!$D$1:$O$258,4,FALSE)),"",(VLOOKUP($E146,'D-1 Off Site Habitat Baseline'!$D$1:$O$258,4,FALSE))))</f>
        <v/>
      </c>
      <c r="G146" s="520" t="str">
        <f>IF(E146="","",IF(ISNA(VLOOKUP($E146,'D-1 Off Site Habitat Baseline'!$D$1:$O$258,5,FALSE)),"",(VLOOKUP($E146,'D-1 Off Site Habitat Baseline'!$D$1:$O$258,5,FALSE))))</f>
        <v/>
      </c>
      <c r="H146" s="520" t="str">
        <f>IF(E146="","",IF(ISNA(VLOOKUP($E146,'D-1 Off Site Habitat Baseline'!$D$1:$O$258,6,FALSE)),"",(VLOOKUP($E146,'D-1 Off Site Habitat Baseline'!$D$1:$O$258,6,FALSE))))</f>
        <v/>
      </c>
      <c r="I146" s="520" t="str">
        <f>IF(E146="","",IF(ISNA(VLOOKUP($E146,'D-1 Off Site Habitat Baseline'!$D$1:$O$258,7,FALSE)),"",(VLOOKUP($E146,'D-1 Off Site Habitat Baseline'!$D$1:$O$258,7,FALSE))))</f>
        <v/>
      </c>
      <c r="J146" s="520" t="str">
        <f>IF(E146="","",IF(ISNA(VLOOKUP($E146,'D-1 Off Site Habitat Baseline'!$D$1:$O$258,8,FALSE)),"",(VLOOKUP($E146,'D-1 Off Site Habitat Baseline'!$D$1:$O$258,8,FALSE))))</f>
        <v/>
      </c>
      <c r="K146" s="520" t="str">
        <f>IF(E146="","",IF(ISNA(VLOOKUP($E146,'D-1 Off Site Habitat Baseline'!$D$1:$O$258,9,FALSE)),"",(VLOOKUP($E146,'D-1 Off Site Habitat Baseline'!$D$1:$O$258,9,FALSE))))</f>
        <v/>
      </c>
      <c r="L146" s="520" t="str">
        <f>IF(E146="","",IF(ISNA(VLOOKUP($E146,'D-1 Off Site Habitat Baseline'!$D$1:$O$258,11,FALSE)),"",(VLOOKUP($E146,'D-1 Off Site Habitat Baseline'!$D$1:$O$258,11,FALSE))))</f>
        <v/>
      </c>
      <c r="M146" s="520" t="str">
        <f>IF(E146="","",IF(ISNA(VLOOKUP($E146,'D-1 Off Site Habitat Baseline'!$D$1:$O$258,12,FALSE)),"",(VLOOKUP($E146,'D-1 Off Site Habitat Baseline'!$D$1:$O$258,12,FALSE))))</f>
        <v/>
      </c>
      <c r="N146" s="520" t="str">
        <f>IF(E146="","",IF(ISNA(VLOOKUP($E146,'D-1 Off Site Habitat Baseline'!$D$1:$X$258,14,FALSE)),"",(VLOOKUP($E146,'D-1 Off Site Habitat Baseline'!$D$1:$X$258,14,FALSE))))</f>
        <v/>
      </c>
      <c r="O146" s="524" t="str">
        <f>IF(E146="","",IF(ISNA(VLOOKUP($E146,'D-1 Off Site Habitat Baseline'!$D$1:$X$258,13,FALSE)),"",(VLOOKUP($E146,'D-1 Off Site Habitat Baseline'!$D$1:$X$258,13,FALSE))))</f>
        <v/>
      </c>
      <c r="P146" s="232" t="str">
        <f>IFERROR(INDEX('G-1 All Habitats'!$AG$3:$AG$15,MATCH(Q146,'G-1 All Habitats'!$AF$3:$AF$15,0)),"")</f>
        <v/>
      </c>
      <c r="Q146" s="228" t="str">
        <f t="shared" si="34"/>
        <v/>
      </c>
      <c r="R146" s="229" t="str">
        <f t="shared" si="35"/>
        <v/>
      </c>
      <c r="S146" s="233" t="str">
        <f>IFERROR(INDEX('G-1 All Habitats'!$B$3:$B$129,MATCH(R146,'G-1 All Habitats'!$A$3:$A$129,0)),"")</f>
        <v/>
      </c>
      <c r="T146" s="507" t="str">
        <f t="shared" si="27"/>
        <v/>
      </c>
      <c r="U146" s="524" t="str">
        <f t="shared" si="28"/>
        <v/>
      </c>
      <c r="V146" s="523" t="str">
        <f t="shared" si="25"/>
        <v/>
      </c>
      <c r="W146" s="520" t="str">
        <f>IF(S146="","",VLOOKUP(S146,'G-1 All Habitats'!$B$2:$M$129,10,FALSE))</f>
        <v/>
      </c>
      <c r="X146" s="520" t="str">
        <f>IFERROR(VLOOKUP(W146,'G-1 All Habitats'!$V$3:$W$7,2,FALSE),"")</f>
        <v/>
      </c>
      <c r="Y146" s="203"/>
      <c r="Z146" s="524" t="str">
        <f>IFERROR(INDEX('G-8 Condition Look up'!$A$3:$H$130,MATCH(S146,'G-8 Condition Look up'!$A$3:$A$130,0),MATCH(Y146,'G-8 Condition Look up'!$A$3:$H$3,0)),"")</f>
        <v/>
      </c>
      <c r="AA146" s="145"/>
      <c r="AB146" s="540" t="str">
        <f>IF(AA146="","",IF(VLOOKUP(AA146,'G-3 Multipliers'!$L$3:$N$6,2,FALSE)=0,"Spatial Data Missing ⚠",VLOOKUP(AA146,'G-3 Multipliers'!$L$3:$N$6,2,FALSE)))</f>
        <v/>
      </c>
      <c r="AC146" s="524" t="str">
        <f>IF(AA146="","",IF(VLOOKUP(AA146,'G-3 Multipliers'!$L$3:$N$6,3,FALSE)=0,"Spatial Data Missing ⚠",VLOOKUP(AA146,'G-3 Multipliers'!$L$3:$N$6,3,FALSE)))</f>
        <v/>
      </c>
      <c r="AD146" s="537" t="str">
        <f t="shared" si="26"/>
        <v/>
      </c>
      <c r="AE146" s="203"/>
      <c r="AF146" s="203"/>
      <c r="AG146" s="520" t="str">
        <f t="shared" si="29"/>
        <v/>
      </c>
      <c r="AH146" s="544" t="str">
        <f t="shared" si="30"/>
        <v/>
      </c>
      <c r="AI146" s="525" t="str">
        <f>IF(AH146="Check Data ⚠","Check Data ⚠",IFERROR(VLOOKUP(AH146,'G-4 Temporal multipliers'!$A$4:$C$36,3,FALSE),""))</f>
        <v/>
      </c>
      <c r="AJ146" s="537" t="str">
        <f>IF(S146="","",VLOOKUP(S146,'G-3 Multipliers'!$A$2:$E$129,4,FALSE))</f>
        <v/>
      </c>
      <c r="AK146" s="520" t="str">
        <f t="shared" si="31"/>
        <v/>
      </c>
      <c r="AL146" s="520" t="str">
        <f t="shared" si="32"/>
        <v/>
      </c>
      <c r="AM146" s="524" t="str">
        <f>IFERROR(IF(F146="","",IF(AH146="Check Data ⚠","Check Data ⚠",VLOOKUP(AL146, 'G-3 Multipliers'!$P$2:$Q$6,2,FALSE))),"")</f>
        <v/>
      </c>
      <c r="AN146" s="197"/>
      <c r="AO146" s="540" t="str">
        <f>IF(AN146="","",IF(VLOOKUP(AN146,'G-3 Multipliers'!$S$3:$T$9,2,FALSE)=0,"Spatial Data Missing ⚠",VLOOKUP(AN146,'G-3 Multipliers'!$S$3:$T$9,2,FALSE)))</f>
        <v/>
      </c>
      <c r="AP146" s="513" t="str">
        <f t="shared" si="33"/>
        <v/>
      </c>
      <c r="AQ146" s="231"/>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7" t="str">
        <f>'D-1 Off Site Habitat Baseline'!AL146</f>
        <v/>
      </c>
      <c r="F147" s="520" t="str">
        <f>IF(E147="","",IF(ISNA(VLOOKUP($E147,'D-1 Off Site Habitat Baseline'!$D$1:$O$258,4,FALSE)),"",(VLOOKUP($E147,'D-1 Off Site Habitat Baseline'!$D$1:$O$258,4,FALSE))))</f>
        <v/>
      </c>
      <c r="G147" s="520" t="str">
        <f>IF(E147="","",IF(ISNA(VLOOKUP($E147,'D-1 Off Site Habitat Baseline'!$D$1:$O$258,5,FALSE)),"",(VLOOKUP($E147,'D-1 Off Site Habitat Baseline'!$D$1:$O$258,5,FALSE))))</f>
        <v/>
      </c>
      <c r="H147" s="520" t="str">
        <f>IF(E147="","",IF(ISNA(VLOOKUP($E147,'D-1 Off Site Habitat Baseline'!$D$1:$O$258,6,FALSE)),"",(VLOOKUP($E147,'D-1 Off Site Habitat Baseline'!$D$1:$O$258,6,FALSE))))</f>
        <v/>
      </c>
      <c r="I147" s="520" t="str">
        <f>IF(E147="","",IF(ISNA(VLOOKUP($E147,'D-1 Off Site Habitat Baseline'!$D$1:$O$258,7,FALSE)),"",(VLOOKUP($E147,'D-1 Off Site Habitat Baseline'!$D$1:$O$258,7,FALSE))))</f>
        <v/>
      </c>
      <c r="J147" s="520" t="str">
        <f>IF(E147="","",IF(ISNA(VLOOKUP($E147,'D-1 Off Site Habitat Baseline'!$D$1:$O$258,8,FALSE)),"",(VLOOKUP($E147,'D-1 Off Site Habitat Baseline'!$D$1:$O$258,8,FALSE))))</f>
        <v/>
      </c>
      <c r="K147" s="520" t="str">
        <f>IF(E147="","",IF(ISNA(VLOOKUP($E147,'D-1 Off Site Habitat Baseline'!$D$1:$O$258,9,FALSE)),"",(VLOOKUP($E147,'D-1 Off Site Habitat Baseline'!$D$1:$O$258,9,FALSE))))</f>
        <v/>
      </c>
      <c r="L147" s="520" t="str">
        <f>IF(E147="","",IF(ISNA(VLOOKUP($E147,'D-1 Off Site Habitat Baseline'!$D$1:$O$258,11,FALSE)),"",(VLOOKUP($E147,'D-1 Off Site Habitat Baseline'!$D$1:$O$258,11,FALSE))))</f>
        <v/>
      </c>
      <c r="M147" s="520" t="str">
        <f>IF(E147="","",IF(ISNA(VLOOKUP($E147,'D-1 Off Site Habitat Baseline'!$D$1:$O$258,12,FALSE)),"",(VLOOKUP($E147,'D-1 Off Site Habitat Baseline'!$D$1:$O$258,12,FALSE))))</f>
        <v/>
      </c>
      <c r="N147" s="520" t="str">
        <f>IF(E147="","",IF(ISNA(VLOOKUP($E147,'D-1 Off Site Habitat Baseline'!$D$1:$X$258,14,FALSE)),"",(VLOOKUP($E147,'D-1 Off Site Habitat Baseline'!$D$1:$X$258,14,FALSE))))</f>
        <v/>
      </c>
      <c r="O147" s="524" t="str">
        <f>IF(E147="","",IF(ISNA(VLOOKUP($E147,'D-1 Off Site Habitat Baseline'!$D$1:$X$258,13,FALSE)),"",(VLOOKUP($E147,'D-1 Off Site Habitat Baseline'!$D$1:$X$258,13,FALSE))))</f>
        <v/>
      </c>
      <c r="P147" s="232" t="str">
        <f>IFERROR(INDEX('G-1 All Habitats'!$AG$3:$AG$15,MATCH(Q147,'G-1 All Habitats'!$AF$3:$AF$15,0)),"")</f>
        <v/>
      </c>
      <c r="Q147" s="228" t="str">
        <f t="shared" si="34"/>
        <v/>
      </c>
      <c r="R147" s="229" t="str">
        <f t="shared" si="35"/>
        <v/>
      </c>
      <c r="S147" s="233" t="str">
        <f>IFERROR(INDEX('G-1 All Habitats'!$B$3:$B$129,MATCH(R147,'G-1 All Habitats'!$A$3:$A$129,0)),"")</f>
        <v/>
      </c>
      <c r="T147" s="507" t="str">
        <f t="shared" si="27"/>
        <v/>
      </c>
      <c r="U147" s="524" t="str">
        <f t="shared" si="28"/>
        <v/>
      </c>
      <c r="V147" s="523" t="str">
        <f t="shared" si="25"/>
        <v/>
      </c>
      <c r="W147" s="520" t="str">
        <f>IF(S147="","",VLOOKUP(S147,'G-1 All Habitats'!$B$2:$M$129,10,FALSE))</f>
        <v/>
      </c>
      <c r="X147" s="520" t="str">
        <f>IFERROR(VLOOKUP(W147,'G-1 All Habitats'!$V$3:$W$7,2,FALSE),"")</f>
        <v/>
      </c>
      <c r="Y147" s="203"/>
      <c r="Z147" s="524" t="str">
        <f>IFERROR(INDEX('G-8 Condition Look up'!$A$3:$H$130,MATCH(S147,'G-8 Condition Look up'!$A$3:$A$130,0),MATCH(Y147,'G-8 Condition Look up'!$A$3:$H$3,0)),"")</f>
        <v/>
      </c>
      <c r="AA147" s="145"/>
      <c r="AB147" s="540" t="str">
        <f>IF(AA147="","",IF(VLOOKUP(AA147,'G-3 Multipliers'!$L$3:$N$6,2,FALSE)=0,"Spatial Data Missing ⚠",VLOOKUP(AA147,'G-3 Multipliers'!$L$3:$N$6,2,FALSE)))</f>
        <v/>
      </c>
      <c r="AC147" s="524" t="str">
        <f>IF(AA147="","",IF(VLOOKUP(AA147,'G-3 Multipliers'!$L$3:$N$6,3,FALSE)=0,"Spatial Data Missing ⚠",VLOOKUP(AA147,'G-3 Multipliers'!$L$3:$N$6,3,FALSE)))</f>
        <v/>
      </c>
      <c r="AD147" s="537" t="str">
        <f t="shared" si="26"/>
        <v/>
      </c>
      <c r="AE147" s="203"/>
      <c r="AF147" s="203"/>
      <c r="AG147" s="520" t="str">
        <f t="shared" si="29"/>
        <v/>
      </c>
      <c r="AH147" s="544" t="str">
        <f t="shared" si="30"/>
        <v/>
      </c>
      <c r="AI147" s="525" t="str">
        <f>IF(AH147="Check Data ⚠","Check Data ⚠",IFERROR(VLOOKUP(AH147,'G-4 Temporal multipliers'!$A$4:$C$36,3,FALSE),""))</f>
        <v/>
      </c>
      <c r="AJ147" s="537" t="str">
        <f>IF(S147="","",VLOOKUP(S147,'G-3 Multipliers'!$A$2:$E$129,4,FALSE))</f>
        <v/>
      </c>
      <c r="AK147" s="520" t="str">
        <f t="shared" si="31"/>
        <v/>
      </c>
      <c r="AL147" s="520" t="str">
        <f t="shared" si="32"/>
        <v/>
      </c>
      <c r="AM147" s="524" t="str">
        <f>IFERROR(IF(F147="","",IF(AH147="Check Data ⚠","Check Data ⚠",VLOOKUP(AL147, 'G-3 Multipliers'!$P$2:$Q$6,2,FALSE))),"")</f>
        <v/>
      </c>
      <c r="AN147" s="197"/>
      <c r="AO147" s="540" t="str">
        <f>IF(AN147="","",IF(VLOOKUP(AN147,'G-3 Multipliers'!$S$3:$T$9,2,FALSE)=0,"Spatial Data Missing ⚠",VLOOKUP(AN147,'G-3 Multipliers'!$S$3:$T$9,2,FALSE)))</f>
        <v/>
      </c>
      <c r="AP147" s="513" t="str">
        <f t="shared" si="33"/>
        <v/>
      </c>
      <c r="AQ147" s="231"/>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7" t="str">
        <f>'D-1 Off Site Habitat Baseline'!AL147</f>
        <v/>
      </c>
      <c r="F148" s="520" t="str">
        <f>IF(E148="","",IF(ISNA(VLOOKUP($E148,'D-1 Off Site Habitat Baseline'!$D$1:$O$258,4,FALSE)),"",(VLOOKUP($E148,'D-1 Off Site Habitat Baseline'!$D$1:$O$258,4,FALSE))))</f>
        <v/>
      </c>
      <c r="G148" s="520" t="str">
        <f>IF(E148="","",IF(ISNA(VLOOKUP($E148,'D-1 Off Site Habitat Baseline'!$D$1:$O$258,5,FALSE)),"",(VLOOKUP($E148,'D-1 Off Site Habitat Baseline'!$D$1:$O$258,5,FALSE))))</f>
        <v/>
      </c>
      <c r="H148" s="520" t="str">
        <f>IF(E148="","",IF(ISNA(VLOOKUP($E148,'D-1 Off Site Habitat Baseline'!$D$1:$O$258,6,FALSE)),"",(VLOOKUP($E148,'D-1 Off Site Habitat Baseline'!$D$1:$O$258,6,FALSE))))</f>
        <v/>
      </c>
      <c r="I148" s="520" t="str">
        <f>IF(E148="","",IF(ISNA(VLOOKUP($E148,'D-1 Off Site Habitat Baseline'!$D$1:$O$258,7,FALSE)),"",(VLOOKUP($E148,'D-1 Off Site Habitat Baseline'!$D$1:$O$258,7,FALSE))))</f>
        <v/>
      </c>
      <c r="J148" s="520" t="str">
        <f>IF(E148="","",IF(ISNA(VLOOKUP($E148,'D-1 Off Site Habitat Baseline'!$D$1:$O$258,8,FALSE)),"",(VLOOKUP($E148,'D-1 Off Site Habitat Baseline'!$D$1:$O$258,8,FALSE))))</f>
        <v/>
      </c>
      <c r="K148" s="520" t="str">
        <f>IF(E148="","",IF(ISNA(VLOOKUP($E148,'D-1 Off Site Habitat Baseline'!$D$1:$O$258,9,FALSE)),"",(VLOOKUP($E148,'D-1 Off Site Habitat Baseline'!$D$1:$O$258,9,FALSE))))</f>
        <v/>
      </c>
      <c r="L148" s="520" t="str">
        <f>IF(E148="","",IF(ISNA(VLOOKUP($E148,'D-1 Off Site Habitat Baseline'!$D$1:$O$258,11,FALSE)),"",(VLOOKUP($E148,'D-1 Off Site Habitat Baseline'!$D$1:$O$258,11,FALSE))))</f>
        <v/>
      </c>
      <c r="M148" s="520" t="str">
        <f>IF(E148="","",IF(ISNA(VLOOKUP($E148,'D-1 Off Site Habitat Baseline'!$D$1:$O$258,12,FALSE)),"",(VLOOKUP($E148,'D-1 Off Site Habitat Baseline'!$D$1:$O$258,12,FALSE))))</f>
        <v/>
      </c>
      <c r="N148" s="520" t="str">
        <f>IF(E148="","",IF(ISNA(VLOOKUP($E148,'D-1 Off Site Habitat Baseline'!$D$1:$X$258,14,FALSE)),"",(VLOOKUP($E148,'D-1 Off Site Habitat Baseline'!$D$1:$X$258,14,FALSE))))</f>
        <v/>
      </c>
      <c r="O148" s="524" t="str">
        <f>IF(E148="","",IF(ISNA(VLOOKUP($E148,'D-1 Off Site Habitat Baseline'!$D$1:$X$258,13,FALSE)),"",(VLOOKUP($E148,'D-1 Off Site Habitat Baseline'!$D$1:$X$258,13,FALSE))))</f>
        <v/>
      </c>
      <c r="P148" s="232" t="str">
        <f>IFERROR(INDEX('G-1 All Habitats'!$AG$3:$AG$15,MATCH(Q148,'G-1 All Habitats'!$AF$3:$AF$15,0)),"")</f>
        <v/>
      </c>
      <c r="Q148" s="228" t="str">
        <f t="shared" si="34"/>
        <v/>
      </c>
      <c r="R148" s="229" t="str">
        <f t="shared" si="35"/>
        <v/>
      </c>
      <c r="S148" s="233" t="str">
        <f>IFERROR(INDEX('G-1 All Habitats'!$B$3:$B$129,MATCH(R148,'G-1 All Habitats'!$A$3:$A$129,0)),"")</f>
        <v/>
      </c>
      <c r="T148" s="507" t="str">
        <f t="shared" si="27"/>
        <v/>
      </c>
      <c r="U148" s="524" t="str">
        <f t="shared" si="28"/>
        <v/>
      </c>
      <c r="V148" s="523" t="str">
        <f t="shared" si="25"/>
        <v/>
      </c>
      <c r="W148" s="520" t="str">
        <f>IF(S148="","",VLOOKUP(S148,'G-1 All Habitats'!$B$2:$M$129,10,FALSE))</f>
        <v/>
      </c>
      <c r="X148" s="520" t="str">
        <f>IFERROR(VLOOKUP(W148,'G-1 All Habitats'!$V$3:$W$7,2,FALSE),"")</f>
        <v/>
      </c>
      <c r="Y148" s="203"/>
      <c r="Z148" s="524" t="str">
        <f>IFERROR(INDEX('G-8 Condition Look up'!$A$3:$H$130,MATCH(S148,'G-8 Condition Look up'!$A$3:$A$130,0),MATCH(Y148,'G-8 Condition Look up'!$A$3:$H$3,0)),"")</f>
        <v/>
      </c>
      <c r="AA148" s="145"/>
      <c r="AB148" s="540" t="str">
        <f>IF(AA148="","",IF(VLOOKUP(AA148,'G-3 Multipliers'!$L$3:$N$6,2,FALSE)=0,"Spatial Data Missing ⚠",VLOOKUP(AA148,'G-3 Multipliers'!$L$3:$N$6,2,FALSE)))</f>
        <v/>
      </c>
      <c r="AC148" s="524" t="str">
        <f>IF(AA148="","",IF(VLOOKUP(AA148,'G-3 Multipliers'!$L$3:$N$6,3,FALSE)=0,"Spatial Data Missing ⚠",VLOOKUP(AA148,'G-3 Multipliers'!$L$3:$N$6,3,FALSE)))</f>
        <v/>
      </c>
      <c r="AD148" s="537" t="str">
        <f t="shared" si="26"/>
        <v/>
      </c>
      <c r="AE148" s="203"/>
      <c r="AF148" s="203"/>
      <c r="AG148" s="520" t="str">
        <f t="shared" si="29"/>
        <v/>
      </c>
      <c r="AH148" s="544" t="str">
        <f t="shared" si="30"/>
        <v/>
      </c>
      <c r="AI148" s="525" t="str">
        <f>IF(AH148="Check Data ⚠","Check Data ⚠",IFERROR(VLOOKUP(AH148,'G-4 Temporal multipliers'!$A$4:$C$36,3,FALSE),""))</f>
        <v/>
      </c>
      <c r="AJ148" s="537" t="str">
        <f>IF(S148="","",VLOOKUP(S148,'G-3 Multipliers'!$A$2:$E$129,4,FALSE))</f>
        <v/>
      </c>
      <c r="AK148" s="520" t="str">
        <f t="shared" si="31"/>
        <v/>
      </c>
      <c r="AL148" s="520" t="str">
        <f t="shared" si="32"/>
        <v/>
      </c>
      <c r="AM148" s="524" t="str">
        <f>IFERROR(IF(F148="","",IF(AH148="Check Data ⚠","Check Data ⚠",VLOOKUP(AL148, 'G-3 Multipliers'!$P$2:$Q$6,2,FALSE))),"")</f>
        <v/>
      </c>
      <c r="AN148" s="197"/>
      <c r="AO148" s="540" t="str">
        <f>IF(AN148="","",IF(VLOOKUP(AN148,'G-3 Multipliers'!$S$3:$T$9,2,FALSE)=0,"Spatial Data Missing ⚠",VLOOKUP(AN148,'G-3 Multipliers'!$S$3:$T$9,2,FALSE)))</f>
        <v/>
      </c>
      <c r="AP148" s="513" t="str">
        <f t="shared" si="33"/>
        <v/>
      </c>
      <c r="AQ148" s="231"/>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7" t="str">
        <f>'D-1 Off Site Habitat Baseline'!AL148</f>
        <v/>
      </c>
      <c r="F149" s="520" t="str">
        <f>IF(E149="","",IF(ISNA(VLOOKUP($E149,'D-1 Off Site Habitat Baseline'!$D$1:$O$258,4,FALSE)),"",(VLOOKUP($E149,'D-1 Off Site Habitat Baseline'!$D$1:$O$258,4,FALSE))))</f>
        <v/>
      </c>
      <c r="G149" s="520" t="str">
        <f>IF(E149="","",IF(ISNA(VLOOKUP($E149,'D-1 Off Site Habitat Baseline'!$D$1:$O$258,5,FALSE)),"",(VLOOKUP($E149,'D-1 Off Site Habitat Baseline'!$D$1:$O$258,5,FALSE))))</f>
        <v/>
      </c>
      <c r="H149" s="520" t="str">
        <f>IF(E149="","",IF(ISNA(VLOOKUP($E149,'D-1 Off Site Habitat Baseline'!$D$1:$O$258,6,FALSE)),"",(VLOOKUP($E149,'D-1 Off Site Habitat Baseline'!$D$1:$O$258,6,FALSE))))</f>
        <v/>
      </c>
      <c r="I149" s="520" t="str">
        <f>IF(E149="","",IF(ISNA(VLOOKUP($E149,'D-1 Off Site Habitat Baseline'!$D$1:$O$258,7,FALSE)),"",(VLOOKUP($E149,'D-1 Off Site Habitat Baseline'!$D$1:$O$258,7,FALSE))))</f>
        <v/>
      </c>
      <c r="J149" s="520" t="str">
        <f>IF(E149="","",IF(ISNA(VLOOKUP($E149,'D-1 Off Site Habitat Baseline'!$D$1:$O$258,8,FALSE)),"",(VLOOKUP($E149,'D-1 Off Site Habitat Baseline'!$D$1:$O$258,8,FALSE))))</f>
        <v/>
      </c>
      <c r="K149" s="520" t="str">
        <f>IF(E149="","",IF(ISNA(VLOOKUP($E149,'D-1 Off Site Habitat Baseline'!$D$1:$O$258,9,FALSE)),"",(VLOOKUP($E149,'D-1 Off Site Habitat Baseline'!$D$1:$O$258,9,FALSE))))</f>
        <v/>
      </c>
      <c r="L149" s="520" t="str">
        <f>IF(E149="","",IF(ISNA(VLOOKUP($E149,'D-1 Off Site Habitat Baseline'!$D$1:$O$258,11,FALSE)),"",(VLOOKUP($E149,'D-1 Off Site Habitat Baseline'!$D$1:$O$258,11,FALSE))))</f>
        <v/>
      </c>
      <c r="M149" s="520" t="str">
        <f>IF(E149="","",IF(ISNA(VLOOKUP($E149,'D-1 Off Site Habitat Baseline'!$D$1:$O$258,12,FALSE)),"",(VLOOKUP($E149,'D-1 Off Site Habitat Baseline'!$D$1:$O$258,12,FALSE))))</f>
        <v/>
      </c>
      <c r="N149" s="520" t="str">
        <f>IF(E149="","",IF(ISNA(VLOOKUP($E149,'D-1 Off Site Habitat Baseline'!$D$1:$X$258,14,FALSE)),"",(VLOOKUP($E149,'D-1 Off Site Habitat Baseline'!$D$1:$X$258,14,FALSE))))</f>
        <v/>
      </c>
      <c r="O149" s="524" t="str">
        <f>IF(E149="","",IF(ISNA(VLOOKUP($E149,'D-1 Off Site Habitat Baseline'!$D$1:$X$258,13,FALSE)),"",(VLOOKUP($E149,'D-1 Off Site Habitat Baseline'!$D$1:$X$258,13,FALSE))))</f>
        <v/>
      </c>
      <c r="P149" s="232" t="str">
        <f>IFERROR(INDEX('G-1 All Habitats'!$AG$3:$AG$15,MATCH(Q149,'G-1 All Habitats'!$AF$3:$AF$15,0)),"")</f>
        <v/>
      </c>
      <c r="Q149" s="228" t="str">
        <f t="shared" si="34"/>
        <v/>
      </c>
      <c r="R149" s="229" t="str">
        <f t="shared" si="35"/>
        <v/>
      </c>
      <c r="S149" s="233" t="str">
        <f>IFERROR(INDEX('G-1 All Habitats'!$B$3:$B$129,MATCH(R149,'G-1 All Habitats'!$A$3:$A$129,0)),"")</f>
        <v/>
      </c>
      <c r="T149" s="507" t="str">
        <f t="shared" si="27"/>
        <v/>
      </c>
      <c r="U149" s="524" t="str">
        <f t="shared" si="28"/>
        <v/>
      </c>
      <c r="V149" s="523" t="str">
        <f t="shared" si="25"/>
        <v/>
      </c>
      <c r="W149" s="520" t="str">
        <f>IF(S149="","",VLOOKUP(S149,'G-1 All Habitats'!$B$2:$M$129,10,FALSE))</f>
        <v/>
      </c>
      <c r="X149" s="520" t="str">
        <f>IFERROR(VLOOKUP(W149,'G-1 All Habitats'!$V$3:$W$7,2,FALSE),"")</f>
        <v/>
      </c>
      <c r="Y149" s="203"/>
      <c r="Z149" s="524" t="str">
        <f>IFERROR(INDEX('G-8 Condition Look up'!$A$3:$H$130,MATCH(S149,'G-8 Condition Look up'!$A$3:$A$130,0),MATCH(Y149,'G-8 Condition Look up'!$A$3:$H$3,0)),"")</f>
        <v/>
      </c>
      <c r="AA149" s="145"/>
      <c r="AB149" s="540" t="str">
        <f>IF(AA149="","",IF(VLOOKUP(AA149,'G-3 Multipliers'!$L$3:$N$6,2,FALSE)=0,"Spatial Data Missing ⚠",VLOOKUP(AA149,'G-3 Multipliers'!$L$3:$N$6,2,FALSE)))</f>
        <v/>
      </c>
      <c r="AC149" s="524" t="str">
        <f>IF(AA149="","",IF(VLOOKUP(AA149,'G-3 Multipliers'!$L$3:$N$6,3,FALSE)=0,"Spatial Data Missing ⚠",VLOOKUP(AA149,'G-3 Multipliers'!$L$3:$N$6,3,FALSE)))</f>
        <v/>
      </c>
      <c r="AD149" s="537" t="str">
        <f t="shared" si="26"/>
        <v/>
      </c>
      <c r="AE149" s="203"/>
      <c r="AF149" s="203"/>
      <c r="AG149" s="520" t="str">
        <f t="shared" si="29"/>
        <v/>
      </c>
      <c r="AH149" s="544" t="str">
        <f t="shared" si="30"/>
        <v/>
      </c>
      <c r="AI149" s="525" t="str">
        <f>IF(AH149="Check Data ⚠","Check Data ⚠",IFERROR(VLOOKUP(AH149,'G-4 Temporal multipliers'!$A$4:$C$36,3,FALSE),""))</f>
        <v/>
      </c>
      <c r="AJ149" s="537" t="str">
        <f>IF(S149="","",VLOOKUP(S149,'G-3 Multipliers'!$A$2:$E$129,4,FALSE))</f>
        <v/>
      </c>
      <c r="AK149" s="520" t="str">
        <f t="shared" si="31"/>
        <v/>
      </c>
      <c r="AL149" s="520" t="str">
        <f t="shared" si="32"/>
        <v/>
      </c>
      <c r="AM149" s="524" t="str">
        <f>IFERROR(IF(F149="","",IF(AH149="Check Data ⚠","Check Data ⚠",VLOOKUP(AL149, 'G-3 Multipliers'!$P$2:$Q$6,2,FALSE))),"")</f>
        <v/>
      </c>
      <c r="AN149" s="197"/>
      <c r="AO149" s="540" t="str">
        <f>IF(AN149="","",IF(VLOOKUP(AN149,'G-3 Multipliers'!$S$3:$T$9,2,FALSE)=0,"Spatial Data Missing ⚠",VLOOKUP(AN149,'G-3 Multipliers'!$S$3:$T$9,2,FALSE)))</f>
        <v/>
      </c>
      <c r="AP149" s="513" t="str">
        <f t="shared" si="33"/>
        <v/>
      </c>
      <c r="AQ149" s="231"/>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7" t="str">
        <f>'D-1 Off Site Habitat Baseline'!AL149</f>
        <v/>
      </c>
      <c r="F150" s="520" t="str">
        <f>IF(E150="","",IF(ISNA(VLOOKUP($E150,'D-1 Off Site Habitat Baseline'!$D$1:$O$258,4,FALSE)),"",(VLOOKUP($E150,'D-1 Off Site Habitat Baseline'!$D$1:$O$258,4,FALSE))))</f>
        <v/>
      </c>
      <c r="G150" s="520" t="str">
        <f>IF(E150="","",IF(ISNA(VLOOKUP($E150,'D-1 Off Site Habitat Baseline'!$D$1:$O$258,5,FALSE)),"",(VLOOKUP($E150,'D-1 Off Site Habitat Baseline'!$D$1:$O$258,5,FALSE))))</f>
        <v/>
      </c>
      <c r="H150" s="520" t="str">
        <f>IF(E150="","",IF(ISNA(VLOOKUP($E150,'D-1 Off Site Habitat Baseline'!$D$1:$O$258,6,FALSE)),"",(VLOOKUP($E150,'D-1 Off Site Habitat Baseline'!$D$1:$O$258,6,FALSE))))</f>
        <v/>
      </c>
      <c r="I150" s="520" t="str">
        <f>IF(E150="","",IF(ISNA(VLOOKUP($E150,'D-1 Off Site Habitat Baseline'!$D$1:$O$258,7,FALSE)),"",(VLOOKUP($E150,'D-1 Off Site Habitat Baseline'!$D$1:$O$258,7,FALSE))))</f>
        <v/>
      </c>
      <c r="J150" s="520" t="str">
        <f>IF(E150="","",IF(ISNA(VLOOKUP($E150,'D-1 Off Site Habitat Baseline'!$D$1:$O$258,8,FALSE)),"",(VLOOKUP($E150,'D-1 Off Site Habitat Baseline'!$D$1:$O$258,8,FALSE))))</f>
        <v/>
      </c>
      <c r="K150" s="520" t="str">
        <f>IF(E150="","",IF(ISNA(VLOOKUP($E150,'D-1 Off Site Habitat Baseline'!$D$1:$O$258,9,FALSE)),"",(VLOOKUP($E150,'D-1 Off Site Habitat Baseline'!$D$1:$O$258,9,FALSE))))</f>
        <v/>
      </c>
      <c r="L150" s="520" t="str">
        <f>IF(E150="","",IF(ISNA(VLOOKUP($E150,'D-1 Off Site Habitat Baseline'!$D$1:$O$258,11,FALSE)),"",(VLOOKUP($E150,'D-1 Off Site Habitat Baseline'!$D$1:$O$258,11,FALSE))))</f>
        <v/>
      </c>
      <c r="M150" s="520" t="str">
        <f>IF(E150="","",IF(ISNA(VLOOKUP($E150,'D-1 Off Site Habitat Baseline'!$D$1:$O$258,12,FALSE)),"",(VLOOKUP($E150,'D-1 Off Site Habitat Baseline'!$D$1:$O$258,12,FALSE))))</f>
        <v/>
      </c>
      <c r="N150" s="520" t="str">
        <f>IF(E150="","",IF(ISNA(VLOOKUP($E150,'D-1 Off Site Habitat Baseline'!$D$1:$X$258,14,FALSE)),"",(VLOOKUP($E150,'D-1 Off Site Habitat Baseline'!$D$1:$X$258,14,FALSE))))</f>
        <v/>
      </c>
      <c r="O150" s="524" t="str">
        <f>IF(E150="","",IF(ISNA(VLOOKUP($E150,'D-1 Off Site Habitat Baseline'!$D$1:$X$258,13,FALSE)),"",(VLOOKUP($E150,'D-1 Off Site Habitat Baseline'!$D$1:$X$258,13,FALSE))))</f>
        <v/>
      </c>
      <c r="P150" s="232" t="str">
        <f>IFERROR(INDEX('G-1 All Habitats'!$AG$3:$AG$15,MATCH(Q150,'G-1 All Habitats'!$AF$3:$AF$15,0)),"")</f>
        <v/>
      </c>
      <c r="Q150" s="228" t="str">
        <f t="shared" si="34"/>
        <v/>
      </c>
      <c r="R150" s="229" t="str">
        <f t="shared" si="35"/>
        <v/>
      </c>
      <c r="S150" s="233" t="str">
        <f>IFERROR(INDEX('G-1 All Habitats'!$B$3:$B$129,MATCH(R150,'G-1 All Habitats'!$A$3:$A$129,0)),"")</f>
        <v/>
      </c>
      <c r="T150" s="507" t="str">
        <f t="shared" si="27"/>
        <v/>
      </c>
      <c r="U150" s="524" t="str">
        <f t="shared" si="28"/>
        <v/>
      </c>
      <c r="V150" s="523" t="str">
        <f t="shared" si="25"/>
        <v/>
      </c>
      <c r="W150" s="520" t="str">
        <f>IF(S150="","",VLOOKUP(S150,'G-1 All Habitats'!$B$2:$M$129,10,FALSE))</f>
        <v/>
      </c>
      <c r="X150" s="520" t="str">
        <f>IFERROR(VLOOKUP(W150,'G-1 All Habitats'!$V$3:$W$7,2,FALSE),"")</f>
        <v/>
      </c>
      <c r="Y150" s="203"/>
      <c r="Z150" s="524" t="str">
        <f>IFERROR(INDEX('G-8 Condition Look up'!$A$3:$H$130,MATCH(S150,'G-8 Condition Look up'!$A$3:$A$130,0),MATCH(Y150,'G-8 Condition Look up'!$A$3:$H$3,0)),"")</f>
        <v/>
      </c>
      <c r="AA150" s="145"/>
      <c r="AB150" s="540" t="str">
        <f>IF(AA150="","",IF(VLOOKUP(AA150,'G-3 Multipliers'!$L$3:$N$6,2,FALSE)=0,"Spatial Data Missing ⚠",VLOOKUP(AA150,'G-3 Multipliers'!$L$3:$N$6,2,FALSE)))</f>
        <v/>
      </c>
      <c r="AC150" s="524" t="str">
        <f>IF(AA150="","",IF(VLOOKUP(AA150,'G-3 Multipliers'!$L$3:$N$6,3,FALSE)=0,"Spatial Data Missing ⚠",VLOOKUP(AA150,'G-3 Multipliers'!$L$3:$N$6,3,FALSE)))</f>
        <v/>
      </c>
      <c r="AD150" s="537" t="str">
        <f t="shared" si="26"/>
        <v/>
      </c>
      <c r="AE150" s="203"/>
      <c r="AF150" s="203"/>
      <c r="AG150" s="520" t="str">
        <f t="shared" si="29"/>
        <v/>
      </c>
      <c r="AH150" s="544" t="str">
        <f t="shared" si="30"/>
        <v/>
      </c>
      <c r="AI150" s="525" t="str">
        <f>IF(AH150="Check Data ⚠","Check Data ⚠",IFERROR(VLOOKUP(AH150,'G-4 Temporal multipliers'!$A$4:$C$36,3,FALSE),""))</f>
        <v/>
      </c>
      <c r="AJ150" s="537" t="str">
        <f>IF(S150="","",VLOOKUP(S150,'G-3 Multipliers'!$A$2:$E$129,4,FALSE))</f>
        <v/>
      </c>
      <c r="AK150" s="520" t="str">
        <f t="shared" si="31"/>
        <v/>
      </c>
      <c r="AL150" s="520" t="str">
        <f t="shared" si="32"/>
        <v/>
      </c>
      <c r="AM150" s="524" t="str">
        <f>IFERROR(IF(F150="","",IF(AH150="Check Data ⚠","Check Data ⚠",VLOOKUP(AL150, 'G-3 Multipliers'!$P$2:$Q$6,2,FALSE))),"")</f>
        <v/>
      </c>
      <c r="AN150" s="197"/>
      <c r="AO150" s="540" t="str">
        <f>IF(AN150="","",IF(VLOOKUP(AN150,'G-3 Multipliers'!$S$3:$T$9,2,FALSE)=0,"Spatial Data Missing ⚠",VLOOKUP(AN150,'G-3 Multipliers'!$S$3:$T$9,2,FALSE)))</f>
        <v/>
      </c>
      <c r="AP150" s="513" t="str">
        <f t="shared" si="33"/>
        <v/>
      </c>
      <c r="AQ150" s="231"/>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7" t="str">
        <f>'D-1 Off Site Habitat Baseline'!AL150</f>
        <v/>
      </c>
      <c r="F151" s="520" t="str">
        <f>IF(E151="","",IF(ISNA(VLOOKUP($E151,'D-1 Off Site Habitat Baseline'!$D$1:$O$258,4,FALSE)),"",(VLOOKUP($E151,'D-1 Off Site Habitat Baseline'!$D$1:$O$258,4,FALSE))))</f>
        <v/>
      </c>
      <c r="G151" s="520" t="str">
        <f>IF(E151="","",IF(ISNA(VLOOKUP($E151,'D-1 Off Site Habitat Baseline'!$D$1:$O$258,5,FALSE)),"",(VLOOKUP($E151,'D-1 Off Site Habitat Baseline'!$D$1:$O$258,5,FALSE))))</f>
        <v/>
      </c>
      <c r="H151" s="520" t="str">
        <f>IF(E151="","",IF(ISNA(VLOOKUP($E151,'D-1 Off Site Habitat Baseline'!$D$1:$O$258,6,FALSE)),"",(VLOOKUP($E151,'D-1 Off Site Habitat Baseline'!$D$1:$O$258,6,FALSE))))</f>
        <v/>
      </c>
      <c r="I151" s="520" t="str">
        <f>IF(E151="","",IF(ISNA(VLOOKUP($E151,'D-1 Off Site Habitat Baseline'!$D$1:$O$258,7,FALSE)),"",(VLOOKUP($E151,'D-1 Off Site Habitat Baseline'!$D$1:$O$258,7,FALSE))))</f>
        <v/>
      </c>
      <c r="J151" s="520" t="str">
        <f>IF(E151="","",IF(ISNA(VLOOKUP($E151,'D-1 Off Site Habitat Baseline'!$D$1:$O$258,8,FALSE)),"",(VLOOKUP($E151,'D-1 Off Site Habitat Baseline'!$D$1:$O$258,8,FALSE))))</f>
        <v/>
      </c>
      <c r="K151" s="520" t="str">
        <f>IF(E151="","",IF(ISNA(VLOOKUP($E151,'D-1 Off Site Habitat Baseline'!$D$1:$O$258,9,FALSE)),"",(VLOOKUP($E151,'D-1 Off Site Habitat Baseline'!$D$1:$O$258,9,FALSE))))</f>
        <v/>
      </c>
      <c r="L151" s="520" t="str">
        <f>IF(E151="","",IF(ISNA(VLOOKUP($E151,'D-1 Off Site Habitat Baseline'!$D$1:$O$258,11,FALSE)),"",(VLOOKUP($E151,'D-1 Off Site Habitat Baseline'!$D$1:$O$258,11,FALSE))))</f>
        <v/>
      </c>
      <c r="M151" s="520" t="str">
        <f>IF(E151="","",IF(ISNA(VLOOKUP($E151,'D-1 Off Site Habitat Baseline'!$D$1:$O$258,12,FALSE)),"",(VLOOKUP($E151,'D-1 Off Site Habitat Baseline'!$D$1:$O$258,12,FALSE))))</f>
        <v/>
      </c>
      <c r="N151" s="520" t="str">
        <f>IF(E151="","",IF(ISNA(VLOOKUP($E151,'D-1 Off Site Habitat Baseline'!$D$1:$X$258,14,FALSE)),"",(VLOOKUP($E151,'D-1 Off Site Habitat Baseline'!$D$1:$X$258,14,FALSE))))</f>
        <v/>
      </c>
      <c r="O151" s="524" t="str">
        <f>IF(E151="","",IF(ISNA(VLOOKUP($E151,'D-1 Off Site Habitat Baseline'!$D$1:$X$258,13,FALSE)),"",(VLOOKUP($E151,'D-1 Off Site Habitat Baseline'!$D$1:$X$258,13,FALSE))))</f>
        <v/>
      </c>
      <c r="P151" s="232" t="str">
        <f>IFERROR(INDEX('G-1 All Habitats'!$AG$3:$AG$15,MATCH(Q151,'G-1 All Habitats'!$AF$3:$AF$15,0)),"")</f>
        <v/>
      </c>
      <c r="Q151" s="228" t="str">
        <f t="shared" si="34"/>
        <v/>
      </c>
      <c r="R151" s="229" t="str">
        <f t="shared" si="35"/>
        <v/>
      </c>
      <c r="S151" s="233" t="str">
        <f>IFERROR(INDEX('G-1 All Habitats'!$B$3:$B$129,MATCH(R151,'G-1 All Habitats'!$A$3:$A$129,0)),"")</f>
        <v/>
      </c>
      <c r="T151" s="507" t="str">
        <f t="shared" si="27"/>
        <v/>
      </c>
      <c r="U151" s="524" t="str">
        <f t="shared" si="28"/>
        <v/>
      </c>
      <c r="V151" s="523" t="str">
        <f t="shared" si="25"/>
        <v/>
      </c>
      <c r="W151" s="520" t="str">
        <f>IF(S151="","",VLOOKUP(S151,'G-1 All Habitats'!$B$2:$M$129,10,FALSE))</f>
        <v/>
      </c>
      <c r="X151" s="520" t="str">
        <f>IFERROR(VLOOKUP(W151,'G-1 All Habitats'!$V$3:$W$7,2,FALSE),"")</f>
        <v/>
      </c>
      <c r="Y151" s="203"/>
      <c r="Z151" s="524" t="str">
        <f>IFERROR(INDEX('G-8 Condition Look up'!$A$3:$H$130,MATCH(S151,'G-8 Condition Look up'!$A$3:$A$130,0),MATCH(Y151,'G-8 Condition Look up'!$A$3:$H$3,0)),"")</f>
        <v/>
      </c>
      <c r="AA151" s="145"/>
      <c r="AB151" s="540" t="str">
        <f>IF(AA151="","",IF(VLOOKUP(AA151,'G-3 Multipliers'!$L$3:$N$6,2,FALSE)=0,"Spatial Data Missing ⚠",VLOOKUP(AA151,'G-3 Multipliers'!$L$3:$N$6,2,FALSE)))</f>
        <v/>
      </c>
      <c r="AC151" s="524" t="str">
        <f>IF(AA151="","",IF(VLOOKUP(AA151,'G-3 Multipliers'!$L$3:$N$6,3,FALSE)=0,"Spatial Data Missing ⚠",VLOOKUP(AA151,'G-3 Multipliers'!$L$3:$N$6,3,FALSE)))</f>
        <v/>
      </c>
      <c r="AD151" s="537" t="str">
        <f t="shared" si="26"/>
        <v/>
      </c>
      <c r="AE151" s="203"/>
      <c r="AF151" s="203"/>
      <c r="AG151" s="520" t="str">
        <f t="shared" si="29"/>
        <v/>
      </c>
      <c r="AH151" s="544" t="str">
        <f t="shared" si="30"/>
        <v/>
      </c>
      <c r="AI151" s="525" t="str">
        <f>IF(AH151="Check Data ⚠","Check Data ⚠",IFERROR(VLOOKUP(AH151,'G-4 Temporal multipliers'!$A$4:$C$36,3,FALSE),""))</f>
        <v/>
      </c>
      <c r="AJ151" s="537" t="str">
        <f>IF(S151="","",VLOOKUP(S151,'G-3 Multipliers'!$A$2:$E$129,4,FALSE))</f>
        <v/>
      </c>
      <c r="AK151" s="520" t="str">
        <f t="shared" si="31"/>
        <v/>
      </c>
      <c r="AL151" s="520" t="str">
        <f t="shared" si="32"/>
        <v/>
      </c>
      <c r="AM151" s="524" t="str">
        <f>IFERROR(IF(F151="","",IF(AH151="Check Data ⚠","Check Data ⚠",VLOOKUP(AL151, 'G-3 Multipliers'!$P$2:$Q$6,2,FALSE))),"")</f>
        <v/>
      </c>
      <c r="AN151" s="197"/>
      <c r="AO151" s="540" t="str">
        <f>IF(AN151="","",IF(VLOOKUP(AN151,'G-3 Multipliers'!$S$3:$T$9,2,FALSE)=0,"Spatial Data Missing ⚠",VLOOKUP(AN151,'G-3 Multipliers'!$S$3:$T$9,2,FALSE)))</f>
        <v/>
      </c>
      <c r="AP151" s="513" t="str">
        <f t="shared" si="33"/>
        <v/>
      </c>
      <c r="AQ151" s="231"/>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7" t="str">
        <f>'D-1 Off Site Habitat Baseline'!AL151</f>
        <v/>
      </c>
      <c r="F152" s="520" t="str">
        <f>IF(E152="","",IF(ISNA(VLOOKUP($E152,'D-1 Off Site Habitat Baseline'!$D$1:$O$258,4,FALSE)),"",(VLOOKUP($E152,'D-1 Off Site Habitat Baseline'!$D$1:$O$258,4,FALSE))))</f>
        <v/>
      </c>
      <c r="G152" s="520" t="str">
        <f>IF(E152="","",IF(ISNA(VLOOKUP($E152,'D-1 Off Site Habitat Baseline'!$D$1:$O$258,5,FALSE)),"",(VLOOKUP($E152,'D-1 Off Site Habitat Baseline'!$D$1:$O$258,5,FALSE))))</f>
        <v/>
      </c>
      <c r="H152" s="520" t="str">
        <f>IF(E152="","",IF(ISNA(VLOOKUP($E152,'D-1 Off Site Habitat Baseline'!$D$1:$O$258,6,FALSE)),"",(VLOOKUP($E152,'D-1 Off Site Habitat Baseline'!$D$1:$O$258,6,FALSE))))</f>
        <v/>
      </c>
      <c r="I152" s="520" t="str">
        <f>IF(E152="","",IF(ISNA(VLOOKUP($E152,'D-1 Off Site Habitat Baseline'!$D$1:$O$258,7,FALSE)),"",(VLOOKUP($E152,'D-1 Off Site Habitat Baseline'!$D$1:$O$258,7,FALSE))))</f>
        <v/>
      </c>
      <c r="J152" s="520" t="str">
        <f>IF(E152="","",IF(ISNA(VLOOKUP($E152,'D-1 Off Site Habitat Baseline'!$D$1:$O$258,8,FALSE)),"",(VLOOKUP($E152,'D-1 Off Site Habitat Baseline'!$D$1:$O$258,8,FALSE))))</f>
        <v/>
      </c>
      <c r="K152" s="520" t="str">
        <f>IF(E152="","",IF(ISNA(VLOOKUP($E152,'D-1 Off Site Habitat Baseline'!$D$1:$O$258,9,FALSE)),"",(VLOOKUP($E152,'D-1 Off Site Habitat Baseline'!$D$1:$O$258,9,FALSE))))</f>
        <v/>
      </c>
      <c r="L152" s="520" t="str">
        <f>IF(E152="","",IF(ISNA(VLOOKUP($E152,'D-1 Off Site Habitat Baseline'!$D$1:$O$258,11,FALSE)),"",(VLOOKUP($E152,'D-1 Off Site Habitat Baseline'!$D$1:$O$258,11,FALSE))))</f>
        <v/>
      </c>
      <c r="M152" s="520" t="str">
        <f>IF(E152="","",IF(ISNA(VLOOKUP($E152,'D-1 Off Site Habitat Baseline'!$D$1:$O$258,12,FALSE)),"",(VLOOKUP($E152,'D-1 Off Site Habitat Baseline'!$D$1:$O$258,12,FALSE))))</f>
        <v/>
      </c>
      <c r="N152" s="520" t="str">
        <f>IF(E152="","",IF(ISNA(VLOOKUP($E152,'D-1 Off Site Habitat Baseline'!$D$1:$X$258,14,FALSE)),"",(VLOOKUP($E152,'D-1 Off Site Habitat Baseline'!$D$1:$X$258,14,FALSE))))</f>
        <v/>
      </c>
      <c r="O152" s="524" t="str">
        <f>IF(E152="","",IF(ISNA(VLOOKUP($E152,'D-1 Off Site Habitat Baseline'!$D$1:$X$258,13,FALSE)),"",(VLOOKUP($E152,'D-1 Off Site Habitat Baseline'!$D$1:$X$258,13,FALSE))))</f>
        <v/>
      </c>
      <c r="P152" s="232" t="str">
        <f>IFERROR(INDEX('G-1 All Habitats'!$AG$3:$AG$15,MATCH(Q152,'G-1 All Habitats'!$AF$3:$AF$15,0)),"")</f>
        <v/>
      </c>
      <c r="Q152" s="228" t="str">
        <f t="shared" si="34"/>
        <v/>
      </c>
      <c r="R152" s="229" t="str">
        <f t="shared" si="35"/>
        <v/>
      </c>
      <c r="S152" s="233" t="str">
        <f>IFERROR(INDEX('G-1 All Habitats'!$B$3:$B$129,MATCH(R152,'G-1 All Habitats'!$A$3:$A$129,0)),"")</f>
        <v/>
      </c>
      <c r="T152" s="507" t="str">
        <f t="shared" si="27"/>
        <v/>
      </c>
      <c r="U152" s="524" t="str">
        <f t="shared" si="28"/>
        <v/>
      </c>
      <c r="V152" s="523" t="str">
        <f t="shared" si="25"/>
        <v/>
      </c>
      <c r="W152" s="520" t="str">
        <f>IF(S152="","",VLOOKUP(S152,'G-1 All Habitats'!$B$2:$M$129,10,FALSE))</f>
        <v/>
      </c>
      <c r="X152" s="520" t="str">
        <f>IFERROR(VLOOKUP(W152,'G-1 All Habitats'!$V$3:$W$7,2,FALSE),"")</f>
        <v/>
      </c>
      <c r="Y152" s="203"/>
      <c r="Z152" s="524" t="str">
        <f>IFERROR(INDEX('G-8 Condition Look up'!$A$3:$H$130,MATCH(S152,'G-8 Condition Look up'!$A$3:$A$130,0),MATCH(Y152,'G-8 Condition Look up'!$A$3:$H$3,0)),"")</f>
        <v/>
      </c>
      <c r="AA152" s="145"/>
      <c r="AB152" s="540" t="str">
        <f>IF(AA152="","",IF(VLOOKUP(AA152,'G-3 Multipliers'!$L$3:$N$6,2,FALSE)=0,"Spatial Data Missing ⚠",VLOOKUP(AA152,'G-3 Multipliers'!$L$3:$N$6,2,FALSE)))</f>
        <v/>
      </c>
      <c r="AC152" s="524" t="str">
        <f>IF(AA152="","",IF(VLOOKUP(AA152,'G-3 Multipliers'!$L$3:$N$6,3,FALSE)=0,"Spatial Data Missing ⚠",VLOOKUP(AA152,'G-3 Multipliers'!$L$3:$N$6,3,FALSE)))</f>
        <v/>
      </c>
      <c r="AD152" s="537" t="str">
        <f t="shared" si="26"/>
        <v/>
      </c>
      <c r="AE152" s="203"/>
      <c r="AF152" s="203"/>
      <c r="AG152" s="520" t="str">
        <f t="shared" si="29"/>
        <v/>
      </c>
      <c r="AH152" s="544" t="str">
        <f t="shared" si="30"/>
        <v/>
      </c>
      <c r="AI152" s="525" t="str">
        <f>IF(AH152="Check Data ⚠","Check Data ⚠",IFERROR(VLOOKUP(AH152,'G-4 Temporal multipliers'!$A$4:$C$36,3,FALSE),""))</f>
        <v/>
      </c>
      <c r="AJ152" s="537" t="str">
        <f>IF(S152="","",VLOOKUP(S152,'G-3 Multipliers'!$A$2:$E$129,4,FALSE))</f>
        <v/>
      </c>
      <c r="AK152" s="520" t="str">
        <f t="shared" si="31"/>
        <v/>
      </c>
      <c r="AL152" s="520" t="str">
        <f t="shared" si="32"/>
        <v/>
      </c>
      <c r="AM152" s="524" t="str">
        <f>IFERROR(IF(F152="","",IF(AH152="Check Data ⚠","Check Data ⚠",VLOOKUP(AL152, 'G-3 Multipliers'!$P$2:$Q$6,2,FALSE))),"")</f>
        <v/>
      </c>
      <c r="AN152" s="197"/>
      <c r="AO152" s="540" t="str">
        <f>IF(AN152="","",IF(VLOOKUP(AN152,'G-3 Multipliers'!$S$3:$T$9,2,FALSE)=0,"Spatial Data Missing ⚠",VLOOKUP(AN152,'G-3 Multipliers'!$S$3:$T$9,2,FALSE)))</f>
        <v/>
      </c>
      <c r="AP152" s="513" t="str">
        <f t="shared" si="33"/>
        <v/>
      </c>
      <c r="AQ152" s="231"/>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7" t="str">
        <f>'D-1 Off Site Habitat Baseline'!AL152</f>
        <v/>
      </c>
      <c r="F153" s="520" t="str">
        <f>IF(E153="","",IF(ISNA(VLOOKUP($E153,'D-1 Off Site Habitat Baseline'!$D$1:$O$258,4,FALSE)),"",(VLOOKUP($E153,'D-1 Off Site Habitat Baseline'!$D$1:$O$258,4,FALSE))))</f>
        <v/>
      </c>
      <c r="G153" s="520" t="str">
        <f>IF(E153="","",IF(ISNA(VLOOKUP($E153,'D-1 Off Site Habitat Baseline'!$D$1:$O$258,5,FALSE)),"",(VLOOKUP($E153,'D-1 Off Site Habitat Baseline'!$D$1:$O$258,5,FALSE))))</f>
        <v/>
      </c>
      <c r="H153" s="520" t="str">
        <f>IF(E153="","",IF(ISNA(VLOOKUP($E153,'D-1 Off Site Habitat Baseline'!$D$1:$O$258,6,FALSE)),"",(VLOOKUP($E153,'D-1 Off Site Habitat Baseline'!$D$1:$O$258,6,FALSE))))</f>
        <v/>
      </c>
      <c r="I153" s="520" t="str">
        <f>IF(E153="","",IF(ISNA(VLOOKUP($E153,'D-1 Off Site Habitat Baseline'!$D$1:$O$258,7,FALSE)),"",(VLOOKUP($E153,'D-1 Off Site Habitat Baseline'!$D$1:$O$258,7,FALSE))))</f>
        <v/>
      </c>
      <c r="J153" s="520" t="str">
        <f>IF(E153="","",IF(ISNA(VLOOKUP($E153,'D-1 Off Site Habitat Baseline'!$D$1:$O$258,8,FALSE)),"",(VLOOKUP($E153,'D-1 Off Site Habitat Baseline'!$D$1:$O$258,8,FALSE))))</f>
        <v/>
      </c>
      <c r="K153" s="520" t="str">
        <f>IF(E153="","",IF(ISNA(VLOOKUP($E153,'D-1 Off Site Habitat Baseline'!$D$1:$O$258,9,FALSE)),"",(VLOOKUP($E153,'D-1 Off Site Habitat Baseline'!$D$1:$O$258,9,FALSE))))</f>
        <v/>
      </c>
      <c r="L153" s="520" t="str">
        <f>IF(E153="","",IF(ISNA(VLOOKUP($E153,'D-1 Off Site Habitat Baseline'!$D$1:$O$258,11,FALSE)),"",(VLOOKUP($E153,'D-1 Off Site Habitat Baseline'!$D$1:$O$258,11,FALSE))))</f>
        <v/>
      </c>
      <c r="M153" s="520" t="str">
        <f>IF(E153="","",IF(ISNA(VLOOKUP($E153,'D-1 Off Site Habitat Baseline'!$D$1:$O$258,12,FALSE)),"",(VLOOKUP($E153,'D-1 Off Site Habitat Baseline'!$D$1:$O$258,12,FALSE))))</f>
        <v/>
      </c>
      <c r="N153" s="520" t="str">
        <f>IF(E153="","",IF(ISNA(VLOOKUP($E153,'D-1 Off Site Habitat Baseline'!$D$1:$X$258,14,FALSE)),"",(VLOOKUP($E153,'D-1 Off Site Habitat Baseline'!$D$1:$X$258,14,FALSE))))</f>
        <v/>
      </c>
      <c r="O153" s="524" t="str">
        <f>IF(E153="","",IF(ISNA(VLOOKUP($E153,'D-1 Off Site Habitat Baseline'!$D$1:$X$258,13,FALSE)),"",(VLOOKUP($E153,'D-1 Off Site Habitat Baseline'!$D$1:$X$258,13,FALSE))))</f>
        <v/>
      </c>
      <c r="P153" s="232" t="str">
        <f>IFERROR(INDEX('G-1 All Habitats'!$AG$3:$AG$15,MATCH(Q153,'G-1 All Habitats'!$AF$3:$AF$15,0)),"")</f>
        <v/>
      </c>
      <c r="Q153" s="228" t="str">
        <f t="shared" si="34"/>
        <v/>
      </c>
      <c r="R153" s="229" t="str">
        <f t="shared" si="35"/>
        <v/>
      </c>
      <c r="S153" s="233" t="str">
        <f>IFERROR(INDEX('G-1 All Habitats'!$B$3:$B$129,MATCH(R153,'G-1 All Habitats'!$A$3:$A$129,0)),"")</f>
        <v/>
      </c>
      <c r="T153" s="507" t="str">
        <f t="shared" si="27"/>
        <v/>
      </c>
      <c r="U153" s="524" t="str">
        <f t="shared" si="28"/>
        <v/>
      </c>
      <c r="V153" s="523" t="str">
        <f t="shared" si="25"/>
        <v/>
      </c>
      <c r="W153" s="520" t="str">
        <f>IF(S153="","",VLOOKUP(S153,'G-1 All Habitats'!$B$2:$M$129,10,FALSE))</f>
        <v/>
      </c>
      <c r="X153" s="520" t="str">
        <f>IFERROR(VLOOKUP(W153,'G-1 All Habitats'!$V$3:$W$7,2,FALSE),"")</f>
        <v/>
      </c>
      <c r="Y153" s="203"/>
      <c r="Z153" s="524" t="str">
        <f>IFERROR(INDEX('G-8 Condition Look up'!$A$3:$H$130,MATCH(S153,'G-8 Condition Look up'!$A$3:$A$130,0),MATCH(Y153,'G-8 Condition Look up'!$A$3:$H$3,0)),"")</f>
        <v/>
      </c>
      <c r="AA153" s="145"/>
      <c r="AB153" s="540" t="str">
        <f>IF(AA153="","",IF(VLOOKUP(AA153,'G-3 Multipliers'!$L$3:$N$6,2,FALSE)=0,"Spatial Data Missing ⚠",VLOOKUP(AA153,'G-3 Multipliers'!$L$3:$N$6,2,FALSE)))</f>
        <v/>
      </c>
      <c r="AC153" s="524" t="str">
        <f>IF(AA153="","",IF(VLOOKUP(AA153,'G-3 Multipliers'!$L$3:$N$6,3,FALSE)=0,"Spatial Data Missing ⚠",VLOOKUP(AA153,'G-3 Multipliers'!$L$3:$N$6,3,FALSE)))</f>
        <v/>
      </c>
      <c r="AD153" s="537" t="str">
        <f t="shared" si="26"/>
        <v/>
      </c>
      <c r="AE153" s="203"/>
      <c r="AF153" s="203"/>
      <c r="AG153" s="520" t="str">
        <f t="shared" si="29"/>
        <v/>
      </c>
      <c r="AH153" s="544" t="str">
        <f t="shared" si="30"/>
        <v/>
      </c>
      <c r="AI153" s="525" t="str">
        <f>IF(AH153="Check Data ⚠","Check Data ⚠",IFERROR(VLOOKUP(AH153,'G-4 Temporal multipliers'!$A$4:$C$36,3,FALSE),""))</f>
        <v/>
      </c>
      <c r="AJ153" s="537" t="str">
        <f>IF(S153="","",VLOOKUP(S153,'G-3 Multipliers'!$A$2:$E$129,4,FALSE))</f>
        <v/>
      </c>
      <c r="AK153" s="520" t="str">
        <f t="shared" si="31"/>
        <v/>
      </c>
      <c r="AL153" s="520" t="str">
        <f t="shared" si="32"/>
        <v/>
      </c>
      <c r="AM153" s="524" t="str">
        <f>IFERROR(IF(F153="","",IF(AH153="Check Data ⚠","Check Data ⚠",VLOOKUP(AL153, 'G-3 Multipliers'!$P$2:$Q$6,2,FALSE))),"")</f>
        <v/>
      </c>
      <c r="AN153" s="197"/>
      <c r="AO153" s="540" t="str">
        <f>IF(AN153="","",IF(VLOOKUP(AN153,'G-3 Multipliers'!$S$3:$T$9,2,FALSE)=0,"Spatial Data Missing ⚠",VLOOKUP(AN153,'G-3 Multipliers'!$S$3:$T$9,2,FALSE)))</f>
        <v/>
      </c>
      <c r="AP153" s="513" t="str">
        <f t="shared" si="33"/>
        <v/>
      </c>
      <c r="AQ153" s="231"/>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7" t="str">
        <f>'D-1 Off Site Habitat Baseline'!AL153</f>
        <v/>
      </c>
      <c r="F154" s="520" t="str">
        <f>IF(E154="","",IF(ISNA(VLOOKUP($E154,'D-1 Off Site Habitat Baseline'!$D$1:$O$258,4,FALSE)),"",(VLOOKUP($E154,'D-1 Off Site Habitat Baseline'!$D$1:$O$258,4,FALSE))))</f>
        <v/>
      </c>
      <c r="G154" s="520" t="str">
        <f>IF(E154="","",IF(ISNA(VLOOKUP($E154,'D-1 Off Site Habitat Baseline'!$D$1:$O$258,5,FALSE)),"",(VLOOKUP($E154,'D-1 Off Site Habitat Baseline'!$D$1:$O$258,5,FALSE))))</f>
        <v/>
      </c>
      <c r="H154" s="520" t="str">
        <f>IF(E154="","",IF(ISNA(VLOOKUP($E154,'D-1 Off Site Habitat Baseline'!$D$1:$O$258,6,FALSE)),"",(VLOOKUP($E154,'D-1 Off Site Habitat Baseline'!$D$1:$O$258,6,FALSE))))</f>
        <v/>
      </c>
      <c r="I154" s="520" t="str">
        <f>IF(E154="","",IF(ISNA(VLOOKUP($E154,'D-1 Off Site Habitat Baseline'!$D$1:$O$258,7,FALSE)),"",(VLOOKUP($E154,'D-1 Off Site Habitat Baseline'!$D$1:$O$258,7,FALSE))))</f>
        <v/>
      </c>
      <c r="J154" s="520" t="str">
        <f>IF(E154="","",IF(ISNA(VLOOKUP($E154,'D-1 Off Site Habitat Baseline'!$D$1:$O$258,8,FALSE)),"",(VLOOKUP($E154,'D-1 Off Site Habitat Baseline'!$D$1:$O$258,8,FALSE))))</f>
        <v/>
      </c>
      <c r="K154" s="520" t="str">
        <f>IF(E154="","",IF(ISNA(VLOOKUP($E154,'D-1 Off Site Habitat Baseline'!$D$1:$O$258,9,FALSE)),"",(VLOOKUP($E154,'D-1 Off Site Habitat Baseline'!$D$1:$O$258,9,FALSE))))</f>
        <v/>
      </c>
      <c r="L154" s="520" t="str">
        <f>IF(E154="","",IF(ISNA(VLOOKUP($E154,'D-1 Off Site Habitat Baseline'!$D$1:$O$258,11,FALSE)),"",(VLOOKUP($E154,'D-1 Off Site Habitat Baseline'!$D$1:$O$258,11,FALSE))))</f>
        <v/>
      </c>
      <c r="M154" s="520" t="str">
        <f>IF(E154="","",IF(ISNA(VLOOKUP($E154,'D-1 Off Site Habitat Baseline'!$D$1:$O$258,12,FALSE)),"",(VLOOKUP($E154,'D-1 Off Site Habitat Baseline'!$D$1:$O$258,12,FALSE))))</f>
        <v/>
      </c>
      <c r="N154" s="520" t="str">
        <f>IF(E154="","",IF(ISNA(VLOOKUP($E154,'D-1 Off Site Habitat Baseline'!$D$1:$X$258,14,FALSE)),"",(VLOOKUP($E154,'D-1 Off Site Habitat Baseline'!$D$1:$X$258,14,FALSE))))</f>
        <v/>
      </c>
      <c r="O154" s="524" t="str">
        <f>IF(E154="","",IF(ISNA(VLOOKUP($E154,'D-1 Off Site Habitat Baseline'!$D$1:$X$258,13,FALSE)),"",(VLOOKUP($E154,'D-1 Off Site Habitat Baseline'!$D$1:$X$258,13,FALSE))))</f>
        <v/>
      </c>
      <c r="P154" s="232" t="str">
        <f>IFERROR(INDEX('G-1 All Habitats'!$AG$3:$AG$15,MATCH(Q154,'G-1 All Habitats'!$AF$3:$AF$15,0)),"")</f>
        <v/>
      </c>
      <c r="Q154" s="228" t="str">
        <f t="shared" si="34"/>
        <v/>
      </c>
      <c r="R154" s="229" t="str">
        <f t="shared" si="35"/>
        <v/>
      </c>
      <c r="S154" s="233" t="str">
        <f>IFERROR(INDEX('G-1 All Habitats'!$B$3:$B$129,MATCH(R154,'G-1 All Habitats'!$A$3:$A$129,0)),"")</f>
        <v/>
      </c>
      <c r="T154" s="507" t="str">
        <f t="shared" si="27"/>
        <v/>
      </c>
      <c r="U154" s="524" t="str">
        <f t="shared" si="28"/>
        <v/>
      </c>
      <c r="V154" s="523" t="str">
        <f t="shared" si="25"/>
        <v/>
      </c>
      <c r="W154" s="520" t="str">
        <f>IF(S154="","",VLOOKUP(S154,'G-1 All Habitats'!$B$2:$M$129,10,FALSE))</f>
        <v/>
      </c>
      <c r="X154" s="520" t="str">
        <f>IFERROR(VLOOKUP(W154,'G-1 All Habitats'!$V$3:$W$7,2,FALSE),"")</f>
        <v/>
      </c>
      <c r="Y154" s="203"/>
      <c r="Z154" s="524" t="str">
        <f>IFERROR(INDEX('G-8 Condition Look up'!$A$3:$H$130,MATCH(S154,'G-8 Condition Look up'!$A$3:$A$130,0),MATCH(Y154,'G-8 Condition Look up'!$A$3:$H$3,0)),"")</f>
        <v/>
      </c>
      <c r="AA154" s="145"/>
      <c r="AB154" s="540" t="str">
        <f>IF(AA154="","",IF(VLOOKUP(AA154,'G-3 Multipliers'!$L$3:$N$6,2,FALSE)=0,"Spatial Data Missing ⚠",VLOOKUP(AA154,'G-3 Multipliers'!$L$3:$N$6,2,FALSE)))</f>
        <v/>
      </c>
      <c r="AC154" s="524" t="str">
        <f>IF(AA154="","",IF(VLOOKUP(AA154,'G-3 Multipliers'!$L$3:$N$6,3,FALSE)=0,"Spatial Data Missing ⚠",VLOOKUP(AA154,'G-3 Multipliers'!$L$3:$N$6,3,FALSE)))</f>
        <v/>
      </c>
      <c r="AD154" s="537" t="str">
        <f t="shared" si="26"/>
        <v/>
      </c>
      <c r="AE154" s="203"/>
      <c r="AF154" s="203"/>
      <c r="AG154" s="520" t="str">
        <f t="shared" si="29"/>
        <v/>
      </c>
      <c r="AH154" s="544" t="str">
        <f t="shared" si="30"/>
        <v/>
      </c>
      <c r="AI154" s="525" t="str">
        <f>IF(AH154="Check Data ⚠","Check Data ⚠",IFERROR(VLOOKUP(AH154,'G-4 Temporal multipliers'!$A$4:$C$36,3,FALSE),""))</f>
        <v/>
      </c>
      <c r="AJ154" s="537" t="str">
        <f>IF(S154="","",VLOOKUP(S154,'G-3 Multipliers'!$A$2:$E$129,4,FALSE))</f>
        <v/>
      </c>
      <c r="AK154" s="520" t="str">
        <f t="shared" si="31"/>
        <v/>
      </c>
      <c r="AL154" s="520" t="str">
        <f t="shared" si="32"/>
        <v/>
      </c>
      <c r="AM154" s="524" t="str">
        <f>IFERROR(IF(F154="","",IF(AH154="Check Data ⚠","Check Data ⚠",VLOOKUP(AL154, 'G-3 Multipliers'!$P$2:$Q$6,2,FALSE))),"")</f>
        <v/>
      </c>
      <c r="AN154" s="197"/>
      <c r="AO154" s="540" t="str">
        <f>IF(AN154="","",IF(VLOOKUP(AN154,'G-3 Multipliers'!$S$3:$T$9,2,FALSE)=0,"Spatial Data Missing ⚠",VLOOKUP(AN154,'G-3 Multipliers'!$S$3:$T$9,2,FALSE)))</f>
        <v/>
      </c>
      <c r="AP154" s="513" t="str">
        <f t="shared" si="33"/>
        <v/>
      </c>
      <c r="AQ154" s="231"/>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7" t="str">
        <f>'D-1 Off Site Habitat Baseline'!AL154</f>
        <v/>
      </c>
      <c r="F155" s="520" t="str">
        <f>IF(E155="","",IF(ISNA(VLOOKUP($E155,'D-1 Off Site Habitat Baseline'!$D$1:$O$258,4,FALSE)),"",(VLOOKUP($E155,'D-1 Off Site Habitat Baseline'!$D$1:$O$258,4,FALSE))))</f>
        <v/>
      </c>
      <c r="G155" s="520" t="str">
        <f>IF(E155="","",IF(ISNA(VLOOKUP($E155,'D-1 Off Site Habitat Baseline'!$D$1:$O$258,5,FALSE)),"",(VLOOKUP($E155,'D-1 Off Site Habitat Baseline'!$D$1:$O$258,5,FALSE))))</f>
        <v/>
      </c>
      <c r="H155" s="520" t="str">
        <f>IF(E155="","",IF(ISNA(VLOOKUP($E155,'D-1 Off Site Habitat Baseline'!$D$1:$O$258,6,FALSE)),"",(VLOOKUP($E155,'D-1 Off Site Habitat Baseline'!$D$1:$O$258,6,FALSE))))</f>
        <v/>
      </c>
      <c r="I155" s="520" t="str">
        <f>IF(E155="","",IF(ISNA(VLOOKUP($E155,'D-1 Off Site Habitat Baseline'!$D$1:$O$258,7,FALSE)),"",(VLOOKUP($E155,'D-1 Off Site Habitat Baseline'!$D$1:$O$258,7,FALSE))))</f>
        <v/>
      </c>
      <c r="J155" s="520" t="str">
        <f>IF(E155="","",IF(ISNA(VLOOKUP($E155,'D-1 Off Site Habitat Baseline'!$D$1:$O$258,8,FALSE)),"",(VLOOKUP($E155,'D-1 Off Site Habitat Baseline'!$D$1:$O$258,8,FALSE))))</f>
        <v/>
      </c>
      <c r="K155" s="520" t="str">
        <f>IF(E155="","",IF(ISNA(VLOOKUP($E155,'D-1 Off Site Habitat Baseline'!$D$1:$O$258,9,FALSE)),"",(VLOOKUP($E155,'D-1 Off Site Habitat Baseline'!$D$1:$O$258,9,FALSE))))</f>
        <v/>
      </c>
      <c r="L155" s="520" t="str">
        <f>IF(E155="","",IF(ISNA(VLOOKUP($E155,'D-1 Off Site Habitat Baseline'!$D$1:$O$258,11,FALSE)),"",(VLOOKUP($E155,'D-1 Off Site Habitat Baseline'!$D$1:$O$258,11,FALSE))))</f>
        <v/>
      </c>
      <c r="M155" s="520" t="str">
        <f>IF(E155="","",IF(ISNA(VLOOKUP($E155,'D-1 Off Site Habitat Baseline'!$D$1:$O$258,12,FALSE)),"",(VLOOKUP($E155,'D-1 Off Site Habitat Baseline'!$D$1:$O$258,12,FALSE))))</f>
        <v/>
      </c>
      <c r="N155" s="520" t="str">
        <f>IF(E155="","",IF(ISNA(VLOOKUP($E155,'D-1 Off Site Habitat Baseline'!$D$1:$X$258,14,FALSE)),"",(VLOOKUP($E155,'D-1 Off Site Habitat Baseline'!$D$1:$X$258,14,FALSE))))</f>
        <v/>
      </c>
      <c r="O155" s="524" t="str">
        <f>IF(E155="","",IF(ISNA(VLOOKUP($E155,'D-1 Off Site Habitat Baseline'!$D$1:$X$258,13,FALSE)),"",(VLOOKUP($E155,'D-1 Off Site Habitat Baseline'!$D$1:$X$258,13,FALSE))))</f>
        <v/>
      </c>
      <c r="P155" s="232" t="str">
        <f>IFERROR(INDEX('G-1 All Habitats'!$AG$3:$AG$15,MATCH(Q155,'G-1 All Habitats'!$AF$3:$AF$15,0)),"")</f>
        <v/>
      </c>
      <c r="Q155" s="228" t="str">
        <f t="shared" si="34"/>
        <v/>
      </c>
      <c r="R155" s="229" t="str">
        <f t="shared" si="35"/>
        <v/>
      </c>
      <c r="S155" s="233" t="str">
        <f>IFERROR(INDEX('G-1 All Habitats'!$B$3:$B$129,MATCH(R155,'G-1 All Habitats'!$A$3:$A$129,0)),"")</f>
        <v/>
      </c>
      <c r="T155" s="507" t="str">
        <f t="shared" si="27"/>
        <v/>
      </c>
      <c r="U155" s="524" t="str">
        <f t="shared" si="28"/>
        <v/>
      </c>
      <c r="V155" s="523" t="str">
        <f t="shared" si="25"/>
        <v/>
      </c>
      <c r="W155" s="520" t="str">
        <f>IF(S155="","",VLOOKUP(S155,'G-1 All Habitats'!$B$2:$M$129,10,FALSE))</f>
        <v/>
      </c>
      <c r="X155" s="520" t="str">
        <f>IFERROR(VLOOKUP(W155,'G-1 All Habitats'!$V$3:$W$7,2,FALSE),"")</f>
        <v/>
      </c>
      <c r="Y155" s="203"/>
      <c r="Z155" s="524" t="str">
        <f>IFERROR(INDEX('G-8 Condition Look up'!$A$3:$H$130,MATCH(S155,'G-8 Condition Look up'!$A$3:$A$130,0),MATCH(Y155,'G-8 Condition Look up'!$A$3:$H$3,0)),"")</f>
        <v/>
      </c>
      <c r="AA155" s="145"/>
      <c r="AB155" s="540" t="str">
        <f>IF(AA155="","",IF(VLOOKUP(AA155,'G-3 Multipliers'!$L$3:$N$6,2,FALSE)=0,"Spatial Data Missing ⚠",VLOOKUP(AA155,'G-3 Multipliers'!$L$3:$N$6,2,FALSE)))</f>
        <v/>
      </c>
      <c r="AC155" s="524" t="str">
        <f>IF(AA155="","",IF(VLOOKUP(AA155,'G-3 Multipliers'!$L$3:$N$6,3,FALSE)=0,"Spatial Data Missing ⚠",VLOOKUP(AA155,'G-3 Multipliers'!$L$3:$N$6,3,FALSE)))</f>
        <v/>
      </c>
      <c r="AD155" s="537" t="str">
        <f t="shared" si="26"/>
        <v/>
      </c>
      <c r="AE155" s="203"/>
      <c r="AF155" s="203"/>
      <c r="AG155" s="520" t="str">
        <f t="shared" si="29"/>
        <v/>
      </c>
      <c r="AH155" s="544" t="str">
        <f t="shared" si="30"/>
        <v/>
      </c>
      <c r="AI155" s="525" t="str">
        <f>IF(AH155="Check Data ⚠","Check Data ⚠",IFERROR(VLOOKUP(AH155,'G-4 Temporal multipliers'!$A$4:$C$36,3,FALSE),""))</f>
        <v/>
      </c>
      <c r="AJ155" s="537" t="str">
        <f>IF(S155="","",VLOOKUP(S155,'G-3 Multipliers'!$A$2:$E$129,4,FALSE))</f>
        <v/>
      </c>
      <c r="AK155" s="520" t="str">
        <f t="shared" si="31"/>
        <v/>
      </c>
      <c r="AL155" s="520" t="str">
        <f t="shared" si="32"/>
        <v/>
      </c>
      <c r="AM155" s="524" t="str">
        <f>IFERROR(IF(F155="","",IF(AH155="Check Data ⚠","Check Data ⚠",VLOOKUP(AL155, 'G-3 Multipliers'!$P$2:$Q$6,2,FALSE))),"")</f>
        <v/>
      </c>
      <c r="AN155" s="197"/>
      <c r="AO155" s="540" t="str">
        <f>IF(AN155="","",IF(VLOOKUP(AN155,'G-3 Multipliers'!$S$3:$T$9,2,FALSE)=0,"Spatial Data Missing ⚠",VLOOKUP(AN155,'G-3 Multipliers'!$S$3:$T$9,2,FALSE)))</f>
        <v/>
      </c>
      <c r="AP155" s="513" t="str">
        <f t="shared" si="33"/>
        <v/>
      </c>
      <c r="AQ155" s="231"/>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7" t="str">
        <f>'D-1 Off Site Habitat Baseline'!AL155</f>
        <v/>
      </c>
      <c r="F156" s="520" t="str">
        <f>IF(E156="","",IF(ISNA(VLOOKUP($E156,'D-1 Off Site Habitat Baseline'!$D$1:$O$258,4,FALSE)),"",(VLOOKUP($E156,'D-1 Off Site Habitat Baseline'!$D$1:$O$258,4,FALSE))))</f>
        <v/>
      </c>
      <c r="G156" s="520" t="str">
        <f>IF(E156="","",IF(ISNA(VLOOKUP($E156,'D-1 Off Site Habitat Baseline'!$D$1:$O$258,5,FALSE)),"",(VLOOKUP($E156,'D-1 Off Site Habitat Baseline'!$D$1:$O$258,5,FALSE))))</f>
        <v/>
      </c>
      <c r="H156" s="520" t="str">
        <f>IF(E156="","",IF(ISNA(VLOOKUP($E156,'D-1 Off Site Habitat Baseline'!$D$1:$O$258,6,FALSE)),"",(VLOOKUP($E156,'D-1 Off Site Habitat Baseline'!$D$1:$O$258,6,FALSE))))</f>
        <v/>
      </c>
      <c r="I156" s="520" t="str">
        <f>IF(E156="","",IF(ISNA(VLOOKUP($E156,'D-1 Off Site Habitat Baseline'!$D$1:$O$258,7,FALSE)),"",(VLOOKUP($E156,'D-1 Off Site Habitat Baseline'!$D$1:$O$258,7,FALSE))))</f>
        <v/>
      </c>
      <c r="J156" s="520" t="str">
        <f>IF(E156="","",IF(ISNA(VLOOKUP($E156,'D-1 Off Site Habitat Baseline'!$D$1:$O$258,8,FALSE)),"",(VLOOKUP($E156,'D-1 Off Site Habitat Baseline'!$D$1:$O$258,8,FALSE))))</f>
        <v/>
      </c>
      <c r="K156" s="520" t="str">
        <f>IF(E156="","",IF(ISNA(VLOOKUP($E156,'D-1 Off Site Habitat Baseline'!$D$1:$O$258,9,FALSE)),"",(VLOOKUP($E156,'D-1 Off Site Habitat Baseline'!$D$1:$O$258,9,FALSE))))</f>
        <v/>
      </c>
      <c r="L156" s="520" t="str">
        <f>IF(E156="","",IF(ISNA(VLOOKUP($E156,'D-1 Off Site Habitat Baseline'!$D$1:$O$258,11,FALSE)),"",(VLOOKUP($E156,'D-1 Off Site Habitat Baseline'!$D$1:$O$258,11,FALSE))))</f>
        <v/>
      </c>
      <c r="M156" s="520" t="str">
        <f>IF(E156="","",IF(ISNA(VLOOKUP($E156,'D-1 Off Site Habitat Baseline'!$D$1:$O$258,12,FALSE)),"",(VLOOKUP($E156,'D-1 Off Site Habitat Baseline'!$D$1:$O$258,12,FALSE))))</f>
        <v/>
      </c>
      <c r="N156" s="520" t="str">
        <f>IF(E156="","",IF(ISNA(VLOOKUP($E156,'D-1 Off Site Habitat Baseline'!$D$1:$X$258,14,FALSE)),"",(VLOOKUP($E156,'D-1 Off Site Habitat Baseline'!$D$1:$X$258,14,FALSE))))</f>
        <v/>
      </c>
      <c r="O156" s="524" t="str">
        <f>IF(E156="","",IF(ISNA(VLOOKUP($E156,'D-1 Off Site Habitat Baseline'!$D$1:$X$258,13,FALSE)),"",(VLOOKUP($E156,'D-1 Off Site Habitat Baseline'!$D$1:$X$258,13,FALSE))))</f>
        <v/>
      </c>
      <c r="P156" s="232" t="str">
        <f>IFERROR(INDEX('G-1 All Habitats'!$AG$3:$AG$15,MATCH(Q156,'G-1 All Habitats'!$AF$3:$AF$15,0)),"")</f>
        <v/>
      </c>
      <c r="Q156" s="228" t="str">
        <f t="shared" si="34"/>
        <v/>
      </c>
      <c r="R156" s="229" t="str">
        <f t="shared" si="35"/>
        <v/>
      </c>
      <c r="S156" s="233" t="str">
        <f>IFERROR(INDEX('G-1 All Habitats'!$B$3:$B$129,MATCH(R156,'G-1 All Habitats'!$A$3:$A$129,0)),"")</f>
        <v/>
      </c>
      <c r="T156" s="507" t="str">
        <f t="shared" si="27"/>
        <v/>
      </c>
      <c r="U156" s="524" t="str">
        <f t="shared" si="28"/>
        <v/>
      </c>
      <c r="V156" s="523" t="str">
        <f t="shared" si="25"/>
        <v/>
      </c>
      <c r="W156" s="520" t="str">
        <f>IF(S156="","",VLOOKUP(S156,'G-1 All Habitats'!$B$2:$M$129,10,FALSE))</f>
        <v/>
      </c>
      <c r="X156" s="520" t="str">
        <f>IFERROR(VLOOKUP(W156,'G-1 All Habitats'!$V$3:$W$7,2,FALSE),"")</f>
        <v/>
      </c>
      <c r="Y156" s="203"/>
      <c r="Z156" s="524" t="str">
        <f>IFERROR(INDEX('G-8 Condition Look up'!$A$3:$H$130,MATCH(S156,'G-8 Condition Look up'!$A$3:$A$130,0),MATCH(Y156,'G-8 Condition Look up'!$A$3:$H$3,0)),"")</f>
        <v/>
      </c>
      <c r="AA156" s="145"/>
      <c r="AB156" s="540" t="str">
        <f>IF(AA156="","",IF(VLOOKUP(AA156,'G-3 Multipliers'!$L$3:$N$6,2,FALSE)=0,"Spatial Data Missing ⚠",VLOOKUP(AA156,'G-3 Multipliers'!$L$3:$N$6,2,FALSE)))</f>
        <v/>
      </c>
      <c r="AC156" s="524" t="str">
        <f>IF(AA156="","",IF(VLOOKUP(AA156,'G-3 Multipliers'!$L$3:$N$6,3,FALSE)=0,"Spatial Data Missing ⚠",VLOOKUP(AA156,'G-3 Multipliers'!$L$3:$N$6,3,FALSE)))</f>
        <v/>
      </c>
      <c r="AD156" s="537" t="str">
        <f t="shared" si="26"/>
        <v/>
      </c>
      <c r="AE156" s="203"/>
      <c r="AF156" s="203"/>
      <c r="AG156" s="520" t="str">
        <f t="shared" si="29"/>
        <v/>
      </c>
      <c r="AH156" s="544" t="str">
        <f t="shared" si="30"/>
        <v/>
      </c>
      <c r="AI156" s="525" t="str">
        <f>IF(AH156="Check Data ⚠","Check Data ⚠",IFERROR(VLOOKUP(AH156,'G-4 Temporal multipliers'!$A$4:$C$36,3,FALSE),""))</f>
        <v/>
      </c>
      <c r="AJ156" s="537" t="str">
        <f>IF(S156="","",VLOOKUP(S156,'G-3 Multipliers'!$A$2:$E$129,4,FALSE))</f>
        <v/>
      </c>
      <c r="AK156" s="520" t="str">
        <f t="shared" si="31"/>
        <v/>
      </c>
      <c r="AL156" s="520" t="str">
        <f t="shared" si="32"/>
        <v/>
      </c>
      <c r="AM156" s="524" t="str">
        <f>IFERROR(IF(F156="","",IF(AH156="Check Data ⚠","Check Data ⚠",VLOOKUP(AL156, 'G-3 Multipliers'!$P$2:$Q$6,2,FALSE))),"")</f>
        <v/>
      </c>
      <c r="AN156" s="197"/>
      <c r="AO156" s="540" t="str">
        <f>IF(AN156="","",IF(VLOOKUP(AN156,'G-3 Multipliers'!$S$3:$T$9,2,FALSE)=0,"Spatial Data Missing ⚠",VLOOKUP(AN156,'G-3 Multipliers'!$S$3:$T$9,2,FALSE)))</f>
        <v/>
      </c>
      <c r="AP156" s="513" t="str">
        <f t="shared" si="33"/>
        <v/>
      </c>
      <c r="AQ156" s="231"/>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7" t="str">
        <f>'D-1 Off Site Habitat Baseline'!AL156</f>
        <v/>
      </c>
      <c r="F157" s="520" t="str">
        <f>IF(E157="","",IF(ISNA(VLOOKUP($E157,'D-1 Off Site Habitat Baseline'!$D$1:$O$258,4,FALSE)),"",(VLOOKUP($E157,'D-1 Off Site Habitat Baseline'!$D$1:$O$258,4,FALSE))))</f>
        <v/>
      </c>
      <c r="G157" s="520" t="str">
        <f>IF(E157="","",IF(ISNA(VLOOKUP($E157,'D-1 Off Site Habitat Baseline'!$D$1:$O$258,5,FALSE)),"",(VLOOKUP($E157,'D-1 Off Site Habitat Baseline'!$D$1:$O$258,5,FALSE))))</f>
        <v/>
      </c>
      <c r="H157" s="520" t="str">
        <f>IF(E157="","",IF(ISNA(VLOOKUP($E157,'D-1 Off Site Habitat Baseline'!$D$1:$O$258,6,FALSE)),"",(VLOOKUP($E157,'D-1 Off Site Habitat Baseline'!$D$1:$O$258,6,FALSE))))</f>
        <v/>
      </c>
      <c r="I157" s="520" t="str">
        <f>IF(E157="","",IF(ISNA(VLOOKUP($E157,'D-1 Off Site Habitat Baseline'!$D$1:$O$258,7,FALSE)),"",(VLOOKUP($E157,'D-1 Off Site Habitat Baseline'!$D$1:$O$258,7,FALSE))))</f>
        <v/>
      </c>
      <c r="J157" s="520" t="str">
        <f>IF(E157="","",IF(ISNA(VLOOKUP($E157,'D-1 Off Site Habitat Baseline'!$D$1:$O$258,8,FALSE)),"",(VLOOKUP($E157,'D-1 Off Site Habitat Baseline'!$D$1:$O$258,8,FALSE))))</f>
        <v/>
      </c>
      <c r="K157" s="520" t="str">
        <f>IF(E157="","",IF(ISNA(VLOOKUP($E157,'D-1 Off Site Habitat Baseline'!$D$1:$O$258,9,FALSE)),"",(VLOOKUP($E157,'D-1 Off Site Habitat Baseline'!$D$1:$O$258,9,FALSE))))</f>
        <v/>
      </c>
      <c r="L157" s="520" t="str">
        <f>IF(E157="","",IF(ISNA(VLOOKUP($E157,'D-1 Off Site Habitat Baseline'!$D$1:$O$258,11,FALSE)),"",(VLOOKUP($E157,'D-1 Off Site Habitat Baseline'!$D$1:$O$258,11,FALSE))))</f>
        <v/>
      </c>
      <c r="M157" s="520" t="str">
        <f>IF(E157="","",IF(ISNA(VLOOKUP($E157,'D-1 Off Site Habitat Baseline'!$D$1:$O$258,12,FALSE)),"",(VLOOKUP($E157,'D-1 Off Site Habitat Baseline'!$D$1:$O$258,12,FALSE))))</f>
        <v/>
      </c>
      <c r="N157" s="520" t="str">
        <f>IF(E157="","",IF(ISNA(VLOOKUP($E157,'D-1 Off Site Habitat Baseline'!$D$1:$X$258,14,FALSE)),"",(VLOOKUP($E157,'D-1 Off Site Habitat Baseline'!$D$1:$X$258,14,FALSE))))</f>
        <v/>
      </c>
      <c r="O157" s="524" t="str">
        <f>IF(E157="","",IF(ISNA(VLOOKUP($E157,'D-1 Off Site Habitat Baseline'!$D$1:$X$258,13,FALSE)),"",(VLOOKUP($E157,'D-1 Off Site Habitat Baseline'!$D$1:$X$258,13,FALSE))))</f>
        <v/>
      </c>
      <c r="P157" s="232" t="str">
        <f>IFERROR(INDEX('G-1 All Habitats'!$AG$3:$AG$15,MATCH(Q157,'G-1 All Habitats'!$AF$3:$AF$15,0)),"")</f>
        <v/>
      </c>
      <c r="Q157" s="228" t="str">
        <f t="shared" si="34"/>
        <v/>
      </c>
      <c r="R157" s="229" t="str">
        <f t="shared" si="35"/>
        <v/>
      </c>
      <c r="S157" s="233" t="str">
        <f>IFERROR(INDEX('G-1 All Habitats'!$B$3:$B$129,MATCH(R157,'G-1 All Habitats'!$A$3:$A$129,0)),"")</f>
        <v/>
      </c>
      <c r="T157" s="507" t="str">
        <f t="shared" si="27"/>
        <v/>
      </c>
      <c r="U157" s="524" t="str">
        <f t="shared" si="28"/>
        <v/>
      </c>
      <c r="V157" s="523" t="str">
        <f t="shared" si="25"/>
        <v/>
      </c>
      <c r="W157" s="520" t="str">
        <f>IF(S157="","",VLOOKUP(S157,'G-1 All Habitats'!$B$2:$M$129,10,FALSE))</f>
        <v/>
      </c>
      <c r="X157" s="520" t="str">
        <f>IFERROR(VLOOKUP(W157,'G-1 All Habitats'!$V$3:$W$7,2,FALSE),"")</f>
        <v/>
      </c>
      <c r="Y157" s="203"/>
      <c r="Z157" s="524" t="str">
        <f>IFERROR(INDEX('G-8 Condition Look up'!$A$3:$H$130,MATCH(S157,'G-8 Condition Look up'!$A$3:$A$130,0),MATCH(Y157,'G-8 Condition Look up'!$A$3:$H$3,0)),"")</f>
        <v/>
      </c>
      <c r="AA157" s="145"/>
      <c r="AB157" s="540" t="str">
        <f>IF(AA157="","",IF(VLOOKUP(AA157,'G-3 Multipliers'!$L$3:$N$6,2,FALSE)=0,"Spatial Data Missing ⚠",VLOOKUP(AA157,'G-3 Multipliers'!$L$3:$N$6,2,FALSE)))</f>
        <v/>
      </c>
      <c r="AC157" s="524" t="str">
        <f>IF(AA157="","",IF(VLOOKUP(AA157,'G-3 Multipliers'!$L$3:$N$6,3,FALSE)=0,"Spatial Data Missing ⚠",VLOOKUP(AA157,'G-3 Multipliers'!$L$3:$N$6,3,FALSE)))</f>
        <v/>
      </c>
      <c r="AD157" s="537" t="str">
        <f t="shared" si="26"/>
        <v/>
      </c>
      <c r="AE157" s="203"/>
      <c r="AF157" s="203"/>
      <c r="AG157" s="520" t="str">
        <f t="shared" si="29"/>
        <v/>
      </c>
      <c r="AH157" s="544" t="str">
        <f t="shared" si="30"/>
        <v/>
      </c>
      <c r="AI157" s="525" t="str">
        <f>IF(AH157="Check Data ⚠","Check Data ⚠",IFERROR(VLOOKUP(AH157,'G-4 Temporal multipliers'!$A$4:$C$36,3,FALSE),""))</f>
        <v/>
      </c>
      <c r="AJ157" s="537" t="str">
        <f>IF(S157="","",VLOOKUP(S157,'G-3 Multipliers'!$A$2:$E$129,4,FALSE))</f>
        <v/>
      </c>
      <c r="AK157" s="520" t="str">
        <f t="shared" si="31"/>
        <v/>
      </c>
      <c r="AL157" s="520" t="str">
        <f t="shared" si="32"/>
        <v/>
      </c>
      <c r="AM157" s="524" t="str">
        <f>IFERROR(IF(F157="","",IF(AH157="Check Data ⚠","Check Data ⚠",VLOOKUP(AL157, 'G-3 Multipliers'!$P$2:$Q$6,2,FALSE))),"")</f>
        <v/>
      </c>
      <c r="AN157" s="197"/>
      <c r="AO157" s="540" t="str">
        <f>IF(AN157="","",IF(VLOOKUP(AN157,'G-3 Multipliers'!$S$3:$T$9,2,FALSE)=0,"Spatial Data Missing ⚠",VLOOKUP(AN157,'G-3 Multipliers'!$S$3:$T$9,2,FALSE)))</f>
        <v/>
      </c>
      <c r="AP157" s="513" t="str">
        <f t="shared" si="33"/>
        <v/>
      </c>
      <c r="AQ157" s="231"/>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7" t="str">
        <f>'D-1 Off Site Habitat Baseline'!AL157</f>
        <v/>
      </c>
      <c r="F158" s="520" t="str">
        <f>IF(E158="","",IF(ISNA(VLOOKUP($E158,'D-1 Off Site Habitat Baseline'!$D$1:$O$258,4,FALSE)),"",(VLOOKUP($E158,'D-1 Off Site Habitat Baseline'!$D$1:$O$258,4,FALSE))))</f>
        <v/>
      </c>
      <c r="G158" s="520" t="str">
        <f>IF(E158="","",IF(ISNA(VLOOKUP($E158,'D-1 Off Site Habitat Baseline'!$D$1:$O$258,5,FALSE)),"",(VLOOKUP($E158,'D-1 Off Site Habitat Baseline'!$D$1:$O$258,5,FALSE))))</f>
        <v/>
      </c>
      <c r="H158" s="520" t="str">
        <f>IF(E158="","",IF(ISNA(VLOOKUP($E158,'D-1 Off Site Habitat Baseline'!$D$1:$O$258,6,FALSE)),"",(VLOOKUP($E158,'D-1 Off Site Habitat Baseline'!$D$1:$O$258,6,FALSE))))</f>
        <v/>
      </c>
      <c r="I158" s="520" t="str">
        <f>IF(E158="","",IF(ISNA(VLOOKUP($E158,'D-1 Off Site Habitat Baseline'!$D$1:$O$258,7,FALSE)),"",(VLOOKUP($E158,'D-1 Off Site Habitat Baseline'!$D$1:$O$258,7,FALSE))))</f>
        <v/>
      </c>
      <c r="J158" s="520" t="str">
        <f>IF(E158="","",IF(ISNA(VLOOKUP($E158,'D-1 Off Site Habitat Baseline'!$D$1:$O$258,8,FALSE)),"",(VLOOKUP($E158,'D-1 Off Site Habitat Baseline'!$D$1:$O$258,8,FALSE))))</f>
        <v/>
      </c>
      <c r="K158" s="520" t="str">
        <f>IF(E158="","",IF(ISNA(VLOOKUP($E158,'D-1 Off Site Habitat Baseline'!$D$1:$O$258,9,FALSE)),"",(VLOOKUP($E158,'D-1 Off Site Habitat Baseline'!$D$1:$O$258,9,FALSE))))</f>
        <v/>
      </c>
      <c r="L158" s="520" t="str">
        <f>IF(E158="","",IF(ISNA(VLOOKUP($E158,'D-1 Off Site Habitat Baseline'!$D$1:$O$258,11,FALSE)),"",(VLOOKUP($E158,'D-1 Off Site Habitat Baseline'!$D$1:$O$258,11,FALSE))))</f>
        <v/>
      </c>
      <c r="M158" s="520" t="str">
        <f>IF(E158="","",IF(ISNA(VLOOKUP($E158,'D-1 Off Site Habitat Baseline'!$D$1:$O$258,12,FALSE)),"",(VLOOKUP($E158,'D-1 Off Site Habitat Baseline'!$D$1:$O$258,12,FALSE))))</f>
        <v/>
      </c>
      <c r="N158" s="520" t="str">
        <f>IF(E158="","",IF(ISNA(VLOOKUP($E158,'D-1 Off Site Habitat Baseline'!$D$1:$X$258,14,FALSE)),"",(VLOOKUP($E158,'D-1 Off Site Habitat Baseline'!$D$1:$X$258,14,FALSE))))</f>
        <v/>
      </c>
      <c r="O158" s="524" t="str">
        <f>IF(E158="","",IF(ISNA(VLOOKUP($E158,'D-1 Off Site Habitat Baseline'!$D$1:$X$258,13,FALSE)),"",(VLOOKUP($E158,'D-1 Off Site Habitat Baseline'!$D$1:$X$258,13,FALSE))))</f>
        <v/>
      </c>
      <c r="P158" s="232" t="str">
        <f>IFERROR(INDEX('G-1 All Habitats'!$AG$3:$AG$15,MATCH(Q158,'G-1 All Habitats'!$AF$3:$AF$15,0)),"")</f>
        <v/>
      </c>
      <c r="Q158" s="228" t="str">
        <f t="shared" si="34"/>
        <v/>
      </c>
      <c r="R158" s="229" t="str">
        <f t="shared" si="35"/>
        <v/>
      </c>
      <c r="S158" s="233" t="str">
        <f>IFERROR(INDEX('G-1 All Habitats'!$B$3:$B$129,MATCH(R158,'G-1 All Habitats'!$A$3:$A$129,0)),"")</f>
        <v/>
      </c>
      <c r="T158" s="507" t="str">
        <f t="shared" si="27"/>
        <v/>
      </c>
      <c r="U158" s="524" t="str">
        <f t="shared" si="28"/>
        <v/>
      </c>
      <c r="V158" s="523" t="str">
        <f t="shared" si="25"/>
        <v/>
      </c>
      <c r="W158" s="520" t="str">
        <f>IF(S158="","",VLOOKUP(S158,'G-1 All Habitats'!$B$2:$M$129,10,FALSE))</f>
        <v/>
      </c>
      <c r="X158" s="520" t="str">
        <f>IFERROR(VLOOKUP(W158,'G-1 All Habitats'!$V$3:$W$7,2,FALSE),"")</f>
        <v/>
      </c>
      <c r="Y158" s="203"/>
      <c r="Z158" s="524" t="str">
        <f>IFERROR(INDEX('G-8 Condition Look up'!$A$3:$H$130,MATCH(S158,'G-8 Condition Look up'!$A$3:$A$130,0),MATCH(Y158,'G-8 Condition Look up'!$A$3:$H$3,0)),"")</f>
        <v/>
      </c>
      <c r="AA158" s="145"/>
      <c r="AB158" s="540" t="str">
        <f>IF(AA158="","",IF(VLOOKUP(AA158,'G-3 Multipliers'!$L$3:$N$6,2,FALSE)=0,"Spatial Data Missing ⚠",VLOOKUP(AA158,'G-3 Multipliers'!$L$3:$N$6,2,FALSE)))</f>
        <v/>
      </c>
      <c r="AC158" s="524" t="str">
        <f>IF(AA158="","",IF(VLOOKUP(AA158,'G-3 Multipliers'!$L$3:$N$6,3,FALSE)=0,"Spatial Data Missing ⚠",VLOOKUP(AA158,'G-3 Multipliers'!$L$3:$N$6,3,FALSE)))</f>
        <v/>
      </c>
      <c r="AD158" s="537" t="str">
        <f t="shared" si="26"/>
        <v/>
      </c>
      <c r="AE158" s="203"/>
      <c r="AF158" s="203"/>
      <c r="AG158" s="520" t="str">
        <f t="shared" si="29"/>
        <v/>
      </c>
      <c r="AH158" s="544" t="str">
        <f t="shared" si="30"/>
        <v/>
      </c>
      <c r="AI158" s="525" t="str">
        <f>IF(AH158="Check Data ⚠","Check Data ⚠",IFERROR(VLOOKUP(AH158,'G-4 Temporal multipliers'!$A$4:$C$36,3,FALSE),""))</f>
        <v/>
      </c>
      <c r="AJ158" s="537" t="str">
        <f>IF(S158="","",VLOOKUP(S158,'G-3 Multipliers'!$A$2:$E$129,4,FALSE))</f>
        <v/>
      </c>
      <c r="AK158" s="520" t="str">
        <f t="shared" si="31"/>
        <v/>
      </c>
      <c r="AL158" s="520" t="str">
        <f t="shared" si="32"/>
        <v/>
      </c>
      <c r="AM158" s="524" t="str">
        <f>IFERROR(IF(F158="","",IF(AH158="Check Data ⚠","Check Data ⚠",VLOOKUP(AL158, 'G-3 Multipliers'!$P$2:$Q$6,2,FALSE))),"")</f>
        <v/>
      </c>
      <c r="AN158" s="197"/>
      <c r="AO158" s="540" t="str">
        <f>IF(AN158="","",IF(VLOOKUP(AN158,'G-3 Multipliers'!$S$3:$T$9,2,FALSE)=0,"Spatial Data Missing ⚠",VLOOKUP(AN158,'G-3 Multipliers'!$S$3:$T$9,2,FALSE)))</f>
        <v/>
      </c>
      <c r="AP158" s="513" t="str">
        <f t="shared" si="33"/>
        <v/>
      </c>
      <c r="AQ158" s="231"/>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7" t="str">
        <f>'D-1 Off Site Habitat Baseline'!AL158</f>
        <v/>
      </c>
      <c r="F159" s="520" t="str">
        <f>IF(E159="","",IF(ISNA(VLOOKUP($E159,'D-1 Off Site Habitat Baseline'!$D$1:$O$258,4,FALSE)),"",(VLOOKUP($E159,'D-1 Off Site Habitat Baseline'!$D$1:$O$258,4,FALSE))))</f>
        <v/>
      </c>
      <c r="G159" s="520" t="str">
        <f>IF(E159="","",IF(ISNA(VLOOKUP($E159,'D-1 Off Site Habitat Baseline'!$D$1:$O$258,5,FALSE)),"",(VLOOKUP($E159,'D-1 Off Site Habitat Baseline'!$D$1:$O$258,5,FALSE))))</f>
        <v/>
      </c>
      <c r="H159" s="520" t="str">
        <f>IF(E159="","",IF(ISNA(VLOOKUP($E159,'D-1 Off Site Habitat Baseline'!$D$1:$O$258,6,FALSE)),"",(VLOOKUP($E159,'D-1 Off Site Habitat Baseline'!$D$1:$O$258,6,FALSE))))</f>
        <v/>
      </c>
      <c r="I159" s="520" t="str">
        <f>IF(E159="","",IF(ISNA(VLOOKUP($E159,'D-1 Off Site Habitat Baseline'!$D$1:$O$258,7,FALSE)),"",(VLOOKUP($E159,'D-1 Off Site Habitat Baseline'!$D$1:$O$258,7,FALSE))))</f>
        <v/>
      </c>
      <c r="J159" s="520" t="str">
        <f>IF(E159="","",IF(ISNA(VLOOKUP($E159,'D-1 Off Site Habitat Baseline'!$D$1:$O$258,8,FALSE)),"",(VLOOKUP($E159,'D-1 Off Site Habitat Baseline'!$D$1:$O$258,8,FALSE))))</f>
        <v/>
      </c>
      <c r="K159" s="520" t="str">
        <f>IF(E159="","",IF(ISNA(VLOOKUP($E159,'D-1 Off Site Habitat Baseline'!$D$1:$O$258,9,FALSE)),"",(VLOOKUP($E159,'D-1 Off Site Habitat Baseline'!$D$1:$O$258,9,FALSE))))</f>
        <v/>
      </c>
      <c r="L159" s="520" t="str">
        <f>IF(E159="","",IF(ISNA(VLOOKUP($E159,'D-1 Off Site Habitat Baseline'!$D$1:$O$258,11,FALSE)),"",(VLOOKUP($E159,'D-1 Off Site Habitat Baseline'!$D$1:$O$258,11,FALSE))))</f>
        <v/>
      </c>
      <c r="M159" s="520" t="str">
        <f>IF(E159="","",IF(ISNA(VLOOKUP($E159,'D-1 Off Site Habitat Baseline'!$D$1:$O$258,12,FALSE)),"",(VLOOKUP($E159,'D-1 Off Site Habitat Baseline'!$D$1:$O$258,12,FALSE))))</f>
        <v/>
      </c>
      <c r="N159" s="520" t="str">
        <f>IF(E159="","",IF(ISNA(VLOOKUP($E159,'D-1 Off Site Habitat Baseline'!$D$1:$X$258,14,FALSE)),"",(VLOOKUP($E159,'D-1 Off Site Habitat Baseline'!$D$1:$X$258,14,FALSE))))</f>
        <v/>
      </c>
      <c r="O159" s="524" t="str">
        <f>IF(E159="","",IF(ISNA(VLOOKUP($E159,'D-1 Off Site Habitat Baseline'!$D$1:$X$258,13,FALSE)),"",(VLOOKUP($E159,'D-1 Off Site Habitat Baseline'!$D$1:$X$258,13,FALSE))))</f>
        <v/>
      </c>
      <c r="P159" s="232" t="str">
        <f>IFERROR(INDEX('G-1 All Habitats'!$AG$3:$AG$15,MATCH(Q159,'G-1 All Habitats'!$AF$3:$AF$15,0)),"")</f>
        <v/>
      </c>
      <c r="Q159" s="228" t="str">
        <f t="shared" si="34"/>
        <v/>
      </c>
      <c r="R159" s="229" t="str">
        <f t="shared" si="35"/>
        <v/>
      </c>
      <c r="S159" s="233" t="str">
        <f>IFERROR(INDEX('G-1 All Habitats'!$B$3:$B$129,MATCH(R159,'G-1 All Habitats'!$A$3:$A$129,0)),"")</f>
        <v/>
      </c>
      <c r="T159" s="507" t="str">
        <f t="shared" si="27"/>
        <v/>
      </c>
      <c r="U159" s="524" t="str">
        <f t="shared" si="28"/>
        <v/>
      </c>
      <c r="V159" s="523" t="str">
        <f t="shared" si="25"/>
        <v/>
      </c>
      <c r="W159" s="520" t="str">
        <f>IF(S159="","",VLOOKUP(S159,'G-1 All Habitats'!$B$2:$M$129,10,FALSE))</f>
        <v/>
      </c>
      <c r="X159" s="520" t="str">
        <f>IFERROR(VLOOKUP(W159,'G-1 All Habitats'!$V$3:$W$7,2,FALSE),"")</f>
        <v/>
      </c>
      <c r="Y159" s="203"/>
      <c r="Z159" s="524" t="str">
        <f>IFERROR(INDEX('G-8 Condition Look up'!$A$3:$H$130,MATCH(S159,'G-8 Condition Look up'!$A$3:$A$130,0),MATCH(Y159,'G-8 Condition Look up'!$A$3:$H$3,0)),"")</f>
        <v/>
      </c>
      <c r="AA159" s="145"/>
      <c r="AB159" s="540" t="str">
        <f>IF(AA159="","",IF(VLOOKUP(AA159,'G-3 Multipliers'!$L$3:$N$6,2,FALSE)=0,"Spatial Data Missing ⚠",VLOOKUP(AA159,'G-3 Multipliers'!$L$3:$N$6,2,FALSE)))</f>
        <v/>
      </c>
      <c r="AC159" s="524" t="str">
        <f>IF(AA159="","",IF(VLOOKUP(AA159,'G-3 Multipliers'!$L$3:$N$6,3,FALSE)=0,"Spatial Data Missing ⚠",VLOOKUP(AA159,'G-3 Multipliers'!$L$3:$N$6,3,FALSE)))</f>
        <v/>
      </c>
      <c r="AD159" s="537" t="str">
        <f t="shared" si="26"/>
        <v/>
      </c>
      <c r="AE159" s="203"/>
      <c r="AF159" s="203"/>
      <c r="AG159" s="520" t="str">
        <f t="shared" si="29"/>
        <v/>
      </c>
      <c r="AH159" s="544" t="str">
        <f t="shared" si="30"/>
        <v/>
      </c>
      <c r="AI159" s="525" t="str">
        <f>IF(AH159="Check Data ⚠","Check Data ⚠",IFERROR(VLOOKUP(AH159,'G-4 Temporal multipliers'!$A$4:$C$36,3,FALSE),""))</f>
        <v/>
      </c>
      <c r="AJ159" s="537" t="str">
        <f>IF(S159="","",VLOOKUP(S159,'G-3 Multipliers'!$A$2:$E$129,4,FALSE))</f>
        <v/>
      </c>
      <c r="AK159" s="520" t="str">
        <f t="shared" si="31"/>
        <v/>
      </c>
      <c r="AL159" s="520" t="str">
        <f t="shared" si="32"/>
        <v/>
      </c>
      <c r="AM159" s="524" t="str">
        <f>IFERROR(IF(F159="","",IF(AH159="Check Data ⚠","Check Data ⚠",VLOOKUP(AL159, 'G-3 Multipliers'!$P$2:$Q$6,2,FALSE))),"")</f>
        <v/>
      </c>
      <c r="AN159" s="197"/>
      <c r="AO159" s="540" t="str">
        <f>IF(AN159="","",IF(VLOOKUP(AN159,'G-3 Multipliers'!$S$3:$T$9,2,FALSE)=0,"Spatial Data Missing ⚠",VLOOKUP(AN159,'G-3 Multipliers'!$S$3:$T$9,2,FALSE)))</f>
        <v/>
      </c>
      <c r="AP159" s="513" t="str">
        <f t="shared" si="33"/>
        <v/>
      </c>
      <c r="AQ159" s="231"/>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7" t="str">
        <f>'D-1 Off Site Habitat Baseline'!AL159</f>
        <v/>
      </c>
      <c r="F160" s="520" t="str">
        <f>IF(E160="","",IF(ISNA(VLOOKUP($E160,'D-1 Off Site Habitat Baseline'!$D$1:$O$258,4,FALSE)),"",(VLOOKUP($E160,'D-1 Off Site Habitat Baseline'!$D$1:$O$258,4,FALSE))))</f>
        <v/>
      </c>
      <c r="G160" s="520" t="str">
        <f>IF(E160="","",IF(ISNA(VLOOKUP($E160,'D-1 Off Site Habitat Baseline'!$D$1:$O$258,5,FALSE)),"",(VLOOKUP($E160,'D-1 Off Site Habitat Baseline'!$D$1:$O$258,5,FALSE))))</f>
        <v/>
      </c>
      <c r="H160" s="520" t="str">
        <f>IF(E160="","",IF(ISNA(VLOOKUP($E160,'D-1 Off Site Habitat Baseline'!$D$1:$O$258,6,FALSE)),"",(VLOOKUP($E160,'D-1 Off Site Habitat Baseline'!$D$1:$O$258,6,FALSE))))</f>
        <v/>
      </c>
      <c r="I160" s="520" t="str">
        <f>IF(E160="","",IF(ISNA(VLOOKUP($E160,'D-1 Off Site Habitat Baseline'!$D$1:$O$258,7,FALSE)),"",(VLOOKUP($E160,'D-1 Off Site Habitat Baseline'!$D$1:$O$258,7,FALSE))))</f>
        <v/>
      </c>
      <c r="J160" s="520" t="str">
        <f>IF(E160="","",IF(ISNA(VLOOKUP($E160,'D-1 Off Site Habitat Baseline'!$D$1:$O$258,8,FALSE)),"",(VLOOKUP($E160,'D-1 Off Site Habitat Baseline'!$D$1:$O$258,8,FALSE))))</f>
        <v/>
      </c>
      <c r="K160" s="520" t="str">
        <f>IF(E160="","",IF(ISNA(VLOOKUP($E160,'D-1 Off Site Habitat Baseline'!$D$1:$O$258,9,FALSE)),"",(VLOOKUP($E160,'D-1 Off Site Habitat Baseline'!$D$1:$O$258,9,FALSE))))</f>
        <v/>
      </c>
      <c r="L160" s="520" t="str">
        <f>IF(E160="","",IF(ISNA(VLOOKUP($E160,'D-1 Off Site Habitat Baseline'!$D$1:$O$258,11,FALSE)),"",(VLOOKUP($E160,'D-1 Off Site Habitat Baseline'!$D$1:$O$258,11,FALSE))))</f>
        <v/>
      </c>
      <c r="M160" s="520" t="str">
        <f>IF(E160="","",IF(ISNA(VLOOKUP($E160,'D-1 Off Site Habitat Baseline'!$D$1:$O$258,12,FALSE)),"",(VLOOKUP($E160,'D-1 Off Site Habitat Baseline'!$D$1:$O$258,12,FALSE))))</f>
        <v/>
      </c>
      <c r="N160" s="520" t="str">
        <f>IF(E160="","",IF(ISNA(VLOOKUP($E160,'D-1 Off Site Habitat Baseline'!$D$1:$X$258,14,FALSE)),"",(VLOOKUP($E160,'D-1 Off Site Habitat Baseline'!$D$1:$X$258,14,FALSE))))</f>
        <v/>
      </c>
      <c r="O160" s="524" t="str">
        <f>IF(E160="","",IF(ISNA(VLOOKUP($E160,'D-1 Off Site Habitat Baseline'!$D$1:$X$258,13,FALSE)),"",(VLOOKUP($E160,'D-1 Off Site Habitat Baseline'!$D$1:$X$258,13,FALSE))))</f>
        <v/>
      </c>
      <c r="P160" s="232" t="str">
        <f>IFERROR(INDEX('G-1 All Habitats'!$AG$3:$AG$15,MATCH(Q160,'G-1 All Habitats'!$AF$3:$AF$15,0)),"")</f>
        <v/>
      </c>
      <c r="Q160" s="228" t="str">
        <f t="shared" si="34"/>
        <v/>
      </c>
      <c r="R160" s="229" t="str">
        <f t="shared" si="35"/>
        <v/>
      </c>
      <c r="S160" s="233" t="str">
        <f>IFERROR(INDEX('G-1 All Habitats'!$B$3:$B$129,MATCH(R160,'G-1 All Habitats'!$A$3:$A$129,0)),"")</f>
        <v/>
      </c>
      <c r="T160" s="507" t="str">
        <f t="shared" si="27"/>
        <v/>
      </c>
      <c r="U160" s="524" t="str">
        <f t="shared" si="28"/>
        <v/>
      </c>
      <c r="V160" s="523" t="str">
        <f t="shared" si="25"/>
        <v/>
      </c>
      <c r="W160" s="520" t="str">
        <f>IF(S160="","",VLOOKUP(S160,'G-1 All Habitats'!$B$2:$M$129,10,FALSE))</f>
        <v/>
      </c>
      <c r="X160" s="520" t="str">
        <f>IFERROR(VLOOKUP(W160,'G-1 All Habitats'!$V$3:$W$7,2,FALSE),"")</f>
        <v/>
      </c>
      <c r="Y160" s="203"/>
      <c r="Z160" s="524" t="str">
        <f>IFERROR(INDEX('G-8 Condition Look up'!$A$3:$H$130,MATCH(S160,'G-8 Condition Look up'!$A$3:$A$130,0),MATCH(Y160,'G-8 Condition Look up'!$A$3:$H$3,0)),"")</f>
        <v/>
      </c>
      <c r="AA160" s="145"/>
      <c r="AB160" s="540" t="str">
        <f>IF(AA160="","",IF(VLOOKUP(AA160,'G-3 Multipliers'!$L$3:$N$6,2,FALSE)=0,"Spatial Data Missing ⚠",VLOOKUP(AA160,'G-3 Multipliers'!$L$3:$N$6,2,FALSE)))</f>
        <v/>
      </c>
      <c r="AC160" s="524" t="str">
        <f>IF(AA160="","",IF(VLOOKUP(AA160,'G-3 Multipliers'!$L$3:$N$6,3,FALSE)=0,"Spatial Data Missing ⚠",VLOOKUP(AA160,'G-3 Multipliers'!$L$3:$N$6,3,FALSE)))</f>
        <v/>
      </c>
      <c r="AD160" s="537" t="str">
        <f t="shared" si="26"/>
        <v/>
      </c>
      <c r="AE160" s="203"/>
      <c r="AF160" s="203"/>
      <c r="AG160" s="520" t="str">
        <f t="shared" si="29"/>
        <v/>
      </c>
      <c r="AH160" s="544" t="str">
        <f t="shared" si="30"/>
        <v/>
      </c>
      <c r="AI160" s="525" t="str">
        <f>IF(AH160="Check Data ⚠","Check Data ⚠",IFERROR(VLOOKUP(AH160,'G-4 Temporal multipliers'!$A$4:$C$36,3,FALSE),""))</f>
        <v/>
      </c>
      <c r="AJ160" s="537" t="str">
        <f>IF(S160="","",VLOOKUP(S160,'G-3 Multipliers'!$A$2:$E$129,4,FALSE))</f>
        <v/>
      </c>
      <c r="AK160" s="520" t="str">
        <f t="shared" si="31"/>
        <v/>
      </c>
      <c r="AL160" s="520" t="str">
        <f t="shared" si="32"/>
        <v/>
      </c>
      <c r="AM160" s="524" t="str">
        <f>IFERROR(IF(F160="","",IF(AH160="Check Data ⚠","Check Data ⚠",VLOOKUP(AL160, 'G-3 Multipliers'!$P$2:$Q$6,2,FALSE))),"")</f>
        <v/>
      </c>
      <c r="AN160" s="197"/>
      <c r="AO160" s="540" t="str">
        <f>IF(AN160="","",IF(VLOOKUP(AN160,'G-3 Multipliers'!$S$3:$T$9,2,FALSE)=0,"Spatial Data Missing ⚠",VLOOKUP(AN160,'G-3 Multipliers'!$S$3:$T$9,2,FALSE)))</f>
        <v/>
      </c>
      <c r="AP160" s="513" t="str">
        <f t="shared" si="33"/>
        <v/>
      </c>
      <c r="AQ160" s="231"/>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7" t="str">
        <f>'D-1 Off Site Habitat Baseline'!AL160</f>
        <v/>
      </c>
      <c r="F161" s="520" t="str">
        <f>IF(E161="","",IF(ISNA(VLOOKUP($E161,'D-1 Off Site Habitat Baseline'!$D$1:$O$258,4,FALSE)),"",(VLOOKUP($E161,'D-1 Off Site Habitat Baseline'!$D$1:$O$258,4,FALSE))))</f>
        <v/>
      </c>
      <c r="G161" s="520" t="str">
        <f>IF(E161="","",IF(ISNA(VLOOKUP($E161,'D-1 Off Site Habitat Baseline'!$D$1:$O$258,5,FALSE)),"",(VLOOKUP($E161,'D-1 Off Site Habitat Baseline'!$D$1:$O$258,5,FALSE))))</f>
        <v/>
      </c>
      <c r="H161" s="520" t="str">
        <f>IF(E161="","",IF(ISNA(VLOOKUP($E161,'D-1 Off Site Habitat Baseline'!$D$1:$O$258,6,FALSE)),"",(VLOOKUP($E161,'D-1 Off Site Habitat Baseline'!$D$1:$O$258,6,FALSE))))</f>
        <v/>
      </c>
      <c r="I161" s="520" t="str">
        <f>IF(E161="","",IF(ISNA(VLOOKUP($E161,'D-1 Off Site Habitat Baseline'!$D$1:$O$258,7,FALSE)),"",(VLOOKUP($E161,'D-1 Off Site Habitat Baseline'!$D$1:$O$258,7,FALSE))))</f>
        <v/>
      </c>
      <c r="J161" s="520" t="str">
        <f>IF(E161="","",IF(ISNA(VLOOKUP($E161,'D-1 Off Site Habitat Baseline'!$D$1:$O$258,8,FALSE)),"",(VLOOKUP($E161,'D-1 Off Site Habitat Baseline'!$D$1:$O$258,8,FALSE))))</f>
        <v/>
      </c>
      <c r="K161" s="520" t="str">
        <f>IF(E161="","",IF(ISNA(VLOOKUP($E161,'D-1 Off Site Habitat Baseline'!$D$1:$O$258,9,FALSE)),"",(VLOOKUP($E161,'D-1 Off Site Habitat Baseline'!$D$1:$O$258,9,FALSE))))</f>
        <v/>
      </c>
      <c r="L161" s="520" t="str">
        <f>IF(E161="","",IF(ISNA(VLOOKUP($E161,'D-1 Off Site Habitat Baseline'!$D$1:$O$258,11,FALSE)),"",(VLOOKUP($E161,'D-1 Off Site Habitat Baseline'!$D$1:$O$258,11,FALSE))))</f>
        <v/>
      </c>
      <c r="M161" s="520" t="str">
        <f>IF(E161="","",IF(ISNA(VLOOKUP($E161,'D-1 Off Site Habitat Baseline'!$D$1:$O$258,12,FALSE)),"",(VLOOKUP($E161,'D-1 Off Site Habitat Baseline'!$D$1:$O$258,12,FALSE))))</f>
        <v/>
      </c>
      <c r="N161" s="520" t="str">
        <f>IF(E161="","",IF(ISNA(VLOOKUP($E161,'D-1 Off Site Habitat Baseline'!$D$1:$X$258,14,FALSE)),"",(VLOOKUP($E161,'D-1 Off Site Habitat Baseline'!$D$1:$X$258,14,FALSE))))</f>
        <v/>
      </c>
      <c r="O161" s="524" t="str">
        <f>IF(E161="","",IF(ISNA(VLOOKUP($E161,'D-1 Off Site Habitat Baseline'!$D$1:$X$258,13,FALSE)),"",(VLOOKUP($E161,'D-1 Off Site Habitat Baseline'!$D$1:$X$258,13,FALSE))))</f>
        <v/>
      </c>
      <c r="P161" s="232" t="str">
        <f>IFERROR(INDEX('G-1 All Habitats'!$AG$3:$AG$15,MATCH(Q161,'G-1 All Habitats'!$AF$3:$AF$15,0)),"")</f>
        <v/>
      </c>
      <c r="Q161" s="228" t="str">
        <f t="shared" si="34"/>
        <v/>
      </c>
      <c r="R161" s="229" t="str">
        <f t="shared" si="35"/>
        <v/>
      </c>
      <c r="S161" s="233" t="str">
        <f>IFERROR(INDEX('G-1 All Habitats'!$B$3:$B$129,MATCH(R161,'G-1 All Habitats'!$A$3:$A$129,0)),"")</f>
        <v/>
      </c>
      <c r="T161" s="507" t="str">
        <f t="shared" si="27"/>
        <v/>
      </c>
      <c r="U161" s="524" t="str">
        <f t="shared" si="28"/>
        <v/>
      </c>
      <c r="V161" s="523" t="str">
        <f t="shared" si="25"/>
        <v/>
      </c>
      <c r="W161" s="520" t="str">
        <f>IF(S161="","",VLOOKUP(S161,'G-1 All Habitats'!$B$2:$M$129,10,FALSE))</f>
        <v/>
      </c>
      <c r="X161" s="520" t="str">
        <f>IFERROR(VLOOKUP(W161,'G-1 All Habitats'!$V$3:$W$7,2,FALSE),"")</f>
        <v/>
      </c>
      <c r="Y161" s="203"/>
      <c r="Z161" s="524" t="str">
        <f>IFERROR(INDEX('G-8 Condition Look up'!$A$3:$H$130,MATCH(S161,'G-8 Condition Look up'!$A$3:$A$130,0),MATCH(Y161,'G-8 Condition Look up'!$A$3:$H$3,0)),"")</f>
        <v/>
      </c>
      <c r="AA161" s="145"/>
      <c r="AB161" s="540" t="str">
        <f>IF(AA161="","",IF(VLOOKUP(AA161,'G-3 Multipliers'!$L$3:$N$6,2,FALSE)=0,"Spatial Data Missing ⚠",VLOOKUP(AA161,'G-3 Multipliers'!$L$3:$N$6,2,FALSE)))</f>
        <v/>
      </c>
      <c r="AC161" s="524" t="str">
        <f>IF(AA161="","",IF(VLOOKUP(AA161,'G-3 Multipliers'!$L$3:$N$6,3,FALSE)=0,"Spatial Data Missing ⚠",VLOOKUP(AA161,'G-3 Multipliers'!$L$3:$N$6,3,FALSE)))</f>
        <v/>
      </c>
      <c r="AD161" s="537" t="str">
        <f t="shared" si="26"/>
        <v/>
      </c>
      <c r="AE161" s="203"/>
      <c r="AF161" s="203"/>
      <c r="AG161" s="520" t="str">
        <f t="shared" si="29"/>
        <v/>
      </c>
      <c r="AH161" s="544" t="str">
        <f t="shared" si="30"/>
        <v/>
      </c>
      <c r="AI161" s="525" t="str">
        <f>IF(AH161="Check Data ⚠","Check Data ⚠",IFERROR(VLOOKUP(AH161,'G-4 Temporal multipliers'!$A$4:$C$36,3,FALSE),""))</f>
        <v/>
      </c>
      <c r="AJ161" s="537" t="str">
        <f>IF(S161="","",VLOOKUP(S161,'G-3 Multipliers'!$A$2:$E$129,4,FALSE))</f>
        <v/>
      </c>
      <c r="AK161" s="520" t="str">
        <f t="shared" si="31"/>
        <v/>
      </c>
      <c r="AL161" s="520" t="str">
        <f t="shared" si="32"/>
        <v/>
      </c>
      <c r="AM161" s="524" t="str">
        <f>IFERROR(IF(F161="","",IF(AH161="Check Data ⚠","Check Data ⚠",VLOOKUP(AL161, 'G-3 Multipliers'!$P$2:$Q$6,2,FALSE))),"")</f>
        <v/>
      </c>
      <c r="AN161" s="197"/>
      <c r="AO161" s="540" t="str">
        <f>IF(AN161="","",IF(VLOOKUP(AN161,'G-3 Multipliers'!$S$3:$T$9,2,FALSE)=0,"Spatial Data Missing ⚠",VLOOKUP(AN161,'G-3 Multipliers'!$S$3:$T$9,2,FALSE)))</f>
        <v/>
      </c>
      <c r="AP161" s="513" t="str">
        <f t="shared" si="33"/>
        <v/>
      </c>
      <c r="AQ161" s="231"/>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7" t="str">
        <f>'D-1 Off Site Habitat Baseline'!AL161</f>
        <v/>
      </c>
      <c r="F162" s="520" t="str">
        <f>IF(E162="","",IF(ISNA(VLOOKUP($E162,'D-1 Off Site Habitat Baseline'!$D$1:$O$258,4,FALSE)),"",(VLOOKUP($E162,'D-1 Off Site Habitat Baseline'!$D$1:$O$258,4,FALSE))))</f>
        <v/>
      </c>
      <c r="G162" s="520" t="str">
        <f>IF(E162="","",IF(ISNA(VLOOKUP($E162,'D-1 Off Site Habitat Baseline'!$D$1:$O$258,5,FALSE)),"",(VLOOKUP($E162,'D-1 Off Site Habitat Baseline'!$D$1:$O$258,5,FALSE))))</f>
        <v/>
      </c>
      <c r="H162" s="520" t="str">
        <f>IF(E162="","",IF(ISNA(VLOOKUP($E162,'D-1 Off Site Habitat Baseline'!$D$1:$O$258,6,FALSE)),"",(VLOOKUP($E162,'D-1 Off Site Habitat Baseline'!$D$1:$O$258,6,FALSE))))</f>
        <v/>
      </c>
      <c r="I162" s="520" t="str">
        <f>IF(E162="","",IF(ISNA(VLOOKUP($E162,'D-1 Off Site Habitat Baseline'!$D$1:$O$258,7,FALSE)),"",(VLOOKUP($E162,'D-1 Off Site Habitat Baseline'!$D$1:$O$258,7,FALSE))))</f>
        <v/>
      </c>
      <c r="J162" s="520" t="str">
        <f>IF(E162="","",IF(ISNA(VLOOKUP($E162,'D-1 Off Site Habitat Baseline'!$D$1:$O$258,8,FALSE)),"",(VLOOKUP($E162,'D-1 Off Site Habitat Baseline'!$D$1:$O$258,8,FALSE))))</f>
        <v/>
      </c>
      <c r="K162" s="520" t="str">
        <f>IF(E162="","",IF(ISNA(VLOOKUP($E162,'D-1 Off Site Habitat Baseline'!$D$1:$O$258,9,FALSE)),"",(VLOOKUP($E162,'D-1 Off Site Habitat Baseline'!$D$1:$O$258,9,FALSE))))</f>
        <v/>
      </c>
      <c r="L162" s="520" t="str">
        <f>IF(E162="","",IF(ISNA(VLOOKUP($E162,'D-1 Off Site Habitat Baseline'!$D$1:$O$258,11,FALSE)),"",(VLOOKUP($E162,'D-1 Off Site Habitat Baseline'!$D$1:$O$258,11,FALSE))))</f>
        <v/>
      </c>
      <c r="M162" s="520" t="str">
        <f>IF(E162="","",IF(ISNA(VLOOKUP($E162,'D-1 Off Site Habitat Baseline'!$D$1:$O$258,12,FALSE)),"",(VLOOKUP($E162,'D-1 Off Site Habitat Baseline'!$D$1:$O$258,12,FALSE))))</f>
        <v/>
      </c>
      <c r="N162" s="520" t="str">
        <f>IF(E162="","",IF(ISNA(VLOOKUP($E162,'D-1 Off Site Habitat Baseline'!$D$1:$X$258,14,FALSE)),"",(VLOOKUP($E162,'D-1 Off Site Habitat Baseline'!$D$1:$X$258,14,FALSE))))</f>
        <v/>
      </c>
      <c r="O162" s="524" t="str">
        <f>IF(E162="","",IF(ISNA(VLOOKUP($E162,'D-1 Off Site Habitat Baseline'!$D$1:$X$258,13,FALSE)),"",(VLOOKUP($E162,'D-1 Off Site Habitat Baseline'!$D$1:$X$258,13,FALSE))))</f>
        <v/>
      </c>
      <c r="P162" s="232" t="str">
        <f>IFERROR(INDEX('G-1 All Habitats'!$AG$3:$AG$15,MATCH(Q162,'G-1 All Habitats'!$AF$3:$AF$15,0)),"")</f>
        <v/>
      </c>
      <c r="Q162" s="228" t="str">
        <f t="shared" si="34"/>
        <v/>
      </c>
      <c r="R162" s="229" t="str">
        <f t="shared" si="35"/>
        <v/>
      </c>
      <c r="S162" s="233" t="str">
        <f>IFERROR(INDEX('G-1 All Habitats'!$B$3:$B$129,MATCH(R162,'G-1 All Habitats'!$A$3:$A$129,0)),"")</f>
        <v/>
      </c>
      <c r="T162" s="507" t="str">
        <f t="shared" si="27"/>
        <v/>
      </c>
      <c r="U162" s="524" t="str">
        <f t="shared" si="28"/>
        <v/>
      </c>
      <c r="V162" s="523" t="str">
        <f t="shared" si="25"/>
        <v/>
      </c>
      <c r="W162" s="520" t="str">
        <f>IF(S162="","",VLOOKUP(S162,'G-1 All Habitats'!$B$2:$M$129,10,FALSE))</f>
        <v/>
      </c>
      <c r="X162" s="520" t="str">
        <f>IFERROR(VLOOKUP(W162,'G-1 All Habitats'!$V$3:$W$7,2,FALSE),"")</f>
        <v/>
      </c>
      <c r="Y162" s="203"/>
      <c r="Z162" s="524" t="str">
        <f>IFERROR(INDEX('G-8 Condition Look up'!$A$3:$H$130,MATCH(S162,'G-8 Condition Look up'!$A$3:$A$130,0),MATCH(Y162,'G-8 Condition Look up'!$A$3:$H$3,0)),"")</f>
        <v/>
      </c>
      <c r="AA162" s="145"/>
      <c r="AB162" s="540" t="str">
        <f>IF(AA162="","",IF(VLOOKUP(AA162,'G-3 Multipliers'!$L$3:$N$6,2,FALSE)=0,"Spatial Data Missing ⚠",VLOOKUP(AA162,'G-3 Multipliers'!$L$3:$N$6,2,FALSE)))</f>
        <v/>
      </c>
      <c r="AC162" s="524" t="str">
        <f>IF(AA162="","",IF(VLOOKUP(AA162,'G-3 Multipliers'!$L$3:$N$6,3,FALSE)=0,"Spatial Data Missing ⚠",VLOOKUP(AA162,'G-3 Multipliers'!$L$3:$N$6,3,FALSE)))</f>
        <v/>
      </c>
      <c r="AD162" s="537" t="str">
        <f t="shared" si="26"/>
        <v/>
      </c>
      <c r="AE162" s="203"/>
      <c r="AF162" s="203"/>
      <c r="AG162" s="520" t="str">
        <f t="shared" si="29"/>
        <v/>
      </c>
      <c r="AH162" s="544" t="str">
        <f t="shared" si="30"/>
        <v/>
      </c>
      <c r="AI162" s="525" t="str">
        <f>IF(AH162="Check Data ⚠","Check Data ⚠",IFERROR(VLOOKUP(AH162,'G-4 Temporal multipliers'!$A$4:$C$36,3,FALSE),""))</f>
        <v/>
      </c>
      <c r="AJ162" s="537" t="str">
        <f>IF(S162="","",VLOOKUP(S162,'G-3 Multipliers'!$A$2:$E$129,4,FALSE))</f>
        <v/>
      </c>
      <c r="AK162" s="520" t="str">
        <f t="shared" si="31"/>
        <v/>
      </c>
      <c r="AL162" s="520" t="str">
        <f t="shared" si="32"/>
        <v/>
      </c>
      <c r="AM162" s="524" t="str">
        <f>IFERROR(IF(F162="","",IF(AH162="Check Data ⚠","Check Data ⚠",VLOOKUP(AL162, 'G-3 Multipliers'!$P$2:$Q$6,2,FALSE))),"")</f>
        <v/>
      </c>
      <c r="AN162" s="197"/>
      <c r="AO162" s="540" t="str">
        <f>IF(AN162="","",IF(VLOOKUP(AN162,'G-3 Multipliers'!$S$3:$T$9,2,FALSE)=0,"Spatial Data Missing ⚠",VLOOKUP(AN162,'G-3 Multipliers'!$S$3:$T$9,2,FALSE)))</f>
        <v/>
      </c>
      <c r="AP162" s="513" t="str">
        <f t="shared" si="33"/>
        <v/>
      </c>
      <c r="AQ162" s="231"/>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7" t="str">
        <f>'D-1 Off Site Habitat Baseline'!AL162</f>
        <v/>
      </c>
      <c r="F163" s="520" t="str">
        <f>IF(E163="","",IF(ISNA(VLOOKUP($E163,'D-1 Off Site Habitat Baseline'!$D$1:$O$258,4,FALSE)),"",(VLOOKUP($E163,'D-1 Off Site Habitat Baseline'!$D$1:$O$258,4,FALSE))))</f>
        <v/>
      </c>
      <c r="G163" s="520" t="str">
        <f>IF(E163="","",IF(ISNA(VLOOKUP($E163,'D-1 Off Site Habitat Baseline'!$D$1:$O$258,5,FALSE)),"",(VLOOKUP($E163,'D-1 Off Site Habitat Baseline'!$D$1:$O$258,5,FALSE))))</f>
        <v/>
      </c>
      <c r="H163" s="520" t="str">
        <f>IF(E163="","",IF(ISNA(VLOOKUP($E163,'D-1 Off Site Habitat Baseline'!$D$1:$O$258,6,FALSE)),"",(VLOOKUP($E163,'D-1 Off Site Habitat Baseline'!$D$1:$O$258,6,FALSE))))</f>
        <v/>
      </c>
      <c r="I163" s="520" t="str">
        <f>IF(E163="","",IF(ISNA(VLOOKUP($E163,'D-1 Off Site Habitat Baseline'!$D$1:$O$258,7,FALSE)),"",(VLOOKUP($E163,'D-1 Off Site Habitat Baseline'!$D$1:$O$258,7,FALSE))))</f>
        <v/>
      </c>
      <c r="J163" s="520" t="str">
        <f>IF(E163="","",IF(ISNA(VLOOKUP($E163,'D-1 Off Site Habitat Baseline'!$D$1:$O$258,8,FALSE)),"",(VLOOKUP($E163,'D-1 Off Site Habitat Baseline'!$D$1:$O$258,8,FALSE))))</f>
        <v/>
      </c>
      <c r="K163" s="520" t="str">
        <f>IF(E163="","",IF(ISNA(VLOOKUP($E163,'D-1 Off Site Habitat Baseline'!$D$1:$O$258,9,FALSE)),"",(VLOOKUP($E163,'D-1 Off Site Habitat Baseline'!$D$1:$O$258,9,FALSE))))</f>
        <v/>
      </c>
      <c r="L163" s="520" t="str">
        <f>IF(E163="","",IF(ISNA(VLOOKUP($E163,'D-1 Off Site Habitat Baseline'!$D$1:$O$258,11,FALSE)),"",(VLOOKUP($E163,'D-1 Off Site Habitat Baseline'!$D$1:$O$258,11,FALSE))))</f>
        <v/>
      </c>
      <c r="M163" s="520" t="str">
        <f>IF(E163="","",IF(ISNA(VLOOKUP($E163,'D-1 Off Site Habitat Baseline'!$D$1:$O$258,12,FALSE)),"",(VLOOKUP($E163,'D-1 Off Site Habitat Baseline'!$D$1:$O$258,12,FALSE))))</f>
        <v/>
      </c>
      <c r="N163" s="520" t="str">
        <f>IF(E163="","",IF(ISNA(VLOOKUP($E163,'D-1 Off Site Habitat Baseline'!$D$1:$X$258,14,FALSE)),"",(VLOOKUP($E163,'D-1 Off Site Habitat Baseline'!$D$1:$X$258,14,FALSE))))</f>
        <v/>
      </c>
      <c r="O163" s="524" t="str">
        <f>IF(E163="","",IF(ISNA(VLOOKUP($E163,'D-1 Off Site Habitat Baseline'!$D$1:$X$258,13,FALSE)),"",(VLOOKUP($E163,'D-1 Off Site Habitat Baseline'!$D$1:$X$258,13,FALSE))))</f>
        <v/>
      </c>
      <c r="P163" s="232" t="str">
        <f>IFERROR(INDEX('G-1 All Habitats'!$AG$3:$AG$15,MATCH(Q163,'G-1 All Habitats'!$AF$3:$AF$15,0)),"")</f>
        <v/>
      </c>
      <c r="Q163" s="228" t="str">
        <f t="shared" si="34"/>
        <v/>
      </c>
      <c r="R163" s="229" t="str">
        <f t="shared" si="35"/>
        <v/>
      </c>
      <c r="S163" s="233" t="str">
        <f>IFERROR(INDEX('G-1 All Habitats'!$B$3:$B$129,MATCH(R163,'G-1 All Habitats'!$A$3:$A$129,0)),"")</f>
        <v/>
      </c>
      <c r="T163" s="507" t="str">
        <f t="shared" si="27"/>
        <v/>
      </c>
      <c r="U163" s="524" t="str">
        <f t="shared" si="28"/>
        <v/>
      </c>
      <c r="V163" s="523" t="str">
        <f t="shared" si="25"/>
        <v/>
      </c>
      <c r="W163" s="520" t="str">
        <f>IF(S163="","",VLOOKUP(S163,'G-1 All Habitats'!$B$2:$M$129,10,FALSE))</f>
        <v/>
      </c>
      <c r="X163" s="520" t="str">
        <f>IFERROR(VLOOKUP(W163,'G-1 All Habitats'!$V$3:$W$7,2,FALSE),"")</f>
        <v/>
      </c>
      <c r="Y163" s="203"/>
      <c r="Z163" s="524" t="str">
        <f>IFERROR(INDEX('G-8 Condition Look up'!$A$3:$H$130,MATCH(S163,'G-8 Condition Look up'!$A$3:$A$130,0),MATCH(Y163,'G-8 Condition Look up'!$A$3:$H$3,0)),"")</f>
        <v/>
      </c>
      <c r="AA163" s="145"/>
      <c r="AB163" s="540" t="str">
        <f>IF(AA163="","",IF(VLOOKUP(AA163,'G-3 Multipliers'!$L$3:$N$6,2,FALSE)=0,"Spatial Data Missing ⚠",VLOOKUP(AA163,'G-3 Multipliers'!$L$3:$N$6,2,FALSE)))</f>
        <v/>
      </c>
      <c r="AC163" s="524" t="str">
        <f>IF(AA163="","",IF(VLOOKUP(AA163,'G-3 Multipliers'!$L$3:$N$6,3,FALSE)=0,"Spatial Data Missing ⚠",VLOOKUP(AA163,'G-3 Multipliers'!$L$3:$N$6,3,FALSE)))</f>
        <v/>
      </c>
      <c r="AD163" s="537" t="str">
        <f t="shared" si="26"/>
        <v/>
      </c>
      <c r="AE163" s="203"/>
      <c r="AF163" s="203"/>
      <c r="AG163" s="520" t="str">
        <f t="shared" si="29"/>
        <v/>
      </c>
      <c r="AH163" s="544" t="str">
        <f t="shared" si="30"/>
        <v/>
      </c>
      <c r="AI163" s="525" t="str">
        <f>IF(AH163="Check Data ⚠","Check Data ⚠",IFERROR(VLOOKUP(AH163,'G-4 Temporal multipliers'!$A$4:$C$36,3,FALSE),""))</f>
        <v/>
      </c>
      <c r="AJ163" s="537" t="str">
        <f>IF(S163="","",VLOOKUP(S163,'G-3 Multipliers'!$A$2:$E$129,4,FALSE))</f>
        <v/>
      </c>
      <c r="AK163" s="520" t="str">
        <f t="shared" si="31"/>
        <v/>
      </c>
      <c r="AL163" s="520" t="str">
        <f t="shared" si="32"/>
        <v/>
      </c>
      <c r="AM163" s="524" t="str">
        <f>IFERROR(IF(F163="","",IF(AH163="Check Data ⚠","Check Data ⚠",VLOOKUP(AL163, 'G-3 Multipliers'!$P$2:$Q$6,2,FALSE))),"")</f>
        <v/>
      </c>
      <c r="AN163" s="197"/>
      <c r="AO163" s="540" t="str">
        <f>IF(AN163="","",IF(VLOOKUP(AN163,'G-3 Multipliers'!$S$3:$T$9,2,FALSE)=0,"Spatial Data Missing ⚠",VLOOKUP(AN163,'G-3 Multipliers'!$S$3:$T$9,2,FALSE)))</f>
        <v/>
      </c>
      <c r="AP163" s="513" t="str">
        <f t="shared" si="33"/>
        <v/>
      </c>
      <c r="AQ163" s="231"/>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7" t="str">
        <f>'D-1 Off Site Habitat Baseline'!AL163</f>
        <v/>
      </c>
      <c r="F164" s="520" t="str">
        <f>IF(E164="","",IF(ISNA(VLOOKUP($E164,'D-1 Off Site Habitat Baseline'!$D$1:$O$258,4,FALSE)),"",(VLOOKUP($E164,'D-1 Off Site Habitat Baseline'!$D$1:$O$258,4,FALSE))))</f>
        <v/>
      </c>
      <c r="G164" s="520" t="str">
        <f>IF(E164="","",IF(ISNA(VLOOKUP($E164,'D-1 Off Site Habitat Baseline'!$D$1:$O$258,5,FALSE)),"",(VLOOKUP($E164,'D-1 Off Site Habitat Baseline'!$D$1:$O$258,5,FALSE))))</f>
        <v/>
      </c>
      <c r="H164" s="520" t="str">
        <f>IF(E164="","",IF(ISNA(VLOOKUP($E164,'D-1 Off Site Habitat Baseline'!$D$1:$O$258,6,FALSE)),"",(VLOOKUP($E164,'D-1 Off Site Habitat Baseline'!$D$1:$O$258,6,FALSE))))</f>
        <v/>
      </c>
      <c r="I164" s="520" t="str">
        <f>IF(E164="","",IF(ISNA(VLOOKUP($E164,'D-1 Off Site Habitat Baseline'!$D$1:$O$258,7,FALSE)),"",(VLOOKUP($E164,'D-1 Off Site Habitat Baseline'!$D$1:$O$258,7,FALSE))))</f>
        <v/>
      </c>
      <c r="J164" s="520" t="str">
        <f>IF(E164="","",IF(ISNA(VLOOKUP($E164,'D-1 Off Site Habitat Baseline'!$D$1:$O$258,8,FALSE)),"",(VLOOKUP($E164,'D-1 Off Site Habitat Baseline'!$D$1:$O$258,8,FALSE))))</f>
        <v/>
      </c>
      <c r="K164" s="520" t="str">
        <f>IF(E164="","",IF(ISNA(VLOOKUP($E164,'D-1 Off Site Habitat Baseline'!$D$1:$O$258,9,FALSE)),"",(VLOOKUP($E164,'D-1 Off Site Habitat Baseline'!$D$1:$O$258,9,FALSE))))</f>
        <v/>
      </c>
      <c r="L164" s="520" t="str">
        <f>IF(E164="","",IF(ISNA(VLOOKUP($E164,'D-1 Off Site Habitat Baseline'!$D$1:$O$258,11,FALSE)),"",(VLOOKUP($E164,'D-1 Off Site Habitat Baseline'!$D$1:$O$258,11,FALSE))))</f>
        <v/>
      </c>
      <c r="M164" s="520" t="str">
        <f>IF(E164="","",IF(ISNA(VLOOKUP($E164,'D-1 Off Site Habitat Baseline'!$D$1:$O$258,12,FALSE)),"",(VLOOKUP($E164,'D-1 Off Site Habitat Baseline'!$D$1:$O$258,12,FALSE))))</f>
        <v/>
      </c>
      <c r="N164" s="520" t="str">
        <f>IF(E164="","",IF(ISNA(VLOOKUP($E164,'D-1 Off Site Habitat Baseline'!$D$1:$X$258,14,FALSE)),"",(VLOOKUP($E164,'D-1 Off Site Habitat Baseline'!$D$1:$X$258,14,FALSE))))</f>
        <v/>
      </c>
      <c r="O164" s="524" t="str">
        <f>IF(E164="","",IF(ISNA(VLOOKUP($E164,'D-1 Off Site Habitat Baseline'!$D$1:$X$258,13,FALSE)),"",(VLOOKUP($E164,'D-1 Off Site Habitat Baseline'!$D$1:$X$258,13,FALSE))))</f>
        <v/>
      </c>
      <c r="P164" s="232" t="str">
        <f>IFERROR(INDEX('G-1 All Habitats'!$AG$3:$AG$15,MATCH(Q164,'G-1 All Habitats'!$AF$3:$AF$15,0)),"")</f>
        <v/>
      </c>
      <c r="Q164" s="228" t="str">
        <f t="shared" si="34"/>
        <v/>
      </c>
      <c r="R164" s="229" t="str">
        <f t="shared" si="35"/>
        <v/>
      </c>
      <c r="S164" s="233" t="str">
        <f>IFERROR(INDEX('G-1 All Habitats'!$B$3:$B$129,MATCH(R164,'G-1 All Habitats'!$A$3:$A$129,0)),"")</f>
        <v/>
      </c>
      <c r="T164" s="507" t="str">
        <f t="shared" si="27"/>
        <v/>
      </c>
      <c r="U164" s="524" t="str">
        <f t="shared" si="28"/>
        <v/>
      </c>
      <c r="V164" s="523" t="str">
        <f t="shared" si="25"/>
        <v/>
      </c>
      <c r="W164" s="520" t="str">
        <f>IF(S164="","",VLOOKUP(S164,'G-1 All Habitats'!$B$2:$M$129,10,FALSE))</f>
        <v/>
      </c>
      <c r="X164" s="520" t="str">
        <f>IFERROR(VLOOKUP(W164,'G-1 All Habitats'!$V$3:$W$7,2,FALSE),"")</f>
        <v/>
      </c>
      <c r="Y164" s="203"/>
      <c r="Z164" s="524" t="str">
        <f>IFERROR(INDEX('G-8 Condition Look up'!$A$3:$H$130,MATCH(S164,'G-8 Condition Look up'!$A$3:$A$130,0),MATCH(Y164,'G-8 Condition Look up'!$A$3:$H$3,0)),"")</f>
        <v/>
      </c>
      <c r="AA164" s="145"/>
      <c r="AB164" s="540" t="str">
        <f>IF(AA164="","",IF(VLOOKUP(AA164,'G-3 Multipliers'!$L$3:$N$6,2,FALSE)=0,"Spatial Data Missing ⚠",VLOOKUP(AA164,'G-3 Multipliers'!$L$3:$N$6,2,FALSE)))</f>
        <v/>
      </c>
      <c r="AC164" s="524" t="str">
        <f>IF(AA164="","",IF(VLOOKUP(AA164,'G-3 Multipliers'!$L$3:$N$6,3,FALSE)=0,"Spatial Data Missing ⚠",VLOOKUP(AA164,'G-3 Multipliers'!$L$3:$N$6,3,FALSE)))</f>
        <v/>
      </c>
      <c r="AD164" s="537" t="str">
        <f t="shared" si="26"/>
        <v/>
      </c>
      <c r="AE164" s="203"/>
      <c r="AF164" s="203"/>
      <c r="AG164" s="520" t="str">
        <f t="shared" si="29"/>
        <v/>
      </c>
      <c r="AH164" s="544" t="str">
        <f t="shared" si="30"/>
        <v/>
      </c>
      <c r="AI164" s="525" t="str">
        <f>IF(AH164="Check Data ⚠","Check Data ⚠",IFERROR(VLOOKUP(AH164,'G-4 Temporal multipliers'!$A$4:$C$36,3,FALSE),""))</f>
        <v/>
      </c>
      <c r="AJ164" s="537" t="str">
        <f>IF(S164="","",VLOOKUP(S164,'G-3 Multipliers'!$A$2:$E$129,4,FALSE))</f>
        <v/>
      </c>
      <c r="AK164" s="520" t="str">
        <f t="shared" si="31"/>
        <v/>
      </c>
      <c r="AL164" s="520" t="str">
        <f t="shared" si="32"/>
        <v/>
      </c>
      <c r="AM164" s="524" t="str">
        <f>IFERROR(IF(F164="","",IF(AH164="Check Data ⚠","Check Data ⚠",VLOOKUP(AL164, 'G-3 Multipliers'!$P$2:$Q$6,2,FALSE))),"")</f>
        <v/>
      </c>
      <c r="AN164" s="197"/>
      <c r="AO164" s="540" t="str">
        <f>IF(AN164="","",IF(VLOOKUP(AN164,'G-3 Multipliers'!$S$3:$T$9,2,FALSE)=0,"Spatial Data Missing ⚠",VLOOKUP(AN164,'G-3 Multipliers'!$S$3:$T$9,2,FALSE)))</f>
        <v/>
      </c>
      <c r="AP164" s="513" t="str">
        <f t="shared" si="33"/>
        <v/>
      </c>
      <c r="AQ164" s="231"/>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7" t="str">
        <f>'D-1 Off Site Habitat Baseline'!AL164</f>
        <v/>
      </c>
      <c r="F165" s="520" t="str">
        <f>IF(E165="","",IF(ISNA(VLOOKUP($E165,'D-1 Off Site Habitat Baseline'!$D$1:$O$258,4,FALSE)),"",(VLOOKUP($E165,'D-1 Off Site Habitat Baseline'!$D$1:$O$258,4,FALSE))))</f>
        <v/>
      </c>
      <c r="G165" s="520" t="str">
        <f>IF(E165="","",IF(ISNA(VLOOKUP($E165,'D-1 Off Site Habitat Baseline'!$D$1:$O$258,5,FALSE)),"",(VLOOKUP($E165,'D-1 Off Site Habitat Baseline'!$D$1:$O$258,5,FALSE))))</f>
        <v/>
      </c>
      <c r="H165" s="520" t="str">
        <f>IF(E165="","",IF(ISNA(VLOOKUP($E165,'D-1 Off Site Habitat Baseline'!$D$1:$O$258,6,FALSE)),"",(VLOOKUP($E165,'D-1 Off Site Habitat Baseline'!$D$1:$O$258,6,FALSE))))</f>
        <v/>
      </c>
      <c r="I165" s="520" t="str">
        <f>IF(E165="","",IF(ISNA(VLOOKUP($E165,'D-1 Off Site Habitat Baseline'!$D$1:$O$258,7,FALSE)),"",(VLOOKUP($E165,'D-1 Off Site Habitat Baseline'!$D$1:$O$258,7,FALSE))))</f>
        <v/>
      </c>
      <c r="J165" s="520" t="str">
        <f>IF(E165="","",IF(ISNA(VLOOKUP($E165,'D-1 Off Site Habitat Baseline'!$D$1:$O$258,8,FALSE)),"",(VLOOKUP($E165,'D-1 Off Site Habitat Baseline'!$D$1:$O$258,8,FALSE))))</f>
        <v/>
      </c>
      <c r="K165" s="520" t="str">
        <f>IF(E165="","",IF(ISNA(VLOOKUP($E165,'D-1 Off Site Habitat Baseline'!$D$1:$O$258,9,FALSE)),"",(VLOOKUP($E165,'D-1 Off Site Habitat Baseline'!$D$1:$O$258,9,FALSE))))</f>
        <v/>
      </c>
      <c r="L165" s="520" t="str">
        <f>IF(E165="","",IF(ISNA(VLOOKUP($E165,'D-1 Off Site Habitat Baseline'!$D$1:$O$258,11,FALSE)),"",(VLOOKUP($E165,'D-1 Off Site Habitat Baseline'!$D$1:$O$258,11,FALSE))))</f>
        <v/>
      </c>
      <c r="M165" s="520" t="str">
        <f>IF(E165="","",IF(ISNA(VLOOKUP($E165,'D-1 Off Site Habitat Baseline'!$D$1:$O$258,12,FALSE)),"",(VLOOKUP($E165,'D-1 Off Site Habitat Baseline'!$D$1:$O$258,12,FALSE))))</f>
        <v/>
      </c>
      <c r="N165" s="520" t="str">
        <f>IF(E165="","",IF(ISNA(VLOOKUP($E165,'D-1 Off Site Habitat Baseline'!$D$1:$X$258,14,FALSE)),"",(VLOOKUP($E165,'D-1 Off Site Habitat Baseline'!$D$1:$X$258,14,FALSE))))</f>
        <v/>
      </c>
      <c r="O165" s="524" t="str">
        <f>IF(E165="","",IF(ISNA(VLOOKUP($E165,'D-1 Off Site Habitat Baseline'!$D$1:$X$258,13,FALSE)),"",(VLOOKUP($E165,'D-1 Off Site Habitat Baseline'!$D$1:$X$258,13,FALSE))))</f>
        <v/>
      </c>
      <c r="P165" s="232" t="str">
        <f>IFERROR(INDEX('G-1 All Habitats'!$AG$3:$AG$15,MATCH(Q165,'G-1 All Habitats'!$AF$3:$AF$15,0)),"")</f>
        <v/>
      </c>
      <c r="Q165" s="228" t="str">
        <f t="shared" si="34"/>
        <v/>
      </c>
      <c r="R165" s="229" t="str">
        <f t="shared" si="35"/>
        <v/>
      </c>
      <c r="S165" s="233" t="str">
        <f>IFERROR(INDEX('G-1 All Habitats'!$B$3:$B$129,MATCH(R165,'G-1 All Habitats'!$A$3:$A$129,0)),"")</f>
        <v/>
      </c>
      <c r="T165" s="507" t="str">
        <f t="shared" si="27"/>
        <v/>
      </c>
      <c r="U165" s="524" t="str">
        <f t="shared" si="28"/>
        <v/>
      </c>
      <c r="V165" s="523" t="str">
        <f t="shared" si="25"/>
        <v/>
      </c>
      <c r="W165" s="520" t="str">
        <f>IF(S165="","",VLOOKUP(S165,'G-1 All Habitats'!$B$2:$M$129,10,FALSE))</f>
        <v/>
      </c>
      <c r="X165" s="520" t="str">
        <f>IFERROR(VLOOKUP(W165,'G-1 All Habitats'!$V$3:$W$7,2,FALSE),"")</f>
        <v/>
      </c>
      <c r="Y165" s="203"/>
      <c r="Z165" s="524" t="str">
        <f>IFERROR(INDEX('G-8 Condition Look up'!$A$3:$H$130,MATCH(S165,'G-8 Condition Look up'!$A$3:$A$130,0),MATCH(Y165,'G-8 Condition Look up'!$A$3:$H$3,0)),"")</f>
        <v/>
      </c>
      <c r="AA165" s="145"/>
      <c r="AB165" s="540" t="str">
        <f>IF(AA165="","",IF(VLOOKUP(AA165,'G-3 Multipliers'!$L$3:$N$6,2,FALSE)=0,"Spatial Data Missing ⚠",VLOOKUP(AA165,'G-3 Multipliers'!$L$3:$N$6,2,FALSE)))</f>
        <v/>
      </c>
      <c r="AC165" s="524" t="str">
        <f>IF(AA165="","",IF(VLOOKUP(AA165,'G-3 Multipliers'!$L$3:$N$6,3,FALSE)=0,"Spatial Data Missing ⚠",VLOOKUP(AA165,'G-3 Multipliers'!$L$3:$N$6,3,FALSE)))</f>
        <v/>
      </c>
      <c r="AD165" s="537" t="str">
        <f t="shared" si="26"/>
        <v/>
      </c>
      <c r="AE165" s="203"/>
      <c r="AF165" s="203"/>
      <c r="AG165" s="520" t="str">
        <f t="shared" si="29"/>
        <v/>
      </c>
      <c r="AH165" s="544" t="str">
        <f t="shared" si="30"/>
        <v/>
      </c>
      <c r="AI165" s="525" t="str">
        <f>IF(AH165="Check Data ⚠","Check Data ⚠",IFERROR(VLOOKUP(AH165,'G-4 Temporal multipliers'!$A$4:$C$36,3,FALSE),""))</f>
        <v/>
      </c>
      <c r="AJ165" s="537" t="str">
        <f>IF(S165="","",VLOOKUP(S165,'G-3 Multipliers'!$A$2:$E$129,4,FALSE))</f>
        <v/>
      </c>
      <c r="AK165" s="520" t="str">
        <f t="shared" si="31"/>
        <v/>
      </c>
      <c r="AL165" s="520" t="str">
        <f t="shared" si="32"/>
        <v/>
      </c>
      <c r="AM165" s="524" t="str">
        <f>IFERROR(IF(F165="","",IF(AH165="Check Data ⚠","Check Data ⚠",VLOOKUP(AL165, 'G-3 Multipliers'!$P$2:$Q$6,2,FALSE))),"")</f>
        <v/>
      </c>
      <c r="AN165" s="197"/>
      <c r="AO165" s="540" t="str">
        <f>IF(AN165="","",IF(VLOOKUP(AN165,'G-3 Multipliers'!$S$3:$T$9,2,FALSE)=0,"Spatial Data Missing ⚠",VLOOKUP(AN165,'G-3 Multipliers'!$S$3:$T$9,2,FALSE)))</f>
        <v/>
      </c>
      <c r="AP165" s="513" t="str">
        <f t="shared" si="33"/>
        <v/>
      </c>
      <c r="AQ165" s="231"/>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7" t="str">
        <f>'D-1 Off Site Habitat Baseline'!AL165</f>
        <v/>
      </c>
      <c r="F166" s="520" t="str">
        <f>IF(E166="","",IF(ISNA(VLOOKUP($E166,'D-1 Off Site Habitat Baseline'!$D$1:$O$258,4,FALSE)),"",(VLOOKUP($E166,'D-1 Off Site Habitat Baseline'!$D$1:$O$258,4,FALSE))))</f>
        <v/>
      </c>
      <c r="G166" s="520" t="str">
        <f>IF(E166="","",IF(ISNA(VLOOKUP($E166,'D-1 Off Site Habitat Baseline'!$D$1:$O$258,5,FALSE)),"",(VLOOKUP($E166,'D-1 Off Site Habitat Baseline'!$D$1:$O$258,5,FALSE))))</f>
        <v/>
      </c>
      <c r="H166" s="520" t="str">
        <f>IF(E166="","",IF(ISNA(VLOOKUP($E166,'D-1 Off Site Habitat Baseline'!$D$1:$O$258,6,FALSE)),"",(VLOOKUP($E166,'D-1 Off Site Habitat Baseline'!$D$1:$O$258,6,FALSE))))</f>
        <v/>
      </c>
      <c r="I166" s="520" t="str">
        <f>IF(E166="","",IF(ISNA(VLOOKUP($E166,'D-1 Off Site Habitat Baseline'!$D$1:$O$258,7,FALSE)),"",(VLOOKUP($E166,'D-1 Off Site Habitat Baseline'!$D$1:$O$258,7,FALSE))))</f>
        <v/>
      </c>
      <c r="J166" s="520" t="str">
        <f>IF(E166="","",IF(ISNA(VLOOKUP($E166,'D-1 Off Site Habitat Baseline'!$D$1:$O$258,8,FALSE)),"",(VLOOKUP($E166,'D-1 Off Site Habitat Baseline'!$D$1:$O$258,8,FALSE))))</f>
        <v/>
      </c>
      <c r="K166" s="520" t="str">
        <f>IF(E166="","",IF(ISNA(VLOOKUP($E166,'D-1 Off Site Habitat Baseline'!$D$1:$O$258,9,FALSE)),"",(VLOOKUP($E166,'D-1 Off Site Habitat Baseline'!$D$1:$O$258,9,FALSE))))</f>
        <v/>
      </c>
      <c r="L166" s="520" t="str">
        <f>IF(E166="","",IF(ISNA(VLOOKUP($E166,'D-1 Off Site Habitat Baseline'!$D$1:$O$258,11,FALSE)),"",(VLOOKUP($E166,'D-1 Off Site Habitat Baseline'!$D$1:$O$258,11,FALSE))))</f>
        <v/>
      </c>
      <c r="M166" s="520" t="str">
        <f>IF(E166="","",IF(ISNA(VLOOKUP($E166,'D-1 Off Site Habitat Baseline'!$D$1:$O$258,12,FALSE)),"",(VLOOKUP($E166,'D-1 Off Site Habitat Baseline'!$D$1:$O$258,12,FALSE))))</f>
        <v/>
      </c>
      <c r="N166" s="520" t="str">
        <f>IF(E166="","",IF(ISNA(VLOOKUP($E166,'D-1 Off Site Habitat Baseline'!$D$1:$X$258,14,FALSE)),"",(VLOOKUP($E166,'D-1 Off Site Habitat Baseline'!$D$1:$X$258,14,FALSE))))</f>
        <v/>
      </c>
      <c r="O166" s="524" t="str">
        <f>IF(E166="","",IF(ISNA(VLOOKUP($E166,'D-1 Off Site Habitat Baseline'!$D$1:$X$258,13,FALSE)),"",(VLOOKUP($E166,'D-1 Off Site Habitat Baseline'!$D$1:$X$258,13,FALSE))))</f>
        <v/>
      </c>
      <c r="P166" s="232" t="str">
        <f>IFERROR(INDEX('G-1 All Habitats'!$AG$3:$AG$15,MATCH(Q166,'G-1 All Habitats'!$AF$3:$AF$15,0)),"")</f>
        <v/>
      </c>
      <c r="Q166" s="228" t="str">
        <f t="shared" si="34"/>
        <v/>
      </c>
      <c r="R166" s="229" t="str">
        <f t="shared" si="35"/>
        <v/>
      </c>
      <c r="S166" s="233" t="str">
        <f>IFERROR(INDEX('G-1 All Habitats'!$B$3:$B$129,MATCH(R166,'G-1 All Habitats'!$A$3:$A$129,0)),"")</f>
        <v/>
      </c>
      <c r="T166" s="507" t="str">
        <f t="shared" si="27"/>
        <v/>
      </c>
      <c r="U166" s="524" t="str">
        <f t="shared" si="28"/>
        <v/>
      </c>
      <c r="V166" s="523" t="str">
        <f t="shared" si="25"/>
        <v/>
      </c>
      <c r="W166" s="520" t="str">
        <f>IF(S166="","",VLOOKUP(S166,'G-1 All Habitats'!$B$2:$M$129,10,FALSE))</f>
        <v/>
      </c>
      <c r="X166" s="520" t="str">
        <f>IFERROR(VLOOKUP(W166,'G-1 All Habitats'!$V$3:$W$7,2,FALSE),"")</f>
        <v/>
      </c>
      <c r="Y166" s="203"/>
      <c r="Z166" s="524" t="str">
        <f>IFERROR(INDEX('G-8 Condition Look up'!$A$3:$H$130,MATCH(S166,'G-8 Condition Look up'!$A$3:$A$130,0),MATCH(Y166,'G-8 Condition Look up'!$A$3:$H$3,0)),"")</f>
        <v/>
      </c>
      <c r="AA166" s="145"/>
      <c r="AB166" s="540" t="str">
        <f>IF(AA166="","",IF(VLOOKUP(AA166,'G-3 Multipliers'!$L$3:$N$6,2,FALSE)=0,"Spatial Data Missing ⚠",VLOOKUP(AA166,'G-3 Multipliers'!$L$3:$N$6,2,FALSE)))</f>
        <v/>
      </c>
      <c r="AC166" s="524" t="str">
        <f>IF(AA166="","",IF(VLOOKUP(AA166,'G-3 Multipliers'!$L$3:$N$6,3,FALSE)=0,"Spatial Data Missing ⚠",VLOOKUP(AA166,'G-3 Multipliers'!$L$3:$N$6,3,FALSE)))</f>
        <v/>
      </c>
      <c r="AD166" s="537" t="str">
        <f t="shared" si="26"/>
        <v/>
      </c>
      <c r="AE166" s="203"/>
      <c r="AF166" s="203"/>
      <c r="AG166" s="520" t="str">
        <f t="shared" si="29"/>
        <v/>
      </c>
      <c r="AH166" s="544" t="str">
        <f t="shared" si="30"/>
        <v/>
      </c>
      <c r="AI166" s="525" t="str">
        <f>IF(AH166="Check Data ⚠","Check Data ⚠",IFERROR(VLOOKUP(AH166,'G-4 Temporal multipliers'!$A$4:$C$36,3,FALSE),""))</f>
        <v/>
      </c>
      <c r="AJ166" s="537" t="str">
        <f>IF(S166="","",VLOOKUP(S166,'G-3 Multipliers'!$A$2:$E$129,4,FALSE))</f>
        <v/>
      </c>
      <c r="AK166" s="520" t="str">
        <f t="shared" si="31"/>
        <v/>
      </c>
      <c r="AL166" s="520" t="str">
        <f t="shared" si="32"/>
        <v/>
      </c>
      <c r="AM166" s="524" t="str">
        <f>IFERROR(IF(F166="","",IF(AH166="Check Data ⚠","Check Data ⚠",VLOOKUP(AL166, 'G-3 Multipliers'!$P$2:$Q$6,2,FALSE))),"")</f>
        <v/>
      </c>
      <c r="AN166" s="197"/>
      <c r="AO166" s="540" t="str">
        <f>IF(AN166="","",IF(VLOOKUP(AN166,'G-3 Multipliers'!$S$3:$T$9,2,FALSE)=0,"Spatial Data Missing ⚠",VLOOKUP(AN166,'G-3 Multipliers'!$S$3:$T$9,2,FALSE)))</f>
        <v/>
      </c>
      <c r="AP166" s="513" t="str">
        <f t="shared" si="33"/>
        <v/>
      </c>
      <c r="AQ166" s="231"/>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7" t="str">
        <f>'D-1 Off Site Habitat Baseline'!AL166</f>
        <v/>
      </c>
      <c r="F167" s="520" t="str">
        <f>IF(E167="","",IF(ISNA(VLOOKUP($E167,'D-1 Off Site Habitat Baseline'!$D$1:$O$258,4,FALSE)),"",(VLOOKUP($E167,'D-1 Off Site Habitat Baseline'!$D$1:$O$258,4,FALSE))))</f>
        <v/>
      </c>
      <c r="G167" s="520" t="str">
        <f>IF(E167="","",IF(ISNA(VLOOKUP($E167,'D-1 Off Site Habitat Baseline'!$D$1:$O$258,5,FALSE)),"",(VLOOKUP($E167,'D-1 Off Site Habitat Baseline'!$D$1:$O$258,5,FALSE))))</f>
        <v/>
      </c>
      <c r="H167" s="520" t="str">
        <f>IF(E167="","",IF(ISNA(VLOOKUP($E167,'D-1 Off Site Habitat Baseline'!$D$1:$O$258,6,FALSE)),"",(VLOOKUP($E167,'D-1 Off Site Habitat Baseline'!$D$1:$O$258,6,FALSE))))</f>
        <v/>
      </c>
      <c r="I167" s="520" t="str">
        <f>IF(E167="","",IF(ISNA(VLOOKUP($E167,'D-1 Off Site Habitat Baseline'!$D$1:$O$258,7,FALSE)),"",(VLOOKUP($E167,'D-1 Off Site Habitat Baseline'!$D$1:$O$258,7,FALSE))))</f>
        <v/>
      </c>
      <c r="J167" s="520" t="str">
        <f>IF(E167="","",IF(ISNA(VLOOKUP($E167,'D-1 Off Site Habitat Baseline'!$D$1:$O$258,8,FALSE)),"",(VLOOKUP($E167,'D-1 Off Site Habitat Baseline'!$D$1:$O$258,8,FALSE))))</f>
        <v/>
      </c>
      <c r="K167" s="520" t="str">
        <f>IF(E167="","",IF(ISNA(VLOOKUP($E167,'D-1 Off Site Habitat Baseline'!$D$1:$O$258,9,FALSE)),"",(VLOOKUP($E167,'D-1 Off Site Habitat Baseline'!$D$1:$O$258,9,FALSE))))</f>
        <v/>
      </c>
      <c r="L167" s="520" t="str">
        <f>IF(E167="","",IF(ISNA(VLOOKUP($E167,'D-1 Off Site Habitat Baseline'!$D$1:$O$258,11,FALSE)),"",(VLOOKUP($E167,'D-1 Off Site Habitat Baseline'!$D$1:$O$258,11,FALSE))))</f>
        <v/>
      </c>
      <c r="M167" s="520" t="str">
        <f>IF(E167="","",IF(ISNA(VLOOKUP($E167,'D-1 Off Site Habitat Baseline'!$D$1:$O$258,12,FALSE)),"",(VLOOKUP($E167,'D-1 Off Site Habitat Baseline'!$D$1:$O$258,12,FALSE))))</f>
        <v/>
      </c>
      <c r="N167" s="520" t="str">
        <f>IF(E167="","",IF(ISNA(VLOOKUP($E167,'D-1 Off Site Habitat Baseline'!$D$1:$X$258,14,FALSE)),"",(VLOOKUP($E167,'D-1 Off Site Habitat Baseline'!$D$1:$X$258,14,FALSE))))</f>
        <v/>
      </c>
      <c r="O167" s="524" t="str">
        <f>IF(E167="","",IF(ISNA(VLOOKUP($E167,'D-1 Off Site Habitat Baseline'!$D$1:$X$258,13,FALSE)),"",(VLOOKUP($E167,'D-1 Off Site Habitat Baseline'!$D$1:$X$258,13,FALSE))))</f>
        <v/>
      </c>
      <c r="P167" s="232" t="str">
        <f>IFERROR(INDEX('G-1 All Habitats'!$AG$3:$AG$15,MATCH(Q167,'G-1 All Habitats'!$AF$3:$AF$15,0)),"")</f>
        <v/>
      </c>
      <c r="Q167" s="228" t="str">
        <f t="shared" si="34"/>
        <v/>
      </c>
      <c r="R167" s="229" t="str">
        <f t="shared" si="35"/>
        <v/>
      </c>
      <c r="S167" s="233" t="str">
        <f>IFERROR(INDEX('G-1 All Habitats'!$B$3:$B$129,MATCH(R167,'G-1 All Habitats'!$A$3:$A$129,0)),"")</f>
        <v/>
      </c>
      <c r="T167" s="507" t="str">
        <f t="shared" si="27"/>
        <v/>
      </c>
      <c r="U167" s="524" t="str">
        <f t="shared" si="28"/>
        <v/>
      </c>
      <c r="V167" s="523" t="str">
        <f t="shared" si="25"/>
        <v/>
      </c>
      <c r="W167" s="520" t="str">
        <f>IF(S167="","",VLOOKUP(S167,'G-1 All Habitats'!$B$2:$M$129,10,FALSE))</f>
        <v/>
      </c>
      <c r="X167" s="520" t="str">
        <f>IFERROR(VLOOKUP(W167,'G-1 All Habitats'!$V$3:$W$7,2,FALSE),"")</f>
        <v/>
      </c>
      <c r="Y167" s="203"/>
      <c r="Z167" s="524" t="str">
        <f>IFERROR(INDEX('G-8 Condition Look up'!$A$3:$H$130,MATCH(S167,'G-8 Condition Look up'!$A$3:$A$130,0),MATCH(Y167,'G-8 Condition Look up'!$A$3:$H$3,0)),"")</f>
        <v/>
      </c>
      <c r="AA167" s="145"/>
      <c r="AB167" s="540" t="str">
        <f>IF(AA167="","",IF(VLOOKUP(AA167,'G-3 Multipliers'!$L$3:$N$6,2,FALSE)=0,"Spatial Data Missing ⚠",VLOOKUP(AA167,'G-3 Multipliers'!$L$3:$N$6,2,FALSE)))</f>
        <v/>
      </c>
      <c r="AC167" s="524" t="str">
        <f>IF(AA167="","",IF(VLOOKUP(AA167,'G-3 Multipliers'!$L$3:$N$6,3,FALSE)=0,"Spatial Data Missing ⚠",VLOOKUP(AA167,'G-3 Multipliers'!$L$3:$N$6,3,FALSE)))</f>
        <v/>
      </c>
      <c r="AD167" s="537" t="str">
        <f t="shared" si="26"/>
        <v/>
      </c>
      <c r="AE167" s="203"/>
      <c r="AF167" s="203"/>
      <c r="AG167" s="520" t="str">
        <f t="shared" si="29"/>
        <v/>
      </c>
      <c r="AH167" s="544" t="str">
        <f t="shared" si="30"/>
        <v/>
      </c>
      <c r="AI167" s="525" t="str">
        <f>IF(AH167="Check Data ⚠","Check Data ⚠",IFERROR(VLOOKUP(AH167,'G-4 Temporal multipliers'!$A$4:$C$36,3,FALSE),""))</f>
        <v/>
      </c>
      <c r="AJ167" s="537" t="str">
        <f>IF(S167="","",VLOOKUP(S167,'G-3 Multipliers'!$A$2:$E$129,4,FALSE))</f>
        <v/>
      </c>
      <c r="AK167" s="520" t="str">
        <f t="shared" si="31"/>
        <v/>
      </c>
      <c r="AL167" s="520" t="str">
        <f t="shared" si="32"/>
        <v/>
      </c>
      <c r="AM167" s="524" t="str">
        <f>IFERROR(IF(F167="","",IF(AH167="Check Data ⚠","Check Data ⚠",VLOOKUP(AL167, 'G-3 Multipliers'!$P$2:$Q$6,2,FALSE))),"")</f>
        <v/>
      </c>
      <c r="AN167" s="197"/>
      <c r="AO167" s="540" t="str">
        <f>IF(AN167="","",IF(VLOOKUP(AN167,'G-3 Multipliers'!$S$3:$T$9,2,FALSE)=0,"Spatial Data Missing ⚠",VLOOKUP(AN167,'G-3 Multipliers'!$S$3:$T$9,2,FALSE)))</f>
        <v/>
      </c>
      <c r="AP167" s="513" t="str">
        <f t="shared" si="33"/>
        <v/>
      </c>
      <c r="AQ167" s="231"/>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7" t="str">
        <f>'D-1 Off Site Habitat Baseline'!AL167</f>
        <v/>
      </c>
      <c r="F168" s="520" t="str">
        <f>IF(E168="","",IF(ISNA(VLOOKUP($E168,'D-1 Off Site Habitat Baseline'!$D$1:$O$258,4,FALSE)),"",(VLOOKUP($E168,'D-1 Off Site Habitat Baseline'!$D$1:$O$258,4,FALSE))))</f>
        <v/>
      </c>
      <c r="G168" s="520" t="str">
        <f>IF(E168="","",IF(ISNA(VLOOKUP($E168,'D-1 Off Site Habitat Baseline'!$D$1:$O$258,5,FALSE)),"",(VLOOKUP($E168,'D-1 Off Site Habitat Baseline'!$D$1:$O$258,5,FALSE))))</f>
        <v/>
      </c>
      <c r="H168" s="520" t="str">
        <f>IF(E168="","",IF(ISNA(VLOOKUP($E168,'D-1 Off Site Habitat Baseline'!$D$1:$O$258,6,FALSE)),"",(VLOOKUP($E168,'D-1 Off Site Habitat Baseline'!$D$1:$O$258,6,FALSE))))</f>
        <v/>
      </c>
      <c r="I168" s="520" t="str">
        <f>IF(E168="","",IF(ISNA(VLOOKUP($E168,'D-1 Off Site Habitat Baseline'!$D$1:$O$258,7,FALSE)),"",(VLOOKUP($E168,'D-1 Off Site Habitat Baseline'!$D$1:$O$258,7,FALSE))))</f>
        <v/>
      </c>
      <c r="J168" s="520" t="str">
        <f>IF(E168="","",IF(ISNA(VLOOKUP($E168,'D-1 Off Site Habitat Baseline'!$D$1:$O$258,8,FALSE)),"",(VLOOKUP($E168,'D-1 Off Site Habitat Baseline'!$D$1:$O$258,8,FALSE))))</f>
        <v/>
      </c>
      <c r="K168" s="520" t="str">
        <f>IF(E168="","",IF(ISNA(VLOOKUP($E168,'D-1 Off Site Habitat Baseline'!$D$1:$O$258,9,FALSE)),"",(VLOOKUP($E168,'D-1 Off Site Habitat Baseline'!$D$1:$O$258,9,FALSE))))</f>
        <v/>
      </c>
      <c r="L168" s="520" t="str">
        <f>IF(E168="","",IF(ISNA(VLOOKUP($E168,'D-1 Off Site Habitat Baseline'!$D$1:$O$258,11,FALSE)),"",(VLOOKUP($E168,'D-1 Off Site Habitat Baseline'!$D$1:$O$258,11,FALSE))))</f>
        <v/>
      </c>
      <c r="M168" s="520" t="str">
        <f>IF(E168="","",IF(ISNA(VLOOKUP($E168,'D-1 Off Site Habitat Baseline'!$D$1:$O$258,12,FALSE)),"",(VLOOKUP($E168,'D-1 Off Site Habitat Baseline'!$D$1:$O$258,12,FALSE))))</f>
        <v/>
      </c>
      <c r="N168" s="520" t="str">
        <f>IF(E168="","",IF(ISNA(VLOOKUP($E168,'D-1 Off Site Habitat Baseline'!$D$1:$X$258,14,FALSE)),"",(VLOOKUP($E168,'D-1 Off Site Habitat Baseline'!$D$1:$X$258,14,FALSE))))</f>
        <v/>
      </c>
      <c r="O168" s="524" t="str">
        <f>IF(E168="","",IF(ISNA(VLOOKUP($E168,'D-1 Off Site Habitat Baseline'!$D$1:$X$258,13,FALSE)),"",(VLOOKUP($E168,'D-1 Off Site Habitat Baseline'!$D$1:$X$258,13,FALSE))))</f>
        <v/>
      </c>
      <c r="P168" s="232" t="str">
        <f>IFERROR(INDEX('G-1 All Habitats'!$AG$3:$AG$15,MATCH(Q168,'G-1 All Habitats'!$AF$3:$AF$15,0)),"")</f>
        <v/>
      </c>
      <c r="Q168" s="228" t="str">
        <f t="shared" si="34"/>
        <v/>
      </c>
      <c r="R168" s="229" t="str">
        <f t="shared" si="35"/>
        <v/>
      </c>
      <c r="S168" s="233" t="str">
        <f>IFERROR(INDEX('G-1 All Habitats'!$B$3:$B$129,MATCH(R168,'G-1 All Habitats'!$A$3:$A$129,0)),"")</f>
        <v/>
      </c>
      <c r="T168" s="507" t="str">
        <f t="shared" si="27"/>
        <v/>
      </c>
      <c r="U168" s="524" t="str">
        <f t="shared" si="28"/>
        <v/>
      </c>
      <c r="V168" s="523" t="str">
        <f t="shared" si="25"/>
        <v/>
      </c>
      <c r="W168" s="520" t="str">
        <f>IF(S168="","",VLOOKUP(S168,'G-1 All Habitats'!$B$2:$M$129,10,FALSE))</f>
        <v/>
      </c>
      <c r="X168" s="520" t="str">
        <f>IFERROR(VLOOKUP(W168,'G-1 All Habitats'!$V$3:$W$7,2,FALSE),"")</f>
        <v/>
      </c>
      <c r="Y168" s="203"/>
      <c r="Z168" s="524" t="str">
        <f>IFERROR(INDEX('G-8 Condition Look up'!$A$3:$H$130,MATCH(S168,'G-8 Condition Look up'!$A$3:$A$130,0),MATCH(Y168,'G-8 Condition Look up'!$A$3:$H$3,0)),"")</f>
        <v/>
      </c>
      <c r="AA168" s="145"/>
      <c r="AB168" s="540" t="str">
        <f>IF(AA168="","",IF(VLOOKUP(AA168,'G-3 Multipliers'!$L$3:$N$6,2,FALSE)=0,"Spatial Data Missing ⚠",VLOOKUP(AA168,'G-3 Multipliers'!$L$3:$N$6,2,FALSE)))</f>
        <v/>
      </c>
      <c r="AC168" s="524" t="str">
        <f>IF(AA168="","",IF(VLOOKUP(AA168,'G-3 Multipliers'!$L$3:$N$6,3,FALSE)=0,"Spatial Data Missing ⚠",VLOOKUP(AA168,'G-3 Multipliers'!$L$3:$N$6,3,FALSE)))</f>
        <v/>
      </c>
      <c r="AD168" s="537" t="str">
        <f t="shared" si="26"/>
        <v/>
      </c>
      <c r="AE168" s="203"/>
      <c r="AF168" s="203"/>
      <c r="AG168" s="520" t="str">
        <f t="shared" si="29"/>
        <v/>
      </c>
      <c r="AH168" s="544" t="str">
        <f t="shared" si="30"/>
        <v/>
      </c>
      <c r="AI168" s="525" t="str">
        <f>IF(AH168="Check Data ⚠","Check Data ⚠",IFERROR(VLOOKUP(AH168,'G-4 Temporal multipliers'!$A$4:$C$36,3,FALSE),""))</f>
        <v/>
      </c>
      <c r="AJ168" s="537" t="str">
        <f>IF(S168="","",VLOOKUP(S168,'G-3 Multipliers'!$A$2:$E$129,4,FALSE))</f>
        <v/>
      </c>
      <c r="AK168" s="520" t="str">
        <f t="shared" si="31"/>
        <v/>
      </c>
      <c r="AL168" s="520" t="str">
        <f t="shared" si="32"/>
        <v/>
      </c>
      <c r="AM168" s="524" t="str">
        <f>IFERROR(IF(F168="","",IF(AH168="Check Data ⚠","Check Data ⚠",VLOOKUP(AL168, 'G-3 Multipliers'!$P$2:$Q$6,2,FALSE))),"")</f>
        <v/>
      </c>
      <c r="AN168" s="197"/>
      <c r="AO168" s="540" t="str">
        <f>IF(AN168="","",IF(VLOOKUP(AN168,'G-3 Multipliers'!$S$3:$T$9,2,FALSE)=0,"Spatial Data Missing ⚠",VLOOKUP(AN168,'G-3 Multipliers'!$S$3:$T$9,2,FALSE)))</f>
        <v/>
      </c>
      <c r="AP168" s="513" t="str">
        <f t="shared" si="33"/>
        <v/>
      </c>
      <c r="AQ168" s="231"/>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7" t="str">
        <f>'D-1 Off Site Habitat Baseline'!AL168</f>
        <v/>
      </c>
      <c r="F169" s="520" t="str">
        <f>IF(E169="","",IF(ISNA(VLOOKUP($E169,'D-1 Off Site Habitat Baseline'!$D$1:$O$258,4,FALSE)),"",(VLOOKUP($E169,'D-1 Off Site Habitat Baseline'!$D$1:$O$258,4,FALSE))))</f>
        <v/>
      </c>
      <c r="G169" s="520" t="str">
        <f>IF(E169="","",IF(ISNA(VLOOKUP($E169,'D-1 Off Site Habitat Baseline'!$D$1:$O$258,5,FALSE)),"",(VLOOKUP($E169,'D-1 Off Site Habitat Baseline'!$D$1:$O$258,5,FALSE))))</f>
        <v/>
      </c>
      <c r="H169" s="520" t="str">
        <f>IF(E169="","",IF(ISNA(VLOOKUP($E169,'D-1 Off Site Habitat Baseline'!$D$1:$O$258,6,FALSE)),"",(VLOOKUP($E169,'D-1 Off Site Habitat Baseline'!$D$1:$O$258,6,FALSE))))</f>
        <v/>
      </c>
      <c r="I169" s="520" t="str">
        <f>IF(E169="","",IF(ISNA(VLOOKUP($E169,'D-1 Off Site Habitat Baseline'!$D$1:$O$258,7,FALSE)),"",(VLOOKUP($E169,'D-1 Off Site Habitat Baseline'!$D$1:$O$258,7,FALSE))))</f>
        <v/>
      </c>
      <c r="J169" s="520" t="str">
        <f>IF(E169="","",IF(ISNA(VLOOKUP($E169,'D-1 Off Site Habitat Baseline'!$D$1:$O$258,8,FALSE)),"",(VLOOKUP($E169,'D-1 Off Site Habitat Baseline'!$D$1:$O$258,8,FALSE))))</f>
        <v/>
      </c>
      <c r="K169" s="520" t="str">
        <f>IF(E169="","",IF(ISNA(VLOOKUP($E169,'D-1 Off Site Habitat Baseline'!$D$1:$O$258,9,FALSE)),"",(VLOOKUP($E169,'D-1 Off Site Habitat Baseline'!$D$1:$O$258,9,FALSE))))</f>
        <v/>
      </c>
      <c r="L169" s="520" t="str">
        <f>IF(E169="","",IF(ISNA(VLOOKUP($E169,'D-1 Off Site Habitat Baseline'!$D$1:$O$258,11,FALSE)),"",(VLOOKUP($E169,'D-1 Off Site Habitat Baseline'!$D$1:$O$258,11,FALSE))))</f>
        <v/>
      </c>
      <c r="M169" s="520" t="str">
        <f>IF(E169="","",IF(ISNA(VLOOKUP($E169,'D-1 Off Site Habitat Baseline'!$D$1:$O$258,12,FALSE)),"",(VLOOKUP($E169,'D-1 Off Site Habitat Baseline'!$D$1:$O$258,12,FALSE))))</f>
        <v/>
      </c>
      <c r="N169" s="520" t="str">
        <f>IF(E169="","",IF(ISNA(VLOOKUP($E169,'D-1 Off Site Habitat Baseline'!$D$1:$X$258,14,FALSE)),"",(VLOOKUP($E169,'D-1 Off Site Habitat Baseline'!$D$1:$X$258,14,FALSE))))</f>
        <v/>
      </c>
      <c r="O169" s="524" t="str">
        <f>IF(E169="","",IF(ISNA(VLOOKUP($E169,'D-1 Off Site Habitat Baseline'!$D$1:$X$258,13,FALSE)),"",(VLOOKUP($E169,'D-1 Off Site Habitat Baseline'!$D$1:$X$258,13,FALSE))))</f>
        <v/>
      </c>
      <c r="P169" s="232" t="str">
        <f>IFERROR(INDEX('G-1 All Habitats'!$AG$3:$AG$15,MATCH(Q169,'G-1 All Habitats'!$AF$3:$AF$15,0)),"")</f>
        <v/>
      </c>
      <c r="Q169" s="228" t="str">
        <f t="shared" si="34"/>
        <v/>
      </c>
      <c r="R169" s="229" t="str">
        <f t="shared" si="35"/>
        <v/>
      </c>
      <c r="S169" s="233" t="str">
        <f>IFERROR(INDEX('G-1 All Habitats'!$B$3:$B$129,MATCH(R169,'G-1 All Habitats'!$A$3:$A$129,0)),"")</f>
        <v/>
      </c>
      <c r="T169" s="507" t="str">
        <f t="shared" si="27"/>
        <v/>
      </c>
      <c r="U169" s="524" t="str">
        <f t="shared" si="28"/>
        <v/>
      </c>
      <c r="V169" s="523" t="str">
        <f t="shared" si="25"/>
        <v/>
      </c>
      <c r="W169" s="520" t="str">
        <f>IF(S169="","",VLOOKUP(S169,'G-1 All Habitats'!$B$2:$M$129,10,FALSE))</f>
        <v/>
      </c>
      <c r="X169" s="520" t="str">
        <f>IFERROR(VLOOKUP(W169,'G-1 All Habitats'!$V$3:$W$7,2,FALSE),"")</f>
        <v/>
      </c>
      <c r="Y169" s="203"/>
      <c r="Z169" s="524" t="str">
        <f>IFERROR(INDEX('G-8 Condition Look up'!$A$3:$H$130,MATCH(S169,'G-8 Condition Look up'!$A$3:$A$130,0),MATCH(Y169,'G-8 Condition Look up'!$A$3:$H$3,0)),"")</f>
        <v/>
      </c>
      <c r="AA169" s="145"/>
      <c r="AB169" s="540" t="str">
        <f>IF(AA169="","",IF(VLOOKUP(AA169,'G-3 Multipliers'!$L$3:$N$6,2,FALSE)=0,"Spatial Data Missing ⚠",VLOOKUP(AA169,'G-3 Multipliers'!$L$3:$N$6,2,FALSE)))</f>
        <v/>
      </c>
      <c r="AC169" s="524" t="str">
        <f>IF(AA169="","",IF(VLOOKUP(AA169,'G-3 Multipliers'!$L$3:$N$6,3,FALSE)=0,"Spatial Data Missing ⚠",VLOOKUP(AA169,'G-3 Multipliers'!$L$3:$N$6,3,FALSE)))</f>
        <v/>
      </c>
      <c r="AD169" s="537" t="str">
        <f t="shared" si="26"/>
        <v/>
      </c>
      <c r="AE169" s="203"/>
      <c r="AF169" s="203"/>
      <c r="AG169" s="520" t="str">
        <f t="shared" si="29"/>
        <v/>
      </c>
      <c r="AH169" s="544" t="str">
        <f t="shared" si="30"/>
        <v/>
      </c>
      <c r="AI169" s="525" t="str">
        <f>IF(AH169="Check Data ⚠","Check Data ⚠",IFERROR(VLOOKUP(AH169,'G-4 Temporal multipliers'!$A$4:$C$36,3,FALSE),""))</f>
        <v/>
      </c>
      <c r="AJ169" s="537" t="str">
        <f>IF(S169="","",VLOOKUP(S169,'G-3 Multipliers'!$A$2:$E$129,4,FALSE))</f>
        <v/>
      </c>
      <c r="AK169" s="520" t="str">
        <f t="shared" si="31"/>
        <v/>
      </c>
      <c r="AL169" s="520" t="str">
        <f t="shared" si="32"/>
        <v/>
      </c>
      <c r="AM169" s="524" t="str">
        <f>IFERROR(IF(F169="","",IF(AH169="Check Data ⚠","Check Data ⚠",VLOOKUP(AL169, 'G-3 Multipliers'!$P$2:$Q$6,2,FALSE))),"")</f>
        <v/>
      </c>
      <c r="AN169" s="197"/>
      <c r="AO169" s="540" t="str">
        <f>IF(AN169="","",IF(VLOOKUP(AN169,'G-3 Multipliers'!$S$3:$T$9,2,FALSE)=0,"Spatial Data Missing ⚠",VLOOKUP(AN169,'G-3 Multipliers'!$S$3:$T$9,2,FALSE)))</f>
        <v/>
      </c>
      <c r="AP169" s="513" t="str">
        <f t="shared" si="33"/>
        <v/>
      </c>
      <c r="AQ169" s="231"/>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7" t="str">
        <f>'D-1 Off Site Habitat Baseline'!AL169</f>
        <v/>
      </c>
      <c r="F170" s="520" t="str">
        <f>IF(E170="","",IF(ISNA(VLOOKUP($E170,'D-1 Off Site Habitat Baseline'!$D$1:$O$258,4,FALSE)),"",(VLOOKUP($E170,'D-1 Off Site Habitat Baseline'!$D$1:$O$258,4,FALSE))))</f>
        <v/>
      </c>
      <c r="G170" s="520" t="str">
        <f>IF(E170="","",IF(ISNA(VLOOKUP($E170,'D-1 Off Site Habitat Baseline'!$D$1:$O$258,5,FALSE)),"",(VLOOKUP($E170,'D-1 Off Site Habitat Baseline'!$D$1:$O$258,5,FALSE))))</f>
        <v/>
      </c>
      <c r="H170" s="520" t="str">
        <f>IF(E170="","",IF(ISNA(VLOOKUP($E170,'D-1 Off Site Habitat Baseline'!$D$1:$O$258,6,FALSE)),"",(VLOOKUP($E170,'D-1 Off Site Habitat Baseline'!$D$1:$O$258,6,FALSE))))</f>
        <v/>
      </c>
      <c r="I170" s="520" t="str">
        <f>IF(E170="","",IF(ISNA(VLOOKUP($E170,'D-1 Off Site Habitat Baseline'!$D$1:$O$258,7,FALSE)),"",(VLOOKUP($E170,'D-1 Off Site Habitat Baseline'!$D$1:$O$258,7,FALSE))))</f>
        <v/>
      </c>
      <c r="J170" s="520" t="str">
        <f>IF(E170="","",IF(ISNA(VLOOKUP($E170,'D-1 Off Site Habitat Baseline'!$D$1:$O$258,8,FALSE)),"",(VLOOKUP($E170,'D-1 Off Site Habitat Baseline'!$D$1:$O$258,8,FALSE))))</f>
        <v/>
      </c>
      <c r="K170" s="520" t="str">
        <f>IF(E170="","",IF(ISNA(VLOOKUP($E170,'D-1 Off Site Habitat Baseline'!$D$1:$O$258,9,FALSE)),"",(VLOOKUP($E170,'D-1 Off Site Habitat Baseline'!$D$1:$O$258,9,FALSE))))</f>
        <v/>
      </c>
      <c r="L170" s="520" t="str">
        <f>IF(E170="","",IF(ISNA(VLOOKUP($E170,'D-1 Off Site Habitat Baseline'!$D$1:$O$258,11,FALSE)),"",(VLOOKUP($E170,'D-1 Off Site Habitat Baseline'!$D$1:$O$258,11,FALSE))))</f>
        <v/>
      </c>
      <c r="M170" s="520" t="str">
        <f>IF(E170="","",IF(ISNA(VLOOKUP($E170,'D-1 Off Site Habitat Baseline'!$D$1:$O$258,12,FALSE)),"",(VLOOKUP($E170,'D-1 Off Site Habitat Baseline'!$D$1:$O$258,12,FALSE))))</f>
        <v/>
      </c>
      <c r="N170" s="520" t="str">
        <f>IF(E170="","",IF(ISNA(VLOOKUP($E170,'D-1 Off Site Habitat Baseline'!$D$1:$X$258,14,FALSE)),"",(VLOOKUP($E170,'D-1 Off Site Habitat Baseline'!$D$1:$X$258,14,FALSE))))</f>
        <v/>
      </c>
      <c r="O170" s="524" t="str">
        <f>IF(E170="","",IF(ISNA(VLOOKUP($E170,'D-1 Off Site Habitat Baseline'!$D$1:$X$258,13,FALSE)),"",(VLOOKUP($E170,'D-1 Off Site Habitat Baseline'!$D$1:$X$258,13,FALSE))))</f>
        <v/>
      </c>
      <c r="P170" s="232" t="str">
        <f>IFERROR(INDEX('G-1 All Habitats'!$AG$3:$AG$15,MATCH(Q170,'G-1 All Habitats'!$AF$3:$AF$15,0)),"")</f>
        <v/>
      </c>
      <c r="Q170" s="228" t="str">
        <f t="shared" si="34"/>
        <v/>
      </c>
      <c r="R170" s="229" t="str">
        <f t="shared" si="35"/>
        <v/>
      </c>
      <c r="S170" s="233" t="str">
        <f>IFERROR(INDEX('G-1 All Habitats'!$B$3:$B$129,MATCH(R170,'G-1 All Habitats'!$A$3:$A$129,0)),"")</f>
        <v/>
      </c>
      <c r="T170" s="507" t="str">
        <f t="shared" si="27"/>
        <v/>
      </c>
      <c r="U170" s="524" t="str">
        <f t="shared" si="28"/>
        <v/>
      </c>
      <c r="V170" s="523" t="str">
        <f t="shared" si="25"/>
        <v/>
      </c>
      <c r="W170" s="520" t="str">
        <f>IF(S170="","",VLOOKUP(S170,'G-1 All Habitats'!$B$2:$M$129,10,FALSE))</f>
        <v/>
      </c>
      <c r="X170" s="520" t="str">
        <f>IFERROR(VLOOKUP(W170,'G-1 All Habitats'!$V$3:$W$7,2,FALSE),"")</f>
        <v/>
      </c>
      <c r="Y170" s="203"/>
      <c r="Z170" s="524" t="str">
        <f>IFERROR(INDEX('G-8 Condition Look up'!$A$3:$H$130,MATCH(S170,'G-8 Condition Look up'!$A$3:$A$130,0),MATCH(Y170,'G-8 Condition Look up'!$A$3:$H$3,0)),"")</f>
        <v/>
      </c>
      <c r="AA170" s="145"/>
      <c r="AB170" s="540" t="str">
        <f>IF(AA170="","",IF(VLOOKUP(AA170,'G-3 Multipliers'!$L$3:$N$6,2,FALSE)=0,"Spatial Data Missing ⚠",VLOOKUP(AA170,'G-3 Multipliers'!$L$3:$N$6,2,FALSE)))</f>
        <v/>
      </c>
      <c r="AC170" s="524" t="str">
        <f>IF(AA170="","",IF(VLOOKUP(AA170,'G-3 Multipliers'!$L$3:$N$6,3,FALSE)=0,"Spatial Data Missing ⚠",VLOOKUP(AA170,'G-3 Multipliers'!$L$3:$N$6,3,FALSE)))</f>
        <v/>
      </c>
      <c r="AD170" s="537" t="str">
        <f t="shared" si="26"/>
        <v/>
      </c>
      <c r="AE170" s="203"/>
      <c r="AF170" s="203"/>
      <c r="AG170" s="520" t="str">
        <f t="shared" si="29"/>
        <v/>
      </c>
      <c r="AH170" s="544" t="str">
        <f t="shared" si="30"/>
        <v/>
      </c>
      <c r="AI170" s="525" t="str">
        <f>IF(AH170="Check Data ⚠","Check Data ⚠",IFERROR(VLOOKUP(AH170,'G-4 Temporal multipliers'!$A$4:$C$36,3,FALSE),""))</f>
        <v/>
      </c>
      <c r="AJ170" s="537" t="str">
        <f>IF(S170="","",VLOOKUP(S170,'G-3 Multipliers'!$A$2:$E$129,4,FALSE))</f>
        <v/>
      </c>
      <c r="AK170" s="520" t="str">
        <f t="shared" si="31"/>
        <v/>
      </c>
      <c r="AL170" s="520" t="str">
        <f t="shared" si="32"/>
        <v/>
      </c>
      <c r="AM170" s="524" t="str">
        <f>IFERROR(IF(F170="","",IF(AH170="Check Data ⚠","Check Data ⚠",VLOOKUP(AL170, 'G-3 Multipliers'!$P$2:$Q$6,2,FALSE))),"")</f>
        <v/>
      </c>
      <c r="AN170" s="197"/>
      <c r="AO170" s="540" t="str">
        <f>IF(AN170="","",IF(VLOOKUP(AN170,'G-3 Multipliers'!$S$3:$T$9,2,FALSE)=0,"Spatial Data Missing ⚠",VLOOKUP(AN170,'G-3 Multipliers'!$S$3:$T$9,2,FALSE)))</f>
        <v/>
      </c>
      <c r="AP170" s="513" t="str">
        <f t="shared" si="33"/>
        <v/>
      </c>
      <c r="AQ170" s="231"/>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7" t="str">
        <f>'D-1 Off Site Habitat Baseline'!AL170</f>
        <v/>
      </c>
      <c r="F171" s="520" t="str">
        <f>IF(E171="","",IF(ISNA(VLOOKUP($E171,'D-1 Off Site Habitat Baseline'!$D$1:$O$258,4,FALSE)),"",(VLOOKUP($E171,'D-1 Off Site Habitat Baseline'!$D$1:$O$258,4,FALSE))))</f>
        <v/>
      </c>
      <c r="G171" s="520" t="str">
        <f>IF(E171="","",IF(ISNA(VLOOKUP($E171,'D-1 Off Site Habitat Baseline'!$D$1:$O$258,5,FALSE)),"",(VLOOKUP($E171,'D-1 Off Site Habitat Baseline'!$D$1:$O$258,5,FALSE))))</f>
        <v/>
      </c>
      <c r="H171" s="520" t="str">
        <f>IF(E171="","",IF(ISNA(VLOOKUP($E171,'D-1 Off Site Habitat Baseline'!$D$1:$O$258,6,FALSE)),"",(VLOOKUP($E171,'D-1 Off Site Habitat Baseline'!$D$1:$O$258,6,FALSE))))</f>
        <v/>
      </c>
      <c r="I171" s="520" t="str">
        <f>IF(E171="","",IF(ISNA(VLOOKUP($E171,'D-1 Off Site Habitat Baseline'!$D$1:$O$258,7,FALSE)),"",(VLOOKUP($E171,'D-1 Off Site Habitat Baseline'!$D$1:$O$258,7,FALSE))))</f>
        <v/>
      </c>
      <c r="J171" s="520" t="str">
        <f>IF(E171="","",IF(ISNA(VLOOKUP($E171,'D-1 Off Site Habitat Baseline'!$D$1:$O$258,8,FALSE)),"",(VLOOKUP($E171,'D-1 Off Site Habitat Baseline'!$D$1:$O$258,8,FALSE))))</f>
        <v/>
      </c>
      <c r="K171" s="520" t="str">
        <f>IF(E171="","",IF(ISNA(VLOOKUP($E171,'D-1 Off Site Habitat Baseline'!$D$1:$O$258,9,FALSE)),"",(VLOOKUP($E171,'D-1 Off Site Habitat Baseline'!$D$1:$O$258,9,FALSE))))</f>
        <v/>
      </c>
      <c r="L171" s="520" t="str">
        <f>IF(E171="","",IF(ISNA(VLOOKUP($E171,'D-1 Off Site Habitat Baseline'!$D$1:$O$258,11,FALSE)),"",(VLOOKUP($E171,'D-1 Off Site Habitat Baseline'!$D$1:$O$258,11,FALSE))))</f>
        <v/>
      </c>
      <c r="M171" s="520" t="str">
        <f>IF(E171="","",IF(ISNA(VLOOKUP($E171,'D-1 Off Site Habitat Baseline'!$D$1:$O$258,12,FALSE)),"",(VLOOKUP($E171,'D-1 Off Site Habitat Baseline'!$D$1:$O$258,12,FALSE))))</f>
        <v/>
      </c>
      <c r="N171" s="520" t="str">
        <f>IF(E171="","",IF(ISNA(VLOOKUP($E171,'D-1 Off Site Habitat Baseline'!$D$1:$X$258,14,FALSE)),"",(VLOOKUP($E171,'D-1 Off Site Habitat Baseline'!$D$1:$X$258,14,FALSE))))</f>
        <v/>
      </c>
      <c r="O171" s="524" t="str">
        <f>IF(E171="","",IF(ISNA(VLOOKUP($E171,'D-1 Off Site Habitat Baseline'!$D$1:$X$258,13,FALSE)),"",(VLOOKUP($E171,'D-1 Off Site Habitat Baseline'!$D$1:$X$258,13,FALSE))))</f>
        <v/>
      </c>
      <c r="P171" s="232" t="str">
        <f>IFERROR(INDEX('G-1 All Habitats'!$AG$3:$AG$15,MATCH(Q171,'G-1 All Habitats'!$AF$3:$AF$15,0)),"")</f>
        <v/>
      </c>
      <c r="Q171" s="228" t="str">
        <f t="shared" si="34"/>
        <v/>
      </c>
      <c r="R171" s="229" t="str">
        <f t="shared" si="35"/>
        <v/>
      </c>
      <c r="S171" s="233" t="str">
        <f>IFERROR(INDEX('G-1 All Habitats'!$B$3:$B$129,MATCH(R171,'G-1 All Habitats'!$A$3:$A$129,0)),"")</f>
        <v/>
      </c>
      <c r="T171" s="507" t="str">
        <f t="shared" si="27"/>
        <v/>
      </c>
      <c r="U171" s="524" t="str">
        <f t="shared" si="28"/>
        <v/>
      </c>
      <c r="V171" s="523" t="str">
        <f t="shared" si="25"/>
        <v/>
      </c>
      <c r="W171" s="520" t="str">
        <f>IF(S171="","",VLOOKUP(S171,'G-1 All Habitats'!$B$2:$M$129,10,FALSE))</f>
        <v/>
      </c>
      <c r="X171" s="520" t="str">
        <f>IFERROR(VLOOKUP(W171,'G-1 All Habitats'!$V$3:$W$7,2,FALSE),"")</f>
        <v/>
      </c>
      <c r="Y171" s="203"/>
      <c r="Z171" s="524" t="str">
        <f>IFERROR(INDEX('G-8 Condition Look up'!$A$3:$H$130,MATCH(S171,'G-8 Condition Look up'!$A$3:$A$130,0),MATCH(Y171,'G-8 Condition Look up'!$A$3:$H$3,0)),"")</f>
        <v/>
      </c>
      <c r="AA171" s="145"/>
      <c r="AB171" s="540" t="str">
        <f>IF(AA171="","",IF(VLOOKUP(AA171,'G-3 Multipliers'!$L$3:$N$6,2,FALSE)=0,"Spatial Data Missing ⚠",VLOOKUP(AA171,'G-3 Multipliers'!$L$3:$N$6,2,FALSE)))</f>
        <v/>
      </c>
      <c r="AC171" s="524" t="str">
        <f>IF(AA171="","",IF(VLOOKUP(AA171,'G-3 Multipliers'!$L$3:$N$6,3,FALSE)=0,"Spatial Data Missing ⚠",VLOOKUP(AA171,'G-3 Multipliers'!$L$3:$N$6,3,FALSE)))</f>
        <v/>
      </c>
      <c r="AD171" s="537" t="str">
        <f t="shared" si="26"/>
        <v/>
      </c>
      <c r="AE171" s="203"/>
      <c r="AF171" s="203"/>
      <c r="AG171" s="520" t="str">
        <f t="shared" si="29"/>
        <v/>
      </c>
      <c r="AH171" s="544" t="str">
        <f t="shared" si="30"/>
        <v/>
      </c>
      <c r="AI171" s="525" t="str">
        <f>IF(AH171="Check Data ⚠","Check Data ⚠",IFERROR(VLOOKUP(AH171,'G-4 Temporal multipliers'!$A$4:$C$36,3,FALSE),""))</f>
        <v/>
      </c>
      <c r="AJ171" s="537" t="str">
        <f>IF(S171="","",VLOOKUP(S171,'G-3 Multipliers'!$A$2:$E$129,4,FALSE))</f>
        <v/>
      </c>
      <c r="AK171" s="520" t="str">
        <f t="shared" si="31"/>
        <v/>
      </c>
      <c r="AL171" s="520" t="str">
        <f t="shared" si="32"/>
        <v/>
      </c>
      <c r="AM171" s="524" t="str">
        <f>IFERROR(IF(F171="","",IF(AH171="Check Data ⚠","Check Data ⚠",VLOOKUP(AL171, 'G-3 Multipliers'!$P$2:$Q$6,2,FALSE))),"")</f>
        <v/>
      </c>
      <c r="AN171" s="197"/>
      <c r="AO171" s="540" t="str">
        <f>IF(AN171="","",IF(VLOOKUP(AN171,'G-3 Multipliers'!$S$3:$T$9,2,FALSE)=0,"Spatial Data Missing ⚠",VLOOKUP(AN171,'G-3 Multipliers'!$S$3:$T$9,2,FALSE)))</f>
        <v/>
      </c>
      <c r="AP171" s="513" t="str">
        <f t="shared" si="33"/>
        <v/>
      </c>
      <c r="AQ171" s="231"/>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7" t="str">
        <f>'D-1 Off Site Habitat Baseline'!AL171</f>
        <v/>
      </c>
      <c r="F172" s="520" t="str">
        <f>IF(E172="","",IF(ISNA(VLOOKUP($E172,'D-1 Off Site Habitat Baseline'!$D$1:$O$258,4,FALSE)),"",(VLOOKUP($E172,'D-1 Off Site Habitat Baseline'!$D$1:$O$258,4,FALSE))))</f>
        <v/>
      </c>
      <c r="G172" s="520" t="str">
        <f>IF(E172="","",IF(ISNA(VLOOKUP($E172,'D-1 Off Site Habitat Baseline'!$D$1:$O$258,5,FALSE)),"",(VLOOKUP($E172,'D-1 Off Site Habitat Baseline'!$D$1:$O$258,5,FALSE))))</f>
        <v/>
      </c>
      <c r="H172" s="520" t="str">
        <f>IF(E172="","",IF(ISNA(VLOOKUP($E172,'D-1 Off Site Habitat Baseline'!$D$1:$O$258,6,FALSE)),"",(VLOOKUP($E172,'D-1 Off Site Habitat Baseline'!$D$1:$O$258,6,FALSE))))</f>
        <v/>
      </c>
      <c r="I172" s="520" t="str">
        <f>IF(E172="","",IF(ISNA(VLOOKUP($E172,'D-1 Off Site Habitat Baseline'!$D$1:$O$258,7,FALSE)),"",(VLOOKUP($E172,'D-1 Off Site Habitat Baseline'!$D$1:$O$258,7,FALSE))))</f>
        <v/>
      </c>
      <c r="J172" s="520" t="str">
        <f>IF(E172="","",IF(ISNA(VLOOKUP($E172,'D-1 Off Site Habitat Baseline'!$D$1:$O$258,8,FALSE)),"",(VLOOKUP($E172,'D-1 Off Site Habitat Baseline'!$D$1:$O$258,8,FALSE))))</f>
        <v/>
      </c>
      <c r="K172" s="520" t="str">
        <f>IF(E172="","",IF(ISNA(VLOOKUP($E172,'D-1 Off Site Habitat Baseline'!$D$1:$O$258,9,FALSE)),"",(VLOOKUP($E172,'D-1 Off Site Habitat Baseline'!$D$1:$O$258,9,FALSE))))</f>
        <v/>
      </c>
      <c r="L172" s="520" t="str">
        <f>IF(E172="","",IF(ISNA(VLOOKUP($E172,'D-1 Off Site Habitat Baseline'!$D$1:$O$258,11,FALSE)),"",(VLOOKUP($E172,'D-1 Off Site Habitat Baseline'!$D$1:$O$258,11,FALSE))))</f>
        <v/>
      </c>
      <c r="M172" s="520" t="str">
        <f>IF(E172="","",IF(ISNA(VLOOKUP($E172,'D-1 Off Site Habitat Baseline'!$D$1:$O$258,12,FALSE)),"",(VLOOKUP($E172,'D-1 Off Site Habitat Baseline'!$D$1:$O$258,12,FALSE))))</f>
        <v/>
      </c>
      <c r="N172" s="520" t="str">
        <f>IF(E172="","",IF(ISNA(VLOOKUP($E172,'D-1 Off Site Habitat Baseline'!$D$1:$X$258,14,FALSE)),"",(VLOOKUP($E172,'D-1 Off Site Habitat Baseline'!$D$1:$X$258,14,FALSE))))</f>
        <v/>
      </c>
      <c r="O172" s="524" t="str">
        <f>IF(E172="","",IF(ISNA(VLOOKUP($E172,'D-1 Off Site Habitat Baseline'!$D$1:$X$258,13,FALSE)),"",(VLOOKUP($E172,'D-1 Off Site Habitat Baseline'!$D$1:$X$258,13,FALSE))))</f>
        <v/>
      </c>
      <c r="P172" s="232" t="str">
        <f>IFERROR(INDEX('G-1 All Habitats'!$AG$3:$AG$15,MATCH(Q172,'G-1 All Habitats'!$AF$3:$AF$15,0)),"")</f>
        <v/>
      </c>
      <c r="Q172" s="228" t="str">
        <f t="shared" si="34"/>
        <v/>
      </c>
      <c r="R172" s="229" t="str">
        <f t="shared" si="35"/>
        <v/>
      </c>
      <c r="S172" s="233" t="str">
        <f>IFERROR(INDEX('G-1 All Habitats'!$B$3:$B$129,MATCH(R172,'G-1 All Habitats'!$A$3:$A$129,0)),"")</f>
        <v/>
      </c>
      <c r="T172" s="507" t="str">
        <f t="shared" si="27"/>
        <v/>
      </c>
      <c r="U172" s="524" t="str">
        <f t="shared" si="28"/>
        <v/>
      </c>
      <c r="V172" s="523" t="str">
        <f t="shared" si="25"/>
        <v/>
      </c>
      <c r="W172" s="520" t="str">
        <f>IF(S172="","",VLOOKUP(S172,'G-1 All Habitats'!$B$2:$M$129,10,FALSE))</f>
        <v/>
      </c>
      <c r="X172" s="520" t="str">
        <f>IFERROR(VLOOKUP(W172,'G-1 All Habitats'!$V$3:$W$7,2,FALSE),"")</f>
        <v/>
      </c>
      <c r="Y172" s="203"/>
      <c r="Z172" s="524" t="str">
        <f>IFERROR(INDEX('G-8 Condition Look up'!$A$3:$H$130,MATCH(S172,'G-8 Condition Look up'!$A$3:$A$130,0),MATCH(Y172,'G-8 Condition Look up'!$A$3:$H$3,0)),"")</f>
        <v/>
      </c>
      <c r="AA172" s="145"/>
      <c r="AB172" s="540" t="str">
        <f>IF(AA172="","",IF(VLOOKUP(AA172,'G-3 Multipliers'!$L$3:$N$6,2,FALSE)=0,"Spatial Data Missing ⚠",VLOOKUP(AA172,'G-3 Multipliers'!$L$3:$N$6,2,FALSE)))</f>
        <v/>
      </c>
      <c r="AC172" s="524" t="str">
        <f>IF(AA172="","",IF(VLOOKUP(AA172,'G-3 Multipliers'!$L$3:$N$6,3,FALSE)=0,"Spatial Data Missing ⚠",VLOOKUP(AA172,'G-3 Multipliers'!$L$3:$N$6,3,FALSE)))</f>
        <v/>
      </c>
      <c r="AD172" s="537" t="str">
        <f t="shared" si="26"/>
        <v/>
      </c>
      <c r="AE172" s="203"/>
      <c r="AF172" s="203"/>
      <c r="AG172" s="520" t="str">
        <f t="shared" si="29"/>
        <v/>
      </c>
      <c r="AH172" s="544" t="str">
        <f t="shared" si="30"/>
        <v/>
      </c>
      <c r="AI172" s="525" t="str">
        <f>IF(AH172="Check Data ⚠","Check Data ⚠",IFERROR(VLOOKUP(AH172,'G-4 Temporal multipliers'!$A$4:$C$36,3,FALSE),""))</f>
        <v/>
      </c>
      <c r="AJ172" s="537" t="str">
        <f>IF(S172="","",VLOOKUP(S172,'G-3 Multipliers'!$A$2:$E$129,4,FALSE))</f>
        <v/>
      </c>
      <c r="AK172" s="520" t="str">
        <f t="shared" si="31"/>
        <v/>
      </c>
      <c r="AL172" s="520" t="str">
        <f t="shared" si="32"/>
        <v/>
      </c>
      <c r="AM172" s="524" t="str">
        <f>IFERROR(IF(F172="","",IF(AH172="Check Data ⚠","Check Data ⚠",VLOOKUP(AL172, 'G-3 Multipliers'!$P$2:$Q$6,2,FALSE))),"")</f>
        <v/>
      </c>
      <c r="AN172" s="197"/>
      <c r="AO172" s="540" t="str">
        <f>IF(AN172="","",IF(VLOOKUP(AN172,'G-3 Multipliers'!$S$3:$T$9,2,FALSE)=0,"Spatial Data Missing ⚠",VLOOKUP(AN172,'G-3 Multipliers'!$S$3:$T$9,2,FALSE)))</f>
        <v/>
      </c>
      <c r="AP172" s="513" t="str">
        <f t="shared" si="33"/>
        <v/>
      </c>
      <c r="AQ172" s="231"/>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7" t="str">
        <f>'D-1 Off Site Habitat Baseline'!AL172</f>
        <v/>
      </c>
      <c r="F173" s="520" t="str">
        <f>IF(E173="","",IF(ISNA(VLOOKUP($E173,'D-1 Off Site Habitat Baseline'!$D$1:$O$258,4,FALSE)),"",(VLOOKUP($E173,'D-1 Off Site Habitat Baseline'!$D$1:$O$258,4,FALSE))))</f>
        <v/>
      </c>
      <c r="G173" s="520" t="str">
        <f>IF(E173="","",IF(ISNA(VLOOKUP($E173,'D-1 Off Site Habitat Baseline'!$D$1:$O$258,5,FALSE)),"",(VLOOKUP($E173,'D-1 Off Site Habitat Baseline'!$D$1:$O$258,5,FALSE))))</f>
        <v/>
      </c>
      <c r="H173" s="520" t="str">
        <f>IF(E173="","",IF(ISNA(VLOOKUP($E173,'D-1 Off Site Habitat Baseline'!$D$1:$O$258,6,FALSE)),"",(VLOOKUP($E173,'D-1 Off Site Habitat Baseline'!$D$1:$O$258,6,FALSE))))</f>
        <v/>
      </c>
      <c r="I173" s="520" t="str">
        <f>IF(E173="","",IF(ISNA(VLOOKUP($E173,'D-1 Off Site Habitat Baseline'!$D$1:$O$258,7,FALSE)),"",(VLOOKUP($E173,'D-1 Off Site Habitat Baseline'!$D$1:$O$258,7,FALSE))))</f>
        <v/>
      </c>
      <c r="J173" s="520" t="str">
        <f>IF(E173="","",IF(ISNA(VLOOKUP($E173,'D-1 Off Site Habitat Baseline'!$D$1:$O$258,8,FALSE)),"",(VLOOKUP($E173,'D-1 Off Site Habitat Baseline'!$D$1:$O$258,8,FALSE))))</f>
        <v/>
      </c>
      <c r="K173" s="520" t="str">
        <f>IF(E173="","",IF(ISNA(VLOOKUP($E173,'D-1 Off Site Habitat Baseline'!$D$1:$O$258,9,FALSE)),"",(VLOOKUP($E173,'D-1 Off Site Habitat Baseline'!$D$1:$O$258,9,FALSE))))</f>
        <v/>
      </c>
      <c r="L173" s="520" t="str">
        <f>IF(E173="","",IF(ISNA(VLOOKUP($E173,'D-1 Off Site Habitat Baseline'!$D$1:$O$258,11,FALSE)),"",(VLOOKUP($E173,'D-1 Off Site Habitat Baseline'!$D$1:$O$258,11,FALSE))))</f>
        <v/>
      </c>
      <c r="M173" s="520" t="str">
        <f>IF(E173="","",IF(ISNA(VLOOKUP($E173,'D-1 Off Site Habitat Baseline'!$D$1:$O$258,12,FALSE)),"",(VLOOKUP($E173,'D-1 Off Site Habitat Baseline'!$D$1:$O$258,12,FALSE))))</f>
        <v/>
      </c>
      <c r="N173" s="520" t="str">
        <f>IF(E173="","",IF(ISNA(VLOOKUP($E173,'D-1 Off Site Habitat Baseline'!$D$1:$X$258,14,FALSE)),"",(VLOOKUP($E173,'D-1 Off Site Habitat Baseline'!$D$1:$X$258,14,FALSE))))</f>
        <v/>
      </c>
      <c r="O173" s="524" t="str">
        <f>IF(E173="","",IF(ISNA(VLOOKUP($E173,'D-1 Off Site Habitat Baseline'!$D$1:$X$258,13,FALSE)),"",(VLOOKUP($E173,'D-1 Off Site Habitat Baseline'!$D$1:$X$258,13,FALSE))))</f>
        <v/>
      </c>
      <c r="P173" s="232" t="str">
        <f>IFERROR(INDEX('G-1 All Habitats'!$AG$3:$AG$15,MATCH(Q173,'G-1 All Habitats'!$AF$3:$AF$15,0)),"")</f>
        <v/>
      </c>
      <c r="Q173" s="228" t="str">
        <f t="shared" si="34"/>
        <v/>
      </c>
      <c r="R173" s="229" t="str">
        <f t="shared" si="35"/>
        <v/>
      </c>
      <c r="S173" s="233" t="str">
        <f>IFERROR(INDEX('G-1 All Habitats'!$B$3:$B$129,MATCH(R173,'G-1 All Habitats'!$A$3:$A$129,0)),"")</f>
        <v/>
      </c>
      <c r="T173" s="507" t="str">
        <f t="shared" si="27"/>
        <v/>
      </c>
      <c r="U173" s="524" t="str">
        <f t="shared" si="28"/>
        <v/>
      </c>
      <c r="V173" s="523" t="str">
        <f t="shared" si="25"/>
        <v/>
      </c>
      <c r="W173" s="520" t="str">
        <f>IF(S173="","",VLOOKUP(S173,'G-1 All Habitats'!$B$2:$M$129,10,FALSE))</f>
        <v/>
      </c>
      <c r="X173" s="520" t="str">
        <f>IFERROR(VLOOKUP(W173,'G-1 All Habitats'!$V$3:$W$7,2,FALSE),"")</f>
        <v/>
      </c>
      <c r="Y173" s="203"/>
      <c r="Z173" s="524" t="str">
        <f>IFERROR(INDEX('G-8 Condition Look up'!$A$3:$H$130,MATCH(S173,'G-8 Condition Look up'!$A$3:$A$130,0),MATCH(Y173,'G-8 Condition Look up'!$A$3:$H$3,0)),"")</f>
        <v/>
      </c>
      <c r="AA173" s="145"/>
      <c r="AB173" s="540" t="str">
        <f>IF(AA173="","",IF(VLOOKUP(AA173,'G-3 Multipliers'!$L$3:$N$6,2,FALSE)=0,"Spatial Data Missing ⚠",VLOOKUP(AA173,'G-3 Multipliers'!$L$3:$N$6,2,FALSE)))</f>
        <v/>
      </c>
      <c r="AC173" s="524" t="str">
        <f>IF(AA173="","",IF(VLOOKUP(AA173,'G-3 Multipliers'!$L$3:$N$6,3,FALSE)=0,"Spatial Data Missing ⚠",VLOOKUP(AA173,'G-3 Multipliers'!$L$3:$N$6,3,FALSE)))</f>
        <v/>
      </c>
      <c r="AD173" s="537" t="str">
        <f t="shared" si="26"/>
        <v/>
      </c>
      <c r="AE173" s="203"/>
      <c r="AF173" s="203"/>
      <c r="AG173" s="520" t="str">
        <f t="shared" si="29"/>
        <v/>
      </c>
      <c r="AH173" s="544" t="str">
        <f t="shared" si="30"/>
        <v/>
      </c>
      <c r="AI173" s="525" t="str">
        <f>IF(AH173="Check Data ⚠","Check Data ⚠",IFERROR(VLOOKUP(AH173,'G-4 Temporal multipliers'!$A$4:$C$36,3,FALSE),""))</f>
        <v/>
      </c>
      <c r="AJ173" s="537" t="str">
        <f>IF(S173="","",VLOOKUP(S173,'G-3 Multipliers'!$A$2:$E$129,4,FALSE))</f>
        <v/>
      </c>
      <c r="AK173" s="520" t="str">
        <f t="shared" si="31"/>
        <v/>
      </c>
      <c r="AL173" s="520" t="str">
        <f t="shared" si="32"/>
        <v/>
      </c>
      <c r="AM173" s="524" t="str">
        <f>IFERROR(IF(F173="","",IF(AH173="Check Data ⚠","Check Data ⚠",VLOOKUP(AL173, 'G-3 Multipliers'!$P$2:$Q$6,2,FALSE))),"")</f>
        <v/>
      </c>
      <c r="AN173" s="197"/>
      <c r="AO173" s="540" t="str">
        <f>IF(AN173="","",IF(VLOOKUP(AN173,'G-3 Multipliers'!$S$3:$T$9,2,FALSE)=0,"Spatial Data Missing ⚠",VLOOKUP(AN173,'G-3 Multipliers'!$S$3:$T$9,2,FALSE)))</f>
        <v/>
      </c>
      <c r="AP173" s="513" t="str">
        <f t="shared" si="33"/>
        <v/>
      </c>
      <c r="AQ173" s="231"/>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7" t="str">
        <f>'D-1 Off Site Habitat Baseline'!AL173</f>
        <v/>
      </c>
      <c r="F174" s="520" t="str">
        <f>IF(E174="","",IF(ISNA(VLOOKUP($E174,'D-1 Off Site Habitat Baseline'!$D$1:$O$258,4,FALSE)),"",(VLOOKUP($E174,'D-1 Off Site Habitat Baseline'!$D$1:$O$258,4,FALSE))))</f>
        <v/>
      </c>
      <c r="G174" s="520" t="str">
        <f>IF(E174="","",IF(ISNA(VLOOKUP($E174,'D-1 Off Site Habitat Baseline'!$D$1:$O$258,5,FALSE)),"",(VLOOKUP($E174,'D-1 Off Site Habitat Baseline'!$D$1:$O$258,5,FALSE))))</f>
        <v/>
      </c>
      <c r="H174" s="520" t="str">
        <f>IF(E174="","",IF(ISNA(VLOOKUP($E174,'D-1 Off Site Habitat Baseline'!$D$1:$O$258,6,FALSE)),"",(VLOOKUP($E174,'D-1 Off Site Habitat Baseline'!$D$1:$O$258,6,FALSE))))</f>
        <v/>
      </c>
      <c r="I174" s="520" t="str">
        <f>IF(E174="","",IF(ISNA(VLOOKUP($E174,'D-1 Off Site Habitat Baseline'!$D$1:$O$258,7,FALSE)),"",(VLOOKUP($E174,'D-1 Off Site Habitat Baseline'!$D$1:$O$258,7,FALSE))))</f>
        <v/>
      </c>
      <c r="J174" s="520" t="str">
        <f>IF(E174="","",IF(ISNA(VLOOKUP($E174,'D-1 Off Site Habitat Baseline'!$D$1:$O$258,8,FALSE)),"",(VLOOKUP($E174,'D-1 Off Site Habitat Baseline'!$D$1:$O$258,8,FALSE))))</f>
        <v/>
      </c>
      <c r="K174" s="520" t="str">
        <f>IF(E174="","",IF(ISNA(VLOOKUP($E174,'D-1 Off Site Habitat Baseline'!$D$1:$O$258,9,FALSE)),"",(VLOOKUP($E174,'D-1 Off Site Habitat Baseline'!$D$1:$O$258,9,FALSE))))</f>
        <v/>
      </c>
      <c r="L174" s="520" t="str">
        <f>IF(E174="","",IF(ISNA(VLOOKUP($E174,'D-1 Off Site Habitat Baseline'!$D$1:$O$258,11,FALSE)),"",(VLOOKUP($E174,'D-1 Off Site Habitat Baseline'!$D$1:$O$258,11,FALSE))))</f>
        <v/>
      </c>
      <c r="M174" s="520" t="str">
        <f>IF(E174="","",IF(ISNA(VLOOKUP($E174,'D-1 Off Site Habitat Baseline'!$D$1:$O$258,12,FALSE)),"",(VLOOKUP($E174,'D-1 Off Site Habitat Baseline'!$D$1:$O$258,12,FALSE))))</f>
        <v/>
      </c>
      <c r="N174" s="520" t="str">
        <f>IF(E174="","",IF(ISNA(VLOOKUP($E174,'D-1 Off Site Habitat Baseline'!$D$1:$X$258,14,FALSE)),"",(VLOOKUP($E174,'D-1 Off Site Habitat Baseline'!$D$1:$X$258,14,FALSE))))</f>
        <v/>
      </c>
      <c r="O174" s="524" t="str">
        <f>IF(E174="","",IF(ISNA(VLOOKUP($E174,'D-1 Off Site Habitat Baseline'!$D$1:$X$258,13,FALSE)),"",(VLOOKUP($E174,'D-1 Off Site Habitat Baseline'!$D$1:$X$258,13,FALSE))))</f>
        <v/>
      </c>
      <c r="P174" s="232" t="str">
        <f>IFERROR(INDEX('G-1 All Habitats'!$AG$3:$AG$15,MATCH(Q174,'G-1 All Habitats'!$AF$3:$AF$15,0)),"")</f>
        <v/>
      </c>
      <c r="Q174" s="228" t="str">
        <f t="shared" si="34"/>
        <v/>
      </c>
      <c r="R174" s="229" t="str">
        <f t="shared" si="35"/>
        <v/>
      </c>
      <c r="S174" s="233" t="str">
        <f>IFERROR(INDEX('G-1 All Habitats'!$B$3:$B$129,MATCH(R174,'G-1 All Habitats'!$A$3:$A$129,0)),"")</f>
        <v/>
      </c>
      <c r="T174" s="507" t="str">
        <f t="shared" si="27"/>
        <v/>
      </c>
      <c r="U174" s="524" t="str">
        <f t="shared" si="28"/>
        <v/>
      </c>
      <c r="V174" s="523" t="str">
        <f t="shared" si="25"/>
        <v/>
      </c>
      <c r="W174" s="520" t="str">
        <f>IF(S174="","",VLOOKUP(S174,'G-1 All Habitats'!$B$2:$M$129,10,FALSE))</f>
        <v/>
      </c>
      <c r="X174" s="520" t="str">
        <f>IFERROR(VLOOKUP(W174,'G-1 All Habitats'!$V$3:$W$7,2,FALSE),"")</f>
        <v/>
      </c>
      <c r="Y174" s="203"/>
      <c r="Z174" s="524" t="str">
        <f>IFERROR(INDEX('G-8 Condition Look up'!$A$3:$H$130,MATCH(S174,'G-8 Condition Look up'!$A$3:$A$130,0),MATCH(Y174,'G-8 Condition Look up'!$A$3:$H$3,0)),"")</f>
        <v/>
      </c>
      <c r="AA174" s="145"/>
      <c r="AB174" s="540" t="str">
        <f>IF(AA174="","",IF(VLOOKUP(AA174,'G-3 Multipliers'!$L$3:$N$6,2,FALSE)=0,"Spatial Data Missing ⚠",VLOOKUP(AA174,'G-3 Multipliers'!$L$3:$N$6,2,FALSE)))</f>
        <v/>
      </c>
      <c r="AC174" s="524" t="str">
        <f>IF(AA174="","",IF(VLOOKUP(AA174,'G-3 Multipliers'!$L$3:$N$6,3,FALSE)=0,"Spatial Data Missing ⚠",VLOOKUP(AA174,'G-3 Multipliers'!$L$3:$N$6,3,FALSE)))</f>
        <v/>
      </c>
      <c r="AD174" s="537" t="str">
        <f t="shared" si="26"/>
        <v/>
      </c>
      <c r="AE174" s="203"/>
      <c r="AF174" s="203"/>
      <c r="AG174" s="520" t="str">
        <f t="shared" si="29"/>
        <v/>
      </c>
      <c r="AH174" s="544" t="str">
        <f t="shared" si="30"/>
        <v/>
      </c>
      <c r="AI174" s="525" t="str">
        <f>IF(AH174="Check Data ⚠","Check Data ⚠",IFERROR(VLOOKUP(AH174,'G-4 Temporal multipliers'!$A$4:$C$36,3,FALSE),""))</f>
        <v/>
      </c>
      <c r="AJ174" s="537" t="str">
        <f>IF(S174="","",VLOOKUP(S174,'G-3 Multipliers'!$A$2:$E$129,4,FALSE))</f>
        <v/>
      </c>
      <c r="AK174" s="520" t="str">
        <f t="shared" si="31"/>
        <v/>
      </c>
      <c r="AL174" s="520" t="str">
        <f t="shared" si="32"/>
        <v/>
      </c>
      <c r="AM174" s="524" t="str">
        <f>IFERROR(IF(F174="","",IF(AH174="Check Data ⚠","Check Data ⚠",VLOOKUP(AL174, 'G-3 Multipliers'!$P$2:$Q$6,2,FALSE))),"")</f>
        <v/>
      </c>
      <c r="AN174" s="197"/>
      <c r="AO174" s="540" t="str">
        <f>IF(AN174="","",IF(VLOOKUP(AN174,'G-3 Multipliers'!$S$3:$T$9,2,FALSE)=0,"Spatial Data Missing ⚠",VLOOKUP(AN174,'G-3 Multipliers'!$S$3:$T$9,2,FALSE)))</f>
        <v/>
      </c>
      <c r="AP174" s="513" t="str">
        <f t="shared" si="33"/>
        <v/>
      </c>
      <c r="AQ174" s="231"/>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7" t="str">
        <f>'D-1 Off Site Habitat Baseline'!AL174</f>
        <v/>
      </c>
      <c r="F175" s="520" t="str">
        <f>IF(E175="","",IF(ISNA(VLOOKUP($E175,'D-1 Off Site Habitat Baseline'!$D$1:$O$258,4,FALSE)),"",(VLOOKUP($E175,'D-1 Off Site Habitat Baseline'!$D$1:$O$258,4,FALSE))))</f>
        <v/>
      </c>
      <c r="G175" s="520" t="str">
        <f>IF(E175="","",IF(ISNA(VLOOKUP($E175,'D-1 Off Site Habitat Baseline'!$D$1:$O$258,5,FALSE)),"",(VLOOKUP($E175,'D-1 Off Site Habitat Baseline'!$D$1:$O$258,5,FALSE))))</f>
        <v/>
      </c>
      <c r="H175" s="520" t="str">
        <f>IF(E175="","",IF(ISNA(VLOOKUP($E175,'D-1 Off Site Habitat Baseline'!$D$1:$O$258,6,FALSE)),"",(VLOOKUP($E175,'D-1 Off Site Habitat Baseline'!$D$1:$O$258,6,FALSE))))</f>
        <v/>
      </c>
      <c r="I175" s="520" t="str">
        <f>IF(E175="","",IF(ISNA(VLOOKUP($E175,'D-1 Off Site Habitat Baseline'!$D$1:$O$258,7,FALSE)),"",(VLOOKUP($E175,'D-1 Off Site Habitat Baseline'!$D$1:$O$258,7,FALSE))))</f>
        <v/>
      </c>
      <c r="J175" s="520" t="str">
        <f>IF(E175="","",IF(ISNA(VLOOKUP($E175,'D-1 Off Site Habitat Baseline'!$D$1:$O$258,8,FALSE)),"",(VLOOKUP($E175,'D-1 Off Site Habitat Baseline'!$D$1:$O$258,8,FALSE))))</f>
        <v/>
      </c>
      <c r="K175" s="520" t="str">
        <f>IF(E175="","",IF(ISNA(VLOOKUP($E175,'D-1 Off Site Habitat Baseline'!$D$1:$O$258,9,FALSE)),"",(VLOOKUP($E175,'D-1 Off Site Habitat Baseline'!$D$1:$O$258,9,FALSE))))</f>
        <v/>
      </c>
      <c r="L175" s="520" t="str">
        <f>IF(E175="","",IF(ISNA(VLOOKUP($E175,'D-1 Off Site Habitat Baseline'!$D$1:$O$258,11,FALSE)),"",(VLOOKUP($E175,'D-1 Off Site Habitat Baseline'!$D$1:$O$258,11,FALSE))))</f>
        <v/>
      </c>
      <c r="M175" s="520" t="str">
        <f>IF(E175="","",IF(ISNA(VLOOKUP($E175,'D-1 Off Site Habitat Baseline'!$D$1:$O$258,12,FALSE)),"",(VLOOKUP($E175,'D-1 Off Site Habitat Baseline'!$D$1:$O$258,12,FALSE))))</f>
        <v/>
      </c>
      <c r="N175" s="520" t="str">
        <f>IF(E175="","",IF(ISNA(VLOOKUP($E175,'D-1 Off Site Habitat Baseline'!$D$1:$X$258,14,FALSE)),"",(VLOOKUP($E175,'D-1 Off Site Habitat Baseline'!$D$1:$X$258,14,FALSE))))</f>
        <v/>
      </c>
      <c r="O175" s="524" t="str">
        <f>IF(E175="","",IF(ISNA(VLOOKUP($E175,'D-1 Off Site Habitat Baseline'!$D$1:$X$258,13,FALSE)),"",(VLOOKUP($E175,'D-1 Off Site Habitat Baseline'!$D$1:$X$258,13,FALSE))))</f>
        <v/>
      </c>
      <c r="P175" s="232" t="str">
        <f>IFERROR(INDEX('G-1 All Habitats'!$AG$3:$AG$15,MATCH(Q175,'G-1 All Habitats'!$AF$3:$AF$15,0)),"")</f>
        <v/>
      </c>
      <c r="Q175" s="228" t="str">
        <f t="shared" si="34"/>
        <v/>
      </c>
      <c r="R175" s="229" t="str">
        <f t="shared" si="35"/>
        <v/>
      </c>
      <c r="S175" s="233" t="str">
        <f>IFERROR(INDEX('G-1 All Habitats'!$B$3:$B$129,MATCH(R175,'G-1 All Habitats'!$A$3:$A$129,0)),"")</f>
        <v/>
      </c>
      <c r="T175" s="507" t="str">
        <f t="shared" si="27"/>
        <v/>
      </c>
      <c r="U175" s="524" t="str">
        <f t="shared" si="28"/>
        <v/>
      </c>
      <c r="V175" s="523" t="str">
        <f t="shared" si="25"/>
        <v/>
      </c>
      <c r="W175" s="520" t="str">
        <f>IF(S175="","",VLOOKUP(S175,'G-1 All Habitats'!$B$2:$M$129,10,FALSE))</f>
        <v/>
      </c>
      <c r="X175" s="520" t="str">
        <f>IFERROR(VLOOKUP(W175,'G-1 All Habitats'!$V$3:$W$7,2,FALSE),"")</f>
        <v/>
      </c>
      <c r="Y175" s="203"/>
      <c r="Z175" s="524" t="str">
        <f>IFERROR(INDEX('G-8 Condition Look up'!$A$3:$H$130,MATCH(S175,'G-8 Condition Look up'!$A$3:$A$130,0),MATCH(Y175,'G-8 Condition Look up'!$A$3:$H$3,0)),"")</f>
        <v/>
      </c>
      <c r="AA175" s="145"/>
      <c r="AB175" s="540" t="str">
        <f>IF(AA175="","",IF(VLOOKUP(AA175,'G-3 Multipliers'!$L$3:$N$6,2,FALSE)=0,"Spatial Data Missing ⚠",VLOOKUP(AA175,'G-3 Multipliers'!$L$3:$N$6,2,FALSE)))</f>
        <v/>
      </c>
      <c r="AC175" s="524" t="str">
        <f>IF(AA175="","",IF(VLOOKUP(AA175,'G-3 Multipliers'!$L$3:$N$6,3,FALSE)=0,"Spatial Data Missing ⚠",VLOOKUP(AA175,'G-3 Multipliers'!$L$3:$N$6,3,FALSE)))</f>
        <v/>
      </c>
      <c r="AD175" s="537" t="str">
        <f t="shared" si="26"/>
        <v/>
      </c>
      <c r="AE175" s="203"/>
      <c r="AF175" s="203"/>
      <c r="AG175" s="520" t="str">
        <f t="shared" si="29"/>
        <v/>
      </c>
      <c r="AH175" s="544" t="str">
        <f t="shared" si="30"/>
        <v/>
      </c>
      <c r="AI175" s="525" t="str">
        <f>IF(AH175="Check Data ⚠","Check Data ⚠",IFERROR(VLOOKUP(AH175,'G-4 Temporal multipliers'!$A$4:$C$36,3,FALSE),""))</f>
        <v/>
      </c>
      <c r="AJ175" s="537" t="str">
        <f>IF(S175="","",VLOOKUP(S175,'G-3 Multipliers'!$A$2:$E$129,4,FALSE))</f>
        <v/>
      </c>
      <c r="AK175" s="520" t="str">
        <f t="shared" si="31"/>
        <v/>
      </c>
      <c r="AL175" s="520" t="str">
        <f t="shared" si="32"/>
        <v/>
      </c>
      <c r="AM175" s="524" t="str">
        <f>IFERROR(IF(F175="","",IF(AH175="Check Data ⚠","Check Data ⚠",VLOOKUP(AL175, 'G-3 Multipliers'!$P$2:$Q$6,2,FALSE))),"")</f>
        <v/>
      </c>
      <c r="AN175" s="197"/>
      <c r="AO175" s="540" t="str">
        <f>IF(AN175="","",IF(VLOOKUP(AN175,'G-3 Multipliers'!$S$3:$T$9,2,FALSE)=0,"Spatial Data Missing ⚠",VLOOKUP(AN175,'G-3 Multipliers'!$S$3:$T$9,2,FALSE)))</f>
        <v/>
      </c>
      <c r="AP175" s="513" t="str">
        <f t="shared" si="33"/>
        <v/>
      </c>
      <c r="AQ175" s="231"/>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7" t="str">
        <f>'D-1 Off Site Habitat Baseline'!AL175</f>
        <v/>
      </c>
      <c r="F176" s="520" t="str">
        <f>IF(E176="","",IF(ISNA(VLOOKUP($E176,'D-1 Off Site Habitat Baseline'!$D$1:$O$258,4,FALSE)),"",(VLOOKUP($E176,'D-1 Off Site Habitat Baseline'!$D$1:$O$258,4,FALSE))))</f>
        <v/>
      </c>
      <c r="G176" s="520" t="str">
        <f>IF(E176="","",IF(ISNA(VLOOKUP($E176,'D-1 Off Site Habitat Baseline'!$D$1:$O$258,5,FALSE)),"",(VLOOKUP($E176,'D-1 Off Site Habitat Baseline'!$D$1:$O$258,5,FALSE))))</f>
        <v/>
      </c>
      <c r="H176" s="520" t="str">
        <f>IF(E176="","",IF(ISNA(VLOOKUP($E176,'D-1 Off Site Habitat Baseline'!$D$1:$O$258,6,FALSE)),"",(VLOOKUP($E176,'D-1 Off Site Habitat Baseline'!$D$1:$O$258,6,FALSE))))</f>
        <v/>
      </c>
      <c r="I176" s="520" t="str">
        <f>IF(E176="","",IF(ISNA(VLOOKUP($E176,'D-1 Off Site Habitat Baseline'!$D$1:$O$258,7,FALSE)),"",(VLOOKUP($E176,'D-1 Off Site Habitat Baseline'!$D$1:$O$258,7,FALSE))))</f>
        <v/>
      </c>
      <c r="J176" s="520" t="str">
        <f>IF(E176="","",IF(ISNA(VLOOKUP($E176,'D-1 Off Site Habitat Baseline'!$D$1:$O$258,8,FALSE)),"",(VLOOKUP($E176,'D-1 Off Site Habitat Baseline'!$D$1:$O$258,8,FALSE))))</f>
        <v/>
      </c>
      <c r="K176" s="520" t="str">
        <f>IF(E176="","",IF(ISNA(VLOOKUP($E176,'D-1 Off Site Habitat Baseline'!$D$1:$O$258,9,FALSE)),"",(VLOOKUP($E176,'D-1 Off Site Habitat Baseline'!$D$1:$O$258,9,FALSE))))</f>
        <v/>
      </c>
      <c r="L176" s="520" t="str">
        <f>IF(E176="","",IF(ISNA(VLOOKUP($E176,'D-1 Off Site Habitat Baseline'!$D$1:$O$258,11,FALSE)),"",(VLOOKUP($E176,'D-1 Off Site Habitat Baseline'!$D$1:$O$258,11,FALSE))))</f>
        <v/>
      </c>
      <c r="M176" s="520" t="str">
        <f>IF(E176="","",IF(ISNA(VLOOKUP($E176,'D-1 Off Site Habitat Baseline'!$D$1:$O$258,12,FALSE)),"",(VLOOKUP($E176,'D-1 Off Site Habitat Baseline'!$D$1:$O$258,12,FALSE))))</f>
        <v/>
      </c>
      <c r="N176" s="520" t="str">
        <f>IF(E176="","",IF(ISNA(VLOOKUP($E176,'D-1 Off Site Habitat Baseline'!$D$1:$X$258,14,FALSE)),"",(VLOOKUP($E176,'D-1 Off Site Habitat Baseline'!$D$1:$X$258,14,FALSE))))</f>
        <v/>
      </c>
      <c r="O176" s="524" t="str">
        <f>IF(E176="","",IF(ISNA(VLOOKUP($E176,'D-1 Off Site Habitat Baseline'!$D$1:$X$258,13,FALSE)),"",(VLOOKUP($E176,'D-1 Off Site Habitat Baseline'!$D$1:$X$258,13,FALSE))))</f>
        <v/>
      </c>
      <c r="P176" s="232" t="str">
        <f>IFERROR(INDEX('G-1 All Habitats'!$AG$3:$AG$15,MATCH(Q176,'G-1 All Habitats'!$AF$3:$AF$15,0)),"")</f>
        <v/>
      </c>
      <c r="Q176" s="228" t="str">
        <f t="shared" si="34"/>
        <v/>
      </c>
      <c r="R176" s="229" t="str">
        <f t="shared" si="35"/>
        <v/>
      </c>
      <c r="S176" s="233" t="str">
        <f>IFERROR(INDEX('G-1 All Habitats'!$B$3:$B$129,MATCH(R176,'G-1 All Habitats'!$A$3:$A$129,0)),"")</f>
        <v/>
      </c>
      <c r="T176" s="507" t="str">
        <f t="shared" si="27"/>
        <v/>
      </c>
      <c r="U176" s="524" t="str">
        <f t="shared" si="28"/>
        <v/>
      </c>
      <c r="V176" s="523" t="str">
        <f t="shared" si="25"/>
        <v/>
      </c>
      <c r="W176" s="520" t="str">
        <f>IF(S176="","",VLOOKUP(S176,'G-1 All Habitats'!$B$2:$M$129,10,FALSE))</f>
        <v/>
      </c>
      <c r="X176" s="520" t="str">
        <f>IFERROR(VLOOKUP(W176,'G-1 All Habitats'!$V$3:$W$7,2,FALSE),"")</f>
        <v/>
      </c>
      <c r="Y176" s="203"/>
      <c r="Z176" s="524" t="str">
        <f>IFERROR(INDEX('G-8 Condition Look up'!$A$3:$H$130,MATCH(S176,'G-8 Condition Look up'!$A$3:$A$130,0),MATCH(Y176,'G-8 Condition Look up'!$A$3:$H$3,0)),"")</f>
        <v/>
      </c>
      <c r="AA176" s="145"/>
      <c r="AB176" s="540" t="str">
        <f>IF(AA176="","",IF(VLOOKUP(AA176,'G-3 Multipliers'!$L$3:$N$6,2,FALSE)=0,"Spatial Data Missing ⚠",VLOOKUP(AA176,'G-3 Multipliers'!$L$3:$N$6,2,FALSE)))</f>
        <v/>
      </c>
      <c r="AC176" s="524" t="str">
        <f>IF(AA176="","",IF(VLOOKUP(AA176,'G-3 Multipliers'!$L$3:$N$6,3,FALSE)=0,"Spatial Data Missing ⚠",VLOOKUP(AA176,'G-3 Multipliers'!$L$3:$N$6,3,FALSE)))</f>
        <v/>
      </c>
      <c r="AD176" s="537" t="str">
        <f t="shared" si="26"/>
        <v/>
      </c>
      <c r="AE176" s="203"/>
      <c r="AF176" s="203"/>
      <c r="AG176" s="520" t="str">
        <f t="shared" si="29"/>
        <v/>
      </c>
      <c r="AH176" s="544" t="str">
        <f t="shared" si="30"/>
        <v/>
      </c>
      <c r="AI176" s="525" t="str">
        <f>IF(AH176="Check Data ⚠","Check Data ⚠",IFERROR(VLOOKUP(AH176,'G-4 Temporal multipliers'!$A$4:$C$36,3,FALSE),""))</f>
        <v/>
      </c>
      <c r="AJ176" s="537" t="str">
        <f>IF(S176="","",VLOOKUP(S176,'G-3 Multipliers'!$A$2:$E$129,4,FALSE))</f>
        <v/>
      </c>
      <c r="AK176" s="520" t="str">
        <f t="shared" si="31"/>
        <v/>
      </c>
      <c r="AL176" s="520" t="str">
        <f t="shared" si="32"/>
        <v/>
      </c>
      <c r="AM176" s="524" t="str">
        <f>IFERROR(IF(F176="","",IF(AH176="Check Data ⚠","Check Data ⚠",VLOOKUP(AL176, 'G-3 Multipliers'!$P$2:$Q$6,2,FALSE))),"")</f>
        <v/>
      </c>
      <c r="AN176" s="197"/>
      <c r="AO176" s="540" t="str">
        <f>IF(AN176="","",IF(VLOOKUP(AN176,'G-3 Multipliers'!$S$3:$T$9,2,FALSE)=0,"Spatial Data Missing ⚠",VLOOKUP(AN176,'G-3 Multipliers'!$S$3:$T$9,2,FALSE)))</f>
        <v/>
      </c>
      <c r="AP176" s="513" t="str">
        <f t="shared" si="33"/>
        <v/>
      </c>
      <c r="AQ176" s="231"/>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7" t="str">
        <f>'D-1 Off Site Habitat Baseline'!AL176</f>
        <v/>
      </c>
      <c r="F177" s="520" t="str">
        <f>IF(E177="","",IF(ISNA(VLOOKUP($E177,'D-1 Off Site Habitat Baseline'!$D$1:$O$258,4,FALSE)),"",(VLOOKUP($E177,'D-1 Off Site Habitat Baseline'!$D$1:$O$258,4,FALSE))))</f>
        <v/>
      </c>
      <c r="G177" s="520" t="str">
        <f>IF(E177="","",IF(ISNA(VLOOKUP($E177,'D-1 Off Site Habitat Baseline'!$D$1:$O$258,5,FALSE)),"",(VLOOKUP($E177,'D-1 Off Site Habitat Baseline'!$D$1:$O$258,5,FALSE))))</f>
        <v/>
      </c>
      <c r="H177" s="520" t="str">
        <f>IF(E177="","",IF(ISNA(VLOOKUP($E177,'D-1 Off Site Habitat Baseline'!$D$1:$O$258,6,FALSE)),"",(VLOOKUP($E177,'D-1 Off Site Habitat Baseline'!$D$1:$O$258,6,FALSE))))</f>
        <v/>
      </c>
      <c r="I177" s="520" t="str">
        <f>IF(E177="","",IF(ISNA(VLOOKUP($E177,'D-1 Off Site Habitat Baseline'!$D$1:$O$258,7,FALSE)),"",(VLOOKUP($E177,'D-1 Off Site Habitat Baseline'!$D$1:$O$258,7,FALSE))))</f>
        <v/>
      </c>
      <c r="J177" s="520" t="str">
        <f>IF(E177="","",IF(ISNA(VLOOKUP($E177,'D-1 Off Site Habitat Baseline'!$D$1:$O$258,8,FALSE)),"",(VLOOKUP($E177,'D-1 Off Site Habitat Baseline'!$D$1:$O$258,8,FALSE))))</f>
        <v/>
      </c>
      <c r="K177" s="520" t="str">
        <f>IF(E177="","",IF(ISNA(VLOOKUP($E177,'D-1 Off Site Habitat Baseline'!$D$1:$O$258,9,FALSE)),"",(VLOOKUP($E177,'D-1 Off Site Habitat Baseline'!$D$1:$O$258,9,FALSE))))</f>
        <v/>
      </c>
      <c r="L177" s="520" t="str">
        <f>IF(E177="","",IF(ISNA(VLOOKUP($E177,'D-1 Off Site Habitat Baseline'!$D$1:$O$258,11,FALSE)),"",(VLOOKUP($E177,'D-1 Off Site Habitat Baseline'!$D$1:$O$258,11,FALSE))))</f>
        <v/>
      </c>
      <c r="M177" s="520" t="str">
        <f>IF(E177="","",IF(ISNA(VLOOKUP($E177,'D-1 Off Site Habitat Baseline'!$D$1:$O$258,12,FALSE)),"",(VLOOKUP($E177,'D-1 Off Site Habitat Baseline'!$D$1:$O$258,12,FALSE))))</f>
        <v/>
      </c>
      <c r="N177" s="520" t="str">
        <f>IF(E177="","",IF(ISNA(VLOOKUP($E177,'D-1 Off Site Habitat Baseline'!$D$1:$X$258,14,FALSE)),"",(VLOOKUP($E177,'D-1 Off Site Habitat Baseline'!$D$1:$X$258,14,FALSE))))</f>
        <v/>
      </c>
      <c r="O177" s="524" t="str">
        <f>IF(E177="","",IF(ISNA(VLOOKUP($E177,'D-1 Off Site Habitat Baseline'!$D$1:$X$258,13,FALSE)),"",(VLOOKUP($E177,'D-1 Off Site Habitat Baseline'!$D$1:$X$258,13,FALSE))))</f>
        <v/>
      </c>
      <c r="P177" s="232" t="str">
        <f>IFERROR(INDEX('G-1 All Habitats'!$AG$3:$AG$15,MATCH(Q177,'G-1 All Habitats'!$AF$3:$AF$15,0)),"")</f>
        <v/>
      </c>
      <c r="Q177" s="228" t="str">
        <f t="shared" si="34"/>
        <v/>
      </c>
      <c r="R177" s="229" t="str">
        <f t="shared" si="35"/>
        <v/>
      </c>
      <c r="S177" s="233" t="str">
        <f>IFERROR(INDEX('G-1 All Habitats'!$B$3:$B$129,MATCH(R177,'G-1 All Habitats'!$A$3:$A$129,0)),"")</f>
        <v/>
      </c>
      <c r="T177" s="507" t="str">
        <f t="shared" si="27"/>
        <v/>
      </c>
      <c r="U177" s="524" t="str">
        <f t="shared" si="28"/>
        <v/>
      </c>
      <c r="V177" s="523" t="str">
        <f t="shared" si="25"/>
        <v/>
      </c>
      <c r="W177" s="520" t="str">
        <f>IF(S177="","",VLOOKUP(S177,'G-1 All Habitats'!$B$2:$M$129,10,FALSE))</f>
        <v/>
      </c>
      <c r="X177" s="520" t="str">
        <f>IFERROR(VLOOKUP(W177,'G-1 All Habitats'!$V$3:$W$7,2,FALSE),"")</f>
        <v/>
      </c>
      <c r="Y177" s="203"/>
      <c r="Z177" s="524" t="str">
        <f>IFERROR(INDEX('G-8 Condition Look up'!$A$3:$H$130,MATCH(S177,'G-8 Condition Look up'!$A$3:$A$130,0),MATCH(Y177,'G-8 Condition Look up'!$A$3:$H$3,0)),"")</f>
        <v/>
      </c>
      <c r="AA177" s="145"/>
      <c r="AB177" s="540" t="str">
        <f>IF(AA177="","",IF(VLOOKUP(AA177,'G-3 Multipliers'!$L$3:$N$6,2,FALSE)=0,"Spatial Data Missing ⚠",VLOOKUP(AA177,'G-3 Multipliers'!$L$3:$N$6,2,FALSE)))</f>
        <v/>
      </c>
      <c r="AC177" s="524" t="str">
        <f>IF(AA177="","",IF(VLOOKUP(AA177,'G-3 Multipliers'!$L$3:$N$6,3,FALSE)=0,"Spatial Data Missing ⚠",VLOOKUP(AA177,'G-3 Multipliers'!$L$3:$N$6,3,FALSE)))</f>
        <v/>
      </c>
      <c r="AD177" s="537" t="str">
        <f t="shared" si="26"/>
        <v/>
      </c>
      <c r="AE177" s="203"/>
      <c r="AF177" s="203"/>
      <c r="AG177" s="520" t="str">
        <f t="shared" si="29"/>
        <v/>
      </c>
      <c r="AH177" s="544" t="str">
        <f t="shared" si="30"/>
        <v/>
      </c>
      <c r="AI177" s="525" t="str">
        <f>IF(AH177="Check Data ⚠","Check Data ⚠",IFERROR(VLOOKUP(AH177,'G-4 Temporal multipliers'!$A$4:$C$36,3,FALSE),""))</f>
        <v/>
      </c>
      <c r="AJ177" s="537" t="str">
        <f>IF(S177="","",VLOOKUP(S177,'G-3 Multipliers'!$A$2:$E$129,4,FALSE))</f>
        <v/>
      </c>
      <c r="AK177" s="520" t="str">
        <f t="shared" si="31"/>
        <v/>
      </c>
      <c r="AL177" s="520" t="str">
        <f t="shared" si="32"/>
        <v/>
      </c>
      <c r="AM177" s="524" t="str">
        <f>IFERROR(IF(F177="","",IF(AH177="Check Data ⚠","Check Data ⚠",VLOOKUP(AL177, 'G-3 Multipliers'!$P$2:$Q$6,2,FALSE))),"")</f>
        <v/>
      </c>
      <c r="AN177" s="197"/>
      <c r="AO177" s="540" t="str">
        <f>IF(AN177="","",IF(VLOOKUP(AN177,'G-3 Multipliers'!$S$3:$T$9,2,FALSE)=0,"Spatial Data Missing ⚠",VLOOKUP(AN177,'G-3 Multipliers'!$S$3:$T$9,2,FALSE)))</f>
        <v/>
      </c>
      <c r="AP177" s="513" t="str">
        <f t="shared" si="33"/>
        <v/>
      </c>
      <c r="AQ177" s="231"/>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7" t="str">
        <f>'D-1 Off Site Habitat Baseline'!AL177</f>
        <v/>
      </c>
      <c r="F178" s="520" t="str">
        <f>IF(E178="","",IF(ISNA(VLOOKUP($E178,'D-1 Off Site Habitat Baseline'!$D$1:$O$258,4,FALSE)),"",(VLOOKUP($E178,'D-1 Off Site Habitat Baseline'!$D$1:$O$258,4,FALSE))))</f>
        <v/>
      </c>
      <c r="G178" s="520" t="str">
        <f>IF(E178="","",IF(ISNA(VLOOKUP($E178,'D-1 Off Site Habitat Baseline'!$D$1:$O$258,5,FALSE)),"",(VLOOKUP($E178,'D-1 Off Site Habitat Baseline'!$D$1:$O$258,5,FALSE))))</f>
        <v/>
      </c>
      <c r="H178" s="520" t="str">
        <f>IF(E178="","",IF(ISNA(VLOOKUP($E178,'D-1 Off Site Habitat Baseline'!$D$1:$O$258,6,FALSE)),"",(VLOOKUP($E178,'D-1 Off Site Habitat Baseline'!$D$1:$O$258,6,FALSE))))</f>
        <v/>
      </c>
      <c r="I178" s="520" t="str">
        <f>IF(E178="","",IF(ISNA(VLOOKUP($E178,'D-1 Off Site Habitat Baseline'!$D$1:$O$258,7,FALSE)),"",(VLOOKUP($E178,'D-1 Off Site Habitat Baseline'!$D$1:$O$258,7,FALSE))))</f>
        <v/>
      </c>
      <c r="J178" s="520" t="str">
        <f>IF(E178="","",IF(ISNA(VLOOKUP($E178,'D-1 Off Site Habitat Baseline'!$D$1:$O$258,8,FALSE)),"",(VLOOKUP($E178,'D-1 Off Site Habitat Baseline'!$D$1:$O$258,8,FALSE))))</f>
        <v/>
      </c>
      <c r="K178" s="520" t="str">
        <f>IF(E178="","",IF(ISNA(VLOOKUP($E178,'D-1 Off Site Habitat Baseline'!$D$1:$O$258,9,FALSE)),"",(VLOOKUP($E178,'D-1 Off Site Habitat Baseline'!$D$1:$O$258,9,FALSE))))</f>
        <v/>
      </c>
      <c r="L178" s="520" t="str">
        <f>IF(E178="","",IF(ISNA(VLOOKUP($E178,'D-1 Off Site Habitat Baseline'!$D$1:$O$258,11,FALSE)),"",(VLOOKUP($E178,'D-1 Off Site Habitat Baseline'!$D$1:$O$258,11,FALSE))))</f>
        <v/>
      </c>
      <c r="M178" s="520" t="str">
        <f>IF(E178="","",IF(ISNA(VLOOKUP($E178,'D-1 Off Site Habitat Baseline'!$D$1:$O$258,12,FALSE)),"",(VLOOKUP($E178,'D-1 Off Site Habitat Baseline'!$D$1:$O$258,12,FALSE))))</f>
        <v/>
      </c>
      <c r="N178" s="520" t="str">
        <f>IF(E178="","",IF(ISNA(VLOOKUP($E178,'D-1 Off Site Habitat Baseline'!$D$1:$X$258,14,FALSE)),"",(VLOOKUP($E178,'D-1 Off Site Habitat Baseline'!$D$1:$X$258,14,FALSE))))</f>
        <v/>
      </c>
      <c r="O178" s="524" t="str">
        <f>IF(E178="","",IF(ISNA(VLOOKUP($E178,'D-1 Off Site Habitat Baseline'!$D$1:$X$258,13,FALSE)),"",(VLOOKUP($E178,'D-1 Off Site Habitat Baseline'!$D$1:$X$258,13,FALSE))))</f>
        <v/>
      </c>
      <c r="P178" s="232" t="str">
        <f>IFERROR(INDEX('G-1 All Habitats'!$AG$3:$AG$15,MATCH(Q178,'G-1 All Habitats'!$AF$3:$AF$15,0)),"")</f>
        <v/>
      </c>
      <c r="Q178" s="228" t="str">
        <f t="shared" si="34"/>
        <v/>
      </c>
      <c r="R178" s="229" t="str">
        <f t="shared" si="35"/>
        <v/>
      </c>
      <c r="S178" s="233" t="str">
        <f>IFERROR(INDEX('G-1 All Habitats'!$B$3:$B$129,MATCH(R178,'G-1 All Habitats'!$A$3:$A$129,0)),"")</f>
        <v/>
      </c>
      <c r="T178" s="507" t="str">
        <f t="shared" si="27"/>
        <v/>
      </c>
      <c r="U178" s="524" t="str">
        <f t="shared" si="28"/>
        <v/>
      </c>
      <c r="V178" s="523" t="str">
        <f t="shared" si="25"/>
        <v/>
      </c>
      <c r="W178" s="520" t="str">
        <f>IF(S178="","",VLOOKUP(S178,'G-1 All Habitats'!$B$2:$M$129,10,FALSE))</f>
        <v/>
      </c>
      <c r="X178" s="520" t="str">
        <f>IFERROR(VLOOKUP(W178,'G-1 All Habitats'!$V$3:$W$7,2,FALSE),"")</f>
        <v/>
      </c>
      <c r="Y178" s="203"/>
      <c r="Z178" s="524" t="str">
        <f>IFERROR(INDEX('G-8 Condition Look up'!$A$3:$H$130,MATCH(S178,'G-8 Condition Look up'!$A$3:$A$130,0),MATCH(Y178,'G-8 Condition Look up'!$A$3:$H$3,0)),"")</f>
        <v/>
      </c>
      <c r="AA178" s="145"/>
      <c r="AB178" s="540" t="str">
        <f>IF(AA178="","",IF(VLOOKUP(AA178,'G-3 Multipliers'!$L$3:$N$6,2,FALSE)=0,"Spatial Data Missing ⚠",VLOOKUP(AA178,'G-3 Multipliers'!$L$3:$N$6,2,FALSE)))</f>
        <v/>
      </c>
      <c r="AC178" s="524" t="str">
        <f>IF(AA178="","",IF(VLOOKUP(AA178,'G-3 Multipliers'!$L$3:$N$6,3,FALSE)=0,"Spatial Data Missing ⚠",VLOOKUP(AA178,'G-3 Multipliers'!$L$3:$N$6,3,FALSE)))</f>
        <v/>
      </c>
      <c r="AD178" s="537" t="str">
        <f t="shared" si="26"/>
        <v/>
      </c>
      <c r="AE178" s="203"/>
      <c r="AF178" s="203"/>
      <c r="AG178" s="520" t="str">
        <f t="shared" si="29"/>
        <v/>
      </c>
      <c r="AH178" s="544" t="str">
        <f t="shared" si="30"/>
        <v/>
      </c>
      <c r="AI178" s="525" t="str">
        <f>IF(AH178="Check Data ⚠","Check Data ⚠",IFERROR(VLOOKUP(AH178,'G-4 Temporal multipliers'!$A$4:$C$36,3,FALSE),""))</f>
        <v/>
      </c>
      <c r="AJ178" s="537" t="str">
        <f>IF(S178="","",VLOOKUP(S178,'G-3 Multipliers'!$A$2:$E$129,4,FALSE))</f>
        <v/>
      </c>
      <c r="AK178" s="520" t="str">
        <f t="shared" si="31"/>
        <v/>
      </c>
      <c r="AL178" s="520" t="str">
        <f t="shared" si="32"/>
        <v/>
      </c>
      <c r="AM178" s="524" t="str">
        <f>IFERROR(IF(F178="","",IF(AH178="Check Data ⚠","Check Data ⚠",VLOOKUP(AL178, 'G-3 Multipliers'!$P$2:$Q$6,2,FALSE))),"")</f>
        <v/>
      </c>
      <c r="AN178" s="197"/>
      <c r="AO178" s="540" t="str">
        <f>IF(AN178="","",IF(VLOOKUP(AN178,'G-3 Multipliers'!$S$3:$T$9,2,FALSE)=0,"Spatial Data Missing ⚠",VLOOKUP(AN178,'G-3 Multipliers'!$S$3:$T$9,2,FALSE)))</f>
        <v/>
      </c>
      <c r="AP178" s="513" t="str">
        <f t="shared" si="33"/>
        <v/>
      </c>
      <c r="AQ178" s="231"/>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7" t="str">
        <f>'D-1 Off Site Habitat Baseline'!AL178</f>
        <v/>
      </c>
      <c r="F179" s="520" t="str">
        <f>IF(E179="","",IF(ISNA(VLOOKUP($E179,'D-1 Off Site Habitat Baseline'!$D$1:$O$258,4,FALSE)),"",(VLOOKUP($E179,'D-1 Off Site Habitat Baseline'!$D$1:$O$258,4,FALSE))))</f>
        <v/>
      </c>
      <c r="G179" s="520" t="str">
        <f>IF(E179="","",IF(ISNA(VLOOKUP($E179,'D-1 Off Site Habitat Baseline'!$D$1:$O$258,5,FALSE)),"",(VLOOKUP($E179,'D-1 Off Site Habitat Baseline'!$D$1:$O$258,5,FALSE))))</f>
        <v/>
      </c>
      <c r="H179" s="520" t="str">
        <f>IF(E179="","",IF(ISNA(VLOOKUP($E179,'D-1 Off Site Habitat Baseline'!$D$1:$O$258,6,FALSE)),"",(VLOOKUP($E179,'D-1 Off Site Habitat Baseline'!$D$1:$O$258,6,FALSE))))</f>
        <v/>
      </c>
      <c r="I179" s="520" t="str">
        <f>IF(E179="","",IF(ISNA(VLOOKUP($E179,'D-1 Off Site Habitat Baseline'!$D$1:$O$258,7,FALSE)),"",(VLOOKUP($E179,'D-1 Off Site Habitat Baseline'!$D$1:$O$258,7,FALSE))))</f>
        <v/>
      </c>
      <c r="J179" s="520" t="str">
        <f>IF(E179="","",IF(ISNA(VLOOKUP($E179,'D-1 Off Site Habitat Baseline'!$D$1:$O$258,8,FALSE)),"",(VLOOKUP($E179,'D-1 Off Site Habitat Baseline'!$D$1:$O$258,8,FALSE))))</f>
        <v/>
      </c>
      <c r="K179" s="520" t="str">
        <f>IF(E179="","",IF(ISNA(VLOOKUP($E179,'D-1 Off Site Habitat Baseline'!$D$1:$O$258,9,FALSE)),"",(VLOOKUP($E179,'D-1 Off Site Habitat Baseline'!$D$1:$O$258,9,FALSE))))</f>
        <v/>
      </c>
      <c r="L179" s="520" t="str">
        <f>IF(E179="","",IF(ISNA(VLOOKUP($E179,'D-1 Off Site Habitat Baseline'!$D$1:$O$258,11,FALSE)),"",(VLOOKUP($E179,'D-1 Off Site Habitat Baseline'!$D$1:$O$258,11,FALSE))))</f>
        <v/>
      </c>
      <c r="M179" s="520" t="str">
        <f>IF(E179="","",IF(ISNA(VLOOKUP($E179,'D-1 Off Site Habitat Baseline'!$D$1:$O$258,12,FALSE)),"",(VLOOKUP($E179,'D-1 Off Site Habitat Baseline'!$D$1:$O$258,12,FALSE))))</f>
        <v/>
      </c>
      <c r="N179" s="520" t="str">
        <f>IF(E179="","",IF(ISNA(VLOOKUP($E179,'D-1 Off Site Habitat Baseline'!$D$1:$X$258,14,FALSE)),"",(VLOOKUP($E179,'D-1 Off Site Habitat Baseline'!$D$1:$X$258,14,FALSE))))</f>
        <v/>
      </c>
      <c r="O179" s="524" t="str">
        <f>IF(E179="","",IF(ISNA(VLOOKUP($E179,'D-1 Off Site Habitat Baseline'!$D$1:$X$258,13,FALSE)),"",(VLOOKUP($E179,'D-1 Off Site Habitat Baseline'!$D$1:$X$258,13,FALSE))))</f>
        <v/>
      </c>
      <c r="P179" s="232" t="str">
        <f>IFERROR(INDEX('G-1 All Habitats'!$AG$3:$AG$15,MATCH(Q179,'G-1 All Habitats'!$AF$3:$AF$15,0)),"")</f>
        <v/>
      </c>
      <c r="Q179" s="228" t="str">
        <f t="shared" si="34"/>
        <v/>
      </c>
      <c r="R179" s="229" t="str">
        <f t="shared" si="35"/>
        <v/>
      </c>
      <c r="S179" s="233" t="str">
        <f>IFERROR(INDEX('G-1 All Habitats'!$B$3:$B$129,MATCH(R179,'G-1 All Habitats'!$A$3:$A$129,0)),"")</f>
        <v/>
      </c>
      <c r="T179" s="507" t="str">
        <f t="shared" si="27"/>
        <v/>
      </c>
      <c r="U179" s="524" t="str">
        <f t="shared" si="28"/>
        <v/>
      </c>
      <c r="V179" s="523" t="str">
        <f t="shared" si="25"/>
        <v/>
      </c>
      <c r="W179" s="520" t="str">
        <f>IF(S179="","",VLOOKUP(S179,'G-1 All Habitats'!$B$2:$M$129,10,FALSE))</f>
        <v/>
      </c>
      <c r="X179" s="520" t="str">
        <f>IFERROR(VLOOKUP(W179,'G-1 All Habitats'!$V$3:$W$7,2,FALSE),"")</f>
        <v/>
      </c>
      <c r="Y179" s="203"/>
      <c r="Z179" s="524" t="str">
        <f>IFERROR(INDEX('G-8 Condition Look up'!$A$3:$H$130,MATCH(S179,'G-8 Condition Look up'!$A$3:$A$130,0),MATCH(Y179,'G-8 Condition Look up'!$A$3:$H$3,0)),"")</f>
        <v/>
      </c>
      <c r="AA179" s="145"/>
      <c r="AB179" s="540" t="str">
        <f>IF(AA179="","",IF(VLOOKUP(AA179,'G-3 Multipliers'!$L$3:$N$6,2,FALSE)=0,"Spatial Data Missing ⚠",VLOOKUP(AA179,'G-3 Multipliers'!$L$3:$N$6,2,FALSE)))</f>
        <v/>
      </c>
      <c r="AC179" s="524" t="str">
        <f>IF(AA179="","",IF(VLOOKUP(AA179,'G-3 Multipliers'!$L$3:$N$6,3,FALSE)=0,"Spatial Data Missing ⚠",VLOOKUP(AA179,'G-3 Multipliers'!$L$3:$N$6,3,FALSE)))</f>
        <v/>
      </c>
      <c r="AD179" s="537" t="str">
        <f t="shared" si="26"/>
        <v/>
      </c>
      <c r="AE179" s="203"/>
      <c r="AF179" s="203"/>
      <c r="AG179" s="520" t="str">
        <f t="shared" si="29"/>
        <v/>
      </c>
      <c r="AH179" s="544" t="str">
        <f t="shared" si="30"/>
        <v/>
      </c>
      <c r="AI179" s="525" t="str">
        <f>IF(AH179="Check Data ⚠","Check Data ⚠",IFERROR(VLOOKUP(AH179,'G-4 Temporal multipliers'!$A$4:$C$36,3,FALSE),""))</f>
        <v/>
      </c>
      <c r="AJ179" s="537" t="str">
        <f>IF(S179="","",VLOOKUP(S179,'G-3 Multipliers'!$A$2:$E$129,4,FALSE))</f>
        <v/>
      </c>
      <c r="AK179" s="520" t="str">
        <f t="shared" si="31"/>
        <v/>
      </c>
      <c r="AL179" s="520" t="str">
        <f t="shared" si="32"/>
        <v/>
      </c>
      <c r="AM179" s="524" t="str">
        <f>IFERROR(IF(F179="","",IF(AH179="Check Data ⚠","Check Data ⚠",VLOOKUP(AL179, 'G-3 Multipliers'!$P$2:$Q$6,2,FALSE))),"")</f>
        <v/>
      </c>
      <c r="AN179" s="197"/>
      <c r="AO179" s="540" t="str">
        <f>IF(AN179="","",IF(VLOOKUP(AN179,'G-3 Multipliers'!$S$3:$T$9,2,FALSE)=0,"Spatial Data Missing ⚠",VLOOKUP(AN179,'G-3 Multipliers'!$S$3:$T$9,2,FALSE)))</f>
        <v/>
      </c>
      <c r="AP179" s="513" t="str">
        <f t="shared" si="33"/>
        <v/>
      </c>
      <c r="AQ179" s="231"/>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7" t="str">
        <f>'D-1 Off Site Habitat Baseline'!AL179</f>
        <v/>
      </c>
      <c r="F180" s="520" t="str">
        <f>IF(E180="","",IF(ISNA(VLOOKUP($E180,'D-1 Off Site Habitat Baseline'!$D$1:$O$258,4,FALSE)),"",(VLOOKUP($E180,'D-1 Off Site Habitat Baseline'!$D$1:$O$258,4,FALSE))))</f>
        <v/>
      </c>
      <c r="G180" s="520" t="str">
        <f>IF(E180="","",IF(ISNA(VLOOKUP($E180,'D-1 Off Site Habitat Baseline'!$D$1:$O$258,5,FALSE)),"",(VLOOKUP($E180,'D-1 Off Site Habitat Baseline'!$D$1:$O$258,5,FALSE))))</f>
        <v/>
      </c>
      <c r="H180" s="520" t="str">
        <f>IF(E180="","",IF(ISNA(VLOOKUP($E180,'D-1 Off Site Habitat Baseline'!$D$1:$O$258,6,FALSE)),"",(VLOOKUP($E180,'D-1 Off Site Habitat Baseline'!$D$1:$O$258,6,FALSE))))</f>
        <v/>
      </c>
      <c r="I180" s="520" t="str">
        <f>IF(E180="","",IF(ISNA(VLOOKUP($E180,'D-1 Off Site Habitat Baseline'!$D$1:$O$258,7,FALSE)),"",(VLOOKUP($E180,'D-1 Off Site Habitat Baseline'!$D$1:$O$258,7,FALSE))))</f>
        <v/>
      </c>
      <c r="J180" s="520" t="str">
        <f>IF(E180="","",IF(ISNA(VLOOKUP($E180,'D-1 Off Site Habitat Baseline'!$D$1:$O$258,8,FALSE)),"",(VLOOKUP($E180,'D-1 Off Site Habitat Baseline'!$D$1:$O$258,8,FALSE))))</f>
        <v/>
      </c>
      <c r="K180" s="520" t="str">
        <f>IF(E180="","",IF(ISNA(VLOOKUP($E180,'D-1 Off Site Habitat Baseline'!$D$1:$O$258,9,FALSE)),"",(VLOOKUP($E180,'D-1 Off Site Habitat Baseline'!$D$1:$O$258,9,FALSE))))</f>
        <v/>
      </c>
      <c r="L180" s="520" t="str">
        <f>IF(E180="","",IF(ISNA(VLOOKUP($E180,'D-1 Off Site Habitat Baseline'!$D$1:$O$258,11,FALSE)),"",(VLOOKUP($E180,'D-1 Off Site Habitat Baseline'!$D$1:$O$258,11,FALSE))))</f>
        <v/>
      </c>
      <c r="M180" s="520" t="str">
        <f>IF(E180="","",IF(ISNA(VLOOKUP($E180,'D-1 Off Site Habitat Baseline'!$D$1:$O$258,12,FALSE)),"",(VLOOKUP($E180,'D-1 Off Site Habitat Baseline'!$D$1:$O$258,12,FALSE))))</f>
        <v/>
      </c>
      <c r="N180" s="520" t="str">
        <f>IF(E180="","",IF(ISNA(VLOOKUP($E180,'D-1 Off Site Habitat Baseline'!$D$1:$X$258,14,FALSE)),"",(VLOOKUP($E180,'D-1 Off Site Habitat Baseline'!$D$1:$X$258,14,FALSE))))</f>
        <v/>
      </c>
      <c r="O180" s="524" t="str">
        <f>IF(E180="","",IF(ISNA(VLOOKUP($E180,'D-1 Off Site Habitat Baseline'!$D$1:$X$258,13,FALSE)),"",(VLOOKUP($E180,'D-1 Off Site Habitat Baseline'!$D$1:$X$258,13,FALSE))))</f>
        <v/>
      </c>
      <c r="P180" s="232" t="str">
        <f>IFERROR(INDEX('G-1 All Habitats'!$AG$3:$AG$15,MATCH(Q180,'G-1 All Habitats'!$AF$3:$AF$15,0)),"")</f>
        <v/>
      </c>
      <c r="Q180" s="228" t="str">
        <f t="shared" si="34"/>
        <v/>
      </c>
      <c r="R180" s="229" t="str">
        <f t="shared" si="35"/>
        <v/>
      </c>
      <c r="S180" s="233" t="str">
        <f>IFERROR(INDEX('G-1 All Habitats'!$B$3:$B$129,MATCH(R180,'G-1 All Habitats'!$A$3:$A$129,0)),"")</f>
        <v/>
      </c>
      <c r="T180" s="507" t="str">
        <f t="shared" si="27"/>
        <v/>
      </c>
      <c r="U180" s="524" t="str">
        <f t="shared" si="28"/>
        <v/>
      </c>
      <c r="V180" s="523" t="str">
        <f t="shared" si="25"/>
        <v/>
      </c>
      <c r="W180" s="520" t="str">
        <f>IF(S180="","",VLOOKUP(S180,'G-1 All Habitats'!$B$2:$M$129,10,FALSE))</f>
        <v/>
      </c>
      <c r="X180" s="520" t="str">
        <f>IFERROR(VLOOKUP(W180,'G-1 All Habitats'!$V$3:$W$7,2,FALSE),"")</f>
        <v/>
      </c>
      <c r="Y180" s="203"/>
      <c r="Z180" s="524" t="str">
        <f>IFERROR(INDEX('G-8 Condition Look up'!$A$3:$H$130,MATCH(S180,'G-8 Condition Look up'!$A$3:$A$130,0),MATCH(Y180,'G-8 Condition Look up'!$A$3:$H$3,0)),"")</f>
        <v/>
      </c>
      <c r="AA180" s="145"/>
      <c r="AB180" s="540" t="str">
        <f>IF(AA180="","",IF(VLOOKUP(AA180,'G-3 Multipliers'!$L$3:$N$6,2,FALSE)=0,"Spatial Data Missing ⚠",VLOOKUP(AA180,'G-3 Multipliers'!$L$3:$N$6,2,FALSE)))</f>
        <v/>
      </c>
      <c r="AC180" s="524" t="str">
        <f>IF(AA180="","",IF(VLOOKUP(AA180,'G-3 Multipliers'!$L$3:$N$6,3,FALSE)=0,"Spatial Data Missing ⚠",VLOOKUP(AA180,'G-3 Multipliers'!$L$3:$N$6,3,FALSE)))</f>
        <v/>
      </c>
      <c r="AD180" s="537" t="str">
        <f t="shared" si="26"/>
        <v/>
      </c>
      <c r="AE180" s="203"/>
      <c r="AF180" s="203"/>
      <c r="AG180" s="520" t="str">
        <f t="shared" si="29"/>
        <v/>
      </c>
      <c r="AH180" s="544" t="str">
        <f t="shared" si="30"/>
        <v/>
      </c>
      <c r="AI180" s="525" t="str">
        <f>IF(AH180="Check Data ⚠","Check Data ⚠",IFERROR(VLOOKUP(AH180,'G-4 Temporal multipliers'!$A$4:$C$36,3,FALSE),""))</f>
        <v/>
      </c>
      <c r="AJ180" s="537" t="str">
        <f>IF(S180="","",VLOOKUP(S180,'G-3 Multipliers'!$A$2:$E$129,4,FALSE))</f>
        <v/>
      </c>
      <c r="AK180" s="520" t="str">
        <f t="shared" si="31"/>
        <v/>
      </c>
      <c r="AL180" s="520" t="str">
        <f t="shared" si="32"/>
        <v/>
      </c>
      <c r="AM180" s="524" t="str">
        <f>IFERROR(IF(F180="","",IF(AH180="Check Data ⚠","Check Data ⚠",VLOOKUP(AL180, 'G-3 Multipliers'!$P$2:$Q$6,2,FALSE))),"")</f>
        <v/>
      </c>
      <c r="AN180" s="197"/>
      <c r="AO180" s="540" t="str">
        <f>IF(AN180="","",IF(VLOOKUP(AN180,'G-3 Multipliers'!$S$3:$T$9,2,FALSE)=0,"Spatial Data Missing ⚠",VLOOKUP(AN180,'G-3 Multipliers'!$S$3:$T$9,2,FALSE)))</f>
        <v/>
      </c>
      <c r="AP180" s="513" t="str">
        <f t="shared" si="33"/>
        <v/>
      </c>
      <c r="AQ180" s="231"/>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7" t="str">
        <f>'D-1 Off Site Habitat Baseline'!AL180</f>
        <v/>
      </c>
      <c r="F181" s="520" t="str">
        <f>IF(E181="","",IF(ISNA(VLOOKUP($E181,'D-1 Off Site Habitat Baseline'!$D$1:$O$258,4,FALSE)),"",(VLOOKUP($E181,'D-1 Off Site Habitat Baseline'!$D$1:$O$258,4,FALSE))))</f>
        <v/>
      </c>
      <c r="G181" s="520" t="str">
        <f>IF(E181="","",IF(ISNA(VLOOKUP($E181,'D-1 Off Site Habitat Baseline'!$D$1:$O$258,5,FALSE)),"",(VLOOKUP($E181,'D-1 Off Site Habitat Baseline'!$D$1:$O$258,5,FALSE))))</f>
        <v/>
      </c>
      <c r="H181" s="520" t="str">
        <f>IF(E181="","",IF(ISNA(VLOOKUP($E181,'D-1 Off Site Habitat Baseline'!$D$1:$O$258,6,FALSE)),"",(VLOOKUP($E181,'D-1 Off Site Habitat Baseline'!$D$1:$O$258,6,FALSE))))</f>
        <v/>
      </c>
      <c r="I181" s="520" t="str">
        <f>IF(E181="","",IF(ISNA(VLOOKUP($E181,'D-1 Off Site Habitat Baseline'!$D$1:$O$258,7,FALSE)),"",(VLOOKUP($E181,'D-1 Off Site Habitat Baseline'!$D$1:$O$258,7,FALSE))))</f>
        <v/>
      </c>
      <c r="J181" s="520" t="str">
        <f>IF(E181="","",IF(ISNA(VLOOKUP($E181,'D-1 Off Site Habitat Baseline'!$D$1:$O$258,8,FALSE)),"",(VLOOKUP($E181,'D-1 Off Site Habitat Baseline'!$D$1:$O$258,8,FALSE))))</f>
        <v/>
      </c>
      <c r="K181" s="520" t="str">
        <f>IF(E181="","",IF(ISNA(VLOOKUP($E181,'D-1 Off Site Habitat Baseline'!$D$1:$O$258,9,FALSE)),"",(VLOOKUP($E181,'D-1 Off Site Habitat Baseline'!$D$1:$O$258,9,FALSE))))</f>
        <v/>
      </c>
      <c r="L181" s="520" t="str">
        <f>IF(E181="","",IF(ISNA(VLOOKUP($E181,'D-1 Off Site Habitat Baseline'!$D$1:$O$258,11,FALSE)),"",(VLOOKUP($E181,'D-1 Off Site Habitat Baseline'!$D$1:$O$258,11,FALSE))))</f>
        <v/>
      </c>
      <c r="M181" s="520" t="str">
        <f>IF(E181="","",IF(ISNA(VLOOKUP($E181,'D-1 Off Site Habitat Baseline'!$D$1:$O$258,12,FALSE)),"",(VLOOKUP($E181,'D-1 Off Site Habitat Baseline'!$D$1:$O$258,12,FALSE))))</f>
        <v/>
      </c>
      <c r="N181" s="520" t="str">
        <f>IF(E181="","",IF(ISNA(VLOOKUP($E181,'D-1 Off Site Habitat Baseline'!$D$1:$X$258,14,FALSE)),"",(VLOOKUP($E181,'D-1 Off Site Habitat Baseline'!$D$1:$X$258,14,FALSE))))</f>
        <v/>
      </c>
      <c r="O181" s="524" t="str">
        <f>IF(E181="","",IF(ISNA(VLOOKUP($E181,'D-1 Off Site Habitat Baseline'!$D$1:$X$258,13,FALSE)),"",(VLOOKUP($E181,'D-1 Off Site Habitat Baseline'!$D$1:$X$258,13,FALSE))))</f>
        <v/>
      </c>
      <c r="P181" s="232" t="str">
        <f>IFERROR(INDEX('G-1 All Habitats'!$AG$3:$AG$15,MATCH(Q181,'G-1 All Habitats'!$AF$3:$AF$15,0)),"")</f>
        <v/>
      </c>
      <c r="Q181" s="228" t="str">
        <f t="shared" si="34"/>
        <v/>
      </c>
      <c r="R181" s="229" t="str">
        <f t="shared" si="35"/>
        <v/>
      </c>
      <c r="S181" s="233" t="str">
        <f>IFERROR(INDEX('G-1 All Habitats'!$B$3:$B$129,MATCH(R181,'G-1 All Habitats'!$A$3:$A$129,0)),"")</f>
        <v/>
      </c>
      <c r="T181" s="507" t="str">
        <f t="shared" si="27"/>
        <v/>
      </c>
      <c r="U181" s="524" t="str">
        <f t="shared" si="28"/>
        <v/>
      </c>
      <c r="V181" s="523" t="str">
        <f t="shared" si="25"/>
        <v/>
      </c>
      <c r="W181" s="520" t="str">
        <f>IF(S181="","",VLOOKUP(S181,'G-1 All Habitats'!$B$2:$M$129,10,FALSE))</f>
        <v/>
      </c>
      <c r="X181" s="520" t="str">
        <f>IFERROR(VLOOKUP(W181,'G-1 All Habitats'!$V$3:$W$7,2,FALSE),"")</f>
        <v/>
      </c>
      <c r="Y181" s="203"/>
      <c r="Z181" s="524" t="str">
        <f>IFERROR(INDEX('G-8 Condition Look up'!$A$3:$H$130,MATCH(S181,'G-8 Condition Look up'!$A$3:$A$130,0),MATCH(Y181,'G-8 Condition Look up'!$A$3:$H$3,0)),"")</f>
        <v/>
      </c>
      <c r="AA181" s="145"/>
      <c r="AB181" s="540" t="str">
        <f>IF(AA181="","",IF(VLOOKUP(AA181,'G-3 Multipliers'!$L$3:$N$6,2,FALSE)=0,"Spatial Data Missing ⚠",VLOOKUP(AA181,'G-3 Multipliers'!$L$3:$N$6,2,FALSE)))</f>
        <v/>
      </c>
      <c r="AC181" s="524" t="str">
        <f>IF(AA181="","",IF(VLOOKUP(AA181,'G-3 Multipliers'!$L$3:$N$6,3,FALSE)=0,"Spatial Data Missing ⚠",VLOOKUP(AA181,'G-3 Multipliers'!$L$3:$N$6,3,FALSE)))</f>
        <v/>
      </c>
      <c r="AD181" s="537" t="str">
        <f t="shared" si="26"/>
        <v/>
      </c>
      <c r="AE181" s="203"/>
      <c r="AF181" s="203"/>
      <c r="AG181" s="520" t="str">
        <f t="shared" si="29"/>
        <v/>
      </c>
      <c r="AH181" s="544" t="str">
        <f t="shared" si="30"/>
        <v/>
      </c>
      <c r="AI181" s="525" t="str">
        <f>IF(AH181="Check Data ⚠","Check Data ⚠",IFERROR(VLOOKUP(AH181,'G-4 Temporal multipliers'!$A$4:$C$36,3,FALSE),""))</f>
        <v/>
      </c>
      <c r="AJ181" s="537" t="str">
        <f>IF(S181="","",VLOOKUP(S181,'G-3 Multipliers'!$A$2:$E$129,4,FALSE))</f>
        <v/>
      </c>
      <c r="AK181" s="520" t="str">
        <f t="shared" si="31"/>
        <v/>
      </c>
      <c r="AL181" s="520" t="str">
        <f t="shared" si="32"/>
        <v/>
      </c>
      <c r="AM181" s="524" t="str">
        <f>IFERROR(IF(F181="","",IF(AH181="Check Data ⚠","Check Data ⚠",VLOOKUP(AL181, 'G-3 Multipliers'!$P$2:$Q$6,2,FALSE))),"")</f>
        <v/>
      </c>
      <c r="AN181" s="197"/>
      <c r="AO181" s="540" t="str">
        <f>IF(AN181="","",IF(VLOOKUP(AN181,'G-3 Multipliers'!$S$3:$T$9,2,FALSE)=0,"Spatial Data Missing ⚠",VLOOKUP(AN181,'G-3 Multipliers'!$S$3:$T$9,2,FALSE)))</f>
        <v/>
      </c>
      <c r="AP181" s="513" t="str">
        <f t="shared" si="33"/>
        <v/>
      </c>
      <c r="AQ181" s="231"/>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7" t="str">
        <f>'D-1 Off Site Habitat Baseline'!AL181</f>
        <v/>
      </c>
      <c r="F182" s="520" t="str">
        <f>IF(E182="","",IF(ISNA(VLOOKUP($E182,'D-1 Off Site Habitat Baseline'!$D$1:$O$258,4,FALSE)),"",(VLOOKUP($E182,'D-1 Off Site Habitat Baseline'!$D$1:$O$258,4,FALSE))))</f>
        <v/>
      </c>
      <c r="G182" s="520" t="str">
        <f>IF(E182="","",IF(ISNA(VLOOKUP($E182,'D-1 Off Site Habitat Baseline'!$D$1:$O$258,5,FALSE)),"",(VLOOKUP($E182,'D-1 Off Site Habitat Baseline'!$D$1:$O$258,5,FALSE))))</f>
        <v/>
      </c>
      <c r="H182" s="520" t="str">
        <f>IF(E182="","",IF(ISNA(VLOOKUP($E182,'D-1 Off Site Habitat Baseline'!$D$1:$O$258,6,FALSE)),"",(VLOOKUP($E182,'D-1 Off Site Habitat Baseline'!$D$1:$O$258,6,FALSE))))</f>
        <v/>
      </c>
      <c r="I182" s="520" t="str">
        <f>IF(E182="","",IF(ISNA(VLOOKUP($E182,'D-1 Off Site Habitat Baseline'!$D$1:$O$258,7,FALSE)),"",(VLOOKUP($E182,'D-1 Off Site Habitat Baseline'!$D$1:$O$258,7,FALSE))))</f>
        <v/>
      </c>
      <c r="J182" s="520" t="str">
        <f>IF(E182="","",IF(ISNA(VLOOKUP($E182,'D-1 Off Site Habitat Baseline'!$D$1:$O$258,8,FALSE)),"",(VLOOKUP($E182,'D-1 Off Site Habitat Baseline'!$D$1:$O$258,8,FALSE))))</f>
        <v/>
      </c>
      <c r="K182" s="520" t="str">
        <f>IF(E182="","",IF(ISNA(VLOOKUP($E182,'D-1 Off Site Habitat Baseline'!$D$1:$O$258,9,FALSE)),"",(VLOOKUP($E182,'D-1 Off Site Habitat Baseline'!$D$1:$O$258,9,FALSE))))</f>
        <v/>
      </c>
      <c r="L182" s="520" t="str">
        <f>IF(E182="","",IF(ISNA(VLOOKUP($E182,'D-1 Off Site Habitat Baseline'!$D$1:$O$258,11,FALSE)),"",(VLOOKUP($E182,'D-1 Off Site Habitat Baseline'!$D$1:$O$258,11,FALSE))))</f>
        <v/>
      </c>
      <c r="M182" s="520" t="str">
        <f>IF(E182="","",IF(ISNA(VLOOKUP($E182,'D-1 Off Site Habitat Baseline'!$D$1:$O$258,12,FALSE)),"",(VLOOKUP($E182,'D-1 Off Site Habitat Baseline'!$D$1:$O$258,12,FALSE))))</f>
        <v/>
      </c>
      <c r="N182" s="520" t="str">
        <f>IF(E182="","",IF(ISNA(VLOOKUP($E182,'D-1 Off Site Habitat Baseline'!$D$1:$X$258,14,FALSE)),"",(VLOOKUP($E182,'D-1 Off Site Habitat Baseline'!$D$1:$X$258,14,FALSE))))</f>
        <v/>
      </c>
      <c r="O182" s="524" t="str">
        <f>IF(E182="","",IF(ISNA(VLOOKUP($E182,'D-1 Off Site Habitat Baseline'!$D$1:$X$258,13,FALSE)),"",(VLOOKUP($E182,'D-1 Off Site Habitat Baseline'!$D$1:$X$258,13,FALSE))))</f>
        <v/>
      </c>
      <c r="P182" s="232" t="str">
        <f>IFERROR(INDEX('G-1 All Habitats'!$AG$3:$AG$15,MATCH(Q182,'G-1 All Habitats'!$AF$3:$AF$15,0)),"")</f>
        <v/>
      </c>
      <c r="Q182" s="228" t="str">
        <f t="shared" si="34"/>
        <v/>
      </c>
      <c r="R182" s="229" t="str">
        <f t="shared" si="35"/>
        <v/>
      </c>
      <c r="S182" s="233" t="str">
        <f>IFERROR(INDEX('G-1 All Habitats'!$B$3:$B$129,MATCH(R182,'G-1 All Habitats'!$A$3:$A$129,0)),"")</f>
        <v/>
      </c>
      <c r="T182" s="507" t="str">
        <f t="shared" si="27"/>
        <v/>
      </c>
      <c r="U182" s="524" t="str">
        <f t="shared" si="28"/>
        <v/>
      </c>
      <c r="V182" s="523" t="str">
        <f t="shared" si="25"/>
        <v/>
      </c>
      <c r="W182" s="520" t="str">
        <f>IF(S182="","",VLOOKUP(S182,'G-1 All Habitats'!$B$2:$M$129,10,FALSE))</f>
        <v/>
      </c>
      <c r="X182" s="520" t="str">
        <f>IFERROR(VLOOKUP(W182,'G-1 All Habitats'!$V$3:$W$7,2,FALSE),"")</f>
        <v/>
      </c>
      <c r="Y182" s="203"/>
      <c r="Z182" s="524" t="str">
        <f>IFERROR(INDEX('G-8 Condition Look up'!$A$3:$H$130,MATCH(S182,'G-8 Condition Look up'!$A$3:$A$130,0),MATCH(Y182,'G-8 Condition Look up'!$A$3:$H$3,0)),"")</f>
        <v/>
      </c>
      <c r="AA182" s="145"/>
      <c r="AB182" s="540" t="str">
        <f>IF(AA182="","",IF(VLOOKUP(AA182,'G-3 Multipliers'!$L$3:$N$6,2,FALSE)=0,"Spatial Data Missing ⚠",VLOOKUP(AA182,'G-3 Multipliers'!$L$3:$N$6,2,FALSE)))</f>
        <v/>
      </c>
      <c r="AC182" s="524" t="str">
        <f>IF(AA182="","",IF(VLOOKUP(AA182,'G-3 Multipliers'!$L$3:$N$6,3,FALSE)=0,"Spatial Data Missing ⚠",VLOOKUP(AA182,'G-3 Multipliers'!$L$3:$N$6,3,FALSE)))</f>
        <v/>
      </c>
      <c r="AD182" s="537" t="str">
        <f t="shared" si="26"/>
        <v/>
      </c>
      <c r="AE182" s="203"/>
      <c r="AF182" s="203"/>
      <c r="AG182" s="520" t="str">
        <f t="shared" si="29"/>
        <v/>
      </c>
      <c r="AH182" s="544" t="str">
        <f t="shared" si="30"/>
        <v/>
      </c>
      <c r="AI182" s="525" t="str">
        <f>IF(AH182="Check Data ⚠","Check Data ⚠",IFERROR(VLOOKUP(AH182,'G-4 Temporal multipliers'!$A$4:$C$36,3,FALSE),""))</f>
        <v/>
      </c>
      <c r="AJ182" s="537" t="str">
        <f>IF(S182="","",VLOOKUP(S182,'G-3 Multipliers'!$A$2:$E$129,4,FALSE))</f>
        <v/>
      </c>
      <c r="AK182" s="520" t="str">
        <f t="shared" si="31"/>
        <v/>
      </c>
      <c r="AL182" s="520" t="str">
        <f t="shared" si="32"/>
        <v/>
      </c>
      <c r="AM182" s="524" t="str">
        <f>IFERROR(IF(F182="","",IF(AH182="Check Data ⚠","Check Data ⚠",VLOOKUP(AL182, 'G-3 Multipliers'!$P$2:$Q$6,2,FALSE))),"")</f>
        <v/>
      </c>
      <c r="AN182" s="197"/>
      <c r="AO182" s="540" t="str">
        <f>IF(AN182="","",IF(VLOOKUP(AN182,'G-3 Multipliers'!$S$3:$T$9,2,FALSE)=0,"Spatial Data Missing ⚠",VLOOKUP(AN182,'G-3 Multipliers'!$S$3:$T$9,2,FALSE)))</f>
        <v/>
      </c>
      <c r="AP182" s="513" t="str">
        <f t="shared" si="33"/>
        <v/>
      </c>
      <c r="AQ182" s="231"/>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7" t="str">
        <f>'D-1 Off Site Habitat Baseline'!AL182</f>
        <v/>
      </c>
      <c r="F183" s="520" t="str">
        <f>IF(E183="","",IF(ISNA(VLOOKUP($E183,'D-1 Off Site Habitat Baseline'!$D$1:$O$258,4,FALSE)),"",(VLOOKUP($E183,'D-1 Off Site Habitat Baseline'!$D$1:$O$258,4,FALSE))))</f>
        <v/>
      </c>
      <c r="G183" s="520" t="str">
        <f>IF(E183="","",IF(ISNA(VLOOKUP($E183,'D-1 Off Site Habitat Baseline'!$D$1:$O$258,5,FALSE)),"",(VLOOKUP($E183,'D-1 Off Site Habitat Baseline'!$D$1:$O$258,5,FALSE))))</f>
        <v/>
      </c>
      <c r="H183" s="520" t="str">
        <f>IF(E183="","",IF(ISNA(VLOOKUP($E183,'D-1 Off Site Habitat Baseline'!$D$1:$O$258,6,FALSE)),"",(VLOOKUP($E183,'D-1 Off Site Habitat Baseline'!$D$1:$O$258,6,FALSE))))</f>
        <v/>
      </c>
      <c r="I183" s="520" t="str">
        <f>IF(E183="","",IF(ISNA(VLOOKUP($E183,'D-1 Off Site Habitat Baseline'!$D$1:$O$258,7,FALSE)),"",(VLOOKUP($E183,'D-1 Off Site Habitat Baseline'!$D$1:$O$258,7,FALSE))))</f>
        <v/>
      </c>
      <c r="J183" s="520" t="str">
        <f>IF(E183="","",IF(ISNA(VLOOKUP($E183,'D-1 Off Site Habitat Baseline'!$D$1:$O$258,8,FALSE)),"",(VLOOKUP($E183,'D-1 Off Site Habitat Baseline'!$D$1:$O$258,8,FALSE))))</f>
        <v/>
      </c>
      <c r="K183" s="520" t="str">
        <f>IF(E183="","",IF(ISNA(VLOOKUP($E183,'D-1 Off Site Habitat Baseline'!$D$1:$O$258,9,FALSE)),"",(VLOOKUP($E183,'D-1 Off Site Habitat Baseline'!$D$1:$O$258,9,FALSE))))</f>
        <v/>
      </c>
      <c r="L183" s="520" t="str">
        <f>IF(E183="","",IF(ISNA(VLOOKUP($E183,'D-1 Off Site Habitat Baseline'!$D$1:$O$258,11,FALSE)),"",(VLOOKUP($E183,'D-1 Off Site Habitat Baseline'!$D$1:$O$258,11,FALSE))))</f>
        <v/>
      </c>
      <c r="M183" s="520" t="str">
        <f>IF(E183="","",IF(ISNA(VLOOKUP($E183,'D-1 Off Site Habitat Baseline'!$D$1:$O$258,12,FALSE)),"",(VLOOKUP($E183,'D-1 Off Site Habitat Baseline'!$D$1:$O$258,12,FALSE))))</f>
        <v/>
      </c>
      <c r="N183" s="520" t="str">
        <f>IF(E183="","",IF(ISNA(VLOOKUP($E183,'D-1 Off Site Habitat Baseline'!$D$1:$X$258,14,FALSE)),"",(VLOOKUP($E183,'D-1 Off Site Habitat Baseline'!$D$1:$X$258,14,FALSE))))</f>
        <v/>
      </c>
      <c r="O183" s="524" t="str">
        <f>IF(E183="","",IF(ISNA(VLOOKUP($E183,'D-1 Off Site Habitat Baseline'!$D$1:$X$258,13,FALSE)),"",(VLOOKUP($E183,'D-1 Off Site Habitat Baseline'!$D$1:$X$258,13,FALSE))))</f>
        <v/>
      </c>
      <c r="P183" s="232" t="str">
        <f>IFERROR(INDEX('G-1 All Habitats'!$AG$3:$AG$15,MATCH(Q183,'G-1 All Habitats'!$AF$3:$AF$15,0)),"")</f>
        <v/>
      </c>
      <c r="Q183" s="228" t="str">
        <f t="shared" si="34"/>
        <v/>
      </c>
      <c r="R183" s="229" t="str">
        <f t="shared" si="35"/>
        <v/>
      </c>
      <c r="S183" s="233" t="str">
        <f>IFERROR(INDEX('G-1 All Habitats'!$B$3:$B$129,MATCH(R183,'G-1 All Habitats'!$A$3:$A$129,0)),"")</f>
        <v/>
      </c>
      <c r="T183" s="507" t="str">
        <f t="shared" si="27"/>
        <v/>
      </c>
      <c r="U183" s="524" t="str">
        <f t="shared" si="28"/>
        <v/>
      </c>
      <c r="V183" s="523" t="str">
        <f t="shared" si="25"/>
        <v/>
      </c>
      <c r="W183" s="520" t="str">
        <f>IF(S183="","",VLOOKUP(S183,'G-1 All Habitats'!$B$2:$M$129,10,FALSE))</f>
        <v/>
      </c>
      <c r="X183" s="520" t="str">
        <f>IFERROR(VLOOKUP(W183,'G-1 All Habitats'!$V$3:$W$7,2,FALSE),"")</f>
        <v/>
      </c>
      <c r="Y183" s="203"/>
      <c r="Z183" s="524" t="str">
        <f>IFERROR(INDEX('G-8 Condition Look up'!$A$3:$H$130,MATCH(S183,'G-8 Condition Look up'!$A$3:$A$130,0),MATCH(Y183,'G-8 Condition Look up'!$A$3:$H$3,0)),"")</f>
        <v/>
      </c>
      <c r="AA183" s="145"/>
      <c r="AB183" s="540" t="str">
        <f>IF(AA183="","",IF(VLOOKUP(AA183,'G-3 Multipliers'!$L$3:$N$6,2,FALSE)=0,"Spatial Data Missing ⚠",VLOOKUP(AA183,'G-3 Multipliers'!$L$3:$N$6,2,FALSE)))</f>
        <v/>
      </c>
      <c r="AC183" s="524" t="str">
        <f>IF(AA183="","",IF(VLOOKUP(AA183,'G-3 Multipliers'!$L$3:$N$6,3,FALSE)=0,"Spatial Data Missing ⚠",VLOOKUP(AA183,'G-3 Multipliers'!$L$3:$N$6,3,FALSE)))</f>
        <v/>
      </c>
      <c r="AD183" s="537" t="str">
        <f t="shared" si="26"/>
        <v/>
      </c>
      <c r="AE183" s="203"/>
      <c r="AF183" s="203"/>
      <c r="AG183" s="520" t="str">
        <f t="shared" si="29"/>
        <v/>
      </c>
      <c r="AH183" s="544" t="str">
        <f t="shared" si="30"/>
        <v/>
      </c>
      <c r="AI183" s="525" t="str">
        <f>IF(AH183="Check Data ⚠","Check Data ⚠",IFERROR(VLOOKUP(AH183,'G-4 Temporal multipliers'!$A$4:$C$36,3,FALSE),""))</f>
        <v/>
      </c>
      <c r="AJ183" s="537" t="str">
        <f>IF(S183="","",VLOOKUP(S183,'G-3 Multipliers'!$A$2:$E$129,4,FALSE))</f>
        <v/>
      </c>
      <c r="AK183" s="520" t="str">
        <f t="shared" si="31"/>
        <v/>
      </c>
      <c r="AL183" s="520" t="str">
        <f t="shared" si="32"/>
        <v/>
      </c>
      <c r="AM183" s="524" t="str">
        <f>IFERROR(IF(F183="","",IF(AH183="Check Data ⚠","Check Data ⚠",VLOOKUP(AL183, 'G-3 Multipliers'!$P$2:$Q$6,2,FALSE))),"")</f>
        <v/>
      </c>
      <c r="AN183" s="197"/>
      <c r="AO183" s="540" t="str">
        <f>IF(AN183="","",IF(VLOOKUP(AN183,'G-3 Multipliers'!$S$3:$T$9,2,FALSE)=0,"Spatial Data Missing ⚠",VLOOKUP(AN183,'G-3 Multipliers'!$S$3:$T$9,2,FALSE)))</f>
        <v/>
      </c>
      <c r="AP183" s="513" t="str">
        <f t="shared" si="33"/>
        <v/>
      </c>
      <c r="AQ183" s="231"/>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7" t="str">
        <f>'D-1 Off Site Habitat Baseline'!AL183</f>
        <v/>
      </c>
      <c r="F184" s="520" t="str">
        <f>IF(E184="","",IF(ISNA(VLOOKUP($E184,'D-1 Off Site Habitat Baseline'!$D$1:$O$258,4,FALSE)),"",(VLOOKUP($E184,'D-1 Off Site Habitat Baseline'!$D$1:$O$258,4,FALSE))))</f>
        <v/>
      </c>
      <c r="G184" s="520" t="str">
        <f>IF(E184="","",IF(ISNA(VLOOKUP($E184,'D-1 Off Site Habitat Baseline'!$D$1:$O$258,5,FALSE)),"",(VLOOKUP($E184,'D-1 Off Site Habitat Baseline'!$D$1:$O$258,5,FALSE))))</f>
        <v/>
      </c>
      <c r="H184" s="520" t="str">
        <f>IF(E184="","",IF(ISNA(VLOOKUP($E184,'D-1 Off Site Habitat Baseline'!$D$1:$O$258,6,FALSE)),"",(VLOOKUP($E184,'D-1 Off Site Habitat Baseline'!$D$1:$O$258,6,FALSE))))</f>
        <v/>
      </c>
      <c r="I184" s="520" t="str">
        <f>IF(E184="","",IF(ISNA(VLOOKUP($E184,'D-1 Off Site Habitat Baseline'!$D$1:$O$258,7,FALSE)),"",(VLOOKUP($E184,'D-1 Off Site Habitat Baseline'!$D$1:$O$258,7,FALSE))))</f>
        <v/>
      </c>
      <c r="J184" s="520" t="str">
        <f>IF(E184="","",IF(ISNA(VLOOKUP($E184,'D-1 Off Site Habitat Baseline'!$D$1:$O$258,8,FALSE)),"",(VLOOKUP($E184,'D-1 Off Site Habitat Baseline'!$D$1:$O$258,8,FALSE))))</f>
        <v/>
      </c>
      <c r="K184" s="520" t="str">
        <f>IF(E184="","",IF(ISNA(VLOOKUP($E184,'D-1 Off Site Habitat Baseline'!$D$1:$O$258,9,FALSE)),"",(VLOOKUP($E184,'D-1 Off Site Habitat Baseline'!$D$1:$O$258,9,FALSE))))</f>
        <v/>
      </c>
      <c r="L184" s="520" t="str">
        <f>IF(E184="","",IF(ISNA(VLOOKUP($E184,'D-1 Off Site Habitat Baseline'!$D$1:$O$258,11,FALSE)),"",(VLOOKUP($E184,'D-1 Off Site Habitat Baseline'!$D$1:$O$258,11,FALSE))))</f>
        <v/>
      </c>
      <c r="M184" s="520" t="str">
        <f>IF(E184="","",IF(ISNA(VLOOKUP($E184,'D-1 Off Site Habitat Baseline'!$D$1:$O$258,12,FALSE)),"",(VLOOKUP($E184,'D-1 Off Site Habitat Baseline'!$D$1:$O$258,12,FALSE))))</f>
        <v/>
      </c>
      <c r="N184" s="520" t="str">
        <f>IF(E184="","",IF(ISNA(VLOOKUP($E184,'D-1 Off Site Habitat Baseline'!$D$1:$X$258,14,FALSE)),"",(VLOOKUP($E184,'D-1 Off Site Habitat Baseline'!$D$1:$X$258,14,FALSE))))</f>
        <v/>
      </c>
      <c r="O184" s="524" t="str">
        <f>IF(E184="","",IF(ISNA(VLOOKUP($E184,'D-1 Off Site Habitat Baseline'!$D$1:$X$258,13,FALSE)),"",(VLOOKUP($E184,'D-1 Off Site Habitat Baseline'!$D$1:$X$258,13,FALSE))))</f>
        <v/>
      </c>
      <c r="P184" s="232" t="str">
        <f>IFERROR(INDEX('G-1 All Habitats'!$AG$3:$AG$15,MATCH(Q184,'G-1 All Habitats'!$AF$3:$AF$15,0)),"")</f>
        <v/>
      </c>
      <c r="Q184" s="228" t="str">
        <f t="shared" si="34"/>
        <v/>
      </c>
      <c r="R184" s="229" t="str">
        <f t="shared" si="35"/>
        <v/>
      </c>
      <c r="S184" s="233" t="str">
        <f>IFERROR(INDEX('G-1 All Habitats'!$B$3:$B$129,MATCH(R184,'G-1 All Habitats'!$A$3:$A$129,0)),"")</f>
        <v/>
      </c>
      <c r="T184" s="507" t="str">
        <f t="shared" si="27"/>
        <v/>
      </c>
      <c r="U184" s="524" t="str">
        <f t="shared" si="28"/>
        <v/>
      </c>
      <c r="V184" s="523" t="str">
        <f t="shared" si="25"/>
        <v/>
      </c>
      <c r="W184" s="520" t="str">
        <f>IF(S184="","",VLOOKUP(S184,'G-1 All Habitats'!$B$2:$M$129,10,FALSE))</f>
        <v/>
      </c>
      <c r="X184" s="520" t="str">
        <f>IFERROR(VLOOKUP(W184,'G-1 All Habitats'!$V$3:$W$7,2,FALSE),"")</f>
        <v/>
      </c>
      <c r="Y184" s="203"/>
      <c r="Z184" s="524" t="str">
        <f>IFERROR(INDEX('G-8 Condition Look up'!$A$3:$H$130,MATCH(S184,'G-8 Condition Look up'!$A$3:$A$130,0),MATCH(Y184,'G-8 Condition Look up'!$A$3:$H$3,0)),"")</f>
        <v/>
      </c>
      <c r="AA184" s="145"/>
      <c r="AB184" s="540" t="str">
        <f>IF(AA184="","",IF(VLOOKUP(AA184,'G-3 Multipliers'!$L$3:$N$6,2,FALSE)=0,"Spatial Data Missing ⚠",VLOOKUP(AA184,'G-3 Multipliers'!$L$3:$N$6,2,FALSE)))</f>
        <v/>
      </c>
      <c r="AC184" s="524" t="str">
        <f>IF(AA184="","",IF(VLOOKUP(AA184,'G-3 Multipliers'!$L$3:$N$6,3,FALSE)=0,"Spatial Data Missing ⚠",VLOOKUP(AA184,'G-3 Multipliers'!$L$3:$N$6,3,FALSE)))</f>
        <v/>
      </c>
      <c r="AD184" s="537" t="str">
        <f t="shared" si="26"/>
        <v/>
      </c>
      <c r="AE184" s="203"/>
      <c r="AF184" s="203"/>
      <c r="AG184" s="520" t="str">
        <f t="shared" si="29"/>
        <v/>
      </c>
      <c r="AH184" s="544" t="str">
        <f t="shared" si="30"/>
        <v/>
      </c>
      <c r="AI184" s="525" t="str">
        <f>IF(AH184="Check Data ⚠","Check Data ⚠",IFERROR(VLOOKUP(AH184,'G-4 Temporal multipliers'!$A$4:$C$36,3,FALSE),""))</f>
        <v/>
      </c>
      <c r="AJ184" s="537" t="str">
        <f>IF(S184="","",VLOOKUP(S184,'G-3 Multipliers'!$A$2:$E$129,4,FALSE))</f>
        <v/>
      </c>
      <c r="AK184" s="520" t="str">
        <f t="shared" si="31"/>
        <v/>
      </c>
      <c r="AL184" s="520" t="str">
        <f t="shared" si="32"/>
        <v/>
      </c>
      <c r="AM184" s="524" t="str">
        <f>IFERROR(IF(F184="","",IF(AH184="Check Data ⚠","Check Data ⚠",VLOOKUP(AL184, 'G-3 Multipliers'!$P$2:$Q$6,2,FALSE))),"")</f>
        <v/>
      </c>
      <c r="AN184" s="197"/>
      <c r="AO184" s="540" t="str">
        <f>IF(AN184="","",IF(VLOOKUP(AN184,'G-3 Multipliers'!$S$3:$T$9,2,FALSE)=0,"Spatial Data Missing ⚠",VLOOKUP(AN184,'G-3 Multipliers'!$S$3:$T$9,2,FALSE)))</f>
        <v/>
      </c>
      <c r="AP184" s="513" t="str">
        <f t="shared" si="33"/>
        <v/>
      </c>
      <c r="AQ184" s="231"/>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7" t="str">
        <f>'D-1 Off Site Habitat Baseline'!AL184</f>
        <v/>
      </c>
      <c r="F185" s="520" t="str">
        <f>IF(E185="","",IF(ISNA(VLOOKUP($E185,'D-1 Off Site Habitat Baseline'!$D$1:$O$258,4,FALSE)),"",(VLOOKUP($E185,'D-1 Off Site Habitat Baseline'!$D$1:$O$258,4,FALSE))))</f>
        <v/>
      </c>
      <c r="G185" s="520" t="str">
        <f>IF(E185="","",IF(ISNA(VLOOKUP($E185,'D-1 Off Site Habitat Baseline'!$D$1:$O$258,5,FALSE)),"",(VLOOKUP($E185,'D-1 Off Site Habitat Baseline'!$D$1:$O$258,5,FALSE))))</f>
        <v/>
      </c>
      <c r="H185" s="520" t="str">
        <f>IF(E185="","",IF(ISNA(VLOOKUP($E185,'D-1 Off Site Habitat Baseline'!$D$1:$O$258,6,FALSE)),"",(VLOOKUP($E185,'D-1 Off Site Habitat Baseline'!$D$1:$O$258,6,FALSE))))</f>
        <v/>
      </c>
      <c r="I185" s="520" t="str">
        <f>IF(E185="","",IF(ISNA(VLOOKUP($E185,'D-1 Off Site Habitat Baseline'!$D$1:$O$258,7,FALSE)),"",(VLOOKUP($E185,'D-1 Off Site Habitat Baseline'!$D$1:$O$258,7,FALSE))))</f>
        <v/>
      </c>
      <c r="J185" s="520" t="str">
        <f>IF(E185="","",IF(ISNA(VLOOKUP($E185,'D-1 Off Site Habitat Baseline'!$D$1:$O$258,8,FALSE)),"",(VLOOKUP($E185,'D-1 Off Site Habitat Baseline'!$D$1:$O$258,8,FALSE))))</f>
        <v/>
      </c>
      <c r="K185" s="520" t="str">
        <f>IF(E185="","",IF(ISNA(VLOOKUP($E185,'D-1 Off Site Habitat Baseline'!$D$1:$O$258,9,FALSE)),"",(VLOOKUP($E185,'D-1 Off Site Habitat Baseline'!$D$1:$O$258,9,FALSE))))</f>
        <v/>
      </c>
      <c r="L185" s="520" t="str">
        <f>IF(E185="","",IF(ISNA(VLOOKUP($E185,'D-1 Off Site Habitat Baseline'!$D$1:$O$258,11,FALSE)),"",(VLOOKUP($E185,'D-1 Off Site Habitat Baseline'!$D$1:$O$258,11,FALSE))))</f>
        <v/>
      </c>
      <c r="M185" s="520" t="str">
        <f>IF(E185="","",IF(ISNA(VLOOKUP($E185,'D-1 Off Site Habitat Baseline'!$D$1:$O$258,12,FALSE)),"",(VLOOKUP($E185,'D-1 Off Site Habitat Baseline'!$D$1:$O$258,12,FALSE))))</f>
        <v/>
      </c>
      <c r="N185" s="520" t="str">
        <f>IF(E185="","",IF(ISNA(VLOOKUP($E185,'D-1 Off Site Habitat Baseline'!$D$1:$X$258,14,FALSE)),"",(VLOOKUP($E185,'D-1 Off Site Habitat Baseline'!$D$1:$X$258,14,FALSE))))</f>
        <v/>
      </c>
      <c r="O185" s="524" t="str">
        <f>IF(E185="","",IF(ISNA(VLOOKUP($E185,'D-1 Off Site Habitat Baseline'!$D$1:$X$258,13,FALSE)),"",(VLOOKUP($E185,'D-1 Off Site Habitat Baseline'!$D$1:$X$258,13,FALSE))))</f>
        <v/>
      </c>
      <c r="P185" s="232" t="str">
        <f>IFERROR(INDEX('G-1 All Habitats'!$AG$3:$AG$15,MATCH(Q185,'G-1 All Habitats'!$AF$3:$AF$15,0)),"")</f>
        <v/>
      </c>
      <c r="Q185" s="228" t="str">
        <f t="shared" si="34"/>
        <v/>
      </c>
      <c r="R185" s="229" t="str">
        <f t="shared" si="35"/>
        <v/>
      </c>
      <c r="S185" s="233" t="str">
        <f>IFERROR(INDEX('G-1 All Habitats'!$B$3:$B$129,MATCH(R185,'G-1 All Habitats'!$A$3:$A$129,0)),"")</f>
        <v/>
      </c>
      <c r="T185" s="507" t="str">
        <f t="shared" si="27"/>
        <v/>
      </c>
      <c r="U185" s="524" t="str">
        <f t="shared" si="28"/>
        <v/>
      </c>
      <c r="V185" s="523" t="str">
        <f t="shared" si="25"/>
        <v/>
      </c>
      <c r="W185" s="520" t="str">
        <f>IF(S185="","",VLOOKUP(S185,'G-1 All Habitats'!$B$2:$M$129,10,FALSE))</f>
        <v/>
      </c>
      <c r="X185" s="520" t="str">
        <f>IFERROR(VLOOKUP(W185,'G-1 All Habitats'!$V$3:$W$7,2,FALSE),"")</f>
        <v/>
      </c>
      <c r="Y185" s="203"/>
      <c r="Z185" s="524" t="str">
        <f>IFERROR(INDEX('G-8 Condition Look up'!$A$3:$H$130,MATCH(S185,'G-8 Condition Look up'!$A$3:$A$130,0),MATCH(Y185,'G-8 Condition Look up'!$A$3:$H$3,0)),"")</f>
        <v/>
      </c>
      <c r="AA185" s="145"/>
      <c r="AB185" s="540" t="str">
        <f>IF(AA185="","",IF(VLOOKUP(AA185,'G-3 Multipliers'!$L$3:$N$6,2,FALSE)=0,"Spatial Data Missing ⚠",VLOOKUP(AA185,'G-3 Multipliers'!$L$3:$N$6,2,FALSE)))</f>
        <v/>
      </c>
      <c r="AC185" s="524" t="str">
        <f>IF(AA185="","",IF(VLOOKUP(AA185,'G-3 Multipliers'!$L$3:$N$6,3,FALSE)=0,"Spatial Data Missing ⚠",VLOOKUP(AA185,'G-3 Multipliers'!$L$3:$N$6,3,FALSE)))</f>
        <v/>
      </c>
      <c r="AD185" s="537" t="str">
        <f t="shared" si="26"/>
        <v/>
      </c>
      <c r="AE185" s="203"/>
      <c r="AF185" s="203"/>
      <c r="AG185" s="520" t="str">
        <f t="shared" si="29"/>
        <v/>
      </c>
      <c r="AH185" s="544" t="str">
        <f t="shared" si="30"/>
        <v/>
      </c>
      <c r="AI185" s="525" t="str">
        <f>IF(AH185="Check Data ⚠","Check Data ⚠",IFERROR(VLOOKUP(AH185,'G-4 Temporal multipliers'!$A$4:$C$36,3,FALSE),""))</f>
        <v/>
      </c>
      <c r="AJ185" s="537" t="str">
        <f>IF(S185="","",VLOOKUP(S185,'G-3 Multipliers'!$A$2:$E$129,4,FALSE))</f>
        <v/>
      </c>
      <c r="AK185" s="520" t="str">
        <f t="shared" si="31"/>
        <v/>
      </c>
      <c r="AL185" s="520" t="str">
        <f t="shared" si="32"/>
        <v/>
      </c>
      <c r="AM185" s="524" t="str">
        <f>IFERROR(IF(F185="","",IF(AH185="Check Data ⚠","Check Data ⚠",VLOOKUP(AL185, 'G-3 Multipliers'!$P$2:$Q$6,2,FALSE))),"")</f>
        <v/>
      </c>
      <c r="AN185" s="197"/>
      <c r="AO185" s="540" t="str">
        <f>IF(AN185="","",IF(VLOOKUP(AN185,'G-3 Multipliers'!$S$3:$T$9,2,FALSE)=0,"Spatial Data Missing ⚠",VLOOKUP(AN185,'G-3 Multipliers'!$S$3:$T$9,2,FALSE)))</f>
        <v/>
      </c>
      <c r="AP185" s="513" t="str">
        <f t="shared" si="33"/>
        <v/>
      </c>
      <c r="AQ185" s="231"/>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7" t="str">
        <f>'D-1 Off Site Habitat Baseline'!AL185</f>
        <v/>
      </c>
      <c r="F186" s="520" t="str">
        <f>IF(E186="","",IF(ISNA(VLOOKUP($E186,'D-1 Off Site Habitat Baseline'!$D$1:$O$258,4,FALSE)),"",(VLOOKUP($E186,'D-1 Off Site Habitat Baseline'!$D$1:$O$258,4,FALSE))))</f>
        <v/>
      </c>
      <c r="G186" s="520" t="str">
        <f>IF(E186="","",IF(ISNA(VLOOKUP($E186,'D-1 Off Site Habitat Baseline'!$D$1:$O$258,5,FALSE)),"",(VLOOKUP($E186,'D-1 Off Site Habitat Baseline'!$D$1:$O$258,5,FALSE))))</f>
        <v/>
      </c>
      <c r="H186" s="520" t="str">
        <f>IF(E186="","",IF(ISNA(VLOOKUP($E186,'D-1 Off Site Habitat Baseline'!$D$1:$O$258,6,FALSE)),"",(VLOOKUP($E186,'D-1 Off Site Habitat Baseline'!$D$1:$O$258,6,FALSE))))</f>
        <v/>
      </c>
      <c r="I186" s="520" t="str">
        <f>IF(E186="","",IF(ISNA(VLOOKUP($E186,'D-1 Off Site Habitat Baseline'!$D$1:$O$258,7,FALSE)),"",(VLOOKUP($E186,'D-1 Off Site Habitat Baseline'!$D$1:$O$258,7,FALSE))))</f>
        <v/>
      </c>
      <c r="J186" s="520" t="str">
        <f>IF(E186="","",IF(ISNA(VLOOKUP($E186,'D-1 Off Site Habitat Baseline'!$D$1:$O$258,8,FALSE)),"",(VLOOKUP($E186,'D-1 Off Site Habitat Baseline'!$D$1:$O$258,8,FALSE))))</f>
        <v/>
      </c>
      <c r="K186" s="520" t="str">
        <f>IF(E186="","",IF(ISNA(VLOOKUP($E186,'D-1 Off Site Habitat Baseline'!$D$1:$O$258,9,FALSE)),"",(VLOOKUP($E186,'D-1 Off Site Habitat Baseline'!$D$1:$O$258,9,FALSE))))</f>
        <v/>
      </c>
      <c r="L186" s="520" t="str">
        <f>IF(E186="","",IF(ISNA(VLOOKUP($E186,'D-1 Off Site Habitat Baseline'!$D$1:$O$258,11,FALSE)),"",(VLOOKUP($E186,'D-1 Off Site Habitat Baseline'!$D$1:$O$258,11,FALSE))))</f>
        <v/>
      </c>
      <c r="M186" s="520" t="str">
        <f>IF(E186="","",IF(ISNA(VLOOKUP($E186,'D-1 Off Site Habitat Baseline'!$D$1:$O$258,12,FALSE)),"",(VLOOKUP($E186,'D-1 Off Site Habitat Baseline'!$D$1:$O$258,12,FALSE))))</f>
        <v/>
      </c>
      <c r="N186" s="520" t="str">
        <f>IF(E186="","",IF(ISNA(VLOOKUP($E186,'D-1 Off Site Habitat Baseline'!$D$1:$X$258,14,FALSE)),"",(VLOOKUP($E186,'D-1 Off Site Habitat Baseline'!$D$1:$X$258,14,FALSE))))</f>
        <v/>
      </c>
      <c r="O186" s="524" t="str">
        <f>IF(E186="","",IF(ISNA(VLOOKUP($E186,'D-1 Off Site Habitat Baseline'!$D$1:$X$258,13,FALSE)),"",(VLOOKUP($E186,'D-1 Off Site Habitat Baseline'!$D$1:$X$258,13,FALSE))))</f>
        <v/>
      </c>
      <c r="P186" s="232" t="str">
        <f>IFERROR(INDEX('G-1 All Habitats'!$AG$3:$AG$15,MATCH(Q186,'G-1 All Habitats'!$AF$3:$AF$15,0)),"")</f>
        <v/>
      </c>
      <c r="Q186" s="228" t="str">
        <f t="shared" si="34"/>
        <v/>
      </c>
      <c r="R186" s="229" t="str">
        <f t="shared" si="35"/>
        <v/>
      </c>
      <c r="S186" s="233" t="str">
        <f>IFERROR(INDEX('G-1 All Habitats'!$B$3:$B$129,MATCH(R186,'G-1 All Habitats'!$A$3:$A$129,0)),"")</f>
        <v/>
      </c>
      <c r="T186" s="507" t="str">
        <f t="shared" si="27"/>
        <v/>
      </c>
      <c r="U186" s="524" t="str">
        <f t="shared" si="28"/>
        <v/>
      </c>
      <c r="V186" s="523" t="str">
        <f t="shared" si="25"/>
        <v/>
      </c>
      <c r="W186" s="520" t="str">
        <f>IF(S186="","",VLOOKUP(S186,'G-1 All Habitats'!$B$2:$M$129,10,FALSE))</f>
        <v/>
      </c>
      <c r="X186" s="520" t="str">
        <f>IFERROR(VLOOKUP(W186,'G-1 All Habitats'!$V$3:$W$7,2,FALSE),"")</f>
        <v/>
      </c>
      <c r="Y186" s="203"/>
      <c r="Z186" s="524" t="str">
        <f>IFERROR(INDEX('G-8 Condition Look up'!$A$3:$H$130,MATCH(S186,'G-8 Condition Look up'!$A$3:$A$130,0),MATCH(Y186,'G-8 Condition Look up'!$A$3:$H$3,0)),"")</f>
        <v/>
      </c>
      <c r="AA186" s="145"/>
      <c r="AB186" s="540" t="str">
        <f>IF(AA186="","",IF(VLOOKUP(AA186,'G-3 Multipliers'!$L$3:$N$6,2,FALSE)=0,"Spatial Data Missing ⚠",VLOOKUP(AA186,'G-3 Multipliers'!$L$3:$N$6,2,FALSE)))</f>
        <v/>
      </c>
      <c r="AC186" s="524" t="str">
        <f>IF(AA186="","",IF(VLOOKUP(AA186,'G-3 Multipliers'!$L$3:$N$6,3,FALSE)=0,"Spatial Data Missing ⚠",VLOOKUP(AA186,'G-3 Multipliers'!$L$3:$N$6,3,FALSE)))</f>
        <v/>
      </c>
      <c r="AD186" s="537" t="str">
        <f t="shared" si="26"/>
        <v/>
      </c>
      <c r="AE186" s="203"/>
      <c r="AF186" s="203"/>
      <c r="AG186" s="520" t="str">
        <f t="shared" si="29"/>
        <v/>
      </c>
      <c r="AH186" s="544" t="str">
        <f t="shared" si="30"/>
        <v/>
      </c>
      <c r="AI186" s="525" t="str">
        <f>IF(AH186="Check Data ⚠","Check Data ⚠",IFERROR(VLOOKUP(AH186,'G-4 Temporal multipliers'!$A$4:$C$36,3,FALSE),""))</f>
        <v/>
      </c>
      <c r="AJ186" s="537" t="str">
        <f>IF(S186="","",VLOOKUP(S186,'G-3 Multipliers'!$A$2:$E$129,4,FALSE))</f>
        <v/>
      </c>
      <c r="AK186" s="520" t="str">
        <f t="shared" si="31"/>
        <v/>
      </c>
      <c r="AL186" s="520" t="str">
        <f t="shared" si="32"/>
        <v/>
      </c>
      <c r="AM186" s="524" t="str">
        <f>IFERROR(IF(F186="","",IF(AH186="Check Data ⚠","Check Data ⚠",VLOOKUP(AL186, 'G-3 Multipliers'!$P$2:$Q$6,2,FALSE))),"")</f>
        <v/>
      </c>
      <c r="AN186" s="197"/>
      <c r="AO186" s="540" t="str">
        <f>IF(AN186="","",IF(VLOOKUP(AN186,'G-3 Multipliers'!$S$3:$T$9,2,FALSE)=0,"Spatial Data Missing ⚠",VLOOKUP(AN186,'G-3 Multipliers'!$S$3:$T$9,2,FALSE)))</f>
        <v/>
      </c>
      <c r="AP186" s="513" t="str">
        <f t="shared" si="33"/>
        <v/>
      </c>
      <c r="AQ186" s="231"/>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7" t="str">
        <f>'D-1 Off Site Habitat Baseline'!AL186</f>
        <v/>
      </c>
      <c r="F187" s="520" t="str">
        <f>IF(E187="","",IF(ISNA(VLOOKUP($E187,'D-1 Off Site Habitat Baseline'!$D$1:$O$258,4,FALSE)),"",(VLOOKUP($E187,'D-1 Off Site Habitat Baseline'!$D$1:$O$258,4,FALSE))))</f>
        <v/>
      </c>
      <c r="G187" s="520" t="str">
        <f>IF(E187="","",IF(ISNA(VLOOKUP($E187,'D-1 Off Site Habitat Baseline'!$D$1:$O$258,5,FALSE)),"",(VLOOKUP($E187,'D-1 Off Site Habitat Baseline'!$D$1:$O$258,5,FALSE))))</f>
        <v/>
      </c>
      <c r="H187" s="520" t="str">
        <f>IF(E187="","",IF(ISNA(VLOOKUP($E187,'D-1 Off Site Habitat Baseline'!$D$1:$O$258,6,FALSE)),"",(VLOOKUP($E187,'D-1 Off Site Habitat Baseline'!$D$1:$O$258,6,FALSE))))</f>
        <v/>
      </c>
      <c r="I187" s="520" t="str">
        <f>IF(E187="","",IF(ISNA(VLOOKUP($E187,'D-1 Off Site Habitat Baseline'!$D$1:$O$258,7,FALSE)),"",(VLOOKUP($E187,'D-1 Off Site Habitat Baseline'!$D$1:$O$258,7,FALSE))))</f>
        <v/>
      </c>
      <c r="J187" s="520" t="str">
        <f>IF(E187="","",IF(ISNA(VLOOKUP($E187,'D-1 Off Site Habitat Baseline'!$D$1:$O$258,8,FALSE)),"",(VLOOKUP($E187,'D-1 Off Site Habitat Baseline'!$D$1:$O$258,8,FALSE))))</f>
        <v/>
      </c>
      <c r="K187" s="520" t="str">
        <f>IF(E187="","",IF(ISNA(VLOOKUP($E187,'D-1 Off Site Habitat Baseline'!$D$1:$O$258,9,FALSE)),"",(VLOOKUP($E187,'D-1 Off Site Habitat Baseline'!$D$1:$O$258,9,FALSE))))</f>
        <v/>
      </c>
      <c r="L187" s="520" t="str">
        <f>IF(E187="","",IF(ISNA(VLOOKUP($E187,'D-1 Off Site Habitat Baseline'!$D$1:$O$258,11,FALSE)),"",(VLOOKUP($E187,'D-1 Off Site Habitat Baseline'!$D$1:$O$258,11,FALSE))))</f>
        <v/>
      </c>
      <c r="M187" s="520" t="str">
        <f>IF(E187="","",IF(ISNA(VLOOKUP($E187,'D-1 Off Site Habitat Baseline'!$D$1:$O$258,12,FALSE)),"",(VLOOKUP($E187,'D-1 Off Site Habitat Baseline'!$D$1:$O$258,12,FALSE))))</f>
        <v/>
      </c>
      <c r="N187" s="520" t="str">
        <f>IF(E187="","",IF(ISNA(VLOOKUP($E187,'D-1 Off Site Habitat Baseline'!$D$1:$X$258,14,FALSE)),"",(VLOOKUP($E187,'D-1 Off Site Habitat Baseline'!$D$1:$X$258,14,FALSE))))</f>
        <v/>
      </c>
      <c r="O187" s="524" t="str">
        <f>IF(E187="","",IF(ISNA(VLOOKUP($E187,'D-1 Off Site Habitat Baseline'!$D$1:$X$258,13,FALSE)),"",(VLOOKUP($E187,'D-1 Off Site Habitat Baseline'!$D$1:$X$258,13,FALSE))))</f>
        <v/>
      </c>
      <c r="P187" s="232" t="str">
        <f>IFERROR(INDEX('G-1 All Habitats'!$AG$3:$AG$15,MATCH(Q187,'G-1 All Habitats'!$AF$3:$AF$15,0)),"")</f>
        <v/>
      </c>
      <c r="Q187" s="228" t="str">
        <f t="shared" si="34"/>
        <v/>
      </c>
      <c r="R187" s="229" t="str">
        <f t="shared" si="35"/>
        <v/>
      </c>
      <c r="S187" s="233" t="str">
        <f>IFERROR(INDEX('G-1 All Habitats'!$B$3:$B$129,MATCH(R187,'G-1 All Habitats'!$A$3:$A$129,0)),"")</f>
        <v/>
      </c>
      <c r="T187" s="507" t="str">
        <f t="shared" si="27"/>
        <v/>
      </c>
      <c r="U187" s="524" t="str">
        <f t="shared" si="28"/>
        <v/>
      </c>
      <c r="V187" s="523" t="str">
        <f t="shared" si="25"/>
        <v/>
      </c>
      <c r="W187" s="520" t="str">
        <f>IF(S187="","",VLOOKUP(S187,'G-1 All Habitats'!$B$2:$M$129,10,FALSE))</f>
        <v/>
      </c>
      <c r="X187" s="520" t="str">
        <f>IFERROR(VLOOKUP(W187,'G-1 All Habitats'!$V$3:$W$7,2,FALSE),"")</f>
        <v/>
      </c>
      <c r="Y187" s="203"/>
      <c r="Z187" s="524" t="str">
        <f>IFERROR(INDEX('G-8 Condition Look up'!$A$3:$H$130,MATCH(S187,'G-8 Condition Look up'!$A$3:$A$130,0),MATCH(Y187,'G-8 Condition Look up'!$A$3:$H$3,0)),"")</f>
        <v/>
      </c>
      <c r="AA187" s="145"/>
      <c r="AB187" s="540" t="str">
        <f>IF(AA187="","",IF(VLOOKUP(AA187,'G-3 Multipliers'!$L$3:$N$6,2,FALSE)=0,"Spatial Data Missing ⚠",VLOOKUP(AA187,'G-3 Multipliers'!$L$3:$N$6,2,FALSE)))</f>
        <v/>
      </c>
      <c r="AC187" s="524" t="str">
        <f>IF(AA187="","",IF(VLOOKUP(AA187,'G-3 Multipliers'!$L$3:$N$6,3,FALSE)=0,"Spatial Data Missing ⚠",VLOOKUP(AA187,'G-3 Multipliers'!$L$3:$N$6,3,FALSE)))</f>
        <v/>
      </c>
      <c r="AD187" s="537" t="str">
        <f t="shared" si="26"/>
        <v/>
      </c>
      <c r="AE187" s="203"/>
      <c r="AF187" s="203"/>
      <c r="AG187" s="520" t="str">
        <f t="shared" si="29"/>
        <v/>
      </c>
      <c r="AH187" s="544" t="str">
        <f t="shared" si="30"/>
        <v/>
      </c>
      <c r="AI187" s="525" t="str">
        <f>IF(AH187="Check Data ⚠","Check Data ⚠",IFERROR(VLOOKUP(AH187,'G-4 Temporal multipliers'!$A$4:$C$36,3,FALSE),""))</f>
        <v/>
      </c>
      <c r="AJ187" s="537" t="str">
        <f>IF(S187="","",VLOOKUP(S187,'G-3 Multipliers'!$A$2:$E$129,4,FALSE))</f>
        <v/>
      </c>
      <c r="AK187" s="520" t="str">
        <f t="shared" si="31"/>
        <v/>
      </c>
      <c r="AL187" s="520" t="str">
        <f t="shared" si="32"/>
        <v/>
      </c>
      <c r="AM187" s="524" t="str">
        <f>IFERROR(IF(F187="","",IF(AH187="Check Data ⚠","Check Data ⚠",VLOOKUP(AL187, 'G-3 Multipliers'!$P$2:$Q$6,2,FALSE))),"")</f>
        <v/>
      </c>
      <c r="AN187" s="197"/>
      <c r="AO187" s="540" t="str">
        <f>IF(AN187="","",IF(VLOOKUP(AN187,'G-3 Multipliers'!$S$3:$T$9,2,FALSE)=0,"Spatial Data Missing ⚠",VLOOKUP(AN187,'G-3 Multipliers'!$S$3:$T$9,2,FALSE)))</f>
        <v/>
      </c>
      <c r="AP187" s="513" t="str">
        <f t="shared" si="33"/>
        <v/>
      </c>
      <c r="AQ187" s="231"/>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7" t="str">
        <f>'D-1 Off Site Habitat Baseline'!AL187</f>
        <v/>
      </c>
      <c r="F188" s="520" t="str">
        <f>IF(E188="","",IF(ISNA(VLOOKUP($E188,'D-1 Off Site Habitat Baseline'!$D$1:$O$258,4,FALSE)),"",(VLOOKUP($E188,'D-1 Off Site Habitat Baseline'!$D$1:$O$258,4,FALSE))))</f>
        <v/>
      </c>
      <c r="G188" s="520" t="str">
        <f>IF(E188="","",IF(ISNA(VLOOKUP($E188,'D-1 Off Site Habitat Baseline'!$D$1:$O$258,5,FALSE)),"",(VLOOKUP($E188,'D-1 Off Site Habitat Baseline'!$D$1:$O$258,5,FALSE))))</f>
        <v/>
      </c>
      <c r="H188" s="520" t="str">
        <f>IF(E188="","",IF(ISNA(VLOOKUP($E188,'D-1 Off Site Habitat Baseline'!$D$1:$O$258,6,FALSE)),"",(VLOOKUP($E188,'D-1 Off Site Habitat Baseline'!$D$1:$O$258,6,FALSE))))</f>
        <v/>
      </c>
      <c r="I188" s="520" t="str">
        <f>IF(E188="","",IF(ISNA(VLOOKUP($E188,'D-1 Off Site Habitat Baseline'!$D$1:$O$258,7,FALSE)),"",(VLOOKUP($E188,'D-1 Off Site Habitat Baseline'!$D$1:$O$258,7,FALSE))))</f>
        <v/>
      </c>
      <c r="J188" s="520" t="str">
        <f>IF(E188="","",IF(ISNA(VLOOKUP($E188,'D-1 Off Site Habitat Baseline'!$D$1:$O$258,8,FALSE)),"",(VLOOKUP($E188,'D-1 Off Site Habitat Baseline'!$D$1:$O$258,8,FALSE))))</f>
        <v/>
      </c>
      <c r="K188" s="520" t="str">
        <f>IF(E188="","",IF(ISNA(VLOOKUP($E188,'D-1 Off Site Habitat Baseline'!$D$1:$O$258,9,FALSE)),"",(VLOOKUP($E188,'D-1 Off Site Habitat Baseline'!$D$1:$O$258,9,FALSE))))</f>
        <v/>
      </c>
      <c r="L188" s="520" t="str">
        <f>IF(E188="","",IF(ISNA(VLOOKUP($E188,'D-1 Off Site Habitat Baseline'!$D$1:$O$258,11,FALSE)),"",(VLOOKUP($E188,'D-1 Off Site Habitat Baseline'!$D$1:$O$258,11,FALSE))))</f>
        <v/>
      </c>
      <c r="M188" s="520" t="str">
        <f>IF(E188="","",IF(ISNA(VLOOKUP($E188,'D-1 Off Site Habitat Baseline'!$D$1:$O$258,12,FALSE)),"",(VLOOKUP($E188,'D-1 Off Site Habitat Baseline'!$D$1:$O$258,12,FALSE))))</f>
        <v/>
      </c>
      <c r="N188" s="520" t="str">
        <f>IF(E188="","",IF(ISNA(VLOOKUP($E188,'D-1 Off Site Habitat Baseline'!$D$1:$X$258,14,FALSE)),"",(VLOOKUP($E188,'D-1 Off Site Habitat Baseline'!$D$1:$X$258,14,FALSE))))</f>
        <v/>
      </c>
      <c r="O188" s="524" t="str">
        <f>IF(E188="","",IF(ISNA(VLOOKUP($E188,'D-1 Off Site Habitat Baseline'!$D$1:$X$258,13,FALSE)),"",(VLOOKUP($E188,'D-1 Off Site Habitat Baseline'!$D$1:$X$258,13,FALSE))))</f>
        <v/>
      </c>
      <c r="P188" s="232" t="str">
        <f>IFERROR(INDEX('G-1 All Habitats'!$AG$3:$AG$15,MATCH(Q188,'G-1 All Habitats'!$AF$3:$AF$15,0)),"")</f>
        <v/>
      </c>
      <c r="Q188" s="228" t="str">
        <f t="shared" si="34"/>
        <v/>
      </c>
      <c r="R188" s="229" t="str">
        <f t="shared" si="35"/>
        <v/>
      </c>
      <c r="S188" s="233" t="str">
        <f>IFERROR(INDEX('G-1 All Habitats'!$B$3:$B$129,MATCH(R188,'G-1 All Habitats'!$A$3:$A$129,0)),"")</f>
        <v/>
      </c>
      <c r="T188" s="507" t="str">
        <f t="shared" si="27"/>
        <v/>
      </c>
      <c r="U188" s="524" t="str">
        <f t="shared" si="28"/>
        <v/>
      </c>
      <c r="V188" s="523" t="str">
        <f t="shared" si="25"/>
        <v/>
      </c>
      <c r="W188" s="520" t="str">
        <f>IF(S188="","",VLOOKUP(S188,'G-1 All Habitats'!$B$2:$M$129,10,FALSE))</f>
        <v/>
      </c>
      <c r="X188" s="520" t="str">
        <f>IFERROR(VLOOKUP(W188,'G-1 All Habitats'!$V$3:$W$7,2,FALSE),"")</f>
        <v/>
      </c>
      <c r="Y188" s="203"/>
      <c r="Z188" s="524" t="str">
        <f>IFERROR(INDEX('G-8 Condition Look up'!$A$3:$H$130,MATCH(S188,'G-8 Condition Look up'!$A$3:$A$130,0),MATCH(Y188,'G-8 Condition Look up'!$A$3:$H$3,0)),"")</f>
        <v/>
      </c>
      <c r="AA188" s="145"/>
      <c r="AB188" s="540" t="str">
        <f>IF(AA188="","",IF(VLOOKUP(AA188,'G-3 Multipliers'!$L$3:$N$6,2,FALSE)=0,"Spatial Data Missing ⚠",VLOOKUP(AA188,'G-3 Multipliers'!$L$3:$N$6,2,FALSE)))</f>
        <v/>
      </c>
      <c r="AC188" s="524" t="str">
        <f>IF(AA188="","",IF(VLOOKUP(AA188,'G-3 Multipliers'!$L$3:$N$6,3,FALSE)=0,"Spatial Data Missing ⚠",VLOOKUP(AA188,'G-3 Multipliers'!$L$3:$N$6,3,FALSE)))</f>
        <v/>
      </c>
      <c r="AD188" s="537" t="str">
        <f t="shared" si="26"/>
        <v/>
      </c>
      <c r="AE188" s="203"/>
      <c r="AF188" s="203"/>
      <c r="AG188" s="520" t="str">
        <f t="shared" si="29"/>
        <v/>
      </c>
      <c r="AH188" s="544" t="str">
        <f t="shared" si="30"/>
        <v/>
      </c>
      <c r="AI188" s="525" t="str">
        <f>IF(AH188="Check Data ⚠","Check Data ⚠",IFERROR(VLOOKUP(AH188,'G-4 Temporal multipliers'!$A$4:$C$36,3,FALSE),""))</f>
        <v/>
      </c>
      <c r="AJ188" s="537" t="str">
        <f>IF(S188="","",VLOOKUP(S188,'G-3 Multipliers'!$A$2:$E$129,4,FALSE))</f>
        <v/>
      </c>
      <c r="AK188" s="520" t="str">
        <f t="shared" si="31"/>
        <v/>
      </c>
      <c r="AL188" s="520" t="str">
        <f t="shared" si="32"/>
        <v/>
      </c>
      <c r="AM188" s="524" t="str">
        <f>IFERROR(IF(F188="","",IF(AH188="Check Data ⚠","Check Data ⚠",VLOOKUP(AL188, 'G-3 Multipliers'!$P$2:$Q$6,2,FALSE))),"")</f>
        <v/>
      </c>
      <c r="AN188" s="197"/>
      <c r="AO188" s="540" t="str">
        <f>IF(AN188="","",IF(VLOOKUP(AN188,'G-3 Multipliers'!$S$3:$T$9,2,FALSE)=0,"Spatial Data Missing ⚠",VLOOKUP(AN188,'G-3 Multipliers'!$S$3:$T$9,2,FALSE)))</f>
        <v/>
      </c>
      <c r="AP188" s="513" t="str">
        <f t="shared" si="33"/>
        <v/>
      </c>
      <c r="AQ188" s="231"/>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7" t="str">
        <f>'D-1 Off Site Habitat Baseline'!AL188</f>
        <v/>
      </c>
      <c r="F189" s="520" t="str">
        <f>IF(E189="","",IF(ISNA(VLOOKUP($E189,'D-1 Off Site Habitat Baseline'!$D$1:$O$258,4,FALSE)),"",(VLOOKUP($E189,'D-1 Off Site Habitat Baseline'!$D$1:$O$258,4,FALSE))))</f>
        <v/>
      </c>
      <c r="G189" s="520" t="str">
        <f>IF(E189="","",IF(ISNA(VLOOKUP($E189,'D-1 Off Site Habitat Baseline'!$D$1:$O$258,5,FALSE)),"",(VLOOKUP($E189,'D-1 Off Site Habitat Baseline'!$D$1:$O$258,5,FALSE))))</f>
        <v/>
      </c>
      <c r="H189" s="520" t="str">
        <f>IF(E189="","",IF(ISNA(VLOOKUP($E189,'D-1 Off Site Habitat Baseline'!$D$1:$O$258,6,FALSE)),"",(VLOOKUP($E189,'D-1 Off Site Habitat Baseline'!$D$1:$O$258,6,FALSE))))</f>
        <v/>
      </c>
      <c r="I189" s="520" t="str">
        <f>IF(E189="","",IF(ISNA(VLOOKUP($E189,'D-1 Off Site Habitat Baseline'!$D$1:$O$258,7,FALSE)),"",(VLOOKUP($E189,'D-1 Off Site Habitat Baseline'!$D$1:$O$258,7,FALSE))))</f>
        <v/>
      </c>
      <c r="J189" s="520" t="str">
        <f>IF(E189="","",IF(ISNA(VLOOKUP($E189,'D-1 Off Site Habitat Baseline'!$D$1:$O$258,8,FALSE)),"",(VLOOKUP($E189,'D-1 Off Site Habitat Baseline'!$D$1:$O$258,8,FALSE))))</f>
        <v/>
      </c>
      <c r="K189" s="520" t="str">
        <f>IF(E189="","",IF(ISNA(VLOOKUP($E189,'D-1 Off Site Habitat Baseline'!$D$1:$O$258,9,FALSE)),"",(VLOOKUP($E189,'D-1 Off Site Habitat Baseline'!$D$1:$O$258,9,FALSE))))</f>
        <v/>
      </c>
      <c r="L189" s="520" t="str">
        <f>IF(E189="","",IF(ISNA(VLOOKUP($E189,'D-1 Off Site Habitat Baseline'!$D$1:$O$258,11,FALSE)),"",(VLOOKUP($E189,'D-1 Off Site Habitat Baseline'!$D$1:$O$258,11,FALSE))))</f>
        <v/>
      </c>
      <c r="M189" s="520" t="str">
        <f>IF(E189="","",IF(ISNA(VLOOKUP($E189,'D-1 Off Site Habitat Baseline'!$D$1:$O$258,12,FALSE)),"",(VLOOKUP($E189,'D-1 Off Site Habitat Baseline'!$D$1:$O$258,12,FALSE))))</f>
        <v/>
      </c>
      <c r="N189" s="520" t="str">
        <f>IF(E189="","",IF(ISNA(VLOOKUP($E189,'D-1 Off Site Habitat Baseline'!$D$1:$X$258,14,FALSE)),"",(VLOOKUP($E189,'D-1 Off Site Habitat Baseline'!$D$1:$X$258,14,FALSE))))</f>
        <v/>
      </c>
      <c r="O189" s="524" t="str">
        <f>IF(E189="","",IF(ISNA(VLOOKUP($E189,'D-1 Off Site Habitat Baseline'!$D$1:$X$258,13,FALSE)),"",(VLOOKUP($E189,'D-1 Off Site Habitat Baseline'!$D$1:$X$258,13,FALSE))))</f>
        <v/>
      </c>
      <c r="P189" s="232" t="str">
        <f>IFERROR(INDEX('G-1 All Habitats'!$AG$3:$AG$15,MATCH(Q189,'G-1 All Habitats'!$AF$3:$AF$15,0)),"")</f>
        <v/>
      </c>
      <c r="Q189" s="228" t="str">
        <f t="shared" si="34"/>
        <v/>
      </c>
      <c r="R189" s="229" t="str">
        <f t="shared" si="35"/>
        <v/>
      </c>
      <c r="S189" s="233" t="str">
        <f>IFERROR(INDEX('G-1 All Habitats'!$B$3:$B$129,MATCH(R189,'G-1 All Habitats'!$A$3:$A$129,0)),"")</f>
        <v/>
      </c>
      <c r="T189" s="507" t="str">
        <f t="shared" si="27"/>
        <v/>
      </c>
      <c r="U189" s="524" t="str">
        <f t="shared" si="28"/>
        <v/>
      </c>
      <c r="V189" s="523" t="str">
        <f t="shared" si="25"/>
        <v/>
      </c>
      <c r="W189" s="520" t="str">
        <f>IF(S189="","",VLOOKUP(S189,'G-1 All Habitats'!$B$2:$M$129,10,FALSE))</f>
        <v/>
      </c>
      <c r="X189" s="520" t="str">
        <f>IFERROR(VLOOKUP(W189,'G-1 All Habitats'!$V$3:$W$7,2,FALSE),"")</f>
        <v/>
      </c>
      <c r="Y189" s="203"/>
      <c r="Z189" s="524" t="str">
        <f>IFERROR(INDEX('G-8 Condition Look up'!$A$3:$H$130,MATCH(S189,'G-8 Condition Look up'!$A$3:$A$130,0),MATCH(Y189,'G-8 Condition Look up'!$A$3:$H$3,0)),"")</f>
        <v/>
      </c>
      <c r="AA189" s="145"/>
      <c r="AB189" s="540" t="str">
        <f>IF(AA189="","",IF(VLOOKUP(AA189,'G-3 Multipliers'!$L$3:$N$6,2,FALSE)=0,"Spatial Data Missing ⚠",VLOOKUP(AA189,'G-3 Multipliers'!$L$3:$N$6,2,FALSE)))</f>
        <v/>
      </c>
      <c r="AC189" s="524" t="str">
        <f>IF(AA189="","",IF(VLOOKUP(AA189,'G-3 Multipliers'!$L$3:$N$6,3,FALSE)=0,"Spatial Data Missing ⚠",VLOOKUP(AA189,'G-3 Multipliers'!$L$3:$N$6,3,FALSE)))</f>
        <v/>
      </c>
      <c r="AD189" s="537" t="str">
        <f t="shared" si="26"/>
        <v/>
      </c>
      <c r="AE189" s="203"/>
      <c r="AF189" s="203"/>
      <c r="AG189" s="520" t="str">
        <f t="shared" si="29"/>
        <v/>
      </c>
      <c r="AH189" s="544" t="str">
        <f t="shared" si="30"/>
        <v/>
      </c>
      <c r="AI189" s="525" t="str">
        <f>IF(AH189="Check Data ⚠","Check Data ⚠",IFERROR(VLOOKUP(AH189,'G-4 Temporal multipliers'!$A$4:$C$36,3,FALSE),""))</f>
        <v/>
      </c>
      <c r="AJ189" s="537" t="str">
        <f>IF(S189="","",VLOOKUP(S189,'G-3 Multipliers'!$A$2:$E$129,4,FALSE))</f>
        <v/>
      </c>
      <c r="AK189" s="520" t="str">
        <f t="shared" si="31"/>
        <v/>
      </c>
      <c r="AL189" s="520" t="str">
        <f t="shared" si="32"/>
        <v/>
      </c>
      <c r="AM189" s="524" t="str">
        <f>IFERROR(IF(F189="","",IF(AH189="Check Data ⚠","Check Data ⚠",VLOOKUP(AL189, 'G-3 Multipliers'!$P$2:$Q$6,2,FALSE))),"")</f>
        <v/>
      </c>
      <c r="AN189" s="197"/>
      <c r="AO189" s="540" t="str">
        <f>IF(AN189="","",IF(VLOOKUP(AN189,'G-3 Multipliers'!$S$3:$T$9,2,FALSE)=0,"Spatial Data Missing ⚠",VLOOKUP(AN189,'G-3 Multipliers'!$S$3:$T$9,2,FALSE)))</f>
        <v/>
      </c>
      <c r="AP189" s="513" t="str">
        <f t="shared" si="33"/>
        <v/>
      </c>
      <c r="AQ189" s="231"/>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7" t="str">
        <f>'D-1 Off Site Habitat Baseline'!AL189</f>
        <v/>
      </c>
      <c r="F190" s="520" t="str">
        <f>IF(E190="","",IF(ISNA(VLOOKUP($E190,'D-1 Off Site Habitat Baseline'!$D$1:$O$258,4,FALSE)),"",(VLOOKUP($E190,'D-1 Off Site Habitat Baseline'!$D$1:$O$258,4,FALSE))))</f>
        <v/>
      </c>
      <c r="G190" s="520" t="str">
        <f>IF(E190="","",IF(ISNA(VLOOKUP($E190,'D-1 Off Site Habitat Baseline'!$D$1:$O$258,5,FALSE)),"",(VLOOKUP($E190,'D-1 Off Site Habitat Baseline'!$D$1:$O$258,5,FALSE))))</f>
        <v/>
      </c>
      <c r="H190" s="520" t="str">
        <f>IF(E190="","",IF(ISNA(VLOOKUP($E190,'D-1 Off Site Habitat Baseline'!$D$1:$O$258,6,FALSE)),"",(VLOOKUP($E190,'D-1 Off Site Habitat Baseline'!$D$1:$O$258,6,FALSE))))</f>
        <v/>
      </c>
      <c r="I190" s="520" t="str">
        <f>IF(E190="","",IF(ISNA(VLOOKUP($E190,'D-1 Off Site Habitat Baseline'!$D$1:$O$258,7,FALSE)),"",(VLOOKUP($E190,'D-1 Off Site Habitat Baseline'!$D$1:$O$258,7,FALSE))))</f>
        <v/>
      </c>
      <c r="J190" s="520" t="str">
        <f>IF(E190="","",IF(ISNA(VLOOKUP($E190,'D-1 Off Site Habitat Baseline'!$D$1:$O$258,8,FALSE)),"",(VLOOKUP($E190,'D-1 Off Site Habitat Baseline'!$D$1:$O$258,8,FALSE))))</f>
        <v/>
      </c>
      <c r="K190" s="520" t="str">
        <f>IF(E190="","",IF(ISNA(VLOOKUP($E190,'D-1 Off Site Habitat Baseline'!$D$1:$O$258,9,FALSE)),"",(VLOOKUP($E190,'D-1 Off Site Habitat Baseline'!$D$1:$O$258,9,FALSE))))</f>
        <v/>
      </c>
      <c r="L190" s="520" t="str">
        <f>IF(E190="","",IF(ISNA(VLOOKUP($E190,'D-1 Off Site Habitat Baseline'!$D$1:$O$258,11,FALSE)),"",(VLOOKUP($E190,'D-1 Off Site Habitat Baseline'!$D$1:$O$258,11,FALSE))))</f>
        <v/>
      </c>
      <c r="M190" s="520" t="str">
        <f>IF(E190="","",IF(ISNA(VLOOKUP($E190,'D-1 Off Site Habitat Baseline'!$D$1:$O$258,12,FALSE)),"",(VLOOKUP($E190,'D-1 Off Site Habitat Baseline'!$D$1:$O$258,12,FALSE))))</f>
        <v/>
      </c>
      <c r="N190" s="520" t="str">
        <f>IF(E190="","",IF(ISNA(VLOOKUP($E190,'D-1 Off Site Habitat Baseline'!$D$1:$X$258,14,FALSE)),"",(VLOOKUP($E190,'D-1 Off Site Habitat Baseline'!$D$1:$X$258,14,FALSE))))</f>
        <v/>
      </c>
      <c r="O190" s="524" t="str">
        <f>IF(E190="","",IF(ISNA(VLOOKUP($E190,'D-1 Off Site Habitat Baseline'!$D$1:$X$258,13,FALSE)),"",(VLOOKUP($E190,'D-1 Off Site Habitat Baseline'!$D$1:$X$258,13,FALSE))))</f>
        <v/>
      </c>
      <c r="P190" s="232" t="str">
        <f>IFERROR(INDEX('G-1 All Habitats'!$AG$3:$AG$15,MATCH(Q190,'G-1 All Habitats'!$AF$3:$AF$15,0)),"")</f>
        <v/>
      </c>
      <c r="Q190" s="228" t="str">
        <f t="shared" si="34"/>
        <v/>
      </c>
      <c r="R190" s="229" t="str">
        <f t="shared" si="35"/>
        <v/>
      </c>
      <c r="S190" s="233" t="str">
        <f>IFERROR(INDEX('G-1 All Habitats'!$B$3:$B$129,MATCH(R190,'G-1 All Habitats'!$A$3:$A$129,0)),"")</f>
        <v/>
      </c>
      <c r="T190" s="507" t="str">
        <f t="shared" si="27"/>
        <v/>
      </c>
      <c r="U190" s="524" t="str">
        <f t="shared" si="28"/>
        <v/>
      </c>
      <c r="V190" s="523" t="str">
        <f t="shared" si="25"/>
        <v/>
      </c>
      <c r="W190" s="520" t="str">
        <f>IF(S190="","",VLOOKUP(S190,'G-1 All Habitats'!$B$2:$M$129,10,FALSE))</f>
        <v/>
      </c>
      <c r="X190" s="520" t="str">
        <f>IFERROR(VLOOKUP(W190,'G-1 All Habitats'!$V$3:$W$7,2,FALSE),"")</f>
        <v/>
      </c>
      <c r="Y190" s="203"/>
      <c r="Z190" s="524" t="str">
        <f>IFERROR(INDEX('G-8 Condition Look up'!$A$3:$H$130,MATCH(S190,'G-8 Condition Look up'!$A$3:$A$130,0),MATCH(Y190,'G-8 Condition Look up'!$A$3:$H$3,0)),"")</f>
        <v/>
      </c>
      <c r="AA190" s="145"/>
      <c r="AB190" s="540" t="str">
        <f>IF(AA190="","",IF(VLOOKUP(AA190,'G-3 Multipliers'!$L$3:$N$6,2,FALSE)=0,"Spatial Data Missing ⚠",VLOOKUP(AA190,'G-3 Multipliers'!$L$3:$N$6,2,FALSE)))</f>
        <v/>
      </c>
      <c r="AC190" s="524" t="str">
        <f>IF(AA190="","",IF(VLOOKUP(AA190,'G-3 Multipliers'!$L$3:$N$6,3,FALSE)=0,"Spatial Data Missing ⚠",VLOOKUP(AA190,'G-3 Multipliers'!$L$3:$N$6,3,FALSE)))</f>
        <v/>
      </c>
      <c r="AD190" s="537" t="str">
        <f t="shared" si="26"/>
        <v/>
      </c>
      <c r="AE190" s="203"/>
      <c r="AF190" s="203"/>
      <c r="AG190" s="520" t="str">
        <f t="shared" si="29"/>
        <v/>
      </c>
      <c r="AH190" s="544" t="str">
        <f t="shared" si="30"/>
        <v/>
      </c>
      <c r="AI190" s="525" t="str">
        <f>IF(AH190="Check Data ⚠","Check Data ⚠",IFERROR(VLOOKUP(AH190,'G-4 Temporal multipliers'!$A$4:$C$36,3,FALSE),""))</f>
        <v/>
      </c>
      <c r="AJ190" s="537" t="str">
        <f>IF(S190="","",VLOOKUP(S190,'G-3 Multipliers'!$A$2:$E$129,4,FALSE))</f>
        <v/>
      </c>
      <c r="AK190" s="520" t="str">
        <f t="shared" si="31"/>
        <v/>
      </c>
      <c r="AL190" s="520" t="str">
        <f t="shared" si="32"/>
        <v/>
      </c>
      <c r="AM190" s="524" t="str">
        <f>IFERROR(IF(F190="","",IF(AH190="Check Data ⚠","Check Data ⚠",VLOOKUP(AL190, 'G-3 Multipliers'!$P$2:$Q$6,2,FALSE))),"")</f>
        <v/>
      </c>
      <c r="AN190" s="197"/>
      <c r="AO190" s="540" t="str">
        <f>IF(AN190="","",IF(VLOOKUP(AN190,'G-3 Multipliers'!$S$3:$T$9,2,FALSE)=0,"Spatial Data Missing ⚠",VLOOKUP(AN190,'G-3 Multipliers'!$S$3:$T$9,2,FALSE)))</f>
        <v/>
      </c>
      <c r="AP190" s="513" t="str">
        <f t="shared" si="33"/>
        <v/>
      </c>
      <c r="AQ190" s="231"/>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7" t="str">
        <f>'D-1 Off Site Habitat Baseline'!AL190</f>
        <v/>
      </c>
      <c r="F191" s="520" t="str">
        <f>IF(E191="","",IF(ISNA(VLOOKUP($E191,'D-1 Off Site Habitat Baseline'!$D$1:$O$258,4,FALSE)),"",(VLOOKUP($E191,'D-1 Off Site Habitat Baseline'!$D$1:$O$258,4,FALSE))))</f>
        <v/>
      </c>
      <c r="G191" s="520" t="str">
        <f>IF(E191="","",IF(ISNA(VLOOKUP($E191,'D-1 Off Site Habitat Baseline'!$D$1:$O$258,5,FALSE)),"",(VLOOKUP($E191,'D-1 Off Site Habitat Baseline'!$D$1:$O$258,5,FALSE))))</f>
        <v/>
      </c>
      <c r="H191" s="520" t="str">
        <f>IF(E191="","",IF(ISNA(VLOOKUP($E191,'D-1 Off Site Habitat Baseline'!$D$1:$O$258,6,FALSE)),"",(VLOOKUP($E191,'D-1 Off Site Habitat Baseline'!$D$1:$O$258,6,FALSE))))</f>
        <v/>
      </c>
      <c r="I191" s="520" t="str">
        <f>IF(E191="","",IF(ISNA(VLOOKUP($E191,'D-1 Off Site Habitat Baseline'!$D$1:$O$258,7,FALSE)),"",(VLOOKUP($E191,'D-1 Off Site Habitat Baseline'!$D$1:$O$258,7,FALSE))))</f>
        <v/>
      </c>
      <c r="J191" s="520" t="str">
        <f>IF(E191="","",IF(ISNA(VLOOKUP($E191,'D-1 Off Site Habitat Baseline'!$D$1:$O$258,8,FALSE)),"",(VLOOKUP($E191,'D-1 Off Site Habitat Baseline'!$D$1:$O$258,8,FALSE))))</f>
        <v/>
      </c>
      <c r="K191" s="520" t="str">
        <f>IF(E191="","",IF(ISNA(VLOOKUP($E191,'D-1 Off Site Habitat Baseline'!$D$1:$O$258,9,FALSE)),"",(VLOOKUP($E191,'D-1 Off Site Habitat Baseline'!$D$1:$O$258,9,FALSE))))</f>
        <v/>
      </c>
      <c r="L191" s="520" t="str">
        <f>IF(E191="","",IF(ISNA(VLOOKUP($E191,'D-1 Off Site Habitat Baseline'!$D$1:$O$258,11,FALSE)),"",(VLOOKUP($E191,'D-1 Off Site Habitat Baseline'!$D$1:$O$258,11,FALSE))))</f>
        <v/>
      </c>
      <c r="M191" s="520" t="str">
        <f>IF(E191="","",IF(ISNA(VLOOKUP($E191,'D-1 Off Site Habitat Baseline'!$D$1:$O$258,12,FALSE)),"",(VLOOKUP($E191,'D-1 Off Site Habitat Baseline'!$D$1:$O$258,12,FALSE))))</f>
        <v/>
      </c>
      <c r="N191" s="520" t="str">
        <f>IF(E191="","",IF(ISNA(VLOOKUP($E191,'D-1 Off Site Habitat Baseline'!$D$1:$X$258,14,FALSE)),"",(VLOOKUP($E191,'D-1 Off Site Habitat Baseline'!$D$1:$X$258,14,FALSE))))</f>
        <v/>
      </c>
      <c r="O191" s="524" t="str">
        <f>IF(E191="","",IF(ISNA(VLOOKUP($E191,'D-1 Off Site Habitat Baseline'!$D$1:$X$258,13,FALSE)),"",(VLOOKUP($E191,'D-1 Off Site Habitat Baseline'!$D$1:$X$258,13,FALSE))))</f>
        <v/>
      </c>
      <c r="P191" s="232" t="str">
        <f>IFERROR(INDEX('G-1 All Habitats'!$AG$3:$AG$15,MATCH(Q191,'G-1 All Habitats'!$AF$3:$AF$15,0)),"")</f>
        <v/>
      </c>
      <c r="Q191" s="228" t="str">
        <f t="shared" si="34"/>
        <v/>
      </c>
      <c r="R191" s="229" t="str">
        <f t="shared" si="35"/>
        <v/>
      </c>
      <c r="S191" s="233" t="str">
        <f>IFERROR(INDEX('G-1 All Habitats'!$B$3:$B$129,MATCH(R191,'G-1 All Habitats'!$A$3:$A$129,0)),"")</f>
        <v/>
      </c>
      <c r="T191" s="507" t="str">
        <f t="shared" si="27"/>
        <v/>
      </c>
      <c r="U191" s="524" t="str">
        <f t="shared" si="28"/>
        <v/>
      </c>
      <c r="V191" s="523" t="str">
        <f t="shared" si="25"/>
        <v/>
      </c>
      <c r="W191" s="520" t="str">
        <f>IF(S191="","",VLOOKUP(S191,'G-1 All Habitats'!$B$2:$M$129,10,FALSE))</f>
        <v/>
      </c>
      <c r="X191" s="520" t="str">
        <f>IFERROR(VLOOKUP(W191,'G-1 All Habitats'!$V$3:$W$7,2,FALSE),"")</f>
        <v/>
      </c>
      <c r="Y191" s="203"/>
      <c r="Z191" s="524" t="str">
        <f>IFERROR(INDEX('G-8 Condition Look up'!$A$3:$H$130,MATCH(S191,'G-8 Condition Look up'!$A$3:$A$130,0),MATCH(Y191,'G-8 Condition Look up'!$A$3:$H$3,0)),"")</f>
        <v/>
      </c>
      <c r="AA191" s="145"/>
      <c r="AB191" s="540" t="str">
        <f>IF(AA191="","",IF(VLOOKUP(AA191,'G-3 Multipliers'!$L$3:$N$6,2,FALSE)=0,"Spatial Data Missing ⚠",VLOOKUP(AA191,'G-3 Multipliers'!$L$3:$N$6,2,FALSE)))</f>
        <v/>
      </c>
      <c r="AC191" s="524" t="str">
        <f>IF(AA191="","",IF(VLOOKUP(AA191,'G-3 Multipliers'!$L$3:$N$6,3,FALSE)=0,"Spatial Data Missing ⚠",VLOOKUP(AA191,'G-3 Multipliers'!$L$3:$N$6,3,FALSE)))</f>
        <v/>
      </c>
      <c r="AD191" s="537" t="str">
        <f t="shared" si="26"/>
        <v/>
      </c>
      <c r="AE191" s="203"/>
      <c r="AF191" s="203"/>
      <c r="AG191" s="520" t="str">
        <f t="shared" si="29"/>
        <v/>
      </c>
      <c r="AH191" s="544" t="str">
        <f t="shared" si="30"/>
        <v/>
      </c>
      <c r="AI191" s="525" t="str">
        <f>IF(AH191="Check Data ⚠","Check Data ⚠",IFERROR(VLOOKUP(AH191,'G-4 Temporal multipliers'!$A$4:$C$36,3,FALSE),""))</f>
        <v/>
      </c>
      <c r="AJ191" s="537" t="str">
        <f>IF(S191="","",VLOOKUP(S191,'G-3 Multipliers'!$A$2:$E$129,4,FALSE))</f>
        <v/>
      </c>
      <c r="AK191" s="520" t="str">
        <f t="shared" si="31"/>
        <v/>
      </c>
      <c r="AL191" s="520" t="str">
        <f t="shared" si="32"/>
        <v/>
      </c>
      <c r="AM191" s="524" t="str">
        <f>IFERROR(IF(F191="","",IF(AH191="Check Data ⚠","Check Data ⚠",VLOOKUP(AL191, 'G-3 Multipliers'!$P$2:$Q$6,2,FALSE))),"")</f>
        <v/>
      </c>
      <c r="AN191" s="197"/>
      <c r="AO191" s="540" t="str">
        <f>IF(AN191="","",IF(VLOOKUP(AN191,'G-3 Multipliers'!$S$3:$T$9,2,FALSE)=0,"Spatial Data Missing ⚠",VLOOKUP(AN191,'G-3 Multipliers'!$S$3:$T$9,2,FALSE)))</f>
        <v/>
      </c>
      <c r="AP191" s="513" t="str">
        <f t="shared" si="33"/>
        <v/>
      </c>
      <c r="AQ191" s="231"/>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7" t="str">
        <f>'D-1 Off Site Habitat Baseline'!AL191</f>
        <v/>
      </c>
      <c r="F192" s="520" t="str">
        <f>IF(E192="","",IF(ISNA(VLOOKUP($E192,'D-1 Off Site Habitat Baseline'!$D$1:$O$258,4,FALSE)),"",(VLOOKUP($E192,'D-1 Off Site Habitat Baseline'!$D$1:$O$258,4,FALSE))))</f>
        <v/>
      </c>
      <c r="G192" s="520" t="str">
        <f>IF(E192="","",IF(ISNA(VLOOKUP($E192,'D-1 Off Site Habitat Baseline'!$D$1:$O$258,5,FALSE)),"",(VLOOKUP($E192,'D-1 Off Site Habitat Baseline'!$D$1:$O$258,5,FALSE))))</f>
        <v/>
      </c>
      <c r="H192" s="520" t="str">
        <f>IF(E192="","",IF(ISNA(VLOOKUP($E192,'D-1 Off Site Habitat Baseline'!$D$1:$O$258,6,FALSE)),"",(VLOOKUP($E192,'D-1 Off Site Habitat Baseline'!$D$1:$O$258,6,FALSE))))</f>
        <v/>
      </c>
      <c r="I192" s="520" t="str">
        <f>IF(E192="","",IF(ISNA(VLOOKUP($E192,'D-1 Off Site Habitat Baseline'!$D$1:$O$258,7,FALSE)),"",(VLOOKUP($E192,'D-1 Off Site Habitat Baseline'!$D$1:$O$258,7,FALSE))))</f>
        <v/>
      </c>
      <c r="J192" s="520" t="str">
        <f>IF(E192="","",IF(ISNA(VLOOKUP($E192,'D-1 Off Site Habitat Baseline'!$D$1:$O$258,8,FALSE)),"",(VLOOKUP($E192,'D-1 Off Site Habitat Baseline'!$D$1:$O$258,8,FALSE))))</f>
        <v/>
      </c>
      <c r="K192" s="520" t="str">
        <f>IF(E192="","",IF(ISNA(VLOOKUP($E192,'D-1 Off Site Habitat Baseline'!$D$1:$O$258,9,FALSE)),"",(VLOOKUP($E192,'D-1 Off Site Habitat Baseline'!$D$1:$O$258,9,FALSE))))</f>
        <v/>
      </c>
      <c r="L192" s="520" t="str">
        <f>IF(E192="","",IF(ISNA(VLOOKUP($E192,'D-1 Off Site Habitat Baseline'!$D$1:$O$258,11,FALSE)),"",(VLOOKUP($E192,'D-1 Off Site Habitat Baseline'!$D$1:$O$258,11,FALSE))))</f>
        <v/>
      </c>
      <c r="M192" s="520" t="str">
        <f>IF(E192="","",IF(ISNA(VLOOKUP($E192,'D-1 Off Site Habitat Baseline'!$D$1:$O$258,12,FALSE)),"",(VLOOKUP($E192,'D-1 Off Site Habitat Baseline'!$D$1:$O$258,12,FALSE))))</f>
        <v/>
      </c>
      <c r="N192" s="520" t="str">
        <f>IF(E192="","",IF(ISNA(VLOOKUP($E192,'D-1 Off Site Habitat Baseline'!$D$1:$X$258,14,FALSE)),"",(VLOOKUP($E192,'D-1 Off Site Habitat Baseline'!$D$1:$X$258,14,FALSE))))</f>
        <v/>
      </c>
      <c r="O192" s="524" t="str">
        <f>IF(E192="","",IF(ISNA(VLOOKUP($E192,'D-1 Off Site Habitat Baseline'!$D$1:$X$258,13,FALSE)),"",(VLOOKUP($E192,'D-1 Off Site Habitat Baseline'!$D$1:$X$258,13,FALSE))))</f>
        <v/>
      </c>
      <c r="P192" s="232" t="str">
        <f>IFERROR(INDEX('G-1 All Habitats'!$AG$3:$AG$15,MATCH(Q192,'G-1 All Habitats'!$AF$3:$AF$15,0)),"")</f>
        <v/>
      </c>
      <c r="Q192" s="228" t="str">
        <f t="shared" si="34"/>
        <v/>
      </c>
      <c r="R192" s="229" t="str">
        <f t="shared" si="35"/>
        <v/>
      </c>
      <c r="S192" s="233" t="str">
        <f>IFERROR(INDEX('G-1 All Habitats'!$B$3:$B$129,MATCH(R192,'G-1 All Habitats'!$A$3:$A$129,0)),"")</f>
        <v/>
      </c>
      <c r="T192" s="507" t="str">
        <f t="shared" si="27"/>
        <v/>
      </c>
      <c r="U192" s="524" t="str">
        <f t="shared" si="28"/>
        <v/>
      </c>
      <c r="V192" s="523" t="str">
        <f t="shared" si="25"/>
        <v/>
      </c>
      <c r="W192" s="520" t="str">
        <f>IF(S192="","",VLOOKUP(S192,'G-1 All Habitats'!$B$2:$M$129,10,FALSE))</f>
        <v/>
      </c>
      <c r="X192" s="520" t="str">
        <f>IFERROR(VLOOKUP(W192,'G-1 All Habitats'!$V$3:$W$7,2,FALSE),"")</f>
        <v/>
      </c>
      <c r="Y192" s="203"/>
      <c r="Z192" s="524" t="str">
        <f>IFERROR(INDEX('G-8 Condition Look up'!$A$3:$H$130,MATCH(S192,'G-8 Condition Look up'!$A$3:$A$130,0),MATCH(Y192,'G-8 Condition Look up'!$A$3:$H$3,0)),"")</f>
        <v/>
      </c>
      <c r="AA192" s="145"/>
      <c r="AB192" s="540" t="str">
        <f>IF(AA192="","",IF(VLOOKUP(AA192,'G-3 Multipliers'!$L$3:$N$6,2,FALSE)=0,"Spatial Data Missing ⚠",VLOOKUP(AA192,'G-3 Multipliers'!$L$3:$N$6,2,FALSE)))</f>
        <v/>
      </c>
      <c r="AC192" s="524" t="str">
        <f>IF(AA192="","",IF(VLOOKUP(AA192,'G-3 Multipliers'!$L$3:$N$6,3,FALSE)=0,"Spatial Data Missing ⚠",VLOOKUP(AA192,'G-3 Multipliers'!$L$3:$N$6,3,FALSE)))</f>
        <v/>
      </c>
      <c r="AD192" s="537" t="str">
        <f t="shared" si="26"/>
        <v/>
      </c>
      <c r="AE192" s="203"/>
      <c r="AF192" s="203"/>
      <c r="AG192" s="520" t="str">
        <f t="shared" si="29"/>
        <v/>
      </c>
      <c r="AH192" s="544" t="str">
        <f t="shared" si="30"/>
        <v/>
      </c>
      <c r="AI192" s="525" t="str">
        <f>IF(AH192="Check Data ⚠","Check Data ⚠",IFERROR(VLOOKUP(AH192,'G-4 Temporal multipliers'!$A$4:$C$36,3,FALSE),""))</f>
        <v/>
      </c>
      <c r="AJ192" s="537" t="str">
        <f>IF(S192="","",VLOOKUP(S192,'G-3 Multipliers'!$A$2:$E$129,4,FALSE))</f>
        <v/>
      </c>
      <c r="AK192" s="520" t="str">
        <f t="shared" si="31"/>
        <v/>
      </c>
      <c r="AL192" s="520" t="str">
        <f t="shared" si="32"/>
        <v/>
      </c>
      <c r="AM192" s="524" t="str">
        <f>IFERROR(IF(F192="","",IF(AH192="Check Data ⚠","Check Data ⚠",VLOOKUP(AL192, 'G-3 Multipliers'!$P$2:$Q$6,2,FALSE))),"")</f>
        <v/>
      </c>
      <c r="AN192" s="197"/>
      <c r="AO192" s="540" t="str">
        <f>IF(AN192="","",IF(VLOOKUP(AN192,'G-3 Multipliers'!$S$3:$T$9,2,FALSE)=0,"Spatial Data Missing ⚠",VLOOKUP(AN192,'G-3 Multipliers'!$S$3:$T$9,2,FALSE)))</f>
        <v/>
      </c>
      <c r="AP192" s="513" t="str">
        <f t="shared" si="33"/>
        <v/>
      </c>
      <c r="AQ192" s="231"/>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7" t="str">
        <f>'D-1 Off Site Habitat Baseline'!AL192</f>
        <v/>
      </c>
      <c r="F193" s="520" t="str">
        <f>IF(E193="","",IF(ISNA(VLOOKUP($E193,'D-1 Off Site Habitat Baseline'!$D$1:$O$258,4,FALSE)),"",(VLOOKUP($E193,'D-1 Off Site Habitat Baseline'!$D$1:$O$258,4,FALSE))))</f>
        <v/>
      </c>
      <c r="G193" s="520" t="str">
        <f>IF(E193="","",IF(ISNA(VLOOKUP($E193,'D-1 Off Site Habitat Baseline'!$D$1:$O$258,5,FALSE)),"",(VLOOKUP($E193,'D-1 Off Site Habitat Baseline'!$D$1:$O$258,5,FALSE))))</f>
        <v/>
      </c>
      <c r="H193" s="520" t="str">
        <f>IF(E193="","",IF(ISNA(VLOOKUP($E193,'D-1 Off Site Habitat Baseline'!$D$1:$O$258,6,FALSE)),"",(VLOOKUP($E193,'D-1 Off Site Habitat Baseline'!$D$1:$O$258,6,FALSE))))</f>
        <v/>
      </c>
      <c r="I193" s="520" t="str">
        <f>IF(E193="","",IF(ISNA(VLOOKUP($E193,'D-1 Off Site Habitat Baseline'!$D$1:$O$258,7,FALSE)),"",(VLOOKUP($E193,'D-1 Off Site Habitat Baseline'!$D$1:$O$258,7,FALSE))))</f>
        <v/>
      </c>
      <c r="J193" s="520" t="str">
        <f>IF(E193="","",IF(ISNA(VLOOKUP($E193,'D-1 Off Site Habitat Baseline'!$D$1:$O$258,8,FALSE)),"",(VLOOKUP($E193,'D-1 Off Site Habitat Baseline'!$D$1:$O$258,8,FALSE))))</f>
        <v/>
      </c>
      <c r="K193" s="520" t="str">
        <f>IF(E193="","",IF(ISNA(VLOOKUP($E193,'D-1 Off Site Habitat Baseline'!$D$1:$O$258,9,FALSE)),"",(VLOOKUP($E193,'D-1 Off Site Habitat Baseline'!$D$1:$O$258,9,FALSE))))</f>
        <v/>
      </c>
      <c r="L193" s="520" t="str">
        <f>IF(E193="","",IF(ISNA(VLOOKUP($E193,'D-1 Off Site Habitat Baseline'!$D$1:$O$258,11,FALSE)),"",(VLOOKUP($E193,'D-1 Off Site Habitat Baseline'!$D$1:$O$258,11,FALSE))))</f>
        <v/>
      </c>
      <c r="M193" s="520" t="str">
        <f>IF(E193="","",IF(ISNA(VLOOKUP($E193,'D-1 Off Site Habitat Baseline'!$D$1:$O$258,12,FALSE)),"",(VLOOKUP($E193,'D-1 Off Site Habitat Baseline'!$D$1:$O$258,12,FALSE))))</f>
        <v/>
      </c>
      <c r="N193" s="520" t="str">
        <f>IF(E193="","",IF(ISNA(VLOOKUP($E193,'D-1 Off Site Habitat Baseline'!$D$1:$X$258,14,FALSE)),"",(VLOOKUP($E193,'D-1 Off Site Habitat Baseline'!$D$1:$X$258,14,FALSE))))</f>
        <v/>
      </c>
      <c r="O193" s="524" t="str">
        <f>IF(E193="","",IF(ISNA(VLOOKUP($E193,'D-1 Off Site Habitat Baseline'!$D$1:$X$258,13,FALSE)),"",(VLOOKUP($E193,'D-1 Off Site Habitat Baseline'!$D$1:$X$258,13,FALSE))))</f>
        <v/>
      </c>
      <c r="P193" s="232" t="str">
        <f>IFERROR(INDEX('G-1 All Habitats'!$AG$3:$AG$15,MATCH(Q193,'G-1 All Habitats'!$AF$3:$AF$15,0)),"")</f>
        <v/>
      </c>
      <c r="Q193" s="228" t="str">
        <f t="shared" si="34"/>
        <v/>
      </c>
      <c r="R193" s="229" t="str">
        <f t="shared" si="35"/>
        <v/>
      </c>
      <c r="S193" s="233" t="str">
        <f>IFERROR(INDEX('G-1 All Habitats'!$B$3:$B$129,MATCH(R193,'G-1 All Habitats'!$A$3:$A$129,0)),"")</f>
        <v/>
      </c>
      <c r="T193" s="507" t="str">
        <f t="shared" si="27"/>
        <v/>
      </c>
      <c r="U193" s="524" t="str">
        <f t="shared" si="28"/>
        <v/>
      </c>
      <c r="V193" s="523" t="str">
        <f t="shared" si="25"/>
        <v/>
      </c>
      <c r="W193" s="520" t="str">
        <f>IF(S193="","",VLOOKUP(S193,'G-1 All Habitats'!$B$2:$M$129,10,FALSE))</f>
        <v/>
      </c>
      <c r="X193" s="520" t="str">
        <f>IFERROR(VLOOKUP(W193,'G-1 All Habitats'!$V$3:$W$7,2,FALSE),"")</f>
        <v/>
      </c>
      <c r="Y193" s="203"/>
      <c r="Z193" s="524" t="str">
        <f>IFERROR(INDEX('G-8 Condition Look up'!$A$3:$H$130,MATCH(S193,'G-8 Condition Look up'!$A$3:$A$130,0),MATCH(Y193,'G-8 Condition Look up'!$A$3:$H$3,0)),"")</f>
        <v/>
      </c>
      <c r="AA193" s="145"/>
      <c r="AB193" s="540" t="str">
        <f>IF(AA193="","",IF(VLOOKUP(AA193,'G-3 Multipliers'!$L$3:$N$6,2,FALSE)=0,"Spatial Data Missing ⚠",VLOOKUP(AA193,'G-3 Multipliers'!$L$3:$N$6,2,FALSE)))</f>
        <v/>
      </c>
      <c r="AC193" s="524" t="str">
        <f>IF(AA193="","",IF(VLOOKUP(AA193,'G-3 Multipliers'!$L$3:$N$6,3,FALSE)=0,"Spatial Data Missing ⚠",VLOOKUP(AA193,'G-3 Multipliers'!$L$3:$N$6,3,FALSE)))</f>
        <v/>
      </c>
      <c r="AD193" s="537" t="str">
        <f t="shared" si="26"/>
        <v/>
      </c>
      <c r="AE193" s="203"/>
      <c r="AF193" s="203"/>
      <c r="AG193" s="520" t="str">
        <f t="shared" si="29"/>
        <v/>
      </c>
      <c r="AH193" s="544" t="str">
        <f t="shared" si="30"/>
        <v/>
      </c>
      <c r="AI193" s="525" t="str">
        <f>IF(AH193="Check Data ⚠","Check Data ⚠",IFERROR(VLOOKUP(AH193,'G-4 Temporal multipliers'!$A$4:$C$36,3,FALSE),""))</f>
        <v/>
      </c>
      <c r="AJ193" s="537" t="str">
        <f>IF(S193="","",VLOOKUP(S193,'G-3 Multipliers'!$A$2:$E$129,4,FALSE))</f>
        <v/>
      </c>
      <c r="AK193" s="520" t="str">
        <f t="shared" si="31"/>
        <v/>
      </c>
      <c r="AL193" s="520" t="str">
        <f t="shared" si="32"/>
        <v/>
      </c>
      <c r="AM193" s="524" t="str">
        <f>IFERROR(IF(F193="","",IF(AH193="Check Data ⚠","Check Data ⚠",VLOOKUP(AL193, 'G-3 Multipliers'!$P$2:$Q$6,2,FALSE))),"")</f>
        <v/>
      </c>
      <c r="AN193" s="197"/>
      <c r="AO193" s="540" t="str">
        <f>IF(AN193="","",IF(VLOOKUP(AN193,'G-3 Multipliers'!$S$3:$T$9,2,FALSE)=0,"Spatial Data Missing ⚠",VLOOKUP(AN193,'G-3 Multipliers'!$S$3:$T$9,2,FALSE)))</f>
        <v/>
      </c>
      <c r="AP193" s="513" t="str">
        <f t="shared" si="33"/>
        <v/>
      </c>
      <c r="AQ193" s="231"/>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7" t="str">
        <f>'D-1 Off Site Habitat Baseline'!AL193</f>
        <v/>
      </c>
      <c r="F194" s="520" t="str">
        <f>IF(E194="","",IF(ISNA(VLOOKUP($E194,'D-1 Off Site Habitat Baseline'!$D$1:$O$258,4,FALSE)),"",(VLOOKUP($E194,'D-1 Off Site Habitat Baseline'!$D$1:$O$258,4,FALSE))))</f>
        <v/>
      </c>
      <c r="G194" s="520" t="str">
        <f>IF(E194="","",IF(ISNA(VLOOKUP($E194,'D-1 Off Site Habitat Baseline'!$D$1:$O$258,5,FALSE)),"",(VLOOKUP($E194,'D-1 Off Site Habitat Baseline'!$D$1:$O$258,5,FALSE))))</f>
        <v/>
      </c>
      <c r="H194" s="520" t="str">
        <f>IF(E194="","",IF(ISNA(VLOOKUP($E194,'D-1 Off Site Habitat Baseline'!$D$1:$O$258,6,FALSE)),"",(VLOOKUP($E194,'D-1 Off Site Habitat Baseline'!$D$1:$O$258,6,FALSE))))</f>
        <v/>
      </c>
      <c r="I194" s="520" t="str">
        <f>IF(E194="","",IF(ISNA(VLOOKUP($E194,'D-1 Off Site Habitat Baseline'!$D$1:$O$258,7,FALSE)),"",(VLOOKUP($E194,'D-1 Off Site Habitat Baseline'!$D$1:$O$258,7,FALSE))))</f>
        <v/>
      </c>
      <c r="J194" s="520" t="str">
        <f>IF(E194="","",IF(ISNA(VLOOKUP($E194,'D-1 Off Site Habitat Baseline'!$D$1:$O$258,8,FALSE)),"",(VLOOKUP($E194,'D-1 Off Site Habitat Baseline'!$D$1:$O$258,8,FALSE))))</f>
        <v/>
      </c>
      <c r="K194" s="520" t="str">
        <f>IF(E194="","",IF(ISNA(VLOOKUP($E194,'D-1 Off Site Habitat Baseline'!$D$1:$O$258,9,FALSE)),"",(VLOOKUP($E194,'D-1 Off Site Habitat Baseline'!$D$1:$O$258,9,FALSE))))</f>
        <v/>
      </c>
      <c r="L194" s="520" t="str">
        <f>IF(E194="","",IF(ISNA(VLOOKUP($E194,'D-1 Off Site Habitat Baseline'!$D$1:$O$258,11,FALSE)),"",(VLOOKUP($E194,'D-1 Off Site Habitat Baseline'!$D$1:$O$258,11,FALSE))))</f>
        <v/>
      </c>
      <c r="M194" s="520" t="str">
        <f>IF(E194="","",IF(ISNA(VLOOKUP($E194,'D-1 Off Site Habitat Baseline'!$D$1:$O$258,12,FALSE)),"",(VLOOKUP($E194,'D-1 Off Site Habitat Baseline'!$D$1:$O$258,12,FALSE))))</f>
        <v/>
      </c>
      <c r="N194" s="520" t="str">
        <f>IF(E194="","",IF(ISNA(VLOOKUP($E194,'D-1 Off Site Habitat Baseline'!$D$1:$X$258,14,FALSE)),"",(VLOOKUP($E194,'D-1 Off Site Habitat Baseline'!$D$1:$X$258,14,FALSE))))</f>
        <v/>
      </c>
      <c r="O194" s="524" t="str">
        <f>IF(E194="","",IF(ISNA(VLOOKUP($E194,'D-1 Off Site Habitat Baseline'!$D$1:$X$258,13,FALSE)),"",(VLOOKUP($E194,'D-1 Off Site Habitat Baseline'!$D$1:$X$258,13,FALSE))))</f>
        <v/>
      </c>
      <c r="P194" s="232" t="str">
        <f>IFERROR(INDEX('G-1 All Habitats'!$AG$3:$AG$15,MATCH(Q194,'G-1 All Habitats'!$AF$3:$AF$15,0)),"")</f>
        <v/>
      </c>
      <c r="Q194" s="228" t="str">
        <f t="shared" si="34"/>
        <v/>
      </c>
      <c r="R194" s="229" t="str">
        <f t="shared" si="35"/>
        <v/>
      </c>
      <c r="S194" s="233" t="str">
        <f>IFERROR(INDEX('G-1 All Habitats'!$B$3:$B$129,MATCH(R194,'G-1 All Habitats'!$A$3:$A$129,0)),"")</f>
        <v/>
      </c>
      <c r="T194" s="507" t="str">
        <f t="shared" si="27"/>
        <v/>
      </c>
      <c r="U194" s="524" t="str">
        <f t="shared" si="28"/>
        <v/>
      </c>
      <c r="V194" s="523" t="str">
        <f t="shared" si="25"/>
        <v/>
      </c>
      <c r="W194" s="520" t="str">
        <f>IF(S194="","",VLOOKUP(S194,'G-1 All Habitats'!$B$2:$M$129,10,FALSE))</f>
        <v/>
      </c>
      <c r="X194" s="520" t="str">
        <f>IFERROR(VLOOKUP(W194,'G-1 All Habitats'!$V$3:$W$7,2,FALSE),"")</f>
        <v/>
      </c>
      <c r="Y194" s="203"/>
      <c r="Z194" s="524" t="str">
        <f>IFERROR(INDEX('G-8 Condition Look up'!$A$3:$H$130,MATCH(S194,'G-8 Condition Look up'!$A$3:$A$130,0),MATCH(Y194,'G-8 Condition Look up'!$A$3:$H$3,0)),"")</f>
        <v/>
      </c>
      <c r="AA194" s="145"/>
      <c r="AB194" s="540" t="str">
        <f>IF(AA194="","",IF(VLOOKUP(AA194,'G-3 Multipliers'!$L$3:$N$6,2,FALSE)=0,"Spatial Data Missing ⚠",VLOOKUP(AA194,'G-3 Multipliers'!$L$3:$N$6,2,FALSE)))</f>
        <v/>
      </c>
      <c r="AC194" s="524" t="str">
        <f>IF(AA194="","",IF(VLOOKUP(AA194,'G-3 Multipliers'!$L$3:$N$6,3,FALSE)=0,"Spatial Data Missing ⚠",VLOOKUP(AA194,'G-3 Multipliers'!$L$3:$N$6,3,FALSE)))</f>
        <v/>
      </c>
      <c r="AD194" s="537" t="str">
        <f t="shared" si="26"/>
        <v/>
      </c>
      <c r="AE194" s="203"/>
      <c r="AF194" s="203"/>
      <c r="AG194" s="520" t="str">
        <f t="shared" si="29"/>
        <v/>
      </c>
      <c r="AH194" s="544" t="str">
        <f t="shared" si="30"/>
        <v/>
      </c>
      <c r="AI194" s="525" t="str">
        <f>IF(AH194="Check Data ⚠","Check Data ⚠",IFERROR(VLOOKUP(AH194,'G-4 Temporal multipliers'!$A$4:$C$36,3,FALSE),""))</f>
        <v/>
      </c>
      <c r="AJ194" s="537" t="str">
        <f>IF(S194="","",VLOOKUP(S194,'G-3 Multipliers'!$A$2:$E$129,4,FALSE))</f>
        <v/>
      </c>
      <c r="AK194" s="520" t="str">
        <f t="shared" si="31"/>
        <v/>
      </c>
      <c r="AL194" s="520" t="str">
        <f t="shared" si="32"/>
        <v/>
      </c>
      <c r="AM194" s="524" t="str">
        <f>IFERROR(IF(F194="","",IF(AH194="Check Data ⚠","Check Data ⚠",VLOOKUP(AL194, 'G-3 Multipliers'!$P$2:$Q$6,2,FALSE))),"")</f>
        <v/>
      </c>
      <c r="AN194" s="197"/>
      <c r="AO194" s="540" t="str">
        <f>IF(AN194="","",IF(VLOOKUP(AN194,'G-3 Multipliers'!$S$3:$T$9,2,FALSE)=0,"Spatial Data Missing ⚠",VLOOKUP(AN194,'G-3 Multipliers'!$S$3:$T$9,2,FALSE)))</f>
        <v/>
      </c>
      <c r="AP194" s="513" t="str">
        <f t="shared" si="33"/>
        <v/>
      </c>
      <c r="AQ194" s="231"/>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7" t="str">
        <f>'D-1 Off Site Habitat Baseline'!AL194</f>
        <v/>
      </c>
      <c r="F195" s="520" t="str">
        <f>IF(E195="","",IF(ISNA(VLOOKUP($E195,'D-1 Off Site Habitat Baseline'!$D$1:$O$258,4,FALSE)),"",(VLOOKUP($E195,'D-1 Off Site Habitat Baseline'!$D$1:$O$258,4,FALSE))))</f>
        <v/>
      </c>
      <c r="G195" s="520" t="str">
        <f>IF(E195="","",IF(ISNA(VLOOKUP($E195,'D-1 Off Site Habitat Baseline'!$D$1:$O$258,5,FALSE)),"",(VLOOKUP($E195,'D-1 Off Site Habitat Baseline'!$D$1:$O$258,5,FALSE))))</f>
        <v/>
      </c>
      <c r="H195" s="520" t="str">
        <f>IF(E195="","",IF(ISNA(VLOOKUP($E195,'D-1 Off Site Habitat Baseline'!$D$1:$O$258,6,FALSE)),"",(VLOOKUP($E195,'D-1 Off Site Habitat Baseline'!$D$1:$O$258,6,FALSE))))</f>
        <v/>
      </c>
      <c r="I195" s="520" t="str">
        <f>IF(E195="","",IF(ISNA(VLOOKUP($E195,'D-1 Off Site Habitat Baseline'!$D$1:$O$258,7,FALSE)),"",(VLOOKUP($E195,'D-1 Off Site Habitat Baseline'!$D$1:$O$258,7,FALSE))))</f>
        <v/>
      </c>
      <c r="J195" s="520" t="str">
        <f>IF(E195="","",IF(ISNA(VLOOKUP($E195,'D-1 Off Site Habitat Baseline'!$D$1:$O$258,8,FALSE)),"",(VLOOKUP($E195,'D-1 Off Site Habitat Baseline'!$D$1:$O$258,8,FALSE))))</f>
        <v/>
      </c>
      <c r="K195" s="520" t="str">
        <f>IF(E195="","",IF(ISNA(VLOOKUP($E195,'D-1 Off Site Habitat Baseline'!$D$1:$O$258,9,FALSE)),"",(VLOOKUP($E195,'D-1 Off Site Habitat Baseline'!$D$1:$O$258,9,FALSE))))</f>
        <v/>
      </c>
      <c r="L195" s="520" t="str">
        <f>IF(E195="","",IF(ISNA(VLOOKUP($E195,'D-1 Off Site Habitat Baseline'!$D$1:$O$258,11,FALSE)),"",(VLOOKUP($E195,'D-1 Off Site Habitat Baseline'!$D$1:$O$258,11,FALSE))))</f>
        <v/>
      </c>
      <c r="M195" s="520" t="str">
        <f>IF(E195="","",IF(ISNA(VLOOKUP($E195,'D-1 Off Site Habitat Baseline'!$D$1:$O$258,12,FALSE)),"",(VLOOKUP($E195,'D-1 Off Site Habitat Baseline'!$D$1:$O$258,12,FALSE))))</f>
        <v/>
      </c>
      <c r="N195" s="520" t="str">
        <f>IF(E195="","",IF(ISNA(VLOOKUP($E195,'D-1 Off Site Habitat Baseline'!$D$1:$X$258,14,FALSE)),"",(VLOOKUP($E195,'D-1 Off Site Habitat Baseline'!$D$1:$X$258,14,FALSE))))</f>
        <v/>
      </c>
      <c r="O195" s="524" t="str">
        <f>IF(E195="","",IF(ISNA(VLOOKUP($E195,'D-1 Off Site Habitat Baseline'!$D$1:$X$258,13,FALSE)),"",(VLOOKUP($E195,'D-1 Off Site Habitat Baseline'!$D$1:$X$258,13,FALSE))))</f>
        <v/>
      </c>
      <c r="P195" s="232" t="str">
        <f>IFERROR(INDEX('G-1 All Habitats'!$AG$3:$AG$15,MATCH(Q195,'G-1 All Habitats'!$AF$3:$AF$15,0)),"")</f>
        <v/>
      </c>
      <c r="Q195" s="228" t="str">
        <f t="shared" si="34"/>
        <v/>
      </c>
      <c r="R195" s="229" t="str">
        <f t="shared" si="35"/>
        <v/>
      </c>
      <c r="S195" s="233" t="str">
        <f>IFERROR(INDEX('G-1 All Habitats'!$B$3:$B$129,MATCH(R195,'G-1 All Habitats'!$A$3:$A$129,0)),"")</f>
        <v/>
      </c>
      <c r="T195" s="507" t="str">
        <f t="shared" si="27"/>
        <v/>
      </c>
      <c r="U195" s="524" t="str">
        <f t="shared" si="28"/>
        <v/>
      </c>
      <c r="V195" s="523" t="str">
        <f t="shared" si="25"/>
        <v/>
      </c>
      <c r="W195" s="520" t="str">
        <f>IF(S195="","",VLOOKUP(S195,'G-1 All Habitats'!$B$2:$M$129,10,FALSE))</f>
        <v/>
      </c>
      <c r="X195" s="520" t="str">
        <f>IFERROR(VLOOKUP(W195,'G-1 All Habitats'!$V$3:$W$7,2,FALSE),"")</f>
        <v/>
      </c>
      <c r="Y195" s="203"/>
      <c r="Z195" s="524" t="str">
        <f>IFERROR(INDEX('G-8 Condition Look up'!$A$3:$H$130,MATCH(S195,'G-8 Condition Look up'!$A$3:$A$130,0),MATCH(Y195,'G-8 Condition Look up'!$A$3:$H$3,0)),"")</f>
        <v/>
      </c>
      <c r="AA195" s="145"/>
      <c r="AB195" s="540" t="str">
        <f>IF(AA195="","",IF(VLOOKUP(AA195,'G-3 Multipliers'!$L$3:$N$6,2,FALSE)=0,"Spatial Data Missing ⚠",VLOOKUP(AA195,'G-3 Multipliers'!$L$3:$N$6,2,FALSE)))</f>
        <v/>
      </c>
      <c r="AC195" s="524" t="str">
        <f>IF(AA195="","",IF(VLOOKUP(AA195,'G-3 Multipliers'!$L$3:$N$6,3,FALSE)=0,"Spatial Data Missing ⚠",VLOOKUP(AA195,'G-3 Multipliers'!$L$3:$N$6,3,FALSE)))</f>
        <v/>
      </c>
      <c r="AD195" s="537" t="str">
        <f t="shared" si="26"/>
        <v/>
      </c>
      <c r="AE195" s="203"/>
      <c r="AF195" s="203"/>
      <c r="AG195" s="520" t="str">
        <f t="shared" si="29"/>
        <v/>
      </c>
      <c r="AH195" s="544" t="str">
        <f t="shared" si="30"/>
        <v/>
      </c>
      <c r="AI195" s="525" t="str">
        <f>IF(AH195="Check Data ⚠","Check Data ⚠",IFERROR(VLOOKUP(AH195,'G-4 Temporal multipliers'!$A$4:$C$36,3,FALSE),""))</f>
        <v/>
      </c>
      <c r="AJ195" s="537" t="str">
        <f>IF(S195="","",VLOOKUP(S195,'G-3 Multipliers'!$A$2:$E$129,4,FALSE))</f>
        <v/>
      </c>
      <c r="AK195" s="520" t="str">
        <f t="shared" si="31"/>
        <v/>
      </c>
      <c r="AL195" s="520" t="str">
        <f t="shared" si="32"/>
        <v/>
      </c>
      <c r="AM195" s="524" t="str">
        <f>IFERROR(IF(F195="","",IF(AH195="Check Data ⚠","Check Data ⚠",VLOOKUP(AL195, 'G-3 Multipliers'!$P$2:$Q$6,2,FALSE))),"")</f>
        <v/>
      </c>
      <c r="AN195" s="197"/>
      <c r="AO195" s="540" t="str">
        <f>IF(AN195="","",IF(VLOOKUP(AN195,'G-3 Multipliers'!$S$3:$T$9,2,FALSE)=0,"Spatial Data Missing ⚠",VLOOKUP(AN195,'G-3 Multipliers'!$S$3:$T$9,2,FALSE)))</f>
        <v/>
      </c>
      <c r="AP195" s="513" t="str">
        <f t="shared" si="33"/>
        <v/>
      </c>
      <c r="AQ195" s="231"/>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7" t="str">
        <f>'D-1 Off Site Habitat Baseline'!AL195</f>
        <v/>
      </c>
      <c r="F196" s="520" t="str">
        <f>IF(E196="","",IF(ISNA(VLOOKUP($E196,'D-1 Off Site Habitat Baseline'!$D$1:$O$258,4,FALSE)),"",(VLOOKUP($E196,'D-1 Off Site Habitat Baseline'!$D$1:$O$258,4,FALSE))))</f>
        <v/>
      </c>
      <c r="G196" s="520" t="str">
        <f>IF(E196="","",IF(ISNA(VLOOKUP($E196,'D-1 Off Site Habitat Baseline'!$D$1:$O$258,5,FALSE)),"",(VLOOKUP($E196,'D-1 Off Site Habitat Baseline'!$D$1:$O$258,5,FALSE))))</f>
        <v/>
      </c>
      <c r="H196" s="520" t="str">
        <f>IF(E196="","",IF(ISNA(VLOOKUP($E196,'D-1 Off Site Habitat Baseline'!$D$1:$O$258,6,FALSE)),"",(VLOOKUP($E196,'D-1 Off Site Habitat Baseline'!$D$1:$O$258,6,FALSE))))</f>
        <v/>
      </c>
      <c r="I196" s="520" t="str">
        <f>IF(E196="","",IF(ISNA(VLOOKUP($E196,'D-1 Off Site Habitat Baseline'!$D$1:$O$258,7,FALSE)),"",(VLOOKUP($E196,'D-1 Off Site Habitat Baseline'!$D$1:$O$258,7,FALSE))))</f>
        <v/>
      </c>
      <c r="J196" s="520" t="str">
        <f>IF(E196="","",IF(ISNA(VLOOKUP($E196,'D-1 Off Site Habitat Baseline'!$D$1:$O$258,8,FALSE)),"",(VLOOKUP($E196,'D-1 Off Site Habitat Baseline'!$D$1:$O$258,8,FALSE))))</f>
        <v/>
      </c>
      <c r="K196" s="520" t="str">
        <f>IF(E196="","",IF(ISNA(VLOOKUP($E196,'D-1 Off Site Habitat Baseline'!$D$1:$O$258,9,FALSE)),"",(VLOOKUP($E196,'D-1 Off Site Habitat Baseline'!$D$1:$O$258,9,FALSE))))</f>
        <v/>
      </c>
      <c r="L196" s="520" t="str">
        <f>IF(E196="","",IF(ISNA(VLOOKUP($E196,'D-1 Off Site Habitat Baseline'!$D$1:$O$258,11,FALSE)),"",(VLOOKUP($E196,'D-1 Off Site Habitat Baseline'!$D$1:$O$258,11,FALSE))))</f>
        <v/>
      </c>
      <c r="M196" s="520" t="str">
        <f>IF(E196="","",IF(ISNA(VLOOKUP($E196,'D-1 Off Site Habitat Baseline'!$D$1:$O$258,12,FALSE)),"",(VLOOKUP($E196,'D-1 Off Site Habitat Baseline'!$D$1:$O$258,12,FALSE))))</f>
        <v/>
      </c>
      <c r="N196" s="520" t="str">
        <f>IF(E196="","",IF(ISNA(VLOOKUP($E196,'D-1 Off Site Habitat Baseline'!$D$1:$X$258,14,FALSE)),"",(VLOOKUP($E196,'D-1 Off Site Habitat Baseline'!$D$1:$X$258,14,FALSE))))</f>
        <v/>
      </c>
      <c r="O196" s="524" t="str">
        <f>IF(E196="","",IF(ISNA(VLOOKUP($E196,'D-1 Off Site Habitat Baseline'!$D$1:$X$258,13,FALSE)),"",(VLOOKUP($E196,'D-1 Off Site Habitat Baseline'!$D$1:$X$258,13,FALSE))))</f>
        <v/>
      </c>
      <c r="P196" s="232" t="str">
        <f>IFERROR(INDEX('G-1 All Habitats'!$AG$3:$AG$15,MATCH(Q196,'G-1 All Habitats'!$AF$3:$AF$15,0)),"")</f>
        <v/>
      </c>
      <c r="Q196" s="228" t="str">
        <f t="shared" si="34"/>
        <v/>
      </c>
      <c r="R196" s="229" t="str">
        <f t="shared" si="35"/>
        <v/>
      </c>
      <c r="S196" s="233" t="str">
        <f>IFERROR(INDEX('G-1 All Habitats'!$B$3:$B$129,MATCH(R196,'G-1 All Habitats'!$A$3:$A$129,0)),"")</f>
        <v/>
      </c>
      <c r="T196" s="507" t="str">
        <f t="shared" si="27"/>
        <v/>
      </c>
      <c r="U196" s="524" t="str">
        <f t="shared" si="28"/>
        <v/>
      </c>
      <c r="V196" s="523" t="str">
        <f t="shared" si="25"/>
        <v/>
      </c>
      <c r="W196" s="520" t="str">
        <f>IF(S196="","",VLOOKUP(S196,'G-1 All Habitats'!$B$2:$M$129,10,FALSE))</f>
        <v/>
      </c>
      <c r="X196" s="520" t="str">
        <f>IFERROR(VLOOKUP(W196,'G-1 All Habitats'!$V$3:$W$7,2,FALSE),"")</f>
        <v/>
      </c>
      <c r="Y196" s="203"/>
      <c r="Z196" s="524" t="str">
        <f>IFERROR(INDEX('G-8 Condition Look up'!$A$3:$H$130,MATCH(S196,'G-8 Condition Look up'!$A$3:$A$130,0),MATCH(Y196,'G-8 Condition Look up'!$A$3:$H$3,0)),"")</f>
        <v/>
      </c>
      <c r="AA196" s="145"/>
      <c r="AB196" s="540" t="str">
        <f>IF(AA196="","",IF(VLOOKUP(AA196,'G-3 Multipliers'!$L$3:$N$6,2,FALSE)=0,"Spatial Data Missing ⚠",VLOOKUP(AA196,'G-3 Multipliers'!$L$3:$N$6,2,FALSE)))</f>
        <v/>
      </c>
      <c r="AC196" s="524" t="str">
        <f>IF(AA196="","",IF(VLOOKUP(AA196,'G-3 Multipliers'!$L$3:$N$6,3,FALSE)=0,"Spatial Data Missing ⚠",VLOOKUP(AA196,'G-3 Multipliers'!$L$3:$N$6,3,FALSE)))</f>
        <v/>
      </c>
      <c r="AD196" s="537" t="str">
        <f t="shared" si="26"/>
        <v/>
      </c>
      <c r="AE196" s="203"/>
      <c r="AF196" s="203"/>
      <c r="AG196" s="520" t="str">
        <f t="shared" si="29"/>
        <v/>
      </c>
      <c r="AH196" s="544" t="str">
        <f t="shared" si="30"/>
        <v/>
      </c>
      <c r="AI196" s="525" t="str">
        <f>IF(AH196="Check Data ⚠","Check Data ⚠",IFERROR(VLOOKUP(AH196,'G-4 Temporal multipliers'!$A$4:$C$36,3,FALSE),""))</f>
        <v/>
      </c>
      <c r="AJ196" s="537" t="str">
        <f>IF(S196="","",VLOOKUP(S196,'G-3 Multipliers'!$A$2:$E$129,4,FALSE))</f>
        <v/>
      </c>
      <c r="AK196" s="520" t="str">
        <f t="shared" si="31"/>
        <v/>
      </c>
      <c r="AL196" s="520" t="str">
        <f t="shared" si="32"/>
        <v/>
      </c>
      <c r="AM196" s="524" t="str">
        <f>IFERROR(IF(F196="","",IF(AH196="Check Data ⚠","Check Data ⚠",VLOOKUP(AL196, 'G-3 Multipliers'!$P$2:$Q$6,2,FALSE))),"")</f>
        <v/>
      </c>
      <c r="AN196" s="197"/>
      <c r="AO196" s="540" t="str">
        <f>IF(AN196="","",IF(VLOOKUP(AN196,'G-3 Multipliers'!$S$3:$T$9,2,FALSE)=0,"Spatial Data Missing ⚠",VLOOKUP(AN196,'G-3 Multipliers'!$S$3:$T$9,2,FALSE)))</f>
        <v/>
      </c>
      <c r="AP196" s="513" t="str">
        <f t="shared" si="33"/>
        <v/>
      </c>
      <c r="AQ196" s="231"/>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7" t="str">
        <f>'D-1 Off Site Habitat Baseline'!AL196</f>
        <v/>
      </c>
      <c r="F197" s="520" t="str">
        <f>IF(E197="","",IF(ISNA(VLOOKUP($E197,'D-1 Off Site Habitat Baseline'!$D$1:$O$258,4,FALSE)),"",(VLOOKUP($E197,'D-1 Off Site Habitat Baseline'!$D$1:$O$258,4,FALSE))))</f>
        <v/>
      </c>
      <c r="G197" s="520" t="str">
        <f>IF(E197="","",IF(ISNA(VLOOKUP($E197,'D-1 Off Site Habitat Baseline'!$D$1:$O$258,5,FALSE)),"",(VLOOKUP($E197,'D-1 Off Site Habitat Baseline'!$D$1:$O$258,5,FALSE))))</f>
        <v/>
      </c>
      <c r="H197" s="520" t="str">
        <f>IF(E197="","",IF(ISNA(VLOOKUP($E197,'D-1 Off Site Habitat Baseline'!$D$1:$O$258,6,FALSE)),"",(VLOOKUP($E197,'D-1 Off Site Habitat Baseline'!$D$1:$O$258,6,FALSE))))</f>
        <v/>
      </c>
      <c r="I197" s="520" t="str">
        <f>IF(E197="","",IF(ISNA(VLOOKUP($E197,'D-1 Off Site Habitat Baseline'!$D$1:$O$258,7,FALSE)),"",(VLOOKUP($E197,'D-1 Off Site Habitat Baseline'!$D$1:$O$258,7,FALSE))))</f>
        <v/>
      </c>
      <c r="J197" s="520" t="str">
        <f>IF(E197="","",IF(ISNA(VLOOKUP($E197,'D-1 Off Site Habitat Baseline'!$D$1:$O$258,8,FALSE)),"",(VLOOKUP($E197,'D-1 Off Site Habitat Baseline'!$D$1:$O$258,8,FALSE))))</f>
        <v/>
      </c>
      <c r="K197" s="520" t="str">
        <f>IF(E197="","",IF(ISNA(VLOOKUP($E197,'D-1 Off Site Habitat Baseline'!$D$1:$O$258,9,FALSE)),"",(VLOOKUP($E197,'D-1 Off Site Habitat Baseline'!$D$1:$O$258,9,FALSE))))</f>
        <v/>
      </c>
      <c r="L197" s="520" t="str">
        <f>IF(E197="","",IF(ISNA(VLOOKUP($E197,'D-1 Off Site Habitat Baseline'!$D$1:$O$258,11,FALSE)),"",(VLOOKUP($E197,'D-1 Off Site Habitat Baseline'!$D$1:$O$258,11,FALSE))))</f>
        <v/>
      </c>
      <c r="M197" s="520" t="str">
        <f>IF(E197="","",IF(ISNA(VLOOKUP($E197,'D-1 Off Site Habitat Baseline'!$D$1:$O$258,12,FALSE)),"",(VLOOKUP($E197,'D-1 Off Site Habitat Baseline'!$D$1:$O$258,12,FALSE))))</f>
        <v/>
      </c>
      <c r="N197" s="520" t="str">
        <f>IF(E197="","",IF(ISNA(VLOOKUP($E197,'D-1 Off Site Habitat Baseline'!$D$1:$X$258,14,FALSE)),"",(VLOOKUP($E197,'D-1 Off Site Habitat Baseline'!$D$1:$X$258,14,FALSE))))</f>
        <v/>
      </c>
      <c r="O197" s="524" t="str">
        <f>IF(E197="","",IF(ISNA(VLOOKUP($E197,'D-1 Off Site Habitat Baseline'!$D$1:$X$258,13,FALSE)),"",(VLOOKUP($E197,'D-1 Off Site Habitat Baseline'!$D$1:$X$258,13,FALSE))))</f>
        <v/>
      </c>
      <c r="P197" s="232" t="str">
        <f>IFERROR(INDEX('G-1 All Habitats'!$AG$3:$AG$15,MATCH(Q197,'G-1 All Habitats'!$AF$3:$AF$15,0)),"")</f>
        <v/>
      </c>
      <c r="Q197" s="228" t="str">
        <f t="shared" si="34"/>
        <v/>
      </c>
      <c r="R197" s="229" t="str">
        <f t="shared" si="35"/>
        <v/>
      </c>
      <c r="S197" s="233" t="str">
        <f>IFERROR(INDEX('G-1 All Habitats'!$B$3:$B$129,MATCH(R197,'G-1 All Habitats'!$A$3:$A$129,0)),"")</f>
        <v/>
      </c>
      <c r="T197" s="507" t="str">
        <f t="shared" si="27"/>
        <v/>
      </c>
      <c r="U197" s="524" t="str">
        <f t="shared" si="28"/>
        <v/>
      </c>
      <c r="V197" s="523" t="str">
        <f t="shared" si="25"/>
        <v/>
      </c>
      <c r="W197" s="520" t="str">
        <f>IF(S197="","",VLOOKUP(S197,'G-1 All Habitats'!$B$2:$M$129,10,FALSE))</f>
        <v/>
      </c>
      <c r="X197" s="520" t="str">
        <f>IFERROR(VLOOKUP(W197,'G-1 All Habitats'!$V$3:$W$7,2,FALSE),"")</f>
        <v/>
      </c>
      <c r="Y197" s="203"/>
      <c r="Z197" s="524" t="str">
        <f>IFERROR(INDEX('G-8 Condition Look up'!$A$3:$H$130,MATCH(S197,'G-8 Condition Look up'!$A$3:$A$130,0),MATCH(Y197,'G-8 Condition Look up'!$A$3:$H$3,0)),"")</f>
        <v/>
      </c>
      <c r="AA197" s="145"/>
      <c r="AB197" s="540" t="str">
        <f>IF(AA197="","",IF(VLOOKUP(AA197,'G-3 Multipliers'!$L$3:$N$6,2,FALSE)=0,"Spatial Data Missing ⚠",VLOOKUP(AA197,'G-3 Multipliers'!$L$3:$N$6,2,FALSE)))</f>
        <v/>
      </c>
      <c r="AC197" s="524" t="str">
        <f>IF(AA197="","",IF(VLOOKUP(AA197,'G-3 Multipliers'!$L$3:$N$6,3,FALSE)=0,"Spatial Data Missing ⚠",VLOOKUP(AA197,'G-3 Multipliers'!$L$3:$N$6,3,FALSE)))</f>
        <v/>
      </c>
      <c r="AD197" s="537" t="str">
        <f t="shared" si="26"/>
        <v/>
      </c>
      <c r="AE197" s="203"/>
      <c r="AF197" s="203"/>
      <c r="AG197" s="520" t="str">
        <f t="shared" si="29"/>
        <v/>
      </c>
      <c r="AH197" s="544" t="str">
        <f t="shared" si="30"/>
        <v/>
      </c>
      <c r="AI197" s="525" t="str">
        <f>IF(AH197="Check Data ⚠","Check Data ⚠",IFERROR(VLOOKUP(AH197,'G-4 Temporal multipliers'!$A$4:$C$36,3,FALSE),""))</f>
        <v/>
      </c>
      <c r="AJ197" s="537" t="str">
        <f>IF(S197="","",VLOOKUP(S197,'G-3 Multipliers'!$A$2:$E$129,4,FALSE))</f>
        <v/>
      </c>
      <c r="AK197" s="520" t="str">
        <f t="shared" si="31"/>
        <v/>
      </c>
      <c r="AL197" s="520" t="str">
        <f t="shared" si="32"/>
        <v/>
      </c>
      <c r="AM197" s="524" t="str">
        <f>IFERROR(IF(F197="","",IF(AH197="Check Data ⚠","Check Data ⚠",VLOOKUP(AL197, 'G-3 Multipliers'!$P$2:$Q$6,2,FALSE))),"")</f>
        <v/>
      </c>
      <c r="AN197" s="197"/>
      <c r="AO197" s="540" t="str">
        <f>IF(AN197="","",IF(VLOOKUP(AN197,'G-3 Multipliers'!$S$3:$T$9,2,FALSE)=0,"Spatial Data Missing ⚠",VLOOKUP(AN197,'G-3 Multipliers'!$S$3:$T$9,2,FALSE)))</f>
        <v/>
      </c>
      <c r="AP197" s="513" t="str">
        <f t="shared" si="33"/>
        <v/>
      </c>
      <c r="AQ197" s="231"/>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7" t="str">
        <f>'D-1 Off Site Habitat Baseline'!AL197</f>
        <v/>
      </c>
      <c r="F198" s="520" t="str">
        <f>IF(E198="","",IF(ISNA(VLOOKUP($E198,'D-1 Off Site Habitat Baseline'!$D$1:$O$258,4,FALSE)),"",(VLOOKUP($E198,'D-1 Off Site Habitat Baseline'!$D$1:$O$258,4,FALSE))))</f>
        <v/>
      </c>
      <c r="G198" s="520" t="str">
        <f>IF(E198="","",IF(ISNA(VLOOKUP($E198,'D-1 Off Site Habitat Baseline'!$D$1:$O$258,5,FALSE)),"",(VLOOKUP($E198,'D-1 Off Site Habitat Baseline'!$D$1:$O$258,5,FALSE))))</f>
        <v/>
      </c>
      <c r="H198" s="520" t="str">
        <f>IF(E198="","",IF(ISNA(VLOOKUP($E198,'D-1 Off Site Habitat Baseline'!$D$1:$O$258,6,FALSE)),"",(VLOOKUP($E198,'D-1 Off Site Habitat Baseline'!$D$1:$O$258,6,FALSE))))</f>
        <v/>
      </c>
      <c r="I198" s="520" t="str">
        <f>IF(E198="","",IF(ISNA(VLOOKUP($E198,'D-1 Off Site Habitat Baseline'!$D$1:$O$258,7,FALSE)),"",(VLOOKUP($E198,'D-1 Off Site Habitat Baseline'!$D$1:$O$258,7,FALSE))))</f>
        <v/>
      </c>
      <c r="J198" s="520" t="str">
        <f>IF(E198="","",IF(ISNA(VLOOKUP($E198,'D-1 Off Site Habitat Baseline'!$D$1:$O$258,8,FALSE)),"",(VLOOKUP($E198,'D-1 Off Site Habitat Baseline'!$D$1:$O$258,8,FALSE))))</f>
        <v/>
      </c>
      <c r="K198" s="520" t="str">
        <f>IF(E198="","",IF(ISNA(VLOOKUP($E198,'D-1 Off Site Habitat Baseline'!$D$1:$O$258,9,FALSE)),"",(VLOOKUP($E198,'D-1 Off Site Habitat Baseline'!$D$1:$O$258,9,FALSE))))</f>
        <v/>
      </c>
      <c r="L198" s="520" t="str">
        <f>IF(E198="","",IF(ISNA(VLOOKUP($E198,'D-1 Off Site Habitat Baseline'!$D$1:$O$258,11,FALSE)),"",(VLOOKUP($E198,'D-1 Off Site Habitat Baseline'!$D$1:$O$258,11,FALSE))))</f>
        <v/>
      </c>
      <c r="M198" s="520" t="str">
        <f>IF(E198="","",IF(ISNA(VLOOKUP($E198,'D-1 Off Site Habitat Baseline'!$D$1:$O$258,12,FALSE)),"",(VLOOKUP($E198,'D-1 Off Site Habitat Baseline'!$D$1:$O$258,12,FALSE))))</f>
        <v/>
      </c>
      <c r="N198" s="520" t="str">
        <f>IF(E198="","",IF(ISNA(VLOOKUP($E198,'D-1 Off Site Habitat Baseline'!$D$1:$X$258,14,FALSE)),"",(VLOOKUP($E198,'D-1 Off Site Habitat Baseline'!$D$1:$X$258,14,FALSE))))</f>
        <v/>
      </c>
      <c r="O198" s="524" t="str">
        <f>IF(E198="","",IF(ISNA(VLOOKUP($E198,'D-1 Off Site Habitat Baseline'!$D$1:$X$258,13,FALSE)),"",(VLOOKUP($E198,'D-1 Off Site Habitat Baseline'!$D$1:$X$258,13,FALSE))))</f>
        <v/>
      </c>
      <c r="P198" s="232" t="str">
        <f>IFERROR(INDEX('G-1 All Habitats'!$AG$3:$AG$15,MATCH(Q198,'G-1 All Habitats'!$AF$3:$AF$15,0)),"")</f>
        <v/>
      </c>
      <c r="Q198" s="228" t="str">
        <f t="shared" si="34"/>
        <v/>
      </c>
      <c r="R198" s="229" t="str">
        <f t="shared" si="35"/>
        <v/>
      </c>
      <c r="S198" s="233" t="str">
        <f>IFERROR(INDEX('G-1 All Habitats'!$B$3:$B$129,MATCH(R198,'G-1 All Habitats'!$A$3:$A$129,0)),"")</f>
        <v/>
      </c>
      <c r="T198" s="507" t="str">
        <f t="shared" si="27"/>
        <v/>
      </c>
      <c r="U198" s="524" t="str">
        <f t="shared" si="28"/>
        <v/>
      </c>
      <c r="V198" s="523" t="str">
        <f t="shared" si="25"/>
        <v/>
      </c>
      <c r="W198" s="520" t="str">
        <f>IF(S198="","",VLOOKUP(S198,'G-1 All Habitats'!$B$2:$M$129,10,FALSE))</f>
        <v/>
      </c>
      <c r="X198" s="520" t="str">
        <f>IFERROR(VLOOKUP(W198,'G-1 All Habitats'!$V$3:$W$7,2,FALSE),"")</f>
        <v/>
      </c>
      <c r="Y198" s="203"/>
      <c r="Z198" s="524" t="str">
        <f>IFERROR(INDEX('G-8 Condition Look up'!$A$3:$H$130,MATCH(S198,'G-8 Condition Look up'!$A$3:$A$130,0),MATCH(Y198,'G-8 Condition Look up'!$A$3:$H$3,0)),"")</f>
        <v/>
      </c>
      <c r="AA198" s="145"/>
      <c r="AB198" s="540" t="str">
        <f>IF(AA198="","",IF(VLOOKUP(AA198,'G-3 Multipliers'!$L$3:$N$6,2,FALSE)=0,"Spatial Data Missing ⚠",VLOOKUP(AA198,'G-3 Multipliers'!$L$3:$N$6,2,FALSE)))</f>
        <v/>
      </c>
      <c r="AC198" s="524" t="str">
        <f>IF(AA198="","",IF(VLOOKUP(AA198,'G-3 Multipliers'!$L$3:$N$6,3,FALSE)=0,"Spatial Data Missing ⚠",VLOOKUP(AA198,'G-3 Multipliers'!$L$3:$N$6,3,FALSE)))</f>
        <v/>
      </c>
      <c r="AD198" s="537" t="str">
        <f t="shared" si="26"/>
        <v/>
      </c>
      <c r="AE198" s="203"/>
      <c r="AF198" s="203"/>
      <c r="AG198" s="520" t="str">
        <f t="shared" si="29"/>
        <v/>
      </c>
      <c r="AH198" s="544" t="str">
        <f t="shared" si="30"/>
        <v/>
      </c>
      <c r="AI198" s="525" t="str">
        <f>IF(AH198="Check Data ⚠","Check Data ⚠",IFERROR(VLOOKUP(AH198,'G-4 Temporal multipliers'!$A$4:$C$36,3,FALSE),""))</f>
        <v/>
      </c>
      <c r="AJ198" s="537" t="str">
        <f>IF(S198="","",VLOOKUP(S198,'G-3 Multipliers'!$A$2:$E$129,4,FALSE))</f>
        <v/>
      </c>
      <c r="AK198" s="520" t="str">
        <f t="shared" si="31"/>
        <v/>
      </c>
      <c r="AL198" s="520" t="str">
        <f t="shared" si="32"/>
        <v/>
      </c>
      <c r="AM198" s="524" t="str">
        <f>IFERROR(IF(F198="","",IF(AH198="Check Data ⚠","Check Data ⚠",VLOOKUP(AL198, 'G-3 Multipliers'!$P$2:$Q$6,2,FALSE))),"")</f>
        <v/>
      </c>
      <c r="AN198" s="197"/>
      <c r="AO198" s="540" t="str">
        <f>IF(AN198="","",IF(VLOOKUP(AN198,'G-3 Multipliers'!$S$3:$T$9,2,FALSE)=0,"Spatial Data Missing ⚠",VLOOKUP(AN198,'G-3 Multipliers'!$S$3:$T$9,2,FALSE)))</f>
        <v/>
      </c>
      <c r="AP198" s="513" t="str">
        <f t="shared" si="33"/>
        <v/>
      </c>
      <c r="AQ198" s="231"/>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7" t="str">
        <f>'D-1 Off Site Habitat Baseline'!AL198</f>
        <v/>
      </c>
      <c r="F199" s="520" t="str">
        <f>IF(E199="","",IF(ISNA(VLOOKUP($E199,'D-1 Off Site Habitat Baseline'!$D$1:$O$258,4,FALSE)),"",(VLOOKUP($E199,'D-1 Off Site Habitat Baseline'!$D$1:$O$258,4,FALSE))))</f>
        <v/>
      </c>
      <c r="G199" s="520" t="str">
        <f>IF(E199="","",IF(ISNA(VLOOKUP($E199,'D-1 Off Site Habitat Baseline'!$D$1:$O$258,5,FALSE)),"",(VLOOKUP($E199,'D-1 Off Site Habitat Baseline'!$D$1:$O$258,5,FALSE))))</f>
        <v/>
      </c>
      <c r="H199" s="520" t="str">
        <f>IF(E199="","",IF(ISNA(VLOOKUP($E199,'D-1 Off Site Habitat Baseline'!$D$1:$O$258,6,FALSE)),"",(VLOOKUP($E199,'D-1 Off Site Habitat Baseline'!$D$1:$O$258,6,FALSE))))</f>
        <v/>
      </c>
      <c r="I199" s="520" t="str">
        <f>IF(E199="","",IF(ISNA(VLOOKUP($E199,'D-1 Off Site Habitat Baseline'!$D$1:$O$258,7,FALSE)),"",(VLOOKUP($E199,'D-1 Off Site Habitat Baseline'!$D$1:$O$258,7,FALSE))))</f>
        <v/>
      </c>
      <c r="J199" s="520" t="str">
        <f>IF(E199="","",IF(ISNA(VLOOKUP($E199,'D-1 Off Site Habitat Baseline'!$D$1:$O$258,8,FALSE)),"",(VLOOKUP($E199,'D-1 Off Site Habitat Baseline'!$D$1:$O$258,8,FALSE))))</f>
        <v/>
      </c>
      <c r="K199" s="520" t="str">
        <f>IF(E199="","",IF(ISNA(VLOOKUP($E199,'D-1 Off Site Habitat Baseline'!$D$1:$O$258,9,FALSE)),"",(VLOOKUP($E199,'D-1 Off Site Habitat Baseline'!$D$1:$O$258,9,FALSE))))</f>
        <v/>
      </c>
      <c r="L199" s="520" t="str">
        <f>IF(E199="","",IF(ISNA(VLOOKUP($E199,'D-1 Off Site Habitat Baseline'!$D$1:$O$258,11,FALSE)),"",(VLOOKUP($E199,'D-1 Off Site Habitat Baseline'!$D$1:$O$258,11,FALSE))))</f>
        <v/>
      </c>
      <c r="M199" s="520" t="str">
        <f>IF(E199="","",IF(ISNA(VLOOKUP($E199,'D-1 Off Site Habitat Baseline'!$D$1:$O$258,12,FALSE)),"",(VLOOKUP($E199,'D-1 Off Site Habitat Baseline'!$D$1:$O$258,12,FALSE))))</f>
        <v/>
      </c>
      <c r="N199" s="520" t="str">
        <f>IF(E199="","",IF(ISNA(VLOOKUP($E199,'D-1 Off Site Habitat Baseline'!$D$1:$X$258,14,FALSE)),"",(VLOOKUP($E199,'D-1 Off Site Habitat Baseline'!$D$1:$X$258,14,FALSE))))</f>
        <v/>
      </c>
      <c r="O199" s="524" t="str">
        <f>IF(E199="","",IF(ISNA(VLOOKUP($E199,'D-1 Off Site Habitat Baseline'!$D$1:$X$258,13,FALSE)),"",(VLOOKUP($E199,'D-1 Off Site Habitat Baseline'!$D$1:$X$258,13,FALSE))))</f>
        <v/>
      </c>
      <c r="P199" s="232" t="str">
        <f>IFERROR(INDEX('G-1 All Habitats'!$AG$3:$AG$15,MATCH(Q199,'G-1 All Habitats'!$AF$3:$AF$15,0)),"")</f>
        <v/>
      </c>
      <c r="Q199" s="228" t="str">
        <f t="shared" si="34"/>
        <v/>
      </c>
      <c r="R199" s="229" t="str">
        <f t="shared" si="35"/>
        <v/>
      </c>
      <c r="S199" s="233" t="str">
        <f>IFERROR(INDEX('G-1 All Habitats'!$B$3:$B$129,MATCH(R199,'G-1 All Habitats'!$A$3:$A$129,0)),"")</f>
        <v/>
      </c>
      <c r="T199" s="507" t="str">
        <f t="shared" si="27"/>
        <v/>
      </c>
      <c r="U199" s="524" t="str">
        <f t="shared" si="28"/>
        <v/>
      </c>
      <c r="V199" s="523" t="str">
        <f t="shared" si="25"/>
        <v/>
      </c>
      <c r="W199" s="520" t="str">
        <f>IF(S199="","",VLOOKUP(S199,'G-1 All Habitats'!$B$2:$M$129,10,FALSE))</f>
        <v/>
      </c>
      <c r="X199" s="520" t="str">
        <f>IFERROR(VLOOKUP(W199,'G-1 All Habitats'!$V$3:$W$7,2,FALSE),"")</f>
        <v/>
      </c>
      <c r="Y199" s="203"/>
      <c r="Z199" s="524" t="str">
        <f>IFERROR(INDEX('G-8 Condition Look up'!$A$3:$H$130,MATCH(S199,'G-8 Condition Look up'!$A$3:$A$130,0),MATCH(Y199,'G-8 Condition Look up'!$A$3:$H$3,0)),"")</f>
        <v/>
      </c>
      <c r="AA199" s="145"/>
      <c r="AB199" s="540" t="str">
        <f>IF(AA199="","",IF(VLOOKUP(AA199,'G-3 Multipliers'!$L$3:$N$6,2,FALSE)=0,"Spatial Data Missing ⚠",VLOOKUP(AA199,'G-3 Multipliers'!$L$3:$N$6,2,FALSE)))</f>
        <v/>
      </c>
      <c r="AC199" s="524" t="str">
        <f>IF(AA199="","",IF(VLOOKUP(AA199,'G-3 Multipliers'!$L$3:$N$6,3,FALSE)=0,"Spatial Data Missing ⚠",VLOOKUP(AA199,'G-3 Multipliers'!$L$3:$N$6,3,FALSE)))</f>
        <v/>
      </c>
      <c r="AD199" s="537" t="str">
        <f t="shared" si="26"/>
        <v/>
      </c>
      <c r="AE199" s="203"/>
      <c r="AF199" s="203"/>
      <c r="AG199" s="520" t="str">
        <f t="shared" si="29"/>
        <v/>
      </c>
      <c r="AH199" s="544" t="str">
        <f t="shared" si="30"/>
        <v/>
      </c>
      <c r="AI199" s="525" t="str">
        <f>IF(AH199="Check Data ⚠","Check Data ⚠",IFERROR(VLOOKUP(AH199,'G-4 Temporal multipliers'!$A$4:$C$36,3,FALSE),""))</f>
        <v/>
      </c>
      <c r="AJ199" s="537" t="str">
        <f>IF(S199="","",VLOOKUP(S199,'G-3 Multipliers'!$A$2:$E$129,4,FALSE))</f>
        <v/>
      </c>
      <c r="AK199" s="520" t="str">
        <f t="shared" si="31"/>
        <v/>
      </c>
      <c r="AL199" s="520" t="str">
        <f t="shared" si="32"/>
        <v/>
      </c>
      <c r="AM199" s="524" t="str">
        <f>IFERROR(IF(F199="","",IF(AH199="Check Data ⚠","Check Data ⚠",VLOOKUP(AL199, 'G-3 Multipliers'!$P$2:$Q$6,2,FALSE))),"")</f>
        <v/>
      </c>
      <c r="AN199" s="197"/>
      <c r="AO199" s="540" t="str">
        <f>IF(AN199="","",IF(VLOOKUP(AN199,'G-3 Multipliers'!$S$3:$T$9,2,FALSE)=0,"Spatial Data Missing ⚠",VLOOKUP(AN199,'G-3 Multipliers'!$S$3:$T$9,2,FALSE)))</f>
        <v/>
      </c>
      <c r="AP199" s="513" t="str">
        <f t="shared" si="33"/>
        <v/>
      </c>
      <c r="AQ199" s="231"/>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7" t="str">
        <f>'D-1 Off Site Habitat Baseline'!AL199</f>
        <v/>
      </c>
      <c r="F200" s="520" t="str">
        <f>IF(E200="","",IF(ISNA(VLOOKUP($E200,'D-1 Off Site Habitat Baseline'!$D$1:$O$258,4,FALSE)),"",(VLOOKUP($E200,'D-1 Off Site Habitat Baseline'!$D$1:$O$258,4,FALSE))))</f>
        <v/>
      </c>
      <c r="G200" s="520" t="str">
        <f>IF(E200="","",IF(ISNA(VLOOKUP($E200,'D-1 Off Site Habitat Baseline'!$D$1:$O$258,5,FALSE)),"",(VLOOKUP($E200,'D-1 Off Site Habitat Baseline'!$D$1:$O$258,5,FALSE))))</f>
        <v/>
      </c>
      <c r="H200" s="520" t="str">
        <f>IF(E200="","",IF(ISNA(VLOOKUP($E200,'D-1 Off Site Habitat Baseline'!$D$1:$O$258,6,FALSE)),"",(VLOOKUP($E200,'D-1 Off Site Habitat Baseline'!$D$1:$O$258,6,FALSE))))</f>
        <v/>
      </c>
      <c r="I200" s="520" t="str">
        <f>IF(E200="","",IF(ISNA(VLOOKUP($E200,'D-1 Off Site Habitat Baseline'!$D$1:$O$258,7,FALSE)),"",(VLOOKUP($E200,'D-1 Off Site Habitat Baseline'!$D$1:$O$258,7,FALSE))))</f>
        <v/>
      </c>
      <c r="J200" s="520" t="str">
        <f>IF(E200="","",IF(ISNA(VLOOKUP($E200,'D-1 Off Site Habitat Baseline'!$D$1:$O$258,8,FALSE)),"",(VLOOKUP($E200,'D-1 Off Site Habitat Baseline'!$D$1:$O$258,8,FALSE))))</f>
        <v/>
      </c>
      <c r="K200" s="520" t="str">
        <f>IF(E200="","",IF(ISNA(VLOOKUP($E200,'D-1 Off Site Habitat Baseline'!$D$1:$O$258,9,FALSE)),"",(VLOOKUP($E200,'D-1 Off Site Habitat Baseline'!$D$1:$O$258,9,FALSE))))</f>
        <v/>
      </c>
      <c r="L200" s="520" t="str">
        <f>IF(E200="","",IF(ISNA(VLOOKUP($E200,'D-1 Off Site Habitat Baseline'!$D$1:$O$258,11,FALSE)),"",(VLOOKUP($E200,'D-1 Off Site Habitat Baseline'!$D$1:$O$258,11,FALSE))))</f>
        <v/>
      </c>
      <c r="M200" s="520" t="str">
        <f>IF(E200="","",IF(ISNA(VLOOKUP($E200,'D-1 Off Site Habitat Baseline'!$D$1:$O$258,12,FALSE)),"",(VLOOKUP($E200,'D-1 Off Site Habitat Baseline'!$D$1:$O$258,12,FALSE))))</f>
        <v/>
      </c>
      <c r="N200" s="520" t="str">
        <f>IF(E200="","",IF(ISNA(VLOOKUP($E200,'D-1 Off Site Habitat Baseline'!$D$1:$X$258,14,FALSE)),"",(VLOOKUP($E200,'D-1 Off Site Habitat Baseline'!$D$1:$X$258,14,FALSE))))</f>
        <v/>
      </c>
      <c r="O200" s="524" t="str">
        <f>IF(E200="","",IF(ISNA(VLOOKUP($E200,'D-1 Off Site Habitat Baseline'!$D$1:$X$258,13,FALSE)),"",(VLOOKUP($E200,'D-1 Off Site Habitat Baseline'!$D$1:$X$258,13,FALSE))))</f>
        <v/>
      </c>
      <c r="P200" s="232" t="str">
        <f>IFERROR(INDEX('G-1 All Habitats'!$AG$3:$AG$15,MATCH(Q200,'G-1 All Habitats'!$AF$3:$AF$15,0)),"")</f>
        <v/>
      </c>
      <c r="Q200" s="228" t="str">
        <f t="shared" si="34"/>
        <v/>
      </c>
      <c r="R200" s="229" t="str">
        <f t="shared" si="35"/>
        <v/>
      </c>
      <c r="S200" s="233" t="str">
        <f>IFERROR(INDEX('G-1 All Habitats'!$B$3:$B$129,MATCH(R200,'G-1 All Habitats'!$A$3:$A$129,0)),"")</f>
        <v/>
      </c>
      <c r="T200" s="507" t="str">
        <f t="shared" si="27"/>
        <v/>
      </c>
      <c r="U200" s="524" t="str">
        <f t="shared" si="28"/>
        <v/>
      </c>
      <c r="V200" s="523" t="str">
        <f t="shared" si="25"/>
        <v/>
      </c>
      <c r="W200" s="520" t="str">
        <f>IF(S200="","",VLOOKUP(S200,'G-1 All Habitats'!$B$2:$M$129,10,FALSE))</f>
        <v/>
      </c>
      <c r="X200" s="520" t="str">
        <f>IFERROR(VLOOKUP(W200,'G-1 All Habitats'!$V$3:$W$7,2,FALSE),"")</f>
        <v/>
      </c>
      <c r="Y200" s="203"/>
      <c r="Z200" s="524" t="str">
        <f>IFERROR(INDEX('G-8 Condition Look up'!$A$3:$H$130,MATCH(S200,'G-8 Condition Look up'!$A$3:$A$130,0),MATCH(Y200,'G-8 Condition Look up'!$A$3:$H$3,0)),"")</f>
        <v/>
      </c>
      <c r="AA200" s="145"/>
      <c r="AB200" s="540" t="str">
        <f>IF(AA200="","",IF(VLOOKUP(AA200,'G-3 Multipliers'!$L$3:$N$6,2,FALSE)=0,"Spatial Data Missing ⚠",VLOOKUP(AA200,'G-3 Multipliers'!$L$3:$N$6,2,FALSE)))</f>
        <v/>
      </c>
      <c r="AC200" s="524" t="str">
        <f>IF(AA200="","",IF(VLOOKUP(AA200,'G-3 Multipliers'!$L$3:$N$6,3,FALSE)=0,"Spatial Data Missing ⚠",VLOOKUP(AA200,'G-3 Multipliers'!$L$3:$N$6,3,FALSE)))</f>
        <v/>
      </c>
      <c r="AD200" s="537" t="str">
        <f t="shared" si="26"/>
        <v/>
      </c>
      <c r="AE200" s="203"/>
      <c r="AF200" s="203"/>
      <c r="AG200" s="520" t="str">
        <f t="shared" si="29"/>
        <v/>
      </c>
      <c r="AH200" s="544" t="str">
        <f t="shared" si="30"/>
        <v/>
      </c>
      <c r="AI200" s="525" t="str">
        <f>IF(AH200="Check Data ⚠","Check Data ⚠",IFERROR(VLOOKUP(AH200,'G-4 Temporal multipliers'!$A$4:$C$36,3,FALSE),""))</f>
        <v/>
      </c>
      <c r="AJ200" s="537" t="str">
        <f>IF(S200="","",VLOOKUP(S200,'G-3 Multipliers'!$A$2:$E$129,4,FALSE))</f>
        <v/>
      </c>
      <c r="AK200" s="520" t="str">
        <f t="shared" si="31"/>
        <v/>
      </c>
      <c r="AL200" s="520" t="str">
        <f t="shared" si="32"/>
        <v/>
      </c>
      <c r="AM200" s="524" t="str">
        <f>IFERROR(IF(F200="","",IF(AH200="Check Data ⚠","Check Data ⚠",VLOOKUP(AL200, 'G-3 Multipliers'!$P$2:$Q$6,2,FALSE))),"")</f>
        <v/>
      </c>
      <c r="AN200" s="197"/>
      <c r="AO200" s="540" t="str">
        <f>IF(AN200="","",IF(VLOOKUP(AN200,'G-3 Multipliers'!$S$3:$T$9,2,FALSE)=0,"Spatial Data Missing ⚠",VLOOKUP(AN200,'G-3 Multipliers'!$S$3:$T$9,2,FALSE)))</f>
        <v/>
      </c>
      <c r="AP200" s="513" t="str">
        <f t="shared" si="33"/>
        <v/>
      </c>
      <c r="AQ200" s="231"/>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7" t="str">
        <f>'D-1 Off Site Habitat Baseline'!AL200</f>
        <v/>
      </c>
      <c r="F201" s="520" t="str">
        <f>IF(E201="","",IF(ISNA(VLOOKUP($E201,'D-1 Off Site Habitat Baseline'!$D$1:$O$258,4,FALSE)),"",(VLOOKUP($E201,'D-1 Off Site Habitat Baseline'!$D$1:$O$258,4,FALSE))))</f>
        <v/>
      </c>
      <c r="G201" s="520" t="str">
        <f>IF(E201="","",IF(ISNA(VLOOKUP($E201,'D-1 Off Site Habitat Baseline'!$D$1:$O$258,5,FALSE)),"",(VLOOKUP($E201,'D-1 Off Site Habitat Baseline'!$D$1:$O$258,5,FALSE))))</f>
        <v/>
      </c>
      <c r="H201" s="520" t="str">
        <f>IF(E201="","",IF(ISNA(VLOOKUP($E201,'D-1 Off Site Habitat Baseline'!$D$1:$O$258,6,FALSE)),"",(VLOOKUP($E201,'D-1 Off Site Habitat Baseline'!$D$1:$O$258,6,FALSE))))</f>
        <v/>
      </c>
      <c r="I201" s="520" t="str">
        <f>IF(E201="","",IF(ISNA(VLOOKUP($E201,'D-1 Off Site Habitat Baseline'!$D$1:$O$258,7,FALSE)),"",(VLOOKUP($E201,'D-1 Off Site Habitat Baseline'!$D$1:$O$258,7,FALSE))))</f>
        <v/>
      </c>
      <c r="J201" s="520" t="str">
        <f>IF(E201="","",IF(ISNA(VLOOKUP($E201,'D-1 Off Site Habitat Baseline'!$D$1:$O$258,8,FALSE)),"",(VLOOKUP($E201,'D-1 Off Site Habitat Baseline'!$D$1:$O$258,8,FALSE))))</f>
        <v/>
      </c>
      <c r="K201" s="520" t="str">
        <f>IF(E201="","",IF(ISNA(VLOOKUP($E201,'D-1 Off Site Habitat Baseline'!$D$1:$O$258,9,FALSE)),"",(VLOOKUP($E201,'D-1 Off Site Habitat Baseline'!$D$1:$O$258,9,FALSE))))</f>
        <v/>
      </c>
      <c r="L201" s="520" t="str">
        <f>IF(E201="","",IF(ISNA(VLOOKUP($E201,'D-1 Off Site Habitat Baseline'!$D$1:$O$258,11,FALSE)),"",(VLOOKUP($E201,'D-1 Off Site Habitat Baseline'!$D$1:$O$258,11,FALSE))))</f>
        <v/>
      </c>
      <c r="M201" s="520" t="str">
        <f>IF(E201="","",IF(ISNA(VLOOKUP($E201,'D-1 Off Site Habitat Baseline'!$D$1:$O$258,12,FALSE)),"",(VLOOKUP($E201,'D-1 Off Site Habitat Baseline'!$D$1:$O$258,12,FALSE))))</f>
        <v/>
      </c>
      <c r="N201" s="520" t="str">
        <f>IF(E201="","",IF(ISNA(VLOOKUP($E201,'D-1 Off Site Habitat Baseline'!$D$1:$X$258,14,FALSE)),"",(VLOOKUP($E201,'D-1 Off Site Habitat Baseline'!$D$1:$X$258,14,FALSE))))</f>
        <v/>
      </c>
      <c r="O201" s="524" t="str">
        <f>IF(E201="","",IF(ISNA(VLOOKUP($E201,'D-1 Off Site Habitat Baseline'!$D$1:$X$258,13,FALSE)),"",(VLOOKUP($E201,'D-1 Off Site Habitat Baseline'!$D$1:$X$258,13,FALSE))))</f>
        <v/>
      </c>
      <c r="P201" s="232" t="str">
        <f>IFERROR(INDEX('G-1 All Habitats'!$AG$3:$AG$15,MATCH(Q201,'G-1 All Habitats'!$AF$3:$AF$15,0)),"")</f>
        <v/>
      </c>
      <c r="Q201" s="228" t="str">
        <f t="shared" si="34"/>
        <v/>
      </c>
      <c r="R201" s="229" t="str">
        <f t="shared" si="35"/>
        <v/>
      </c>
      <c r="S201" s="233" t="str">
        <f>IFERROR(INDEX('G-1 All Habitats'!$B$3:$B$129,MATCH(R201,'G-1 All Habitats'!$A$3:$A$129,0)),"")</f>
        <v/>
      </c>
      <c r="T201" s="507" t="str">
        <f t="shared" si="27"/>
        <v/>
      </c>
      <c r="U201" s="524" t="str">
        <f t="shared" si="28"/>
        <v/>
      </c>
      <c r="V201" s="523" t="str">
        <f t="shared" si="25"/>
        <v/>
      </c>
      <c r="W201" s="520" t="str">
        <f>IF(S201="","",VLOOKUP(S201,'G-1 All Habitats'!$B$2:$M$129,10,FALSE))</f>
        <v/>
      </c>
      <c r="X201" s="520" t="str">
        <f>IFERROR(VLOOKUP(W201,'G-1 All Habitats'!$V$3:$W$7,2,FALSE),"")</f>
        <v/>
      </c>
      <c r="Y201" s="203"/>
      <c r="Z201" s="524" t="str">
        <f>IFERROR(INDEX('G-8 Condition Look up'!$A$3:$H$130,MATCH(S201,'G-8 Condition Look up'!$A$3:$A$130,0),MATCH(Y201,'G-8 Condition Look up'!$A$3:$H$3,0)),"")</f>
        <v/>
      </c>
      <c r="AA201" s="145"/>
      <c r="AB201" s="540" t="str">
        <f>IF(AA201="","",IF(VLOOKUP(AA201,'G-3 Multipliers'!$L$3:$N$6,2,FALSE)=0,"Spatial Data Missing ⚠",VLOOKUP(AA201,'G-3 Multipliers'!$L$3:$N$6,2,FALSE)))</f>
        <v/>
      </c>
      <c r="AC201" s="524" t="str">
        <f>IF(AA201="","",IF(VLOOKUP(AA201,'G-3 Multipliers'!$L$3:$N$6,3,FALSE)=0,"Spatial Data Missing ⚠",VLOOKUP(AA201,'G-3 Multipliers'!$L$3:$N$6,3,FALSE)))</f>
        <v/>
      </c>
      <c r="AD201" s="537" t="str">
        <f t="shared" si="26"/>
        <v/>
      </c>
      <c r="AE201" s="203"/>
      <c r="AF201" s="203"/>
      <c r="AG201" s="520" t="str">
        <f t="shared" si="29"/>
        <v/>
      </c>
      <c r="AH201" s="544" t="str">
        <f t="shared" si="30"/>
        <v/>
      </c>
      <c r="AI201" s="525" t="str">
        <f>IF(AH201="Check Data ⚠","Check Data ⚠",IFERROR(VLOOKUP(AH201,'G-4 Temporal multipliers'!$A$4:$C$36,3,FALSE),""))</f>
        <v/>
      </c>
      <c r="AJ201" s="537" t="str">
        <f>IF(S201="","",VLOOKUP(S201,'G-3 Multipliers'!$A$2:$E$129,4,FALSE))</f>
        <v/>
      </c>
      <c r="AK201" s="520" t="str">
        <f t="shared" si="31"/>
        <v/>
      </c>
      <c r="AL201" s="520" t="str">
        <f t="shared" si="32"/>
        <v/>
      </c>
      <c r="AM201" s="524" t="str">
        <f>IFERROR(IF(F201="","",IF(AH201="Check Data ⚠","Check Data ⚠",VLOOKUP(AL201, 'G-3 Multipliers'!$P$2:$Q$6,2,FALSE))),"")</f>
        <v/>
      </c>
      <c r="AN201" s="197"/>
      <c r="AO201" s="540" t="str">
        <f>IF(AN201="","",IF(VLOOKUP(AN201,'G-3 Multipliers'!$S$3:$T$9,2,FALSE)=0,"Spatial Data Missing ⚠",VLOOKUP(AN201,'G-3 Multipliers'!$S$3:$T$9,2,FALSE)))</f>
        <v/>
      </c>
      <c r="AP201" s="513" t="str">
        <f t="shared" si="33"/>
        <v/>
      </c>
      <c r="AQ201" s="231"/>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7" t="str">
        <f>'D-1 Off Site Habitat Baseline'!AL201</f>
        <v/>
      </c>
      <c r="F202" s="520" t="str">
        <f>IF(E202="","",IF(ISNA(VLOOKUP($E202,'D-1 Off Site Habitat Baseline'!$D$1:$O$258,4,FALSE)),"",(VLOOKUP($E202,'D-1 Off Site Habitat Baseline'!$D$1:$O$258,4,FALSE))))</f>
        <v/>
      </c>
      <c r="G202" s="520" t="str">
        <f>IF(E202="","",IF(ISNA(VLOOKUP($E202,'D-1 Off Site Habitat Baseline'!$D$1:$O$258,5,FALSE)),"",(VLOOKUP($E202,'D-1 Off Site Habitat Baseline'!$D$1:$O$258,5,FALSE))))</f>
        <v/>
      </c>
      <c r="H202" s="520" t="str">
        <f>IF(E202="","",IF(ISNA(VLOOKUP($E202,'D-1 Off Site Habitat Baseline'!$D$1:$O$258,6,FALSE)),"",(VLOOKUP($E202,'D-1 Off Site Habitat Baseline'!$D$1:$O$258,6,FALSE))))</f>
        <v/>
      </c>
      <c r="I202" s="520" t="str">
        <f>IF(E202="","",IF(ISNA(VLOOKUP($E202,'D-1 Off Site Habitat Baseline'!$D$1:$O$258,7,FALSE)),"",(VLOOKUP($E202,'D-1 Off Site Habitat Baseline'!$D$1:$O$258,7,FALSE))))</f>
        <v/>
      </c>
      <c r="J202" s="520" t="str">
        <f>IF(E202="","",IF(ISNA(VLOOKUP($E202,'D-1 Off Site Habitat Baseline'!$D$1:$O$258,8,FALSE)),"",(VLOOKUP($E202,'D-1 Off Site Habitat Baseline'!$D$1:$O$258,8,FALSE))))</f>
        <v/>
      </c>
      <c r="K202" s="520" t="str">
        <f>IF(E202="","",IF(ISNA(VLOOKUP($E202,'D-1 Off Site Habitat Baseline'!$D$1:$O$258,9,FALSE)),"",(VLOOKUP($E202,'D-1 Off Site Habitat Baseline'!$D$1:$O$258,9,FALSE))))</f>
        <v/>
      </c>
      <c r="L202" s="520" t="str">
        <f>IF(E202="","",IF(ISNA(VLOOKUP($E202,'D-1 Off Site Habitat Baseline'!$D$1:$O$258,11,FALSE)),"",(VLOOKUP($E202,'D-1 Off Site Habitat Baseline'!$D$1:$O$258,11,FALSE))))</f>
        <v/>
      </c>
      <c r="M202" s="520" t="str">
        <f>IF(E202="","",IF(ISNA(VLOOKUP($E202,'D-1 Off Site Habitat Baseline'!$D$1:$O$258,12,FALSE)),"",(VLOOKUP($E202,'D-1 Off Site Habitat Baseline'!$D$1:$O$258,12,FALSE))))</f>
        <v/>
      </c>
      <c r="N202" s="520" t="str">
        <f>IF(E202="","",IF(ISNA(VLOOKUP($E202,'D-1 Off Site Habitat Baseline'!$D$1:$X$258,14,FALSE)),"",(VLOOKUP($E202,'D-1 Off Site Habitat Baseline'!$D$1:$X$258,14,FALSE))))</f>
        <v/>
      </c>
      <c r="O202" s="524" t="str">
        <f>IF(E202="","",IF(ISNA(VLOOKUP($E202,'D-1 Off Site Habitat Baseline'!$D$1:$X$258,13,FALSE)),"",(VLOOKUP($E202,'D-1 Off Site Habitat Baseline'!$D$1:$X$258,13,FALSE))))</f>
        <v/>
      </c>
      <c r="P202" s="232" t="str">
        <f>IFERROR(INDEX('G-1 All Habitats'!$AG$3:$AG$15,MATCH(Q202,'G-1 All Habitats'!$AF$3:$AF$15,0)),"")</f>
        <v/>
      </c>
      <c r="Q202" s="228" t="str">
        <f t="shared" si="34"/>
        <v/>
      </c>
      <c r="R202" s="229" t="str">
        <f t="shared" si="35"/>
        <v/>
      </c>
      <c r="S202" s="233" t="str">
        <f>IFERROR(INDEX('G-1 All Habitats'!$B$3:$B$129,MATCH(R202,'G-1 All Habitats'!$A$3:$A$129,0)),"")</f>
        <v/>
      </c>
      <c r="T202" s="507" t="str">
        <f t="shared" si="27"/>
        <v/>
      </c>
      <c r="U202" s="524" t="str">
        <f t="shared" si="28"/>
        <v/>
      </c>
      <c r="V202" s="523" t="str">
        <f t="shared" si="25"/>
        <v/>
      </c>
      <c r="W202" s="520" t="str">
        <f>IF(S202="","",VLOOKUP(S202,'G-1 All Habitats'!$B$2:$M$129,10,FALSE))</f>
        <v/>
      </c>
      <c r="X202" s="520" t="str">
        <f>IFERROR(VLOOKUP(W202,'G-1 All Habitats'!$V$3:$W$7,2,FALSE),"")</f>
        <v/>
      </c>
      <c r="Y202" s="203"/>
      <c r="Z202" s="524" t="str">
        <f>IFERROR(INDEX('G-8 Condition Look up'!$A$3:$H$130,MATCH(S202,'G-8 Condition Look up'!$A$3:$A$130,0),MATCH(Y202,'G-8 Condition Look up'!$A$3:$H$3,0)),"")</f>
        <v/>
      </c>
      <c r="AA202" s="145"/>
      <c r="AB202" s="540" t="str">
        <f>IF(AA202="","",IF(VLOOKUP(AA202,'G-3 Multipliers'!$L$3:$N$6,2,FALSE)=0,"Spatial Data Missing ⚠",VLOOKUP(AA202,'G-3 Multipliers'!$L$3:$N$6,2,FALSE)))</f>
        <v/>
      </c>
      <c r="AC202" s="524" t="str">
        <f>IF(AA202="","",IF(VLOOKUP(AA202,'G-3 Multipliers'!$L$3:$N$6,3,FALSE)=0,"Spatial Data Missing ⚠",VLOOKUP(AA202,'G-3 Multipliers'!$L$3:$N$6,3,FALSE)))</f>
        <v/>
      </c>
      <c r="AD202" s="537" t="str">
        <f t="shared" si="26"/>
        <v/>
      </c>
      <c r="AE202" s="203"/>
      <c r="AF202" s="203"/>
      <c r="AG202" s="520" t="str">
        <f t="shared" si="29"/>
        <v/>
      </c>
      <c r="AH202" s="544" t="str">
        <f t="shared" si="30"/>
        <v/>
      </c>
      <c r="AI202" s="525" t="str">
        <f>IF(AH202="Check Data ⚠","Check Data ⚠",IFERROR(VLOOKUP(AH202,'G-4 Temporal multipliers'!$A$4:$C$36,3,FALSE),""))</f>
        <v/>
      </c>
      <c r="AJ202" s="537" t="str">
        <f>IF(S202="","",VLOOKUP(S202,'G-3 Multipliers'!$A$2:$E$129,4,FALSE))</f>
        <v/>
      </c>
      <c r="AK202" s="520" t="str">
        <f t="shared" si="31"/>
        <v/>
      </c>
      <c r="AL202" s="520" t="str">
        <f t="shared" si="32"/>
        <v/>
      </c>
      <c r="AM202" s="524" t="str">
        <f>IFERROR(IF(F202="","",IF(AH202="Check Data ⚠","Check Data ⚠",VLOOKUP(AL202, 'G-3 Multipliers'!$P$2:$Q$6,2,FALSE))),"")</f>
        <v/>
      </c>
      <c r="AN202" s="197"/>
      <c r="AO202" s="540" t="str">
        <f>IF(AN202="","",IF(VLOOKUP(AN202,'G-3 Multipliers'!$S$3:$T$9,2,FALSE)=0,"Spatial Data Missing ⚠",VLOOKUP(AN202,'G-3 Multipliers'!$S$3:$T$9,2,FALSE)))</f>
        <v/>
      </c>
      <c r="AP202" s="513" t="str">
        <f t="shared" si="33"/>
        <v/>
      </c>
      <c r="AQ202" s="231"/>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7" t="str">
        <f>'D-1 Off Site Habitat Baseline'!AL202</f>
        <v/>
      </c>
      <c r="F203" s="520" t="str">
        <f>IF(E203="","",IF(ISNA(VLOOKUP($E203,'D-1 Off Site Habitat Baseline'!$D$1:$O$258,4,FALSE)),"",(VLOOKUP($E203,'D-1 Off Site Habitat Baseline'!$D$1:$O$258,4,FALSE))))</f>
        <v/>
      </c>
      <c r="G203" s="520" t="str">
        <f>IF(E203="","",IF(ISNA(VLOOKUP($E203,'D-1 Off Site Habitat Baseline'!$D$1:$O$258,5,FALSE)),"",(VLOOKUP($E203,'D-1 Off Site Habitat Baseline'!$D$1:$O$258,5,FALSE))))</f>
        <v/>
      </c>
      <c r="H203" s="520" t="str">
        <f>IF(E203="","",IF(ISNA(VLOOKUP($E203,'D-1 Off Site Habitat Baseline'!$D$1:$O$258,6,FALSE)),"",(VLOOKUP($E203,'D-1 Off Site Habitat Baseline'!$D$1:$O$258,6,FALSE))))</f>
        <v/>
      </c>
      <c r="I203" s="520" t="str">
        <f>IF(E203="","",IF(ISNA(VLOOKUP($E203,'D-1 Off Site Habitat Baseline'!$D$1:$O$258,7,FALSE)),"",(VLOOKUP($E203,'D-1 Off Site Habitat Baseline'!$D$1:$O$258,7,FALSE))))</f>
        <v/>
      </c>
      <c r="J203" s="520" t="str">
        <f>IF(E203="","",IF(ISNA(VLOOKUP($E203,'D-1 Off Site Habitat Baseline'!$D$1:$O$258,8,FALSE)),"",(VLOOKUP($E203,'D-1 Off Site Habitat Baseline'!$D$1:$O$258,8,FALSE))))</f>
        <v/>
      </c>
      <c r="K203" s="520" t="str">
        <f>IF(E203="","",IF(ISNA(VLOOKUP($E203,'D-1 Off Site Habitat Baseline'!$D$1:$O$258,9,FALSE)),"",(VLOOKUP($E203,'D-1 Off Site Habitat Baseline'!$D$1:$O$258,9,FALSE))))</f>
        <v/>
      </c>
      <c r="L203" s="520" t="str">
        <f>IF(E203="","",IF(ISNA(VLOOKUP($E203,'D-1 Off Site Habitat Baseline'!$D$1:$O$258,11,FALSE)),"",(VLOOKUP($E203,'D-1 Off Site Habitat Baseline'!$D$1:$O$258,11,FALSE))))</f>
        <v/>
      </c>
      <c r="M203" s="520" t="str">
        <f>IF(E203="","",IF(ISNA(VLOOKUP($E203,'D-1 Off Site Habitat Baseline'!$D$1:$O$258,12,FALSE)),"",(VLOOKUP($E203,'D-1 Off Site Habitat Baseline'!$D$1:$O$258,12,FALSE))))</f>
        <v/>
      </c>
      <c r="N203" s="520" t="str">
        <f>IF(E203="","",IF(ISNA(VLOOKUP($E203,'D-1 Off Site Habitat Baseline'!$D$1:$X$258,14,FALSE)),"",(VLOOKUP($E203,'D-1 Off Site Habitat Baseline'!$D$1:$X$258,14,FALSE))))</f>
        <v/>
      </c>
      <c r="O203" s="524" t="str">
        <f>IF(E203="","",IF(ISNA(VLOOKUP($E203,'D-1 Off Site Habitat Baseline'!$D$1:$X$258,13,FALSE)),"",(VLOOKUP($E203,'D-1 Off Site Habitat Baseline'!$D$1:$X$258,13,FALSE))))</f>
        <v/>
      </c>
      <c r="P203" s="232" t="str">
        <f>IFERROR(INDEX('G-1 All Habitats'!$AG$3:$AG$15,MATCH(Q203,'G-1 All Habitats'!$AF$3:$AF$15,0)),"")</f>
        <v/>
      </c>
      <c r="Q203" s="228" t="str">
        <f t="shared" si="34"/>
        <v/>
      </c>
      <c r="R203" s="229" t="str">
        <f t="shared" si="35"/>
        <v/>
      </c>
      <c r="S203" s="233" t="str">
        <f>IFERROR(INDEX('G-1 All Habitats'!$B$3:$B$129,MATCH(R203,'G-1 All Habitats'!$A$3:$A$129,0)),"")</f>
        <v/>
      </c>
      <c r="T203" s="507" t="str">
        <f t="shared" si="27"/>
        <v/>
      </c>
      <c r="U203" s="524" t="str">
        <f t="shared" si="28"/>
        <v/>
      </c>
      <c r="V203" s="523" t="str">
        <f t="shared" si="25"/>
        <v/>
      </c>
      <c r="W203" s="520" t="str">
        <f>IF(S203="","",VLOOKUP(S203,'G-1 All Habitats'!$B$2:$M$129,10,FALSE))</f>
        <v/>
      </c>
      <c r="X203" s="520" t="str">
        <f>IFERROR(VLOOKUP(W203,'G-1 All Habitats'!$V$3:$W$7,2,FALSE),"")</f>
        <v/>
      </c>
      <c r="Y203" s="203"/>
      <c r="Z203" s="524" t="str">
        <f>IFERROR(INDEX('G-8 Condition Look up'!$A$3:$H$130,MATCH(S203,'G-8 Condition Look up'!$A$3:$A$130,0),MATCH(Y203,'G-8 Condition Look up'!$A$3:$H$3,0)),"")</f>
        <v/>
      </c>
      <c r="AA203" s="145"/>
      <c r="AB203" s="540" t="str">
        <f>IF(AA203="","",IF(VLOOKUP(AA203,'G-3 Multipliers'!$L$3:$N$6,2,FALSE)=0,"Spatial Data Missing ⚠",VLOOKUP(AA203,'G-3 Multipliers'!$L$3:$N$6,2,FALSE)))</f>
        <v/>
      </c>
      <c r="AC203" s="524" t="str">
        <f>IF(AA203="","",IF(VLOOKUP(AA203,'G-3 Multipliers'!$L$3:$N$6,3,FALSE)=0,"Spatial Data Missing ⚠",VLOOKUP(AA203,'G-3 Multipliers'!$L$3:$N$6,3,FALSE)))</f>
        <v/>
      </c>
      <c r="AD203" s="537" t="str">
        <f t="shared" si="26"/>
        <v/>
      </c>
      <c r="AE203" s="203"/>
      <c r="AF203" s="203"/>
      <c r="AG203" s="520" t="str">
        <f t="shared" si="29"/>
        <v/>
      </c>
      <c r="AH203" s="544" t="str">
        <f t="shared" si="30"/>
        <v/>
      </c>
      <c r="AI203" s="525" t="str">
        <f>IF(AH203="Check Data ⚠","Check Data ⚠",IFERROR(VLOOKUP(AH203,'G-4 Temporal multipliers'!$A$4:$C$36,3,FALSE),""))</f>
        <v/>
      </c>
      <c r="AJ203" s="537" t="str">
        <f>IF(S203="","",VLOOKUP(S203,'G-3 Multipliers'!$A$2:$E$129,4,FALSE))</f>
        <v/>
      </c>
      <c r="AK203" s="520" t="str">
        <f t="shared" si="31"/>
        <v/>
      </c>
      <c r="AL203" s="520" t="str">
        <f t="shared" si="32"/>
        <v/>
      </c>
      <c r="AM203" s="524" t="str">
        <f>IFERROR(IF(F203="","",IF(AH203="Check Data ⚠","Check Data ⚠",VLOOKUP(AL203, 'G-3 Multipliers'!$P$2:$Q$6,2,FALSE))),"")</f>
        <v/>
      </c>
      <c r="AN203" s="197"/>
      <c r="AO203" s="540" t="str">
        <f>IF(AN203="","",IF(VLOOKUP(AN203,'G-3 Multipliers'!$S$3:$T$9,2,FALSE)=0,"Spatial Data Missing ⚠",VLOOKUP(AN203,'G-3 Multipliers'!$S$3:$T$9,2,FALSE)))</f>
        <v/>
      </c>
      <c r="AP203" s="513" t="str">
        <f t="shared" si="33"/>
        <v/>
      </c>
      <c r="AQ203" s="231"/>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7" t="str">
        <f>'D-1 Off Site Habitat Baseline'!AL203</f>
        <v/>
      </c>
      <c r="F204" s="520" t="str">
        <f>IF(E204="","",IF(ISNA(VLOOKUP($E204,'D-1 Off Site Habitat Baseline'!$D$1:$O$258,4,FALSE)),"",(VLOOKUP($E204,'D-1 Off Site Habitat Baseline'!$D$1:$O$258,4,FALSE))))</f>
        <v/>
      </c>
      <c r="G204" s="520" t="str">
        <f>IF(E204="","",IF(ISNA(VLOOKUP($E204,'D-1 Off Site Habitat Baseline'!$D$1:$O$258,5,FALSE)),"",(VLOOKUP($E204,'D-1 Off Site Habitat Baseline'!$D$1:$O$258,5,FALSE))))</f>
        <v/>
      </c>
      <c r="H204" s="520" t="str">
        <f>IF(E204="","",IF(ISNA(VLOOKUP($E204,'D-1 Off Site Habitat Baseline'!$D$1:$O$258,6,FALSE)),"",(VLOOKUP($E204,'D-1 Off Site Habitat Baseline'!$D$1:$O$258,6,FALSE))))</f>
        <v/>
      </c>
      <c r="I204" s="520" t="str">
        <f>IF(E204="","",IF(ISNA(VLOOKUP($E204,'D-1 Off Site Habitat Baseline'!$D$1:$O$258,7,FALSE)),"",(VLOOKUP($E204,'D-1 Off Site Habitat Baseline'!$D$1:$O$258,7,FALSE))))</f>
        <v/>
      </c>
      <c r="J204" s="520" t="str">
        <f>IF(E204="","",IF(ISNA(VLOOKUP($E204,'D-1 Off Site Habitat Baseline'!$D$1:$O$258,8,FALSE)),"",(VLOOKUP($E204,'D-1 Off Site Habitat Baseline'!$D$1:$O$258,8,FALSE))))</f>
        <v/>
      </c>
      <c r="K204" s="520" t="str">
        <f>IF(E204="","",IF(ISNA(VLOOKUP($E204,'D-1 Off Site Habitat Baseline'!$D$1:$O$258,9,FALSE)),"",(VLOOKUP($E204,'D-1 Off Site Habitat Baseline'!$D$1:$O$258,9,FALSE))))</f>
        <v/>
      </c>
      <c r="L204" s="520" t="str">
        <f>IF(E204="","",IF(ISNA(VLOOKUP($E204,'D-1 Off Site Habitat Baseline'!$D$1:$O$258,11,FALSE)),"",(VLOOKUP($E204,'D-1 Off Site Habitat Baseline'!$D$1:$O$258,11,FALSE))))</f>
        <v/>
      </c>
      <c r="M204" s="520" t="str">
        <f>IF(E204="","",IF(ISNA(VLOOKUP($E204,'D-1 Off Site Habitat Baseline'!$D$1:$O$258,12,FALSE)),"",(VLOOKUP($E204,'D-1 Off Site Habitat Baseline'!$D$1:$O$258,12,FALSE))))</f>
        <v/>
      </c>
      <c r="N204" s="520" t="str">
        <f>IF(E204="","",IF(ISNA(VLOOKUP($E204,'D-1 Off Site Habitat Baseline'!$D$1:$X$258,14,FALSE)),"",(VLOOKUP($E204,'D-1 Off Site Habitat Baseline'!$D$1:$X$258,14,FALSE))))</f>
        <v/>
      </c>
      <c r="O204" s="524" t="str">
        <f>IF(E204="","",IF(ISNA(VLOOKUP($E204,'D-1 Off Site Habitat Baseline'!$D$1:$X$258,13,FALSE)),"",(VLOOKUP($E204,'D-1 Off Site Habitat Baseline'!$D$1:$X$258,13,FALSE))))</f>
        <v/>
      </c>
      <c r="P204" s="232" t="str">
        <f>IFERROR(INDEX('G-1 All Habitats'!$AG$3:$AG$15,MATCH(Q204,'G-1 All Habitats'!$AF$3:$AF$15,0)),"")</f>
        <v/>
      </c>
      <c r="Q204" s="228" t="str">
        <f t="shared" si="34"/>
        <v/>
      </c>
      <c r="R204" s="229" t="str">
        <f t="shared" si="35"/>
        <v/>
      </c>
      <c r="S204" s="233" t="str">
        <f>IFERROR(INDEX('G-1 All Habitats'!$B$3:$B$129,MATCH(R204,'G-1 All Habitats'!$A$3:$A$129,0)),"")</f>
        <v/>
      </c>
      <c r="T204" s="507" t="str">
        <f t="shared" si="27"/>
        <v/>
      </c>
      <c r="U204" s="524" t="str">
        <f t="shared" si="28"/>
        <v/>
      </c>
      <c r="V204" s="523" t="str">
        <f t="shared" ref="V204:V258" si="36">IF(S204="","",VLOOKUP(E204,BaselineHabOffsite,17,FALSE))</f>
        <v/>
      </c>
      <c r="W204" s="520" t="str">
        <f>IF(S204="","",VLOOKUP(S204,'G-1 All Habitats'!$B$2:$M$129,10,FALSE))</f>
        <v/>
      </c>
      <c r="X204" s="520" t="str">
        <f>IFERROR(VLOOKUP(W204,'G-1 All Habitats'!$V$3:$W$7,2,FALSE),"")</f>
        <v/>
      </c>
      <c r="Y204" s="203"/>
      <c r="Z204" s="524" t="str">
        <f>IFERROR(INDEX('G-8 Condition Look up'!$A$3:$H$130,MATCH(S204,'G-8 Condition Look up'!$A$3:$A$130,0),MATCH(Y204,'G-8 Condition Look up'!$A$3:$H$3,0)),"")</f>
        <v/>
      </c>
      <c r="AA204" s="145"/>
      <c r="AB204" s="540" t="str">
        <f>IF(AA204="","",IF(VLOOKUP(AA204,'G-3 Multipliers'!$L$3:$N$6,2,FALSE)=0,"Spatial Data Missing ⚠",VLOOKUP(AA204,'G-3 Multipliers'!$L$3:$N$6,2,FALSE)))</f>
        <v/>
      </c>
      <c r="AC204" s="524" t="str">
        <f>IF(AA204="","",IF(VLOOKUP(AA204,'G-3 Multipliers'!$L$3:$N$6,3,FALSE)=0,"Spatial Data Missing ⚠",VLOOKUP(AA204,'G-3 Multipliers'!$L$3:$N$6,3,FALSE)))</f>
        <v/>
      </c>
      <c r="AD204" s="537" t="str">
        <f t="shared" ref="AD204:AD258" si="37">IFERROR(IF(OR(LEFT(U204,5)="Error ▲",LEFT(T204,5)="Error ▲"),"Check Data ⚠",INDEX(EnhanceTemporal,MATCH(S204,EnhanceHabitat,0),MATCH(U204,EnhanceCondition,0))),"")</f>
        <v/>
      </c>
      <c r="AE204" s="203"/>
      <c r="AF204" s="203"/>
      <c r="AG204" s="520" t="str">
        <f t="shared" si="29"/>
        <v/>
      </c>
      <c r="AH204" s="544" t="str">
        <f t="shared" si="30"/>
        <v/>
      </c>
      <c r="AI204" s="525" t="str">
        <f>IF(AH204="Check Data ⚠","Check Data ⚠",IFERROR(VLOOKUP(AH204,'G-4 Temporal multipliers'!$A$4:$C$36,3,FALSE),""))</f>
        <v/>
      </c>
      <c r="AJ204" s="537" t="str">
        <f>IF(S204="","",VLOOKUP(S204,'G-3 Multipliers'!$A$2:$E$129,4,FALSE))</f>
        <v/>
      </c>
      <c r="AK204" s="520" t="str">
        <f t="shared" si="31"/>
        <v/>
      </c>
      <c r="AL204" s="520" t="str">
        <f t="shared" si="32"/>
        <v/>
      </c>
      <c r="AM204" s="524" t="str">
        <f>IFERROR(IF(F204="","",IF(AH204="Check Data ⚠","Check Data ⚠",VLOOKUP(AL204, 'G-3 Multipliers'!$P$2:$Q$6,2,FALSE))),"")</f>
        <v/>
      </c>
      <c r="AN204" s="197"/>
      <c r="AO204" s="540" t="str">
        <f>IF(AN204="","",IF(VLOOKUP(AN204,'G-3 Multipliers'!$S$3:$T$9,2,FALSE)=0,"Spatial Data Missing ⚠",VLOOKUP(AN204,'G-3 Multipliers'!$S$3:$T$9,2,FALSE)))</f>
        <v/>
      </c>
      <c r="AP204" s="513" t="str">
        <f t="shared" si="33"/>
        <v/>
      </c>
      <c r="AQ204" s="231"/>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7" t="str">
        <f>'D-1 Off Site Habitat Baseline'!AL204</f>
        <v/>
      </c>
      <c r="F205" s="520" t="str">
        <f>IF(E205="","",IF(ISNA(VLOOKUP($E205,'D-1 Off Site Habitat Baseline'!$D$1:$O$258,4,FALSE)),"",(VLOOKUP($E205,'D-1 Off Site Habitat Baseline'!$D$1:$O$258,4,FALSE))))</f>
        <v/>
      </c>
      <c r="G205" s="520" t="str">
        <f>IF(E205="","",IF(ISNA(VLOOKUP($E205,'D-1 Off Site Habitat Baseline'!$D$1:$O$258,5,FALSE)),"",(VLOOKUP($E205,'D-1 Off Site Habitat Baseline'!$D$1:$O$258,5,FALSE))))</f>
        <v/>
      </c>
      <c r="H205" s="520" t="str">
        <f>IF(E205="","",IF(ISNA(VLOOKUP($E205,'D-1 Off Site Habitat Baseline'!$D$1:$O$258,6,FALSE)),"",(VLOOKUP($E205,'D-1 Off Site Habitat Baseline'!$D$1:$O$258,6,FALSE))))</f>
        <v/>
      </c>
      <c r="I205" s="520" t="str">
        <f>IF(E205="","",IF(ISNA(VLOOKUP($E205,'D-1 Off Site Habitat Baseline'!$D$1:$O$258,7,FALSE)),"",(VLOOKUP($E205,'D-1 Off Site Habitat Baseline'!$D$1:$O$258,7,FALSE))))</f>
        <v/>
      </c>
      <c r="J205" s="520" t="str">
        <f>IF(E205="","",IF(ISNA(VLOOKUP($E205,'D-1 Off Site Habitat Baseline'!$D$1:$O$258,8,FALSE)),"",(VLOOKUP($E205,'D-1 Off Site Habitat Baseline'!$D$1:$O$258,8,FALSE))))</f>
        <v/>
      </c>
      <c r="K205" s="520" t="str">
        <f>IF(E205="","",IF(ISNA(VLOOKUP($E205,'D-1 Off Site Habitat Baseline'!$D$1:$O$258,9,FALSE)),"",(VLOOKUP($E205,'D-1 Off Site Habitat Baseline'!$D$1:$O$258,9,FALSE))))</f>
        <v/>
      </c>
      <c r="L205" s="520" t="str">
        <f>IF(E205="","",IF(ISNA(VLOOKUP($E205,'D-1 Off Site Habitat Baseline'!$D$1:$O$258,11,FALSE)),"",(VLOOKUP($E205,'D-1 Off Site Habitat Baseline'!$D$1:$O$258,11,FALSE))))</f>
        <v/>
      </c>
      <c r="M205" s="520" t="str">
        <f>IF(E205="","",IF(ISNA(VLOOKUP($E205,'D-1 Off Site Habitat Baseline'!$D$1:$O$258,12,FALSE)),"",(VLOOKUP($E205,'D-1 Off Site Habitat Baseline'!$D$1:$O$258,12,FALSE))))</f>
        <v/>
      </c>
      <c r="N205" s="520" t="str">
        <f>IF(E205="","",IF(ISNA(VLOOKUP($E205,'D-1 Off Site Habitat Baseline'!$D$1:$X$258,14,FALSE)),"",(VLOOKUP($E205,'D-1 Off Site Habitat Baseline'!$D$1:$X$258,14,FALSE))))</f>
        <v/>
      </c>
      <c r="O205" s="524" t="str">
        <f>IF(E205="","",IF(ISNA(VLOOKUP($E205,'D-1 Off Site Habitat Baseline'!$D$1:$X$258,13,FALSE)),"",(VLOOKUP($E205,'D-1 Off Site Habitat Baseline'!$D$1:$X$258,13,FALSE))))</f>
        <v/>
      </c>
      <c r="P205" s="232" t="str">
        <f>IFERROR(INDEX('G-1 All Habitats'!$AG$3:$AG$15,MATCH(Q205,'G-1 All Habitats'!$AF$3:$AF$15,0)),"")</f>
        <v/>
      </c>
      <c r="Q205" s="228" t="str">
        <f t="shared" si="34"/>
        <v/>
      </c>
      <c r="R205" s="229" t="str">
        <f t="shared" si="35"/>
        <v/>
      </c>
      <c r="S205" s="233" t="str">
        <f>IFERROR(INDEX('G-1 All Habitats'!$B$3:$B$129,MATCH(R205,'G-1 All Habitats'!$A$3:$A$129,0)),"")</f>
        <v/>
      </c>
      <c r="T205" s="507"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4"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3" t="str">
        <f t="shared" si="36"/>
        <v/>
      </c>
      <c r="W205" s="520" t="str">
        <f>IF(S205="","",VLOOKUP(S205,'G-1 All Habitats'!$B$2:$M$129,10,FALSE))</f>
        <v/>
      </c>
      <c r="X205" s="520" t="str">
        <f>IFERROR(VLOOKUP(W205,'G-1 All Habitats'!$V$3:$W$7,2,FALSE),"")</f>
        <v/>
      </c>
      <c r="Y205" s="203"/>
      <c r="Z205" s="524" t="str">
        <f>IFERROR(INDEX('G-8 Condition Look up'!$A$3:$H$130,MATCH(S205,'G-8 Condition Look up'!$A$3:$A$130,0),MATCH(Y205,'G-8 Condition Look up'!$A$3:$H$3,0)),"")</f>
        <v/>
      </c>
      <c r="AA205" s="145"/>
      <c r="AB205" s="540" t="str">
        <f>IF(AA205="","",IF(VLOOKUP(AA205,'G-3 Multipliers'!$L$3:$N$6,2,FALSE)=0,"Spatial Data Missing ⚠",VLOOKUP(AA205,'G-3 Multipliers'!$L$3:$N$6,2,FALSE)))</f>
        <v/>
      </c>
      <c r="AC205" s="524" t="str">
        <f>IF(AA205="","",IF(VLOOKUP(AA205,'G-3 Multipliers'!$L$3:$N$6,3,FALSE)=0,"Spatial Data Missing ⚠",VLOOKUP(AA205,'G-3 Multipliers'!$L$3:$N$6,3,FALSE)))</f>
        <v/>
      </c>
      <c r="AD205" s="537" t="str">
        <f t="shared" si="37"/>
        <v/>
      </c>
      <c r="AE205" s="203"/>
      <c r="AF205" s="203"/>
      <c r="AG205" s="520"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4"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5" t="str">
        <f>IF(AH205="Check Data ⚠","Check Data ⚠",IFERROR(VLOOKUP(AH205,'G-4 Temporal multipliers'!$A$4:$C$36,3,FALSE),""))</f>
        <v/>
      </c>
      <c r="AJ205" s="537" t="str">
        <f>IF(S205="","",VLOOKUP(S205,'G-3 Multipliers'!$A$2:$E$129,4,FALSE))</f>
        <v/>
      </c>
      <c r="AK205" s="520" t="str">
        <f t="shared" ref="AK205:AK258" si="42">IF(E205="","",IF(AG205="Check details - Is there evidence that habitat has reached target condition? ⚠","Low Difficulty - only applicable if all habitat created before losses","Standard difficulty applied"))</f>
        <v/>
      </c>
      <c r="AL205" s="520" t="str">
        <f t="shared" ref="AL205:AL258" si="43">(IF(AND(AK205="Standard difficulty applied",AD205&gt;AE205),AJ205,IF(AND(AK205="Low Difficulty - only applicable if all habitat created before losses",AE205&gt;=AD205),"Low", AJ205)))</f>
        <v/>
      </c>
      <c r="AM205" s="524" t="str">
        <f>IFERROR(IF(F205="","",IF(AH205="Check Data ⚠","Check Data ⚠",VLOOKUP(AL205, 'G-3 Multipliers'!$P$2:$Q$6,2,FALSE))),"")</f>
        <v/>
      </c>
      <c r="AN205" s="197"/>
      <c r="AO205" s="540" t="str">
        <f>IF(AN205="","",IF(VLOOKUP(AN205,'G-3 Multipliers'!$S$3:$T$9,2,FALSE)=0,"Spatial Data Missing ⚠",VLOOKUP(AN205,'G-3 Multipliers'!$S$3:$T$9,2,FALSE)))</f>
        <v/>
      </c>
      <c r="AP205" s="513" t="str">
        <f t="shared" ref="AP205:AP258" si="44">IFERROR(((((V205*X205*Z205)-(V205*I205*K205))*(AM205*AI205))+(V205*I205*K205))*(AC205)*AO205,"")</f>
        <v/>
      </c>
      <c r="AQ205" s="231"/>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7" t="str">
        <f>'D-1 Off Site Habitat Baseline'!AL205</f>
        <v/>
      </c>
      <c r="F206" s="520" t="str">
        <f>IF(E206="","",IF(ISNA(VLOOKUP($E206,'D-1 Off Site Habitat Baseline'!$D$1:$O$258,4,FALSE)),"",(VLOOKUP($E206,'D-1 Off Site Habitat Baseline'!$D$1:$O$258,4,FALSE))))</f>
        <v/>
      </c>
      <c r="G206" s="520" t="str">
        <f>IF(E206="","",IF(ISNA(VLOOKUP($E206,'D-1 Off Site Habitat Baseline'!$D$1:$O$258,5,FALSE)),"",(VLOOKUP($E206,'D-1 Off Site Habitat Baseline'!$D$1:$O$258,5,FALSE))))</f>
        <v/>
      </c>
      <c r="H206" s="520" t="str">
        <f>IF(E206="","",IF(ISNA(VLOOKUP($E206,'D-1 Off Site Habitat Baseline'!$D$1:$O$258,6,FALSE)),"",(VLOOKUP($E206,'D-1 Off Site Habitat Baseline'!$D$1:$O$258,6,FALSE))))</f>
        <v/>
      </c>
      <c r="I206" s="520" t="str">
        <f>IF(E206="","",IF(ISNA(VLOOKUP($E206,'D-1 Off Site Habitat Baseline'!$D$1:$O$258,7,FALSE)),"",(VLOOKUP($E206,'D-1 Off Site Habitat Baseline'!$D$1:$O$258,7,FALSE))))</f>
        <v/>
      </c>
      <c r="J206" s="520" t="str">
        <f>IF(E206="","",IF(ISNA(VLOOKUP($E206,'D-1 Off Site Habitat Baseline'!$D$1:$O$258,8,FALSE)),"",(VLOOKUP($E206,'D-1 Off Site Habitat Baseline'!$D$1:$O$258,8,FALSE))))</f>
        <v/>
      </c>
      <c r="K206" s="520" t="str">
        <f>IF(E206="","",IF(ISNA(VLOOKUP($E206,'D-1 Off Site Habitat Baseline'!$D$1:$O$258,9,FALSE)),"",(VLOOKUP($E206,'D-1 Off Site Habitat Baseline'!$D$1:$O$258,9,FALSE))))</f>
        <v/>
      </c>
      <c r="L206" s="520" t="str">
        <f>IF(E206="","",IF(ISNA(VLOOKUP($E206,'D-1 Off Site Habitat Baseline'!$D$1:$O$258,11,FALSE)),"",(VLOOKUP($E206,'D-1 Off Site Habitat Baseline'!$D$1:$O$258,11,FALSE))))</f>
        <v/>
      </c>
      <c r="M206" s="520" t="str">
        <f>IF(E206="","",IF(ISNA(VLOOKUP($E206,'D-1 Off Site Habitat Baseline'!$D$1:$O$258,12,FALSE)),"",(VLOOKUP($E206,'D-1 Off Site Habitat Baseline'!$D$1:$O$258,12,FALSE))))</f>
        <v/>
      </c>
      <c r="N206" s="520" t="str">
        <f>IF(E206="","",IF(ISNA(VLOOKUP($E206,'D-1 Off Site Habitat Baseline'!$D$1:$X$258,14,FALSE)),"",(VLOOKUP($E206,'D-1 Off Site Habitat Baseline'!$D$1:$X$258,14,FALSE))))</f>
        <v/>
      </c>
      <c r="O206" s="524" t="str">
        <f>IF(E206="","",IF(ISNA(VLOOKUP($E206,'D-1 Off Site Habitat Baseline'!$D$1:$X$258,13,FALSE)),"",(VLOOKUP($E206,'D-1 Off Site Habitat Baseline'!$D$1:$X$258,13,FALSE))))</f>
        <v/>
      </c>
      <c r="P206" s="232" t="str">
        <f>IFERROR(INDEX('G-1 All Habitats'!$AG$3:$AG$15,MATCH(Q206,'G-1 All Habitats'!$AF$3:$AF$15,0)),"")</f>
        <v/>
      </c>
      <c r="Q206" s="228" t="str">
        <f t="shared" si="34"/>
        <v/>
      </c>
      <c r="R206" s="229" t="str">
        <f t="shared" si="35"/>
        <v/>
      </c>
      <c r="S206" s="233" t="str">
        <f>IFERROR(INDEX('G-1 All Habitats'!$B$3:$B$129,MATCH(R206,'G-1 All Habitats'!$A$3:$A$129,0)),"")</f>
        <v/>
      </c>
      <c r="T206" s="507" t="str">
        <f t="shared" si="38"/>
        <v/>
      </c>
      <c r="U206" s="524" t="str">
        <f t="shared" si="39"/>
        <v/>
      </c>
      <c r="V206" s="523" t="str">
        <f t="shared" si="36"/>
        <v/>
      </c>
      <c r="W206" s="520" t="str">
        <f>IF(S206="","",VLOOKUP(S206,'G-1 All Habitats'!$B$2:$M$129,10,FALSE))</f>
        <v/>
      </c>
      <c r="X206" s="520" t="str">
        <f>IFERROR(VLOOKUP(W206,'G-1 All Habitats'!$V$3:$W$7,2,FALSE),"")</f>
        <v/>
      </c>
      <c r="Y206" s="203"/>
      <c r="Z206" s="524" t="str">
        <f>IFERROR(INDEX('G-8 Condition Look up'!$A$3:$H$130,MATCH(S206,'G-8 Condition Look up'!$A$3:$A$130,0),MATCH(Y206,'G-8 Condition Look up'!$A$3:$H$3,0)),"")</f>
        <v/>
      </c>
      <c r="AA206" s="145"/>
      <c r="AB206" s="540" t="str">
        <f>IF(AA206="","",IF(VLOOKUP(AA206,'G-3 Multipliers'!$L$3:$N$6,2,FALSE)=0,"Spatial Data Missing ⚠",VLOOKUP(AA206,'G-3 Multipliers'!$L$3:$N$6,2,FALSE)))</f>
        <v/>
      </c>
      <c r="AC206" s="524" t="str">
        <f>IF(AA206="","",IF(VLOOKUP(AA206,'G-3 Multipliers'!$L$3:$N$6,3,FALSE)=0,"Spatial Data Missing ⚠",VLOOKUP(AA206,'G-3 Multipliers'!$L$3:$N$6,3,FALSE)))</f>
        <v/>
      </c>
      <c r="AD206" s="537" t="str">
        <f t="shared" si="37"/>
        <v/>
      </c>
      <c r="AE206" s="203"/>
      <c r="AF206" s="203"/>
      <c r="AG206" s="520" t="str">
        <f t="shared" si="40"/>
        <v/>
      </c>
      <c r="AH206" s="544" t="str">
        <f t="shared" si="41"/>
        <v/>
      </c>
      <c r="AI206" s="525" t="str">
        <f>IF(AH206="Check Data ⚠","Check Data ⚠",IFERROR(VLOOKUP(AH206,'G-4 Temporal multipliers'!$A$4:$C$36,3,FALSE),""))</f>
        <v/>
      </c>
      <c r="AJ206" s="537" t="str">
        <f>IF(S206="","",VLOOKUP(S206,'G-3 Multipliers'!$A$2:$E$129,4,FALSE))</f>
        <v/>
      </c>
      <c r="AK206" s="520" t="str">
        <f t="shared" si="42"/>
        <v/>
      </c>
      <c r="AL206" s="520" t="str">
        <f t="shared" si="43"/>
        <v/>
      </c>
      <c r="AM206" s="524" t="str">
        <f>IFERROR(IF(F206="","",IF(AH206="Check Data ⚠","Check Data ⚠",VLOOKUP(AL206, 'G-3 Multipliers'!$P$2:$Q$6,2,FALSE))),"")</f>
        <v/>
      </c>
      <c r="AN206" s="197"/>
      <c r="AO206" s="540" t="str">
        <f>IF(AN206="","",IF(VLOOKUP(AN206,'G-3 Multipliers'!$S$3:$T$9,2,FALSE)=0,"Spatial Data Missing ⚠",VLOOKUP(AN206,'G-3 Multipliers'!$S$3:$T$9,2,FALSE)))</f>
        <v/>
      </c>
      <c r="AP206" s="513" t="str">
        <f t="shared" si="44"/>
        <v/>
      </c>
      <c r="AQ206" s="231"/>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7" t="str">
        <f>'D-1 Off Site Habitat Baseline'!AL206</f>
        <v/>
      </c>
      <c r="F207" s="520" t="str">
        <f>IF(E207="","",IF(ISNA(VLOOKUP($E207,'D-1 Off Site Habitat Baseline'!$D$1:$O$258,4,FALSE)),"",(VLOOKUP($E207,'D-1 Off Site Habitat Baseline'!$D$1:$O$258,4,FALSE))))</f>
        <v/>
      </c>
      <c r="G207" s="520" t="str">
        <f>IF(E207="","",IF(ISNA(VLOOKUP($E207,'D-1 Off Site Habitat Baseline'!$D$1:$O$258,5,FALSE)),"",(VLOOKUP($E207,'D-1 Off Site Habitat Baseline'!$D$1:$O$258,5,FALSE))))</f>
        <v/>
      </c>
      <c r="H207" s="520" t="str">
        <f>IF(E207="","",IF(ISNA(VLOOKUP($E207,'D-1 Off Site Habitat Baseline'!$D$1:$O$258,6,FALSE)),"",(VLOOKUP($E207,'D-1 Off Site Habitat Baseline'!$D$1:$O$258,6,FALSE))))</f>
        <v/>
      </c>
      <c r="I207" s="520" t="str">
        <f>IF(E207="","",IF(ISNA(VLOOKUP($E207,'D-1 Off Site Habitat Baseline'!$D$1:$O$258,7,FALSE)),"",(VLOOKUP($E207,'D-1 Off Site Habitat Baseline'!$D$1:$O$258,7,FALSE))))</f>
        <v/>
      </c>
      <c r="J207" s="520" t="str">
        <f>IF(E207="","",IF(ISNA(VLOOKUP($E207,'D-1 Off Site Habitat Baseline'!$D$1:$O$258,8,FALSE)),"",(VLOOKUP($E207,'D-1 Off Site Habitat Baseline'!$D$1:$O$258,8,FALSE))))</f>
        <v/>
      </c>
      <c r="K207" s="520" t="str">
        <f>IF(E207="","",IF(ISNA(VLOOKUP($E207,'D-1 Off Site Habitat Baseline'!$D$1:$O$258,9,FALSE)),"",(VLOOKUP($E207,'D-1 Off Site Habitat Baseline'!$D$1:$O$258,9,FALSE))))</f>
        <v/>
      </c>
      <c r="L207" s="520" t="str">
        <f>IF(E207="","",IF(ISNA(VLOOKUP($E207,'D-1 Off Site Habitat Baseline'!$D$1:$O$258,11,FALSE)),"",(VLOOKUP($E207,'D-1 Off Site Habitat Baseline'!$D$1:$O$258,11,FALSE))))</f>
        <v/>
      </c>
      <c r="M207" s="520" t="str">
        <f>IF(E207="","",IF(ISNA(VLOOKUP($E207,'D-1 Off Site Habitat Baseline'!$D$1:$O$258,12,FALSE)),"",(VLOOKUP($E207,'D-1 Off Site Habitat Baseline'!$D$1:$O$258,12,FALSE))))</f>
        <v/>
      </c>
      <c r="N207" s="520" t="str">
        <f>IF(E207="","",IF(ISNA(VLOOKUP($E207,'D-1 Off Site Habitat Baseline'!$D$1:$X$258,14,FALSE)),"",(VLOOKUP($E207,'D-1 Off Site Habitat Baseline'!$D$1:$X$258,14,FALSE))))</f>
        <v/>
      </c>
      <c r="O207" s="524" t="str">
        <f>IF(E207="","",IF(ISNA(VLOOKUP($E207,'D-1 Off Site Habitat Baseline'!$D$1:$X$258,13,FALSE)),"",(VLOOKUP($E207,'D-1 Off Site Habitat Baseline'!$D$1:$X$258,13,FALSE))))</f>
        <v/>
      </c>
      <c r="P207" s="232" t="str">
        <f>IFERROR(INDEX('G-1 All Habitats'!$AG$3:$AG$15,MATCH(Q207,'G-1 All Habitats'!$AF$3:$AF$15,0)),"")</f>
        <v/>
      </c>
      <c r="Q207" s="228" t="str">
        <f t="shared" ref="Q207:Q258" si="45">A207</f>
        <v/>
      </c>
      <c r="R207" s="229" t="str">
        <f t="shared" ref="R207:R258" si="46">B207</f>
        <v/>
      </c>
      <c r="S207" s="233" t="str">
        <f>IFERROR(INDEX('G-1 All Habitats'!$B$3:$B$129,MATCH(R207,'G-1 All Habitats'!$A$3:$A$129,0)),"")</f>
        <v/>
      </c>
      <c r="T207" s="507" t="str">
        <f t="shared" si="38"/>
        <v/>
      </c>
      <c r="U207" s="524" t="str">
        <f t="shared" si="39"/>
        <v/>
      </c>
      <c r="V207" s="523" t="str">
        <f t="shared" si="36"/>
        <v/>
      </c>
      <c r="W207" s="520" t="str">
        <f>IF(S207="","",VLOOKUP(S207,'G-1 All Habitats'!$B$2:$M$129,10,FALSE))</f>
        <v/>
      </c>
      <c r="X207" s="520" t="str">
        <f>IFERROR(VLOOKUP(W207,'G-1 All Habitats'!$V$3:$W$7,2,FALSE),"")</f>
        <v/>
      </c>
      <c r="Y207" s="203"/>
      <c r="Z207" s="524" t="str">
        <f>IFERROR(INDEX('G-8 Condition Look up'!$A$3:$H$130,MATCH(S207,'G-8 Condition Look up'!$A$3:$A$130,0),MATCH(Y207,'G-8 Condition Look up'!$A$3:$H$3,0)),"")</f>
        <v/>
      </c>
      <c r="AA207" s="145"/>
      <c r="AB207" s="540" t="str">
        <f>IF(AA207="","",IF(VLOOKUP(AA207,'G-3 Multipliers'!$L$3:$N$6,2,FALSE)=0,"Spatial Data Missing ⚠",VLOOKUP(AA207,'G-3 Multipliers'!$L$3:$N$6,2,FALSE)))</f>
        <v/>
      </c>
      <c r="AC207" s="524" t="str">
        <f>IF(AA207="","",IF(VLOOKUP(AA207,'G-3 Multipliers'!$L$3:$N$6,3,FALSE)=0,"Spatial Data Missing ⚠",VLOOKUP(AA207,'G-3 Multipliers'!$L$3:$N$6,3,FALSE)))</f>
        <v/>
      </c>
      <c r="AD207" s="537" t="str">
        <f t="shared" si="37"/>
        <v/>
      </c>
      <c r="AE207" s="203"/>
      <c r="AF207" s="203"/>
      <c r="AG207" s="520" t="str">
        <f t="shared" si="40"/>
        <v/>
      </c>
      <c r="AH207" s="544" t="str">
        <f t="shared" si="41"/>
        <v/>
      </c>
      <c r="AI207" s="525" t="str">
        <f>IF(AH207="Check Data ⚠","Check Data ⚠",IFERROR(VLOOKUP(AH207,'G-4 Temporal multipliers'!$A$4:$C$36,3,FALSE),""))</f>
        <v/>
      </c>
      <c r="AJ207" s="537" t="str">
        <f>IF(S207="","",VLOOKUP(S207,'G-3 Multipliers'!$A$2:$E$129,4,FALSE))</f>
        <v/>
      </c>
      <c r="AK207" s="520" t="str">
        <f t="shared" si="42"/>
        <v/>
      </c>
      <c r="AL207" s="520" t="str">
        <f t="shared" si="43"/>
        <v/>
      </c>
      <c r="AM207" s="524" t="str">
        <f>IFERROR(IF(F207="","",IF(AH207="Check Data ⚠","Check Data ⚠",VLOOKUP(AL207, 'G-3 Multipliers'!$P$2:$Q$6,2,FALSE))),"")</f>
        <v/>
      </c>
      <c r="AN207" s="197"/>
      <c r="AO207" s="540" t="str">
        <f>IF(AN207="","",IF(VLOOKUP(AN207,'G-3 Multipliers'!$S$3:$T$9,2,FALSE)=0,"Spatial Data Missing ⚠",VLOOKUP(AN207,'G-3 Multipliers'!$S$3:$T$9,2,FALSE)))</f>
        <v/>
      </c>
      <c r="AP207" s="513" t="str">
        <f t="shared" si="44"/>
        <v/>
      </c>
      <c r="AQ207" s="231"/>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7" t="str">
        <f>'D-1 Off Site Habitat Baseline'!AL207</f>
        <v/>
      </c>
      <c r="F208" s="520" t="str">
        <f>IF(E208="","",IF(ISNA(VLOOKUP($E208,'D-1 Off Site Habitat Baseline'!$D$1:$O$258,4,FALSE)),"",(VLOOKUP($E208,'D-1 Off Site Habitat Baseline'!$D$1:$O$258,4,FALSE))))</f>
        <v/>
      </c>
      <c r="G208" s="520" t="str">
        <f>IF(E208="","",IF(ISNA(VLOOKUP($E208,'D-1 Off Site Habitat Baseline'!$D$1:$O$258,5,FALSE)),"",(VLOOKUP($E208,'D-1 Off Site Habitat Baseline'!$D$1:$O$258,5,FALSE))))</f>
        <v/>
      </c>
      <c r="H208" s="520" t="str">
        <f>IF(E208="","",IF(ISNA(VLOOKUP($E208,'D-1 Off Site Habitat Baseline'!$D$1:$O$258,6,FALSE)),"",(VLOOKUP($E208,'D-1 Off Site Habitat Baseline'!$D$1:$O$258,6,FALSE))))</f>
        <v/>
      </c>
      <c r="I208" s="520" t="str">
        <f>IF(E208="","",IF(ISNA(VLOOKUP($E208,'D-1 Off Site Habitat Baseline'!$D$1:$O$258,7,FALSE)),"",(VLOOKUP($E208,'D-1 Off Site Habitat Baseline'!$D$1:$O$258,7,FALSE))))</f>
        <v/>
      </c>
      <c r="J208" s="520" t="str">
        <f>IF(E208="","",IF(ISNA(VLOOKUP($E208,'D-1 Off Site Habitat Baseline'!$D$1:$O$258,8,FALSE)),"",(VLOOKUP($E208,'D-1 Off Site Habitat Baseline'!$D$1:$O$258,8,FALSE))))</f>
        <v/>
      </c>
      <c r="K208" s="520" t="str">
        <f>IF(E208="","",IF(ISNA(VLOOKUP($E208,'D-1 Off Site Habitat Baseline'!$D$1:$O$258,9,FALSE)),"",(VLOOKUP($E208,'D-1 Off Site Habitat Baseline'!$D$1:$O$258,9,FALSE))))</f>
        <v/>
      </c>
      <c r="L208" s="520" t="str">
        <f>IF(E208="","",IF(ISNA(VLOOKUP($E208,'D-1 Off Site Habitat Baseline'!$D$1:$O$258,11,FALSE)),"",(VLOOKUP($E208,'D-1 Off Site Habitat Baseline'!$D$1:$O$258,11,FALSE))))</f>
        <v/>
      </c>
      <c r="M208" s="520" t="str">
        <f>IF(E208="","",IF(ISNA(VLOOKUP($E208,'D-1 Off Site Habitat Baseline'!$D$1:$O$258,12,FALSE)),"",(VLOOKUP($E208,'D-1 Off Site Habitat Baseline'!$D$1:$O$258,12,FALSE))))</f>
        <v/>
      </c>
      <c r="N208" s="520" t="str">
        <f>IF(E208="","",IF(ISNA(VLOOKUP($E208,'D-1 Off Site Habitat Baseline'!$D$1:$X$258,14,FALSE)),"",(VLOOKUP($E208,'D-1 Off Site Habitat Baseline'!$D$1:$X$258,14,FALSE))))</f>
        <v/>
      </c>
      <c r="O208" s="524" t="str">
        <f>IF(E208="","",IF(ISNA(VLOOKUP($E208,'D-1 Off Site Habitat Baseline'!$D$1:$X$258,13,FALSE)),"",(VLOOKUP($E208,'D-1 Off Site Habitat Baseline'!$D$1:$X$258,13,FALSE))))</f>
        <v/>
      </c>
      <c r="P208" s="232" t="str">
        <f>IFERROR(INDEX('G-1 All Habitats'!$AG$3:$AG$15,MATCH(Q208,'G-1 All Habitats'!$AF$3:$AF$15,0)),"")</f>
        <v/>
      </c>
      <c r="Q208" s="228" t="str">
        <f t="shared" si="45"/>
        <v/>
      </c>
      <c r="R208" s="229" t="str">
        <f t="shared" si="46"/>
        <v/>
      </c>
      <c r="S208" s="233" t="str">
        <f>IFERROR(INDEX('G-1 All Habitats'!$B$3:$B$129,MATCH(R208,'G-1 All Habitats'!$A$3:$A$129,0)),"")</f>
        <v/>
      </c>
      <c r="T208" s="507" t="str">
        <f t="shared" si="38"/>
        <v/>
      </c>
      <c r="U208" s="524" t="str">
        <f t="shared" si="39"/>
        <v/>
      </c>
      <c r="V208" s="523" t="str">
        <f t="shared" si="36"/>
        <v/>
      </c>
      <c r="W208" s="520" t="str">
        <f>IF(S208="","",VLOOKUP(S208,'G-1 All Habitats'!$B$2:$M$129,10,FALSE))</f>
        <v/>
      </c>
      <c r="X208" s="520" t="str">
        <f>IFERROR(VLOOKUP(W208,'G-1 All Habitats'!$V$3:$W$7,2,FALSE),"")</f>
        <v/>
      </c>
      <c r="Y208" s="203"/>
      <c r="Z208" s="524" t="str">
        <f>IFERROR(INDEX('G-8 Condition Look up'!$A$3:$H$130,MATCH(S208,'G-8 Condition Look up'!$A$3:$A$130,0),MATCH(Y208,'G-8 Condition Look up'!$A$3:$H$3,0)),"")</f>
        <v/>
      </c>
      <c r="AA208" s="145"/>
      <c r="AB208" s="540" t="str">
        <f>IF(AA208="","",IF(VLOOKUP(AA208,'G-3 Multipliers'!$L$3:$N$6,2,FALSE)=0,"Spatial Data Missing ⚠",VLOOKUP(AA208,'G-3 Multipliers'!$L$3:$N$6,2,FALSE)))</f>
        <v/>
      </c>
      <c r="AC208" s="524" t="str">
        <f>IF(AA208="","",IF(VLOOKUP(AA208,'G-3 Multipliers'!$L$3:$N$6,3,FALSE)=0,"Spatial Data Missing ⚠",VLOOKUP(AA208,'G-3 Multipliers'!$L$3:$N$6,3,FALSE)))</f>
        <v/>
      </c>
      <c r="AD208" s="537" t="str">
        <f t="shared" si="37"/>
        <v/>
      </c>
      <c r="AE208" s="203"/>
      <c r="AF208" s="203"/>
      <c r="AG208" s="520" t="str">
        <f t="shared" si="40"/>
        <v/>
      </c>
      <c r="AH208" s="544" t="str">
        <f t="shared" si="41"/>
        <v/>
      </c>
      <c r="AI208" s="525" t="str">
        <f>IF(AH208="Check Data ⚠","Check Data ⚠",IFERROR(VLOOKUP(AH208,'G-4 Temporal multipliers'!$A$4:$C$36,3,FALSE),""))</f>
        <v/>
      </c>
      <c r="AJ208" s="537" t="str">
        <f>IF(S208="","",VLOOKUP(S208,'G-3 Multipliers'!$A$2:$E$129,4,FALSE))</f>
        <v/>
      </c>
      <c r="AK208" s="520" t="str">
        <f t="shared" si="42"/>
        <v/>
      </c>
      <c r="AL208" s="520" t="str">
        <f t="shared" si="43"/>
        <v/>
      </c>
      <c r="AM208" s="524" t="str">
        <f>IFERROR(IF(F208="","",IF(AH208="Check Data ⚠","Check Data ⚠",VLOOKUP(AL208, 'G-3 Multipliers'!$P$2:$Q$6,2,FALSE))),"")</f>
        <v/>
      </c>
      <c r="AN208" s="197"/>
      <c r="AO208" s="540" t="str">
        <f>IF(AN208="","",IF(VLOOKUP(AN208,'G-3 Multipliers'!$S$3:$T$9,2,FALSE)=0,"Spatial Data Missing ⚠",VLOOKUP(AN208,'G-3 Multipliers'!$S$3:$T$9,2,FALSE)))</f>
        <v/>
      </c>
      <c r="AP208" s="513" t="str">
        <f t="shared" si="44"/>
        <v/>
      </c>
      <c r="AQ208" s="231"/>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7" t="str">
        <f>'D-1 Off Site Habitat Baseline'!AL208</f>
        <v/>
      </c>
      <c r="F209" s="520" t="str">
        <f>IF(E209="","",IF(ISNA(VLOOKUP($E209,'D-1 Off Site Habitat Baseline'!$D$1:$O$258,4,FALSE)),"",(VLOOKUP($E209,'D-1 Off Site Habitat Baseline'!$D$1:$O$258,4,FALSE))))</f>
        <v/>
      </c>
      <c r="G209" s="520" t="str">
        <f>IF(E209="","",IF(ISNA(VLOOKUP($E209,'D-1 Off Site Habitat Baseline'!$D$1:$O$258,5,FALSE)),"",(VLOOKUP($E209,'D-1 Off Site Habitat Baseline'!$D$1:$O$258,5,FALSE))))</f>
        <v/>
      </c>
      <c r="H209" s="520" t="str">
        <f>IF(E209="","",IF(ISNA(VLOOKUP($E209,'D-1 Off Site Habitat Baseline'!$D$1:$O$258,6,FALSE)),"",(VLOOKUP($E209,'D-1 Off Site Habitat Baseline'!$D$1:$O$258,6,FALSE))))</f>
        <v/>
      </c>
      <c r="I209" s="520" t="str">
        <f>IF(E209="","",IF(ISNA(VLOOKUP($E209,'D-1 Off Site Habitat Baseline'!$D$1:$O$258,7,FALSE)),"",(VLOOKUP($E209,'D-1 Off Site Habitat Baseline'!$D$1:$O$258,7,FALSE))))</f>
        <v/>
      </c>
      <c r="J209" s="520" t="str">
        <f>IF(E209="","",IF(ISNA(VLOOKUP($E209,'D-1 Off Site Habitat Baseline'!$D$1:$O$258,8,FALSE)),"",(VLOOKUP($E209,'D-1 Off Site Habitat Baseline'!$D$1:$O$258,8,FALSE))))</f>
        <v/>
      </c>
      <c r="K209" s="520" t="str">
        <f>IF(E209="","",IF(ISNA(VLOOKUP($E209,'D-1 Off Site Habitat Baseline'!$D$1:$O$258,9,FALSE)),"",(VLOOKUP($E209,'D-1 Off Site Habitat Baseline'!$D$1:$O$258,9,FALSE))))</f>
        <v/>
      </c>
      <c r="L209" s="520" t="str">
        <f>IF(E209="","",IF(ISNA(VLOOKUP($E209,'D-1 Off Site Habitat Baseline'!$D$1:$O$258,11,FALSE)),"",(VLOOKUP($E209,'D-1 Off Site Habitat Baseline'!$D$1:$O$258,11,FALSE))))</f>
        <v/>
      </c>
      <c r="M209" s="520" t="str">
        <f>IF(E209="","",IF(ISNA(VLOOKUP($E209,'D-1 Off Site Habitat Baseline'!$D$1:$O$258,12,FALSE)),"",(VLOOKUP($E209,'D-1 Off Site Habitat Baseline'!$D$1:$O$258,12,FALSE))))</f>
        <v/>
      </c>
      <c r="N209" s="520" t="str">
        <f>IF(E209="","",IF(ISNA(VLOOKUP($E209,'D-1 Off Site Habitat Baseline'!$D$1:$X$258,14,FALSE)),"",(VLOOKUP($E209,'D-1 Off Site Habitat Baseline'!$D$1:$X$258,14,FALSE))))</f>
        <v/>
      </c>
      <c r="O209" s="524" t="str">
        <f>IF(E209="","",IF(ISNA(VLOOKUP($E209,'D-1 Off Site Habitat Baseline'!$D$1:$X$258,13,FALSE)),"",(VLOOKUP($E209,'D-1 Off Site Habitat Baseline'!$D$1:$X$258,13,FALSE))))</f>
        <v/>
      </c>
      <c r="P209" s="232" t="str">
        <f>IFERROR(INDEX('G-1 All Habitats'!$AG$3:$AG$15,MATCH(Q209,'G-1 All Habitats'!$AF$3:$AF$15,0)),"")</f>
        <v/>
      </c>
      <c r="Q209" s="228" t="str">
        <f t="shared" si="45"/>
        <v/>
      </c>
      <c r="R209" s="229" t="str">
        <f t="shared" si="46"/>
        <v/>
      </c>
      <c r="S209" s="233" t="str">
        <f>IFERROR(INDEX('G-1 All Habitats'!$B$3:$B$129,MATCH(R209,'G-1 All Habitats'!$A$3:$A$129,0)),"")</f>
        <v/>
      </c>
      <c r="T209" s="507" t="str">
        <f t="shared" si="38"/>
        <v/>
      </c>
      <c r="U209" s="524" t="str">
        <f t="shared" si="39"/>
        <v/>
      </c>
      <c r="V209" s="523" t="str">
        <f t="shared" si="36"/>
        <v/>
      </c>
      <c r="W209" s="520" t="str">
        <f>IF(S209="","",VLOOKUP(S209,'G-1 All Habitats'!$B$2:$M$129,10,FALSE))</f>
        <v/>
      </c>
      <c r="X209" s="520" t="str">
        <f>IFERROR(VLOOKUP(W209,'G-1 All Habitats'!$V$3:$W$7,2,FALSE),"")</f>
        <v/>
      </c>
      <c r="Y209" s="203"/>
      <c r="Z209" s="524" t="str">
        <f>IFERROR(INDEX('G-8 Condition Look up'!$A$3:$H$130,MATCH(S209,'G-8 Condition Look up'!$A$3:$A$130,0),MATCH(Y209,'G-8 Condition Look up'!$A$3:$H$3,0)),"")</f>
        <v/>
      </c>
      <c r="AA209" s="145"/>
      <c r="AB209" s="540" t="str">
        <f>IF(AA209="","",IF(VLOOKUP(AA209,'G-3 Multipliers'!$L$3:$N$6,2,FALSE)=0,"Spatial Data Missing ⚠",VLOOKUP(AA209,'G-3 Multipliers'!$L$3:$N$6,2,FALSE)))</f>
        <v/>
      </c>
      <c r="AC209" s="524" t="str">
        <f>IF(AA209="","",IF(VLOOKUP(AA209,'G-3 Multipliers'!$L$3:$N$6,3,FALSE)=0,"Spatial Data Missing ⚠",VLOOKUP(AA209,'G-3 Multipliers'!$L$3:$N$6,3,FALSE)))</f>
        <v/>
      </c>
      <c r="AD209" s="537" t="str">
        <f t="shared" si="37"/>
        <v/>
      </c>
      <c r="AE209" s="203"/>
      <c r="AF209" s="203"/>
      <c r="AG209" s="520" t="str">
        <f t="shared" si="40"/>
        <v/>
      </c>
      <c r="AH209" s="544" t="str">
        <f t="shared" si="41"/>
        <v/>
      </c>
      <c r="AI209" s="525" t="str">
        <f>IF(AH209="Check Data ⚠","Check Data ⚠",IFERROR(VLOOKUP(AH209,'G-4 Temporal multipliers'!$A$4:$C$36,3,FALSE),""))</f>
        <v/>
      </c>
      <c r="AJ209" s="537" t="str">
        <f>IF(S209="","",VLOOKUP(S209,'G-3 Multipliers'!$A$2:$E$129,4,FALSE))</f>
        <v/>
      </c>
      <c r="AK209" s="520" t="str">
        <f t="shared" si="42"/>
        <v/>
      </c>
      <c r="AL209" s="520" t="str">
        <f t="shared" si="43"/>
        <v/>
      </c>
      <c r="AM209" s="524" t="str">
        <f>IFERROR(IF(F209="","",IF(AH209="Check Data ⚠","Check Data ⚠",VLOOKUP(AL209, 'G-3 Multipliers'!$P$2:$Q$6,2,FALSE))),"")</f>
        <v/>
      </c>
      <c r="AN209" s="197"/>
      <c r="AO209" s="540" t="str">
        <f>IF(AN209="","",IF(VLOOKUP(AN209,'G-3 Multipliers'!$S$3:$T$9,2,FALSE)=0,"Spatial Data Missing ⚠",VLOOKUP(AN209,'G-3 Multipliers'!$S$3:$T$9,2,FALSE)))</f>
        <v/>
      </c>
      <c r="AP209" s="513" t="str">
        <f t="shared" si="44"/>
        <v/>
      </c>
      <c r="AQ209" s="231"/>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7" t="str">
        <f>'D-1 Off Site Habitat Baseline'!AL209</f>
        <v/>
      </c>
      <c r="F210" s="520" t="str">
        <f>IF(E210="","",IF(ISNA(VLOOKUP($E210,'D-1 Off Site Habitat Baseline'!$D$1:$O$258,4,FALSE)),"",(VLOOKUP($E210,'D-1 Off Site Habitat Baseline'!$D$1:$O$258,4,FALSE))))</f>
        <v/>
      </c>
      <c r="G210" s="520" t="str">
        <f>IF(E210="","",IF(ISNA(VLOOKUP($E210,'D-1 Off Site Habitat Baseline'!$D$1:$O$258,5,FALSE)),"",(VLOOKUP($E210,'D-1 Off Site Habitat Baseline'!$D$1:$O$258,5,FALSE))))</f>
        <v/>
      </c>
      <c r="H210" s="520" t="str">
        <f>IF(E210="","",IF(ISNA(VLOOKUP($E210,'D-1 Off Site Habitat Baseline'!$D$1:$O$258,6,FALSE)),"",(VLOOKUP($E210,'D-1 Off Site Habitat Baseline'!$D$1:$O$258,6,FALSE))))</f>
        <v/>
      </c>
      <c r="I210" s="520" t="str">
        <f>IF(E210="","",IF(ISNA(VLOOKUP($E210,'D-1 Off Site Habitat Baseline'!$D$1:$O$258,7,FALSE)),"",(VLOOKUP($E210,'D-1 Off Site Habitat Baseline'!$D$1:$O$258,7,FALSE))))</f>
        <v/>
      </c>
      <c r="J210" s="520" t="str">
        <f>IF(E210="","",IF(ISNA(VLOOKUP($E210,'D-1 Off Site Habitat Baseline'!$D$1:$O$258,8,FALSE)),"",(VLOOKUP($E210,'D-1 Off Site Habitat Baseline'!$D$1:$O$258,8,FALSE))))</f>
        <v/>
      </c>
      <c r="K210" s="520" t="str">
        <f>IF(E210="","",IF(ISNA(VLOOKUP($E210,'D-1 Off Site Habitat Baseline'!$D$1:$O$258,9,FALSE)),"",(VLOOKUP($E210,'D-1 Off Site Habitat Baseline'!$D$1:$O$258,9,FALSE))))</f>
        <v/>
      </c>
      <c r="L210" s="520" t="str">
        <f>IF(E210="","",IF(ISNA(VLOOKUP($E210,'D-1 Off Site Habitat Baseline'!$D$1:$O$258,11,FALSE)),"",(VLOOKUP($E210,'D-1 Off Site Habitat Baseline'!$D$1:$O$258,11,FALSE))))</f>
        <v/>
      </c>
      <c r="M210" s="520" t="str">
        <f>IF(E210="","",IF(ISNA(VLOOKUP($E210,'D-1 Off Site Habitat Baseline'!$D$1:$O$258,12,FALSE)),"",(VLOOKUP($E210,'D-1 Off Site Habitat Baseline'!$D$1:$O$258,12,FALSE))))</f>
        <v/>
      </c>
      <c r="N210" s="520" t="str">
        <f>IF(E210="","",IF(ISNA(VLOOKUP($E210,'D-1 Off Site Habitat Baseline'!$D$1:$X$258,14,FALSE)),"",(VLOOKUP($E210,'D-1 Off Site Habitat Baseline'!$D$1:$X$258,14,FALSE))))</f>
        <v/>
      </c>
      <c r="O210" s="524" t="str">
        <f>IF(E210="","",IF(ISNA(VLOOKUP($E210,'D-1 Off Site Habitat Baseline'!$D$1:$X$258,13,FALSE)),"",(VLOOKUP($E210,'D-1 Off Site Habitat Baseline'!$D$1:$X$258,13,FALSE))))</f>
        <v/>
      </c>
      <c r="P210" s="232" t="str">
        <f>IFERROR(INDEX('G-1 All Habitats'!$AG$3:$AG$15,MATCH(Q210,'G-1 All Habitats'!$AF$3:$AF$15,0)),"")</f>
        <v/>
      </c>
      <c r="Q210" s="228" t="str">
        <f t="shared" si="45"/>
        <v/>
      </c>
      <c r="R210" s="229" t="str">
        <f t="shared" si="46"/>
        <v/>
      </c>
      <c r="S210" s="233" t="str">
        <f>IFERROR(INDEX('G-1 All Habitats'!$B$3:$B$129,MATCH(R210,'G-1 All Habitats'!$A$3:$A$129,0)),"")</f>
        <v/>
      </c>
      <c r="T210" s="507" t="str">
        <f t="shared" si="38"/>
        <v/>
      </c>
      <c r="U210" s="524" t="str">
        <f t="shared" si="39"/>
        <v/>
      </c>
      <c r="V210" s="523" t="str">
        <f t="shared" si="36"/>
        <v/>
      </c>
      <c r="W210" s="520" t="str">
        <f>IF(S210="","",VLOOKUP(S210,'G-1 All Habitats'!$B$2:$M$129,10,FALSE))</f>
        <v/>
      </c>
      <c r="X210" s="520" t="str">
        <f>IFERROR(VLOOKUP(W210,'G-1 All Habitats'!$V$3:$W$7,2,FALSE),"")</f>
        <v/>
      </c>
      <c r="Y210" s="203"/>
      <c r="Z210" s="524" t="str">
        <f>IFERROR(INDEX('G-8 Condition Look up'!$A$3:$H$130,MATCH(S210,'G-8 Condition Look up'!$A$3:$A$130,0),MATCH(Y210,'G-8 Condition Look up'!$A$3:$H$3,0)),"")</f>
        <v/>
      </c>
      <c r="AA210" s="145"/>
      <c r="AB210" s="540" t="str">
        <f>IF(AA210="","",IF(VLOOKUP(AA210,'G-3 Multipliers'!$L$3:$N$6,2,FALSE)=0,"Spatial Data Missing ⚠",VLOOKUP(AA210,'G-3 Multipliers'!$L$3:$N$6,2,FALSE)))</f>
        <v/>
      </c>
      <c r="AC210" s="524" t="str">
        <f>IF(AA210="","",IF(VLOOKUP(AA210,'G-3 Multipliers'!$L$3:$N$6,3,FALSE)=0,"Spatial Data Missing ⚠",VLOOKUP(AA210,'G-3 Multipliers'!$L$3:$N$6,3,FALSE)))</f>
        <v/>
      </c>
      <c r="AD210" s="537" t="str">
        <f t="shared" si="37"/>
        <v/>
      </c>
      <c r="AE210" s="203"/>
      <c r="AF210" s="203"/>
      <c r="AG210" s="520" t="str">
        <f t="shared" si="40"/>
        <v/>
      </c>
      <c r="AH210" s="544" t="str">
        <f t="shared" si="41"/>
        <v/>
      </c>
      <c r="AI210" s="525" t="str">
        <f>IF(AH210="Check Data ⚠","Check Data ⚠",IFERROR(VLOOKUP(AH210,'G-4 Temporal multipliers'!$A$4:$C$36,3,FALSE),""))</f>
        <v/>
      </c>
      <c r="AJ210" s="537" t="str">
        <f>IF(S210="","",VLOOKUP(S210,'G-3 Multipliers'!$A$2:$E$129,4,FALSE))</f>
        <v/>
      </c>
      <c r="AK210" s="520" t="str">
        <f t="shared" si="42"/>
        <v/>
      </c>
      <c r="AL210" s="520" t="str">
        <f t="shared" si="43"/>
        <v/>
      </c>
      <c r="AM210" s="524" t="str">
        <f>IFERROR(IF(F210="","",IF(AH210="Check Data ⚠","Check Data ⚠",VLOOKUP(AL210, 'G-3 Multipliers'!$P$2:$Q$6,2,FALSE))),"")</f>
        <v/>
      </c>
      <c r="AN210" s="197"/>
      <c r="AO210" s="540" t="str">
        <f>IF(AN210="","",IF(VLOOKUP(AN210,'G-3 Multipliers'!$S$3:$T$9,2,FALSE)=0,"Spatial Data Missing ⚠",VLOOKUP(AN210,'G-3 Multipliers'!$S$3:$T$9,2,FALSE)))</f>
        <v/>
      </c>
      <c r="AP210" s="513" t="str">
        <f t="shared" si="44"/>
        <v/>
      </c>
      <c r="AQ210" s="231"/>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7" t="str">
        <f>'D-1 Off Site Habitat Baseline'!AL210</f>
        <v/>
      </c>
      <c r="F211" s="520" t="str">
        <f>IF(E211="","",IF(ISNA(VLOOKUP($E211,'D-1 Off Site Habitat Baseline'!$D$1:$O$258,4,FALSE)),"",(VLOOKUP($E211,'D-1 Off Site Habitat Baseline'!$D$1:$O$258,4,FALSE))))</f>
        <v/>
      </c>
      <c r="G211" s="520" t="str">
        <f>IF(E211="","",IF(ISNA(VLOOKUP($E211,'D-1 Off Site Habitat Baseline'!$D$1:$O$258,5,FALSE)),"",(VLOOKUP($E211,'D-1 Off Site Habitat Baseline'!$D$1:$O$258,5,FALSE))))</f>
        <v/>
      </c>
      <c r="H211" s="520" t="str">
        <f>IF(E211="","",IF(ISNA(VLOOKUP($E211,'D-1 Off Site Habitat Baseline'!$D$1:$O$258,6,FALSE)),"",(VLOOKUP($E211,'D-1 Off Site Habitat Baseline'!$D$1:$O$258,6,FALSE))))</f>
        <v/>
      </c>
      <c r="I211" s="520" t="str">
        <f>IF(E211="","",IF(ISNA(VLOOKUP($E211,'D-1 Off Site Habitat Baseline'!$D$1:$O$258,7,FALSE)),"",(VLOOKUP($E211,'D-1 Off Site Habitat Baseline'!$D$1:$O$258,7,FALSE))))</f>
        <v/>
      </c>
      <c r="J211" s="520" t="str">
        <f>IF(E211="","",IF(ISNA(VLOOKUP($E211,'D-1 Off Site Habitat Baseline'!$D$1:$O$258,8,FALSE)),"",(VLOOKUP($E211,'D-1 Off Site Habitat Baseline'!$D$1:$O$258,8,FALSE))))</f>
        <v/>
      </c>
      <c r="K211" s="520" t="str">
        <f>IF(E211="","",IF(ISNA(VLOOKUP($E211,'D-1 Off Site Habitat Baseline'!$D$1:$O$258,9,FALSE)),"",(VLOOKUP($E211,'D-1 Off Site Habitat Baseline'!$D$1:$O$258,9,FALSE))))</f>
        <v/>
      </c>
      <c r="L211" s="520" t="str">
        <f>IF(E211="","",IF(ISNA(VLOOKUP($E211,'D-1 Off Site Habitat Baseline'!$D$1:$O$258,11,FALSE)),"",(VLOOKUP($E211,'D-1 Off Site Habitat Baseline'!$D$1:$O$258,11,FALSE))))</f>
        <v/>
      </c>
      <c r="M211" s="520" t="str">
        <f>IF(E211="","",IF(ISNA(VLOOKUP($E211,'D-1 Off Site Habitat Baseline'!$D$1:$O$258,12,FALSE)),"",(VLOOKUP($E211,'D-1 Off Site Habitat Baseline'!$D$1:$O$258,12,FALSE))))</f>
        <v/>
      </c>
      <c r="N211" s="520" t="str">
        <f>IF(E211="","",IF(ISNA(VLOOKUP($E211,'D-1 Off Site Habitat Baseline'!$D$1:$X$258,14,FALSE)),"",(VLOOKUP($E211,'D-1 Off Site Habitat Baseline'!$D$1:$X$258,14,FALSE))))</f>
        <v/>
      </c>
      <c r="O211" s="524" t="str">
        <f>IF(E211="","",IF(ISNA(VLOOKUP($E211,'D-1 Off Site Habitat Baseline'!$D$1:$X$258,13,FALSE)),"",(VLOOKUP($E211,'D-1 Off Site Habitat Baseline'!$D$1:$X$258,13,FALSE))))</f>
        <v/>
      </c>
      <c r="P211" s="232" t="str">
        <f>IFERROR(INDEX('G-1 All Habitats'!$AG$3:$AG$15,MATCH(Q211,'G-1 All Habitats'!$AF$3:$AF$15,0)),"")</f>
        <v/>
      </c>
      <c r="Q211" s="228" t="str">
        <f t="shared" si="45"/>
        <v/>
      </c>
      <c r="R211" s="229" t="str">
        <f t="shared" si="46"/>
        <v/>
      </c>
      <c r="S211" s="233" t="str">
        <f>IFERROR(INDEX('G-1 All Habitats'!$B$3:$B$129,MATCH(R211,'G-1 All Habitats'!$A$3:$A$129,0)),"")</f>
        <v/>
      </c>
      <c r="T211" s="507" t="str">
        <f t="shared" si="38"/>
        <v/>
      </c>
      <c r="U211" s="524" t="str">
        <f t="shared" si="39"/>
        <v/>
      </c>
      <c r="V211" s="523" t="str">
        <f t="shared" si="36"/>
        <v/>
      </c>
      <c r="W211" s="520" t="str">
        <f>IF(S211="","",VLOOKUP(S211,'G-1 All Habitats'!$B$2:$M$129,10,FALSE))</f>
        <v/>
      </c>
      <c r="X211" s="520" t="str">
        <f>IFERROR(VLOOKUP(W211,'G-1 All Habitats'!$V$3:$W$7,2,FALSE),"")</f>
        <v/>
      </c>
      <c r="Y211" s="203"/>
      <c r="Z211" s="524" t="str">
        <f>IFERROR(INDEX('G-8 Condition Look up'!$A$3:$H$130,MATCH(S211,'G-8 Condition Look up'!$A$3:$A$130,0),MATCH(Y211,'G-8 Condition Look up'!$A$3:$H$3,0)),"")</f>
        <v/>
      </c>
      <c r="AA211" s="145"/>
      <c r="AB211" s="540" t="str">
        <f>IF(AA211="","",IF(VLOOKUP(AA211,'G-3 Multipliers'!$L$3:$N$6,2,FALSE)=0,"Spatial Data Missing ⚠",VLOOKUP(AA211,'G-3 Multipliers'!$L$3:$N$6,2,FALSE)))</f>
        <v/>
      </c>
      <c r="AC211" s="524" t="str">
        <f>IF(AA211="","",IF(VLOOKUP(AA211,'G-3 Multipliers'!$L$3:$N$6,3,FALSE)=0,"Spatial Data Missing ⚠",VLOOKUP(AA211,'G-3 Multipliers'!$L$3:$N$6,3,FALSE)))</f>
        <v/>
      </c>
      <c r="AD211" s="537" t="str">
        <f t="shared" si="37"/>
        <v/>
      </c>
      <c r="AE211" s="203"/>
      <c r="AF211" s="203"/>
      <c r="AG211" s="520" t="str">
        <f t="shared" si="40"/>
        <v/>
      </c>
      <c r="AH211" s="544" t="str">
        <f t="shared" si="41"/>
        <v/>
      </c>
      <c r="AI211" s="525" t="str">
        <f>IF(AH211="Check Data ⚠","Check Data ⚠",IFERROR(VLOOKUP(AH211,'G-4 Temporal multipliers'!$A$4:$C$36,3,FALSE),""))</f>
        <v/>
      </c>
      <c r="AJ211" s="537" t="str">
        <f>IF(S211="","",VLOOKUP(S211,'G-3 Multipliers'!$A$2:$E$129,4,FALSE))</f>
        <v/>
      </c>
      <c r="AK211" s="520" t="str">
        <f t="shared" si="42"/>
        <v/>
      </c>
      <c r="AL211" s="520" t="str">
        <f t="shared" si="43"/>
        <v/>
      </c>
      <c r="AM211" s="524" t="str">
        <f>IFERROR(IF(F211="","",IF(AH211="Check Data ⚠","Check Data ⚠",VLOOKUP(AL211, 'G-3 Multipliers'!$P$2:$Q$6,2,FALSE))),"")</f>
        <v/>
      </c>
      <c r="AN211" s="197"/>
      <c r="AO211" s="540" t="str">
        <f>IF(AN211="","",IF(VLOOKUP(AN211,'G-3 Multipliers'!$S$3:$T$9,2,FALSE)=0,"Spatial Data Missing ⚠",VLOOKUP(AN211,'G-3 Multipliers'!$S$3:$T$9,2,FALSE)))</f>
        <v/>
      </c>
      <c r="AP211" s="513" t="str">
        <f t="shared" si="44"/>
        <v/>
      </c>
      <c r="AQ211" s="231"/>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7" t="str">
        <f>'D-1 Off Site Habitat Baseline'!AL211</f>
        <v/>
      </c>
      <c r="F212" s="520" t="str">
        <f>IF(E212="","",IF(ISNA(VLOOKUP($E212,'D-1 Off Site Habitat Baseline'!$D$1:$O$258,4,FALSE)),"",(VLOOKUP($E212,'D-1 Off Site Habitat Baseline'!$D$1:$O$258,4,FALSE))))</f>
        <v/>
      </c>
      <c r="G212" s="520" t="str">
        <f>IF(E212="","",IF(ISNA(VLOOKUP($E212,'D-1 Off Site Habitat Baseline'!$D$1:$O$258,5,FALSE)),"",(VLOOKUP($E212,'D-1 Off Site Habitat Baseline'!$D$1:$O$258,5,FALSE))))</f>
        <v/>
      </c>
      <c r="H212" s="520" t="str">
        <f>IF(E212="","",IF(ISNA(VLOOKUP($E212,'D-1 Off Site Habitat Baseline'!$D$1:$O$258,6,FALSE)),"",(VLOOKUP($E212,'D-1 Off Site Habitat Baseline'!$D$1:$O$258,6,FALSE))))</f>
        <v/>
      </c>
      <c r="I212" s="520" t="str">
        <f>IF(E212="","",IF(ISNA(VLOOKUP($E212,'D-1 Off Site Habitat Baseline'!$D$1:$O$258,7,FALSE)),"",(VLOOKUP($E212,'D-1 Off Site Habitat Baseline'!$D$1:$O$258,7,FALSE))))</f>
        <v/>
      </c>
      <c r="J212" s="520" t="str">
        <f>IF(E212="","",IF(ISNA(VLOOKUP($E212,'D-1 Off Site Habitat Baseline'!$D$1:$O$258,8,FALSE)),"",(VLOOKUP($E212,'D-1 Off Site Habitat Baseline'!$D$1:$O$258,8,FALSE))))</f>
        <v/>
      </c>
      <c r="K212" s="520" t="str">
        <f>IF(E212="","",IF(ISNA(VLOOKUP($E212,'D-1 Off Site Habitat Baseline'!$D$1:$O$258,9,FALSE)),"",(VLOOKUP($E212,'D-1 Off Site Habitat Baseline'!$D$1:$O$258,9,FALSE))))</f>
        <v/>
      </c>
      <c r="L212" s="520" t="str">
        <f>IF(E212="","",IF(ISNA(VLOOKUP($E212,'D-1 Off Site Habitat Baseline'!$D$1:$O$258,11,FALSE)),"",(VLOOKUP($E212,'D-1 Off Site Habitat Baseline'!$D$1:$O$258,11,FALSE))))</f>
        <v/>
      </c>
      <c r="M212" s="520" t="str">
        <f>IF(E212="","",IF(ISNA(VLOOKUP($E212,'D-1 Off Site Habitat Baseline'!$D$1:$O$258,12,FALSE)),"",(VLOOKUP($E212,'D-1 Off Site Habitat Baseline'!$D$1:$O$258,12,FALSE))))</f>
        <v/>
      </c>
      <c r="N212" s="520" t="str">
        <f>IF(E212="","",IF(ISNA(VLOOKUP($E212,'D-1 Off Site Habitat Baseline'!$D$1:$X$258,14,FALSE)),"",(VLOOKUP($E212,'D-1 Off Site Habitat Baseline'!$D$1:$X$258,14,FALSE))))</f>
        <v/>
      </c>
      <c r="O212" s="524" t="str">
        <f>IF(E212="","",IF(ISNA(VLOOKUP($E212,'D-1 Off Site Habitat Baseline'!$D$1:$X$258,13,FALSE)),"",(VLOOKUP($E212,'D-1 Off Site Habitat Baseline'!$D$1:$X$258,13,FALSE))))</f>
        <v/>
      </c>
      <c r="P212" s="232" t="str">
        <f>IFERROR(INDEX('G-1 All Habitats'!$AG$3:$AG$15,MATCH(Q212,'G-1 All Habitats'!$AF$3:$AF$15,0)),"")</f>
        <v/>
      </c>
      <c r="Q212" s="228" t="str">
        <f t="shared" si="45"/>
        <v/>
      </c>
      <c r="R212" s="229" t="str">
        <f t="shared" si="46"/>
        <v/>
      </c>
      <c r="S212" s="233" t="str">
        <f>IFERROR(INDEX('G-1 All Habitats'!$B$3:$B$129,MATCH(R212,'G-1 All Habitats'!$A$3:$A$129,0)),"")</f>
        <v/>
      </c>
      <c r="T212" s="507" t="str">
        <f t="shared" si="38"/>
        <v/>
      </c>
      <c r="U212" s="524" t="str">
        <f t="shared" si="39"/>
        <v/>
      </c>
      <c r="V212" s="523" t="str">
        <f t="shared" si="36"/>
        <v/>
      </c>
      <c r="W212" s="520" t="str">
        <f>IF(S212="","",VLOOKUP(S212,'G-1 All Habitats'!$B$2:$M$129,10,FALSE))</f>
        <v/>
      </c>
      <c r="X212" s="520" t="str">
        <f>IFERROR(VLOOKUP(W212,'G-1 All Habitats'!$V$3:$W$7,2,FALSE),"")</f>
        <v/>
      </c>
      <c r="Y212" s="203"/>
      <c r="Z212" s="524" t="str">
        <f>IFERROR(INDEX('G-8 Condition Look up'!$A$3:$H$130,MATCH(S212,'G-8 Condition Look up'!$A$3:$A$130,0),MATCH(Y212,'G-8 Condition Look up'!$A$3:$H$3,0)),"")</f>
        <v/>
      </c>
      <c r="AA212" s="145"/>
      <c r="AB212" s="540" t="str">
        <f>IF(AA212="","",IF(VLOOKUP(AA212,'G-3 Multipliers'!$L$3:$N$6,2,FALSE)=0,"Spatial Data Missing ⚠",VLOOKUP(AA212,'G-3 Multipliers'!$L$3:$N$6,2,FALSE)))</f>
        <v/>
      </c>
      <c r="AC212" s="524" t="str">
        <f>IF(AA212="","",IF(VLOOKUP(AA212,'G-3 Multipliers'!$L$3:$N$6,3,FALSE)=0,"Spatial Data Missing ⚠",VLOOKUP(AA212,'G-3 Multipliers'!$L$3:$N$6,3,FALSE)))</f>
        <v/>
      </c>
      <c r="AD212" s="537" t="str">
        <f t="shared" si="37"/>
        <v/>
      </c>
      <c r="AE212" s="203"/>
      <c r="AF212" s="203"/>
      <c r="AG212" s="520" t="str">
        <f t="shared" si="40"/>
        <v/>
      </c>
      <c r="AH212" s="544" t="str">
        <f t="shared" si="41"/>
        <v/>
      </c>
      <c r="AI212" s="525" t="str">
        <f>IF(AH212="Check Data ⚠","Check Data ⚠",IFERROR(VLOOKUP(AH212,'G-4 Temporal multipliers'!$A$4:$C$36,3,FALSE),""))</f>
        <v/>
      </c>
      <c r="AJ212" s="537" t="str">
        <f>IF(S212="","",VLOOKUP(S212,'G-3 Multipliers'!$A$2:$E$129,4,FALSE))</f>
        <v/>
      </c>
      <c r="AK212" s="520" t="str">
        <f t="shared" si="42"/>
        <v/>
      </c>
      <c r="AL212" s="520" t="str">
        <f t="shared" si="43"/>
        <v/>
      </c>
      <c r="AM212" s="524" t="str">
        <f>IFERROR(IF(F212="","",IF(AH212="Check Data ⚠","Check Data ⚠",VLOOKUP(AL212, 'G-3 Multipliers'!$P$2:$Q$6,2,FALSE))),"")</f>
        <v/>
      </c>
      <c r="AN212" s="197"/>
      <c r="AO212" s="540" t="str">
        <f>IF(AN212="","",IF(VLOOKUP(AN212,'G-3 Multipliers'!$S$3:$T$9,2,FALSE)=0,"Spatial Data Missing ⚠",VLOOKUP(AN212,'G-3 Multipliers'!$S$3:$T$9,2,FALSE)))</f>
        <v/>
      </c>
      <c r="AP212" s="513" t="str">
        <f t="shared" si="44"/>
        <v/>
      </c>
      <c r="AQ212" s="231"/>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7" t="str">
        <f>'D-1 Off Site Habitat Baseline'!AL212</f>
        <v/>
      </c>
      <c r="F213" s="520" t="str">
        <f>IF(E213="","",IF(ISNA(VLOOKUP($E213,'D-1 Off Site Habitat Baseline'!$D$1:$O$258,4,FALSE)),"",(VLOOKUP($E213,'D-1 Off Site Habitat Baseline'!$D$1:$O$258,4,FALSE))))</f>
        <v/>
      </c>
      <c r="G213" s="520" t="str">
        <f>IF(E213="","",IF(ISNA(VLOOKUP($E213,'D-1 Off Site Habitat Baseline'!$D$1:$O$258,5,FALSE)),"",(VLOOKUP($E213,'D-1 Off Site Habitat Baseline'!$D$1:$O$258,5,FALSE))))</f>
        <v/>
      </c>
      <c r="H213" s="520" t="str">
        <f>IF(E213="","",IF(ISNA(VLOOKUP($E213,'D-1 Off Site Habitat Baseline'!$D$1:$O$258,6,FALSE)),"",(VLOOKUP($E213,'D-1 Off Site Habitat Baseline'!$D$1:$O$258,6,FALSE))))</f>
        <v/>
      </c>
      <c r="I213" s="520" t="str">
        <f>IF(E213="","",IF(ISNA(VLOOKUP($E213,'D-1 Off Site Habitat Baseline'!$D$1:$O$258,7,FALSE)),"",(VLOOKUP($E213,'D-1 Off Site Habitat Baseline'!$D$1:$O$258,7,FALSE))))</f>
        <v/>
      </c>
      <c r="J213" s="520" t="str">
        <f>IF(E213="","",IF(ISNA(VLOOKUP($E213,'D-1 Off Site Habitat Baseline'!$D$1:$O$258,8,FALSE)),"",(VLOOKUP($E213,'D-1 Off Site Habitat Baseline'!$D$1:$O$258,8,FALSE))))</f>
        <v/>
      </c>
      <c r="K213" s="520" t="str">
        <f>IF(E213="","",IF(ISNA(VLOOKUP($E213,'D-1 Off Site Habitat Baseline'!$D$1:$O$258,9,FALSE)),"",(VLOOKUP($E213,'D-1 Off Site Habitat Baseline'!$D$1:$O$258,9,FALSE))))</f>
        <v/>
      </c>
      <c r="L213" s="520" t="str">
        <f>IF(E213="","",IF(ISNA(VLOOKUP($E213,'D-1 Off Site Habitat Baseline'!$D$1:$O$258,11,FALSE)),"",(VLOOKUP($E213,'D-1 Off Site Habitat Baseline'!$D$1:$O$258,11,FALSE))))</f>
        <v/>
      </c>
      <c r="M213" s="520" t="str">
        <f>IF(E213="","",IF(ISNA(VLOOKUP($E213,'D-1 Off Site Habitat Baseline'!$D$1:$O$258,12,FALSE)),"",(VLOOKUP($E213,'D-1 Off Site Habitat Baseline'!$D$1:$O$258,12,FALSE))))</f>
        <v/>
      </c>
      <c r="N213" s="520" t="str">
        <f>IF(E213="","",IF(ISNA(VLOOKUP($E213,'D-1 Off Site Habitat Baseline'!$D$1:$X$258,14,FALSE)),"",(VLOOKUP($E213,'D-1 Off Site Habitat Baseline'!$D$1:$X$258,14,FALSE))))</f>
        <v/>
      </c>
      <c r="O213" s="524" t="str">
        <f>IF(E213="","",IF(ISNA(VLOOKUP($E213,'D-1 Off Site Habitat Baseline'!$D$1:$X$258,13,FALSE)),"",(VLOOKUP($E213,'D-1 Off Site Habitat Baseline'!$D$1:$X$258,13,FALSE))))</f>
        <v/>
      </c>
      <c r="P213" s="232" t="str">
        <f>IFERROR(INDEX('G-1 All Habitats'!$AG$3:$AG$15,MATCH(Q213,'G-1 All Habitats'!$AF$3:$AF$15,0)),"")</f>
        <v/>
      </c>
      <c r="Q213" s="228" t="str">
        <f t="shared" si="45"/>
        <v/>
      </c>
      <c r="R213" s="229" t="str">
        <f t="shared" si="46"/>
        <v/>
      </c>
      <c r="S213" s="233" t="str">
        <f>IFERROR(INDEX('G-1 All Habitats'!$B$3:$B$129,MATCH(R213,'G-1 All Habitats'!$A$3:$A$129,0)),"")</f>
        <v/>
      </c>
      <c r="T213" s="507" t="str">
        <f t="shared" si="38"/>
        <v/>
      </c>
      <c r="U213" s="524" t="str">
        <f t="shared" si="39"/>
        <v/>
      </c>
      <c r="V213" s="523" t="str">
        <f t="shared" si="36"/>
        <v/>
      </c>
      <c r="W213" s="520" t="str">
        <f>IF(S213="","",VLOOKUP(S213,'G-1 All Habitats'!$B$2:$M$129,10,FALSE))</f>
        <v/>
      </c>
      <c r="X213" s="520" t="str">
        <f>IFERROR(VLOOKUP(W213,'G-1 All Habitats'!$V$3:$W$7,2,FALSE),"")</f>
        <v/>
      </c>
      <c r="Y213" s="203"/>
      <c r="Z213" s="524" t="str">
        <f>IFERROR(INDEX('G-8 Condition Look up'!$A$3:$H$130,MATCH(S213,'G-8 Condition Look up'!$A$3:$A$130,0),MATCH(Y213,'G-8 Condition Look up'!$A$3:$H$3,0)),"")</f>
        <v/>
      </c>
      <c r="AA213" s="145"/>
      <c r="AB213" s="540" t="str">
        <f>IF(AA213="","",IF(VLOOKUP(AA213,'G-3 Multipliers'!$L$3:$N$6,2,FALSE)=0,"Spatial Data Missing ⚠",VLOOKUP(AA213,'G-3 Multipliers'!$L$3:$N$6,2,FALSE)))</f>
        <v/>
      </c>
      <c r="AC213" s="524" t="str">
        <f>IF(AA213="","",IF(VLOOKUP(AA213,'G-3 Multipliers'!$L$3:$N$6,3,FALSE)=0,"Spatial Data Missing ⚠",VLOOKUP(AA213,'G-3 Multipliers'!$L$3:$N$6,3,FALSE)))</f>
        <v/>
      </c>
      <c r="AD213" s="537" t="str">
        <f t="shared" si="37"/>
        <v/>
      </c>
      <c r="AE213" s="203"/>
      <c r="AF213" s="203"/>
      <c r="AG213" s="520" t="str">
        <f t="shared" si="40"/>
        <v/>
      </c>
      <c r="AH213" s="544" t="str">
        <f t="shared" si="41"/>
        <v/>
      </c>
      <c r="AI213" s="525" t="str">
        <f>IF(AH213="Check Data ⚠","Check Data ⚠",IFERROR(VLOOKUP(AH213,'G-4 Temporal multipliers'!$A$4:$C$36,3,FALSE),""))</f>
        <v/>
      </c>
      <c r="AJ213" s="537" t="str">
        <f>IF(S213="","",VLOOKUP(S213,'G-3 Multipliers'!$A$2:$E$129,4,FALSE))</f>
        <v/>
      </c>
      <c r="AK213" s="520" t="str">
        <f t="shared" si="42"/>
        <v/>
      </c>
      <c r="AL213" s="520" t="str">
        <f t="shared" si="43"/>
        <v/>
      </c>
      <c r="AM213" s="524" t="str">
        <f>IFERROR(IF(F213="","",IF(AH213="Check Data ⚠","Check Data ⚠",VLOOKUP(AL213, 'G-3 Multipliers'!$P$2:$Q$6,2,FALSE))),"")</f>
        <v/>
      </c>
      <c r="AN213" s="197"/>
      <c r="AO213" s="540" t="str">
        <f>IF(AN213="","",IF(VLOOKUP(AN213,'G-3 Multipliers'!$S$3:$T$9,2,FALSE)=0,"Spatial Data Missing ⚠",VLOOKUP(AN213,'G-3 Multipliers'!$S$3:$T$9,2,FALSE)))</f>
        <v/>
      </c>
      <c r="AP213" s="513" t="str">
        <f t="shared" si="44"/>
        <v/>
      </c>
      <c r="AQ213" s="231"/>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7" t="str">
        <f>'D-1 Off Site Habitat Baseline'!AL213</f>
        <v/>
      </c>
      <c r="F214" s="520" t="str">
        <f>IF(E214="","",IF(ISNA(VLOOKUP($E214,'D-1 Off Site Habitat Baseline'!$D$1:$O$258,4,FALSE)),"",(VLOOKUP($E214,'D-1 Off Site Habitat Baseline'!$D$1:$O$258,4,FALSE))))</f>
        <v/>
      </c>
      <c r="G214" s="520" t="str">
        <f>IF(E214="","",IF(ISNA(VLOOKUP($E214,'D-1 Off Site Habitat Baseline'!$D$1:$O$258,5,FALSE)),"",(VLOOKUP($E214,'D-1 Off Site Habitat Baseline'!$D$1:$O$258,5,FALSE))))</f>
        <v/>
      </c>
      <c r="H214" s="520" t="str">
        <f>IF(E214="","",IF(ISNA(VLOOKUP($E214,'D-1 Off Site Habitat Baseline'!$D$1:$O$258,6,FALSE)),"",(VLOOKUP($E214,'D-1 Off Site Habitat Baseline'!$D$1:$O$258,6,FALSE))))</f>
        <v/>
      </c>
      <c r="I214" s="520" t="str">
        <f>IF(E214="","",IF(ISNA(VLOOKUP($E214,'D-1 Off Site Habitat Baseline'!$D$1:$O$258,7,FALSE)),"",(VLOOKUP($E214,'D-1 Off Site Habitat Baseline'!$D$1:$O$258,7,FALSE))))</f>
        <v/>
      </c>
      <c r="J214" s="520" t="str">
        <f>IF(E214="","",IF(ISNA(VLOOKUP($E214,'D-1 Off Site Habitat Baseline'!$D$1:$O$258,8,FALSE)),"",(VLOOKUP($E214,'D-1 Off Site Habitat Baseline'!$D$1:$O$258,8,FALSE))))</f>
        <v/>
      </c>
      <c r="K214" s="520" t="str">
        <f>IF(E214="","",IF(ISNA(VLOOKUP($E214,'D-1 Off Site Habitat Baseline'!$D$1:$O$258,9,FALSE)),"",(VLOOKUP($E214,'D-1 Off Site Habitat Baseline'!$D$1:$O$258,9,FALSE))))</f>
        <v/>
      </c>
      <c r="L214" s="520" t="str">
        <f>IF(E214="","",IF(ISNA(VLOOKUP($E214,'D-1 Off Site Habitat Baseline'!$D$1:$O$258,11,FALSE)),"",(VLOOKUP($E214,'D-1 Off Site Habitat Baseline'!$D$1:$O$258,11,FALSE))))</f>
        <v/>
      </c>
      <c r="M214" s="520" t="str">
        <f>IF(E214="","",IF(ISNA(VLOOKUP($E214,'D-1 Off Site Habitat Baseline'!$D$1:$O$258,12,FALSE)),"",(VLOOKUP($E214,'D-1 Off Site Habitat Baseline'!$D$1:$O$258,12,FALSE))))</f>
        <v/>
      </c>
      <c r="N214" s="520" t="str">
        <f>IF(E214="","",IF(ISNA(VLOOKUP($E214,'D-1 Off Site Habitat Baseline'!$D$1:$X$258,14,FALSE)),"",(VLOOKUP($E214,'D-1 Off Site Habitat Baseline'!$D$1:$X$258,14,FALSE))))</f>
        <v/>
      </c>
      <c r="O214" s="524" t="str">
        <f>IF(E214="","",IF(ISNA(VLOOKUP($E214,'D-1 Off Site Habitat Baseline'!$D$1:$X$258,13,FALSE)),"",(VLOOKUP($E214,'D-1 Off Site Habitat Baseline'!$D$1:$X$258,13,FALSE))))</f>
        <v/>
      </c>
      <c r="P214" s="232" t="str">
        <f>IFERROR(INDEX('G-1 All Habitats'!$AG$3:$AG$15,MATCH(Q214,'G-1 All Habitats'!$AF$3:$AF$15,0)),"")</f>
        <v/>
      </c>
      <c r="Q214" s="228" t="str">
        <f t="shared" si="45"/>
        <v/>
      </c>
      <c r="R214" s="229" t="str">
        <f t="shared" si="46"/>
        <v/>
      </c>
      <c r="S214" s="233" t="str">
        <f>IFERROR(INDEX('G-1 All Habitats'!$B$3:$B$129,MATCH(R214,'G-1 All Habitats'!$A$3:$A$129,0)),"")</f>
        <v/>
      </c>
      <c r="T214" s="507" t="str">
        <f t="shared" si="38"/>
        <v/>
      </c>
      <c r="U214" s="524" t="str">
        <f t="shared" si="39"/>
        <v/>
      </c>
      <c r="V214" s="523" t="str">
        <f t="shared" si="36"/>
        <v/>
      </c>
      <c r="W214" s="520" t="str">
        <f>IF(S214="","",VLOOKUP(S214,'G-1 All Habitats'!$B$2:$M$129,10,FALSE))</f>
        <v/>
      </c>
      <c r="X214" s="520" t="str">
        <f>IFERROR(VLOOKUP(W214,'G-1 All Habitats'!$V$3:$W$7,2,FALSE),"")</f>
        <v/>
      </c>
      <c r="Y214" s="203"/>
      <c r="Z214" s="524" t="str">
        <f>IFERROR(INDEX('G-8 Condition Look up'!$A$3:$H$130,MATCH(S214,'G-8 Condition Look up'!$A$3:$A$130,0),MATCH(Y214,'G-8 Condition Look up'!$A$3:$H$3,0)),"")</f>
        <v/>
      </c>
      <c r="AA214" s="145"/>
      <c r="AB214" s="540" t="str">
        <f>IF(AA214="","",IF(VLOOKUP(AA214,'G-3 Multipliers'!$L$3:$N$6,2,FALSE)=0,"Spatial Data Missing ⚠",VLOOKUP(AA214,'G-3 Multipliers'!$L$3:$N$6,2,FALSE)))</f>
        <v/>
      </c>
      <c r="AC214" s="524" t="str">
        <f>IF(AA214="","",IF(VLOOKUP(AA214,'G-3 Multipliers'!$L$3:$N$6,3,FALSE)=0,"Spatial Data Missing ⚠",VLOOKUP(AA214,'G-3 Multipliers'!$L$3:$N$6,3,FALSE)))</f>
        <v/>
      </c>
      <c r="AD214" s="537" t="str">
        <f t="shared" si="37"/>
        <v/>
      </c>
      <c r="AE214" s="203"/>
      <c r="AF214" s="203"/>
      <c r="AG214" s="520" t="str">
        <f t="shared" si="40"/>
        <v/>
      </c>
      <c r="AH214" s="544" t="str">
        <f t="shared" si="41"/>
        <v/>
      </c>
      <c r="AI214" s="525" t="str">
        <f>IF(AH214="Check Data ⚠","Check Data ⚠",IFERROR(VLOOKUP(AH214,'G-4 Temporal multipliers'!$A$4:$C$36,3,FALSE),""))</f>
        <v/>
      </c>
      <c r="AJ214" s="537" t="str">
        <f>IF(S214="","",VLOOKUP(S214,'G-3 Multipliers'!$A$2:$E$129,4,FALSE))</f>
        <v/>
      </c>
      <c r="AK214" s="520" t="str">
        <f t="shared" si="42"/>
        <v/>
      </c>
      <c r="AL214" s="520" t="str">
        <f t="shared" si="43"/>
        <v/>
      </c>
      <c r="AM214" s="524" t="str">
        <f>IFERROR(IF(F214="","",IF(AH214="Check Data ⚠","Check Data ⚠",VLOOKUP(AL214, 'G-3 Multipliers'!$P$2:$Q$6,2,FALSE))),"")</f>
        <v/>
      </c>
      <c r="AN214" s="197"/>
      <c r="AO214" s="540" t="str">
        <f>IF(AN214="","",IF(VLOOKUP(AN214,'G-3 Multipliers'!$S$3:$T$9,2,FALSE)=0,"Spatial Data Missing ⚠",VLOOKUP(AN214,'G-3 Multipliers'!$S$3:$T$9,2,FALSE)))</f>
        <v/>
      </c>
      <c r="AP214" s="513" t="str">
        <f t="shared" si="44"/>
        <v/>
      </c>
      <c r="AQ214" s="231"/>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7" t="str">
        <f>'D-1 Off Site Habitat Baseline'!AL214</f>
        <v/>
      </c>
      <c r="F215" s="520" t="str">
        <f>IF(E215="","",IF(ISNA(VLOOKUP($E215,'D-1 Off Site Habitat Baseline'!$D$1:$O$258,4,FALSE)),"",(VLOOKUP($E215,'D-1 Off Site Habitat Baseline'!$D$1:$O$258,4,FALSE))))</f>
        <v/>
      </c>
      <c r="G215" s="520" t="str">
        <f>IF(E215="","",IF(ISNA(VLOOKUP($E215,'D-1 Off Site Habitat Baseline'!$D$1:$O$258,5,FALSE)),"",(VLOOKUP($E215,'D-1 Off Site Habitat Baseline'!$D$1:$O$258,5,FALSE))))</f>
        <v/>
      </c>
      <c r="H215" s="520" t="str">
        <f>IF(E215="","",IF(ISNA(VLOOKUP($E215,'D-1 Off Site Habitat Baseline'!$D$1:$O$258,6,FALSE)),"",(VLOOKUP($E215,'D-1 Off Site Habitat Baseline'!$D$1:$O$258,6,FALSE))))</f>
        <v/>
      </c>
      <c r="I215" s="520" t="str">
        <f>IF(E215="","",IF(ISNA(VLOOKUP($E215,'D-1 Off Site Habitat Baseline'!$D$1:$O$258,7,FALSE)),"",(VLOOKUP($E215,'D-1 Off Site Habitat Baseline'!$D$1:$O$258,7,FALSE))))</f>
        <v/>
      </c>
      <c r="J215" s="520" t="str">
        <f>IF(E215="","",IF(ISNA(VLOOKUP($E215,'D-1 Off Site Habitat Baseline'!$D$1:$O$258,8,FALSE)),"",(VLOOKUP($E215,'D-1 Off Site Habitat Baseline'!$D$1:$O$258,8,FALSE))))</f>
        <v/>
      </c>
      <c r="K215" s="520" t="str">
        <f>IF(E215="","",IF(ISNA(VLOOKUP($E215,'D-1 Off Site Habitat Baseline'!$D$1:$O$258,9,FALSE)),"",(VLOOKUP($E215,'D-1 Off Site Habitat Baseline'!$D$1:$O$258,9,FALSE))))</f>
        <v/>
      </c>
      <c r="L215" s="520" t="str">
        <f>IF(E215="","",IF(ISNA(VLOOKUP($E215,'D-1 Off Site Habitat Baseline'!$D$1:$O$258,11,FALSE)),"",(VLOOKUP($E215,'D-1 Off Site Habitat Baseline'!$D$1:$O$258,11,FALSE))))</f>
        <v/>
      </c>
      <c r="M215" s="520" t="str">
        <f>IF(E215="","",IF(ISNA(VLOOKUP($E215,'D-1 Off Site Habitat Baseline'!$D$1:$O$258,12,FALSE)),"",(VLOOKUP($E215,'D-1 Off Site Habitat Baseline'!$D$1:$O$258,12,FALSE))))</f>
        <v/>
      </c>
      <c r="N215" s="520" t="str">
        <f>IF(E215="","",IF(ISNA(VLOOKUP($E215,'D-1 Off Site Habitat Baseline'!$D$1:$X$258,14,FALSE)),"",(VLOOKUP($E215,'D-1 Off Site Habitat Baseline'!$D$1:$X$258,14,FALSE))))</f>
        <v/>
      </c>
      <c r="O215" s="524" t="str">
        <f>IF(E215="","",IF(ISNA(VLOOKUP($E215,'D-1 Off Site Habitat Baseline'!$D$1:$X$258,13,FALSE)),"",(VLOOKUP($E215,'D-1 Off Site Habitat Baseline'!$D$1:$X$258,13,FALSE))))</f>
        <v/>
      </c>
      <c r="P215" s="232" t="str">
        <f>IFERROR(INDEX('G-1 All Habitats'!$AG$3:$AG$15,MATCH(Q215,'G-1 All Habitats'!$AF$3:$AF$15,0)),"")</f>
        <v/>
      </c>
      <c r="Q215" s="228" t="str">
        <f t="shared" si="45"/>
        <v/>
      </c>
      <c r="R215" s="229" t="str">
        <f t="shared" si="46"/>
        <v/>
      </c>
      <c r="S215" s="233" t="str">
        <f>IFERROR(INDEX('G-1 All Habitats'!$B$3:$B$129,MATCH(R215,'G-1 All Habitats'!$A$3:$A$129,0)),"")</f>
        <v/>
      </c>
      <c r="T215" s="507" t="str">
        <f t="shared" si="38"/>
        <v/>
      </c>
      <c r="U215" s="524" t="str">
        <f t="shared" si="39"/>
        <v/>
      </c>
      <c r="V215" s="523" t="str">
        <f t="shared" si="36"/>
        <v/>
      </c>
      <c r="W215" s="520" t="str">
        <f>IF(S215="","",VLOOKUP(S215,'G-1 All Habitats'!$B$2:$M$129,10,FALSE))</f>
        <v/>
      </c>
      <c r="X215" s="520" t="str">
        <f>IFERROR(VLOOKUP(W215,'G-1 All Habitats'!$V$3:$W$7,2,FALSE),"")</f>
        <v/>
      </c>
      <c r="Y215" s="203"/>
      <c r="Z215" s="524" t="str">
        <f>IFERROR(INDEX('G-8 Condition Look up'!$A$3:$H$130,MATCH(S215,'G-8 Condition Look up'!$A$3:$A$130,0),MATCH(Y215,'G-8 Condition Look up'!$A$3:$H$3,0)),"")</f>
        <v/>
      </c>
      <c r="AA215" s="145"/>
      <c r="AB215" s="540" t="str">
        <f>IF(AA215="","",IF(VLOOKUP(AA215,'G-3 Multipliers'!$L$3:$N$6,2,FALSE)=0,"Spatial Data Missing ⚠",VLOOKUP(AA215,'G-3 Multipliers'!$L$3:$N$6,2,FALSE)))</f>
        <v/>
      </c>
      <c r="AC215" s="524" t="str">
        <f>IF(AA215="","",IF(VLOOKUP(AA215,'G-3 Multipliers'!$L$3:$N$6,3,FALSE)=0,"Spatial Data Missing ⚠",VLOOKUP(AA215,'G-3 Multipliers'!$L$3:$N$6,3,FALSE)))</f>
        <v/>
      </c>
      <c r="AD215" s="537" t="str">
        <f t="shared" si="37"/>
        <v/>
      </c>
      <c r="AE215" s="203"/>
      <c r="AF215" s="203"/>
      <c r="AG215" s="520" t="str">
        <f t="shared" si="40"/>
        <v/>
      </c>
      <c r="AH215" s="544" t="str">
        <f t="shared" si="41"/>
        <v/>
      </c>
      <c r="AI215" s="525" t="str">
        <f>IF(AH215="Check Data ⚠","Check Data ⚠",IFERROR(VLOOKUP(AH215,'G-4 Temporal multipliers'!$A$4:$C$36,3,FALSE),""))</f>
        <v/>
      </c>
      <c r="AJ215" s="537" t="str">
        <f>IF(S215="","",VLOOKUP(S215,'G-3 Multipliers'!$A$2:$E$129,4,FALSE))</f>
        <v/>
      </c>
      <c r="AK215" s="520" t="str">
        <f t="shared" si="42"/>
        <v/>
      </c>
      <c r="AL215" s="520" t="str">
        <f t="shared" si="43"/>
        <v/>
      </c>
      <c r="AM215" s="524" t="str">
        <f>IFERROR(IF(F215="","",IF(AH215="Check Data ⚠","Check Data ⚠",VLOOKUP(AL215, 'G-3 Multipliers'!$P$2:$Q$6,2,FALSE))),"")</f>
        <v/>
      </c>
      <c r="AN215" s="197"/>
      <c r="AO215" s="540" t="str">
        <f>IF(AN215="","",IF(VLOOKUP(AN215,'G-3 Multipliers'!$S$3:$T$9,2,FALSE)=0,"Spatial Data Missing ⚠",VLOOKUP(AN215,'G-3 Multipliers'!$S$3:$T$9,2,FALSE)))</f>
        <v/>
      </c>
      <c r="AP215" s="513" t="str">
        <f t="shared" si="44"/>
        <v/>
      </c>
      <c r="AQ215" s="231"/>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7" t="str">
        <f>'D-1 Off Site Habitat Baseline'!AL215</f>
        <v/>
      </c>
      <c r="F216" s="520" t="str">
        <f>IF(E216="","",IF(ISNA(VLOOKUP($E216,'D-1 Off Site Habitat Baseline'!$D$1:$O$258,4,FALSE)),"",(VLOOKUP($E216,'D-1 Off Site Habitat Baseline'!$D$1:$O$258,4,FALSE))))</f>
        <v/>
      </c>
      <c r="G216" s="520" t="str">
        <f>IF(E216="","",IF(ISNA(VLOOKUP($E216,'D-1 Off Site Habitat Baseline'!$D$1:$O$258,5,FALSE)),"",(VLOOKUP($E216,'D-1 Off Site Habitat Baseline'!$D$1:$O$258,5,FALSE))))</f>
        <v/>
      </c>
      <c r="H216" s="520" t="str">
        <f>IF(E216="","",IF(ISNA(VLOOKUP($E216,'D-1 Off Site Habitat Baseline'!$D$1:$O$258,6,FALSE)),"",(VLOOKUP($E216,'D-1 Off Site Habitat Baseline'!$D$1:$O$258,6,FALSE))))</f>
        <v/>
      </c>
      <c r="I216" s="520" t="str">
        <f>IF(E216="","",IF(ISNA(VLOOKUP($E216,'D-1 Off Site Habitat Baseline'!$D$1:$O$258,7,FALSE)),"",(VLOOKUP($E216,'D-1 Off Site Habitat Baseline'!$D$1:$O$258,7,FALSE))))</f>
        <v/>
      </c>
      <c r="J216" s="520" t="str">
        <f>IF(E216="","",IF(ISNA(VLOOKUP($E216,'D-1 Off Site Habitat Baseline'!$D$1:$O$258,8,FALSE)),"",(VLOOKUP($E216,'D-1 Off Site Habitat Baseline'!$D$1:$O$258,8,FALSE))))</f>
        <v/>
      </c>
      <c r="K216" s="520" t="str">
        <f>IF(E216="","",IF(ISNA(VLOOKUP($E216,'D-1 Off Site Habitat Baseline'!$D$1:$O$258,9,FALSE)),"",(VLOOKUP($E216,'D-1 Off Site Habitat Baseline'!$D$1:$O$258,9,FALSE))))</f>
        <v/>
      </c>
      <c r="L216" s="520" t="str">
        <f>IF(E216="","",IF(ISNA(VLOOKUP($E216,'D-1 Off Site Habitat Baseline'!$D$1:$O$258,11,FALSE)),"",(VLOOKUP($E216,'D-1 Off Site Habitat Baseline'!$D$1:$O$258,11,FALSE))))</f>
        <v/>
      </c>
      <c r="M216" s="520" t="str">
        <f>IF(E216="","",IF(ISNA(VLOOKUP($E216,'D-1 Off Site Habitat Baseline'!$D$1:$O$258,12,FALSE)),"",(VLOOKUP($E216,'D-1 Off Site Habitat Baseline'!$D$1:$O$258,12,FALSE))))</f>
        <v/>
      </c>
      <c r="N216" s="520" t="str">
        <f>IF(E216="","",IF(ISNA(VLOOKUP($E216,'D-1 Off Site Habitat Baseline'!$D$1:$X$258,14,FALSE)),"",(VLOOKUP($E216,'D-1 Off Site Habitat Baseline'!$D$1:$X$258,14,FALSE))))</f>
        <v/>
      </c>
      <c r="O216" s="524" t="str">
        <f>IF(E216="","",IF(ISNA(VLOOKUP($E216,'D-1 Off Site Habitat Baseline'!$D$1:$X$258,13,FALSE)),"",(VLOOKUP($E216,'D-1 Off Site Habitat Baseline'!$D$1:$X$258,13,FALSE))))</f>
        <v/>
      </c>
      <c r="P216" s="232" t="str">
        <f>IFERROR(INDEX('G-1 All Habitats'!$AG$3:$AG$15,MATCH(Q216,'G-1 All Habitats'!$AF$3:$AF$15,0)),"")</f>
        <v/>
      </c>
      <c r="Q216" s="228" t="str">
        <f t="shared" si="45"/>
        <v/>
      </c>
      <c r="R216" s="229" t="str">
        <f t="shared" si="46"/>
        <v/>
      </c>
      <c r="S216" s="233" t="str">
        <f>IFERROR(INDEX('G-1 All Habitats'!$B$3:$B$129,MATCH(R216,'G-1 All Habitats'!$A$3:$A$129,0)),"")</f>
        <v/>
      </c>
      <c r="T216" s="507" t="str">
        <f t="shared" si="38"/>
        <v/>
      </c>
      <c r="U216" s="524" t="str">
        <f t="shared" si="39"/>
        <v/>
      </c>
      <c r="V216" s="523" t="str">
        <f t="shared" si="36"/>
        <v/>
      </c>
      <c r="W216" s="520" t="str">
        <f>IF(S216="","",VLOOKUP(S216,'G-1 All Habitats'!$B$2:$M$129,10,FALSE))</f>
        <v/>
      </c>
      <c r="X216" s="520" t="str">
        <f>IFERROR(VLOOKUP(W216,'G-1 All Habitats'!$V$3:$W$7,2,FALSE),"")</f>
        <v/>
      </c>
      <c r="Y216" s="203"/>
      <c r="Z216" s="524" t="str">
        <f>IFERROR(INDEX('G-8 Condition Look up'!$A$3:$H$130,MATCH(S216,'G-8 Condition Look up'!$A$3:$A$130,0),MATCH(Y216,'G-8 Condition Look up'!$A$3:$H$3,0)),"")</f>
        <v/>
      </c>
      <c r="AA216" s="145"/>
      <c r="AB216" s="540" t="str">
        <f>IF(AA216="","",IF(VLOOKUP(AA216,'G-3 Multipliers'!$L$3:$N$6,2,FALSE)=0,"Spatial Data Missing ⚠",VLOOKUP(AA216,'G-3 Multipliers'!$L$3:$N$6,2,FALSE)))</f>
        <v/>
      </c>
      <c r="AC216" s="524" t="str">
        <f>IF(AA216="","",IF(VLOOKUP(AA216,'G-3 Multipliers'!$L$3:$N$6,3,FALSE)=0,"Spatial Data Missing ⚠",VLOOKUP(AA216,'G-3 Multipliers'!$L$3:$N$6,3,FALSE)))</f>
        <v/>
      </c>
      <c r="AD216" s="537" t="str">
        <f t="shared" si="37"/>
        <v/>
      </c>
      <c r="AE216" s="203"/>
      <c r="AF216" s="203"/>
      <c r="AG216" s="520" t="str">
        <f t="shared" si="40"/>
        <v/>
      </c>
      <c r="AH216" s="544" t="str">
        <f t="shared" si="41"/>
        <v/>
      </c>
      <c r="AI216" s="525" t="str">
        <f>IF(AH216="Check Data ⚠","Check Data ⚠",IFERROR(VLOOKUP(AH216,'G-4 Temporal multipliers'!$A$4:$C$36,3,FALSE),""))</f>
        <v/>
      </c>
      <c r="AJ216" s="537" t="str">
        <f>IF(S216="","",VLOOKUP(S216,'G-3 Multipliers'!$A$2:$E$129,4,FALSE))</f>
        <v/>
      </c>
      <c r="AK216" s="520" t="str">
        <f t="shared" si="42"/>
        <v/>
      </c>
      <c r="AL216" s="520" t="str">
        <f t="shared" si="43"/>
        <v/>
      </c>
      <c r="AM216" s="524" t="str">
        <f>IFERROR(IF(F216="","",IF(AH216="Check Data ⚠","Check Data ⚠",VLOOKUP(AL216, 'G-3 Multipliers'!$P$2:$Q$6,2,FALSE))),"")</f>
        <v/>
      </c>
      <c r="AN216" s="197"/>
      <c r="AO216" s="540" t="str">
        <f>IF(AN216="","",IF(VLOOKUP(AN216,'G-3 Multipliers'!$S$3:$T$9,2,FALSE)=0,"Spatial Data Missing ⚠",VLOOKUP(AN216,'G-3 Multipliers'!$S$3:$T$9,2,FALSE)))</f>
        <v/>
      </c>
      <c r="AP216" s="513" t="str">
        <f t="shared" si="44"/>
        <v/>
      </c>
      <c r="AQ216" s="231"/>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7" t="str">
        <f>'D-1 Off Site Habitat Baseline'!AL216</f>
        <v/>
      </c>
      <c r="F217" s="520" t="str">
        <f>IF(E217="","",IF(ISNA(VLOOKUP($E217,'D-1 Off Site Habitat Baseline'!$D$1:$O$258,4,FALSE)),"",(VLOOKUP($E217,'D-1 Off Site Habitat Baseline'!$D$1:$O$258,4,FALSE))))</f>
        <v/>
      </c>
      <c r="G217" s="520" t="str">
        <f>IF(E217="","",IF(ISNA(VLOOKUP($E217,'D-1 Off Site Habitat Baseline'!$D$1:$O$258,5,FALSE)),"",(VLOOKUP($E217,'D-1 Off Site Habitat Baseline'!$D$1:$O$258,5,FALSE))))</f>
        <v/>
      </c>
      <c r="H217" s="520" t="str">
        <f>IF(E217="","",IF(ISNA(VLOOKUP($E217,'D-1 Off Site Habitat Baseline'!$D$1:$O$258,6,FALSE)),"",(VLOOKUP($E217,'D-1 Off Site Habitat Baseline'!$D$1:$O$258,6,FALSE))))</f>
        <v/>
      </c>
      <c r="I217" s="520" t="str">
        <f>IF(E217="","",IF(ISNA(VLOOKUP($E217,'D-1 Off Site Habitat Baseline'!$D$1:$O$258,7,FALSE)),"",(VLOOKUP($E217,'D-1 Off Site Habitat Baseline'!$D$1:$O$258,7,FALSE))))</f>
        <v/>
      </c>
      <c r="J217" s="520" t="str">
        <f>IF(E217="","",IF(ISNA(VLOOKUP($E217,'D-1 Off Site Habitat Baseline'!$D$1:$O$258,8,FALSE)),"",(VLOOKUP($E217,'D-1 Off Site Habitat Baseline'!$D$1:$O$258,8,FALSE))))</f>
        <v/>
      </c>
      <c r="K217" s="520" t="str">
        <f>IF(E217="","",IF(ISNA(VLOOKUP($E217,'D-1 Off Site Habitat Baseline'!$D$1:$O$258,9,FALSE)),"",(VLOOKUP($E217,'D-1 Off Site Habitat Baseline'!$D$1:$O$258,9,FALSE))))</f>
        <v/>
      </c>
      <c r="L217" s="520" t="str">
        <f>IF(E217="","",IF(ISNA(VLOOKUP($E217,'D-1 Off Site Habitat Baseline'!$D$1:$O$258,11,FALSE)),"",(VLOOKUP($E217,'D-1 Off Site Habitat Baseline'!$D$1:$O$258,11,FALSE))))</f>
        <v/>
      </c>
      <c r="M217" s="520" t="str">
        <f>IF(E217="","",IF(ISNA(VLOOKUP($E217,'D-1 Off Site Habitat Baseline'!$D$1:$O$258,12,FALSE)),"",(VLOOKUP($E217,'D-1 Off Site Habitat Baseline'!$D$1:$O$258,12,FALSE))))</f>
        <v/>
      </c>
      <c r="N217" s="520" t="str">
        <f>IF(E217="","",IF(ISNA(VLOOKUP($E217,'D-1 Off Site Habitat Baseline'!$D$1:$X$258,14,FALSE)),"",(VLOOKUP($E217,'D-1 Off Site Habitat Baseline'!$D$1:$X$258,14,FALSE))))</f>
        <v/>
      </c>
      <c r="O217" s="524" t="str">
        <f>IF(E217="","",IF(ISNA(VLOOKUP($E217,'D-1 Off Site Habitat Baseline'!$D$1:$X$258,13,FALSE)),"",(VLOOKUP($E217,'D-1 Off Site Habitat Baseline'!$D$1:$X$258,13,FALSE))))</f>
        <v/>
      </c>
      <c r="P217" s="232" t="str">
        <f>IFERROR(INDEX('G-1 All Habitats'!$AG$3:$AG$15,MATCH(Q217,'G-1 All Habitats'!$AF$3:$AF$15,0)),"")</f>
        <v/>
      </c>
      <c r="Q217" s="228" t="str">
        <f t="shared" si="45"/>
        <v/>
      </c>
      <c r="R217" s="229" t="str">
        <f t="shared" si="46"/>
        <v/>
      </c>
      <c r="S217" s="233" t="str">
        <f>IFERROR(INDEX('G-1 All Habitats'!$B$3:$B$129,MATCH(R217,'G-1 All Habitats'!$A$3:$A$129,0)),"")</f>
        <v/>
      </c>
      <c r="T217" s="507" t="str">
        <f t="shared" si="38"/>
        <v/>
      </c>
      <c r="U217" s="524" t="str">
        <f t="shared" si="39"/>
        <v/>
      </c>
      <c r="V217" s="523" t="str">
        <f t="shared" si="36"/>
        <v/>
      </c>
      <c r="W217" s="520" t="str">
        <f>IF(S217="","",VLOOKUP(S217,'G-1 All Habitats'!$B$2:$M$129,10,FALSE))</f>
        <v/>
      </c>
      <c r="X217" s="520" t="str">
        <f>IFERROR(VLOOKUP(W217,'G-1 All Habitats'!$V$3:$W$7,2,FALSE),"")</f>
        <v/>
      </c>
      <c r="Y217" s="203"/>
      <c r="Z217" s="524" t="str">
        <f>IFERROR(INDEX('G-8 Condition Look up'!$A$3:$H$130,MATCH(S217,'G-8 Condition Look up'!$A$3:$A$130,0),MATCH(Y217,'G-8 Condition Look up'!$A$3:$H$3,0)),"")</f>
        <v/>
      </c>
      <c r="AA217" s="145"/>
      <c r="AB217" s="540" t="str">
        <f>IF(AA217="","",IF(VLOOKUP(AA217,'G-3 Multipliers'!$L$3:$N$6,2,FALSE)=0,"Spatial Data Missing ⚠",VLOOKUP(AA217,'G-3 Multipliers'!$L$3:$N$6,2,FALSE)))</f>
        <v/>
      </c>
      <c r="AC217" s="524" t="str">
        <f>IF(AA217="","",IF(VLOOKUP(AA217,'G-3 Multipliers'!$L$3:$N$6,3,FALSE)=0,"Spatial Data Missing ⚠",VLOOKUP(AA217,'G-3 Multipliers'!$L$3:$N$6,3,FALSE)))</f>
        <v/>
      </c>
      <c r="AD217" s="537" t="str">
        <f t="shared" si="37"/>
        <v/>
      </c>
      <c r="AE217" s="203"/>
      <c r="AF217" s="203"/>
      <c r="AG217" s="520" t="str">
        <f t="shared" si="40"/>
        <v/>
      </c>
      <c r="AH217" s="544" t="str">
        <f t="shared" si="41"/>
        <v/>
      </c>
      <c r="AI217" s="525" t="str">
        <f>IF(AH217="Check Data ⚠","Check Data ⚠",IFERROR(VLOOKUP(AH217,'G-4 Temporal multipliers'!$A$4:$C$36,3,FALSE),""))</f>
        <v/>
      </c>
      <c r="AJ217" s="537" t="str">
        <f>IF(S217="","",VLOOKUP(S217,'G-3 Multipliers'!$A$2:$E$129,4,FALSE))</f>
        <v/>
      </c>
      <c r="AK217" s="520" t="str">
        <f t="shared" si="42"/>
        <v/>
      </c>
      <c r="AL217" s="520" t="str">
        <f t="shared" si="43"/>
        <v/>
      </c>
      <c r="AM217" s="524" t="str">
        <f>IFERROR(IF(F217="","",IF(AH217="Check Data ⚠","Check Data ⚠",VLOOKUP(AL217, 'G-3 Multipliers'!$P$2:$Q$6,2,FALSE))),"")</f>
        <v/>
      </c>
      <c r="AN217" s="197"/>
      <c r="AO217" s="540" t="str">
        <f>IF(AN217="","",IF(VLOOKUP(AN217,'G-3 Multipliers'!$S$3:$T$9,2,FALSE)=0,"Spatial Data Missing ⚠",VLOOKUP(AN217,'G-3 Multipliers'!$S$3:$T$9,2,FALSE)))</f>
        <v/>
      </c>
      <c r="AP217" s="513" t="str">
        <f t="shared" si="44"/>
        <v/>
      </c>
      <c r="AQ217" s="231"/>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7" t="str">
        <f>'D-1 Off Site Habitat Baseline'!AL217</f>
        <v/>
      </c>
      <c r="F218" s="520" t="str">
        <f>IF(E218="","",IF(ISNA(VLOOKUP($E218,'D-1 Off Site Habitat Baseline'!$D$1:$O$258,4,FALSE)),"",(VLOOKUP($E218,'D-1 Off Site Habitat Baseline'!$D$1:$O$258,4,FALSE))))</f>
        <v/>
      </c>
      <c r="G218" s="520" t="str">
        <f>IF(E218="","",IF(ISNA(VLOOKUP($E218,'D-1 Off Site Habitat Baseline'!$D$1:$O$258,5,FALSE)),"",(VLOOKUP($E218,'D-1 Off Site Habitat Baseline'!$D$1:$O$258,5,FALSE))))</f>
        <v/>
      </c>
      <c r="H218" s="520" t="str">
        <f>IF(E218="","",IF(ISNA(VLOOKUP($E218,'D-1 Off Site Habitat Baseline'!$D$1:$O$258,6,FALSE)),"",(VLOOKUP($E218,'D-1 Off Site Habitat Baseline'!$D$1:$O$258,6,FALSE))))</f>
        <v/>
      </c>
      <c r="I218" s="520" t="str">
        <f>IF(E218="","",IF(ISNA(VLOOKUP($E218,'D-1 Off Site Habitat Baseline'!$D$1:$O$258,7,FALSE)),"",(VLOOKUP($E218,'D-1 Off Site Habitat Baseline'!$D$1:$O$258,7,FALSE))))</f>
        <v/>
      </c>
      <c r="J218" s="520" t="str">
        <f>IF(E218="","",IF(ISNA(VLOOKUP($E218,'D-1 Off Site Habitat Baseline'!$D$1:$O$258,8,FALSE)),"",(VLOOKUP($E218,'D-1 Off Site Habitat Baseline'!$D$1:$O$258,8,FALSE))))</f>
        <v/>
      </c>
      <c r="K218" s="520" t="str">
        <f>IF(E218="","",IF(ISNA(VLOOKUP($E218,'D-1 Off Site Habitat Baseline'!$D$1:$O$258,9,FALSE)),"",(VLOOKUP($E218,'D-1 Off Site Habitat Baseline'!$D$1:$O$258,9,FALSE))))</f>
        <v/>
      </c>
      <c r="L218" s="520" t="str">
        <f>IF(E218="","",IF(ISNA(VLOOKUP($E218,'D-1 Off Site Habitat Baseline'!$D$1:$O$258,11,FALSE)),"",(VLOOKUP($E218,'D-1 Off Site Habitat Baseline'!$D$1:$O$258,11,FALSE))))</f>
        <v/>
      </c>
      <c r="M218" s="520" t="str">
        <f>IF(E218="","",IF(ISNA(VLOOKUP($E218,'D-1 Off Site Habitat Baseline'!$D$1:$O$258,12,FALSE)),"",(VLOOKUP($E218,'D-1 Off Site Habitat Baseline'!$D$1:$O$258,12,FALSE))))</f>
        <v/>
      </c>
      <c r="N218" s="520" t="str">
        <f>IF(E218="","",IF(ISNA(VLOOKUP($E218,'D-1 Off Site Habitat Baseline'!$D$1:$X$258,14,FALSE)),"",(VLOOKUP($E218,'D-1 Off Site Habitat Baseline'!$D$1:$X$258,14,FALSE))))</f>
        <v/>
      </c>
      <c r="O218" s="524" t="str">
        <f>IF(E218="","",IF(ISNA(VLOOKUP($E218,'D-1 Off Site Habitat Baseline'!$D$1:$X$258,13,FALSE)),"",(VLOOKUP($E218,'D-1 Off Site Habitat Baseline'!$D$1:$X$258,13,FALSE))))</f>
        <v/>
      </c>
      <c r="P218" s="232" t="str">
        <f>IFERROR(INDEX('G-1 All Habitats'!$AG$3:$AG$15,MATCH(Q218,'G-1 All Habitats'!$AF$3:$AF$15,0)),"")</f>
        <v/>
      </c>
      <c r="Q218" s="228" t="str">
        <f t="shared" si="45"/>
        <v/>
      </c>
      <c r="R218" s="229" t="str">
        <f t="shared" si="46"/>
        <v/>
      </c>
      <c r="S218" s="233" t="str">
        <f>IFERROR(INDEX('G-1 All Habitats'!$B$3:$B$129,MATCH(R218,'G-1 All Habitats'!$A$3:$A$129,0)),"")</f>
        <v/>
      </c>
      <c r="T218" s="507" t="str">
        <f t="shared" si="38"/>
        <v/>
      </c>
      <c r="U218" s="524" t="str">
        <f t="shared" si="39"/>
        <v/>
      </c>
      <c r="V218" s="523" t="str">
        <f t="shared" si="36"/>
        <v/>
      </c>
      <c r="W218" s="520" t="str">
        <f>IF(S218="","",VLOOKUP(S218,'G-1 All Habitats'!$B$2:$M$129,10,FALSE))</f>
        <v/>
      </c>
      <c r="X218" s="520" t="str">
        <f>IFERROR(VLOOKUP(W218,'G-1 All Habitats'!$V$3:$W$7,2,FALSE),"")</f>
        <v/>
      </c>
      <c r="Y218" s="203"/>
      <c r="Z218" s="524" t="str">
        <f>IFERROR(INDEX('G-8 Condition Look up'!$A$3:$H$130,MATCH(S218,'G-8 Condition Look up'!$A$3:$A$130,0),MATCH(Y218,'G-8 Condition Look up'!$A$3:$H$3,0)),"")</f>
        <v/>
      </c>
      <c r="AA218" s="145"/>
      <c r="AB218" s="540" t="str">
        <f>IF(AA218="","",IF(VLOOKUP(AA218,'G-3 Multipliers'!$L$3:$N$6,2,FALSE)=0,"Spatial Data Missing ⚠",VLOOKUP(AA218,'G-3 Multipliers'!$L$3:$N$6,2,FALSE)))</f>
        <v/>
      </c>
      <c r="AC218" s="524" t="str">
        <f>IF(AA218="","",IF(VLOOKUP(AA218,'G-3 Multipliers'!$L$3:$N$6,3,FALSE)=0,"Spatial Data Missing ⚠",VLOOKUP(AA218,'G-3 Multipliers'!$L$3:$N$6,3,FALSE)))</f>
        <v/>
      </c>
      <c r="AD218" s="537" t="str">
        <f t="shared" si="37"/>
        <v/>
      </c>
      <c r="AE218" s="203"/>
      <c r="AF218" s="203"/>
      <c r="AG218" s="520" t="str">
        <f t="shared" si="40"/>
        <v/>
      </c>
      <c r="AH218" s="544" t="str">
        <f t="shared" si="41"/>
        <v/>
      </c>
      <c r="AI218" s="525" t="str">
        <f>IF(AH218="Check Data ⚠","Check Data ⚠",IFERROR(VLOOKUP(AH218,'G-4 Temporal multipliers'!$A$4:$C$36,3,FALSE),""))</f>
        <v/>
      </c>
      <c r="AJ218" s="537" t="str">
        <f>IF(S218="","",VLOOKUP(S218,'G-3 Multipliers'!$A$2:$E$129,4,FALSE))</f>
        <v/>
      </c>
      <c r="AK218" s="520" t="str">
        <f t="shared" si="42"/>
        <v/>
      </c>
      <c r="AL218" s="520" t="str">
        <f t="shared" si="43"/>
        <v/>
      </c>
      <c r="AM218" s="524" t="str">
        <f>IFERROR(IF(F218="","",IF(AH218="Check Data ⚠","Check Data ⚠",VLOOKUP(AL218, 'G-3 Multipliers'!$P$2:$Q$6,2,FALSE))),"")</f>
        <v/>
      </c>
      <c r="AN218" s="197"/>
      <c r="AO218" s="540" t="str">
        <f>IF(AN218="","",IF(VLOOKUP(AN218,'G-3 Multipliers'!$S$3:$T$9,2,FALSE)=0,"Spatial Data Missing ⚠",VLOOKUP(AN218,'G-3 Multipliers'!$S$3:$T$9,2,FALSE)))</f>
        <v/>
      </c>
      <c r="AP218" s="513" t="str">
        <f t="shared" si="44"/>
        <v/>
      </c>
      <c r="AQ218" s="231"/>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7" t="str">
        <f>'D-1 Off Site Habitat Baseline'!AL218</f>
        <v/>
      </c>
      <c r="F219" s="520" t="str">
        <f>IF(E219="","",IF(ISNA(VLOOKUP($E219,'D-1 Off Site Habitat Baseline'!$D$1:$O$258,4,FALSE)),"",(VLOOKUP($E219,'D-1 Off Site Habitat Baseline'!$D$1:$O$258,4,FALSE))))</f>
        <v/>
      </c>
      <c r="G219" s="520" t="str">
        <f>IF(E219="","",IF(ISNA(VLOOKUP($E219,'D-1 Off Site Habitat Baseline'!$D$1:$O$258,5,FALSE)),"",(VLOOKUP($E219,'D-1 Off Site Habitat Baseline'!$D$1:$O$258,5,FALSE))))</f>
        <v/>
      </c>
      <c r="H219" s="520" t="str">
        <f>IF(E219="","",IF(ISNA(VLOOKUP($E219,'D-1 Off Site Habitat Baseline'!$D$1:$O$258,6,FALSE)),"",(VLOOKUP($E219,'D-1 Off Site Habitat Baseline'!$D$1:$O$258,6,FALSE))))</f>
        <v/>
      </c>
      <c r="I219" s="520" t="str">
        <f>IF(E219="","",IF(ISNA(VLOOKUP($E219,'D-1 Off Site Habitat Baseline'!$D$1:$O$258,7,FALSE)),"",(VLOOKUP($E219,'D-1 Off Site Habitat Baseline'!$D$1:$O$258,7,FALSE))))</f>
        <v/>
      </c>
      <c r="J219" s="520" t="str">
        <f>IF(E219="","",IF(ISNA(VLOOKUP($E219,'D-1 Off Site Habitat Baseline'!$D$1:$O$258,8,FALSE)),"",(VLOOKUP($E219,'D-1 Off Site Habitat Baseline'!$D$1:$O$258,8,FALSE))))</f>
        <v/>
      </c>
      <c r="K219" s="520" t="str">
        <f>IF(E219="","",IF(ISNA(VLOOKUP($E219,'D-1 Off Site Habitat Baseline'!$D$1:$O$258,9,FALSE)),"",(VLOOKUP($E219,'D-1 Off Site Habitat Baseline'!$D$1:$O$258,9,FALSE))))</f>
        <v/>
      </c>
      <c r="L219" s="520" t="str">
        <f>IF(E219="","",IF(ISNA(VLOOKUP($E219,'D-1 Off Site Habitat Baseline'!$D$1:$O$258,11,FALSE)),"",(VLOOKUP($E219,'D-1 Off Site Habitat Baseline'!$D$1:$O$258,11,FALSE))))</f>
        <v/>
      </c>
      <c r="M219" s="520" t="str">
        <f>IF(E219="","",IF(ISNA(VLOOKUP($E219,'D-1 Off Site Habitat Baseline'!$D$1:$O$258,12,FALSE)),"",(VLOOKUP($E219,'D-1 Off Site Habitat Baseline'!$D$1:$O$258,12,FALSE))))</f>
        <v/>
      </c>
      <c r="N219" s="520" t="str">
        <f>IF(E219="","",IF(ISNA(VLOOKUP($E219,'D-1 Off Site Habitat Baseline'!$D$1:$X$258,14,FALSE)),"",(VLOOKUP($E219,'D-1 Off Site Habitat Baseline'!$D$1:$X$258,14,FALSE))))</f>
        <v/>
      </c>
      <c r="O219" s="524" t="str">
        <f>IF(E219="","",IF(ISNA(VLOOKUP($E219,'D-1 Off Site Habitat Baseline'!$D$1:$X$258,13,FALSE)),"",(VLOOKUP($E219,'D-1 Off Site Habitat Baseline'!$D$1:$X$258,13,FALSE))))</f>
        <v/>
      </c>
      <c r="P219" s="232" t="str">
        <f>IFERROR(INDEX('G-1 All Habitats'!$AG$3:$AG$15,MATCH(Q219,'G-1 All Habitats'!$AF$3:$AF$15,0)),"")</f>
        <v/>
      </c>
      <c r="Q219" s="228" t="str">
        <f t="shared" si="45"/>
        <v/>
      </c>
      <c r="R219" s="229" t="str">
        <f t="shared" si="46"/>
        <v/>
      </c>
      <c r="S219" s="233" t="str">
        <f>IFERROR(INDEX('G-1 All Habitats'!$B$3:$B$129,MATCH(R219,'G-1 All Habitats'!$A$3:$A$129,0)),"")</f>
        <v/>
      </c>
      <c r="T219" s="507" t="str">
        <f t="shared" si="38"/>
        <v/>
      </c>
      <c r="U219" s="524" t="str">
        <f t="shared" si="39"/>
        <v/>
      </c>
      <c r="V219" s="523" t="str">
        <f t="shared" si="36"/>
        <v/>
      </c>
      <c r="W219" s="520" t="str">
        <f>IF(S219="","",VLOOKUP(S219,'G-1 All Habitats'!$B$2:$M$129,10,FALSE))</f>
        <v/>
      </c>
      <c r="X219" s="520" t="str">
        <f>IFERROR(VLOOKUP(W219,'G-1 All Habitats'!$V$3:$W$7,2,FALSE),"")</f>
        <v/>
      </c>
      <c r="Y219" s="203"/>
      <c r="Z219" s="524" t="str">
        <f>IFERROR(INDEX('G-8 Condition Look up'!$A$3:$H$130,MATCH(S219,'G-8 Condition Look up'!$A$3:$A$130,0),MATCH(Y219,'G-8 Condition Look up'!$A$3:$H$3,0)),"")</f>
        <v/>
      </c>
      <c r="AA219" s="145"/>
      <c r="AB219" s="540" t="str">
        <f>IF(AA219="","",IF(VLOOKUP(AA219,'G-3 Multipliers'!$L$3:$N$6,2,FALSE)=0,"Spatial Data Missing ⚠",VLOOKUP(AA219,'G-3 Multipliers'!$L$3:$N$6,2,FALSE)))</f>
        <v/>
      </c>
      <c r="AC219" s="524" t="str">
        <f>IF(AA219="","",IF(VLOOKUP(AA219,'G-3 Multipliers'!$L$3:$N$6,3,FALSE)=0,"Spatial Data Missing ⚠",VLOOKUP(AA219,'G-3 Multipliers'!$L$3:$N$6,3,FALSE)))</f>
        <v/>
      </c>
      <c r="AD219" s="537" t="str">
        <f t="shared" si="37"/>
        <v/>
      </c>
      <c r="AE219" s="203"/>
      <c r="AF219" s="203"/>
      <c r="AG219" s="520" t="str">
        <f t="shared" si="40"/>
        <v/>
      </c>
      <c r="AH219" s="544" t="str">
        <f t="shared" si="41"/>
        <v/>
      </c>
      <c r="AI219" s="525" t="str">
        <f>IF(AH219="Check Data ⚠","Check Data ⚠",IFERROR(VLOOKUP(AH219,'G-4 Temporal multipliers'!$A$4:$C$36,3,FALSE),""))</f>
        <v/>
      </c>
      <c r="AJ219" s="537" t="str">
        <f>IF(S219="","",VLOOKUP(S219,'G-3 Multipliers'!$A$2:$E$129,4,FALSE))</f>
        <v/>
      </c>
      <c r="AK219" s="520" t="str">
        <f t="shared" si="42"/>
        <v/>
      </c>
      <c r="AL219" s="520" t="str">
        <f t="shared" si="43"/>
        <v/>
      </c>
      <c r="AM219" s="524" t="str">
        <f>IFERROR(IF(F219="","",IF(AH219="Check Data ⚠","Check Data ⚠",VLOOKUP(AL219, 'G-3 Multipliers'!$P$2:$Q$6,2,FALSE))),"")</f>
        <v/>
      </c>
      <c r="AN219" s="197"/>
      <c r="AO219" s="540" t="str">
        <f>IF(AN219="","",IF(VLOOKUP(AN219,'G-3 Multipliers'!$S$3:$T$9,2,FALSE)=0,"Spatial Data Missing ⚠",VLOOKUP(AN219,'G-3 Multipliers'!$S$3:$T$9,2,FALSE)))</f>
        <v/>
      </c>
      <c r="AP219" s="513" t="str">
        <f t="shared" si="44"/>
        <v/>
      </c>
      <c r="AQ219" s="231"/>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7" t="str">
        <f>'D-1 Off Site Habitat Baseline'!AL219</f>
        <v/>
      </c>
      <c r="F220" s="520" t="str">
        <f>IF(E220="","",IF(ISNA(VLOOKUP($E220,'D-1 Off Site Habitat Baseline'!$D$1:$O$258,4,FALSE)),"",(VLOOKUP($E220,'D-1 Off Site Habitat Baseline'!$D$1:$O$258,4,FALSE))))</f>
        <v/>
      </c>
      <c r="G220" s="520" t="str">
        <f>IF(E220="","",IF(ISNA(VLOOKUP($E220,'D-1 Off Site Habitat Baseline'!$D$1:$O$258,5,FALSE)),"",(VLOOKUP($E220,'D-1 Off Site Habitat Baseline'!$D$1:$O$258,5,FALSE))))</f>
        <v/>
      </c>
      <c r="H220" s="520" t="str">
        <f>IF(E220="","",IF(ISNA(VLOOKUP($E220,'D-1 Off Site Habitat Baseline'!$D$1:$O$258,6,FALSE)),"",(VLOOKUP($E220,'D-1 Off Site Habitat Baseline'!$D$1:$O$258,6,FALSE))))</f>
        <v/>
      </c>
      <c r="I220" s="520" t="str">
        <f>IF(E220="","",IF(ISNA(VLOOKUP($E220,'D-1 Off Site Habitat Baseline'!$D$1:$O$258,7,FALSE)),"",(VLOOKUP($E220,'D-1 Off Site Habitat Baseline'!$D$1:$O$258,7,FALSE))))</f>
        <v/>
      </c>
      <c r="J220" s="520" t="str">
        <f>IF(E220="","",IF(ISNA(VLOOKUP($E220,'D-1 Off Site Habitat Baseline'!$D$1:$O$258,8,FALSE)),"",(VLOOKUP($E220,'D-1 Off Site Habitat Baseline'!$D$1:$O$258,8,FALSE))))</f>
        <v/>
      </c>
      <c r="K220" s="520" t="str">
        <f>IF(E220="","",IF(ISNA(VLOOKUP($E220,'D-1 Off Site Habitat Baseline'!$D$1:$O$258,9,FALSE)),"",(VLOOKUP($E220,'D-1 Off Site Habitat Baseline'!$D$1:$O$258,9,FALSE))))</f>
        <v/>
      </c>
      <c r="L220" s="520" t="str">
        <f>IF(E220="","",IF(ISNA(VLOOKUP($E220,'D-1 Off Site Habitat Baseline'!$D$1:$O$258,11,FALSE)),"",(VLOOKUP($E220,'D-1 Off Site Habitat Baseline'!$D$1:$O$258,11,FALSE))))</f>
        <v/>
      </c>
      <c r="M220" s="520" t="str">
        <f>IF(E220="","",IF(ISNA(VLOOKUP($E220,'D-1 Off Site Habitat Baseline'!$D$1:$O$258,12,FALSE)),"",(VLOOKUP($E220,'D-1 Off Site Habitat Baseline'!$D$1:$O$258,12,FALSE))))</f>
        <v/>
      </c>
      <c r="N220" s="520" t="str">
        <f>IF(E220="","",IF(ISNA(VLOOKUP($E220,'D-1 Off Site Habitat Baseline'!$D$1:$X$258,14,FALSE)),"",(VLOOKUP($E220,'D-1 Off Site Habitat Baseline'!$D$1:$X$258,14,FALSE))))</f>
        <v/>
      </c>
      <c r="O220" s="524" t="str">
        <f>IF(E220="","",IF(ISNA(VLOOKUP($E220,'D-1 Off Site Habitat Baseline'!$D$1:$X$258,13,FALSE)),"",(VLOOKUP($E220,'D-1 Off Site Habitat Baseline'!$D$1:$X$258,13,FALSE))))</f>
        <v/>
      </c>
      <c r="P220" s="232" t="str">
        <f>IFERROR(INDEX('G-1 All Habitats'!$AG$3:$AG$15,MATCH(Q220,'G-1 All Habitats'!$AF$3:$AF$15,0)),"")</f>
        <v/>
      </c>
      <c r="Q220" s="228" t="str">
        <f t="shared" si="45"/>
        <v/>
      </c>
      <c r="R220" s="229" t="str">
        <f t="shared" si="46"/>
        <v/>
      </c>
      <c r="S220" s="233" t="str">
        <f>IFERROR(INDEX('G-1 All Habitats'!$B$3:$B$129,MATCH(R220,'G-1 All Habitats'!$A$3:$A$129,0)),"")</f>
        <v/>
      </c>
      <c r="T220" s="507" t="str">
        <f t="shared" si="38"/>
        <v/>
      </c>
      <c r="U220" s="524" t="str">
        <f t="shared" si="39"/>
        <v/>
      </c>
      <c r="V220" s="523" t="str">
        <f t="shared" si="36"/>
        <v/>
      </c>
      <c r="W220" s="520" t="str">
        <f>IF(S220="","",VLOOKUP(S220,'G-1 All Habitats'!$B$2:$M$129,10,FALSE))</f>
        <v/>
      </c>
      <c r="X220" s="520" t="str">
        <f>IFERROR(VLOOKUP(W220,'G-1 All Habitats'!$V$3:$W$7,2,FALSE),"")</f>
        <v/>
      </c>
      <c r="Y220" s="203"/>
      <c r="Z220" s="524" t="str">
        <f>IFERROR(INDEX('G-8 Condition Look up'!$A$3:$H$130,MATCH(S220,'G-8 Condition Look up'!$A$3:$A$130,0),MATCH(Y220,'G-8 Condition Look up'!$A$3:$H$3,0)),"")</f>
        <v/>
      </c>
      <c r="AA220" s="145"/>
      <c r="AB220" s="540" t="str">
        <f>IF(AA220="","",IF(VLOOKUP(AA220,'G-3 Multipliers'!$L$3:$N$6,2,FALSE)=0,"Spatial Data Missing ⚠",VLOOKUP(AA220,'G-3 Multipliers'!$L$3:$N$6,2,FALSE)))</f>
        <v/>
      </c>
      <c r="AC220" s="524" t="str">
        <f>IF(AA220="","",IF(VLOOKUP(AA220,'G-3 Multipliers'!$L$3:$N$6,3,FALSE)=0,"Spatial Data Missing ⚠",VLOOKUP(AA220,'G-3 Multipliers'!$L$3:$N$6,3,FALSE)))</f>
        <v/>
      </c>
      <c r="AD220" s="537" t="str">
        <f t="shared" si="37"/>
        <v/>
      </c>
      <c r="AE220" s="203"/>
      <c r="AF220" s="203"/>
      <c r="AG220" s="520" t="str">
        <f t="shared" si="40"/>
        <v/>
      </c>
      <c r="AH220" s="544" t="str">
        <f t="shared" si="41"/>
        <v/>
      </c>
      <c r="AI220" s="525" t="str">
        <f>IF(AH220="Check Data ⚠","Check Data ⚠",IFERROR(VLOOKUP(AH220,'G-4 Temporal multipliers'!$A$4:$C$36,3,FALSE),""))</f>
        <v/>
      </c>
      <c r="AJ220" s="537" t="str">
        <f>IF(S220="","",VLOOKUP(S220,'G-3 Multipliers'!$A$2:$E$129,4,FALSE))</f>
        <v/>
      </c>
      <c r="AK220" s="520" t="str">
        <f t="shared" si="42"/>
        <v/>
      </c>
      <c r="AL220" s="520" t="str">
        <f t="shared" si="43"/>
        <v/>
      </c>
      <c r="AM220" s="524" t="str">
        <f>IFERROR(IF(F220="","",IF(AH220="Check Data ⚠","Check Data ⚠",VLOOKUP(AL220, 'G-3 Multipliers'!$P$2:$Q$6,2,FALSE))),"")</f>
        <v/>
      </c>
      <c r="AN220" s="197"/>
      <c r="AO220" s="540" t="str">
        <f>IF(AN220="","",IF(VLOOKUP(AN220,'G-3 Multipliers'!$S$3:$T$9,2,FALSE)=0,"Spatial Data Missing ⚠",VLOOKUP(AN220,'G-3 Multipliers'!$S$3:$T$9,2,FALSE)))</f>
        <v/>
      </c>
      <c r="AP220" s="513" t="str">
        <f t="shared" si="44"/>
        <v/>
      </c>
      <c r="AQ220" s="231"/>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7" t="str">
        <f>'D-1 Off Site Habitat Baseline'!AL220</f>
        <v/>
      </c>
      <c r="F221" s="520" t="str">
        <f>IF(E221="","",IF(ISNA(VLOOKUP($E221,'D-1 Off Site Habitat Baseline'!$D$1:$O$258,4,FALSE)),"",(VLOOKUP($E221,'D-1 Off Site Habitat Baseline'!$D$1:$O$258,4,FALSE))))</f>
        <v/>
      </c>
      <c r="G221" s="520" t="str">
        <f>IF(E221="","",IF(ISNA(VLOOKUP($E221,'D-1 Off Site Habitat Baseline'!$D$1:$O$258,5,FALSE)),"",(VLOOKUP($E221,'D-1 Off Site Habitat Baseline'!$D$1:$O$258,5,FALSE))))</f>
        <v/>
      </c>
      <c r="H221" s="520" t="str">
        <f>IF(E221="","",IF(ISNA(VLOOKUP($E221,'D-1 Off Site Habitat Baseline'!$D$1:$O$258,6,FALSE)),"",(VLOOKUP($E221,'D-1 Off Site Habitat Baseline'!$D$1:$O$258,6,FALSE))))</f>
        <v/>
      </c>
      <c r="I221" s="520" t="str">
        <f>IF(E221="","",IF(ISNA(VLOOKUP($E221,'D-1 Off Site Habitat Baseline'!$D$1:$O$258,7,FALSE)),"",(VLOOKUP($E221,'D-1 Off Site Habitat Baseline'!$D$1:$O$258,7,FALSE))))</f>
        <v/>
      </c>
      <c r="J221" s="520" t="str">
        <f>IF(E221="","",IF(ISNA(VLOOKUP($E221,'D-1 Off Site Habitat Baseline'!$D$1:$O$258,8,FALSE)),"",(VLOOKUP($E221,'D-1 Off Site Habitat Baseline'!$D$1:$O$258,8,FALSE))))</f>
        <v/>
      </c>
      <c r="K221" s="520" t="str">
        <f>IF(E221="","",IF(ISNA(VLOOKUP($E221,'D-1 Off Site Habitat Baseline'!$D$1:$O$258,9,FALSE)),"",(VLOOKUP($E221,'D-1 Off Site Habitat Baseline'!$D$1:$O$258,9,FALSE))))</f>
        <v/>
      </c>
      <c r="L221" s="520" t="str">
        <f>IF(E221="","",IF(ISNA(VLOOKUP($E221,'D-1 Off Site Habitat Baseline'!$D$1:$O$258,11,FALSE)),"",(VLOOKUP($E221,'D-1 Off Site Habitat Baseline'!$D$1:$O$258,11,FALSE))))</f>
        <v/>
      </c>
      <c r="M221" s="520" t="str">
        <f>IF(E221="","",IF(ISNA(VLOOKUP($E221,'D-1 Off Site Habitat Baseline'!$D$1:$O$258,12,FALSE)),"",(VLOOKUP($E221,'D-1 Off Site Habitat Baseline'!$D$1:$O$258,12,FALSE))))</f>
        <v/>
      </c>
      <c r="N221" s="520" t="str">
        <f>IF(E221="","",IF(ISNA(VLOOKUP($E221,'D-1 Off Site Habitat Baseline'!$D$1:$X$258,14,FALSE)),"",(VLOOKUP($E221,'D-1 Off Site Habitat Baseline'!$D$1:$X$258,14,FALSE))))</f>
        <v/>
      </c>
      <c r="O221" s="524" t="str">
        <f>IF(E221="","",IF(ISNA(VLOOKUP($E221,'D-1 Off Site Habitat Baseline'!$D$1:$X$258,13,FALSE)),"",(VLOOKUP($E221,'D-1 Off Site Habitat Baseline'!$D$1:$X$258,13,FALSE))))</f>
        <v/>
      </c>
      <c r="P221" s="232" t="str">
        <f>IFERROR(INDEX('G-1 All Habitats'!$AG$3:$AG$15,MATCH(Q221,'G-1 All Habitats'!$AF$3:$AF$15,0)),"")</f>
        <v/>
      </c>
      <c r="Q221" s="228" t="str">
        <f t="shared" si="45"/>
        <v/>
      </c>
      <c r="R221" s="229" t="str">
        <f t="shared" si="46"/>
        <v/>
      </c>
      <c r="S221" s="233" t="str">
        <f>IFERROR(INDEX('G-1 All Habitats'!$B$3:$B$129,MATCH(R221,'G-1 All Habitats'!$A$3:$A$129,0)),"")</f>
        <v/>
      </c>
      <c r="T221" s="507" t="str">
        <f t="shared" si="38"/>
        <v/>
      </c>
      <c r="U221" s="524" t="str">
        <f t="shared" si="39"/>
        <v/>
      </c>
      <c r="V221" s="523" t="str">
        <f t="shared" si="36"/>
        <v/>
      </c>
      <c r="W221" s="520" t="str">
        <f>IF(S221="","",VLOOKUP(S221,'G-1 All Habitats'!$B$2:$M$129,10,FALSE))</f>
        <v/>
      </c>
      <c r="X221" s="520" t="str">
        <f>IFERROR(VLOOKUP(W221,'G-1 All Habitats'!$V$3:$W$7,2,FALSE),"")</f>
        <v/>
      </c>
      <c r="Y221" s="203"/>
      <c r="Z221" s="524" t="str">
        <f>IFERROR(INDEX('G-8 Condition Look up'!$A$3:$H$130,MATCH(S221,'G-8 Condition Look up'!$A$3:$A$130,0),MATCH(Y221,'G-8 Condition Look up'!$A$3:$H$3,0)),"")</f>
        <v/>
      </c>
      <c r="AA221" s="145"/>
      <c r="AB221" s="540" t="str">
        <f>IF(AA221="","",IF(VLOOKUP(AA221,'G-3 Multipliers'!$L$3:$N$6,2,FALSE)=0,"Spatial Data Missing ⚠",VLOOKUP(AA221,'G-3 Multipliers'!$L$3:$N$6,2,FALSE)))</f>
        <v/>
      </c>
      <c r="AC221" s="524" t="str">
        <f>IF(AA221="","",IF(VLOOKUP(AA221,'G-3 Multipliers'!$L$3:$N$6,3,FALSE)=0,"Spatial Data Missing ⚠",VLOOKUP(AA221,'G-3 Multipliers'!$L$3:$N$6,3,FALSE)))</f>
        <v/>
      </c>
      <c r="AD221" s="537" t="str">
        <f t="shared" si="37"/>
        <v/>
      </c>
      <c r="AE221" s="203"/>
      <c r="AF221" s="203"/>
      <c r="AG221" s="520" t="str">
        <f t="shared" si="40"/>
        <v/>
      </c>
      <c r="AH221" s="544" t="str">
        <f t="shared" si="41"/>
        <v/>
      </c>
      <c r="AI221" s="525" t="str">
        <f>IF(AH221="Check Data ⚠","Check Data ⚠",IFERROR(VLOOKUP(AH221,'G-4 Temporal multipliers'!$A$4:$C$36,3,FALSE),""))</f>
        <v/>
      </c>
      <c r="AJ221" s="537" t="str">
        <f>IF(S221="","",VLOOKUP(S221,'G-3 Multipliers'!$A$2:$E$129,4,FALSE))</f>
        <v/>
      </c>
      <c r="AK221" s="520" t="str">
        <f t="shared" si="42"/>
        <v/>
      </c>
      <c r="AL221" s="520" t="str">
        <f t="shared" si="43"/>
        <v/>
      </c>
      <c r="AM221" s="524" t="str">
        <f>IFERROR(IF(F221="","",IF(AH221="Check Data ⚠","Check Data ⚠",VLOOKUP(AL221, 'G-3 Multipliers'!$P$2:$Q$6,2,FALSE))),"")</f>
        <v/>
      </c>
      <c r="AN221" s="197"/>
      <c r="AO221" s="540" t="str">
        <f>IF(AN221="","",IF(VLOOKUP(AN221,'G-3 Multipliers'!$S$3:$T$9,2,FALSE)=0,"Spatial Data Missing ⚠",VLOOKUP(AN221,'G-3 Multipliers'!$S$3:$T$9,2,FALSE)))</f>
        <v/>
      </c>
      <c r="AP221" s="513" t="str">
        <f t="shared" si="44"/>
        <v/>
      </c>
      <c r="AQ221" s="231"/>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7" t="str">
        <f>'D-1 Off Site Habitat Baseline'!AL221</f>
        <v/>
      </c>
      <c r="F222" s="520" t="str">
        <f>IF(E222="","",IF(ISNA(VLOOKUP($E222,'D-1 Off Site Habitat Baseline'!$D$1:$O$258,4,FALSE)),"",(VLOOKUP($E222,'D-1 Off Site Habitat Baseline'!$D$1:$O$258,4,FALSE))))</f>
        <v/>
      </c>
      <c r="G222" s="520" t="str">
        <f>IF(E222="","",IF(ISNA(VLOOKUP($E222,'D-1 Off Site Habitat Baseline'!$D$1:$O$258,5,FALSE)),"",(VLOOKUP($E222,'D-1 Off Site Habitat Baseline'!$D$1:$O$258,5,FALSE))))</f>
        <v/>
      </c>
      <c r="H222" s="520" t="str">
        <f>IF(E222="","",IF(ISNA(VLOOKUP($E222,'D-1 Off Site Habitat Baseline'!$D$1:$O$258,6,FALSE)),"",(VLOOKUP($E222,'D-1 Off Site Habitat Baseline'!$D$1:$O$258,6,FALSE))))</f>
        <v/>
      </c>
      <c r="I222" s="520" t="str">
        <f>IF(E222="","",IF(ISNA(VLOOKUP($E222,'D-1 Off Site Habitat Baseline'!$D$1:$O$258,7,FALSE)),"",(VLOOKUP($E222,'D-1 Off Site Habitat Baseline'!$D$1:$O$258,7,FALSE))))</f>
        <v/>
      </c>
      <c r="J222" s="520" t="str">
        <f>IF(E222="","",IF(ISNA(VLOOKUP($E222,'D-1 Off Site Habitat Baseline'!$D$1:$O$258,8,FALSE)),"",(VLOOKUP($E222,'D-1 Off Site Habitat Baseline'!$D$1:$O$258,8,FALSE))))</f>
        <v/>
      </c>
      <c r="K222" s="520" t="str">
        <f>IF(E222="","",IF(ISNA(VLOOKUP($E222,'D-1 Off Site Habitat Baseline'!$D$1:$O$258,9,FALSE)),"",(VLOOKUP($E222,'D-1 Off Site Habitat Baseline'!$D$1:$O$258,9,FALSE))))</f>
        <v/>
      </c>
      <c r="L222" s="520" t="str">
        <f>IF(E222="","",IF(ISNA(VLOOKUP($E222,'D-1 Off Site Habitat Baseline'!$D$1:$O$258,11,FALSE)),"",(VLOOKUP($E222,'D-1 Off Site Habitat Baseline'!$D$1:$O$258,11,FALSE))))</f>
        <v/>
      </c>
      <c r="M222" s="520" t="str">
        <f>IF(E222="","",IF(ISNA(VLOOKUP($E222,'D-1 Off Site Habitat Baseline'!$D$1:$O$258,12,FALSE)),"",(VLOOKUP($E222,'D-1 Off Site Habitat Baseline'!$D$1:$O$258,12,FALSE))))</f>
        <v/>
      </c>
      <c r="N222" s="520" t="str">
        <f>IF(E222="","",IF(ISNA(VLOOKUP($E222,'D-1 Off Site Habitat Baseline'!$D$1:$X$258,14,FALSE)),"",(VLOOKUP($E222,'D-1 Off Site Habitat Baseline'!$D$1:$X$258,14,FALSE))))</f>
        <v/>
      </c>
      <c r="O222" s="524" t="str">
        <f>IF(E222="","",IF(ISNA(VLOOKUP($E222,'D-1 Off Site Habitat Baseline'!$D$1:$X$258,13,FALSE)),"",(VLOOKUP($E222,'D-1 Off Site Habitat Baseline'!$D$1:$X$258,13,FALSE))))</f>
        <v/>
      </c>
      <c r="P222" s="232" t="str">
        <f>IFERROR(INDEX('G-1 All Habitats'!$AG$3:$AG$15,MATCH(Q222,'G-1 All Habitats'!$AF$3:$AF$15,0)),"")</f>
        <v/>
      </c>
      <c r="Q222" s="228" t="str">
        <f t="shared" si="45"/>
        <v/>
      </c>
      <c r="R222" s="229" t="str">
        <f t="shared" si="46"/>
        <v/>
      </c>
      <c r="S222" s="233" t="str">
        <f>IFERROR(INDEX('G-1 All Habitats'!$B$3:$B$129,MATCH(R222,'G-1 All Habitats'!$A$3:$A$129,0)),"")</f>
        <v/>
      </c>
      <c r="T222" s="507" t="str">
        <f t="shared" si="38"/>
        <v/>
      </c>
      <c r="U222" s="524" t="str">
        <f t="shared" si="39"/>
        <v/>
      </c>
      <c r="V222" s="523" t="str">
        <f t="shared" si="36"/>
        <v/>
      </c>
      <c r="W222" s="520" t="str">
        <f>IF(S222="","",VLOOKUP(S222,'G-1 All Habitats'!$B$2:$M$129,10,FALSE))</f>
        <v/>
      </c>
      <c r="X222" s="520" t="str">
        <f>IFERROR(VLOOKUP(W222,'G-1 All Habitats'!$V$3:$W$7,2,FALSE),"")</f>
        <v/>
      </c>
      <c r="Y222" s="203"/>
      <c r="Z222" s="524" t="str">
        <f>IFERROR(INDEX('G-8 Condition Look up'!$A$3:$H$130,MATCH(S222,'G-8 Condition Look up'!$A$3:$A$130,0),MATCH(Y222,'G-8 Condition Look up'!$A$3:$H$3,0)),"")</f>
        <v/>
      </c>
      <c r="AA222" s="145"/>
      <c r="AB222" s="540" t="str">
        <f>IF(AA222="","",IF(VLOOKUP(AA222,'G-3 Multipliers'!$L$3:$N$6,2,FALSE)=0,"Spatial Data Missing ⚠",VLOOKUP(AA222,'G-3 Multipliers'!$L$3:$N$6,2,FALSE)))</f>
        <v/>
      </c>
      <c r="AC222" s="524" t="str">
        <f>IF(AA222="","",IF(VLOOKUP(AA222,'G-3 Multipliers'!$L$3:$N$6,3,FALSE)=0,"Spatial Data Missing ⚠",VLOOKUP(AA222,'G-3 Multipliers'!$L$3:$N$6,3,FALSE)))</f>
        <v/>
      </c>
      <c r="AD222" s="537" t="str">
        <f t="shared" si="37"/>
        <v/>
      </c>
      <c r="AE222" s="203"/>
      <c r="AF222" s="203"/>
      <c r="AG222" s="520" t="str">
        <f t="shared" si="40"/>
        <v/>
      </c>
      <c r="AH222" s="544" t="str">
        <f t="shared" si="41"/>
        <v/>
      </c>
      <c r="AI222" s="525" t="str">
        <f>IF(AH222="Check Data ⚠","Check Data ⚠",IFERROR(VLOOKUP(AH222,'G-4 Temporal multipliers'!$A$4:$C$36,3,FALSE),""))</f>
        <v/>
      </c>
      <c r="AJ222" s="537" t="str">
        <f>IF(S222="","",VLOOKUP(S222,'G-3 Multipliers'!$A$2:$E$129,4,FALSE))</f>
        <v/>
      </c>
      <c r="AK222" s="520" t="str">
        <f t="shared" si="42"/>
        <v/>
      </c>
      <c r="AL222" s="520" t="str">
        <f t="shared" si="43"/>
        <v/>
      </c>
      <c r="AM222" s="524" t="str">
        <f>IFERROR(IF(F222="","",IF(AH222="Check Data ⚠","Check Data ⚠",VLOOKUP(AL222, 'G-3 Multipliers'!$P$2:$Q$6,2,FALSE))),"")</f>
        <v/>
      </c>
      <c r="AN222" s="197"/>
      <c r="AO222" s="540" t="str">
        <f>IF(AN222="","",IF(VLOOKUP(AN222,'G-3 Multipliers'!$S$3:$T$9,2,FALSE)=0,"Spatial Data Missing ⚠",VLOOKUP(AN222,'G-3 Multipliers'!$S$3:$T$9,2,FALSE)))</f>
        <v/>
      </c>
      <c r="AP222" s="513" t="str">
        <f t="shared" si="44"/>
        <v/>
      </c>
      <c r="AQ222" s="231"/>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7" t="str">
        <f>'D-1 Off Site Habitat Baseline'!AL222</f>
        <v/>
      </c>
      <c r="F223" s="520" t="str">
        <f>IF(E223="","",IF(ISNA(VLOOKUP($E223,'D-1 Off Site Habitat Baseline'!$D$1:$O$258,4,FALSE)),"",(VLOOKUP($E223,'D-1 Off Site Habitat Baseline'!$D$1:$O$258,4,FALSE))))</f>
        <v/>
      </c>
      <c r="G223" s="520" t="str">
        <f>IF(E223="","",IF(ISNA(VLOOKUP($E223,'D-1 Off Site Habitat Baseline'!$D$1:$O$258,5,FALSE)),"",(VLOOKUP($E223,'D-1 Off Site Habitat Baseline'!$D$1:$O$258,5,FALSE))))</f>
        <v/>
      </c>
      <c r="H223" s="520" t="str">
        <f>IF(E223="","",IF(ISNA(VLOOKUP($E223,'D-1 Off Site Habitat Baseline'!$D$1:$O$258,6,FALSE)),"",(VLOOKUP($E223,'D-1 Off Site Habitat Baseline'!$D$1:$O$258,6,FALSE))))</f>
        <v/>
      </c>
      <c r="I223" s="520" t="str">
        <f>IF(E223="","",IF(ISNA(VLOOKUP($E223,'D-1 Off Site Habitat Baseline'!$D$1:$O$258,7,FALSE)),"",(VLOOKUP($E223,'D-1 Off Site Habitat Baseline'!$D$1:$O$258,7,FALSE))))</f>
        <v/>
      </c>
      <c r="J223" s="520" t="str">
        <f>IF(E223="","",IF(ISNA(VLOOKUP($E223,'D-1 Off Site Habitat Baseline'!$D$1:$O$258,8,FALSE)),"",(VLOOKUP($E223,'D-1 Off Site Habitat Baseline'!$D$1:$O$258,8,FALSE))))</f>
        <v/>
      </c>
      <c r="K223" s="520" t="str">
        <f>IF(E223="","",IF(ISNA(VLOOKUP($E223,'D-1 Off Site Habitat Baseline'!$D$1:$O$258,9,FALSE)),"",(VLOOKUP($E223,'D-1 Off Site Habitat Baseline'!$D$1:$O$258,9,FALSE))))</f>
        <v/>
      </c>
      <c r="L223" s="520" t="str">
        <f>IF(E223="","",IF(ISNA(VLOOKUP($E223,'D-1 Off Site Habitat Baseline'!$D$1:$O$258,11,FALSE)),"",(VLOOKUP($E223,'D-1 Off Site Habitat Baseline'!$D$1:$O$258,11,FALSE))))</f>
        <v/>
      </c>
      <c r="M223" s="520" t="str">
        <f>IF(E223="","",IF(ISNA(VLOOKUP($E223,'D-1 Off Site Habitat Baseline'!$D$1:$O$258,12,FALSE)),"",(VLOOKUP($E223,'D-1 Off Site Habitat Baseline'!$D$1:$O$258,12,FALSE))))</f>
        <v/>
      </c>
      <c r="N223" s="520" t="str">
        <f>IF(E223="","",IF(ISNA(VLOOKUP($E223,'D-1 Off Site Habitat Baseline'!$D$1:$X$258,14,FALSE)),"",(VLOOKUP($E223,'D-1 Off Site Habitat Baseline'!$D$1:$X$258,14,FALSE))))</f>
        <v/>
      </c>
      <c r="O223" s="524" t="str">
        <f>IF(E223="","",IF(ISNA(VLOOKUP($E223,'D-1 Off Site Habitat Baseline'!$D$1:$X$258,13,FALSE)),"",(VLOOKUP($E223,'D-1 Off Site Habitat Baseline'!$D$1:$X$258,13,FALSE))))</f>
        <v/>
      </c>
      <c r="P223" s="232" t="str">
        <f>IFERROR(INDEX('G-1 All Habitats'!$AG$3:$AG$15,MATCH(Q223,'G-1 All Habitats'!$AF$3:$AF$15,0)),"")</f>
        <v/>
      </c>
      <c r="Q223" s="228" t="str">
        <f t="shared" si="45"/>
        <v/>
      </c>
      <c r="R223" s="229" t="str">
        <f t="shared" si="46"/>
        <v/>
      </c>
      <c r="S223" s="233" t="str">
        <f>IFERROR(INDEX('G-1 All Habitats'!$B$3:$B$129,MATCH(R223,'G-1 All Habitats'!$A$3:$A$129,0)),"")</f>
        <v/>
      </c>
      <c r="T223" s="507" t="str">
        <f t="shared" si="38"/>
        <v/>
      </c>
      <c r="U223" s="524" t="str">
        <f t="shared" si="39"/>
        <v/>
      </c>
      <c r="V223" s="523" t="str">
        <f t="shared" si="36"/>
        <v/>
      </c>
      <c r="W223" s="520" t="str">
        <f>IF(S223="","",VLOOKUP(S223,'G-1 All Habitats'!$B$2:$M$129,10,FALSE))</f>
        <v/>
      </c>
      <c r="X223" s="520" t="str">
        <f>IFERROR(VLOOKUP(W223,'G-1 All Habitats'!$V$3:$W$7,2,FALSE),"")</f>
        <v/>
      </c>
      <c r="Y223" s="203"/>
      <c r="Z223" s="524" t="str">
        <f>IFERROR(INDEX('G-8 Condition Look up'!$A$3:$H$130,MATCH(S223,'G-8 Condition Look up'!$A$3:$A$130,0),MATCH(Y223,'G-8 Condition Look up'!$A$3:$H$3,0)),"")</f>
        <v/>
      </c>
      <c r="AA223" s="145"/>
      <c r="AB223" s="540" t="str">
        <f>IF(AA223="","",IF(VLOOKUP(AA223,'G-3 Multipliers'!$L$3:$N$6,2,FALSE)=0,"Spatial Data Missing ⚠",VLOOKUP(AA223,'G-3 Multipliers'!$L$3:$N$6,2,FALSE)))</f>
        <v/>
      </c>
      <c r="AC223" s="524" t="str">
        <f>IF(AA223="","",IF(VLOOKUP(AA223,'G-3 Multipliers'!$L$3:$N$6,3,FALSE)=0,"Spatial Data Missing ⚠",VLOOKUP(AA223,'G-3 Multipliers'!$L$3:$N$6,3,FALSE)))</f>
        <v/>
      </c>
      <c r="AD223" s="537" t="str">
        <f t="shared" si="37"/>
        <v/>
      </c>
      <c r="AE223" s="203"/>
      <c r="AF223" s="203"/>
      <c r="AG223" s="520" t="str">
        <f t="shared" si="40"/>
        <v/>
      </c>
      <c r="AH223" s="544" t="str">
        <f t="shared" si="41"/>
        <v/>
      </c>
      <c r="AI223" s="525" t="str">
        <f>IF(AH223="Check Data ⚠","Check Data ⚠",IFERROR(VLOOKUP(AH223,'G-4 Temporal multipliers'!$A$4:$C$36,3,FALSE),""))</f>
        <v/>
      </c>
      <c r="AJ223" s="537" t="str">
        <f>IF(S223="","",VLOOKUP(S223,'G-3 Multipliers'!$A$2:$E$129,4,FALSE))</f>
        <v/>
      </c>
      <c r="AK223" s="520" t="str">
        <f t="shared" si="42"/>
        <v/>
      </c>
      <c r="AL223" s="520" t="str">
        <f t="shared" si="43"/>
        <v/>
      </c>
      <c r="AM223" s="524" t="str">
        <f>IFERROR(IF(F223="","",IF(AH223="Check Data ⚠","Check Data ⚠",VLOOKUP(AL223, 'G-3 Multipliers'!$P$2:$Q$6,2,FALSE))),"")</f>
        <v/>
      </c>
      <c r="AN223" s="197"/>
      <c r="AO223" s="540" t="str">
        <f>IF(AN223="","",IF(VLOOKUP(AN223,'G-3 Multipliers'!$S$3:$T$9,2,FALSE)=0,"Spatial Data Missing ⚠",VLOOKUP(AN223,'G-3 Multipliers'!$S$3:$T$9,2,FALSE)))</f>
        <v/>
      </c>
      <c r="AP223" s="513" t="str">
        <f t="shared" si="44"/>
        <v/>
      </c>
      <c r="AQ223" s="231"/>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7" t="str">
        <f>'D-1 Off Site Habitat Baseline'!AL223</f>
        <v/>
      </c>
      <c r="F224" s="520" t="str">
        <f>IF(E224="","",IF(ISNA(VLOOKUP($E224,'D-1 Off Site Habitat Baseline'!$D$1:$O$258,4,FALSE)),"",(VLOOKUP($E224,'D-1 Off Site Habitat Baseline'!$D$1:$O$258,4,FALSE))))</f>
        <v/>
      </c>
      <c r="G224" s="520" t="str">
        <f>IF(E224="","",IF(ISNA(VLOOKUP($E224,'D-1 Off Site Habitat Baseline'!$D$1:$O$258,5,FALSE)),"",(VLOOKUP($E224,'D-1 Off Site Habitat Baseline'!$D$1:$O$258,5,FALSE))))</f>
        <v/>
      </c>
      <c r="H224" s="520" t="str">
        <f>IF(E224="","",IF(ISNA(VLOOKUP($E224,'D-1 Off Site Habitat Baseline'!$D$1:$O$258,6,FALSE)),"",(VLOOKUP($E224,'D-1 Off Site Habitat Baseline'!$D$1:$O$258,6,FALSE))))</f>
        <v/>
      </c>
      <c r="I224" s="520" t="str">
        <f>IF(E224="","",IF(ISNA(VLOOKUP($E224,'D-1 Off Site Habitat Baseline'!$D$1:$O$258,7,FALSE)),"",(VLOOKUP($E224,'D-1 Off Site Habitat Baseline'!$D$1:$O$258,7,FALSE))))</f>
        <v/>
      </c>
      <c r="J224" s="520" t="str">
        <f>IF(E224="","",IF(ISNA(VLOOKUP($E224,'D-1 Off Site Habitat Baseline'!$D$1:$O$258,8,FALSE)),"",(VLOOKUP($E224,'D-1 Off Site Habitat Baseline'!$D$1:$O$258,8,FALSE))))</f>
        <v/>
      </c>
      <c r="K224" s="520" t="str">
        <f>IF(E224="","",IF(ISNA(VLOOKUP($E224,'D-1 Off Site Habitat Baseline'!$D$1:$O$258,9,FALSE)),"",(VLOOKUP($E224,'D-1 Off Site Habitat Baseline'!$D$1:$O$258,9,FALSE))))</f>
        <v/>
      </c>
      <c r="L224" s="520" t="str">
        <f>IF(E224="","",IF(ISNA(VLOOKUP($E224,'D-1 Off Site Habitat Baseline'!$D$1:$O$258,11,FALSE)),"",(VLOOKUP($E224,'D-1 Off Site Habitat Baseline'!$D$1:$O$258,11,FALSE))))</f>
        <v/>
      </c>
      <c r="M224" s="520" t="str">
        <f>IF(E224="","",IF(ISNA(VLOOKUP($E224,'D-1 Off Site Habitat Baseline'!$D$1:$O$258,12,FALSE)),"",(VLOOKUP($E224,'D-1 Off Site Habitat Baseline'!$D$1:$O$258,12,FALSE))))</f>
        <v/>
      </c>
      <c r="N224" s="520" t="str">
        <f>IF(E224="","",IF(ISNA(VLOOKUP($E224,'D-1 Off Site Habitat Baseline'!$D$1:$X$258,14,FALSE)),"",(VLOOKUP($E224,'D-1 Off Site Habitat Baseline'!$D$1:$X$258,14,FALSE))))</f>
        <v/>
      </c>
      <c r="O224" s="524" t="str">
        <f>IF(E224="","",IF(ISNA(VLOOKUP($E224,'D-1 Off Site Habitat Baseline'!$D$1:$X$258,13,FALSE)),"",(VLOOKUP($E224,'D-1 Off Site Habitat Baseline'!$D$1:$X$258,13,FALSE))))</f>
        <v/>
      </c>
      <c r="P224" s="232" t="str">
        <f>IFERROR(INDEX('G-1 All Habitats'!$AG$3:$AG$15,MATCH(Q224,'G-1 All Habitats'!$AF$3:$AF$15,0)),"")</f>
        <v/>
      </c>
      <c r="Q224" s="228" t="str">
        <f t="shared" si="45"/>
        <v/>
      </c>
      <c r="R224" s="229" t="str">
        <f t="shared" si="46"/>
        <v/>
      </c>
      <c r="S224" s="233" t="str">
        <f>IFERROR(INDEX('G-1 All Habitats'!$B$3:$B$129,MATCH(R224,'G-1 All Habitats'!$A$3:$A$129,0)),"")</f>
        <v/>
      </c>
      <c r="T224" s="507" t="str">
        <f t="shared" si="38"/>
        <v/>
      </c>
      <c r="U224" s="524" t="str">
        <f t="shared" si="39"/>
        <v/>
      </c>
      <c r="V224" s="523" t="str">
        <f t="shared" si="36"/>
        <v/>
      </c>
      <c r="W224" s="520" t="str">
        <f>IF(S224="","",VLOOKUP(S224,'G-1 All Habitats'!$B$2:$M$129,10,FALSE))</f>
        <v/>
      </c>
      <c r="X224" s="520" t="str">
        <f>IFERROR(VLOOKUP(W224,'G-1 All Habitats'!$V$3:$W$7,2,FALSE),"")</f>
        <v/>
      </c>
      <c r="Y224" s="203"/>
      <c r="Z224" s="524" t="str">
        <f>IFERROR(INDEX('G-8 Condition Look up'!$A$3:$H$130,MATCH(S224,'G-8 Condition Look up'!$A$3:$A$130,0),MATCH(Y224,'G-8 Condition Look up'!$A$3:$H$3,0)),"")</f>
        <v/>
      </c>
      <c r="AA224" s="145"/>
      <c r="AB224" s="540" t="str">
        <f>IF(AA224="","",IF(VLOOKUP(AA224,'G-3 Multipliers'!$L$3:$N$6,2,FALSE)=0,"Spatial Data Missing ⚠",VLOOKUP(AA224,'G-3 Multipliers'!$L$3:$N$6,2,FALSE)))</f>
        <v/>
      </c>
      <c r="AC224" s="524" t="str">
        <f>IF(AA224="","",IF(VLOOKUP(AA224,'G-3 Multipliers'!$L$3:$N$6,3,FALSE)=0,"Spatial Data Missing ⚠",VLOOKUP(AA224,'G-3 Multipliers'!$L$3:$N$6,3,FALSE)))</f>
        <v/>
      </c>
      <c r="AD224" s="537" t="str">
        <f t="shared" si="37"/>
        <v/>
      </c>
      <c r="AE224" s="203"/>
      <c r="AF224" s="203"/>
      <c r="AG224" s="520" t="str">
        <f t="shared" si="40"/>
        <v/>
      </c>
      <c r="AH224" s="544" t="str">
        <f t="shared" si="41"/>
        <v/>
      </c>
      <c r="AI224" s="525" t="str">
        <f>IF(AH224="Check Data ⚠","Check Data ⚠",IFERROR(VLOOKUP(AH224,'G-4 Temporal multipliers'!$A$4:$C$36,3,FALSE),""))</f>
        <v/>
      </c>
      <c r="AJ224" s="537" t="str">
        <f>IF(S224="","",VLOOKUP(S224,'G-3 Multipliers'!$A$2:$E$129,4,FALSE))</f>
        <v/>
      </c>
      <c r="AK224" s="520" t="str">
        <f t="shared" si="42"/>
        <v/>
      </c>
      <c r="AL224" s="520" t="str">
        <f t="shared" si="43"/>
        <v/>
      </c>
      <c r="AM224" s="524" t="str">
        <f>IFERROR(IF(F224="","",IF(AH224="Check Data ⚠","Check Data ⚠",VLOOKUP(AL224, 'G-3 Multipliers'!$P$2:$Q$6,2,FALSE))),"")</f>
        <v/>
      </c>
      <c r="AN224" s="197"/>
      <c r="AO224" s="540" t="str">
        <f>IF(AN224="","",IF(VLOOKUP(AN224,'G-3 Multipliers'!$S$3:$T$9,2,FALSE)=0,"Spatial Data Missing ⚠",VLOOKUP(AN224,'G-3 Multipliers'!$S$3:$T$9,2,FALSE)))</f>
        <v/>
      </c>
      <c r="AP224" s="513" t="str">
        <f t="shared" si="44"/>
        <v/>
      </c>
      <c r="AQ224" s="231"/>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7" t="str">
        <f>'D-1 Off Site Habitat Baseline'!AL224</f>
        <v/>
      </c>
      <c r="F225" s="520" t="str">
        <f>IF(E225="","",IF(ISNA(VLOOKUP($E225,'D-1 Off Site Habitat Baseline'!$D$1:$O$258,4,FALSE)),"",(VLOOKUP($E225,'D-1 Off Site Habitat Baseline'!$D$1:$O$258,4,FALSE))))</f>
        <v/>
      </c>
      <c r="G225" s="520" t="str">
        <f>IF(E225="","",IF(ISNA(VLOOKUP($E225,'D-1 Off Site Habitat Baseline'!$D$1:$O$258,5,FALSE)),"",(VLOOKUP($E225,'D-1 Off Site Habitat Baseline'!$D$1:$O$258,5,FALSE))))</f>
        <v/>
      </c>
      <c r="H225" s="520" t="str">
        <f>IF(E225="","",IF(ISNA(VLOOKUP($E225,'D-1 Off Site Habitat Baseline'!$D$1:$O$258,6,FALSE)),"",(VLOOKUP($E225,'D-1 Off Site Habitat Baseline'!$D$1:$O$258,6,FALSE))))</f>
        <v/>
      </c>
      <c r="I225" s="520" t="str">
        <f>IF(E225="","",IF(ISNA(VLOOKUP($E225,'D-1 Off Site Habitat Baseline'!$D$1:$O$258,7,FALSE)),"",(VLOOKUP($E225,'D-1 Off Site Habitat Baseline'!$D$1:$O$258,7,FALSE))))</f>
        <v/>
      </c>
      <c r="J225" s="520" t="str">
        <f>IF(E225="","",IF(ISNA(VLOOKUP($E225,'D-1 Off Site Habitat Baseline'!$D$1:$O$258,8,FALSE)),"",(VLOOKUP($E225,'D-1 Off Site Habitat Baseline'!$D$1:$O$258,8,FALSE))))</f>
        <v/>
      </c>
      <c r="K225" s="520" t="str">
        <f>IF(E225="","",IF(ISNA(VLOOKUP($E225,'D-1 Off Site Habitat Baseline'!$D$1:$O$258,9,FALSE)),"",(VLOOKUP($E225,'D-1 Off Site Habitat Baseline'!$D$1:$O$258,9,FALSE))))</f>
        <v/>
      </c>
      <c r="L225" s="520" t="str">
        <f>IF(E225="","",IF(ISNA(VLOOKUP($E225,'D-1 Off Site Habitat Baseline'!$D$1:$O$258,11,FALSE)),"",(VLOOKUP($E225,'D-1 Off Site Habitat Baseline'!$D$1:$O$258,11,FALSE))))</f>
        <v/>
      </c>
      <c r="M225" s="520" t="str">
        <f>IF(E225="","",IF(ISNA(VLOOKUP($E225,'D-1 Off Site Habitat Baseline'!$D$1:$O$258,12,FALSE)),"",(VLOOKUP($E225,'D-1 Off Site Habitat Baseline'!$D$1:$O$258,12,FALSE))))</f>
        <v/>
      </c>
      <c r="N225" s="520" t="str">
        <f>IF(E225="","",IF(ISNA(VLOOKUP($E225,'D-1 Off Site Habitat Baseline'!$D$1:$X$258,14,FALSE)),"",(VLOOKUP($E225,'D-1 Off Site Habitat Baseline'!$D$1:$X$258,14,FALSE))))</f>
        <v/>
      </c>
      <c r="O225" s="524" t="str">
        <f>IF(E225="","",IF(ISNA(VLOOKUP($E225,'D-1 Off Site Habitat Baseline'!$D$1:$X$258,13,FALSE)),"",(VLOOKUP($E225,'D-1 Off Site Habitat Baseline'!$D$1:$X$258,13,FALSE))))</f>
        <v/>
      </c>
      <c r="P225" s="232" t="str">
        <f>IFERROR(INDEX('G-1 All Habitats'!$AG$3:$AG$15,MATCH(Q225,'G-1 All Habitats'!$AF$3:$AF$15,0)),"")</f>
        <v/>
      </c>
      <c r="Q225" s="228" t="str">
        <f t="shared" si="45"/>
        <v/>
      </c>
      <c r="R225" s="229" t="str">
        <f t="shared" si="46"/>
        <v/>
      </c>
      <c r="S225" s="233" t="str">
        <f>IFERROR(INDEX('G-1 All Habitats'!$B$3:$B$129,MATCH(R225,'G-1 All Habitats'!$A$3:$A$129,0)),"")</f>
        <v/>
      </c>
      <c r="T225" s="507" t="str">
        <f t="shared" si="38"/>
        <v/>
      </c>
      <c r="U225" s="524" t="str">
        <f t="shared" si="39"/>
        <v/>
      </c>
      <c r="V225" s="523" t="str">
        <f t="shared" si="36"/>
        <v/>
      </c>
      <c r="W225" s="520" t="str">
        <f>IF(S225="","",VLOOKUP(S225,'G-1 All Habitats'!$B$2:$M$129,10,FALSE))</f>
        <v/>
      </c>
      <c r="X225" s="520" t="str">
        <f>IFERROR(VLOOKUP(W225,'G-1 All Habitats'!$V$3:$W$7,2,FALSE),"")</f>
        <v/>
      </c>
      <c r="Y225" s="203"/>
      <c r="Z225" s="524" t="str">
        <f>IFERROR(INDEX('G-8 Condition Look up'!$A$3:$H$130,MATCH(S225,'G-8 Condition Look up'!$A$3:$A$130,0),MATCH(Y225,'G-8 Condition Look up'!$A$3:$H$3,0)),"")</f>
        <v/>
      </c>
      <c r="AA225" s="145"/>
      <c r="AB225" s="540" t="str">
        <f>IF(AA225="","",IF(VLOOKUP(AA225,'G-3 Multipliers'!$L$3:$N$6,2,FALSE)=0,"Spatial Data Missing ⚠",VLOOKUP(AA225,'G-3 Multipliers'!$L$3:$N$6,2,FALSE)))</f>
        <v/>
      </c>
      <c r="AC225" s="524" t="str">
        <f>IF(AA225="","",IF(VLOOKUP(AA225,'G-3 Multipliers'!$L$3:$N$6,3,FALSE)=0,"Spatial Data Missing ⚠",VLOOKUP(AA225,'G-3 Multipliers'!$L$3:$N$6,3,FALSE)))</f>
        <v/>
      </c>
      <c r="AD225" s="537" t="str">
        <f t="shared" si="37"/>
        <v/>
      </c>
      <c r="AE225" s="203"/>
      <c r="AF225" s="203"/>
      <c r="AG225" s="520" t="str">
        <f t="shared" si="40"/>
        <v/>
      </c>
      <c r="AH225" s="544" t="str">
        <f t="shared" si="41"/>
        <v/>
      </c>
      <c r="AI225" s="525" t="str">
        <f>IF(AH225="Check Data ⚠","Check Data ⚠",IFERROR(VLOOKUP(AH225,'G-4 Temporal multipliers'!$A$4:$C$36,3,FALSE),""))</f>
        <v/>
      </c>
      <c r="AJ225" s="537" t="str">
        <f>IF(S225="","",VLOOKUP(S225,'G-3 Multipliers'!$A$2:$E$129,4,FALSE))</f>
        <v/>
      </c>
      <c r="AK225" s="520" t="str">
        <f t="shared" si="42"/>
        <v/>
      </c>
      <c r="AL225" s="520" t="str">
        <f t="shared" si="43"/>
        <v/>
      </c>
      <c r="AM225" s="524" t="str">
        <f>IFERROR(IF(F225="","",IF(AH225="Check Data ⚠","Check Data ⚠",VLOOKUP(AL225, 'G-3 Multipliers'!$P$2:$Q$6,2,FALSE))),"")</f>
        <v/>
      </c>
      <c r="AN225" s="197"/>
      <c r="AO225" s="540" t="str">
        <f>IF(AN225="","",IF(VLOOKUP(AN225,'G-3 Multipliers'!$S$3:$T$9,2,FALSE)=0,"Spatial Data Missing ⚠",VLOOKUP(AN225,'G-3 Multipliers'!$S$3:$T$9,2,FALSE)))</f>
        <v/>
      </c>
      <c r="AP225" s="513" t="str">
        <f t="shared" si="44"/>
        <v/>
      </c>
      <c r="AQ225" s="231"/>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7" t="str">
        <f>'D-1 Off Site Habitat Baseline'!AL225</f>
        <v/>
      </c>
      <c r="F226" s="520" t="str">
        <f>IF(E226="","",IF(ISNA(VLOOKUP($E226,'D-1 Off Site Habitat Baseline'!$D$1:$O$258,4,FALSE)),"",(VLOOKUP($E226,'D-1 Off Site Habitat Baseline'!$D$1:$O$258,4,FALSE))))</f>
        <v/>
      </c>
      <c r="G226" s="520" t="str">
        <f>IF(E226="","",IF(ISNA(VLOOKUP($E226,'D-1 Off Site Habitat Baseline'!$D$1:$O$258,5,FALSE)),"",(VLOOKUP($E226,'D-1 Off Site Habitat Baseline'!$D$1:$O$258,5,FALSE))))</f>
        <v/>
      </c>
      <c r="H226" s="520" t="str">
        <f>IF(E226="","",IF(ISNA(VLOOKUP($E226,'D-1 Off Site Habitat Baseline'!$D$1:$O$258,6,FALSE)),"",(VLOOKUP($E226,'D-1 Off Site Habitat Baseline'!$D$1:$O$258,6,FALSE))))</f>
        <v/>
      </c>
      <c r="I226" s="520" t="str">
        <f>IF(E226="","",IF(ISNA(VLOOKUP($E226,'D-1 Off Site Habitat Baseline'!$D$1:$O$258,7,FALSE)),"",(VLOOKUP($E226,'D-1 Off Site Habitat Baseline'!$D$1:$O$258,7,FALSE))))</f>
        <v/>
      </c>
      <c r="J226" s="520" t="str">
        <f>IF(E226="","",IF(ISNA(VLOOKUP($E226,'D-1 Off Site Habitat Baseline'!$D$1:$O$258,8,FALSE)),"",(VLOOKUP($E226,'D-1 Off Site Habitat Baseline'!$D$1:$O$258,8,FALSE))))</f>
        <v/>
      </c>
      <c r="K226" s="520" t="str">
        <f>IF(E226="","",IF(ISNA(VLOOKUP($E226,'D-1 Off Site Habitat Baseline'!$D$1:$O$258,9,FALSE)),"",(VLOOKUP($E226,'D-1 Off Site Habitat Baseline'!$D$1:$O$258,9,FALSE))))</f>
        <v/>
      </c>
      <c r="L226" s="520" t="str">
        <f>IF(E226="","",IF(ISNA(VLOOKUP($E226,'D-1 Off Site Habitat Baseline'!$D$1:$O$258,11,FALSE)),"",(VLOOKUP($E226,'D-1 Off Site Habitat Baseline'!$D$1:$O$258,11,FALSE))))</f>
        <v/>
      </c>
      <c r="M226" s="520" t="str">
        <f>IF(E226="","",IF(ISNA(VLOOKUP($E226,'D-1 Off Site Habitat Baseline'!$D$1:$O$258,12,FALSE)),"",(VLOOKUP($E226,'D-1 Off Site Habitat Baseline'!$D$1:$O$258,12,FALSE))))</f>
        <v/>
      </c>
      <c r="N226" s="520" t="str">
        <f>IF(E226="","",IF(ISNA(VLOOKUP($E226,'D-1 Off Site Habitat Baseline'!$D$1:$X$258,14,FALSE)),"",(VLOOKUP($E226,'D-1 Off Site Habitat Baseline'!$D$1:$X$258,14,FALSE))))</f>
        <v/>
      </c>
      <c r="O226" s="524" t="str">
        <f>IF(E226="","",IF(ISNA(VLOOKUP($E226,'D-1 Off Site Habitat Baseline'!$D$1:$X$258,13,FALSE)),"",(VLOOKUP($E226,'D-1 Off Site Habitat Baseline'!$D$1:$X$258,13,FALSE))))</f>
        <v/>
      </c>
      <c r="P226" s="232" t="str">
        <f>IFERROR(INDEX('G-1 All Habitats'!$AG$3:$AG$15,MATCH(Q226,'G-1 All Habitats'!$AF$3:$AF$15,0)),"")</f>
        <v/>
      </c>
      <c r="Q226" s="228" t="str">
        <f t="shared" si="45"/>
        <v/>
      </c>
      <c r="R226" s="229" t="str">
        <f t="shared" si="46"/>
        <v/>
      </c>
      <c r="S226" s="233" t="str">
        <f>IFERROR(INDEX('G-1 All Habitats'!$B$3:$B$129,MATCH(R226,'G-1 All Habitats'!$A$3:$A$129,0)),"")</f>
        <v/>
      </c>
      <c r="T226" s="507" t="str">
        <f t="shared" si="38"/>
        <v/>
      </c>
      <c r="U226" s="524" t="str">
        <f t="shared" si="39"/>
        <v/>
      </c>
      <c r="V226" s="523" t="str">
        <f t="shared" si="36"/>
        <v/>
      </c>
      <c r="W226" s="520" t="str">
        <f>IF(S226="","",VLOOKUP(S226,'G-1 All Habitats'!$B$2:$M$129,10,FALSE))</f>
        <v/>
      </c>
      <c r="X226" s="520" t="str">
        <f>IFERROR(VLOOKUP(W226,'G-1 All Habitats'!$V$3:$W$7,2,FALSE),"")</f>
        <v/>
      </c>
      <c r="Y226" s="203"/>
      <c r="Z226" s="524" t="str">
        <f>IFERROR(INDEX('G-8 Condition Look up'!$A$3:$H$130,MATCH(S226,'G-8 Condition Look up'!$A$3:$A$130,0),MATCH(Y226,'G-8 Condition Look up'!$A$3:$H$3,0)),"")</f>
        <v/>
      </c>
      <c r="AA226" s="145"/>
      <c r="AB226" s="540" t="str">
        <f>IF(AA226="","",IF(VLOOKUP(AA226,'G-3 Multipliers'!$L$3:$N$6,2,FALSE)=0,"Spatial Data Missing ⚠",VLOOKUP(AA226,'G-3 Multipliers'!$L$3:$N$6,2,FALSE)))</f>
        <v/>
      </c>
      <c r="AC226" s="524" t="str">
        <f>IF(AA226="","",IF(VLOOKUP(AA226,'G-3 Multipliers'!$L$3:$N$6,3,FALSE)=0,"Spatial Data Missing ⚠",VLOOKUP(AA226,'G-3 Multipliers'!$L$3:$N$6,3,FALSE)))</f>
        <v/>
      </c>
      <c r="AD226" s="537" t="str">
        <f t="shared" si="37"/>
        <v/>
      </c>
      <c r="AE226" s="203"/>
      <c r="AF226" s="203"/>
      <c r="AG226" s="520" t="str">
        <f t="shared" si="40"/>
        <v/>
      </c>
      <c r="AH226" s="544" t="str">
        <f t="shared" si="41"/>
        <v/>
      </c>
      <c r="AI226" s="525" t="str">
        <f>IF(AH226="Check Data ⚠","Check Data ⚠",IFERROR(VLOOKUP(AH226,'G-4 Temporal multipliers'!$A$4:$C$36,3,FALSE),""))</f>
        <v/>
      </c>
      <c r="AJ226" s="537" t="str">
        <f>IF(S226="","",VLOOKUP(S226,'G-3 Multipliers'!$A$2:$E$129,4,FALSE))</f>
        <v/>
      </c>
      <c r="AK226" s="520" t="str">
        <f t="shared" si="42"/>
        <v/>
      </c>
      <c r="AL226" s="520" t="str">
        <f t="shared" si="43"/>
        <v/>
      </c>
      <c r="AM226" s="524" t="str">
        <f>IFERROR(IF(F226="","",IF(AH226="Check Data ⚠","Check Data ⚠",VLOOKUP(AL226, 'G-3 Multipliers'!$P$2:$Q$6,2,FALSE))),"")</f>
        <v/>
      </c>
      <c r="AN226" s="197"/>
      <c r="AO226" s="540" t="str">
        <f>IF(AN226="","",IF(VLOOKUP(AN226,'G-3 Multipliers'!$S$3:$T$9,2,FALSE)=0,"Spatial Data Missing ⚠",VLOOKUP(AN226,'G-3 Multipliers'!$S$3:$T$9,2,FALSE)))</f>
        <v/>
      </c>
      <c r="AP226" s="513" t="str">
        <f t="shared" si="44"/>
        <v/>
      </c>
      <c r="AQ226" s="231"/>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7" t="str">
        <f>'D-1 Off Site Habitat Baseline'!AL226</f>
        <v/>
      </c>
      <c r="F227" s="520" t="str">
        <f>IF(E227="","",IF(ISNA(VLOOKUP($E227,'D-1 Off Site Habitat Baseline'!$D$1:$O$258,4,FALSE)),"",(VLOOKUP($E227,'D-1 Off Site Habitat Baseline'!$D$1:$O$258,4,FALSE))))</f>
        <v/>
      </c>
      <c r="G227" s="520" t="str">
        <f>IF(E227="","",IF(ISNA(VLOOKUP($E227,'D-1 Off Site Habitat Baseline'!$D$1:$O$258,5,FALSE)),"",(VLOOKUP($E227,'D-1 Off Site Habitat Baseline'!$D$1:$O$258,5,FALSE))))</f>
        <v/>
      </c>
      <c r="H227" s="520" t="str">
        <f>IF(E227="","",IF(ISNA(VLOOKUP($E227,'D-1 Off Site Habitat Baseline'!$D$1:$O$258,6,FALSE)),"",(VLOOKUP($E227,'D-1 Off Site Habitat Baseline'!$D$1:$O$258,6,FALSE))))</f>
        <v/>
      </c>
      <c r="I227" s="520" t="str">
        <f>IF(E227="","",IF(ISNA(VLOOKUP($E227,'D-1 Off Site Habitat Baseline'!$D$1:$O$258,7,FALSE)),"",(VLOOKUP($E227,'D-1 Off Site Habitat Baseline'!$D$1:$O$258,7,FALSE))))</f>
        <v/>
      </c>
      <c r="J227" s="520" t="str">
        <f>IF(E227="","",IF(ISNA(VLOOKUP($E227,'D-1 Off Site Habitat Baseline'!$D$1:$O$258,8,FALSE)),"",(VLOOKUP($E227,'D-1 Off Site Habitat Baseline'!$D$1:$O$258,8,FALSE))))</f>
        <v/>
      </c>
      <c r="K227" s="520" t="str">
        <f>IF(E227="","",IF(ISNA(VLOOKUP($E227,'D-1 Off Site Habitat Baseline'!$D$1:$O$258,9,FALSE)),"",(VLOOKUP($E227,'D-1 Off Site Habitat Baseline'!$D$1:$O$258,9,FALSE))))</f>
        <v/>
      </c>
      <c r="L227" s="520" t="str">
        <f>IF(E227="","",IF(ISNA(VLOOKUP($E227,'D-1 Off Site Habitat Baseline'!$D$1:$O$258,11,FALSE)),"",(VLOOKUP($E227,'D-1 Off Site Habitat Baseline'!$D$1:$O$258,11,FALSE))))</f>
        <v/>
      </c>
      <c r="M227" s="520" t="str">
        <f>IF(E227="","",IF(ISNA(VLOOKUP($E227,'D-1 Off Site Habitat Baseline'!$D$1:$O$258,12,FALSE)),"",(VLOOKUP($E227,'D-1 Off Site Habitat Baseline'!$D$1:$O$258,12,FALSE))))</f>
        <v/>
      </c>
      <c r="N227" s="520" t="str">
        <f>IF(E227="","",IF(ISNA(VLOOKUP($E227,'D-1 Off Site Habitat Baseline'!$D$1:$X$258,14,FALSE)),"",(VLOOKUP($E227,'D-1 Off Site Habitat Baseline'!$D$1:$X$258,14,FALSE))))</f>
        <v/>
      </c>
      <c r="O227" s="524" t="str">
        <f>IF(E227="","",IF(ISNA(VLOOKUP($E227,'D-1 Off Site Habitat Baseline'!$D$1:$X$258,13,FALSE)),"",(VLOOKUP($E227,'D-1 Off Site Habitat Baseline'!$D$1:$X$258,13,FALSE))))</f>
        <v/>
      </c>
      <c r="P227" s="232" t="str">
        <f>IFERROR(INDEX('G-1 All Habitats'!$AG$3:$AG$15,MATCH(Q227,'G-1 All Habitats'!$AF$3:$AF$15,0)),"")</f>
        <v/>
      </c>
      <c r="Q227" s="228" t="str">
        <f t="shared" si="45"/>
        <v/>
      </c>
      <c r="R227" s="229" t="str">
        <f t="shared" si="46"/>
        <v/>
      </c>
      <c r="S227" s="233" t="str">
        <f>IFERROR(INDEX('G-1 All Habitats'!$B$3:$B$129,MATCH(R227,'G-1 All Habitats'!$A$3:$A$129,0)),"")</f>
        <v/>
      </c>
      <c r="T227" s="507" t="str">
        <f t="shared" si="38"/>
        <v/>
      </c>
      <c r="U227" s="524" t="str">
        <f t="shared" si="39"/>
        <v/>
      </c>
      <c r="V227" s="523" t="str">
        <f t="shared" si="36"/>
        <v/>
      </c>
      <c r="W227" s="520" t="str">
        <f>IF(S227="","",VLOOKUP(S227,'G-1 All Habitats'!$B$2:$M$129,10,FALSE))</f>
        <v/>
      </c>
      <c r="X227" s="520" t="str">
        <f>IFERROR(VLOOKUP(W227,'G-1 All Habitats'!$V$3:$W$7,2,FALSE),"")</f>
        <v/>
      </c>
      <c r="Y227" s="203"/>
      <c r="Z227" s="524" t="str">
        <f>IFERROR(INDEX('G-8 Condition Look up'!$A$3:$H$130,MATCH(S227,'G-8 Condition Look up'!$A$3:$A$130,0),MATCH(Y227,'G-8 Condition Look up'!$A$3:$H$3,0)),"")</f>
        <v/>
      </c>
      <c r="AA227" s="145"/>
      <c r="AB227" s="540" t="str">
        <f>IF(AA227="","",IF(VLOOKUP(AA227,'G-3 Multipliers'!$L$3:$N$6,2,FALSE)=0,"Spatial Data Missing ⚠",VLOOKUP(AA227,'G-3 Multipliers'!$L$3:$N$6,2,FALSE)))</f>
        <v/>
      </c>
      <c r="AC227" s="524" t="str">
        <f>IF(AA227="","",IF(VLOOKUP(AA227,'G-3 Multipliers'!$L$3:$N$6,3,FALSE)=0,"Spatial Data Missing ⚠",VLOOKUP(AA227,'G-3 Multipliers'!$L$3:$N$6,3,FALSE)))</f>
        <v/>
      </c>
      <c r="AD227" s="537" t="str">
        <f t="shared" si="37"/>
        <v/>
      </c>
      <c r="AE227" s="203"/>
      <c r="AF227" s="203"/>
      <c r="AG227" s="520" t="str">
        <f t="shared" si="40"/>
        <v/>
      </c>
      <c r="AH227" s="544" t="str">
        <f t="shared" si="41"/>
        <v/>
      </c>
      <c r="AI227" s="525" t="str">
        <f>IF(AH227="Check Data ⚠","Check Data ⚠",IFERROR(VLOOKUP(AH227,'G-4 Temporal multipliers'!$A$4:$C$36,3,FALSE),""))</f>
        <v/>
      </c>
      <c r="AJ227" s="537" t="str">
        <f>IF(S227="","",VLOOKUP(S227,'G-3 Multipliers'!$A$2:$E$129,4,FALSE))</f>
        <v/>
      </c>
      <c r="AK227" s="520" t="str">
        <f t="shared" si="42"/>
        <v/>
      </c>
      <c r="AL227" s="520" t="str">
        <f t="shared" si="43"/>
        <v/>
      </c>
      <c r="AM227" s="524" t="str">
        <f>IFERROR(IF(F227="","",IF(AH227="Check Data ⚠","Check Data ⚠",VLOOKUP(AL227, 'G-3 Multipliers'!$P$2:$Q$6,2,FALSE))),"")</f>
        <v/>
      </c>
      <c r="AN227" s="197"/>
      <c r="AO227" s="540" t="str">
        <f>IF(AN227="","",IF(VLOOKUP(AN227,'G-3 Multipliers'!$S$3:$T$9,2,FALSE)=0,"Spatial Data Missing ⚠",VLOOKUP(AN227,'G-3 Multipliers'!$S$3:$T$9,2,FALSE)))</f>
        <v/>
      </c>
      <c r="AP227" s="513" t="str">
        <f t="shared" si="44"/>
        <v/>
      </c>
      <c r="AQ227" s="231"/>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7" t="str">
        <f>'D-1 Off Site Habitat Baseline'!AL227</f>
        <v/>
      </c>
      <c r="F228" s="520" t="str">
        <f>IF(E228="","",IF(ISNA(VLOOKUP($E228,'D-1 Off Site Habitat Baseline'!$D$1:$O$258,4,FALSE)),"",(VLOOKUP($E228,'D-1 Off Site Habitat Baseline'!$D$1:$O$258,4,FALSE))))</f>
        <v/>
      </c>
      <c r="G228" s="520" t="str">
        <f>IF(E228="","",IF(ISNA(VLOOKUP($E228,'D-1 Off Site Habitat Baseline'!$D$1:$O$258,5,FALSE)),"",(VLOOKUP($E228,'D-1 Off Site Habitat Baseline'!$D$1:$O$258,5,FALSE))))</f>
        <v/>
      </c>
      <c r="H228" s="520" t="str">
        <f>IF(E228="","",IF(ISNA(VLOOKUP($E228,'D-1 Off Site Habitat Baseline'!$D$1:$O$258,6,FALSE)),"",(VLOOKUP($E228,'D-1 Off Site Habitat Baseline'!$D$1:$O$258,6,FALSE))))</f>
        <v/>
      </c>
      <c r="I228" s="520" t="str">
        <f>IF(E228="","",IF(ISNA(VLOOKUP($E228,'D-1 Off Site Habitat Baseline'!$D$1:$O$258,7,FALSE)),"",(VLOOKUP($E228,'D-1 Off Site Habitat Baseline'!$D$1:$O$258,7,FALSE))))</f>
        <v/>
      </c>
      <c r="J228" s="520" t="str">
        <f>IF(E228="","",IF(ISNA(VLOOKUP($E228,'D-1 Off Site Habitat Baseline'!$D$1:$O$258,8,FALSE)),"",(VLOOKUP($E228,'D-1 Off Site Habitat Baseline'!$D$1:$O$258,8,FALSE))))</f>
        <v/>
      </c>
      <c r="K228" s="520" t="str">
        <f>IF(E228="","",IF(ISNA(VLOOKUP($E228,'D-1 Off Site Habitat Baseline'!$D$1:$O$258,9,FALSE)),"",(VLOOKUP($E228,'D-1 Off Site Habitat Baseline'!$D$1:$O$258,9,FALSE))))</f>
        <v/>
      </c>
      <c r="L228" s="520" t="str">
        <f>IF(E228="","",IF(ISNA(VLOOKUP($E228,'D-1 Off Site Habitat Baseline'!$D$1:$O$258,11,FALSE)),"",(VLOOKUP($E228,'D-1 Off Site Habitat Baseline'!$D$1:$O$258,11,FALSE))))</f>
        <v/>
      </c>
      <c r="M228" s="520" t="str">
        <f>IF(E228="","",IF(ISNA(VLOOKUP($E228,'D-1 Off Site Habitat Baseline'!$D$1:$O$258,12,FALSE)),"",(VLOOKUP($E228,'D-1 Off Site Habitat Baseline'!$D$1:$O$258,12,FALSE))))</f>
        <v/>
      </c>
      <c r="N228" s="520" t="str">
        <f>IF(E228="","",IF(ISNA(VLOOKUP($E228,'D-1 Off Site Habitat Baseline'!$D$1:$X$258,14,FALSE)),"",(VLOOKUP($E228,'D-1 Off Site Habitat Baseline'!$D$1:$X$258,14,FALSE))))</f>
        <v/>
      </c>
      <c r="O228" s="524" t="str">
        <f>IF(E228="","",IF(ISNA(VLOOKUP($E228,'D-1 Off Site Habitat Baseline'!$D$1:$X$258,13,FALSE)),"",(VLOOKUP($E228,'D-1 Off Site Habitat Baseline'!$D$1:$X$258,13,FALSE))))</f>
        <v/>
      </c>
      <c r="P228" s="232" t="str">
        <f>IFERROR(INDEX('G-1 All Habitats'!$AG$3:$AG$15,MATCH(Q228,'G-1 All Habitats'!$AF$3:$AF$15,0)),"")</f>
        <v/>
      </c>
      <c r="Q228" s="228" t="str">
        <f t="shared" si="45"/>
        <v/>
      </c>
      <c r="R228" s="229" t="str">
        <f t="shared" si="46"/>
        <v/>
      </c>
      <c r="S228" s="233" t="str">
        <f>IFERROR(INDEX('G-1 All Habitats'!$B$3:$B$129,MATCH(R228,'G-1 All Habitats'!$A$3:$A$129,0)),"")</f>
        <v/>
      </c>
      <c r="T228" s="507" t="str">
        <f t="shared" si="38"/>
        <v/>
      </c>
      <c r="U228" s="524" t="str">
        <f t="shared" si="39"/>
        <v/>
      </c>
      <c r="V228" s="523" t="str">
        <f t="shared" si="36"/>
        <v/>
      </c>
      <c r="W228" s="520" t="str">
        <f>IF(S228="","",VLOOKUP(S228,'G-1 All Habitats'!$B$2:$M$129,10,FALSE))</f>
        <v/>
      </c>
      <c r="X228" s="520" t="str">
        <f>IFERROR(VLOOKUP(W228,'G-1 All Habitats'!$V$3:$W$7,2,FALSE),"")</f>
        <v/>
      </c>
      <c r="Y228" s="203"/>
      <c r="Z228" s="524" t="str">
        <f>IFERROR(INDEX('G-8 Condition Look up'!$A$3:$H$130,MATCH(S228,'G-8 Condition Look up'!$A$3:$A$130,0),MATCH(Y228,'G-8 Condition Look up'!$A$3:$H$3,0)),"")</f>
        <v/>
      </c>
      <c r="AA228" s="145"/>
      <c r="AB228" s="540" t="str">
        <f>IF(AA228="","",IF(VLOOKUP(AA228,'G-3 Multipliers'!$L$3:$N$6,2,FALSE)=0,"Spatial Data Missing ⚠",VLOOKUP(AA228,'G-3 Multipliers'!$L$3:$N$6,2,FALSE)))</f>
        <v/>
      </c>
      <c r="AC228" s="524" t="str">
        <f>IF(AA228="","",IF(VLOOKUP(AA228,'G-3 Multipliers'!$L$3:$N$6,3,FALSE)=0,"Spatial Data Missing ⚠",VLOOKUP(AA228,'G-3 Multipliers'!$L$3:$N$6,3,FALSE)))</f>
        <v/>
      </c>
      <c r="AD228" s="537" t="str">
        <f t="shared" si="37"/>
        <v/>
      </c>
      <c r="AE228" s="203"/>
      <c r="AF228" s="203"/>
      <c r="AG228" s="520" t="str">
        <f t="shared" si="40"/>
        <v/>
      </c>
      <c r="AH228" s="544" t="str">
        <f t="shared" si="41"/>
        <v/>
      </c>
      <c r="AI228" s="525" t="str">
        <f>IF(AH228="Check Data ⚠","Check Data ⚠",IFERROR(VLOOKUP(AH228,'G-4 Temporal multipliers'!$A$4:$C$36,3,FALSE),""))</f>
        <v/>
      </c>
      <c r="AJ228" s="537" t="str">
        <f>IF(S228="","",VLOOKUP(S228,'G-3 Multipliers'!$A$2:$E$129,4,FALSE))</f>
        <v/>
      </c>
      <c r="AK228" s="520" t="str">
        <f t="shared" si="42"/>
        <v/>
      </c>
      <c r="AL228" s="520" t="str">
        <f t="shared" si="43"/>
        <v/>
      </c>
      <c r="AM228" s="524" t="str">
        <f>IFERROR(IF(F228="","",IF(AH228="Check Data ⚠","Check Data ⚠",VLOOKUP(AL228, 'G-3 Multipliers'!$P$2:$Q$6,2,FALSE))),"")</f>
        <v/>
      </c>
      <c r="AN228" s="197"/>
      <c r="AO228" s="540" t="str">
        <f>IF(AN228="","",IF(VLOOKUP(AN228,'G-3 Multipliers'!$S$3:$T$9,2,FALSE)=0,"Spatial Data Missing ⚠",VLOOKUP(AN228,'G-3 Multipliers'!$S$3:$T$9,2,FALSE)))</f>
        <v/>
      </c>
      <c r="AP228" s="513" t="str">
        <f t="shared" si="44"/>
        <v/>
      </c>
      <c r="AQ228" s="231"/>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7" t="str">
        <f>'D-1 Off Site Habitat Baseline'!AL228</f>
        <v/>
      </c>
      <c r="F229" s="520" t="str">
        <f>IF(E229="","",IF(ISNA(VLOOKUP($E229,'D-1 Off Site Habitat Baseline'!$D$1:$O$258,4,FALSE)),"",(VLOOKUP($E229,'D-1 Off Site Habitat Baseline'!$D$1:$O$258,4,FALSE))))</f>
        <v/>
      </c>
      <c r="G229" s="520" t="str">
        <f>IF(E229="","",IF(ISNA(VLOOKUP($E229,'D-1 Off Site Habitat Baseline'!$D$1:$O$258,5,FALSE)),"",(VLOOKUP($E229,'D-1 Off Site Habitat Baseline'!$D$1:$O$258,5,FALSE))))</f>
        <v/>
      </c>
      <c r="H229" s="520" t="str">
        <f>IF(E229="","",IF(ISNA(VLOOKUP($E229,'D-1 Off Site Habitat Baseline'!$D$1:$O$258,6,FALSE)),"",(VLOOKUP($E229,'D-1 Off Site Habitat Baseline'!$D$1:$O$258,6,FALSE))))</f>
        <v/>
      </c>
      <c r="I229" s="520" t="str">
        <f>IF(E229="","",IF(ISNA(VLOOKUP($E229,'D-1 Off Site Habitat Baseline'!$D$1:$O$258,7,FALSE)),"",(VLOOKUP($E229,'D-1 Off Site Habitat Baseline'!$D$1:$O$258,7,FALSE))))</f>
        <v/>
      </c>
      <c r="J229" s="520" t="str">
        <f>IF(E229="","",IF(ISNA(VLOOKUP($E229,'D-1 Off Site Habitat Baseline'!$D$1:$O$258,8,FALSE)),"",(VLOOKUP($E229,'D-1 Off Site Habitat Baseline'!$D$1:$O$258,8,FALSE))))</f>
        <v/>
      </c>
      <c r="K229" s="520" t="str">
        <f>IF(E229="","",IF(ISNA(VLOOKUP($E229,'D-1 Off Site Habitat Baseline'!$D$1:$O$258,9,FALSE)),"",(VLOOKUP($E229,'D-1 Off Site Habitat Baseline'!$D$1:$O$258,9,FALSE))))</f>
        <v/>
      </c>
      <c r="L229" s="520" t="str">
        <f>IF(E229="","",IF(ISNA(VLOOKUP($E229,'D-1 Off Site Habitat Baseline'!$D$1:$O$258,11,FALSE)),"",(VLOOKUP($E229,'D-1 Off Site Habitat Baseline'!$D$1:$O$258,11,FALSE))))</f>
        <v/>
      </c>
      <c r="M229" s="520" t="str">
        <f>IF(E229="","",IF(ISNA(VLOOKUP($E229,'D-1 Off Site Habitat Baseline'!$D$1:$O$258,12,FALSE)),"",(VLOOKUP($E229,'D-1 Off Site Habitat Baseline'!$D$1:$O$258,12,FALSE))))</f>
        <v/>
      </c>
      <c r="N229" s="520" t="str">
        <f>IF(E229="","",IF(ISNA(VLOOKUP($E229,'D-1 Off Site Habitat Baseline'!$D$1:$X$258,14,FALSE)),"",(VLOOKUP($E229,'D-1 Off Site Habitat Baseline'!$D$1:$X$258,14,FALSE))))</f>
        <v/>
      </c>
      <c r="O229" s="524" t="str">
        <f>IF(E229="","",IF(ISNA(VLOOKUP($E229,'D-1 Off Site Habitat Baseline'!$D$1:$X$258,13,FALSE)),"",(VLOOKUP($E229,'D-1 Off Site Habitat Baseline'!$D$1:$X$258,13,FALSE))))</f>
        <v/>
      </c>
      <c r="P229" s="232" t="str">
        <f>IFERROR(INDEX('G-1 All Habitats'!$AG$3:$AG$15,MATCH(Q229,'G-1 All Habitats'!$AF$3:$AF$15,0)),"")</f>
        <v/>
      </c>
      <c r="Q229" s="228" t="str">
        <f t="shared" si="45"/>
        <v/>
      </c>
      <c r="R229" s="229" t="str">
        <f t="shared" si="46"/>
        <v/>
      </c>
      <c r="S229" s="233" t="str">
        <f>IFERROR(INDEX('G-1 All Habitats'!$B$3:$B$129,MATCH(R229,'G-1 All Habitats'!$A$3:$A$129,0)),"")</f>
        <v/>
      </c>
      <c r="T229" s="507" t="str">
        <f t="shared" si="38"/>
        <v/>
      </c>
      <c r="U229" s="524" t="str">
        <f t="shared" si="39"/>
        <v/>
      </c>
      <c r="V229" s="523" t="str">
        <f t="shared" si="36"/>
        <v/>
      </c>
      <c r="W229" s="520" t="str">
        <f>IF(S229="","",VLOOKUP(S229,'G-1 All Habitats'!$B$2:$M$129,10,FALSE))</f>
        <v/>
      </c>
      <c r="X229" s="520" t="str">
        <f>IFERROR(VLOOKUP(W229,'G-1 All Habitats'!$V$3:$W$7,2,FALSE),"")</f>
        <v/>
      </c>
      <c r="Y229" s="203"/>
      <c r="Z229" s="524" t="str">
        <f>IFERROR(INDEX('G-8 Condition Look up'!$A$3:$H$130,MATCH(S229,'G-8 Condition Look up'!$A$3:$A$130,0),MATCH(Y229,'G-8 Condition Look up'!$A$3:$H$3,0)),"")</f>
        <v/>
      </c>
      <c r="AA229" s="145"/>
      <c r="AB229" s="540" t="str">
        <f>IF(AA229="","",IF(VLOOKUP(AA229,'G-3 Multipliers'!$L$3:$N$6,2,FALSE)=0,"Spatial Data Missing ⚠",VLOOKUP(AA229,'G-3 Multipliers'!$L$3:$N$6,2,FALSE)))</f>
        <v/>
      </c>
      <c r="AC229" s="524" t="str">
        <f>IF(AA229="","",IF(VLOOKUP(AA229,'G-3 Multipliers'!$L$3:$N$6,3,FALSE)=0,"Spatial Data Missing ⚠",VLOOKUP(AA229,'G-3 Multipliers'!$L$3:$N$6,3,FALSE)))</f>
        <v/>
      </c>
      <c r="AD229" s="537" t="str">
        <f t="shared" si="37"/>
        <v/>
      </c>
      <c r="AE229" s="203"/>
      <c r="AF229" s="203"/>
      <c r="AG229" s="520" t="str">
        <f t="shared" si="40"/>
        <v/>
      </c>
      <c r="AH229" s="544" t="str">
        <f t="shared" si="41"/>
        <v/>
      </c>
      <c r="AI229" s="525" t="str">
        <f>IF(AH229="Check Data ⚠","Check Data ⚠",IFERROR(VLOOKUP(AH229,'G-4 Temporal multipliers'!$A$4:$C$36,3,FALSE),""))</f>
        <v/>
      </c>
      <c r="AJ229" s="537" t="str">
        <f>IF(S229="","",VLOOKUP(S229,'G-3 Multipliers'!$A$2:$E$129,4,FALSE))</f>
        <v/>
      </c>
      <c r="AK229" s="520" t="str">
        <f t="shared" si="42"/>
        <v/>
      </c>
      <c r="AL229" s="520" t="str">
        <f t="shared" si="43"/>
        <v/>
      </c>
      <c r="AM229" s="524" t="str">
        <f>IFERROR(IF(F229="","",IF(AH229="Check Data ⚠","Check Data ⚠",VLOOKUP(AL229, 'G-3 Multipliers'!$P$2:$Q$6,2,FALSE))),"")</f>
        <v/>
      </c>
      <c r="AN229" s="197"/>
      <c r="AO229" s="540" t="str">
        <f>IF(AN229="","",IF(VLOOKUP(AN229,'G-3 Multipliers'!$S$3:$T$9,2,FALSE)=0,"Spatial Data Missing ⚠",VLOOKUP(AN229,'G-3 Multipliers'!$S$3:$T$9,2,FALSE)))</f>
        <v/>
      </c>
      <c r="AP229" s="513" t="str">
        <f t="shared" si="44"/>
        <v/>
      </c>
      <c r="AQ229" s="231"/>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7" t="str">
        <f>'D-1 Off Site Habitat Baseline'!AL229</f>
        <v/>
      </c>
      <c r="F230" s="520" t="str">
        <f>IF(E230="","",IF(ISNA(VLOOKUP($E230,'D-1 Off Site Habitat Baseline'!$D$1:$O$258,4,FALSE)),"",(VLOOKUP($E230,'D-1 Off Site Habitat Baseline'!$D$1:$O$258,4,FALSE))))</f>
        <v/>
      </c>
      <c r="G230" s="520" t="str">
        <f>IF(E230="","",IF(ISNA(VLOOKUP($E230,'D-1 Off Site Habitat Baseline'!$D$1:$O$258,5,FALSE)),"",(VLOOKUP($E230,'D-1 Off Site Habitat Baseline'!$D$1:$O$258,5,FALSE))))</f>
        <v/>
      </c>
      <c r="H230" s="520" t="str">
        <f>IF(E230="","",IF(ISNA(VLOOKUP($E230,'D-1 Off Site Habitat Baseline'!$D$1:$O$258,6,FALSE)),"",(VLOOKUP($E230,'D-1 Off Site Habitat Baseline'!$D$1:$O$258,6,FALSE))))</f>
        <v/>
      </c>
      <c r="I230" s="520" t="str">
        <f>IF(E230="","",IF(ISNA(VLOOKUP($E230,'D-1 Off Site Habitat Baseline'!$D$1:$O$258,7,FALSE)),"",(VLOOKUP($E230,'D-1 Off Site Habitat Baseline'!$D$1:$O$258,7,FALSE))))</f>
        <v/>
      </c>
      <c r="J230" s="520" t="str">
        <f>IF(E230="","",IF(ISNA(VLOOKUP($E230,'D-1 Off Site Habitat Baseline'!$D$1:$O$258,8,FALSE)),"",(VLOOKUP($E230,'D-1 Off Site Habitat Baseline'!$D$1:$O$258,8,FALSE))))</f>
        <v/>
      </c>
      <c r="K230" s="520" t="str">
        <f>IF(E230="","",IF(ISNA(VLOOKUP($E230,'D-1 Off Site Habitat Baseline'!$D$1:$O$258,9,FALSE)),"",(VLOOKUP($E230,'D-1 Off Site Habitat Baseline'!$D$1:$O$258,9,FALSE))))</f>
        <v/>
      </c>
      <c r="L230" s="520" t="str">
        <f>IF(E230="","",IF(ISNA(VLOOKUP($E230,'D-1 Off Site Habitat Baseline'!$D$1:$O$258,11,FALSE)),"",(VLOOKUP($E230,'D-1 Off Site Habitat Baseline'!$D$1:$O$258,11,FALSE))))</f>
        <v/>
      </c>
      <c r="M230" s="520" t="str">
        <f>IF(E230="","",IF(ISNA(VLOOKUP($E230,'D-1 Off Site Habitat Baseline'!$D$1:$O$258,12,FALSE)),"",(VLOOKUP($E230,'D-1 Off Site Habitat Baseline'!$D$1:$O$258,12,FALSE))))</f>
        <v/>
      </c>
      <c r="N230" s="520" t="str">
        <f>IF(E230="","",IF(ISNA(VLOOKUP($E230,'D-1 Off Site Habitat Baseline'!$D$1:$X$258,14,FALSE)),"",(VLOOKUP($E230,'D-1 Off Site Habitat Baseline'!$D$1:$X$258,14,FALSE))))</f>
        <v/>
      </c>
      <c r="O230" s="524" t="str">
        <f>IF(E230="","",IF(ISNA(VLOOKUP($E230,'D-1 Off Site Habitat Baseline'!$D$1:$X$258,13,FALSE)),"",(VLOOKUP($E230,'D-1 Off Site Habitat Baseline'!$D$1:$X$258,13,FALSE))))</f>
        <v/>
      </c>
      <c r="P230" s="232" t="str">
        <f>IFERROR(INDEX('G-1 All Habitats'!$AG$3:$AG$15,MATCH(Q230,'G-1 All Habitats'!$AF$3:$AF$15,0)),"")</f>
        <v/>
      </c>
      <c r="Q230" s="228" t="str">
        <f t="shared" si="45"/>
        <v/>
      </c>
      <c r="R230" s="229" t="str">
        <f t="shared" si="46"/>
        <v/>
      </c>
      <c r="S230" s="233" t="str">
        <f>IFERROR(INDEX('G-1 All Habitats'!$B$3:$B$129,MATCH(R230,'G-1 All Habitats'!$A$3:$A$129,0)),"")</f>
        <v/>
      </c>
      <c r="T230" s="507" t="str">
        <f t="shared" si="38"/>
        <v/>
      </c>
      <c r="U230" s="524" t="str">
        <f t="shared" si="39"/>
        <v/>
      </c>
      <c r="V230" s="523" t="str">
        <f t="shared" si="36"/>
        <v/>
      </c>
      <c r="W230" s="520" t="str">
        <f>IF(S230="","",VLOOKUP(S230,'G-1 All Habitats'!$B$2:$M$129,10,FALSE))</f>
        <v/>
      </c>
      <c r="X230" s="520" t="str">
        <f>IFERROR(VLOOKUP(W230,'G-1 All Habitats'!$V$3:$W$7,2,FALSE),"")</f>
        <v/>
      </c>
      <c r="Y230" s="203"/>
      <c r="Z230" s="524" t="str">
        <f>IFERROR(INDEX('G-8 Condition Look up'!$A$3:$H$130,MATCH(S230,'G-8 Condition Look up'!$A$3:$A$130,0),MATCH(Y230,'G-8 Condition Look up'!$A$3:$H$3,0)),"")</f>
        <v/>
      </c>
      <c r="AA230" s="145"/>
      <c r="AB230" s="540" t="str">
        <f>IF(AA230="","",IF(VLOOKUP(AA230,'G-3 Multipliers'!$L$3:$N$6,2,FALSE)=0,"Spatial Data Missing ⚠",VLOOKUP(AA230,'G-3 Multipliers'!$L$3:$N$6,2,FALSE)))</f>
        <v/>
      </c>
      <c r="AC230" s="524" t="str">
        <f>IF(AA230="","",IF(VLOOKUP(AA230,'G-3 Multipliers'!$L$3:$N$6,3,FALSE)=0,"Spatial Data Missing ⚠",VLOOKUP(AA230,'G-3 Multipliers'!$L$3:$N$6,3,FALSE)))</f>
        <v/>
      </c>
      <c r="AD230" s="537" t="str">
        <f t="shared" si="37"/>
        <v/>
      </c>
      <c r="AE230" s="203"/>
      <c r="AF230" s="203"/>
      <c r="AG230" s="520" t="str">
        <f t="shared" si="40"/>
        <v/>
      </c>
      <c r="AH230" s="544" t="str">
        <f t="shared" si="41"/>
        <v/>
      </c>
      <c r="AI230" s="525" t="str">
        <f>IF(AH230="Check Data ⚠","Check Data ⚠",IFERROR(VLOOKUP(AH230,'G-4 Temporal multipliers'!$A$4:$C$36,3,FALSE),""))</f>
        <v/>
      </c>
      <c r="AJ230" s="537" t="str">
        <f>IF(S230="","",VLOOKUP(S230,'G-3 Multipliers'!$A$2:$E$129,4,FALSE))</f>
        <v/>
      </c>
      <c r="AK230" s="520" t="str">
        <f t="shared" si="42"/>
        <v/>
      </c>
      <c r="AL230" s="520" t="str">
        <f t="shared" si="43"/>
        <v/>
      </c>
      <c r="AM230" s="524" t="str">
        <f>IFERROR(IF(F230="","",IF(AH230="Check Data ⚠","Check Data ⚠",VLOOKUP(AL230, 'G-3 Multipliers'!$P$2:$Q$6,2,FALSE))),"")</f>
        <v/>
      </c>
      <c r="AN230" s="197"/>
      <c r="AO230" s="540" t="str">
        <f>IF(AN230="","",IF(VLOOKUP(AN230,'G-3 Multipliers'!$S$3:$T$9,2,FALSE)=0,"Spatial Data Missing ⚠",VLOOKUP(AN230,'G-3 Multipliers'!$S$3:$T$9,2,FALSE)))</f>
        <v/>
      </c>
      <c r="AP230" s="513" t="str">
        <f t="shared" si="44"/>
        <v/>
      </c>
      <c r="AQ230" s="231"/>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7" t="str">
        <f>'D-1 Off Site Habitat Baseline'!AL230</f>
        <v/>
      </c>
      <c r="F231" s="520" t="str">
        <f>IF(E231="","",IF(ISNA(VLOOKUP($E231,'D-1 Off Site Habitat Baseline'!$D$1:$O$258,4,FALSE)),"",(VLOOKUP($E231,'D-1 Off Site Habitat Baseline'!$D$1:$O$258,4,FALSE))))</f>
        <v/>
      </c>
      <c r="G231" s="520" t="str">
        <f>IF(E231="","",IF(ISNA(VLOOKUP($E231,'D-1 Off Site Habitat Baseline'!$D$1:$O$258,5,FALSE)),"",(VLOOKUP($E231,'D-1 Off Site Habitat Baseline'!$D$1:$O$258,5,FALSE))))</f>
        <v/>
      </c>
      <c r="H231" s="520" t="str">
        <f>IF(E231="","",IF(ISNA(VLOOKUP($E231,'D-1 Off Site Habitat Baseline'!$D$1:$O$258,6,FALSE)),"",(VLOOKUP($E231,'D-1 Off Site Habitat Baseline'!$D$1:$O$258,6,FALSE))))</f>
        <v/>
      </c>
      <c r="I231" s="520" t="str">
        <f>IF(E231="","",IF(ISNA(VLOOKUP($E231,'D-1 Off Site Habitat Baseline'!$D$1:$O$258,7,FALSE)),"",(VLOOKUP($E231,'D-1 Off Site Habitat Baseline'!$D$1:$O$258,7,FALSE))))</f>
        <v/>
      </c>
      <c r="J231" s="520" t="str">
        <f>IF(E231="","",IF(ISNA(VLOOKUP($E231,'D-1 Off Site Habitat Baseline'!$D$1:$O$258,8,FALSE)),"",(VLOOKUP($E231,'D-1 Off Site Habitat Baseline'!$D$1:$O$258,8,FALSE))))</f>
        <v/>
      </c>
      <c r="K231" s="520" t="str">
        <f>IF(E231="","",IF(ISNA(VLOOKUP($E231,'D-1 Off Site Habitat Baseline'!$D$1:$O$258,9,FALSE)),"",(VLOOKUP($E231,'D-1 Off Site Habitat Baseline'!$D$1:$O$258,9,FALSE))))</f>
        <v/>
      </c>
      <c r="L231" s="520" t="str">
        <f>IF(E231="","",IF(ISNA(VLOOKUP($E231,'D-1 Off Site Habitat Baseline'!$D$1:$O$258,11,FALSE)),"",(VLOOKUP($E231,'D-1 Off Site Habitat Baseline'!$D$1:$O$258,11,FALSE))))</f>
        <v/>
      </c>
      <c r="M231" s="520" t="str">
        <f>IF(E231="","",IF(ISNA(VLOOKUP($E231,'D-1 Off Site Habitat Baseline'!$D$1:$O$258,12,FALSE)),"",(VLOOKUP($E231,'D-1 Off Site Habitat Baseline'!$D$1:$O$258,12,FALSE))))</f>
        <v/>
      </c>
      <c r="N231" s="520" t="str">
        <f>IF(E231="","",IF(ISNA(VLOOKUP($E231,'D-1 Off Site Habitat Baseline'!$D$1:$X$258,14,FALSE)),"",(VLOOKUP($E231,'D-1 Off Site Habitat Baseline'!$D$1:$X$258,14,FALSE))))</f>
        <v/>
      </c>
      <c r="O231" s="524" t="str">
        <f>IF(E231="","",IF(ISNA(VLOOKUP($E231,'D-1 Off Site Habitat Baseline'!$D$1:$X$258,13,FALSE)),"",(VLOOKUP($E231,'D-1 Off Site Habitat Baseline'!$D$1:$X$258,13,FALSE))))</f>
        <v/>
      </c>
      <c r="P231" s="232" t="str">
        <f>IFERROR(INDEX('G-1 All Habitats'!$AG$3:$AG$15,MATCH(Q231,'G-1 All Habitats'!$AF$3:$AF$15,0)),"")</f>
        <v/>
      </c>
      <c r="Q231" s="228" t="str">
        <f t="shared" si="45"/>
        <v/>
      </c>
      <c r="R231" s="229" t="str">
        <f t="shared" si="46"/>
        <v/>
      </c>
      <c r="S231" s="233" t="str">
        <f>IFERROR(INDEX('G-1 All Habitats'!$B$3:$B$129,MATCH(R231,'G-1 All Habitats'!$A$3:$A$129,0)),"")</f>
        <v/>
      </c>
      <c r="T231" s="507" t="str">
        <f t="shared" si="38"/>
        <v/>
      </c>
      <c r="U231" s="524" t="str">
        <f t="shared" si="39"/>
        <v/>
      </c>
      <c r="V231" s="523" t="str">
        <f t="shared" si="36"/>
        <v/>
      </c>
      <c r="W231" s="520" t="str">
        <f>IF(S231="","",VLOOKUP(S231,'G-1 All Habitats'!$B$2:$M$129,10,FALSE))</f>
        <v/>
      </c>
      <c r="X231" s="520" t="str">
        <f>IFERROR(VLOOKUP(W231,'G-1 All Habitats'!$V$3:$W$7,2,FALSE),"")</f>
        <v/>
      </c>
      <c r="Y231" s="203"/>
      <c r="Z231" s="524" t="str">
        <f>IFERROR(INDEX('G-8 Condition Look up'!$A$3:$H$130,MATCH(S231,'G-8 Condition Look up'!$A$3:$A$130,0),MATCH(Y231,'G-8 Condition Look up'!$A$3:$H$3,0)),"")</f>
        <v/>
      </c>
      <c r="AA231" s="145"/>
      <c r="AB231" s="540" t="str">
        <f>IF(AA231="","",IF(VLOOKUP(AA231,'G-3 Multipliers'!$L$3:$N$6,2,FALSE)=0,"Spatial Data Missing ⚠",VLOOKUP(AA231,'G-3 Multipliers'!$L$3:$N$6,2,FALSE)))</f>
        <v/>
      </c>
      <c r="AC231" s="524" t="str">
        <f>IF(AA231="","",IF(VLOOKUP(AA231,'G-3 Multipliers'!$L$3:$N$6,3,FALSE)=0,"Spatial Data Missing ⚠",VLOOKUP(AA231,'G-3 Multipliers'!$L$3:$N$6,3,FALSE)))</f>
        <v/>
      </c>
      <c r="AD231" s="537" t="str">
        <f t="shared" si="37"/>
        <v/>
      </c>
      <c r="AE231" s="203"/>
      <c r="AF231" s="203"/>
      <c r="AG231" s="520" t="str">
        <f t="shared" si="40"/>
        <v/>
      </c>
      <c r="AH231" s="544" t="str">
        <f t="shared" si="41"/>
        <v/>
      </c>
      <c r="AI231" s="525" t="str">
        <f>IF(AH231="Check Data ⚠","Check Data ⚠",IFERROR(VLOOKUP(AH231,'G-4 Temporal multipliers'!$A$4:$C$36,3,FALSE),""))</f>
        <v/>
      </c>
      <c r="AJ231" s="537" t="str">
        <f>IF(S231="","",VLOOKUP(S231,'G-3 Multipliers'!$A$2:$E$129,4,FALSE))</f>
        <v/>
      </c>
      <c r="AK231" s="520" t="str">
        <f t="shared" si="42"/>
        <v/>
      </c>
      <c r="AL231" s="520" t="str">
        <f t="shared" si="43"/>
        <v/>
      </c>
      <c r="AM231" s="524" t="str">
        <f>IFERROR(IF(F231="","",IF(AH231="Check Data ⚠","Check Data ⚠",VLOOKUP(AL231, 'G-3 Multipliers'!$P$2:$Q$6,2,FALSE))),"")</f>
        <v/>
      </c>
      <c r="AN231" s="197"/>
      <c r="AO231" s="540" t="str">
        <f>IF(AN231="","",IF(VLOOKUP(AN231,'G-3 Multipliers'!$S$3:$T$9,2,FALSE)=0,"Spatial Data Missing ⚠",VLOOKUP(AN231,'G-3 Multipliers'!$S$3:$T$9,2,FALSE)))</f>
        <v/>
      </c>
      <c r="AP231" s="513" t="str">
        <f t="shared" si="44"/>
        <v/>
      </c>
      <c r="AQ231" s="231"/>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7" t="str">
        <f>'D-1 Off Site Habitat Baseline'!AL231</f>
        <v/>
      </c>
      <c r="F232" s="520" t="str">
        <f>IF(E232="","",IF(ISNA(VLOOKUP($E232,'D-1 Off Site Habitat Baseline'!$D$1:$O$258,4,FALSE)),"",(VLOOKUP($E232,'D-1 Off Site Habitat Baseline'!$D$1:$O$258,4,FALSE))))</f>
        <v/>
      </c>
      <c r="G232" s="520" t="str">
        <f>IF(E232="","",IF(ISNA(VLOOKUP($E232,'D-1 Off Site Habitat Baseline'!$D$1:$O$258,5,FALSE)),"",(VLOOKUP($E232,'D-1 Off Site Habitat Baseline'!$D$1:$O$258,5,FALSE))))</f>
        <v/>
      </c>
      <c r="H232" s="520" t="str">
        <f>IF(E232="","",IF(ISNA(VLOOKUP($E232,'D-1 Off Site Habitat Baseline'!$D$1:$O$258,6,FALSE)),"",(VLOOKUP($E232,'D-1 Off Site Habitat Baseline'!$D$1:$O$258,6,FALSE))))</f>
        <v/>
      </c>
      <c r="I232" s="520" t="str">
        <f>IF(E232="","",IF(ISNA(VLOOKUP($E232,'D-1 Off Site Habitat Baseline'!$D$1:$O$258,7,FALSE)),"",(VLOOKUP($E232,'D-1 Off Site Habitat Baseline'!$D$1:$O$258,7,FALSE))))</f>
        <v/>
      </c>
      <c r="J232" s="520" t="str">
        <f>IF(E232="","",IF(ISNA(VLOOKUP($E232,'D-1 Off Site Habitat Baseline'!$D$1:$O$258,8,FALSE)),"",(VLOOKUP($E232,'D-1 Off Site Habitat Baseline'!$D$1:$O$258,8,FALSE))))</f>
        <v/>
      </c>
      <c r="K232" s="520" t="str">
        <f>IF(E232="","",IF(ISNA(VLOOKUP($E232,'D-1 Off Site Habitat Baseline'!$D$1:$O$258,9,FALSE)),"",(VLOOKUP($E232,'D-1 Off Site Habitat Baseline'!$D$1:$O$258,9,FALSE))))</f>
        <v/>
      </c>
      <c r="L232" s="520" t="str">
        <f>IF(E232="","",IF(ISNA(VLOOKUP($E232,'D-1 Off Site Habitat Baseline'!$D$1:$O$258,11,FALSE)),"",(VLOOKUP($E232,'D-1 Off Site Habitat Baseline'!$D$1:$O$258,11,FALSE))))</f>
        <v/>
      </c>
      <c r="M232" s="520" t="str">
        <f>IF(E232="","",IF(ISNA(VLOOKUP($E232,'D-1 Off Site Habitat Baseline'!$D$1:$O$258,12,FALSE)),"",(VLOOKUP($E232,'D-1 Off Site Habitat Baseline'!$D$1:$O$258,12,FALSE))))</f>
        <v/>
      </c>
      <c r="N232" s="520" t="str">
        <f>IF(E232="","",IF(ISNA(VLOOKUP($E232,'D-1 Off Site Habitat Baseline'!$D$1:$X$258,14,FALSE)),"",(VLOOKUP($E232,'D-1 Off Site Habitat Baseline'!$D$1:$X$258,14,FALSE))))</f>
        <v/>
      </c>
      <c r="O232" s="524" t="str">
        <f>IF(E232="","",IF(ISNA(VLOOKUP($E232,'D-1 Off Site Habitat Baseline'!$D$1:$X$258,13,FALSE)),"",(VLOOKUP($E232,'D-1 Off Site Habitat Baseline'!$D$1:$X$258,13,FALSE))))</f>
        <v/>
      </c>
      <c r="P232" s="232" t="str">
        <f>IFERROR(INDEX('G-1 All Habitats'!$AG$3:$AG$15,MATCH(Q232,'G-1 All Habitats'!$AF$3:$AF$15,0)),"")</f>
        <v/>
      </c>
      <c r="Q232" s="228" t="str">
        <f t="shared" si="45"/>
        <v/>
      </c>
      <c r="R232" s="229" t="str">
        <f t="shared" si="46"/>
        <v/>
      </c>
      <c r="S232" s="233" t="str">
        <f>IFERROR(INDEX('G-1 All Habitats'!$B$3:$B$129,MATCH(R232,'G-1 All Habitats'!$A$3:$A$129,0)),"")</f>
        <v/>
      </c>
      <c r="T232" s="507" t="str">
        <f t="shared" si="38"/>
        <v/>
      </c>
      <c r="U232" s="524" t="str">
        <f t="shared" si="39"/>
        <v/>
      </c>
      <c r="V232" s="523" t="str">
        <f t="shared" si="36"/>
        <v/>
      </c>
      <c r="W232" s="520" t="str">
        <f>IF(S232="","",VLOOKUP(S232,'G-1 All Habitats'!$B$2:$M$129,10,FALSE))</f>
        <v/>
      </c>
      <c r="X232" s="520" t="str">
        <f>IFERROR(VLOOKUP(W232,'G-1 All Habitats'!$V$3:$W$7,2,FALSE),"")</f>
        <v/>
      </c>
      <c r="Y232" s="203"/>
      <c r="Z232" s="524" t="str">
        <f>IFERROR(INDEX('G-8 Condition Look up'!$A$3:$H$130,MATCH(S232,'G-8 Condition Look up'!$A$3:$A$130,0),MATCH(Y232,'G-8 Condition Look up'!$A$3:$H$3,0)),"")</f>
        <v/>
      </c>
      <c r="AA232" s="145"/>
      <c r="AB232" s="540" t="str">
        <f>IF(AA232="","",IF(VLOOKUP(AA232,'G-3 Multipliers'!$L$3:$N$6,2,FALSE)=0,"Spatial Data Missing ⚠",VLOOKUP(AA232,'G-3 Multipliers'!$L$3:$N$6,2,FALSE)))</f>
        <v/>
      </c>
      <c r="AC232" s="524" t="str">
        <f>IF(AA232="","",IF(VLOOKUP(AA232,'G-3 Multipliers'!$L$3:$N$6,3,FALSE)=0,"Spatial Data Missing ⚠",VLOOKUP(AA232,'G-3 Multipliers'!$L$3:$N$6,3,FALSE)))</f>
        <v/>
      </c>
      <c r="AD232" s="537" t="str">
        <f t="shared" si="37"/>
        <v/>
      </c>
      <c r="AE232" s="203"/>
      <c r="AF232" s="203"/>
      <c r="AG232" s="520" t="str">
        <f t="shared" si="40"/>
        <v/>
      </c>
      <c r="AH232" s="544" t="str">
        <f t="shared" si="41"/>
        <v/>
      </c>
      <c r="AI232" s="525" t="str">
        <f>IF(AH232="Check Data ⚠","Check Data ⚠",IFERROR(VLOOKUP(AH232,'G-4 Temporal multipliers'!$A$4:$C$36,3,FALSE),""))</f>
        <v/>
      </c>
      <c r="AJ232" s="537" t="str">
        <f>IF(S232="","",VLOOKUP(S232,'G-3 Multipliers'!$A$2:$E$129,4,FALSE))</f>
        <v/>
      </c>
      <c r="AK232" s="520" t="str">
        <f t="shared" si="42"/>
        <v/>
      </c>
      <c r="AL232" s="520" t="str">
        <f t="shared" si="43"/>
        <v/>
      </c>
      <c r="AM232" s="524" t="str">
        <f>IFERROR(IF(F232="","",IF(AH232="Check Data ⚠","Check Data ⚠",VLOOKUP(AL232, 'G-3 Multipliers'!$P$2:$Q$6,2,FALSE))),"")</f>
        <v/>
      </c>
      <c r="AN232" s="197"/>
      <c r="AO232" s="540" t="str">
        <f>IF(AN232="","",IF(VLOOKUP(AN232,'G-3 Multipliers'!$S$3:$T$9,2,FALSE)=0,"Spatial Data Missing ⚠",VLOOKUP(AN232,'G-3 Multipliers'!$S$3:$T$9,2,FALSE)))</f>
        <v/>
      </c>
      <c r="AP232" s="513" t="str">
        <f t="shared" si="44"/>
        <v/>
      </c>
      <c r="AQ232" s="231"/>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7" t="str">
        <f>'D-1 Off Site Habitat Baseline'!AL232</f>
        <v/>
      </c>
      <c r="F233" s="520" t="str">
        <f>IF(E233="","",IF(ISNA(VLOOKUP($E233,'D-1 Off Site Habitat Baseline'!$D$1:$O$258,4,FALSE)),"",(VLOOKUP($E233,'D-1 Off Site Habitat Baseline'!$D$1:$O$258,4,FALSE))))</f>
        <v/>
      </c>
      <c r="G233" s="520" t="str">
        <f>IF(E233="","",IF(ISNA(VLOOKUP($E233,'D-1 Off Site Habitat Baseline'!$D$1:$O$258,5,FALSE)),"",(VLOOKUP($E233,'D-1 Off Site Habitat Baseline'!$D$1:$O$258,5,FALSE))))</f>
        <v/>
      </c>
      <c r="H233" s="520" t="str">
        <f>IF(E233="","",IF(ISNA(VLOOKUP($E233,'D-1 Off Site Habitat Baseline'!$D$1:$O$258,6,FALSE)),"",(VLOOKUP($E233,'D-1 Off Site Habitat Baseline'!$D$1:$O$258,6,FALSE))))</f>
        <v/>
      </c>
      <c r="I233" s="520" t="str">
        <f>IF(E233="","",IF(ISNA(VLOOKUP($E233,'D-1 Off Site Habitat Baseline'!$D$1:$O$258,7,FALSE)),"",(VLOOKUP($E233,'D-1 Off Site Habitat Baseline'!$D$1:$O$258,7,FALSE))))</f>
        <v/>
      </c>
      <c r="J233" s="520" t="str">
        <f>IF(E233="","",IF(ISNA(VLOOKUP($E233,'D-1 Off Site Habitat Baseline'!$D$1:$O$258,8,FALSE)),"",(VLOOKUP($E233,'D-1 Off Site Habitat Baseline'!$D$1:$O$258,8,FALSE))))</f>
        <v/>
      </c>
      <c r="K233" s="520" t="str">
        <f>IF(E233="","",IF(ISNA(VLOOKUP($E233,'D-1 Off Site Habitat Baseline'!$D$1:$O$258,9,FALSE)),"",(VLOOKUP($E233,'D-1 Off Site Habitat Baseline'!$D$1:$O$258,9,FALSE))))</f>
        <v/>
      </c>
      <c r="L233" s="520" t="str">
        <f>IF(E233="","",IF(ISNA(VLOOKUP($E233,'D-1 Off Site Habitat Baseline'!$D$1:$O$258,11,FALSE)),"",(VLOOKUP($E233,'D-1 Off Site Habitat Baseline'!$D$1:$O$258,11,FALSE))))</f>
        <v/>
      </c>
      <c r="M233" s="520" t="str">
        <f>IF(E233="","",IF(ISNA(VLOOKUP($E233,'D-1 Off Site Habitat Baseline'!$D$1:$O$258,12,FALSE)),"",(VLOOKUP($E233,'D-1 Off Site Habitat Baseline'!$D$1:$O$258,12,FALSE))))</f>
        <v/>
      </c>
      <c r="N233" s="520" t="str">
        <f>IF(E233="","",IF(ISNA(VLOOKUP($E233,'D-1 Off Site Habitat Baseline'!$D$1:$X$258,14,FALSE)),"",(VLOOKUP($E233,'D-1 Off Site Habitat Baseline'!$D$1:$X$258,14,FALSE))))</f>
        <v/>
      </c>
      <c r="O233" s="524" t="str">
        <f>IF(E233="","",IF(ISNA(VLOOKUP($E233,'D-1 Off Site Habitat Baseline'!$D$1:$X$258,13,FALSE)),"",(VLOOKUP($E233,'D-1 Off Site Habitat Baseline'!$D$1:$X$258,13,FALSE))))</f>
        <v/>
      </c>
      <c r="P233" s="232" t="str">
        <f>IFERROR(INDEX('G-1 All Habitats'!$AG$3:$AG$15,MATCH(Q233,'G-1 All Habitats'!$AF$3:$AF$15,0)),"")</f>
        <v/>
      </c>
      <c r="Q233" s="228" t="str">
        <f t="shared" si="45"/>
        <v/>
      </c>
      <c r="R233" s="229" t="str">
        <f t="shared" si="46"/>
        <v/>
      </c>
      <c r="S233" s="233" t="str">
        <f>IFERROR(INDEX('G-1 All Habitats'!$B$3:$B$129,MATCH(R233,'G-1 All Habitats'!$A$3:$A$129,0)),"")</f>
        <v/>
      </c>
      <c r="T233" s="507" t="str">
        <f t="shared" si="38"/>
        <v/>
      </c>
      <c r="U233" s="524" t="str">
        <f t="shared" si="39"/>
        <v/>
      </c>
      <c r="V233" s="523" t="str">
        <f t="shared" si="36"/>
        <v/>
      </c>
      <c r="W233" s="520" t="str">
        <f>IF(S233="","",VLOOKUP(S233,'G-1 All Habitats'!$B$2:$M$129,10,FALSE))</f>
        <v/>
      </c>
      <c r="X233" s="520" t="str">
        <f>IFERROR(VLOOKUP(W233,'G-1 All Habitats'!$V$3:$W$7,2,FALSE),"")</f>
        <v/>
      </c>
      <c r="Y233" s="203"/>
      <c r="Z233" s="524" t="str">
        <f>IFERROR(INDEX('G-8 Condition Look up'!$A$3:$H$130,MATCH(S233,'G-8 Condition Look up'!$A$3:$A$130,0),MATCH(Y233,'G-8 Condition Look up'!$A$3:$H$3,0)),"")</f>
        <v/>
      </c>
      <c r="AA233" s="145"/>
      <c r="AB233" s="540" t="str">
        <f>IF(AA233="","",IF(VLOOKUP(AA233,'G-3 Multipliers'!$L$3:$N$6,2,FALSE)=0,"Spatial Data Missing ⚠",VLOOKUP(AA233,'G-3 Multipliers'!$L$3:$N$6,2,FALSE)))</f>
        <v/>
      </c>
      <c r="AC233" s="524" t="str">
        <f>IF(AA233="","",IF(VLOOKUP(AA233,'G-3 Multipliers'!$L$3:$N$6,3,FALSE)=0,"Spatial Data Missing ⚠",VLOOKUP(AA233,'G-3 Multipliers'!$L$3:$N$6,3,FALSE)))</f>
        <v/>
      </c>
      <c r="AD233" s="537" t="str">
        <f t="shared" si="37"/>
        <v/>
      </c>
      <c r="AE233" s="203"/>
      <c r="AF233" s="203"/>
      <c r="AG233" s="520" t="str">
        <f t="shared" si="40"/>
        <v/>
      </c>
      <c r="AH233" s="544" t="str">
        <f t="shared" si="41"/>
        <v/>
      </c>
      <c r="AI233" s="525" t="str">
        <f>IF(AH233="Check Data ⚠","Check Data ⚠",IFERROR(VLOOKUP(AH233,'G-4 Temporal multipliers'!$A$4:$C$36,3,FALSE),""))</f>
        <v/>
      </c>
      <c r="AJ233" s="537" t="str">
        <f>IF(S233="","",VLOOKUP(S233,'G-3 Multipliers'!$A$2:$E$129,4,FALSE))</f>
        <v/>
      </c>
      <c r="AK233" s="520" t="str">
        <f t="shared" si="42"/>
        <v/>
      </c>
      <c r="AL233" s="520" t="str">
        <f t="shared" si="43"/>
        <v/>
      </c>
      <c r="AM233" s="524" t="str">
        <f>IFERROR(IF(F233="","",IF(AH233="Check Data ⚠","Check Data ⚠",VLOOKUP(AL233, 'G-3 Multipliers'!$P$2:$Q$6,2,FALSE))),"")</f>
        <v/>
      </c>
      <c r="AN233" s="197"/>
      <c r="AO233" s="540" t="str">
        <f>IF(AN233="","",IF(VLOOKUP(AN233,'G-3 Multipliers'!$S$3:$T$9,2,FALSE)=0,"Spatial Data Missing ⚠",VLOOKUP(AN233,'G-3 Multipliers'!$S$3:$T$9,2,FALSE)))</f>
        <v/>
      </c>
      <c r="AP233" s="513" t="str">
        <f t="shared" si="44"/>
        <v/>
      </c>
      <c r="AQ233" s="231"/>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7" t="str">
        <f>'D-1 Off Site Habitat Baseline'!AL233</f>
        <v/>
      </c>
      <c r="F234" s="520" t="str">
        <f>IF(E234="","",IF(ISNA(VLOOKUP($E234,'D-1 Off Site Habitat Baseline'!$D$1:$O$258,4,FALSE)),"",(VLOOKUP($E234,'D-1 Off Site Habitat Baseline'!$D$1:$O$258,4,FALSE))))</f>
        <v/>
      </c>
      <c r="G234" s="520" t="str">
        <f>IF(E234="","",IF(ISNA(VLOOKUP($E234,'D-1 Off Site Habitat Baseline'!$D$1:$O$258,5,FALSE)),"",(VLOOKUP($E234,'D-1 Off Site Habitat Baseline'!$D$1:$O$258,5,FALSE))))</f>
        <v/>
      </c>
      <c r="H234" s="520" t="str">
        <f>IF(E234="","",IF(ISNA(VLOOKUP($E234,'D-1 Off Site Habitat Baseline'!$D$1:$O$258,6,FALSE)),"",(VLOOKUP($E234,'D-1 Off Site Habitat Baseline'!$D$1:$O$258,6,FALSE))))</f>
        <v/>
      </c>
      <c r="I234" s="520" t="str">
        <f>IF(E234="","",IF(ISNA(VLOOKUP($E234,'D-1 Off Site Habitat Baseline'!$D$1:$O$258,7,FALSE)),"",(VLOOKUP($E234,'D-1 Off Site Habitat Baseline'!$D$1:$O$258,7,FALSE))))</f>
        <v/>
      </c>
      <c r="J234" s="520" t="str">
        <f>IF(E234="","",IF(ISNA(VLOOKUP($E234,'D-1 Off Site Habitat Baseline'!$D$1:$O$258,8,FALSE)),"",(VLOOKUP($E234,'D-1 Off Site Habitat Baseline'!$D$1:$O$258,8,FALSE))))</f>
        <v/>
      </c>
      <c r="K234" s="520" t="str">
        <f>IF(E234="","",IF(ISNA(VLOOKUP($E234,'D-1 Off Site Habitat Baseline'!$D$1:$O$258,9,FALSE)),"",(VLOOKUP($E234,'D-1 Off Site Habitat Baseline'!$D$1:$O$258,9,FALSE))))</f>
        <v/>
      </c>
      <c r="L234" s="520" t="str">
        <f>IF(E234="","",IF(ISNA(VLOOKUP($E234,'D-1 Off Site Habitat Baseline'!$D$1:$O$258,11,FALSE)),"",(VLOOKUP($E234,'D-1 Off Site Habitat Baseline'!$D$1:$O$258,11,FALSE))))</f>
        <v/>
      </c>
      <c r="M234" s="520" t="str">
        <f>IF(E234="","",IF(ISNA(VLOOKUP($E234,'D-1 Off Site Habitat Baseline'!$D$1:$O$258,12,FALSE)),"",(VLOOKUP($E234,'D-1 Off Site Habitat Baseline'!$D$1:$O$258,12,FALSE))))</f>
        <v/>
      </c>
      <c r="N234" s="520" t="str">
        <f>IF(E234="","",IF(ISNA(VLOOKUP($E234,'D-1 Off Site Habitat Baseline'!$D$1:$X$258,14,FALSE)),"",(VLOOKUP($E234,'D-1 Off Site Habitat Baseline'!$D$1:$X$258,14,FALSE))))</f>
        <v/>
      </c>
      <c r="O234" s="524" t="str">
        <f>IF(E234="","",IF(ISNA(VLOOKUP($E234,'D-1 Off Site Habitat Baseline'!$D$1:$X$258,13,FALSE)),"",(VLOOKUP($E234,'D-1 Off Site Habitat Baseline'!$D$1:$X$258,13,FALSE))))</f>
        <v/>
      </c>
      <c r="P234" s="232" t="str">
        <f>IFERROR(INDEX('G-1 All Habitats'!$AG$3:$AG$15,MATCH(Q234,'G-1 All Habitats'!$AF$3:$AF$15,0)),"")</f>
        <v/>
      </c>
      <c r="Q234" s="228" t="str">
        <f t="shared" si="45"/>
        <v/>
      </c>
      <c r="R234" s="229" t="str">
        <f t="shared" si="46"/>
        <v/>
      </c>
      <c r="S234" s="233" t="str">
        <f>IFERROR(INDEX('G-1 All Habitats'!$B$3:$B$129,MATCH(R234,'G-1 All Habitats'!$A$3:$A$129,0)),"")</f>
        <v/>
      </c>
      <c r="T234" s="507" t="str">
        <f t="shared" si="38"/>
        <v/>
      </c>
      <c r="U234" s="524" t="str">
        <f t="shared" si="39"/>
        <v/>
      </c>
      <c r="V234" s="523" t="str">
        <f t="shared" si="36"/>
        <v/>
      </c>
      <c r="W234" s="520" t="str">
        <f>IF(S234="","",VLOOKUP(S234,'G-1 All Habitats'!$B$2:$M$129,10,FALSE))</f>
        <v/>
      </c>
      <c r="X234" s="520" t="str">
        <f>IFERROR(VLOOKUP(W234,'G-1 All Habitats'!$V$3:$W$7,2,FALSE),"")</f>
        <v/>
      </c>
      <c r="Y234" s="203"/>
      <c r="Z234" s="524" t="str">
        <f>IFERROR(INDEX('G-8 Condition Look up'!$A$3:$H$130,MATCH(S234,'G-8 Condition Look up'!$A$3:$A$130,0),MATCH(Y234,'G-8 Condition Look up'!$A$3:$H$3,0)),"")</f>
        <v/>
      </c>
      <c r="AA234" s="145"/>
      <c r="AB234" s="540" t="str">
        <f>IF(AA234="","",IF(VLOOKUP(AA234,'G-3 Multipliers'!$L$3:$N$6,2,FALSE)=0,"Spatial Data Missing ⚠",VLOOKUP(AA234,'G-3 Multipliers'!$L$3:$N$6,2,FALSE)))</f>
        <v/>
      </c>
      <c r="AC234" s="524" t="str">
        <f>IF(AA234="","",IF(VLOOKUP(AA234,'G-3 Multipliers'!$L$3:$N$6,3,FALSE)=0,"Spatial Data Missing ⚠",VLOOKUP(AA234,'G-3 Multipliers'!$L$3:$N$6,3,FALSE)))</f>
        <v/>
      </c>
      <c r="AD234" s="537" t="str">
        <f t="shared" si="37"/>
        <v/>
      </c>
      <c r="AE234" s="203"/>
      <c r="AF234" s="203"/>
      <c r="AG234" s="520" t="str">
        <f t="shared" si="40"/>
        <v/>
      </c>
      <c r="AH234" s="544" t="str">
        <f t="shared" si="41"/>
        <v/>
      </c>
      <c r="AI234" s="525" t="str">
        <f>IF(AH234="Check Data ⚠","Check Data ⚠",IFERROR(VLOOKUP(AH234,'G-4 Temporal multipliers'!$A$4:$C$36,3,FALSE),""))</f>
        <v/>
      </c>
      <c r="AJ234" s="537" t="str">
        <f>IF(S234="","",VLOOKUP(S234,'G-3 Multipliers'!$A$2:$E$129,4,FALSE))</f>
        <v/>
      </c>
      <c r="AK234" s="520" t="str">
        <f t="shared" si="42"/>
        <v/>
      </c>
      <c r="AL234" s="520" t="str">
        <f t="shared" si="43"/>
        <v/>
      </c>
      <c r="AM234" s="524" t="str">
        <f>IFERROR(IF(F234="","",IF(AH234="Check Data ⚠","Check Data ⚠",VLOOKUP(AL234, 'G-3 Multipliers'!$P$2:$Q$6,2,FALSE))),"")</f>
        <v/>
      </c>
      <c r="AN234" s="197"/>
      <c r="AO234" s="540" t="str">
        <f>IF(AN234="","",IF(VLOOKUP(AN234,'G-3 Multipliers'!$S$3:$T$9,2,FALSE)=0,"Spatial Data Missing ⚠",VLOOKUP(AN234,'G-3 Multipliers'!$S$3:$T$9,2,FALSE)))</f>
        <v/>
      </c>
      <c r="AP234" s="513" t="str">
        <f t="shared" si="44"/>
        <v/>
      </c>
      <c r="AQ234" s="231"/>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7" t="str">
        <f>'D-1 Off Site Habitat Baseline'!AL234</f>
        <v/>
      </c>
      <c r="F235" s="520" t="str">
        <f>IF(E235="","",IF(ISNA(VLOOKUP($E235,'D-1 Off Site Habitat Baseline'!$D$1:$O$258,4,FALSE)),"",(VLOOKUP($E235,'D-1 Off Site Habitat Baseline'!$D$1:$O$258,4,FALSE))))</f>
        <v/>
      </c>
      <c r="G235" s="520" t="str">
        <f>IF(E235="","",IF(ISNA(VLOOKUP($E235,'D-1 Off Site Habitat Baseline'!$D$1:$O$258,5,FALSE)),"",(VLOOKUP($E235,'D-1 Off Site Habitat Baseline'!$D$1:$O$258,5,FALSE))))</f>
        <v/>
      </c>
      <c r="H235" s="520" t="str">
        <f>IF(E235="","",IF(ISNA(VLOOKUP($E235,'D-1 Off Site Habitat Baseline'!$D$1:$O$258,6,FALSE)),"",(VLOOKUP($E235,'D-1 Off Site Habitat Baseline'!$D$1:$O$258,6,FALSE))))</f>
        <v/>
      </c>
      <c r="I235" s="520" t="str">
        <f>IF(E235="","",IF(ISNA(VLOOKUP($E235,'D-1 Off Site Habitat Baseline'!$D$1:$O$258,7,FALSE)),"",(VLOOKUP($E235,'D-1 Off Site Habitat Baseline'!$D$1:$O$258,7,FALSE))))</f>
        <v/>
      </c>
      <c r="J235" s="520" t="str">
        <f>IF(E235="","",IF(ISNA(VLOOKUP($E235,'D-1 Off Site Habitat Baseline'!$D$1:$O$258,8,FALSE)),"",(VLOOKUP($E235,'D-1 Off Site Habitat Baseline'!$D$1:$O$258,8,FALSE))))</f>
        <v/>
      </c>
      <c r="K235" s="520" t="str">
        <f>IF(E235="","",IF(ISNA(VLOOKUP($E235,'D-1 Off Site Habitat Baseline'!$D$1:$O$258,9,FALSE)),"",(VLOOKUP($E235,'D-1 Off Site Habitat Baseline'!$D$1:$O$258,9,FALSE))))</f>
        <v/>
      </c>
      <c r="L235" s="520" t="str">
        <f>IF(E235="","",IF(ISNA(VLOOKUP($E235,'D-1 Off Site Habitat Baseline'!$D$1:$O$258,11,FALSE)),"",(VLOOKUP($E235,'D-1 Off Site Habitat Baseline'!$D$1:$O$258,11,FALSE))))</f>
        <v/>
      </c>
      <c r="M235" s="520" t="str">
        <f>IF(E235="","",IF(ISNA(VLOOKUP($E235,'D-1 Off Site Habitat Baseline'!$D$1:$O$258,12,FALSE)),"",(VLOOKUP($E235,'D-1 Off Site Habitat Baseline'!$D$1:$O$258,12,FALSE))))</f>
        <v/>
      </c>
      <c r="N235" s="520" t="str">
        <f>IF(E235="","",IF(ISNA(VLOOKUP($E235,'D-1 Off Site Habitat Baseline'!$D$1:$X$258,14,FALSE)),"",(VLOOKUP($E235,'D-1 Off Site Habitat Baseline'!$D$1:$X$258,14,FALSE))))</f>
        <v/>
      </c>
      <c r="O235" s="524" t="str">
        <f>IF(E235="","",IF(ISNA(VLOOKUP($E235,'D-1 Off Site Habitat Baseline'!$D$1:$X$258,13,FALSE)),"",(VLOOKUP($E235,'D-1 Off Site Habitat Baseline'!$D$1:$X$258,13,FALSE))))</f>
        <v/>
      </c>
      <c r="P235" s="232" t="str">
        <f>IFERROR(INDEX('G-1 All Habitats'!$AG$3:$AG$15,MATCH(Q235,'G-1 All Habitats'!$AF$3:$AF$15,0)),"")</f>
        <v/>
      </c>
      <c r="Q235" s="228" t="str">
        <f t="shared" si="45"/>
        <v/>
      </c>
      <c r="R235" s="229" t="str">
        <f t="shared" si="46"/>
        <v/>
      </c>
      <c r="S235" s="233" t="str">
        <f>IFERROR(INDEX('G-1 All Habitats'!$B$3:$B$129,MATCH(R235,'G-1 All Habitats'!$A$3:$A$129,0)),"")</f>
        <v/>
      </c>
      <c r="T235" s="507" t="str">
        <f t="shared" si="38"/>
        <v/>
      </c>
      <c r="U235" s="524" t="str">
        <f t="shared" si="39"/>
        <v/>
      </c>
      <c r="V235" s="523" t="str">
        <f t="shared" si="36"/>
        <v/>
      </c>
      <c r="W235" s="520" t="str">
        <f>IF(S235="","",VLOOKUP(S235,'G-1 All Habitats'!$B$2:$M$129,10,FALSE))</f>
        <v/>
      </c>
      <c r="X235" s="520" t="str">
        <f>IFERROR(VLOOKUP(W235,'G-1 All Habitats'!$V$3:$W$7,2,FALSE),"")</f>
        <v/>
      </c>
      <c r="Y235" s="203"/>
      <c r="Z235" s="524" t="str">
        <f>IFERROR(INDEX('G-8 Condition Look up'!$A$3:$H$130,MATCH(S235,'G-8 Condition Look up'!$A$3:$A$130,0),MATCH(Y235,'G-8 Condition Look up'!$A$3:$H$3,0)),"")</f>
        <v/>
      </c>
      <c r="AA235" s="145"/>
      <c r="AB235" s="540" t="str">
        <f>IF(AA235="","",IF(VLOOKUP(AA235,'G-3 Multipliers'!$L$3:$N$6,2,FALSE)=0,"Spatial Data Missing ⚠",VLOOKUP(AA235,'G-3 Multipliers'!$L$3:$N$6,2,FALSE)))</f>
        <v/>
      </c>
      <c r="AC235" s="524" t="str">
        <f>IF(AA235="","",IF(VLOOKUP(AA235,'G-3 Multipliers'!$L$3:$N$6,3,FALSE)=0,"Spatial Data Missing ⚠",VLOOKUP(AA235,'G-3 Multipliers'!$L$3:$N$6,3,FALSE)))</f>
        <v/>
      </c>
      <c r="AD235" s="537" t="str">
        <f t="shared" si="37"/>
        <v/>
      </c>
      <c r="AE235" s="203"/>
      <c r="AF235" s="203"/>
      <c r="AG235" s="520" t="str">
        <f t="shared" si="40"/>
        <v/>
      </c>
      <c r="AH235" s="544" t="str">
        <f t="shared" si="41"/>
        <v/>
      </c>
      <c r="AI235" s="525" t="str">
        <f>IF(AH235="Check Data ⚠","Check Data ⚠",IFERROR(VLOOKUP(AH235,'G-4 Temporal multipliers'!$A$4:$C$36,3,FALSE),""))</f>
        <v/>
      </c>
      <c r="AJ235" s="537" t="str">
        <f>IF(S235="","",VLOOKUP(S235,'G-3 Multipliers'!$A$2:$E$129,4,FALSE))</f>
        <v/>
      </c>
      <c r="AK235" s="520" t="str">
        <f t="shared" si="42"/>
        <v/>
      </c>
      <c r="AL235" s="520" t="str">
        <f t="shared" si="43"/>
        <v/>
      </c>
      <c r="AM235" s="524" t="str">
        <f>IFERROR(IF(F235="","",IF(AH235="Check Data ⚠","Check Data ⚠",VLOOKUP(AL235, 'G-3 Multipliers'!$P$2:$Q$6,2,FALSE))),"")</f>
        <v/>
      </c>
      <c r="AN235" s="197"/>
      <c r="AO235" s="540" t="str">
        <f>IF(AN235="","",IF(VLOOKUP(AN235,'G-3 Multipliers'!$S$3:$T$9,2,FALSE)=0,"Spatial Data Missing ⚠",VLOOKUP(AN235,'G-3 Multipliers'!$S$3:$T$9,2,FALSE)))</f>
        <v/>
      </c>
      <c r="AP235" s="513" t="str">
        <f t="shared" si="44"/>
        <v/>
      </c>
      <c r="AQ235" s="231"/>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7" t="str">
        <f>'D-1 Off Site Habitat Baseline'!AL235</f>
        <v/>
      </c>
      <c r="F236" s="520" t="str">
        <f>IF(E236="","",IF(ISNA(VLOOKUP($E236,'D-1 Off Site Habitat Baseline'!$D$1:$O$258,4,FALSE)),"",(VLOOKUP($E236,'D-1 Off Site Habitat Baseline'!$D$1:$O$258,4,FALSE))))</f>
        <v/>
      </c>
      <c r="G236" s="520" t="str">
        <f>IF(E236="","",IF(ISNA(VLOOKUP($E236,'D-1 Off Site Habitat Baseline'!$D$1:$O$258,5,FALSE)),"",(VLOOKUP($E236,'D-1 Off Site Habitat Baseline'!$D$1:$O$258,5,FALSE))))</f>
        <v/>
      </c>
      <c r="H236" s="520" t="str">
        <f>IF(E236="","",IF(ISNA(VLOOKUP($E236,'D-1 Off Site Habitat Baseline'!$D$1:$O$258,6,FALSE)),"",(VLOOKUP($E236,'D-1 Off Site Habitat Baseline'!$D$1:$O$258,6,FALSE))))</f>
        <v/>
      </c>
      <c r="I236" s="520" t="str">
        <f>IF(E236="","",IF(ISNA(VLOOKUP($E236,'D-1 Off Site Habitat Baseline'!$D$1:$O$258,7,FALSE)),"",(VLOOKUP($E236,'D-1 Off Site Habitat Baseline'!$D$1:$O$258,7,FALSE))))</f>
        <v/>
      </c>
      <c r="J236" s="520" t="str">
        <f>IF(E236="","",IF(ISNA(VLOOKUP($E236,'D-1 Off Site Habitat Baseline'!$D$1:$O$258,8,FALSE)),"",(VLOOKUP($E236,'D-1 Off Site Habitat Baseline'!$D$1:$O$258,8,FALSE))))</f>
        <v/>
      </c>
      <c r="K236" s="520" t="str">
        <f>IF(E236="","",IF(ISNA(VLOOKUP($E236,'D-1 Off Site Habitat Baseline'!$D$1:$O$258,9,FALSE)),"",(VLOOKUP($E236,'D-1 Off Site Habitat Baseline'!$D$1:$O$258,9,FALSE))))</f>
        <v/>
      </c>
      <c r="L236" s="520" t="str">
        <f>IF(E236="","",IF(ISNA(VLOOKUP($E236,'D-1 Off Site Habitat Baseline'!$D$1:$O$258,11,FALSE)),"",(VLOOKUP($E236,'D-1 Off Site Habitat Baseline'!$D$1:$O$258,11,FALSE))))</f>
        <v/>
      </c>
      <c r="M236" s="520" t="str">
        <f>IF(E236="","",IF(ISNA(VLOOKUP($E236,'D-1 Off Site Habitat Baseline'!$D$1:$O$258,12,FALSE)),"",(VLOOKUP($E236,'D-1 Off Site Habitat Baseline'!$D$1:$O$258,12,FALSE))))</f>
        <v/>
      </c>
      <c r="N236" s="520" t="str">
        <f>IF(E236="","",IF(ISNA(VLOOKUP($E236,'D-1 Off Site Habitat Baseline'!$D$1:$X$258,14,FALSE)),"",(VLOOKUP($E236,'D-1 Off Site Habitat Baseline'!$D$1:$X$258,14,FALSE))))</f>
        <v/>
      </c>
      <c r="O236" s="524" t="str">
        <f>IF(E236="","",IF(ISNA(VLOOKUP($E236,'D-1 Off Site Habitat Baseline'!$D$1:$X$258,13,FALSE)),"",(VLOOKUP($E236,'D-1 Off Site Habitat Baseline'!$D$1:$X$258,13,FALSE))))</f>
        <v/>
      </c>
      <c r="P236" s="232" t="str">
        <f>IFERROR(INDEX('G-1 All Habitats'!$AG$3:$AG$15,MATCH(Q236,'G-1 All Habitats'!$AF$3:$AF$15,0)),"")</f>
        <v/>
      </c>
      <c r="Q236" s="228" t="str">
        <f t="shared" si="45"/>
        <v/>
      </c>
      <c r="R236" s="229" t="str">
        <f t="shared" si="46"/>
        <v/>
      </c>
      <c r="S236" s="233" t="str">
        <f>IFERROR(INDEX('G-1 All Habitats'!$B$3:$B$129,MATCH(R236,'G-1 All Habitats'!$A$3:$A$129,0)),"")</f>
        <v/>
      </c>
      <c r="T236" s="507" t="str">
        <f t="shared" si="38"/>
        <v/>
      </c>
      <c r="U236" s="524" t="str">
        <f t="shared" si="39"/>
        <v/>
      </c>
      <c r="V236" s="523" t="str">
        <f t="shared" si="36"/>
        <v/>
      </c>
      <c r="W236" s="520" t="str">
        <f>IF(S236="","",VLOOKUP(S236,'G-1 All Habitats'!$B$2:$M$129,10,FALSE))</f>
        <v/>
      </c>
      <c r="X236" s="520" t="str">
        <f>IFERROR(VLOOKUP(W236,'G-1 All Habitats'!$V$3:$W$7,2,FALSE),"")</f>
        <v/>
      </c>
      <c r="Y236" s="203"/>
      <c r="Z236" s="524" t="str">
        <f>IFERROR(INDEX('G-8 Condition Look up'!$A$3:$H$130,MATCH(S236,'G-8 Condition Look up'!$A$3:$A$130,0),MATCH(Y236,'G-8 Condition Look up'!$A$3:$H$3,0)),"")</f>
        <v/>
      </c>
      <c r="AA236" s="145"/>
      <c r="AB236" s="540" t="str">
        <f>IF(AA236="","",IF(VLOOKUP(AA236,'G-3 Multipliers'!$L$3:$N$6,2,FALSE)=0,"Spatial Data Missing ⚠",VLOOKUP(AA236,'G-3 Multipliers'!$L$3:$N$6,2,FALSE)))</f>
        <v/>
      </c>
      <c r="AC236" s="524" t="str">
        <f>IF(AA236="","",IF(VLOOKUP(AA236,'G-3 Multipliers'!$L$3:$N$6,3,FALSE)=0,"Spatial Data Missing ⚠",VLOOKUP(AA236,'G-3 Multipliers'!$L$3:$N$6,3,FALSE)))</f>
        <v/>
      </c>
      <c r="AD236" s="537" t="str">
        <f t="shared" si="37"/>
        <v/>
      </c>
      <c r="AE236" s="203"/>
      <c r="AF236" s="203"/>
      <c r="AG236" s="520" t="str">
        <f t="shared" si="40"/>
        <v/>
      </c>
      <c r="AH236" s="544" t="str">
        <f t="shared" si="41"/>
        <v/>
      </c>
      <c r="AI236" s="525" t="str">
        <f>IF(AH236="Check Data ⚠","Check Data ⚠",IFERROR(VLOOKUP(AH236,'G-4 Temporal multipliers'!$A$4:$C$36,3,FALSE),""))</f>
        <v/>
      </c>
      <c r="AJ236" s="537" t="str">
        <f>IF(S236="","",VLOOKUP(S236,'G-3 Multipliers'!$A$2:$E$129,4,FALSE))</f>
        <v/>
      </c>
      <c r="AK236" s="520" t="str">
        <f t="shared" si="42"/>
        <v/>
      </c>
      <c r="AL236" s="520" t="str">
        <f t="shared" si="43"/>
        <v/>
      </c>
      <c r="AM236" s="524" t="str">
        <f>IFERROR(IF(F236="","",IF(AH236="Check Data ⚠","Check Data ⚠",VLOOKUP(AL236, 'G-3 Multipliers'!$P$2:$Q$6,2,FALSE))),"")</f>
        <v/>
      </c>
      <c r="AN236" s="197"/>
      <c r="AO236" s="540" t="str">
        <f>IF(AN236="","",IF(VLOOKUP(AN236,'G-3 Multipliers'!$S$3:$T$9,2,FALSE)=0,"Spatial Data Missing ⚠",VLOOKUP(AN236,'G-3 Multipliers'!$S$3:$T$9,2,FALSE)))</f>
        <v/>
      </c>
      <c r="AP236" s="513" t="str">
        <f t="shared" si="44"/>
        <v/>
      </c>
      <c r="AQ236" s="231"/>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7" t="str">
        <f>'D-1 Off Site Habitat Baseline'!AL236</f>
        <v/>
      </c>
      <c r="F237" s="520" t="str">
        <f>IF(E237="","",IF(ISNA(VLOOKUP($E237,'D-1 Off Site Habitat Baseline'!$D$1:$O$258,4,FALSE)),"",(VLOOKUP($E237,'D-1 Off Site Habitat Baseline'!$D$1:$O$258,4,FALSE))))</f>
        <v/>
      </c>
      <c r="G237" s="520" t="str">
        <f>IF(E237="","",IF(ISNA(VLOOKUP($E237,'D-1 Off Site Habitat Baseline'!$D$1:$O$258,5,FALSE)),"",(VLOOKUP($E237,'D-1 Off Site Habitat Baseline'!$D$1:$O$258,5,FALSE))))</f>
        <v/>
      </c>
      <c r="H237" s="520" t="str">
        <f>IF(E237="","",IF(ISNA(VLOOKUP($E237,'D-1 Off Site Habitat Baseline'!$D$1:$O$258,6,FALSE)),"",(VLOOKUP($E237,'D-1 Off Site Habitat Baseline'!$D$1:$O$258,6,FALSE))))</f>
        <v/>
      </c>
      <c r="I237" s="520" t="str">
        <f>IF(E237="","",IF(ISNA(VLOOKUP($E237,'D-1 Off Site Habitat Baseline'!$D$1:$O$258,7,FALSE)),"",(VLOOKUP($E237,'D-1 Off Site Habitat Baseline'!$D$1:$O$258,7,FALSE))))</f>
        <v/>
      </c>
      <c r="J237" s="520" t="str">
        <f>IF(E237="","",IF(ISNA(VLOOKUP($E237,'D-1 Off Site Habitat Baseline'!$D$1:$O$258,8,FALSE)),"",(VLOOKUP($E237,'D-1 Off Site Habitat Baseline'!$D$1:$O$258,8,FALSE))))</f>
        <v/>
      </c>
      <c r="K237" s="520" t="str">
        <f>IF(E237="","",IF(ISNA(VLOOKUP($E237,'D-1 Off Site Habitat Baseline'!$D$1:$O$258,9,FALSE)),"",(VLOOKUP($E237,'D-1 Off Site Habitat Baseline'!$D$1:$O$258,9,FALSE))))</f>
        <v/>
      </c>
      <c r="L237" s="520" t="str">
        <f>IF(E237="","",IF(ISNA(VLOOKUP($E237,'D-1 Off Site Habitat Baseline'!$D$1:$O$258,11,FALSE)),"",(VLOOKUP($E237,'D-1 Off Site Habitat Baseline'!$D$1:$O$258,11,FALSE))))</f>
        <v/>
      </c>
      <c r="M237" s="520" t="str">
        <f>IF(E237="","",IF(ISNA(VLOOKUP($E237,'D-1 Off Site Habitat Baseline'!$D$1:$O$258,12,FALSE)),"",(VLOOKUP($E237,'D-1 Off Site Habitat Baseline'!$D$1:$O$258,12,FALSE))))</f>
        <v/>
      </c>
      <c r="N237" s="520" t="str">
        <f>IF(E237="","",IF(ISNA(VLOOKUP($E237,'D-1 Off Site Habitat Baseline'!$D$1:$X$258,14,FALSE)),"",(VLOOKUP($E237,'D-1 Off Site Habitat Baseline'!$D$1:$X$258,14,FALSE))))</f>
        <v/>
      </c>
      <c r="O237" s="524" t="str">
        <f>IF(E237="","",IF(ISNA(VLOOKUP($E237,'D-1 Off Site Habitat Baseline'!$D$1:$X$258,13,FALSE)),"",(VLOOKUP($E237,'D-1 Off Site Habitat Baseline'!$D$1:$X$258,13,FALSE))))</f>
        <v/>
      </c>
      <c r="P237" s="232" t="str">
        <f>IFERROR(INDEX('G-1 All Habitats'!$AG$3:$AG$15,MATCH(Q237,'G-1 All Habitats'!$AF$3:$AF$15,0)),"")</f>
        <v/>
      </c>
      <c r="Q237" s="228" t="str">
        <f t="shared" si="45"/>
        <v/>
      </c>
      <c r="R237" s="229" t="str">
        <f t="shared" si="46"/>
        <v/>
      </c>
      <c r="S237" s="233" t="str">
        <f>IFERROR(INDEX('G-1 All Habitats'!$B$3:$B$129,MATCH(R237,'G-1 All Habitats'!$A$3:$A$129,0)),"")</f>
        <v/>
      </c>
      <c r="T237" s="507" t="str">
        <f t="shared" si="38"/>
        <v/>
      </c>
      <c r="U237" s="524" t="str">
        <f t="shared" si="39"/>
        <v/>
      </c>
      <c r="V237" s="523" t="str">
        <f t="shared" si="36"/>
        <v/>
      </c>
      <c r="W237" s="520" t="str">
        <f>IF(S237="","",VLOOKUP(S237,'G-1 All Habitats'!$B$2:$M$129,10,FALSE))</f>
        <v/>
      </c>
      <c r="X237" s="520" t="str">
        <f>IFERROR(VLOOKUP(W237,'G-1 All Habitats'!$V$3:$W$7,2,FALSE),"")</f>
        <v/>
      </c>
      <c r="Y237" s="203"/>
      <c r="Z237" s="524" t="str">
        <f>IFERROR(INDEX('G-8 Condition Look up'!$A$3:$H$130,MATCH(S237,'G-8 Condition Look up'!$A$3:$A$130,0),MATCH(Y237,'G-8 Condition Look up'!$A$3:$H$3,0)),"")</f>
        <v/>
      </c>
      <c r="AA237" s="145"/>
      <c r="AB237" s="540" t="str">
        <f>IF(AA237="","",IF(VLOOKUP(AA237,'G-3 Multipliers'!$L$3:$N$6,2,FALSE)=0,"Spatial Data Missing ⚠",VLOOKUP(AA237,'G-3 Multipliers'!$L$3:$N$6,2,FALSE)))</f>
        <v/>
      </c>
      <c r="AC237" s="524" t="str">
        <f>IF(AA237="","",IF(VLOOKUP(AA237,'G-3 Multipliers'!$L$3:$N$6,3,FALSE)=0,"Spatial Data Missing ⚠",VLOOKUP(AA237,'G-3 Multipliers'!$L$3:$N$6,3,FALSE)))</f>
        <v/>
      </c>
      <c r="AD237" s="537" t="str">
        <f t="shared" si="37"/>
        <v/>
      </c>
      <c r="AE237" s="203"/>
      <c r="AF237" s="203"/>
      <c r="AG237" s="520" t="str">
        <f t="shared" si="40"/>
        <v/>
      </c>
      <c r="AH237" s="544" t="str">
        <f t="shared" si="41"/>
        <v/>
      </c>
      <c r="AI237" s="525" t="str">
        <f>IF(AH237="Check Data ⚠","Check Data ⚠",IFERROR(VLOOKUP(AH237,'G-4 Temporal multipliers'!$A$4:$C$36,3,FALSE),""))</f>
        <v/>
      </c>
      <c r="AJ237" s="537" t="str">
        <f>IF(S237="","",VLOOKUP(S237,'G-3 Multipliers'!$A$2:$E$129,4,FALSE))</f>
        <v/>
      </c>
      <c r="AK237" s="520" t="str">
        <f t="shared" si="42"/>
        <v/>
      </c>
      <c r="AL237" s="520" t="str">
        <f t="shared" si="43"/>
        <v/>
      </c>
      <c r="AM237" s="524" t="str">
        <f>IFERROR(IF(F237="","",IF(AH237="Check Data ⚠","Check Data ⚠",VLOOKUP(AL237, 'G-3 Multipliers'!$P$2:$Q$6,2,FALSE))),"")</f>
        <v/>
      </c>
      <c r="AN237" s="197"/>
      <c r="AO237" s="540" t="str">
        <f>IF(AN237="","",IF(VLOOKUP(AN237,'G-3 Multipliers'!$S$3:$T$9,2,FALSE)=0,"Spatial Data Missing ⚠",VLOOKUP(AN237,'G-3 Multipliers'!$S$3:$T$9,2,FALSE)))</f>
        <v/>
      </c>
      <c r="AP237" s="513" t="str">
        <f t="shared" si="44"/>
        <v/>
      </c>
      <c r="AQ237" s="231"/>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7" t="str">
        <f>'D-1 Off Site Habitat Baseline'!AL237</f>
        <v/>
      </c>
      <c r="F238" s="520" t="str">
        <f>IF(E238="","",IF(ISNA(VLOOKUP($E238,'D-1 Off Site Habitat Baseline'!$D$1:$O$258,4,FALSE)),"",(VLOOKUP($E238,'D-1 Off Site Habitat Baseline'!$D$1:$O$258,4,FALSE))))</f>
        <v/>
      </c>
      <c r="G238" s="520" t="str">
        <f>IF(E238="","",IF(ISNA(VLOOKUP($E238,'D-1 Off Site Habitat Baseline'!$D$1:$O$258,5,FALSE)),"",(VLOOKUP($E238,'D-1 Off Site Habitat Baseline'!$D$1:$O$258,5,FALSE))))</f>
        <v/>
      </c>
      <c r="H238" s="520" t="str">
        <f>IF(E238="","",IF(ISNA(VLOOKUP($E238,'D-1 Off Site Habitat Baseline'!$D$1:$O$258,6,FALSE)),"",(VLOOKUP($E238,'D-1 Off Site Habitat Baseline'!$D$1:$O$258,6,FALSE))))</f>
        <v/>
      </c>
      <c r="I238" s="520" t="str">
        <f>IF(E238="","",IF(ISNA(VLOOKUP($E238,'D-1 Off Site Habitat Baseline'!$D$1:$O$258,7,FALSE)),"",(VLOOKUP($E238,'D-1 Off Site Habitat Baseline'!$D$1:$O$258,7,FALSE))))</f>
        <v/>
      </c>
      <c r="J238" s="520" t="str">
        <f>IF(E238="","",IF(ISNA(VLOOKUP($E238,'D-1 Off Site Habitat Baseline'!$D$1:$O$258,8,FALSE)),"",(VLOOKUP($E238,'D-1 Off Site Habitat Baseline'!$D$1:$O$258,8,FALSE))))</f>
        <v/>
      </c>
      <c r="K238" s="520" t="str">
        <f>IF(E238="","",IF(ISNA(VLOOKUP($E238,'D-1 Off Site Habitat Baseline'!$D$1:$O$258,9,FALSE)),"",(VLOOKUP($E238,'D-1 Off Site Habitat Baseline'!$D$1:$O$258,9,FALSE))))</f>
        <v/>
      </c>
      <c r="L238" s="520" t="str">
        <f>IF(E238="","",IF(ISNA(VLOOKUP($E238,'D-1 Off Site Habitat Baseline'!$D$1:$O$258,11,FALSE)),"",(VLOOKUP($E238,'D-1 Off Site Habitat Baseline'!$D$1:$O$258,11,FALSE))))</f>
        <v/>
      </c>
      <c r="M238" s="520" t="str">
        <f>IF(E238="","",IF(ISNA(VLOOKUP($E238,'D-1 Off Site Habitat Baseline'!$D$1:$O$258,12,FALSE)),"",(VLOOKUP($E238,'D-1 Off Site Habitat Baseline'!$D$1:$O$258,12,FALSE))))</f>
        <v/>
      </c>
      <c r="N238" s="520" t="str">
        <f>IF(E238="","",IF(ISNA(VLOOKUP($E238,'D-1 Off Site Habitat Baseline'!$D$1:$X$258,14,FALSE)),"",(VLOOKUP($E238,'D-1 Off Site Habitat Baseline'!$D$1:$X$258,14,FALSE))))</f>
        <v/>
      </c>
      <c r="O238" s="524" t="str">
        <f>IF(E238="","",IF(ISNA(VLOOKUP($E238,'D-1 Off Site Habitat Baseline'!$D$1:$X$258,13,FALSE)),"",(VLOOKUP($E238,'D-1 Off Site Habitat Baseline'!$D$1:$X$258,13,FALSE))))</f>
        <v/>
      </c>
      <c r="P238" s="232" t="str">
        <f>IFERROR(INDEX('G-1 All Habitats'!$AG$3:$AG$15,MATCH(Q238,'G-1 All Habitats'!$AF$3:$AF$15,0)),"")</f>
        <v/>
      </c>
      <c r="Q238" s="228" t="str">
        <f t="shared" si="45"/>
        <v/>
      </c>
      <c r="R238" s="229" t="str">
        <f t="shared" si="46"/>
        <v/>
      </c>
      <c r="S238" s="233" t="str">
        <f>IFERROR(INDEX('G-1 All Habitats'!$B$3:$B$129,MATCH(R238,'G-1 All Habitats'!$A$3:$A$129,0)),"")</f>
        <v/>
      </c>
      <c r="T238" s="507" t="str">
        <f t="shared" si="38"/>
        <v/>
      </c>
      <c r="U238" s="524" t="str">
        <f t="shared" si="39"/>
        <v/>
      </c>
      <c r="V238" s="523" t="str">
        <f t="shared" si="36"/>
        <v/>
      </c>
      <c r="W238" s="520" t="str">
        <f>IF(S238="","",VLOOKUP(S238,'G-1 All Habitats'!$B$2:$M$129,10,FALSE))</f>
        <v/>
      </c>
      <c r="X238" s="520" t="str">
        <f>IFERROR(VLOOKUP(W238,'G-1 All Habitats'!$V$3:$W$7,2,FALSE),"")</f>
        <v/>
      </c>
      <c r="Y238" s="203"/>
      <c r="Z238" s="524" t="str">
        <f>IFERROR(INDEX('G-8 Condition Look up'!$A$3:$H$130,MATCH(S238,'G-8 Condition Look up'!$A$3:$A$130,0),MATCH(Y238,'G-8 Condition Look up'!$A$3:$H$3,0)),"")</f>
        <v/>
      </c>
      <c r="AA238" s="145"/>
      <c r="AB238" s="540" t="str">
        <f>IF(AA238="","",IF(VLOOKUP(AA238,'G-3 Multipliers'!$L$3:$N$6,2,FALSE)=0,"Spatial Data Missing ⚠",VLOOKUP(AA238,'G-3 Multipliers'!$L$3:$N$6,2,FALSE)))</f>
        <v/>
      </c>
      <c r="AC238" s="524" t="str">
        <f>IF(AA238="","",IF(VLOOKUP(AA238,'G-3 Multipliers'!$L$3:$N$6,3,FALSE)=0,"Spatial Data Missing ⚠",VLOOKUP(AA238,'G-3 Multipliers'!$L$3:$N$6,3,FALSE)))</f>
        <v/>
      </c>
      <c r="AD238" s="537" t="str">
        <f t="shared" si="37"/>
        <v/>
      </c>
      <c r="AE238" s="203"/>
      <c r="AF238" s="203"/>
      <c r="AG238" s="520" t="str">
        <f t="shared" si="40"/>
        <v/>
      </c>
      <c r="AH238" s="544" t="str">
        <f t="shared" si="41"/>
        <v/>
      </c>
      <c r="AI238" s="525" t="str">
        <f>IF(AH238="Check Data ⚠","Check Data ⚠",IFERROR(VLOOKUP(AH238,'G-4 Temporal multipliers'!$A$4:$C$36,3,FALSE),""))</f>
        <v/>
      </c>
      <c r="AJ238" s="537" t="str">
        <f>IF(S238="","",VLOOKUP(S238,'G-3 Multipliers'!$A$2:$E$129,4,FALSE))</f>
        <v/>
      </c>
      <c r="AK238" s="520" t="str">
        <f t="shared" si="42"/>
        <v/>
      </c>
      <c r="AL238" s="520" t="str">
        <f t="shared" si="43"/>
        <v/>
      </c>
      <c r="AM238" s="524" t="str">
        <f>IFERROR(IF(F238="","",IF(AH238="Check Data ⚠","Check Data ⚠",VLOOKUP(AL238, 'G-3 Multipliers'!$P$2:$Q$6,2,FALSE))),"")</f>
        <v/>
      </c>
      <c r="AN238" s="197"/>
      <c r="AO238" s="540" t="str">
        <f>IF(AN238="","",IF(VLOOKUP(AN238,'G-3 Multipliers'!$S$3:$T$9,2,FALSE)=0,"Spatial Data Missing ⚠",VLOOKUP(AN238,'G-3 Multipliers'!$S$3:$T$9,2,FALSE)))</f>
        <v/>
      </c>
      <c r="AP238" s="513" t="str">
        <f t="shared" si="44"/>
        <v/>
      </c>
      <c r="AQ238" s="231"/>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7" t="str">
        <f>'D-1 Off Site Habitat Baseline'!AL238</f>
        <v/>
      </c>
      <c r="F239" s="520" t="str">
        <f>IF(E239="","",IF(ISNA(VLOOKUP($E239,'D-1 Off Site Habitat Baseline'!$D$1:$O$258,4,FALSE)),"",(VLOOKUP($E239,'D-1 Off Site Habitat Baseline'!$D$1:$O$258,4,FALSE))))</f>
        <v/>
      </c>
      <c r="G239" s="520" t="str">
        <f>IF(E239="","",IF(ISNA(VLOOKUP($E239,'D-1 Off Site Habitat Baseline'!$D$1:$O$258,5,FALSE)),"",(VLOOKUP($E239,'D-1 Off Site Habitat Baseline'!$D$1:$O$258,5,FALSE))))</f>
        <v/>
      </c>
      <c r="H239" s="520" t="str">
        <f>IF(E239="","",IF(ISNA(VLOOKUP($E239,'D-1 Off Site Habitat Baseline'!$D$1:$O$258,6,FALSE)),"",(VLOOKUP($E239,'D-1 Off Site Habitat Baseline'!$D$1:$O$258,6,FALSE))))</f>
        <v/>
      </c>
      <c r="I239" s="520" t="str">
        <f>IF(E239="","",IF(ISNA(VLOOKUP($E239,'D-1 Off Site Habitat Baseline'!$D$1:$O$258,7,FALSE)),"",(VLOOKUP($E239,'D-1 Off Site Habitat Baseline'!$D$1:$O$258,7,FALSE))))</f>
        <v/>
      </c>
      <c r="J239" s="520" t="str">
        <f>IF(E239="","",IF(ISNA(VLOOKUP($E239,'D-1 Off Site Habitat Baseline'!$D$1:$O$258,8,FALSE)),"",(VLOOKUP($E239,'D-1 Off Site Habitat Baseline'!$D$1:$O$258,8,FALSE))))</f>
        <v/>
      </c>
      <c r="K239" s="520" t="str">
        <f>IF(E239="","",IF(ISNA(VLOOKUP($E239,'D-1 Off Site Habitat Baseline'!$D$1:$O$258,9,FALSE)),"",(VLOOKUP($E239,'D-1 Off Site Habitat Baseline'!$D$1:$O$258,9,FALSE))))</f>
        <v/>
      </c>
      <c r="L239" s="520" t="str">
        <f>IF(E239="","",IF(ISNA(VLOOKUP($E239,'D-1 Off Site Habitat Baseline'!$D$1:$O$258,11,FALSE)),"",(VLOOKUP($E239,'D-1 Off Site Habitat Baseline'!$D$1:$O$258,11,FALSE))))</f>
        <v/>
      </c>
      <c r="M239" s="520" t="str">
        <f>IF(E239="","",IF(ISNA(VLOOKUP($E239,'D-1 Off Site Habitat Baseline'!$D$1:$O$258,12,FALSE)),"",(VLOOKUP($E239,'D-1 Off Site Habitat Baseline'!$D$1:$O$258,12,FALSE))))</f>
        <v/>
      </c>
      <c r="N239" s="520" t="str">
        <f>IF(E239="","",IF(ISNA(VLOOKUP($E239,'D-1 Off Site Habitat Baseline'!$D$1:$X$258,14,FALSE)),"",(VLOOKUP($E239,'D-1 Off Site Habitat Baseline'!$D$1:$X$258,14,FALSE))))</f>
        <v/>
      </c>
      <c r="O239" s="524" t="str">
        <f>IF(E239="","",IF(ISNA(VLOOKUP($E239,'D-1 Off Site Habitat Baseline'!$D$1:$X$258,13,FALSE)),"",(VLOOKUP($E239,'D-1 Off Site Habitat Baseline'!$D$1:$X$258,13,FALSE))))</f>
        <v/>
      </c>
      <c r="P239" s="232" t="str">
        <f>IFERROR(INDEX('G-1 All Habitats'!$AG$3:$AG$15,MATCH(Q239,'G-1 All Habitats'!$AF$3:$AF$15,0)),"")</f>
        <v/>
      </c>
      <c r="Q239" s="228" t="str">
        <f t="shared" si="45"/>
        <v/>
      </c>
      <c r="R239" s="229" t="str">
        <f t="shared" si="46"/>
        <v/>
      </c>
      <c r="S239" s="233" t="str">
        <f>IFERROR(INDEX('G-1 All Habitats'!$B$3:$B$129,MATCH(R239,'G-1 All Habitats'!$A$3:$A$129,0)),"")</f>
        <v/>
      </c>
      <c r="T239" s="507" t="str">
        <f t="shared" si="38"/>
        <v/>
      </c>
      <c r="U239" s="524" t="str">
        <f t="shared" si="39"/>
        <v/>
      </c>
      <c r="V239" s="523" t="str">
        <f t="shared" si="36"/>
        <v/>
      </c>
      <c r="W239" s="520" t="str">
        <f>IF(S239="","",VLOOKUP(S239,'G-1 All Habitats'!$B$2:$M$129,10,FALSE))</f>
        <v/>
      </c>
      <c r="X239" s="520" t="str">
        <f>IFERROR(VLOOKUP(W239,'G-1 All Habitats'!$V$3:$W$7,2,FALSE),"")</f>
        <v/>
      </c>
      <c r="Y239" s="203"/>
      <c r="Z239" s="524" t="str">
        <f>IFERROR(INDEX('G-8 Condition Look up'!$A$3:$H$130,MATCH(S239,'G-8 Condition Look up'!$A$3:$A$130,0),MATCH(Y239,'G-8 Condition Look up'!$A$3:$H$3,0)),"")</f>
        <v/>
      </c>
      <c r="AA239" s="145"/>
      <c r="AB239" s="540" t="str">
        <f>IF(AA239="","",IF(VLOOKUP(AA239,'G-3 Multipliers'!$L$3:$N$6,2,FALSE)=0,"Spatial Data Missing ⚠",VLOOKUP(AA239,'G-3 Multipliers'!$L$3:$N$6,2,FALSE)))</f>
        <v/>
      </c>
      <c r="AC239" s="524" t="str">
        <f>IF(AA239="","",IF(VLOOKUP(AA239,'G-3 Multipliers'!$L$3:$N$6,3,FALSE)=0,"Spatial Data Missing ⚠",VLOOKUP(AA239,'G-3 Multipliers'!$L$3:$N$6,3,FALSE)))</f>
        <v/>
      </c>
      <c r="AD239" s="537" t="str">
        <f t="shared" si="37"/>
        <v/>
      </c>
      <c r="AE239" s="203"/>
      <c r="AF239" s="203"/>
      <c r="AG239" s="520" t="str">
        <f t="shared" si="40"/>
        <v/>
      </c>
      <c r="AH239" s="544" t="str">
        <f t="shared" si="41"/>
        <v/>
      </c>
      <c r="AI239" s="525" t="str">
        <f>IF(AH239="Check Data ⚠","Check Data ⚠",IFERROR(VLOOKUP(AH239,'G-4 Temporal multipliers'!$A$4:$C$36,3,FALSE),""))</f>
        <v/>
      </c>
      <c r="AJ239" s="537" t="str">
        <f>IF(S239="","",VLOOKUP(S239,'G-3 Multipliers'!$A$2:$E$129,4,FALSE))</f>
        <v/>
      </c>
      <c r="AK239" s="520" t="str">
        <f t="shared" si="42"/>
        <v/>
      </c>
      <c r="AL239" s="520" t="str">
        <f t="shared" si="43"/>
        <v/>
      </c>
      <c r="AM239" s="524" t="str">
        <f>IFERROR(IF(F239="","",IF(AH239="Check Data ⚠","Check Data ⚠",VLOOKUP(AL239, 'G-3 Multipliers'!$P$2:$Q$6,2,FALSE))),"")</f>
        <v/>
      </c>
      <c r="AN239" s="197"/>
      <c r="AO239" s="540" t="str">
        <f>IF(AN239="","",IF(VLOOKUP(AN239,'G-3 Multipliers'!$S$3:$T$9,2,FALSE)=0,"Spatial Data Missing ⚠",VLOOKUP(AN239,'G-3 Multipliers'!$S$3:$T$9,2,FALSE)))</f>
        <v/>
      </c>
      <c r="AP239" s="513" t="str">
        <f t="shared" si="44"/>
        <v/>
      </c>
      <c r="AQ239" s="231"/>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7" t="str">
        <f>'D-1 Off Site Habitat Baseline'!AL239</f>
        <v/>
      </c>
      <c r="F240" s="520" t="str">
        <f>IF(E240="","",IF(ISNA(VLOOKUP($E240,'D-1 Off Site Habitat Baseline'!$D$1:$O$258,4,FALSE)),"",(VLOOKUP($E240,'D-1 Off Site Habitat Baseline'!$D$1:$O$258,4,FALSE))))</f>
        <v/>
      </c>
      <c r="G240" s="520" t="str">
        <f>IF(E240="","",IF(ISNA(VLOOKUP($E240,'D-1 Off Site Habitat Baseline'!$D$1:$O$258,5,FALSE)),"",(VLOOKUP($E240,'D-1 Off Site Habitat Baseline'!$D$1:$O$258,5,FALSE))))</f>
        <v/>
      </c>
      <c r="H240" s="520" t="str">
        <f>IF(E240="","",IF(ISNA(VLOOKUP($E240,'D-1 Off Site Habitat Baseline'!$D$1:$O$258,6,FALSE)),"",(VLOOKUP($E240,'D-1 Off Site Habitat Baseline'!$D$1:$O$258,6,FALSE))))</f>
        <v/>
      </c>
      <c r="I240" s="520" t="str">
        <f>IF(E240="","",IF(ISNA(VLOOKUP($E240,'D-1 Off Site Habitat Baseline'!$D$1:$O$258,7,FALSE)),"",(VLOOKUP($E240,'D-1 Off Site Habitat Baseline'!$D$1:$O$258,7,FALSE))))</f>
        <v/>
      </c>
      <c r="J240" s="520" t="str">
        <f>IF(E240="","",IF(ISNA(VLOOKUP($E240,'D-1 Off Site Habitat Baseline'!$D$1:$O$258,8,FALSE)),"",(VLOOKUP($E240,'D-1 Off Site Habitat Baseline'!$D$1:$O$258,8,FALSE))))</f>
        <v/>
      </c>
      <c r="K240" s="520" t="str">
        <f>IF(E240="","",IF(ISNA(VLOOKUP($E240,'D-1 Off Site Habitat Baseline'!$D$1:$O$258,9,FALSE)),"",(VLOOKUP($E240,'D-1 Off Site Habitat Baseline'!$D$1:$O$258,9,FALSE))))</f>
        <v/>
      </c>
      <c r="L240" s="520" t="str">
        <f>IF(E240="","",IF(ISNA(VLOOKUP($E240,'D-1 Off Site Habitat Baseline'!$D$1:$O$258,11,FALSE)),"",(VLOOKUP($E240,'D-1 Off Site Habitat Baseline'!$D$1:$O$258,11,FALSE))))</f>
        <v/>
      </c>
      <c r="M240" s="520" t="str">
        <f>IF(E240="","",IF(ISNA(VLOOKUP($E240,'D-1 Off Site Habitat Baseline'!$D$1:$O$258,12,FALSE)),"",(VLOOKUP($E240,'D-1 Off Site Habitat Baseline'!$D$1:$O$258,12,FALSE))))</f>
        <v/>
      </c>
      <c r="N240" s="520" t="str">
        <f>IF(E240="","",IF(ISNA(VLOOKUP($E240,'D-1 Off Site Habitat Baseline'!$D$1:$X$258,14,FALSE)),"",(VLOOKUP($E240,'D-1 Off Site Habitat Baseline'!$D$1:$X$258,14,FALSE))))</f>
        <v/>
      </c>
      <c r="O240" s="524" t="str">
        <f>IF(E240="","",IF(ISNA(VLOOKUP($E240,'D-1 Off Site Habitat Baseline'!$D$1:$X$258,13,FALSE)),"",(VLOOKUP($E240,'D-1 Off Site Habitat Baseline'!$D$1:$X$258,13,FALSE))))</f>
        <v/>
      </c>
      <c r="P240" s="232" t="str">
        <f>IFERROR(INDEX('G-1 All Habitats'!$AG$3:$AG$15,MATCH(Q240,'G-1 All Habitats'!$AF$3:$AF$15,0)),"")</f>
        <v/>
      </c>
      <c r="Q240" s="228" t="str">
        <f t="shared" si="45"/>
        <v/>
      </c>
      <c r="R240" s="229" t="str">
        <f t="shared" si="46"/>
        <v/>
      </c>
      <c r="S240" s="233" t="str">
        <f>IFERROR(INDEX('G-1 All Habitats'!$B$3:$B$129,MATCH(R240,'G-1 All Habitats'!$A$3:$A$129,0)),"")</f>
        <v/>
      </c>
      <c r="T240" s="507" t="str">
        <f t="shared" si="38"/>
        <v/>
      </c>
      <c r="U240" s="524" t="str">
        <f t="shared" si="39"/>
        <v/>
      </c>
      <c r="V240" s="523" t="str">
        <f t="shared" si="36"/>
        <v/>
      </c>
      <c r="W240" s="520" t="str">
        <f>IF(S240="","",VLOOKUP(S240,'G-1 All Habitats'!$B$2:$M$129,10,FALSE))</f>
        <v/>
      </c>
      <c r="X240" s="520" t="str">
        <f>IFERROR(VLOOKUP(W240,'G-1 All Habitats'!$V$3:$W$7,2,FALSE),"")</f>
        <v/>
      </c>
      <c r="Y240" s="203"/>
      <c r="Z240" s="524" t="str">
        <f>IFERROR(INDEX('G-8 Condition Look up'!$A$3:$H$130,MATCH(S240,'G-8 Condition Look up'!$A$3:$A$130,0),MATCH(Y240,'G-8 Condition Look up'!$A$3:$H$3,0)),"")</f>
        <v/>
      </c>
      <c r="AA240" s="145"/>
      <c r="AB240" s="540" t="str">
        <f>IF(AA240="","",IF(VLOOKUP(AA240,'G-3 Multipliers'!$L$3:$N$6,2,FALSE)=0,"Spatial Data Missing ⚠",VLOOKUP(AA240,'G-3 Multipliers'!$L$3:$N$6,2,FALSE)))</f>
        <v/>
      </c>
      <c r="AC240" s="524" t="str">
        <f>IF(AA240="","",IF(VLOOKUP(AA240,'G-3 Multipliers'!$L$3:$N$6,3,FALSE)=0,"Spatial Data Missing ⚠",VLOOKUP(AA240,'G-3 Multipliers'!$L$3:$N$6,3,FALSE)))</f>
        <v/>
      </c>
      <c r="AD240" s="537" t="str">
        <f t="shared" si="37"/>
        <v/>
      </c>
      <c r="AE240" s="203"/>
      <c r="AF240" s="203"/>
      <c r="AG240" s="520" t="str">
        <f t="shared" si="40"/>
        <v/>
      </c>
      <c r="AH240" s="544" t="str">
        <f t="shared" si="41"/>
        <v/>
      </c>
      <c r="AI240" s="525" t="str">
        <f>IF(AH240="Check Data ⚠","Check Data ⚠",IFERROR(VLOOKUP(AH240,'G-4 Temporal multipliers'!$A$4:$C$36,3,FALSE),""))</f>
        <v/>
      </c>
      <c r="AJ240" s="537" t="str">
        <f>IF(S240="","",VLOOKUP(S240,'G-3 Multipliers'!$A$2:$E$129,4,FALSE))</f>
        <v/>
      </c>
      <c r="AK240" s="520" t="str">
        <f t="shared" si="42"/>
        <v/>
      </c>
      <c r="AL240" s="520" t="str">
        <f t="shared" si="43"/>
        <v/>
      </c>
      <c r="AM240" s="524" t="str">
        <f>IFERROR(IF(F240="","",IF(AH240="Check Data ⚠","Check Data ⚠",VLOOKUP(AL240, 'G-3 Multipliers'!$P$2:$Q$6,2,FALSE))),"")</f>
        <v/>
      </c>
      <c r="AN240" s="197"/>
      <c r="AO240" s="540" t="str">
        <f>IF(AN240="","",IF(VLOOKUP(AN240,'G-3 Multipliers'!$S$3:$T$9,2,FALSE)=0,"Spatial Data Missing ⚠",VLOOKUP(AN240,'G-3 Multipliers'!$S$3:$T$9,2,FALSE)))</f>
        <v/>
      </c>
      <c r="AP240" s="513" t="str">
        <f t="shared" si="44"/>
        <v/>
      </c>
      <c r="AQ240" s="231"/>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7" t="str">
        <f>'D-1 Off Site Habitat Baseline'!AL240</f>
        <v/>
      </c>
      <c r="F241" s="520" t="str">
        <f>IF(E241="","",IF(ISNA(VLOOKUP($E241,'D-1 Off Site Habitat Baseline'!$D$1:$O$258,4,FALSE)),"",(VLOOKUP($E241,'D-1 Off Site Habitat Baseline'!$D$1:$O$258,4,FALSE))))</f>
        <v/>
      </c>
      <c r="G241" s="520" t="str">
        <f>IF(E241="","",IF(ISNA(VLOOKUP($E241,'D-1 Off Site Habitat Baseline'!$D$1:$O$258,5,FALSE)),"",(VLOOKUP($E241,'D-1 Off Site Habitat Baseline'!$D$1:$O$258,5,FALSE))))</f>
        <v/>
      </c>
      <c r="H241" s="520" t="str">
        <f>IF(E241="","",IF(ISNA(VLOOKUP($E241,'D-1 Off Site Habitat Baseline'!$D$1:$O$258,6,FALSE)),"",(VLOOKUP($E241,'D-1 Off Site Habitat Baseline'!$D$1:$O$258,6,FALSE))))</f>
        <v/>
      </c>
      <c r="I241" s="520" t="str">
        <f>IF(E241="","",IF(ISNA(VLOOKUP($E241,'D-1 Off Site Habitat Baseline'!$D$1:$O$258,7,FALSE)),"",(VLOOKUP($E241,'D-1 Off Site Habitat Baseline'!$D$1:$O$258,7,FALSE))))</f>
        <v/>
      </c>
      <c r="J241" s="520" t="str">
        <f>IF(E241="","",IF(ISNA(VLOOKUP($E241,'D-1 Off Site Habitat Baseline'!$D$1:$O$258,8,FALSE)),"",(VLOOKUP($E241,'D-1 Off Site Habitat Baseline'!$D$1:$O$258,8,FALSE))))</f>
        <v/>
      </c>
      <c r="K241" s="520" t="str">
        <f>IF(E241="","",IF(ISNA(VLOOKUP($E241,'D-1 Off Site Habitat Baseline'!$D$1:$O$258,9,FALSE)),"",(VLOOKUP($E241,'D-1 Off Site Habitat Baseline'!$D$1:$O$258,9,FALSE))))</f>
        <v/>
      </c>
      <c r="L241" s="520" t="str">
        <f>IF(E241="","",IF(ISNA(VLOOKUP($E241,'D-1 Off Site Habitat Baseline'!$D$1:$O$258,11,FALSE)),"",(VLOOKUP($E241,'D-1 Off Site Habitat Baseline'!$D$1:$O$258,11,FALSE))))</f>
        <v/>
      </c>
      <c r="M241" s="520" t="str">
        <f>IF(E241="","",IF(ISNA(VLOOKUP($E241,'D-1 Off Site Habitat Baseline'!$D$1:$O$258,12,FALSE)),"",(VLOOKUP($E241,'D-1 Off Site Habitat Baseline'!$D$1:$O$258,12,FALSE))))</f>
        <v/>
      </c>
      <c r="N241" s="520" t="str">
        <f>IF(E241="","",IF(ISNA(VLOOKUP($E241,'D-1 Off Site Habitat Baseline'!$D$1:$X$258,14,FALSE)),"",(VLOOKUP($E241,'D-1 Off Site Habitat Baseline'!$D$1:$X$258,14,FALSE))))</f>
        <v/>
      </c>
      <c r="O241" s="524" t="str">
        <f>IF(E241="","",IF(ISNA(VLOOKUP($E241,'D-1 Off Site Habitat Baseline'!$D$1:$X$258,13,FALSE)),"",(VLOOKUP($E241,'D-1 Off Site Habitat Baseline'!$D$1:$X$258,13,FALSE))))</f>
        <v/>
      </c>
      <c r="P241" s="232" t="str">
        <f>IFERROR(INDEX('G-1 All Habitats'!$AG$3:$AG$15,MATCH(Q241,'G-1 All Habitats'!$AF$3:$AF$15,0)),"")</f>
        <v/>
      </c>
      <c r="Q241" s="228" t="str">
        <f t="shared" si="45"/>
        <v/>
      </c>
      <c r="R241" s="229" t="str">
        <f t="shared" si="46"/>
        <v/>
      </c>
      <c r="S241" s="233" t="str">
        <f>IFERROR(INDEX('G-1 All Habitats'!$B$3:$B$129,MATCH(R241,'G-1 All Habitats'!$A$3:$A$129,0)),"")</f>
        <v/>
      </c>
      <c r="T241" s="507" t="str">
        <f t="shared" si="38"/>
        <v/>
      </c>
      <c r="U241" s="524" t="str">
        <f t="shared" si="39"/>
        <v/>
      </c>
      <c r="V241" s="523" t="str">
        <f t="shared" si="36"/>
        <v/>
      </c>
      <c r="W241" s="520" t="str">
        <f>IF(S241="","",VLOOKUP(S241,'G-1 All Habitats'!$B$2:$M$129,10,FALSE))</f>
        <v/>
      </c>
      <c r="X241" s="520" t="str">
        <f>IFERROR(VLOOKUP(W241,'G-1 All Habitats'!$V$3:$W$7,2,FALSE),"")</f>
        <v/>
      </c>
      <c r="Y241" s="203"/>
      <c r="Z241" s="524" t="str">
        <f>IFERROR(INDEX('G-8 Condition Look up'!$A$3:$H$130,MATCH(S241,'G-8 Condition Look up'!$A$3:$A$130,0),MATCH(Y241,'G-8 Condition Look up'!$A$3:$H$3,0)),"")</f>
        <v/>
      </c>
      <c r="AA241" s="145"/>
      <c r="AB241" s="540" t="str">
        <f>IF(AA241="","",IF(VLOOKUP(AA241,'G-3 Multipliers'!$L$3:$N$6,2,FALSE)=0,"Spatial Data Missing ⚠",VLOOKUP(AA241,'G-3 Multipliers'!$L$3:$N$6,2,FALSE)))</f>
        <v/>
      </c>
      <c r="AC241" s="524" t="str">
        <f>IF(AA241="","",IF(VLOOKUP(AA241,'G-3 Multipliers'!$L$3:$N$6,3,FALSE)=0,"Spatial Data Missing ⚠",VLOOKUP(AA241,'G-3 Multipliers'!$L$3:$N$6,3,FALSE)))</f>
        <v/>
      </c>
      <c r="AD241" s="537" t="str">
        <f t="shared" si="37"/>
        <v/>
      </c>
      <c r="AE241" s="203"/>
      <c r="AF241" s="203"/>
      <c r="AG241" s="520" t="str">
        <f t="shared" si="40"/>
        <v/>
      </c>
      <c r="AH241" s="544" t="str">
        <f t="shared" si="41"/>
        <v/>
      </c>
      <c r="AI241" s="525" t="str">
        <f>IF(AH241="Check Data ⚠","Check Data ⚠",IFERROR(VLOOKUP(AH241,'G-4 Temporal multipliers'!$A$4:$C$36,3,FALSE),""))</f>
        <v/>
      </c>
      <c r="AJ241" s="537" t="str">
        <f>IF(S241="","",VLOOKUP(S241,'G-3 Multipliers'!$A$2:$E$129,4,FALSE))</f>
        <v/>
      </c>
      <c r="AK241" s="520" t="str">
        <f t="shared" si="42"/>
        <v/>
      </c>
      <c r="AL241" s="520" t="str">
        <f t="shared" si="43"/>
        <v/>
      </c>
      <c r="AM241" s="524" t="str">
        <f>IFERROR(IF(F241="","",IF(AH241="Check Data ⚠","Check Data ⚠",VLOOKUP(AL241, 'G-3 Multipliers'!$P$2:$Q$6,2,FALSE))),"")</f>
        <v/>
      </c>
      <c r="AN241" s="197"/>
      <c r="AO241" s="540" t="str">
        <f>IF(AN241="","",IF(VLOOKUP(AN241,'G-3 Multipliers'!$S$3:$T$9,2,FALSE)=0,"Spatial Data Missing ⚠",VLOOKUP(AN241,'G-3 Multipliers'!$S$3:$T$9,2,FALSE)))</f>
        <v/>
      </c>
      <c r="AP241" s="513" t="str">
        <f t="shared" si="44"/>
        <v/>
      </c>
      <c r="AQ241" s="231"/>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7" t="str">
        <f>'D-1 Off Site Habitat Baseline'!AL241</f>
        <v/>
      </c>
      <c r="F242" s="520" t="str">
        <f>IF(E242="","",IF(ISNA(VLOOKUP($E242,'D-1 Off Site Habitat Baseline'!$D$1:$O$258,4,FALSE)),"",(VLOOKUP($E242,'D-1 Off Site Habitat Baseline'!$D$1:$O$258,4,FALSE))))</f>
        <v/>
      </c>
      <c r="G242" s="520" t="str">
        <f>IF(E242="","",IF(ISNA(VLOOKUP($E242,'D-1 Off Site Habitat Baseline'!$D$1:$O$258,5,FALSE)),"",(VLOOKUP($E242,'D-1 Off Site Habitat Baseline'!$D$1:$O$258,5,FALSE))))</f>
        <v/>
      </c>
      <c r="H242" s="520" t="str">
        <f>IF(E242="","",IF(ISNA(VLOOKUP($E242,'D-1 Off Site Habitat Baseline'!$D$1:$O$258,6,FALSE)),"",(VLOOKUP($E242,'D-1 Off Site Habitat Baseline'!$D$1:$O$258,6,FALSE))))</f>
        <v/>
      </c>
      <c r="I242" s="520" t="str">
        <f>IF(E242="","",IF(ISNA(VLOOKUP($E242,'D-1 Off Site Habitat Baseline'!$D$1:$O$258,7,FALSE)),"",(VLOOKUP($E242,'D-1 Off Site Habitat Baseline'!$D$1:$O$258,7,FALSE))))</f>
        <v/>
      </c>
      <c r="J242" s="520" t="str">
        <f>IF(E242="","",IF(ISNA(VLOOKUP($E242,'D-1 Off Site Habitat Baseline'!$D$1:$O$258,8,FALSE)),"",(VLOOKUP($E242,'D-1 Off Site Habitat Baseline'!$D$1:$O$258,8,FALSE))))</f>
        <v/>
      </c>
      <c r="K242" s="520" t="str">
        <f>IF(E242="","",IF(ISNA(VLOOKUP($E242,'D-1 Off Site Habitat Baseline'!$D$1:$O$258,9,FALSE)),"",(VLOOKUP($E242,'D-1 Off Site Habitat Baseline'!$D$1:$O$258,9,FALSE))))</f>
        <v/>
      </c>
      <c r="L242" s="520" t="str">
        <f>IF(E242="","",IF(ISNA(VLOOKUP($E242,'D-1 Off Site Habitat Baseline'!$D$1:$O$258,11,FALSE)),"",(VLOOKUP($E242,'D-1 Off Site Habitat Baseline'!$D$1:$O$258,11,FALSE))))</f>
        <v/>
      </c>
      <c r="M242" s="520" t="str">
        <f>IF(E242="","",IF(ISNA(VLOOKUP($E242,'D-1 Off Site Habitat Baseline'!$D$1:$O$258,12,FALSE)),"",(VLOOKUP($E242,'D-1 Off Site Habitat Baseline'!$D$1:$O$258,12,FALSE))))</f>
        <v/>
      </c>
      <c r="N242" s="520" t="str">
        <f>IF(E242="","",IF(ISNA(VLOOKUP($E242,'D-1 Off Site Habitat Baseline'!$D$1:$X$258,14,FALSE)),"",(VLOOKUP($E242,'D-1 Off Site Habitat Baseline'!$D$1:$X$258,14,FALSE))))</f>
        <v/>
      </c>
      <c r="O242" s="524" t="str">
        <f>IF(E242="","",IF(ISNA(VLOOKUP($E242,'D-1 Off Site Habitat Baseline'!$D$1:$X$258,13,FALSE)),"",(VLOOKUP($E242,'D-1 Off Site Habitat Baseline'!$D$1:$X$258,13,FALSE))))</f>
        <v/>
      </c>
      <c r="P242" s="232" t="str">
        <f>IFERROR(INDEX('G-1 All Habitats'!$AG$3:$AG$15,MATCH(Q242,'G-1 All Habitats'!$AF$3:$AF$15,0)),"")</f>
        <v/>
      </c>
      <c r="Q242" s="228" t="str">
        <f t="shared" si="45"/>
        <v/>
      </c>
      <c r="R242" s="229" t="str">
        <f t="shared" si="46"/>
        <v/>
      </c>
      <c r="S242" s="233" t="str">
        <f>IFERROR(INDEX('G-1 All Habitats'!$B$3:$B$129,MATCH(R242,'G-1 All Habitats'!$A$3:$A$129,0)),"")</f>
        <v/>
      </c>
      <c r="T242" s="507" t="str">
        <f t="shared" si="38"/>
        <v/>
      </c>
      <c r="U242" s="524" t="str">
        <f t="shared" si="39"/>
        <v/>
      </c>
      <c r="V242" s="523" t="str">
        <f t="shared" si="36"/>
        <v/>
      </c>
      <c r="W242" s="520" t="str">
        <f>IF(S242="","",VLOOKUP(S242,'G-1 All Habitats'!$B$2:$M$129,10,FALSE))</f>
        <v/>
      </c>
      <c r="X242" s="520" t="str">
        <f>IFERROR(VLOOKUP(W242,'G-1 All Habitats'!$V$3:$W$7,2,FALSE),"")</f>
        <v/>
      </c>
      <c r="Y242" s="203"/>
      <c r="Z242" s="524" t="str">
        <f>IFERROR(INDEX('G-8 Condition Look up'!$A$3:$H$130,MATCH(S242,'G-8 Condition Look up'!$A$3:$A$130,0),MATCH(Y242,'G-8 Condition Look up'!$A$3:$H$3,0)),"")</f>
        <v/>
      </c>
      <c r="AA242" s="145"/>
      <c r="AB242" s="540" t="str">
        <f>IF(AA242="","",IF(VLOOKUP(AA242,'G-3 Multipliers'!$L$3:$N$6,2,FALSE)=0,"Spatial Data Missing ⚠",VLOOKUP(AA242,'G-3 Multipliers'!$L$3:$N$6,2,FALSE)))</f>
        <v/>
      </c>
      <c r="AC242" s="524" t="str">
        <f>IF(AA242="","",IF(VLOOKUP(AA242,'G-3 Multipliers'!$L$3:$N$6,3,FALSE)=0,"Spatial Data Missing ⚠",VLOOKUP(AA242,'G-3 Multipliers'!$L$3:$N$6,3,FALSE)))</f>
        <v/>
      </c>
      <c r="AD242" s="537" t="str">
        <f t="shared" si="37"/>
        <v/>
      </c>
      <c r="AE242" s="203"/>
      <c r="AF242" s="203"/>
      <c r="AG242" s="520" t="str">
        <f t="shared" si="40"/>
        <v/>
      </c>
      <c r="AH242" s="544" t="str">
        <f t="shared" si="41"/>
        <v/>
      </c>
      <c r="AI242" s="525" t="str">
        <f>IF(AH242="Check Data ⚠","Check Data ⚠",IFERROR(VLOOKUP(AH242,'G-4 Temporal multipliers'!$A$4:$C$36,3,FALSE),""))</f>
        <v/>
      </c>
      <c r="AJ242" s="537" t="str">
        <f>IF(S242="","",VLOOKUP(S242,'G-3 Multipliers'!$A$2:$E$129,4,FALSE))</f>
        <v/>
      </c>
      <c r="AK242" s="520" t="str">
        <f t="shared" si="42"/>
        <v/>
      </c>
      <c r="AL242" s="520" t="str">
        <f t="shared" si="43"/>
        <v/>
      </c>
      <c r="AM242" s="524" t="str">
        <f>IFERROR(IF(F242="","",IF(AH242="Check Data ⚠","Check Data ⚠",VLOOKUP(AL242, 'G-3 Multipliers'!$P$2:$Q$6,2,FALSE))),"")</f>
        <v/>
      </c>
      <c r="AN242" s="197"/>
      <c r="AO242" s="540" t="str">
        <f>IF(AN242="","",IF(VLOOKUP(AN242,'G-3 Multipliers'!$S$3:$T$9,2,FALSE)=0,"Spatial Data Missing ⚠",VLOOKUP(AN242,'G-3 Multipliers'!$S$3:$T$9,2,FALSE)))</f>
        <v/>
      </c>
      <c r="AP242" s="513" t="str">
        <f t="shared" si="44"/>
        <v/>
      </c>
      <c r="AQ242" s="231"/>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7" t="str">
        <f>'D-1 Off Site Habitat Baseline'!AL242</f>
        <v/>
      </c>
      <c r="F243" s="520" t="str">
        <f>IF(E243="","",IF(ISNA(VLOOKUP($E243,'D-1 Off Site Habitat Baseline'!$D$1:$O$258,4,FALSE)),"",(VLOOKUP($E243,'D-1 Off Site Habitat Baseline'!$D$1:$O$258,4,FALSE))))</f>
        <v/>
      </c>
      <c r="G243" s="520" t="str">
        <f>IF(E243="","",IF(ISNA(VLOOKUP($E243,'D-1 Off Site Habitat Baseline'!$D$1:$O$258,5,FALSE)),"",(VLOOKUP($E243,'D-1 Off Site Habitat Baseline'!$D$1:$O$258,5,FALSE))))</f>
        <v/>
      </c>
      <c r="H243" s="520" t="str">
        <f>IF(E243="","",IF(ISNA(VLOOKUP($E243,'D-1 Off Site Habitat Baseline'!$D$1:$O$258,6,FALSE)),"",(VLOOKUP($E243,'D-1 Off Site Habitat Baseline'!$D$1:$O$258,6,FALSE))))</f>
        <v/>
      </c>
      <c r="I243" s="520" t="str">
        <f>IF(E243="","",IF(ISNA(VLOOKUP($E243,'D-1 Off Site Habitat Baseline'!$D$1:$O$258,7,FALSE)),"",(VLOOKUP($E243,'D-1 Off Site Habitat Baseline'!$D$1:$O$258,7,FALSE))))</f>
        <v/>
      </c>
      <c r="J243" s="520" t="str">
        <f>IF(E243="","",IF(ISNA(VLOOKUP($E243,'D-1 Off Site Habitat Baseline'!$D$1:$O$258,8,FALSE)),"",(VLOOKUP($E243,'D-1 Off Site Habitat Baseline'!$D$1:$O$258,8,FALSE))))</f>
        <v/>
      </c>
      <c r="K243" s="520" t="str">
        <f>IF(E243="","",IF(ISNA(VLOOKUP($E243,'D-1 Off Site Habitat Baseline'!$D$1:$O$258,9,FALSE)),"",(VLOOKUP($E243,'D-1 Off Site Habitat Baseline'!$D$1:$O$258,9,FALSE))))</f>
        <v/>
      </c>
      <c r="L243" s="520" t="str">
        <f>IF(E243="","",IF(ISNA(VLOOKUP($E243,'D-1 Off Site Habitat Baseline'!$D$1:$O$258,11,FALSE)),"",(VLOOKUP($E243,'D-1 Off Site Habitat Baseline'!$D$1:$O$258,11,FALSE))))</f>
        <v/>
      </c>
      <c r="M243" s="520" t="str">
        <f>IF(E243="","",IF(ISNA(VLOOKUP($E243,'D-1 Off Site Habitat Baseline'!$D$1:$O$258,12,FALSE)),"",(VLOOKUP($E243,'D-1 Off Site Habitat Baseline'!$D$1:$O$258,12,FALSE))))</f>
        <v/>
      </c>
      <c r="N243" s="520" t="str">
        <f>IF(E243="","",IF(ISNA(VLOOKUP($E243,'D-1 Off Site Habitat Baseline'!$D$1:$X$258,14,FALSE)),"",(VLOOKUP($E243,'D-1 Off Site Habitat Baseline'!$D$1:$X$258,14,FALSE))))</f>
        <v/>
      </c>
      <c r="O243" s="524" t="str">
        <f>IF(E243="","",IF(ISNA(VLOOKUP($E243,'D-1 Off Site Habitat Baseline'!$D$1:$X$258,13,FALSE)),"",(VLOOKUP($E243,'D-1 Off Site Habitat Baseline'!$D$1:$X$258,13,FALSE))))</f>
        <v/>
      </c>
      <c r="P243" s="232" t="str">
        <f>IFERROR(INDEX('G-1 All Habitats'!$AG$3:$AG$15,MATCH(Q243,'G-1 All Habitats'!$AF$3:$AF$15,0)),"")</f>
        <v/>
      </c>
      <c r="Q243" s="228" t="str">
        <f t="shared" si="45"/>
        <v/>
      </c>
      <c r="R243" s="229" t="str">
        <f t="shared" si="46"/>
        <v/>
      </c>
      <c r="S243" s="233" t="str">
        <f>IFERROR(INDEX('G-1 All Habitats'!$B$3:$B$129,MATCH(R243,'G-1 All Habitats'!$A$3:$A$129,0)),"")</f>
        <v/>
      </c>
      <c r="T243" s="507" t="str">
        <f t="shared" si="38"/>
        <v/>
      </c>
      <c r="U243" s="524" t="str">
        <f t="shared" si="39"/>
        <v/>
      </c>
      <c r="V243" s="523" t="str">
        <f t="shared" si="36"/>
        <v/>
      </c>
      <c r="W243" s="520" t="str">
        <f>IF(S243="","",VLOOKUP(S243,'G-1 All Habitats'!$B$2:$M$129,10,FALSE))</f>
        <v/>
      </c>
      <c r="X243" s="520" t="str">
        <f>IFERROR(VLOOKUP(W243,'G-1 All Habitats'!$V$3:$W$7,2,FALSE),"")</f>
        <v/>
      </c>
      <c r="Y243" s="203"/>
      <c r="Z243" s="524" t="str">
        <f>IFERROR(INDEX('G-8 Condition Look up'!$A$3:$H$130,MATCH(S243,'G-8 Condition Look up'!$A$3:$A$130,0),MATCH(Y243,'G-8 Condition Look up'!$A$3:$H$3,0)),"")</f>
        <v/>
      </c>
      <c r="AA243" s="145"/>
      <c r="AB243" s="540" t="str">
        <f>IF(AA243="","",IF(VLOOKUP(AA243,'G-3 Multipliers'!$L$3:$N$6,2,FALSE)=0,"Spatial Data Missing ⚠",VLOOKUP(AA243,'G-3 Multipliers'!$L$3:$N$6,2,FALSE)))</f>
        <v/>
      </c>
      <c r="AC243" s="524" t="str">
        <f>IF(AA243="","",IF(VLOOKUP(AA243,'G-3 Multipliers'!$L$3:$N$6,3,FALSE)=0,"Spatial Data Missing ⚠",VLOOKUP(AA243,'G-3 Multipliers'!$L$3:$N$6,3,FALSE)))</f>
        <v/>
      </c>
      <c r="AD243" s="537" t="str">
        <f t="shared" si="37"/>
        <v/>
      </c>
      <c r="AE243" s="203"/>
      <c r="AF243" s="203"/>
      <c r="AG243" s="520" t="str">
        <f t="shared" si="40"/>
        <v/>
      </c>
      <c r="AH243" s="544" t="str">
        <f t="shared" si="41"/>
        <v/>
      </c>
      <c r="AI243" s="525" t="str">
        <f>IF(AH243="Check Data ⚠","Check Data ⚠",IFERROR(VLOOKUP(AH243,'G-4 Temporal multipliers'!$A$4:$C$36,3,FALSE),""))</f>
        <v/>
      </c>
      <c r="AJ243" s="537" t="str">
        <f>IF(S243="","",VLOOKUP(S243,'G-3 Multipliers'!$A$2:$E$129,4,FALSE))</f>
        <v/>
      </c>
      <c r="AK243" s="520" t="str">
        <f t="shared" si="42"/>
        <v/>
      </c>
      <c r="AL243" s="520" t="str">
        <f t="shared" si="43"/>
        <v/>
      </c>
      <c r="AM243" s="524" t="str">
        <f>IFERROR(IF(F243="","",IF(AH243="Check Data ⚠","Check Data ⚠",VLOOKUP(AL243, 'G-3 Multipliers'!$P$2:$Q$6,2,FALSE))),"")</f>
        <v/>
      </c>
      <c r="AN243" s="197"/>
      <c r="AO243" s="540" t="str">
        <f>IF(AN243="","",IF(VLOOKUP(AN243,'G-3 Multipliers'!$S$3:$T$9,2,FALSE)=0,"Spatial Data Missing ⚠",VLOOKUP(AN243,'G-3 Multipliers'!$S$3:$T$9,2,FALSE)))</f>
        <v/>
      </c>
      <c r="AP243" s="513" t="str">
        <f t="shared" si="44"/>
        <v/>
      </c>
      <c r="AQ243" s="231"/>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7" t="str">
        <f>'D-1 Off Site Habitat Baseline'!AL243</f>
        <v/>
      </c>
      <c r="F244" s="520" t="str">
        <f>IF(E244="","",IF(ISNA(VLOOKUP($E244,'D-1 Off Site Habitat Baseline'!$D$1:$O$258,4,FALSE)),"",(VLOOKUP($E244,'D-1 Off Site Habitat Baseline'!$D$1:$O$258,4,FALSE))))</f>
        <v/>
      </c>
      <c r="G244" s="520" t="str">
        <f>IF(E244="","",IF(ISNA(VLOOKUP($E244,'D-1 Off Site Habitat Baseline'!$D$1:$O$258,5,FALSE)),"",(VLOOKUP($E244,'D-1 Off Site Habitat Baseline'!$D$1:$O$258,5,FALSE))))</f>
        <v/>
      </c>
      <c r="H244" s="520" t="str">
        <f>IF(E244="","",IF(ISNA(VLOOKUP($E244,'D-1 Off Site Habitat Baseline'!$D$1:$O$258,6,FALSE)),"",(VLOOKUP($E244,'D-1 Off Site Habitat Baseline'!$D$1:$O$258,6,FALSE))))</f>
        <v/>
      </c>
      <c r="I244" s="520" t="str">
        <f>IF(E244="","",IF(ISNA(VLOOKUP($E244,'D-1 Off Site Habitat Baseline'!$D$1:$O$258,7,FALSE)),"",(VLOOKUP($E244,'D-1 Off Site Habitat Baseline'!$D$1:$O$258,7,FALSE))))</f>
        <v/>
      </c>
      <c r="J244" s="520" t="str">
        <f>IF(E244="","",IF(ISNA(VLOOKUP($E244,'D-1 Off Site Habitat Baseline'!$D$1:$O$258,8,FALSE)),"",(VLOOKUP($E244,'D-1 Off Site Habitat Baseline'!$D$1:$O$258,8,FALSE))))</f>
        <v/>
      </c>
      <c r="K244" s="520" t="str">
        <f>IF(E244="","",IF(ISNA(VLOOKUP($E244,'D-1 Off Site Habitat Baseline'!$D$1:$O$258,9,FALSE)),"",(VLOOKUP($E244,'D-1 Off Site Habitat Baseline'!$D$1:$O$258,9,FALSE))))</f>
        <v/>
      </c>
      <c r="L244" s="520" t="str">
        <f>IF(E244="","",IF(ISNA(VLOOKUP($E244,'D-1 Off Site Habitat Baseline'!$D$1:$O$258,11,FALSE)),"",(VLOOKUP($E244,'D-1 Off Site Habitat Baseline'!$D$1:$O$258,11,FALSE))))</f>
        <v/>
      </c>
      <c r="M244" s="520" t="str">
        <f>IF(E244="","",IF(ISNA(VLOOKUP($E244,'D-1 Off Site Habitat Baseline'!$D$1:$O$258,12,FALSE)),"",(VLOOKUP($E244,'D-1 Off Site Habitat Baseline'!$D$1:$O$258,12,FALSE))))</f>
        <v/>
      </c>
      <c r="N244" s="520" t="str">
        <f>IF(E244="","",IF(ISNA(VLOOKUP($E244,'D-1 Off Site Habitat Baseline'!$D$1:$X$258,14,FALSE)),"",(VLOOKUP($E244,'D-1 Off Site Habitat Baseline'!$D$1:$X$258,14,FALSE))))</f>
        <v/>
      </c>
      <c r="O244" s="524" t="str">
        <f>IF(E244="","",IF(ISNA(VLOOKUP($E244,'D-1 Off Site Habitat Baseline'!$D$1:$X$258,13,FALSE)),"",(VLOOKUP($E244,'D-1 Off Site Habitat Baseline'!$D$1:$X$258,13,FALSE))))</f>
        <v/>
      </c>
      <c r="P244" s="232" t="str">
        <f>IFERROR(INDEX('G-1 All Habitats'!$AG$3:$AG$15,MATCH(Q244,'G-1 All Habitats'!$AF$3:$AF$15,0)),"")</f>
        <v/>
      </c>
      <c r="Q244" s="228" t="str">
        <f t="shared" si="45"/>
        <v/>
      </c>
      <c r="R244" s="229" t="str">
        <f t="shared" si="46"/>
        <v/>
      </c>
      <c r="S244" s="233" t="str">
        <f>IFERROR(INDEX('G-1 All Habitats'!$B$3:$B$129,MATCH(R244,'G-1 All Habitats'!$A$3:$A$129,0)),"")</f>
        <v/>
      </c>
      <c r="T244" s="507" t="str">
        <f t="shared" si="38"/>
        <v/>
      </c>
      <c r="U244" s="524" t="str">
        <f t="shared" si="39"/>
        <v/>
      </c>
      <c r="V244" s="523" t="str">
        <f t="shared" si="36"/>
        <v/>
      </c>
      <c r="W244" s="520" t="str">
        <f>IF(S244="","",VLOOKUP(S244,'G-1 All Habitats'!$B$2:$M$129,10,FALSE))</f>
        <v/>
      </c>
      <c r="X244" s="520" t="str">
        <f>IFERROR(VLOOKUP(W244,'G-1 All Habitats'!$V$3:$W$7,2,FALSE),"")</f>
        <v/>
      </c>
      <c r="Y244" s="203"/>
      <c r="Z244" s="524" t="str">
        <f>IFERROR(INDEX('G-8 Condition Look up'!$A$3:$H$130,MATCH(S244,'G-8 Condition Look up'!$A$3:$A$130,0),MATCH(Y244,'G-8 Condition Look up'!$A$3:$H$3,0)),"")</f>
        <v/>
      </c>
      <c r="AA244" s="145"/>
      <c r="AB244" s="540" t="str">
        <f>IF(AA244="","",IF(VLOOKUP(AA244,'G-3 Multipliers'!$L$3:$N$6,2,FALSE)=0,"Spatial Data Missing ⚠",VLOOKUP(AA244,'G-3 Multipliers'!$L$3:$N$6,2,FALSE)))</f>
        <v/>
      </c>
      <c r="AC244" s="524" t="str">
        <f>IF(AA244="","",IF(VLOOKUP(AA244,'G-3 Multipliers'!$L$3:$N$6,3,FALSE)=0,"Spatial Data Missing ⚠",VLOOKUP(AA244,'G-3 Multipliers'!$L$3:$N$6,3,FALSE)))</f>
        <v/>
      </c>
      <c r="AD244" s="537" t="str">
        <f t="shared" si="37"/>
        <v/>
      </c>
      <c r="AE244" s="203"/>
      <c r="AF244" s="203"/>
      <c r="AG244" s="520" t="str">
        <f t="shared" si="40"/>
        <v/>
      </c>
      <c r="AH244" s="544" t="str">
        <f t="shared" si="41"/>
        <v/>
      </c>
      <c r="AI244" s="525" t="str">
        <f>IF(AH244="Check Data ⚠","Check Data ⚠",IFERROR(VLOOKUP(AH244,'G-4 Temporal multipliers'!$A$4:$C$36,3,FALSE),""))</f>
        <v/>
      </c>
      <c r="AJ244" s="537" t="str">
        <f>IF(S244="","",VLOOKUP(S244,'G-3 Multipliers'!$A$2:$E$129,4,FALSE))</f>
        <v/>
      </c>
      <c r="AK244" s="520" t="str">
        <f t="shared" si="42"/>
        <v/>
      </c>
      <c r="AL244" s="520" t="str">
        <f t="shared" si="43"/>
        <v/>
      </c>
      <c r="AM244" s="524" t="str">
        <f>IFERROR(IF(F244="","",IF(AH244="Check Data ⚠","Check Data ⚠",VLOOKUP(AL244, 'G-3 Multipliers'!$P$2:$Q$6,2,FALSE))),"")</f>
        <v/>
      </c>
      <c r="AN244" s="197"/>
      <c r="AO244" s="540" t="str">
        <f>IF(AN244="","",IF(VLOOKUP(AN244,'G-3 Multipliers'!$S$3:$T$9,2,FALSE)=0,"Spatial Data Missing ⚠",VLOOKUP(AN244,'G-3 Multipliers'!$S$3:$T$9,2,FALSE)))</f>
        <v/>
      </c>
      <c r="AP244" s="513" t="str">
        <f t="shared" si="44"/>
        <v/>
      </c>
      <c r="AQ244" s="231"/>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7" t="str">
        <f>'D-1 Off Site Habitat Baseline'!AL244</f>
        <v/>
      </c>
      <c r="F245" s="520" t="str">
        <f>IF(E245="","",IF(ISNA(VLOOKUP($E245,'D-1 Off Site Habitat Baseline'!$D$1:$O$258,4,FALSE)),"",(VLOOKUP($E245,'D-1 Off Site Habitat Baseline'!$D$1:$O$258,4,FALSE))))</f>
        <v/>
      </c>
      <c r="G245" s="520" t="str">
        <f>IF(E245="","",IF(ISNA(VLOOKUP($E245,'D-1 Off Site Habitat Baseline'!$D$1:$O$258,5,FALSE)),"",(VLOOKUP($E245,'D-1 Off Site Habitat Baseline'!$D$1:$O$258,5,FALSE))))</f>
        <v/>
      </c>
      <c r="H245" s="520" t="str">
        <f>IF(E245="","",IF(ISNA(VLOOKUP($E245,'D-1 Off Site Habitat Baseline'!$D$1:$O$258,6,FALSE)),"",(VLOOKUP($E245,'D-1 Off Site Habitat Baseline'!$D$1:$O$258,6,FALSE))))</f>
        <v/>
      </c>
      <c r="I245" s="520" t="str">
        <f>IF(E245="","",IF(ISNA(VLOOKUP($E245,'D-1 Off Site Habitat Baseline'!$D$1:$O$258,7,FALSE)),"",(VLOOKUP($E245,'D-1 Off Site Habitat Baseline'!$D$1:$O$258,7,FALSE))))</f>
        <v/>
      </c>
      <c r="J245" s="520" t="str">
        <f>IF(E245="","",IF(ISNA(VLOOKUP($E245,'D-1 Off Site Habitat Baseline'!$D$1:$O$258,8,FALSE)),"",(VLOOKUP($E245,'D-1 Off Site Habitat Baseline'!$D$1:$O$258,8,FALSE))))</f>
        <v/>
      </c>
      <c r="K245" s="520" t="str">
        <f>IF(E245="","",IF(ISNA(VLOOKUP($E245,'D-1 Off Site Habitat Baseline'!$D$1:$O$258,9,FALSE)),"",(VLOOKUP($E245,'D-1 Off Site Habitat Baseline'!$D$1:$O$258,9,FALSE))))</f>
        <v/>
      </c>
      <c r="L245" s="520" t="str">
        <f>IF(E245="","",IF(ISNA(VLOOKUP($E245,'D-1 Off Site Habitat Baseline'!$D$1:$O$258,11,FALSE)),"",(VLOOKUP($E245,'D-1 Off Site Habitat Baseline'!$D$1:$O$258,11,FALSE))))</f>
        <v/>
      </c>
      <c r="M245" s="520" t="str">
        <f>IF(E245="","",IF(ISNA(VLOOKUP($E245,'D-1 Off Site Habitat Baseline'!$D$1:$O$258,12,FALSE)),"",(VLOOKUP($E245,'D-1 Off Site Habitat Baseline'!$D$1:$O$258,12,FALSE))))</f>
        <v/>
      </c>
      <c r="N245" s="520" t="str">
        <f>IF(E245="","",IF(ISNA(VLOOKUP($E245,'D-1 Off Site Habitat Baseline'!$D$1:$X$258,14,FALSE)),"",(VLOOKUP($E245,'D-1 Off Site Habitat Baseline'!$D$1:$X$258,14,FALSE))))</f>
        <v/>
      </c>
      <c r="O245" s="524" t="str">
        <f>IF(E245="","",IF(ISNA(VLOOKUP($E245,'D-1 Off Site Habitat Baseline'!$D$1:$X$258,13,FALSE)),"",(VLOOKUP($E245,'D-1 Off Site Habitat Baseline'!$D$1:$X$258,13,FALSE))))</f>
        <v/>
      </c>
      <c r="P245" s="232" t="str">
        <f>IFERROR(INDEX('G-1 All Habitats'!$AG$3:$AG$15,MATCH(Q245,'G-1 All Habitats'!$AF$3:$AF$15,0)),"")</f>
        <v/>
      </c>
      <c r="Q245" s="228" t="str">
        <f t="shared" si="45"/>
        <v/>
      </c>
      <c r="R245" s="229" t="str">
        <f t="shared" si="46"/>
        <v/>
      </c>
      <c r="S245" s="233" t="str">
        <f>IFERROR(INDEX('G-1 All Habitats'!$B$3:$B$129,MATCH(R245,'G-1 All Habitats'!$A$3:$A$129,0)),"")</f>
        <v/>
      </c>
      <c r="T245" s="507" t="str">
        <f t="shared" si="38"/>
        <v/>
      </c>
      <c r="U245" s="524" t="str">
        <f t="shared" si="39"/>
        <v/>
      </c>
      <c r="V245" s="523" t="str">
        <f t="shared" si="36"/>
        <v/>
      </c>
      <c r="W245" s="520" t="str">
        <f>IF(S245="","",VLOOKUP(S245,'G-1 All Habitats'!$B$2:$M$129,10,FALSE))</f>
        <v/>
      </c>
      <c r="X245" s="520" t="str">
        <f>IFERROR(VLOOKUP(W245,'G-1 All Habitats'!$V$3:$W$7,2,FALSE),"")</f>
        <v/>
      </c>
      <c r="Y245" s="203"/>
      <c r="Z245" s="524" t="str">
        <f>IFERROR(INDEX('G-8 Condition Look up'!$A$3:$H$130,MATCH(S245,'G-8 Condition Look up'!$A$3:$A$130,0),MATCH(Y245,'G-8 Condition Look up'!$A$3:$H$3,0)),"")</f>
        <v/>
      </c>
      <c r="AA245" s="145"/>
      <c r="AB245" s="540" t="str">
        <f>IF(AA245="","",IF(VLOOKUP(AA245,'G-3 Multipliers'!$L$3:$N$6,2,FALSE)=0,"Spatial Data Missing ⚠",VLOOKUP(AA245,'G-3 Multipliers'!$L$3:$N$6,2,FALSE)))</f>
        <v/>
      </c>
      <c r="AC245" s="524" t="str">
        <f>IF(AA245="","",IF(VLOOKUP(AA245,'G-3 Multipliers'!$L$3:$N$6,3,FALSE)=0,"Spatial Data Missing ⚠",VLOOKUP(AA245,'G-3 Multipliers'!$L$3:$N$6,3,FALSE)))</f>
        <v/>
      </c>
      <c r="AD245" s="537" t="str">
        <f t="shared" si="37"/>
        <v/>
      </c>
      <c r="AE245" s="203"/>
      <c r="AF245" s="203"/>
      <c r="AG245" s="520" t="str">
        <f t="shared" si="40"/>
        <v/>
      </c>
      <c r="AH245" s="544" t="str">
        <f t="shared" si="41"/>
        <v/>
      </c>
      <c r="AI245" s="525" t="str">
        <f>IF(AH245="Check Data ⚠","Check Data ⚠",IFERROR(VLOOKUP(AH245,'G-4 Temporal multipliers'!$A$4:$C$36,3,FALSE),""))</f>
        <v/>
      </c>
      <c r="AJ245" s="537" t="str">
        <f>IF(S245="","",VLOOKUP(S245,'G-3 Multipliers'!$A$2:$E$129,4,FALSE))</f>
        <v/>
      </c>
      <c r="AK245" s="520" t="str">
        <f t="shared" si="42"/>
        <v/>
      </c>
      <c r="AL245" s="520" t="str">
        <f t="shared" si="43"/>
        <v/>
      </c>
      <c r="AM245" s="524" t="str">
        <f>IFERROR(IF(F245="","",IF(AH245="Check Data ⚠","Check Data ⚠",VLOOKUP(AL245, 'G-3 Multipliers'!$P$2:$Q$6,2,FALSE))),"")</f>
        <v/>
      </c>
      <c r="AN245" s="197"/>
      <c r="AO245" s="540" t="str">
        <f>IF(AN245="","",IF(VLOOKUP(AN245,'G-3 Multipliers'!$S$3:$T$9,2,FALSE)=0,"Spatial Data Missing ⚠",VLOOKUP(AN245,'G-3 Multipliers'!$S$3:$T$9,2,FALSE)))</f>
        <v/>
      </c>
      <c r="AP245" s="513" t="str">
        <f t="shared" si="44"/>
        <v/>
      </c>
      <c r="AQ245" s="231"/>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7" t="str">
        <f>'D-1 Off Site Habitat Baseline'!AL245</f>
        <v/>
      </c>
      <c r="F246" s="520" t="str">
        <f>IF(E246="","",IF(ISNA(VLOOKUP($E246,'D-1 Off Site Habitat Baseline'!$D$1:$O$258,4,FALSE)),"",(VLOOKUP($E246,'D-1 Off Site Habitat Baseline'!$D$1:$O$258,4,FALSE))))</f>
        <v/>
      </c>
      <c r="G246" s="520" t="str">
        <f>IF(E246="","",IF(ISNA(VLOOKUP($E246,'D-1 Off Site Habitat Baseline'!$D$1:$O$258,5,FALSE)),"",(VLOOKUP($E246,'D-1 Off Site Habitat Baseline'!$D$1:$O$258,5,FALSE))))</f>
        <v/>
      </c>
      <c r="H246" s="520" t="str">
        <f>IF(E246="","",IF(ISNA(VLOOKUP($E246,'D-1 Off Site Habitat Baseline'!$D$1:$O$258,6,FALSE)),"",(VLOOKUP($E246,'D-1 Off Site Habitat Baseline'!$D$1:$O$258,6,FALSE))))</f>
        <v/>
      </c>
      <c r="I246" s="520" t="str">
        <f>IF(E246="","",IF(ISNA(VLOOKUP($E246,'D-1 Off Site Habitat Baseline'!$D$1:$O$258,7,FALSE)),"",(VLOOKUP($E246,'D-1 Off Site Habitat Baseline'!$D$1:$O$258,7,FALSE))))</f>
        <v/>
      </c>
      <c r="J246" s="520" t="str">
        <f>IF(E246="","",IF(ISNA(VLOOKUP($E246,'D-1 Off Site Habitat Baseline'!$D$1:$O$258,8,FALSE)),"",(VLOOKUP($E246,'D-1 Off Site Habitat Baseline'!$D$1:$O$258,8,FALSE))))</f>
        <v/>
      </c>
      <c r="K246" s="520" t="str">
        <f>IF(E246="","",IF(ISNA(VLOOKUP($E246,'D-1 Off Site Habitat Baseline'!$D$1:$O$258,9,FALSE)),"",(VLOOKUP($E246,'D-1 Off Site Habitat Baseline'!$D$1:$O$258,9,FALSE))))</f>
        <v/>
      </c>
      <c r="L246" s="520" t="str">
        <f>IF(E246="","",IF(ISNA(VLOOKUP($E246,'D-1 Off Site Habitat Baseline'!$D$1:$O$258,11,FALSE)),"",(VLOOKUP($E246,'D-1 Off Site Habitat Baseline'!$D$1:$O$258,11,FALSE))))</f>
        <v/>
      </c>
      <c r="M246" s="520" t="str">
        <f>IF(E246="","",IF(ISNA(VLOOKUP($E246,'D-1 Off Site Habitat Baseline'!$D$1:$O$258,12,FALSE)),"",(VLOOKUP($E246,'D-1 Off Site Habitat Baseline'!$D$1:$O$258,12,FALSE))))</f>
        <v/>
      </c>
      <c r="N246" s="520" t="str">
        <f>IF(E246="","",IF(ISNA(VLOOKUP($E246,'D-1 Off Site Habitat Baseline'!$D$1:$X$258,14,FALSE)),"",(VLOOKUP($E246,'D-1 Off Site Habitat Baseline'!$D$1:$X$258,14,FALSE))))</f>
        <v/>
      </c>
      <c r="O246" s="524" t="str">
        <f>IF(E246="","",IF(ISNA(VLOOKUP($E246,'D-1 Off Site Habitat Baseline'!$D$1:$X$258,13,FALSE)),"",(VLOOKUP($E246,'D-1 Off Site Habitat Baseline'!$D$1:$X$258,13,FALSE))))</f>
        <v/>
      </c>
      <c r="P246" s="232" t="str">
        <f>IFERROR(INDEX('G-1 All Habitats'!$AG$3:$AG$15,MATCH(Q246,'G-1 All Habitats'!$AF$3:$AF$15,0)),"")</f>
        <v/>
      </c>
      <c r="Q246" s="228" t="str">
        <f t="shared" si="45"/>
        <v/>
      </c>
      <c r="R246" s="229" t="str">
        <f t="shared" si="46"/>
        <v/>
      </c>
      <c r="S246" s="233" t="str">
        <f>IFERROR(INDEX('G-1 All Habitats'!$B$3:$B$129,MATCH(R246,'G-1 All Habitats'!$A$3:$A$129,0)),"")</f>
        <v/>
      </c>
      <c r="T246" s="507" t="str">
        <f t="shared" si="38"/>
        <v/>
      </c>
      <c r="U246" s="524" t="str">
        <f t="shared" si="39"/>
        <v/>
      </c>
      <c r="V246" s="523" t="str">
        <f t="shared" si="36"/>
        <v/>
      </c>
      <c r="W246" s="520" t="str">
        <f>IF(S246="","",VLOOKUP(S246,'G-1 All Habitats'!$B$2:$M$129,10,FALSE))</f>
        <v/>
      </c>
      <c r="X246" s="520" t="str">
        <f>IFERROR(VLOOKUP(W246,'G-1 All Habitats'!$V$3:$W$7,2,FALSE),"")</f>
        <v/>
      </c>
      <c r="Y246" s="203"/>
      <c r="Z246" s="524" t="str">
        <f>IFERROR(INDEX('G-8 Condition Look up'!$A$3:$H$130,MATCH(S246,'G-8 Condition Look up'!$A$3:$A$130,0),MATCH(Y246,'G-8 Condition Look up'!$A$3:$H$3,0)),"")</f>
        <v/>
      </c>
      <c r="AA246" s="145"/>
      <c r="AB246" s="540" t="str">
        <f>IF(AA246="","",IF(VLOOKUP(AA246,'G-3 Multipliers'!$L$3:$N$6,2,FALSE)=0,"Spatial Data Missing ⚠",VLOOKUP(AA246,'G-3 Multipliers'!$L$3:$N$6,2,FALSE)))</f>
        <v/>
      </c>
      <c r="AC246" s="524" t="str">
        <f>IF(AA246="","",IF(VLOOKUP(AA246,'G-3 Multipliers'!$L$3:$N$6,3,FALSE)=0,"Spatial Data Missing ⚠",VLOOKUP(AA246,'G-3 Multipliers'!$L$3:$N$6,3,FALSE)))</f>
        <v/>
      </c>
      <c r="AD246" s="537" t="str">
        <f t="shared" si="37"/>
        <v/>
      </c>
      <c r="AE246" s="203"/>
      <c r="AF246" s="203"/>
      <c r="AG246" s="520" t="str">
        <f t="shared" si="40"/>
        <v/>
      </c>
      <c r="AH246" s="544" t="str">
        <f t="shared" si="41"/>
        <v/>
      </c>
      <c r="AI246" s="525" t="str">
        <f>IF(AH246="Check Data ⚠","Check Data ⚠",IFERROR(VLOOKUP(AH246,'G-4 Temporal multipliers'!$A$4:$C$36,3,FALSE),""))</f>
        <v/>
      </c>
      <c r="AJ246" s="537" t="str">
        <f>IF(S246="","",VLOOKUP(S246,'G-3 Multipliers'!$A$2:$E$129,4,FALSE))</f>
        <v/>
      </c>
      <c r="AK246" s="520" t="str">
        <f t="shared" si="42"/>
        <v/>
      </c>
      <c r="AL246" s="520" t="str">
        <f t="shared" si="43"/>
        <v/>
      </c>
      <c r="AM246" s="524" t="str">
        <f>IFERROR(IF(F246="","",IF(AH246="Check Data ⚠","Check Data ⚠",VLOOKUP(AL246, 'G-3 Multipliers'!$P$2:$Q$6,2,FALSE))),"")</f>
        <v/>
      </c>
      <c r="AN246" s="197"/>
      <c r="AO246" s="540" t="str">
        <f>IF(AN246="","",IF(VLOOKUP(AN246,'G-3 Multipliers'!$S$3:$T$9,2,FALSE)=0,"Spatial Data Missing ⚠",VLOOKUP(AN246,'G-3 Multipliers'!$S$3:$T$9,2,FALSE)))</f>
        <v/>
      </c>
      <c r="AP246" s="513" t="str">
        <f t="shared" si="44"/>
        <v/>
      </c>
      <c r="AQ246" s="231"/>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7" t="str">
        <f>'D-1 Off Site Habitat Baseline'!AL246</f>
        <v/>
      </c>
      <c r="F247" s="520" t="str">
        <f>IF(E247="","",IF(ISNA(VLOOKUP($E247,'D-1 Off Site Habitat Baseline'!$D$1:$O$258,4,FALSE)),"",(VLOOKUP($E247,'D-1 Off Site Habitat Baseline'!$D$1:$O$258,4,FALSE))))</f>
        <v/>
      </c>
      <c r="G247" s="520" t="str">
        <f>IF(E247="","",IF(ISNA(VLOOKUP($E247,'D-1 Off Site Habitat Baseline'!$D$1:$O$258,5,FALSE)),"",(VLOOKUP($E247,'D-1 Off Site Habitat Baseline'!$D$1:$O$258,5,FALSE))))</f>
        <v/>
      </c>
      <c r="H247" s="520" t="str">
        <f>IF(E247="","",IF(ISNA(VLOOKUP($E247,'D-1 Off Site Habitat Baseline'!$D$1:$O$258,6,FALSE)),"",(VLOOKUP($E247,'D-1 Off Site Habitat Baseline'!$D$1:$O$258,6,FALSE))))</f>
        <v/>
      </c>
      <c r="I247" s="520" t="str">
        <f>IF(E247="","",IF(ISNA(VLOOKUP($E247,'D-1 Off Site Habitat Baseline'!$D$1:$O$258,7,FALSE)),"",(VLOOKUP($E247,'D-1 Off Site Habitat Baseline'!$D$1:$O$258,7,FALSE))))</f>
        <v/>
      </c>
      <c r="J247" s="520" t="str">
        <f>IF(E247="","",IF(ISNA(VLOOKUP($E247,'D-1 Off Site Habitat Baseline'!$D$1:$O$258,8,FALSE)),"",(VLOOKUP($E247,'D-1 Off Site Habitat Baseline'!$D$1:$O$258,8,FALSE))))</f>
        <v/>
      </c>
      <c r="K247" s="520" t="str">
        <f>IF(E247="","",IF(ISNA(VLOOKUP($E247,'D-1 Off Site Habitat Baseline'!$D$1:$O$258,9,FALSE)),"",(VLOOKUP($E247,'D-1 Off Site Habitat Baseline'!$D$1:$O$258,9,FALSE))))</f>
        <v/>
      </c>
      <c r="L247" s="520" t="str">
        <f>IF(E247="","",IF(ISNA(VLOOKUP($E247,'D-1 Off Site Habitat Baseline'!$D$1:$O$258,11,FALSE)),"",(VLOOKUP($E247,'D-1 Off Site Habitat Baseline'!$D$1:$O$258,11,FALSE))))</f>
        <v/>
      </c>
      <c r="M247" s="520" t="str">
        <f>IF(E247="","",IF(ISNA(VLOOKUP($E247,'D-1 Off Site Habitat Baseline'!$D$1:$O$258,12,FALSE)),"",(VLOOKUP($E247,'D-1 Off Site Habitat Baseline'!$D$1:$O$258,12,FALSE))))</f>
        <v/>
      </c>
      <c r="N247" s="520" t="str">
        <f>IF(E247="","",IF(ISNA(VLOOKUP($E247,'D-1 Off Site Habitat Baseline'!$D$1:$X$258,14,FALSE)),"",(VLOOKUP($E247,'D-1 Off Site Habitat Baseline'!$D$1:$X$258,14,FALSE))))</f>
        <v/>
      </c>
      <c r="O247" s="524" t="str">
        <f>IF(E247="","",IF(ISNA(VLOOKUP($E247,'D-1 Off Site Habitat Baseline'!$D$1:$X$258,13,FALSE)),"",(VLOOKUP($E247,'D-1 Off Site Habitat Baseline'!$D$1:$X$258,13,FALSE))))</f>
        <v/>
      </c>
      <c r="P247" s="232" t="str">
        <f>IFERROR(INDEX('G-1 All Habitats'!$AG$3:$AG$15,MATCH(Q247,'G-1 All Habitats'!$AF$3:$AF$15,0)),"")</f>
        <v/>
      </c>
      <c r="Q247" s="228" t="str">
        <f t="shared" si="45"/>
        <v/>
      </c>
      <c r="R247" s="229" t="str">
        <f t="shared" si="46"/>
        <v/>
      </c>
      <c r="S247" s="233" t="str">
        <f>IFERROR(INDEX('G-1 All Habitats'!$B$3:$B$129,MATCH(R247,'G-1 All Habitats'!$A$3:$A$129,0)),"")</f>
        <v/>
      </c>
      <c r="T247" s="507" t="str">
        <f t="shared" si="38"/>
        <v/>
      </c>
      <c r="U247" s="524" t="str">
        <f t="shared" si="39"/>
        <v/>
      </c>
      <c r="V247" s="523" t="str">
        <f t="shared" si="36"/>
        <v/>
      </c>
      <c r="W247" s="520" t="str">
        <f>IF(S247="","",VLOOKUP(S247,'G-1 All Habitats'!$B$2:$M$129,10,FALSE))</f>
        <v/>
      </c>
      <c r="X247" s="520" t="str">
        <f>IFERROR(VLOOKUP(W247,'G-1 All Habitats'!$V$3:$W$7,2,FALSE),"")</f>
        <v/>
      </c>
      <c r="Y247" s="203"/>
      <c r="Z247" s="524" t="str">
        <f>IFERROR(INDEX('G-8 Condition Look up'!$A$3:$H$130,MATCH(S247,'G-8 Condition Look up'!$A$3:$A$130,0),MATCH(Y247,'G-8 Condition Look up'!$A$3:$H$3,0)),"")</f>
        <v/>
      </c>
      <c r="AA247" s="145"/>
      <c r="AB247" s="540" t="str">
        <f>IF(AA247="","",IF(VLOOKUP(AA247,'G-3 Multipliers'!$L$3:$N$6,2,FALSE)=0,"Spatial Data Missing ⚠",VLOOKUP(AA247,'G-3 Multipliers'!$L$3:$N$6,2,FALSE)))</f>
        <v/>
      </c>
      <c r="AC247" s="524" t="str">
        <f>IF(AA247="","",IF(VLOOKUP(AA247,'G-3 Multipliers'!$L$3:$N$6,3,FALSE)=0,"Spatial Data Missing ⚠",VLOOKUP(AA247,'G-3 Multipliers'!$L$3:$N$6,3,FALSE)))</f>
        <v/>
      </c>
      <c r="AD247" s="537" t="str">
        <f t="shared" si="37"/>
        <v/>
      </c>
      <c r="AE247" s="203"/>
      <c r="AF247" s="203"/>
      <c r="AG247" s="520" t="str">
        <f t="shared" si="40"/>
        <v/>
      </c>
      <c r="AH247" s="544" t="str">
        <f t="shared" si="41"/>
        <v/>
      </c>
      <c r="AI247" s="525" t="str">
        <f>IF(AH247="Check Data ⚠","Check Data ⚠",IFERROR(VLOOKUP(AH247,'G-4 Temporal multipliers'!$A$4:$C$36,3,FALSE),""))</f>
        <v/>
      </c>
      <c r="AJ247" s="537" t="str">
        <f>IF(S247="","",VLOOKUP(S247,'G-3 Multipliers'!$A$2:$E$129,4,FALSE))</f>
        <v/>
      </c>
      <c r="AK247" s="520" t="str">
        <f t="shared" si="42"/>
        <v/>
      </c>
      <c r="AL247" s="520" t="str">
        <f t="shared" si="43"/>
        <v/>
      </c>
      <c r="AM247" s="524" t="str">
        <f>IFERROR(IF(F247="","",IF(AH247="Check Data ⚠","Check Data ⚠",VLOOKUP(AL247, 'G-3 Multipliers'!$P$2:$Q$6,2,FALSE))),"")</f>
        <v/>
      </c>
      <c r="AN247" s="197"/>
      <c r="AO247" s="540" t="str">
        <f>IF(AN247="","",IF(VLOOKUP(AN247,'G-3 Multipliers'!$S$3:$T$9,2,FALSE)=0,"Spatial Data Missing ⚠",VLOOKUP(AN247,'G-3 Multipliers'!$S$3:$T$9,2,FALSE)))</f>
        <v/>
      </c>
      <c r="AP247" s="513" t="str">
        <f t="shared" si="44"/>
        <v/>
      </c>
      <c r="AQ247" s="231"/>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7" t="str">
        <f>'D-1 Off Site Habitat Baseline'!AL247</f>
        <v/>
      </c>
      <c r="F248" s="520" t="str">
        <f>IF(E248="","",IF(ISNA(VLOOKUP($E248,'D-1 Off Site Habitat Baseline'!$D$1:$O$258,4,FALSE)),"",(VLOOKUP($E248,'D-1 Off Site Habitat Baseline'!$D$1:$O$258,4,FALSE))))</f>
        <v/>
      </c>
      <c r="G248" s="520" t="str">
        <f>IF(E248="","",IF(ISNA(VLOOKUP($E248,'D-1 Off Site Habitat Baseline'!$D$1:$O$258,5,FALSE)),"",(VLOOKUP($E248,'D-1 Off Site Habitat Baseline'!$D$1:$O$258,5,FALSE))))</f>
        <v/>
      </c>
      <c r="H248" s="520" t="str">
        <f>IF(E248="","",IF(ISNA(VLOOKUP($E248,'D-1 Off Site Habitat Baseline'!$D$1:$O$258,6,FALSE)),"",(VLOOKUP($E248,'D-1 Off Site Habitat Baseline'!$D$1:$O$258,6,FALSE))))</f>
        <v/>
      </c>
      <c r="I248" s="520" t="str">
        <f>IF(E248="","",IF(ISNA(VLOOKUP($E248,'D-1 Off Site Habitat Baseline'!$D$1:$O$258,7,FALSE)),"",(VLOOKUP($E248,'D-1 Off Site Habitat Baseline'!$D$1:$O$258,7,FALSE))))</f>
        <v/>
      </c>
      <c r="J248" s="520" t="str">
        <f>IF(E248="","",IF(ISNA(VLOOKUP($E248,'D-1 Off Site Habitat Baseline'!$D$1:$O$258,8,FALSE)),"",(VLOOKUP($E248,'D-1 Off Site Habitat Baseline'!$D$1:$O$258,8,FALSE))))</f>
        <v/>
      </c>
      <c r="K248" s="520" t="str">
        <f>IF(E248="","",IF(ISNA(VLOOKUP($E248,'D-1 Off Site Habitat Baseline'!$D$1:$O$258,9,FALSE)),"",(VLOOKUP($E248,'D-1 Off Site Habitat Baseline'!$D$1:$O$258,9,FALSE))))</f>
        <v/>
      </c>
      <c r="L248" s="520" t="str">
        <f>IF(E248="","",IF(ISNA(VLOOKUP($E248,'D-1 Off Site Habitat Baseline'!$D$1:$O$258,11,FALSE)),"",(VLOOKUP($E248,'D-1 Off Site Habitat Baseline'!$D$1:$O$258,11,FALSE))))</f>
        <v/>
      </c>
      <c r="M248" s="520" t="str">
        <f>IF(E248="","",IF(ISNA(VLOOKUP($E248,'D-1 Off Site Habitat Baseline'!$D$1:$O$258,12,FALSE)),"",(VLOOKUP($E248,'D-1 Off Site Habitat Baseline'!$D$1:$O$258,12,FALSE))))</f>
        <v/>
      </c>
      <c r="N248" s="520" t="str">
        <f>IF(E248="","",IF(ISNA(VLOOKUP($E248,'D-1 Off Site Habitat Baseline'!$D$1:$X$258,14,FALSE)),"",(VLOOKUP($E248,'D-1 Off Site Habitat Baseline'!$D$1:$X$258,14,FALSE))))</f>
        <v/>
      </c>
      <c r="O248" s="524" t="str">
        <f>IF(E248="","",IF(ISNA(VLOOKUP($E248,'D-1 Off Site Habitat Baseline'!$D$1:$X$258,13,FALSE)),"",(VLOOKUP($E248,'D-1 Off Site Habitat Baseline'!$D$1:$X$258,13,FALSE))))</f>
        <v/>
      </c>
      <c r="P248" s="232" t="str">
        <f>IFERROR(INDEX('G-1 All Habitats'!$AG$3:$AG$15,MATCH(Q248,'G-1 All Habitats'!$AF$3:$AF$15,0)),"")</f>
        <v/>
      </c>
      <c r="Q248" s="228" t="str">
        <f t="shared" si="45"/>
        <v/>
      </c>
      <c r="R248" s="229" t="str">
        <f t="shared" si="46"/>
        <v/>
      </c>
      <c r="S248" s="233" t="str">
        <f>IFERROR(INDEX('G-1 All Habitats'!$B$3:$B$129,MATCH(R248,'G-1 All Habitats'!$A$3:$A$129,0)),"")</f>
        <v/>
      </c>
      <c r="T248" s="507" t="str">
        <f t="shared" si="38"/>
        <v/>
      </c>
      <c r="U248" s="524" t="str">
        <f t="shared" si="39"/>
        <v/>
      </c>
      <c r="V248" s="523" t="str">
        <f t="shared" si="36"/>
        <v/>
      </c>
      <c r="W248" s="520" t="str">
        <f>IF(S248="","",VLOOKUP(S248,'G-1 All Habitats'!$B$2:$M$129,10,FALSE))</f>
        <v/>
      </c>
      <c r="X248" s="520" t="str">
        <f>IFERROR(VLOOKUP(W248,'G-1 All Habitats'!$V$3:$W$7,2,FALSE),"")</f>
        <v/>
      </c>
      <c r="Y248" s="203"/>
      <c r="Z248" s="524" t="str">
        <f>IFERROR(INDEX('G-8 Condition Look up'!$A$3:$H$130,MATCH(S248,'G-8 Condition Look up'!$A$3:$A$130,0),MATCH(Y248,'G-8 Condition Look up'!$A$3:$H$3,0)),"")</f>
        <v/>
      </c>
      <c r="AA248" s="145"/>
      <c r="AB248" s="540" t="str">
        <f>IF(AA248="","",IF(VLOOKUP(AA248,'G-3 Multipliers'!$L$3:$N$6,2,FALSE)=0,"Spatial Data Missing ⚠",VLOOKUP(AA248,'G-3 Multipliers'!$L$3:$N$6,2,FALSE)))</f>
        <v/>
      </c>
      <c r="AC248" s="524" t="str">
        <f>IF(AA248="","",IF(VLOOKUP(AA248,'G-3 Multipliers'!$L$3:$N$6,3,FALSE)=0,"Spatial Data Missing ⚠",VLOOKUP(AA248,'G-3 Multipliers'!$L$3:$N$6,3,FALSE)))</f>
        <v/>
      </c>
      <c r="AD248" s="537" t="str">
        <f t="shared" si="37"/>
        <v/>
      </c>
      <c r="AE248" s="203"/>
      <c r="AF248" s="203"/>
      <c r="AG248" s="520" t="str">
        <f t="shared" si="40"/>
        <v/>
      </c>
      <c r="AH248" s="544" t="str">
        <f t="shared" si="41"/>
        <v/>
      </c>
      <c r="AI248" s="525" t="str">
        <f>IF(AH248="Check Data ⚠","Check Data ⚠",IFERROR(VLOOKUP(AH248,'G-4 Temporal multipliers'!$A$4:$C$36,3,FALSE),""))</f>
        <v/>
      </c>
      <c r="AJ248" s="537" t="str">
        <f>IF(S248="","",VLOOKUP(S248,'G-3 Multipliers'!$A$2:$E$129,4,FALSE))</f>
        <v/>
      </c>
      <c r="AK248" s="520" t="str">
        <f t="shared" si="42"/>
        <v/>
      </c>
      <c r="AL248" s="520" t="str">
        <f t="shared" si="43"/>
        <v/>
      </c>
      <c r="AM248" s="524" t="str">
        <f>IFERROR(IF(F248="","",IF(AH248="Check Data ⚠","Check Data ⚠",VLOOKUP(AL248, 'G-3 Multipliers'!$P$2:$Q$6,2,FALSE))),"")</f>
        <v/>
      </c>
      <c r="AN248" s="197"/>
      <c r="AO248" s="540" t="str">
        <f>IF(AN248="","",IF(VLOOKUP(AN248,'G-3 Multipliers'!$S$3:$T$9,2,FALSE)=0,"Spatial Data Missing ⚠",VLOOKUP(AN248,'G-3 Multipliers'!$S$3:$T$9,2,FALSE)))</f>
        <v/>
      </c>
      <c r="AP248" s="513" t="str">
        <f t="shared" si="44"/>
        <v/>
      </c>
      <c r="AQ248" s="231"/>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7" t="str">
        <f>'D-1 Off Site Habitat Baseline'!AL248</f>
        <v/>
      </c>
      <c r="F249" s="520" t="str">
        <f>IF(E249="","",IF(ISNA(VLOOKUP($E249,'D-1 Off Site Habitat Baseline'!$D$1:$O$258,4,FALSE)),"",(VLOOKUP($E249,'D-1 Off Site Habitat Baseline'!$D$1:$O$258,4,FALSE))))</f>
        <v/>
      </c>
      <c r="G249" s="520" t="str">
        <f>IF(E249="","",IF(ISNA(VLOOKUP($E249,'D-1 Off Site Habitat Baseline'!$D$1:$O$258,5,FALSE)),"",(VLOOKUP($E249,'D-1 Off Site Habitat Baseline'!$D$1:$O$258,5,FALSE))))</f>
        <v/>
      </c>
      <c r="H249" s="520" t="str">
        <f>IF(E249="","",IF(ISNA(VLOOKUP($E249,'D-1 Off Site Habitat Baseline'!$D$1:$O$258,6,FALSE)),"",(VLOOKUP($E249,'D-1 Off Site Habitat Baseline'!$D$1:$O$258,6,FALSE))))</f>
        <v/>
      </c>
      <c r="I249" s="520" t="str">
        <f>IF(E249="","",IF(ISNA(VLOOKUP($E249,'D-1 Off Site Habitat Baseline'!$D$1:$O$258,7,FALSE)),"",(VLOOKUP($E249,'D-1 Off Site Habitat Baseline'!$D$1:$O$258,7,FALSE))))</f>
        <v/>
      </c>
      <c r="J249" s="520" t="str">
        <f>IF(E249="","",IF(ISNA(VLOOKUP($E249,'D-1 Off Site Habitat Baseline'!$D$1:$O$258,8,FALSE)),"",(VLOOKUP($E249,'D-1 Off Site Habitat Baseline'!$D$1:$O$258,8,FALSE))))</f>
        <v/>
      </c>
      <c r="K249" s="520" t="str">
        <f>IF(E249="","",IF(ISNA(VLOOKUP($E249,'D-1 Off Site Habitat Baseline'!$D$1:$O$258,9,FALSE)),"",(VLOOKUP($E249,'D-1 Off Site Habitat Baseline'!$D$1:$O$258,9,FALSE))))</f>
        <v/>
      </c>
      <c r="L249" s="520" t="str">
        <f>IF(E249="","",IF(ISNA(VLOOKUP($E249,'D-1 Off Site Habitat Baseline'!$D$1:$O$258,11,FALSE)),"",(VLOOKUP($E249,'D-1 Off Site Habitat Baseline'!$D$1:$O$258,11,FALSE))))</f>
        <v/>
      </c>
      <c r="M249" s="520" t="str">
        <f>IF(E249="","",IF(ISNA(VLOOKUP($E249,'D-1 Off Site Habitat Baseline'!$D$1:$O$258,12,FALSE)),"",(VLOOKUP($E249,'D-1 Off Site Habitat Baseline'!$D$1:$O$258,12,FALSE))))</f>
        <v/>
      </c>
      <c r="N249" s="520" t="str">
        <f>IF(E249="","",IF(ISNA(VLOOKUP($E249,'D-1 Off Site Habitat Baseline'!$D$1:$X$258,14,FALSE)),"",(VLOOKUP($E249,'D-1 Off Site Habitat Baseline'!$D$1:$X$258,14,FALSE))))</f>
        <v/>
      </c>
      <c r="O249" s="524" t="str">
        <f>IF(E249="","",IF(ISNA(VLOOKUP($E249,'D-1 Off Site Habitat Baseline'!$D$1:$X$258,13,FALSE)),"",(VLOOKUP($E249,'D-1 Off Site Habitat Baseline'!$D$1:$X$258,13,FALSE))))</f>
        <v/>
      </c>
      <c r="P249" s="232" t="str">
        <f>IFERROR(INDEX('G-1 All Habitats'!$AG$3:$AG$15,MATCH(Q249,'G-1 All Habitats'!$AF$3:$AF$15,0)),"")</f>
        <v/>
      </c>
      <c r="Q249" s="228" t="str">
        <f t="shared" si="45"/>
        <v/>
      </c>
      <c r="R249" s="229" t="str">
        <f t="shared" si="46"/>
        <v/>
      </c>
      <c r="S249" s="233" t="str">
        <f>IFERROR(INDEX('G-1 All Habitats'!$B$3:$B$129,MATCH(R249,'G-1 All Habitats'!$A$3:$A$129,0)),"")</f>
        <v/>
      </c>
      <c r="T249" s="507" t="str">
        <f t="shared" si="38"/>
        <v/>
      </c>
      <c r="U249" s="524" t="str">
        <f t="shared" si="39"/>
        <v/>
      </c>
      <c r="V249" s="523" t="str">
        <f t="shared" si="36"/>
        <v/>
      </c>
      <c r="W249" s="520" t="str">
        <f>IF(S249="","",VLOOKUP(S249,'G-1 All Habitats'!$B$2:$M$129,10,FALSE))</f>
        <v/>
      </c>
      <c r="X249" s="520" t="str">
        <f>IFERROR(VLOOKUP(W249,'G-1 All Habitats'!$V$3:$W$7,2,FALSE),"")</f>
        <v/>
      </c>
      <c r="Y249" s="203"/>
      <c r="Z249" s="524" t="str">
        <f>IFERROR(INDEX('G-8 Condition Look up'!$A$3:$H$130,MATCH(S249,'G-8 Condition Look up'!$A$3:$A$130,0),MATCH(Y249,'G-8 Condition Look up'!$A$3:$H$3,0)),"")</f>
        <v/>
      </c>
      <c r="AA249" s="145"/>
      <c r="AB249" s="540" t="str">
        <f>IF(AA249="","",IF(VLOOKUP(AA249,'G-3 Multipliers'!$L$3:$N$6,2,FALSE)=0,"Spatial Data Missing ⚠",VLOOKUP(AA249,'G-3 Multipliers'!$L$3:$N$6,2,FALSE)))</f>
        <v/>
      </c>
      <c r="AC249" s="524" t="str">
        <f>IF(AA249="","",IF(VLOOKUP(AA249,'G-3 Multipliers'!$L$3:$N$6,3,FALSE)=0,"Spatial Data Missing ⚠",VLOOKUP(AA249,'G-3 Multipliers'!$L$3:$N$6,3,FALSE)))</f>
        <v/>
      </c>
      <c r="AD249" s="537" t="str">
        <f t="shared" si="37"/>
        <v/>
      </c>
      <c r="AE249" s="203"/>
      <c r="AF249" s="203"/>
      <c r="AG249" s="520" t="str">
        <f t="shared" si="40"/>
        <v/>
      </c>
      <c r="AH249" s="544" t="str">
        <f t="shared" si="41"/>
        <v/>
      </c>
      <c r="AI249" s="525" t="str">
        <f>IF(AH249="Check Data ⚠","Check Data ⚠",IFERROR(VLOOKUP(AH249,'G-4 Temporal multipliers'!$A$4:$C$36,3,FALSE),""))</f>
        <v/>
      </c>
      <c r="AJ249" s="537" t="str">
        <f>IF(S249="","",VLOOKUP(S249,'G-3 Multipliers'!$A$2:$E$129,4,FALSE))</f>
        <v/>
      </c>
      <c r="AK249" s="520" t="str">
        <f t="shared" si="42"/>
        <v/>
      </c>
      <c r="AL249" s="520" t="str">
        <f t="shared" si="43"/>
        <v/>
      </c>
      <c r="AM249" s="524" t="str">
        <f>IFERROR(IF(F249="","",IF(AH249="Check Data ⚠","Check Data ⚠",VLOOKUP(AL249, 'G-3 Multipliers'!$P$2:$Q$6,2,FALSE))),"")</f>
        <v/>
      </c>
      <c r="AN249" s="197"/>
      <c r="AO249" s="540" t="str">
        <f>IF(AN249="","",IF(VLOOKUP(AN249,'G-3 Multipliers'!$S$3:$T$9,2,FALSE)=0,"Spatial Data Missing ⚠",VLOOKUP(AN249,'G-3 Multipliers'!$S$3:$T$9,2,FALSE)))</f>
        <v/>
      </c>
      <c r="AP249" s="513" t="str">
        <f t="shared" si="44"/>
        <v/>
      </c>
      <c r="AQ249" s="231"/>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7" t="str">
        <f>'D-1 Off Site Habitat Baseline'!AL249</f>
        <v/>
      </c>
      <c r="F250" s="520" t="str">
        <f>IF(E250="","",IF(ISNA(VLOOKUP($E250,'D-1 Off Site Habitat Baseline'!$D$1:$O$258,4,FALSE)),"",(VLOOKUP($E250,'D-1 Off Site Habitat Baseline'!$D$1:$O$258,4,FALSE))))</f>
        <v/>
      </c>
      <c r="G250" s="520" t="str">
        <f>IF(E250="","",IF(ISNA(VLOOKUP($E250,'D-1 Off Site Habitat Baseline'!$D$1:$O$258,5,FALSE)),"",(VLOOKUP($E250,'D-1 Off Site Habitat Baseline'!$D$1:$O$258,5,FALSE))))</f>
        <v/>
      </c>
      <c r="H250" s="520" t="str">
        <f>IF(E250="","",IF(ISNA(VLOOKUP($E250,'D-1 Off Site Habitat Baseline'!$D$1:$O$258,6,FALSE)),"",(VLOOKUP($E250,'D-1 Off Site Habitat Baseline'!$D$1:$O$258,6,FALSE))))</f>
        <v/>
      </c>
      <c r="I250" s="520" t="str">
        <f>IF(E250="","",IF(ISNA(VLOOKUP($E250,'D-1 Off Site Habitat Baseline'!$D$1:$O$258,7,FALSE)),"",(VLOOKUP($E250,'D-1 Off Site Habitat Baseline'!$D$1:$O$258,7,FALSE))))</f>
        <v/>
      </c>
      <c r="J250" s="520" t="str">
        <f>IF(E250="","",IF(ISNA(VLOOKUP($E250,'D-1 Off Site Habitat Baseline'!$D$1:$O$258,8,FALSE)),"",(VLOOKUP($E250,'D-1 Off Site Habitat Baseline'!$D$1:$O$258,8,FALSE))))</f>
        <v/>
      </c>
      <c r="K250" s="520" t="str">
        <f>IF(E250="","",IF(ISNA(VLOOKUP($E250,'D-1 Off Site Habitat Baseline'!$D$1:$O$258,9,FALSE)),"",(VLOOKUP($E250,'D-1 Off Site Habitat Baseline'!$D$1:$O$258,9,FALSE))))</f>
        <v/>
      </c>
      <c r="L250" s="520" t="str">
        <f>IF(E250="","",IF(ISNA(VLOOKUP($E250,'D-1 Off Site Habitat Baseline'!$D$1:$O$258,11,FALSE)),"",(VLOOKUP($E250,'D-1 Off Site Habitat Baseline'!$D$1:$O$258,11,FALSE))))</f>
        <v/>
      </c>
      <c r="M250" s="520" t="str">
        <f>IF(E250="","",IF(ISNA(VLOOKUP($E250,'D-1 Off Site Habitat Baseline'!$D$1:$O$258,12,FALSE)),"",(VLOOKUP($E250,'D-1 Off Site Habitat Baseline'!$D$1:$O$258,12,FALSE))))</f>
        <v/>
      </c>
      <c r="N250" s="520" t="str">
        <f>IF(E250="","",IF(ISNA(VLOOKUP($E250,'D-1 Off Site Habitat Baseline'!$D$1:$X$258,14,FALSE)),"",(VLOOKUP($E250,'D-1 Off Site Habitat Baseline'!$D$1:$X$258,14,FALSE))))</f>
        <v/>
      </c>
      <c r="O250" s="524" t="str">
        <f>IF(E250="","",IF(ISNA(VLOOKUP($E250,'D-1 Off Site Habitat Baseline'!$D$1:$X$258,13,FALSE)),"",(VLOOKUP($E250,'D-1 Off Site Habitat Baseline'!$D$1:$X$258,13,FALSE))))</f>
        <v/>
      </c>
      <c r="P250" s="232" t="str">
        <f>IFERROR(INDEX('G-1 All Habitats'!$AG$3:$AG$15,MATCH(Q250,'G-1 All Habitats'!$AF$3:$AF$15,0)),"")</f>
        <v/>
      </c>
      <c r="Q250" s="228" t="str">
        <f t="shared" si="45"/>
        <v/>
      </c>
      <c r="R250" s="229" t="str">
        <f t="shared" si="46"/>
        <v/>
      </c>
      <c r="S250" s="233" t="str">
        <f>IFERROR(INDEX('G-1 All Habitats'!$B$3:$B$129,MATCH(R250,'G-1 All Habitats'!$A$3:$A$129,0)),"")</f>
        <v/>
      </c>
      <c r="T250" s="507" t="str">
        <f t="shared" si="38"/>
        <v/>
      </c>
      <c r="U250" s="524" t="str">
        <f t="shared" si="39"/>
        <v/>
      </c>
      <c r="V250" s="523" t="str">
        <f t="shared" si="36"/>
        <v/>
      </c>
      <c r="W250" s="520" t="str">
        <f>IF(S250="","",VLOOKUP(S250,'G-1 All Habitats'!$B$2:$M$129,10,FALSE))</f>
        <v/>
      </c>
      <c r="X250" s="520" t="str">
        <f>IFERROR(VLOOKUP(W250,'G-1 All Habitats'!$V$3:$W$7,2,FALSE),"")</f>
        <v/>
      </c>
      <c r="Y250" s="203"/>
      <c r="Z250" s="524" t="str">
        <f>IFERROR(INDEX('G-8 Condition Look up'!$A$3:$H$130,MATCH(S250,'G-8 Condition Look up'!$A$3:$A$130,0),MATCH(Y250,'G-8 Condition Look up'!$A$3:$H$3,0)),"")</f>
        <v/>
      </c>
      <c r="AA250" s="145"/>
      <c r="AB250" s="540" t="str">
        <f>IF(AA250="","",IF(VLOOKUP(AA250,'G-3 Multipliers'!$L$3:$N$6,2,FALSE)=0,"Spatial Data Missing ⚠",VLOOKUP(AA250,'G-3 Multipliers'!$L$3:$N$6,2,FALSE)))</f>
        <v/>
      </c>
      <c r="AC250" s="524" t="str">
        <f>IF(AA250="","",IF(VLOOKUP(AA250,'G-3 Multipliers'!$L$3:$N$6,3,FALSE)=0,"Spatial Data Missing ⚠",VLOOKUP(AA250,'G-3 Multipliers'!$L$3:$N$6,3,FALSE)))</f>
        <v/>
      </c>
      <c r="AD250" s="537" t="str">
        <f t="shared" si="37"/>
        <v/>
      </c>
      <c r="AE250" s="203"/>
      <c r="AF250" s="203"/>
      <c r="AG250" s="520" t="str">
        <f t="shared" si="40"/>
        <v/>
      </c>
      <c r="AH250" s="544" t="str">
        <f t="shared" si="41"/>
        <v/>
      </c>
      <c r="AI250" s="525" t="str">
        <f>IF(AH250="Check Data ⚠","Check Data ⚠",IFERROR(VLOOKUP(AH250,'G-4 Temporal multipliers'!$A$4:$C$36,3,FALSE),""))</f>
        <v/>
      </c>
      <c r="AJ250" s="537" t="str">
        <f>IF(S250="","",VLOOKUP(S250,'G-3 Multipliers'!$A$2:$E$129,4,FALSE))</f>
        <v/>
      </c>
      <c r="AK250" s="520" t="str">
        <f t="shared" si="42"/>
        <v/>
      </c>
      <c r="AL250" s="520" t="str">
        <f t="shared" si="43"/>
        <v/>
      </c>
      <c r="AM250" s="524" t="str">
        <f>IFERROR(IF(F250="","",IF(AH250="Check Data ⚠","Check Data ⚠",VLOOKUP(AL250, 'G-3 Multipliers'!$P$2:$Q$6,2,FALSE))),"")</f>
        <v/>
      </c>
      <c r="AN250" s="197"/>
      <c r="AO250" s="540" t="str">
        <f>IF(AN250="","",IF(VLOOKUP(AN250,'G-3 Multipliers'!$S$3:$T$9,2,FALSE)=0,"Spatial Data Missing ⚠",VLOOKUP(AN250,'G-3 Multipliers'!$S$3:$T$9,2,FALSE)))</f>
        <v/>
      </c>
      <c r="AP250" s="513" t="str">
        <f t="shared" si="44"/>
        <v/>
      </c>
      <c r="AQ250" s="231"/>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7" t="str">
        <f>'D-1 Off Site Habitat Baseline'!AL250</f>
        <v/>
      </c>
      <c r="F251" s="520" t="str">
        <f>IF(E251="","",IF(ISNA(VLOOKUP($E251,'D-1 Off Site Habitat Baseline'!$D$1:$O$258,4,FALSE)),"",(VLOOKUP($E251,'D-1 Off Site Habitat Baseline'!$D$1:$O$258,4,FALSE))))</f>
        <v/>
      </c>
      <c r="G251" s="520" t="str">
        <f>IF(E251="","",IF(ISNA(VLOOKUP($E251,'D-1 Off Site Habitat Baseline'!$D$1:$O$258,5,FALSE)),"",(VLOOKUP($E251,'D-1 Off Site Habitat Baseline'!$D$1:$O$258,5,FALSE))))</f>
        <v/>
      </c>
      <c r="H251" s="520" t="str">
        <f>IF(E251="","",IF(ISNA(VLOOKUP($E251,'D-1 Off Site Habitat Baseline'!$D$1:$O$258,6,FALSE)),"",(VLOOKUP($E251,'D-1 Off Site Habitat Baseline'!$D$1:$O$258,6,FALSE))))</f>
        <v/>
      </c>
      <c r="I251" s="520" t="str">
        <f>IF(E251="","",IF(ISNA(VLOOKUP($E251,'D-1 Off Site Habitat Baseline'!$D$1:$O$258,7,FALSE)),"",(VLOOKUP($E251,'D-1 Off Site Habitat Baseline'!$D$1:$O$258,7,FALSE))))</f>
        <v/>
      </c>
      <c r="J251" s="520" t="str">
        <f>IF(E251="","",IF(ISNA(VLOOKUP($E251,'D-1 Off Site Habitat Baseline'!$D$1:$O$258,8,FALSE)),"",(VLOOKUP($E251,'D-1 Off Site Habitat Baseline'!$D$1:$O$258,8,FALSE))))</f>
        <v/>
      </c>
      <c r="K251" s="520" t="str">
        <f>IF(E251="","",IF(ISNA(VLOOKUP($E251,'D-1 Off Site Habitat Baseline'!$D$1:$O$258,9,FALSE)),"",(VLOOKUP($E251,'D-1 Off Site Habitat Baseline'!$D$1:$O$258,9,FALSE))))</f>
        <v/>
      </c>
      <c r="L251" s="520" t="str">
        <f>IF(E251="","",IF(ISNA(VLOOKUP($E251,'D-1 Off Site Habitat Baseline'!$D$1:$O$258,11,FALSE)),"",(VLOOKUP($E251,'D-1 Off Site Habitat Baseline'!$D$1:$O$258,11,FALSE))))</f>
        <v/>
      </c>
      <c r="M251" s="520" t="str">
        <f>IF(E251="","",IF(ISNA(VLOOKUP($E251,'D-1 Off Site Habitat Baseline'!$D$1:$O$258,12,FALSE)),"",(VLOOKUP($E251,'D-1 Off Site Habitat Baseline'!$D$1:$O$258,12,FALSE))))</f>
        <v/>
      </c>
      <c r="N251" s="520" t="str">
        <f>IF(E251="","",IF(ISNA(VLOOKUP($E251,'D-1 Off Site Habitat Baseline'!$D$1:$X$258,14,FALSE)),"",(VLOOKUP($E251,'D-1 Off Site Habitat Baseline'!$D$1:$X$258,14,FALSE))))</f>
        <v/>
      </c>
      <c r="O251" s="524" t="str">
        <f>IF(E251="","",IF(ISNA(VLOOKUP($E251,'D-1 Off Site Habitat Baseline'!$D$1:$X$258,13,FALSE)),"",(VLOOKUP($E251,'D-1 Off Site Habitat Baseline'!$D$1:$X$258,13,FALSE))))</f>
        <v/>
      </c>
      <c r="P251" s="232" t="str">
        <f>IFERROR(INDEX('G-1 All Habitats'!$AG$3:$AG$15,MATCH(Q251,'G-1 All Habitats'!$AF$3:$AF$15,0)),"")</f>
        <v/>
      </c>
      <c r="Q251" s="228" t="str">
        <f t="shared" si="45"/>
        <v/>
      </c>
      <c r="R251" s="229" t="str">
        <f t="shared" si="46"/>
        <v/>
      </c>
      <c r="S251" s="233" t="str">
        <f>IFERROR(INDEX('G-1 All Habitats'!$B$3:$B$129,MATCH(R251,'G-1 All Habitats'!$A$3:$A$129,0)),"")</f>
        <v/>
      </c>
      <c r="T251" s="507" t="str">
        <f t="shared" si="38"/>
        <v/>
      </c>
      <c r="U251" s="524" t="str">
        <f t="shared" si="39"/>
        <v/>
      </c>
      <c r="V251" s="523" t="str">
        <f t="shared" si="36"/>
        <v/>
      </c>
      <c r="W251" s="520" t="str">
        <f>IF(S251="","",VLOOKUP(S251,'G-1 All Habitats'!$B$2:$M$129,10,FALSE))</f>
        <v/>
      </c>
      <c r="X251" s="520" t="str">
        <f>IFERROR(VLOOKUP(W251,'G-1 All Habitats'!$V$3:$W$7,2,FALSE),"")</f>
        <v/>
      </c>
      <c r="Y251" s="203"/>
      <c r="Z251" s="524" t="str">
        <f>IFERROR(INDEX('G-8 Condition Look up'!$A$3:$H$130,MATCH(S251,'G-8 Condition Look up'!$A$3:$A$130,0),MATCH(Y251,'G-8 Condition Look up'!$A$3:$H$3,0)),"")</f>
        <v/>
      </c>
      <c r="AA251" s="145"/>
      <c r="AB251" s="540" t="str">
        <f>IF(AA251="","",IF(VLOOKUP(AA251,'G-3 Multipliers'!$L$3:$N$6,2,FALSE)=0,"Spatial Data Missing ⚠",VLOOKUP(AA251,'G-3 Multipliers'!$L$3:$N$6,2,FALSE)))</f>
        <v/>
      </c>
      <c r="AC251" s="524" t="str">
        <f>IF(AA251="","",IF(VLOOKUP(AA251,'G-3 Multipliers'!$L$3:$N$6,3,FALSE)=0,"Spatial Data Missing ⚠",VLOOKUP(AA251,'G-3 Multipliers'!$L$3:$N$6,3,FALSE)))</f>
        <v/>
      </c>
      <c r="AD251" s="537" t="str">
        <f t="shared" si="37"/>
        <v/>
      </c>
      <c r="AE251" s="203"/>
      <c r="AF251" s="203"/>
      <c r="AG251" s="520" t="str">
        <f t="shared" si="40"/>
        <v/>
      </c>
      <c r="AH251" s="544" t="str">
        <f t="shared" si="41"/>
        <v/>
      </c>
      <c r="AI251" s="525" t="str">
        <f>IF(AH251="Check Data ⚠","Check Data ⚠",IFERROR(VLOOKUP(AH251,'G-4 Temporal multipliers'!$A$4:$C$36,3,FALSE),""))</f>
        <v/>
      </c>
      <c r="AJ251" s="537" t="str">
        <f>IF(S251="","",VLOOKUP(S251,'G-3 Multipliers'!$A$2:$E$129,4,FALSE))</f>
        <v/>
      </c>
      <c r="AK251" s="520" t="str">
        <f t="shared" si="42"/>
        <v/>
      </c>
      <c r="AL251" s="520" t="str">
        <f t="shared" si="43"/>
        <v/>
      </c>
      <c r="AM251" s="524" t="str">
        <f>IFERROR(IF(F251="","",IF(AH251="Check Data ⚠","Check Data ⚠",VLOOKUP(AL251, 'G-3 Multipliers'!$P$2:$Q$6,2,FALSE))),"")</f>
        <v/>
      </c>
      <c r="AN251" s="197"/>
      <c r="AO251" s="540" t="str">
        <f>IF(AN251="","",IF(VLOOKUP(AN251,'G-3 Multipliers'!$S$3:$T$9,2,FALSE)=0,"Spatial Data Missing ⚠",VLOOKUP(AN251,'G-3 Multipliers'!$S$3:$T$9,2,FALSE)))</f>
        <v/>
      </c>
      <c r="AP251" s="513" t="str">
        <f t="shared" si="44"/>
        <v/>
      </c>
      <c r="AQ251" s="231"/>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7" t="str">
        <f>'D-1 Off Site Habitat Baseline'!AL251</f>
        <v/>
      </c>
      <c r="F252" s="520" t="str">
        <f>IF(E252="","",IF(ISNA(VLOOKUP($E252,'D-1 Off Site Habitat Baseline'!$D$1:$O$258,4,FALSE)),"",(VLOOKUP($E252,'D-1 Off Site Habitat Baseline'!$D$1:$O$258,4,FALSE))))</f>
        <v/>
      </c>
      <c r="G252" s="520" t="str">
        <f>IF(E252="","",IF(ISNA(VLOOKUP($E252,'D-1 Off Site Habitat Baseline'!$D$1:$O$258,5,FALSE)),"",(VLOOKUP($E252,'D-1 Off Site Habitat Baseline'!$D$1:$O$258,5,FALSE))))</f>
        <v/>
      </c>
      <c r="H252" s="520" t="str">
        <f>IF(E252="","",IF(ISNA(VLOOKUP($E252,'D-1 Off Site Habitat Baseline'!$D$1:$O$258,6,FALSE)),"",(VLOOKUP($E252,'D-1 Off Site Habitat Baseline'!$D$1:$O$258,6,FALSE))))</f>
        <v/>
      </c>
      <c r="I252" s="520" t="str">
        <f>IF(E252="","",IF(ISNA(VLOOKUP($E252,'D-1 Off Site Habitat Baseline'!$D$1:$O$258,7,FALSE)),"",(VLOOKUP($E252,'D-1 Off Site Habitat Baseline'!$D$1:$O$258,7,FALSE))))</f>
        <v/>
      </c>
      <c r="J252" s="520" t="str">
        <f>IF(E252="","",IF(ISNA(VLOOKUP($E252,'D-1 Off Site Habitat Baseline'!$D$1:$O$258,8,FALSE)),"",(VLOOKUP($E252,'D-1 Off Site Habitat Baseline'!$D$1:$O$258,8,FALSE))))</f>
        <v/>
      </c>
      <c r="K252" s="520" t="str">
        <f>IF(E252="","",IF(ISNA(VLOOKUP($E252,'D-1 Off Site Habitat Baseline'!$D$1:$O$258,9,FALSE)),"",(VLOOKUP($E252,'D-1 Off Site Habitat Baseline'!$D$1:$O$258,9,FALSE))))</f>
        <v/>
      </c>
      <c r="L252" s="520" t="str">
        <f>IF(E252="","",IF(ISNA(VLOOKUP($E252,'D-1 Off Site Habitat Baseline'!$D$1:$O$258,11,FALSE)),"",(VLOOKUP($E252,'D-1 Off Site Habitat Baseline'!$D$1:$O$258,11,FALSE))))</f>
        <v/>
      </c>
      <c r="M252" s="520" t="str">
        <f>IF(E252="","",IF(ISNA(VLOOKUP($E252,'D-1 Off Site Habitat Baseline'!$D$1:$O$258,12,FALSE)),"",(VLOOKUP($E252,'D-1 Off Site Habitat Baseline'!$D$1:$O$258,12,FALSE))))</f>
        <v/>
      </c>
      <c r="N252" s="520" t="str">
        <f>IF(E252="","",IF(ISNA(VLOOKUP($E252,'D-1 Off Site Habitat Baseline'!$D$1:$X$258,14,FALSE)),"",(VLOOKUP($E252,'D-1 Off Site Habitat Baseline'!$D$1:$X$258,14,FALSE))))</f>
        <v/>
      </c>
      <c r="O252" s="524" t="str">
        <f>IF(E252="","",IF(ISNA(VLOOKUP($E252,'D-1 Off Site Habitat Baseline'!$D$1:$X$258,13,FALSE)),"",(VLOOKUP($E252,'D-1 Off Site Habitat Baseline'!$D$1:$X$258,13,FALSE))))</f>
        <v/>
      </c>
      <c r="P252" s="232" t="str">
        <f>IFERROR(INDEX('G-1 All Habitats'!$AG$3:$AG$15,MATCH(Q252,'G-1 All Habitats'!$AF$3:$AF$15,0)),"")</f>
        <v/>
      </c>
      <c r="Q252" s="228" t="str">
        <f t="shared" si="45"/>
        <v/>
      </c>
      <c r="R252" s="229" t="str">
        <f t="shared" si="46"/>
        <v/>
      </c>
      <c r="S252" s="233" t="str">
        <f>IFERROR(INDEX('G-1 All Habitats'!$B$3:$B$129,MATCH(R252,'G-1 All Habitats'!$A$3:$A$129,0)),"")</f>
        <v/>
      </c>
      <c r="T252" s="507" t="str">
        <f t="shared" si="38"/>
        <v/>
      </c>
      <c r="U252" s="524" t="str">
        <f t="shared" si="39"/>
        <v/>
      </c>
      <c r="V252" s="523" t="str">
        <f t="shared" si="36"/>
        <v/>
      </c>
      <c r="W252" s="520" t="str">
        <f>IF(S252="","",VLOOKUP(S252,'G-1 All Habitats'!$B$2:$M$129,10,FALSE))</f>
        <v/>
      </c>
      <c r="X252" s="520" t="str">
        <f>IFERROR(VLOOKUP(W252,'G-1 All Habitats'!$V$3:$W$7,2,FALSE),"")</f>
        <v/>
      </c>
      <c r="Y252" s="203"/>
      <c r="Z252" s="524" t="str">
        <f>IFERROR(INDEX('G-8 Condition Look up'!$A$3:$H$130,MATCH(S252,'G-8 Condition Look up'!$A$3:$A$130,0),MATCH(Y252,'G-8 Condition Look up'!$A$3:$H$3,0)),"")</f>
        <v/>
      </c>
      <c r="AA252" s="145"/>
      <c r="AB252" s="540" t="str">
        <f>IF(AA252="","",IF(VLOOKUP(AA252,'G-3 Multipliers'!$L$3:$N$6,2,FALSE)=0,"Spatial Data Missing ⚠",VLOOKUP(AA252,'G-3 Multipliers'!$L$3:$N$6,2,FALSE)))</f>
        <v/>
      </c>
      <c r="AC252" s="524" t="str">
        <f>IF(AA252="","",IF(VLOOKUP(AA252,'G-3 Multipliers'!$L$3:$N$6,3,FALSE)=0,"Spatial Data Missing ⚠",VLOOKUP(AA252,'G-3 Multipliers'!$L$3:$N$6,3,FALSE)))</f>
        <v/>
      </c>
      <c r="AD252" s="537" t="str">
        <f t="shared" si="37"/>
        <v/>
      </c>
      <c r="AE252" s="203"/>
      <c r="AF252" s="203"/>
      <c r="AG252" s="520" t="str">
        <f t="shared" si="40"/>
        <v/>
      </c>
      <c r="AH252" s="544" t="str">
        <f t="shared" si="41"/>
        <v/>
      </c>
      <c r="AI252" s="525" t="str">
        <f>IF(AH252="Check Data ⚠","Check Data ⚠",IFERROR(VLOOKUP(AH252,'G-4 Temporal multipliers'!$A$4:$C$36,3,FALSE),""))</f>
        <v/>
      </c>
      <c r="AJ252" s="537" t="str">
        <f>IF(S252="","",VLOOKUP(S252,'G-3 Multipliers'!$A$2:$E$129,4,FALSE))</f>
        <v/>
      </c>
      <c r="AK252" s="520" t="str">
        <f t="shared" si="42"/>
        <v/>
      </c>
      <c r="AL252" s="520" t="str">
        <f t="shared" si="43"/>
        <v/>
      </c>
      <c r="AM252" s="524" t="str">
        <f>IFERROR(IF(F252="","",IF(AH252="Check Data ⚠","Check Data ⚠",VLOOKUP(AL252, 'G-3 Multipliers'!$P$2:$Q$6,2,FALSE))),"")</f>
        <v/>
      </c>
      <c r="AN252" s="197"/>
      <c r="AO252" s="540" t="str">
        <f>IF(AN252="","",IF(VLOOKUP(AN252,'G-3 Multipliers'!$S$3:$T$9,2,FALSE)=0,"Spatial Data Missing ⚠",VLOOKUP(AN252,'G-3 Multipliers'!$S$3:$T$9,2,FALSE)))</f>
        <v/>
      </c>
      <c r="AP252" s="513" t="str">
        <f t="shared" si="44"/>
        <v/>
      </c>
      <c r="AQ252" s="231"/>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7" t="str">
        <f>'D-1 Off Site Habitat Baseline'!AL252</f>
        <v/>
      </c>
      <c r="F253" s="520" t="str">
        <f>IF(E253="","",IF(ISNA(VLOOKUP($E253,'D-1 Off Site Habitat Baseline'!$D$1:$O$258,4,FALSE)),"",(VLOOKUP($E253,'D-1 Off Site Habitat Baseline'!$D$1:$O$258,4,FALSE))))</f>
        <v/>
      </c>
      <c r="G253" s="520" t="str">
        <f>IF(E253="","",IF(ISNA(VLOOKUP($E253,'D-1 Off Site Habitat Baseline'!$D$1:$O$258,5,FALSE)),"",(VLOOKUP($E253,'D-1 Off Site Habitat Baseline'!$D$1:$O$258,5,FALSE))))</f>
        <v/>
      </c>
      <c r="H253" s="520" t="str">
        <f>IF(E253="","",IF(ISNA(VLOOKUP($E253,'D-1 Off Site Habitat Baseline'!$D$1:$O$258,6,FALSE)),"",(VLOOKUP($E253,'D-1 Off Site Habitat Baseline'!$D$1:$O$258,6,FALSE))))</f>
        <v/>
      </c>
      <c r="I253" s="520" t="str">
        <f>IF(E253="","",IF(ISNA(VLOOKUP($E253,'D-1 Off Site Habitat Baseline'!$D$1:$O$258,7,FALSE)),"",(VLOOKUP($E253,'D-1 Off Site Habitat Baseline'!$D$1:$O$258,7,FALSE))))</f>
        <v/>
      </c>
      <c r="J253" s="520" t="str">
        <f>IF(E253="","",IF(ISNA(VLOOKUP($E253,'D-1 Off Site Habitat Baseline'!$D$1:$O$258,8,FALSE)),"",(VLOOKUP($E253,'D-1 Off Site Habitat Baseline'!$D$1:$O$258,8,FALSE))))</f>
        <v/>
      </c>
      <c r="K253" s="520" t="str">
        <f>IF(E253="","",IF(ISNA(VLOOKUP($E253,'D-1 Off Site Habitat Baseline'!$D$1:$O$258,9,FALSE)),"",(VLOOKUP($E253,'D-1 Off Site Habitat Baseline'!$D$1:$O$258,9,FALSE))))</f>
        <v/>
      </c>
      <c r="L253" s="520" t="str">
        <f>IF(E253="","",IF(ISNA(VLOOKUP($E253,'D-1 Off Site Habitat Baseline'!$D$1:$O$258,11,FALSE)),"",(VLOOKUP($E253,'D-1 Off Site Habitat Baseline'!$D$1:$O$258,11,FALSE))))</f>
        <v/>
      </c>
      <c r="M253" s="520" t="str">
        <f>IF(E253="","",IF(ISNA(VLOOKUP($E253,'D-1 Off Site Habitat Baseline'!$D$1:$O$258,12,FALSE)),"",(VLOOKUP($E253,'D-1 Off Site Habitat Baseline'!$D$1:$O$258,12,FALSE))))</f>
        <v/>
      </c>
      <c r="N253" s="520" t="str">
        <f>IF(E253="","",IF(ISNA(VLOOKUP($E253,'D-1 Off Site Habitat Baseline'!$D$1:$X$258,14,FALSE)),"",(VLOOKUP($E253,'D-1 Off Site Habitat Baseline'!$D$1:$X$258,14,FALSE))))</f>
        <v/>
      </c>
      <c r="O253" s="524" t="str">
        <f>IF(E253="","",IF(ISNA(VLOOKUP($E253,'D-1 Off Site Habitat Baseline'!$D$1:$X$258,13,FALSE)),"",(VLOOKUP($E253,'D-1 Off Site Habitat Baseline'!$D$1:$X$258,13,FALSE))))</f>
        <v/>
      </c>
      <c r="P253" s="232" t="str">
        <f>IFERROR(INDEX('G-1 All Habitats'!$AG$3:$AG$15,MATCH(Q253,'G-1 All Habitats'!$AF$3:$AF$15,0)),"")</f>
        <v/>
      </c>
      <c r="Q253" s="228" t="str">
        <f t="shared" si="45"/>
        <v/>
      </c>
      <c r="R253" s="229" t="str">
        <f t="shared" si="46"/>
        <v/>
      </c>
      <c r="S253" s="233" t="str">
        <f>IFERROR(INDEX('G-1 All Habitats'!$B$3:$B$129,MATCH(R253,'G-1 All Habitats'!$A$3:$A$129,0)),"")</f>
        <v/>
      </c>
      <c r="T253" s="507" t="str">
        <f t="shared" si="38"/>
        <v/>
      </c>
      <c r="U253" s="524" t="str">
        <f t="shared" si="39"/>
        <v/>
      </c>
      <c r="V253" s="523" t="str">
        <f t="shared" si="36"/>
        <v/>
      </c>
      <c r="W253" s="520" t="str">
        <f>IF(S253="","",VLOOKUP(S253,'G-1 All Habitats'!$B$2:$M$129,10,FALSE))</f>
        <v/>
      </c>
      <c r="X253" s="520" t="str">
        <f>IFERROR(VLOOKUP(W253,'G-1 All Habitats'!$V$3:$W$7,2,FALSE),"")</f>
        <v/>
      </c>
      <c r="Y253" s="203"/>
      <c r="Z253" s="524" t="str">
        <f>IFERROR(INDEX('G-8 Condition Look up'!$A$3:$H$130,MATCH(S253,'G-8 Condition Look up'!$A$3:$A$130,0),MATCH(Y253,'G-8 Condition Look up'!$A$3:$H$3,0)),"")</f>
        <v/>
      </c>
      <c r="AA253" s="145"/>
      <c r="AB253" s="540" t="str">
        <f>IF(AA253="","",IF(VLOOKUP(AA253,'G-3 Multipliers'!$L$3:$N$6,2,FALSE)=0,"Spatial Data Missing ⚠",VLOOKUP(AA253,'G-3 Multipliers'!$L$3:$N$6,2,FALSE)))</f>
        <v/>
      </c>
      <c r="AC253" s="524" t="str">
        <f>IF(AA253="","",IF(VLOOKUP(AA253,'G-3 Multipliers'!$L$3:$N$6,3,FALSE)=0,"Spatial Data Missing ⚠",VLOOKUP(AA253,'G-3 Multipliers'!$L$3:$N$6,3,FALSE)))</f>
        <v/>
      </c>
      <c r="AD253" s="537" t="str">
        <f t="shared" si="37"/>
        <v/>
      </c>
      <c r="AE253" s="203"/>
      <c r="AF253" s="203"/>
      <c r="AG253" s="520" t="str">
        <f t="shared" si="40"/>
        <v/>
      </c>
      <c r="AH253" s="544" t="str">
        <f t="shared" si="41"/>
        <v/>
      </c>
      <c r="AI253" s="525" t="str">
        <f>IF(AH253="Check Data ⚠","Check Data ⚠",IFERROR(VLOOKUP(AH253,'G-4 Temporal multipliers'!$A$4:$C$36,3,FALSE),""))</f>
        <v/>
      </c>
      <c r="AJ253" s="537" t="str">
        <f>IF(S253="","",VLOOKUP(S253,'G-3 Multipliers'!$A$2:$E$129,4,FALSE))</f>
        <v/>
      </c>
      <c r="AK253" s="520" t="str">
        <f t="shared" si="42"/>
        <v/>
      </c>
      <c r="AL253" s="520" t="str">
        <f t="shared" si="43"/>
        <v/>
      </c>
      <c r="AM253" s="524" t="str">
        <f>IFERROR(IF(F253="","",IF(AH253="Check Data ⚠","Check Data ⚠",VLOOKUP(AL253, 'G-3 Multipliers'!$P$2:$Q$6,2,FALSE))),"")</f>
        <v/>
      </c>
      <c r="AN253" s="197"/>
      <c r="AO253" s="540" t="str">
        <f>IF(AN253="","",IF(VLOOKUP(AN253,'G-3 Multipliers'!$S$3:$T$9,2,FALSE)=0,"Spatial Data Missing ⚠",VLOOKUP(AN253,'G-3 Multipliers'!$S$3:$T$9,2,FALSE)))</f>
        <v/>
      </c>
      <c r="AP253" s="513" t="str">
        <f t="shared" si="44"/>
        <v/>
      </c>
      <c r="AQ253" s="231"/>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7" t="str">
        <f>'D-1 Off Site Habitat Baseline'!AL253</f>
        <v/>
      </c>
      <c r="F254" s="520" t="str">
        <f>IF(E254="","",IF(ISNA(VLOOKUP($E254,'D-1 Off Site Habitat Baseline'!$D$1:$O$258,4,FALSE)),"",(VLOOKUP($E254,'D-1 Off Site Habitat Baseline'!$D$1:$O$258,4,FALSE))))</f>
        <v/>
      </c>
      <c r="G254" s="520" t="str">
        <f>IF(E254="","",IF(ISNA(VLOOKUP($E254,'D-1 Off Site Habitat Baseline'!$D$1:$O$258,5,FALSE)),"",(VLOOKUP($E254,'D-1 Off Site Habitat Baseline'!$D$1:$O$258,5,FALSE))))</f>
        <v/>
      </c>
      <c r="H254" s="520" t="str">
        <f>IF(E254="","",IF(ISNA(VLOOKUP($E254,'D-1 Off Site Habitat Baseline'!$D$1:$O$258,6,FALSE)),"",(VLOOKUP($E254,'D-1 Off Site Habitat Baseline'!$D$1:$O$258,6,FALSE))))</f>
        <v/>
      </c>
      <c r="I254" s="520" t="str">
        <f>IF(E254="","",IF(ISNA(VLOOKUP($E254,'D-1 Off Site Habitat Baseline'!$D$1:$O$258,7,FALSE)),"",(VLOOKUP($E254,'D-1 Off Site Habitat Baseline'!$D$1:$O$258,7,FALSE))))</f>
        <v/>
      </c>
      <c r="J254" s="520" t="str">
        <f>IF(E254="","",IF(ISNA(VLOOKUP($E254,'D-1 Off Site Habitat Baseline'!$D$1:$O$258,8,FALSE)),"",(VLOOKUP($E254,'D-1 Off Site Habitat Baseline'!$D$1:$O$258,8,FALSE))))</f>
        <v/>
      </c>
      <c r="K254" s="520" t="str">
        <f>IF(E254="","",IF(ISNA(VLOOKUP($E254,'D-1 Off Site Habitat Baseline'!$D$1:$O$258,9,FALSE)),"",(VLOOKUP($E254,'D-1 Off Site Habitat Baseline'!$D$1:$O$258,9,FALSE))))</f>
        <v/>
      </c>
      <c r="L254" s="520" t="str">
        <f>IF(E254="","",IF(ISNA(VLOOKUP($E254,'D-1 Off Site Habitat Baseline'!$D$1:$O$258,11,FALSE)),"",(VLOOKUP($E254,'D-1 Off Site Habitat Baseline'!$D$1:$O$258,11,FALSE))))</f>
        <v/>
      </c>
      <c r="M254" s="520" t="str">
        <f>IF(E254="","",IF(ISNA(VLOOKUP($E254,'D-1 Off Site Habitat Baseline'!$D$1:$O$258,12,FALSE)),"",(VLOOKUP($E254,'D-1 Off Site Habitat Baseline'!$D$1:$O$258,12,FALSE))))</f>
        <v/>
      </c>
      <c r="N254" s="520" t="str">
        <f>IF(E254="","",IF(ISNA(VLOOKUP($E254,'D-1 Off Site Habitat Baseline'!$D$1:$X$258,14,FALSE)),"",(VLOOKUP($E254,'D-1 Off Site Habitat Baseline'!$D$1:$X$258,14,FALSE))))</f>
        <v/>
      </c>
      <c r="O254" s="524" t="str">
        <f>IF(E254="","",IF(ISNA(VLOOKUP($E254,'D-1 Off Site Habitat Baseline'!$D$1:$X$258,13,FALSE)),"",(VLOOKUP($E254,'D-1 Off Site Habitat Baseline'!$D$1:$X$258,13,FALSE))))</f>
        <v/>
      </c>
      <c r="P254" s="232" t="str">
        <f>IFERROR(INDEX('G-1 All Habitats'!$AG$3:$AG$15,MATCH(Q254,'G-1 All Habitats'!$AF$3:$AF$15,0)),"")</f>
        <v/>
      </c>
      <c r="Q254" s="228" t="str">
        <f t="shared" si="45"/>
        <v/>
      </c>
      <c r="R254" s="229" t="str">
        <f t="shared" si="46"/>
        <v/>
      </c>
      <c r="S254" s="233" t="str">
        <f>IFERROR(INDEX('G-1 All Habitats'!$B$3:$B$129,MATCH(R254,'G-1 All Habitats'!$A$3:$A$129,0)),"")</f>
        <v/>
      </c>
      <c r="T254" s="507" t="str">
        <f t="shared" si="38"/>
        <v/>
      </c>
      <c r="U254" s="524" t="str">
        <f t="shared" si="39"/>
        <v/>
      </c>
      <c r="V254" s="523" t="str">
        <f t="shared" si="36"/>
        <v/>
      </c>
      <c r="W254" s="520" t="str">
        <f>IF(S254="","",VLOOKUP(S254,'G-1 All Habitats'!$B$2:$M$129,10,FALSE))</f>
        <v/>
      </c>
      <c r="X254" s="520" t="str">
        <f>IFERROR(VLOOKUP(W254,'G-1 All Habitats'!$V$3:$W$7,2,FALSE),"")</f>
        <v/>
      </c>
      <c r="Y254" s="203"/>
      <c r="Z254" s="524" t="str">
        <f>IFERROR(INDEX('G-8 Condition Look up'!$A$3:$H$130,MATCH(S254,'G-8 Condition Look up'!$A$3:$A$130,0),MATCH(Y254,'G-8 Condition Look up'!$A$3:$H$3,0)),"")</f>
        <v/>
      </c>
      <c r="AA254" s="145"/>
      <c r="AB254" s="540" t="str">
        <f>IF(AA254="","",IF(VLOOKUP(AA254,'G-3 Multipliers'!$L$3:$N$6,2,FALSE)=0,"Spatial Data Missing ⚠",VLOOKUP(AA254,'G-3 Multipliers'!$L$3:$N$6,2,FALSE)))</f>
        <v/>
      </c>
      <c r="AC254" s="524" t="str">
        <f>IF(AA254="","",IF(VLOOKUP(AA254,'G-3 Multipliers'!$L$3:$N$6,3,FALSE)=0,"Spatial Data Missing ⚠",VLOOKUP(AA254,'G-3 Multipliers'!$L$3:$N$6,3,FALSE)))</f>
        <v/>
      </c>
      <c r="AD254" s="537" t="str">
        <f t="shared" si="37"/>
        <v/>
      </c>
      <c r="AE254" s="203"/>
      <c r="AF254" s="203"/>
      <c r="AG254" s="520" t="str">
        <f t="shared" si="40"/>
        <v/>
      </c>
      <c r="AH254" s="544" t="str">
        <f t="shared" si="41"/>
        <v/>
      </c>
      <c r="AI254" s="525" t="str">
        <f>IF(AH254="Check Data ⚠","Check Data ⚠",IFERROR(VLOOKUP(AH254,'G-4 Temporal multipliers'!$A$4:$C$36,3,FALSE),""))</f>
        <v/>
      </c>
      <c r="AJ254" s="537" t="str">
        <f>IF(S254="","",VLOOKUP(S254,'G-3 Multipliers'!$A$2:$E$129,4,FALSE))</f>
        <v/>
      </c>
      <c r="AK254" s="520" t="str">
        <f t="shared" si="42"/>
        <v/>
      </c>
      <c r="AL254" s="520" t="str">
        <f t="shared" si="43"/>
        <v/>
      </c>
      <c r="AM254" s="524" t="str">
        <f>IFERROR(IF(F254="","",IF(AH254="Check Data ⚠","Check Data ⚠",VLOOKUP(AL254, 'G-3 Multipliers'!$P$2:$Q$6,2,FALSE))),"")</f>
        <v/>
      </c>
      <c r="AN254" s="197"/>
      <c r="AO254" s="540" t="str">
        <f>IF(AN254="","",IF(VLOOKUP(AN254,'G-3 Multipliers'!$S$3:$T$9,2,FALSE)=0,"Spatial Data Missing ⚠",VLOOKUP(AN254,'G-3 Multipliers'!$S$3:$T$9,2,FALSE)))</f>
        <v/>
      </c>
      <c r="AP254" s="513" t="str">
        <f t="shared" si="44"/>
        <v/>
      </c>
      <c r="AQ254" s="231"/>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7" t="str">
        <f>'D-1 Off Site Habitat Baseline'!AL254</f>
        <v/>
      </c>
      <c r="F255" s="520" t="str">
        <f>IF(E255="","",IF(ISNA(VLOOKUP($E255,'D-1 Off Site Habitat Baseline'!$D$1:$O$258,4,FALSE)),"",(VLOOKUP($E255,'D-1 Off Site Habitat Baseline'!$D$1:$O$258,4,FALSE))))</f>
        <v/>
      </c>
      <c r="G255" s="520" t="str">
        <f>IF(E255="","",IF(ISNA(VLOOKUP($E255,'D-1 Off Site Habitat Baseline'!$D$1:$O$258,5,FALSE)),"",(VLOOKUP($E255,'D-1 Off Site Habitat Baseline'!$D$1:$O$258,5,FALSE))))</f>
        <v/>
      </c>
      <c r="H255" s="520" t="str">
        <f>IF(E255="","",IF(ISNA(VLOOKUP($E255,'D-1 Off Site Habitat Baseline'!$D$1:$O$258,6,FALSE)),"",(VLOOKUP($E255,'D-1 Off Site Habitat Baseline'!$D$1:$O$258,6,FALSE))))</f>
        <v/>
      </c>
      <c r="I255" s="520" t="str">
        <f>IF(E255="","",IF(ISNA(VLOOKUP($E255,'D-1 Off Site Habitat Baseline'!$D$1:$O$258,7,FALSE)),"",(VLOOKUP($E255,'D-1 Off Site Habitat Baseline'!$D$1:$O$258,7,FALSE))))</f>
        <v/>
      </c>
      <c r="J255" s="520" t="str">
        <f>IF(E255="","",IF(ISNA(VLOOKUP($E255,'D-1 Off Site Habitat Baseline'!$D$1:$O$258,8,FALSE)),"",(VLOOKUP($E255,'D-1 Off Site Habitat Baseline'!$D$1:$O$258,8,FALSE))))</f>
        <v/>
      </c>
      <c r="K255" s="520" t="str">
        <f>IF(E255="","",IF(ISNA(VLOOKUP($E255,'D-1 Off Site Habitat Baseline'!$D$1:$O$258,9,FALSE)),"",(VLOOKUP($E255,'D-1 Off Site Habitat Baseline'!$D$1:$O$258,9,FALSE))))</f>
        <v/>
      </c>
      <c r="L255" s="520" t="str">
        <f>IF(E255="","",IF(ISNA(VLOOKUP($E255,'D-1 Off Site Habitat Baseline'!$D$1:$O$258,11,FALSE)),"",(VLOOKUP($E255,'D-1 Off Site Habitat Baseline'!$D$1:$O$258,11,FALSE))))</f>
        <v/>
      </c>
      <c r="M255" s="520" t="str">
        <f>IF(E255="","",IF(ISNA(VLOOKUP($E255,'D-1 Off Site Habitat Baseline'!$D$1:$O$258,12,FALSE)),"",(VLOOKUP($E255,'D-1 Off Site Habitat Baseline'!$D$1:$O$258,12,FALSE))))</f>
        <v/>
      </c>
      <c r="N255" s="520" t="str">
        <f>IF(E255="","",IF(ISNA(VLOOKUP($E255,'D-1 Off Site Habitat Baseline'!$D$1:$X$258,14,FALSE)),"",(VLOOKUP($E255,'D-1 Off Site Habitat Baseline'!$D$1:$X$258,14,FALSE))))</f>
        <v/>
      </c>
      <c r="O255" s="524" t="str">
        <f>IF(E255="","",IF(ISNA(VLOOKUP($E255,'D-1 Off Site Habitat Baseline'!$D$1:$X$258,13,FALSE)),"",(VLOOKUP($E255,'D-1 Off Site Habitat Baseline'!$D$1:$X$258,13,FALSE))))</f>
        <v/>
      </c>
      <c r="P255" s="232" t="str">
        <f>IFERROR(INDEX('G-1 All Habitats'!$AG$3:$AG$15,MATCH(Q255,'G-1 All Habitats'!$AF$3:$AF$15,0)),"")</f>
        <v/>
      </c>
      <c r="Q255" s="228" t="str">
        <f t="shared" si="45"/>
        <v/>
      </c>
      <c r="R255" s="229" t="str">
        <f t="shared" si="46"/>
        <v/>
      </c>
      <c r="S255" s="233" t="str">
        <f>IFERROR(INDEX('G-1 All Habitats'!$B$3:$B$129,MATCH(R255,'G-1 All Habitats'!$A$3:$A$129,0)),"")</f>
        <v/>
      </c>
      <c r="T255" s="507" t="str">
        <f t="shared" si="38"/>
        <v/>
      </c>
      <c r="U255" s="524" t="str">
        <f t="shared" si="39"/>
        <v/>
      </c>
      <c r="V255" s="523" t="str">
        <f t="shared" si="36"/>
        <v/>
      </c>
      <c r="W255" s="520" t="str">
        <f>IF(S255="","",VLOOKUP(S255,'G-1 All Habitats'!$B$2:$M$129,10,FALSE))</f>
        <v/>
      </c>
      <c r="X255" s="520" t="str">
        <f>IFERROR(VLOOKUP(W255,'G-1 All Habitats'!$V$3:$W$7,2,FALSE),"")</f>
        <v/>
      </c>
      <c r="Y255" s="203"/>
      <c r="Z255" s="524" t="str">
        <f>IFERROR(INDEX('G-8 Condition Look up'!$A$3:$H$130,MATCH(S255,'G-8 Condition Look up'!$A$3:$A$130,0),MATCH(Y255,'G-8 Condition Look up'!$A$3:$H$3,0)),"")</f>
        <v/>
      </c>
      <c r="AA255" s="145"/>
      <c r="AB255" s="540" t="str">
        <f>IF(AA255="","",IF(VLOOKUP(AA255,'G-3 Multipliers'!$L$3:$N$6,2,FALSE)=0,"Spatial Data Missing ⚠",VLOOKUP(AA255,'G-3 Multipliers'!$L$3:$N$6,2,FALSE)))</f>
        <v/>
      </c>
      <c r="AC255" s="524" t="str">
        <f>IF(AA255="","",IF(VLOOKUP(AA255,'G-3 Multipliers'!$L$3:$N$6,3,FALSE)=0,"Spatial Data Missing ⚠",VLOOKUP(AA255,'G-3 Multipliers'!$L$3:$N$6,3,FALSE)))</f>
        <v/>
      </c>
      <c r="AD255" s="537" t="str">
        <f t="shared" si="37"/>
        <v/>
      </c>
      <c r="AE255" s="203"/>
      <c r="AF255" s="203"/>
      <c r="AG255" s="520" t="str">
        <f t="shared" si="40"/>
        <v/>
      </c>
      <c r="AH255" s="544" t="str">
        <f t="shared" si="41"/>
        <v/>
      </c>
      <c r="AI255" s="525" t="str">
        <f>IF(AH255="Check Data ⚠","Check Data ⚠",IFERROR(VLOOKUP(AH255,'G-4 Temporal multipliers'!$A$4:$C$36,3,FALSE),""))</f>
        <v/>
      </c>
      <c r="AJ255" s="537" t="str">
        <f>IF(S255="","",VLOOKUP(S255,'G-3 Multipliers'!$A$2:$E$129,4,FALSE))</f>
        <v/>
      </c>
      <c r="AK255" s="520" t="str">
        <f t="shared" si="42"/>
        <v/>
      </c>
      <c r="AL255" s="520" t="str">
        <f t="shared" si="43"/>
        <v/>
      </c>
      <c r="AM255" s="524" t="str">
        <f>IFERROR(IF(F255="","",IF(AH255="Check Data ⚠","Check Data ⚠",VLOOKUP(AL255, 'G-3 Multipliers'!$P$2:$Q$6,2,FALSE))),"")</f>
        <v/>
      </c>
      <c r="AN255" s="197"/>
      <c r="AO255" s="540" t="str">
        <f>IF(AN255="","",IF(VLOOKUP(AN255,'G-3 Multipliers'!$S$3:$T$9,2,FALSE)=0,"Spatial Data Missing ⚠",VLOOKUP(AN255,'G-3 Multipliers'!$S$3:$T$9,2,FALSE)))</f>
        <v/>
      </c>
      <c r="AP255" s="513" t="str">
        <f t="shared" si="44"/>
        <v/>
      </c>
      <c r="AQ255" s="231"/>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7" t="str">
        <f>'D-1 Off Site Habitat Baseline'!AL255</f>
        <v/>
      </c>
      <c r="F256" s="520" t="str">
        <f>IF(E256="","",IF(ISNA(VLOOKUP($E256,'D-1 Off Site Habitat Baseline'!$D$1:$O$258,4,FALSE)),"",(VLOOKUP($E256,'D-1 Off Site Habitat Baseline'!$D$1:$O$258,4,FALSE))))</f>
        <v/>
      </c>
      <c r="G256" s="520" t="str">
        <f>IF(E256="","",IF(ISNA(VLOOKUP($E256,'D-1 Off Site Habitat Baseline'!$D$1:$O$258,5,FALSE)),"",(VLOOKUP($E256,'D-1 Off Site Habitat Baseline'!$D$1:$O$258,5,FALSE))))</f>
        <v/>
      </c>
      <c r="H256" s="520" t="str">
        <f>IF(E256="","",IF(ISNA(VLOOKUP($E256,'D-1 Off Site Habitat Baseline'!$D$1:$O$258,6,FALSE)),"",(VLOOKUP($E256,'D-1 Off Site Habitat Baseline'!$D$1:$O$258,6,FALSE))))</f>
        <v/>
      </c>
      <c r="I256" s="520" t="str">
        <f>IF(E256="","",IF(ISNA(VLOOKUP($E256,'D-1 Off Site Habitat Baseline'!$D$1:$O$258,7,FALSE)),"",(VLOOKUP($E256,'D-1 Off Site Habitat Baseline'!$D$1:$O$258,7,FALSE))))</f>
        <v/>
      </c>
      <c r="J256" s="520" t="str">
        <f>IF(E256="","",IF(ISNA(VLOOKUP($E256,'D-1 Off Site Habitat Baseline'!$D$1:$O$258,8,FALSE)),"",(VLOOKUP($E256,'D-1 Off Site Habitat Baseline'!$D$1:$O$258,8,FALSE))))</f>
        <v/>
      </c>
      <c r="K256" s="520" t="str">
        <f>IF(E256="","",IF(ISNA(VLOOKUP($E256,'D-1 Off Site Habitat Baseline'!$D$1:$O$258,9,FALSE)),"",(VLOOKUP($E256,'D-1 Off Site Habitat Baseline'!$D$1:$O$258,9,FALSE))))</f>
        <v/>
      </c>
      <c r="L256" s="520" t="str">
        <f>IF(E256="","",IF(ISNA(VLOOKUP($E256,'D-1 Off Site Habitat Baseline'!$D$1:$O$258,11,FALSE)),"",(VLOOKUP($E256,'D-1 Off Site Habitat Baseline'!$D$1:$O$258,11,FALSE))))</f>
        <v/>
      </c>
      <c r="M256" s="520" t="str">
        <f>IF(E256="","",IF(ISNA(VLOOKUP($E256,'D-1 Off Site Habitat Baseline'!$D$1:$O$258,12,FALSE)),"",(VLOOKUP($E256,'D-1 Off Site Habitat Baseline'!$D$1:$O$258,12,FALSE))))</f>
        <v/>
      </c>
      <c r="N256" s="520" t="str">
        <f>IF(E256="","",IF(ISNA(VLOOKUP($E256,'D-1 Off Site Habitat Baseline'!$D$1:$X$258,14,FALSE)),"",(VLOOKUP($E256,'D-1 Off Site Habitat Baseline'!$D$1:$X$258,14,FALSE))))</f>
        <v/>
      </c>
      <c r="O256" s="524" t="str">
        <f>IF(E256="","",IF(ISNA(VLOOKUP($E256,'D-1 Off Site Habitat Baseline'!$D$1:$X$258,13,FALSE)),"",(VLOOKUP($E256,'D-1 Off Site Habitat Baseline'!$D$1:$X$258,13,FALSE))))</f>
        <v/>
      </c>
      <c r="P256" s="232" t="str">
        <f>IFERROR(INDEX('G-1 All Habitats'!$AG$3:$AG$15,MATCH(Q256,'G-1 All Habitats'!$AF$3:$AF$15,0)),"")</f>
        <v/>
      </c>
      <c r="Q256" s="228" t="str">
        <f t="shared" si="45"/>
        <v/>
      </c>
      <c r="R256" s="229" t="str">
        <f t="shared" si="46"/>
        <v/>
      </c>
      <c r="S256" s="233" t="str">
        <f>IFERROR(INDEX('G-1 All Habitats'!$B$3:$B$129,MATCH(R256,'G-1 All Habitats'!$A$3:$A$129,0)),"")</f>
        <v/>
      </c>
      <c r="T256" s="507" t="str">
        <f t="shared" si="38"/>
        <v/>
      </c>
      <c r="U256" s="524" t="str">
        <f t="shared" si="39"/>
        <v/>
      </c>
      <c r="V256" s="523" t="str">
        <f t="shared" si="36"/>
        <v/>
      </c>
      <c r="W256" s="520" t="str">
        <f>IF(S256="","",VLOOKUP(S256,'G-1 All Habitats'!$B$2:$M$129,10,FALSE))</f>
        <v/>
      </c>
      <c r="X256" s="520" t="str">
        <f>IFERROR(VLOOKUP(W256,'G-1 All Habitats'!$V$3:$W$7,2,FALSE),"")</f>
        <v/>
      </c>
      <c r="Y256" s="203"/>
      <c r="Z256" s="524" t="str">
        <f>IFERROR(INDEX('G-8 Condition Look up'!$A$3:$H$130,MATCH(S256,'G-8 Condition Look up'!$A$3:$A$130,0),MATCH(Y256,'G-8 Condition Look up'!$A$3:$H$3,0)),"")</f>
        <v/>
      </c>
      <c r="AA256" s="145"/>
      <c r="AB256" s="540" t="str">
        <f>IF(AA256="","",IF(VLOOKUP(AA256,'G-3 Multipliers'!$L$3:$N$6,2,FALSE)=0,"Spatial Data Missing ⚠",VLOOKUP(AA256,'G-3 Multipliers'!$L$3:$N$6,2,FALSE)))</f>
        <v/>
      </c>
      <c r="AC256" s="524" t="str">
        <f>IF(AA256="","",IF(VLOOKUP(AA256,'G-3 Multipliers'!$L$3:$N$6,3,FALSE)=0,"Spatial Data Missing ⚠",VLOOKUP(AA256,'G-3 Multipliers'!$L$3:$N$6,3,FALSE)))</f>
        <v/>
      </c>
      <c r="AD256" s="537" t="str">
        <f t="shared" si="37"/>
        <v/>
      </c>
      <c r="AE256" s="203"/>
      <c r="AF256" s="203"/>
      <c r="AG256" s="520" t="str">
        <f t="shared" si="40"/>
        <v/>
      </c>
      <c r="AH256" s="544" t="str">
        <f t="shared" si="41"/>
        <v/>
      </c>
      <c r="AI256" s="525" t="str">
        <f>IF(AH256="Check Data ⚠","Check Data ⚠",IFERROR(VLOOKUP(AH256,'G-4 Temporal multipliers'!$A$4:$C$36,3,FALSE),""))</f>
        <v/>
      </c>
      <c r="AJ256" s="537" t="str">
        <f>IF(S256="","",VLOOKUP(S256,'G-3 Multipliers'!$A$2:$E$129,4,FALSE))</f>
        <v/>
      </c>
      <c r="AK256" s="520" t="str">
        <f t="shared" si="42"/>
        <v/>
      </c>
      <c r="AL256" s="520" t="str">
        <f t="shared" si="43"/>
        <v/>
      </c>
      <c r="AM256" s="524" t="str">
        <f>IFERROR(IF(F256="","",IF(AH256="Check Data ⚠","Check Data ⚠",VLOOKUP(AL256, 'G-3 Multipliers'!$P$2:$Q$6,2,FALSE))),"")</f>
        <v/>
      </c>
      <c r="AN256" s="197"/>
      <c r="AO256" s="540" t="str">
        <f>IF(AN256="","",IF(VLOOKUP(AN256,'G-3 Multipliers'!$S$3:$T$9,2,FALSE)=0,"Spatial Data Missing ⚠",VLOOKUP(AN256,'G-3 Multipliers'!$S$3:$T$9,2,FALSE)))</f>
        <v/>
      </c>
      <c r="AP256" s="513" t="str">
        <f t="shared" si="44"/>
        <v/>
      </c>
      <c r="AQ256" s="231"/>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7" t="str">
        <f>'D-1 Off Site Habitat Baseline'!AL256</f>
        <v/>
      </c>
      <c r="F257" s="520" t="str">
        <f>IF(E257="","",IF(ISNA(VLOOKUP($E257,'D-1 Off Site Habitat Baseline'!$D$1:$O$258,4,FALSE)),"",(VLOOKUP($E257,'D-1 Off Site Habitat Baseline'!$D$1:$O$258,4,FALSE))))</f>
        <v/>
      </c>
      <c r="G257" s="520" t="str">
        <f>IF(E257="","",IF(ISNA(VLOOKUP($E257,'D-1 Off Site Habitat Baseline'!$D$1:$O$258,5,FALSE)),"",(VLOOKUP($E257,'D-1 Off Site Habitat Baseline'!$D$1:$O$258,5,FALSE))))</f>
        <v/>
      </c>
      <c r="H257" s="520" t="str">
        <f>IF(E257="","",IF(ISNA(VLOOKUP($E257,'D-1 Off Site Habitat Baseline'!$D$1:$O$258,6,FALSE)),"",(VLOOKUP($E257,'D-1 Off Site Habitat Baseline'!$D$1:$O$258,6,FALSE))))</f>
        <v/>
      </c>
      <c r="I257" s="520" t="str">
        <f>IF(E257="","",IF(ISNA(VLOOKUP($E257,'D-1 Off Site Habitat Baseline'!$D$1:$O$258,7,FALSE)),"",(VLOOKUP($E257,'D-1 Off Site Habitat Baseline'!$D$1:$O$258,7,FALSE))))</f>
        <v/>
      </c>
      <c r="J257" s="520" t="str">
        <f>IF(E257="","",IF(ISNA(VLOOKUP($E257,'D-1 Off Site Habitat Baseline'!$D$1:$O$258,8,FALSE)),"",(VLOOKUP($E257,'D-1 Off Site Habitat Baseline'!$D$1:$O$258,8,FALSE))))</f>
        <v/>
      </c>
      <c r="K257" s="520" t="str">
        <f>IF(E257="","",IF(ISNA(VLOOKUP($E257,'D-1 Off Site Habitat Baseline'!$D$1:$O$258,9,FALSE)),"",(VLOOKUP($E257,'D-1 Off Site Habitat Baseline'!$D$1:$O$258,9,FALSE))))</f>
        <v/>
      </c>
      <c r="L257" s="520" t="str">
        <f>IF(E257="","",IF(ISNA(VLOOKUP($E257,'D-1 Off Site Habitat Baseline'!$D$1:$O$258,11,FALSE)),"",(VLOOKUP($E257,'D-1 Off Site Habitat Baseline'!$D$1:$O$258,11,FALSE))))</f>
        <v/>
      </c>
      <c r="M257" s="520" t="str">
        <f>IF(E257="","",IF(ISNA(VLOOKUP($E257,'D-1 Off Site Habitat Baseline'!$D$1:$O$258,12,FALSE)),"",(VLOOKUP($E257,'D-1 Off Site Habitat Baseline'!$D$1:$O$258,12,FALSE))))</f>
        <v/>
      </c>
      <c r="N257" s="520" t="str">
        <f>IF(E257="","",IF(ISNA(VLOOKUP($E257,'D-1 Off Site Habitat Baseline'!$D$1:$X$258,14,FALSE)),"",(VLOOKUP($E257,'D-1 Off Site Habitat Baseline'!$D$1:$X$258,14,FALSE))))</f>
        <v/>
      </c>
      <c r="O257" s="524" t="str">
        <f>IF(E257="","",IF(ISNA(VLOOKUP($E257,'D-1 Off Site Habitat Baseline'!$D$1:$X$258,13,FALSE)),"",(VLOOKUP($E257,'D-1 Off Site Habitat Baseline'!$D$1:$X$258,13,FALSE))))</f>
        <v/>
      </c>
      <c r="P257" s="232" t="str">
        <f>IFERROR(INDEX('G-1 All Habitats'!$AG$3:$AG$15,MATCH(Q257,'G-1 All Habitats'!$AF$3:$AF$15,0)),"")</f>
        <v/>
      </c>
      <c r="Q257" s="228" t="str">
        <f t="shared" si="45"/>
        <v/>
      </c>
      <c r="R257" s="229" t="str">
        <f t="shared" si="46"/>
        <v/>
      </c>
      <c r="S257" s="233" t="str">
        <f>IFERROR(INDEX('G-1 All Habitats'!$B$3:$B$129,MATCH(R257,'G-1 All Habitats'!$A$3:$A$129,0)),"")</f>
        <v/>
      </c>
      <c r="T257" s="507" t="str">
        <f t="shared" si="38"/>
        <v/>
      </c>
      <c r="U257" s="524" t="str">
        <f t="shared" si="39"/>
        <v/>
      </c>
      <c r="V257" s="523" t="str">
        <f t="shared" si="36"/>
        <v/>
      </c>
      <c r="W257" s="520" t="str">
        <f>IF(S257="","",VLOOKUP(S257,'G-1 All Habitats'!$B$2:$M$129,10,FALSE))</f>
        <v/>
      </c>
      <c r="X257" s="520" t="str">
        <f>IFERROR(VLOOKUP(W257,'G-1 All Habitats'!$V$3:$W$7,2,FALSE),"")</f>
        <v/>
      </c>
      <c r="Y257" s="203"/>
      <c r="Z257" s="524" t="str">
        <f>IFERROR(INDEX('G-8 Condition Look up'!$A$3:$H$130,MATCH(S257,'G-8 Condition Look up'!$A$3:$A$130,0),MATCH(Y257,'G-8 Condition Look up'!$A$3:$H$3,0)),"")</f>
        <v/>
      </c>
      <c r="AA257" s="145"/>
      <c r="AB257" s="540" t="str">
        <f>IF(AA257="","",IF(VLOOKUP(AA257,'G-3 Multipliers'!$L$3:$N$6,2,FALSE)=0,"Spatial Data Missing ⚠",VLOOKUP(AA257,'G-3 Multipliers'!$L$3:$N$6,2,FALSE)))</f>
        <v/>
      </c>
      <c r="AC257" s="524" t="str">
        <f>IF(AA257="","",IF(VLOOKUP(AA257,'G-3 Multipliers'!$L$3:$N$6,3,FALSE)=0,"Spatial Data Missing ⚠",VLOOKUP(AA257,'G-3 Multipliers'!$L$3:$N$6,3,FALSE)))</f>
        <v/>
      </c>
      <c r="AD257" s="537" t="str">
        <f t="shared" si="37"/>
        <v/>
      </c>
      <c r="AE257" s="203"/>
      <c r="AF257" s="203"/>
      <c r="AG257" s="520" t="str">
        <f t="shared" si="40"/>
        <v/>
      </c>
      <c r="AH257" s="544" t="str">
        <f t="shared" si="41"/>
        <v/>
      </c>
      <c r="AI257" s="525" t="str">
        <f>IF(AH257="Check Data ⚠","Check Data ⚠",IFERROR(VLOOKUP(AH257,'G-4 Temporal multipliers'!$A$4:$C$36,3,FALSE),""))</f>
        <v/>
      </c>
      <c r="AJ257" s="537" t="str">
        <f>IF(S257="","",VLOOKUP(S257,'G-3 Multipliers'!$A$2:$E$129,4,FALSE))</f>
        <v/>
      </c>
      <c r="AK257" s="520" t="str">
        <f t="shared" si="42"/>
        <v/>
      </c>
      <c r="AL257" s="520" t="str">
        <f t="shared" si="43"/>
        <v/>
      </c>
      <c r="AM257" s="524" t="str">
        <f>IFERROR(IF(F257="","",IF(AH257="Check Data ⚠","Check Data ⚠",VLOOKUP(AL257, 'G-3 Multipliers'!$P$2:$Q$6,2,FALSE))),"")</f>
        <v/>
      </c>
      <c r="AN257" s="197"/>
      <c r="AO257" s="540" t="str">
        <f>IF(AN257="","",IF(VLOOKUP(AN257,'G-3 Multipliers'!$S$3:$T$9,2,FALSE)=0,"Spatial Data Missing ⚠",VLOOKUP(AN257,'G-3 Multipliers'!$S$3:$T$9,2,FALSE)))</f>
        <v/>
      </c>
      <c r="AP257" s="513" t="str">
        <f t="shared" si="44"/>
        <v/>
      </c>
      <c r="AQ257" s="231"/>
      <c r="AR257" s="150"/>
    </row>
    <row r="258" spans="1:44" ht="14.4"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8" t="str">
        <f>'D-1 Off Site Habitat Baseline'!AL257</f>
        <v/>
      </c>
      <c r="F258" s="534" t="str">
        <f>IF(E258="","",IF(ISNA(VLOOKUP($E258,'D-1 Off Site Habitat Baseline'!$D$1:$O$258,4,FALSE)),"",(VLOOKUP($E258,'D-1 Off Site Habitat Baseline'!$D$1:$O$258,4,FALSE))))</f>
        <v/>
      </c>
      <c r="G258" s="534" t="str">
        <f>IF(E258="","",IF(ISNA(VLOOKUP($E258,'D-1 Off Site Habitat Baseline'!$D$1:$O$258,5,FALSE)),"",(VLOOKUP($E258,'D-1 Off Site Habitat Baseline'!$D$1:$O$258,5,FALSE))))</f>
        <v/>
      </c>
      <c r="H258" s="534" t="str">
        <f>IF(E258="","",IF(ISNA(VLOOKUP($E258,'D-1 Off Site Habitat Baseline'!$D$1:$O$258,6,FALSE)),"",(VLOOKUP($E258,'D-1 Off Site Habitat Baseline'!$D$1:$O$258,6,FALSE))))</f>
        <v/>
      </c>
      <c r="I258" s="534" t="str">
        <f>IF(E258="","",IF(ISNA(VLOOKUP($E258,'D-1 Off Site Habitat Baseline'!$D$1:$O$258,7,FALSE)),"",(VLOOKUP($E258,'D-1 Off Site Habitat Baseline'!$D$1:$O$258,7,FALSE))))</f>
        <v/>
      </c>
      <c r="J258" s="534" t="str">
        <f>IF(E258="","",IF(ISNA(VLOOKUP($E258,'D-1 Off Site Habitat Baseline'!$D$1:$O$258,8,FALSE)),"",(VLOOKUP($E258,'D-1 Off Site Habitat Baseline'!$D$1:$O$258,8,FALSE))))</f>
        <v/>
      </c>
      <c r="K258" s="534" t="str">
        <f>IF(E258="","",IF(ISNA(VLOOKUP($E258,'D-1 Off Site Habitat Baseline'!$D$1:$O$258,9,FALSE)),"",(VLOOKUP($E258,'D-1 Off Site Habitat Baseline'!$D$1:$O$258,9,FALSE))))</f>
        <v/>
      </c>
      <c r="L258" s="534" t="str">
        <f>IF(E258="","",IF(ISNA(VLOOKUP($E258,'D-1 Off Site Habitat Baseline'!$D$1:$O$258,11,FALSE)),"",(VLOOKUP($E258,'D-1 Off Site Habitat Baseline'!$D$1:$O$258,11,FALSE))))</f>
        <v/>
      </c>
      <c r="M258" s="534" t="str">
        <f>IF(E258="","",IF(ISNA(VLOOKUP($E258,'D-1 Off Site Habitat Baseline'!$D$1:$O$258,12,FALSE)),"",(VLOOKUP($E258,'D-1 Off Site Habitat Baseline'!$D$1:$O$258,12,FALSE))))</f>
        <v/>
      </c>
      <c r="N258" s="534" t="str">
        <f>IF(E258="","",IF(ISNA(VLOOKUP($E258,'D-1 Off Site Habitat Baseline'!$D$1:$X$258,14,FALSE)),"",(VLOOKUP($E258,'D-1 Off Site Habitat Baseline'!$D$1:$X$258,14,FALSE))))</f>
        <v/>
      </c>
      <c r="O258" s="536" t="str">
        <f>IF(E258="","",IF(ISNA(VLOOKUP($E258,'D-1 Off Site Habitat Baseline'!$D$1:$X$258,13,FALSE)),"",(VLOOKUP($E258,'D-1 Off Site Habitat Baseline'!$D$1:$X$258,13,FALSE))))</f>
        <v/>
      </c>
      <c r="P258" s="437" t="str">
        <f>IFERROR(INDEX('G-1 All Habitats'!$AG$3:$AG$15,MATCH(Q258,'G-1 All Habitats'!$AF$3:$AF$15,0)),"")</f>
        <v/>
      </c>
      <c r="Q258" s="438" t="str">
        <f t="shared" si="45"/>
        <v/>
      </c>
      <c r="R258" s="439" t="str">
        <f t="shared" si="46"/>
        <v/>
      </c>
      <c r="S258" s="440" t="str">
        <f>IFERROR(INDEX('G-1 All Habitats'!$B$3:$B$129,MATCH(R258,'G-1 All Habitats'!$A$3:$A$129,0)),"")</f>
        <v/>
      </c>
      <c r="T258" s="507" t="str">
        <f t="shared" si="38"/>
        <v/>
      </c>
      <c r="U258" s="524" t="str">
        <f t="shared" si="39"/>
        <v/>
      </c>
      <c r="V258" s="549" t="str">
        <f t="shared" si="36"/>
        <v/>
      </c>
      <c r="W258" s="534" t="str">
        <f>IF(S258="","",VLOOKUP(S258,'G-1 All Habitats'!$B$2:$M$129,10,FALSE))</f>
        <v/>
      </c>
      <c r="X258" s="534" t="str">
        <f>IFERROR(VLOOKUP(W258,'G-1 All Habitats'!$V$3:$W$7,2,FALSE),"")</f>
        <v/>
      </c>
      <c r="Y258" s="211"/>
      <c r="Z258" s="536" t="str">
        <f>IFERROR(INDEX('G-8 Condition Look up'!$A$3:$H$130,MATCH(S258,'G-8 Condition Look up'!$A$3:$A$130,0),MATCH(Y258,'G-8 Condition Look up'!$A$3:$H$3,0)),"")</f>
        <v/>
      </c>
      <c r="AA258" s="210"/>
      <c r="AB258" s="540" t="str">
        <f>IF(AA258="","",IF(VLOOKUP(AA258,'G-3 Multipliers'!$L$3:$N$6,2,FALSE)=0,"Spatial Data Missing ⚠",VLOOKUP(AA258,'G-3 Multipliers'!$L$3:$N$6,2,FALSE)))</f>
        <v/>
      </c>
      <c r="AC258" s="524" t="str">
        <f>IF(AA258="","",IF(VLOOKUP(AA258,'G-3 Multipliers'!$L$3:$N$6,3,FALSE)=0,"Spatial Data Missing ⚠",VLOOKUP(AA258,'G-3 Multipliers'!$L$3:$N$6,3,FALSE)))</f>
        <v/>
      </c>
      <c r="AD258" s="537" t="str">
        <f t="shared" si="37"/>
        <v/>
      </c>
      <c r="AE258" s="211"/>
      <c r="AF258" s="211"/>
      <c r="AG258" s="520" t="str">
        <f t="shared" si="40"/>
        <v/>
      </c>
      <c r="AH258" s="544" t="str">
        <f t="shared" si="41"/>
        <v/>
      </c>
      <c r="AI258" s="525" t="str">
        <f>IF(AH258="Check Data ⚠","Check Data ⚠",IFERROR(VLOOKUP(AH258,'G-4 Temporal multipliers'!$A$4:$C$36,3,FALSE),""))</f>
        <v/>
      </c>
      <c r="AJ258" s="538" t="str">
        <f>IF(S258="","",VLOOKUP(S258,'G-3 Multipliers'!$A$2:$E$129,4,FALSE))</f>
        <v/>
      </c>
      <c r="AK258" s="520" t="str">
        <f t="shared" si="42"/>
        <v/>
      </c>
      <c r="AL258" s="534" t="str">
        <f t="shared" si="43"/>
        <v/>
      </c>
      <c r="AM258" s="524" t="str">
        <f>IFERROR(IF(F258="","",IF(AH258="Check Data ⚠","Check Data ⚠",VLOOKUP(AL258, 'G-3 Multipliers'!$P$2:$Q$6,2,FALSE))),"")</f>
        <v/>
      </c>
      <c r="AN258" s="397"/>
      <c r="AO258" s="540" t="str">
        <f>IF(AN258="","",IF(VLOOKUP(AN258,'G-3 Multipliers'!$S$3:$T$9,2,FALSE)=0,"Spatial Data Missing ⚠",VLOOKUP(AN258,'G-3 Multipliers'!$S$3:$T$9,2,FALSE)))</f>
        <v/>
      </c>
      <c r="AP258" s="551" t="str">
        <f t="shared" si="44"/>
        <v/>
      </c>
      <c r="AQ258" s="441"/>
      <c r="AR258" s="442"/>
    </row>
    <row r="259" spans="1:44" ht="21.6" customHeight="1" thickBot="1" x14ac:dyDescent="0.3">
      <c r="E259" s="46"/>
      <c r="F259" s="46"/>
      <c r="G259" s="46"/>
      <c r="H259" s="46"/>
      <c r="I259" s="46"/>
      <c r="J259" s="46"/>
      <c r="K259" s="46"/>
      <c r="L259" s="46"/>
      <c r="M259" s="46"/>
      <c r="N259" s="46"/>
      <c r="O259" s="46"/>
      <c r="P259" s="46"/>
      <c r="Q259" s="46"/>
      <c r="R259" s="46"/>
      <c r="S259" s="46"/>
      <c r="T259" s="46"/>
      <c r="U259" s="224"/>
      <c r="V259" s="550">
        <f>SUM(V12:V258)</f>
        <v>0</v>
      </c>
      <c r="W259" s="46"/>
      <c r="X259" s="46"/>
      <c r="Y259" s="46"/>
      <c r="Z259" s="46"/>
      <c r="AA259" s="46"/>
      <c r="AB259" s="46"/>
      <c r="AC259" s="46"/>
      <c r="AD259" s="46"/>
      <c r="AE259" s="46"/>
      <c r="AF259" s="46"/>
      <c r="AG259" s="46"/>
      <c r="AH259" s="46"/>
      <c r="AI259" s="46"/>
      <c r="AJ259" s="46"/>
      <c r="AK259" s="46"/>
      <c r="AL259" s="46"/>
      <c r="AM259" s="46"/>
      <c r="AN259" s="436"/>
      <c r="AO259" s="436"/>
      <c r="AP259" s="552">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154" priority="40" operator="containsText" text="Not Possible">
      <formula>NOT(ISERROR(SEARCH("Not Possible",Z12)))</formula>
    </cfRule>
  </conditionalFormatting>
  <conditionalFormatting sqref="AN12:AN24">
    <cfRule type="containsText" dxfId="153" priority="37" operator="containsText" text="Existing Value Not Required">
      <formula>NOT(ISERROR(SEARCH("Existing Value Not Required",AN12)))</formula>
    </cfRule>
    <cfRule type="containsText" dxfId="152" priority="38" operator="containsText" text="Existing Value Required">
      <formula>NOT(ISERROR(SEARCH("Existing Value Required",AN12)))</formula>
    </cfRule>
  </conditionalFormatting>
  <conditionalFormatting sqref="Z13">
    <cfRule type="containsText" dxfId="151" priority="19" operator="containsText" text="Not Possible">
      <formula>NOT(ISERROR(SEARCH("Not Possible",Z13)))</formula>
    </cfRule>
  </conditionalFormatting>
  <conditionalFormatting sqref="AN13">
    <cfRule type="containsText" dxfId="150" priority="17" operator="containsText" text="Existing Value Not Required">
      <formula>NOT(ISERROR(SEARCH("Existing Value Not Required",AN13)))</formula>
    </cfRule>
    <cfRule type="containsText" dxfId="149" priority="18" operator="containsText" text="Existing Value Required">
      <formula>NOT(ISERROR(SEARCH("Existing Value Required",AN13)))</formula>
    </cfRule>
  </conditionalFormatting>
  <conditionalFormatting sqref="AN14:AN258">
    <cfRule type="containsText" dxfId="148" priority="14" operator="containsText" text="Existing Value Not Required">
      <formula>NOT(ISERROR(SEARCH("Existing Value Not Required",AN14)))</formula>
    </cfRule>
    <cfRule type="containsText" dxfId="147" priority="15" operator="containsText" text="Existing Value Required">
      <formula>NOT(ISERROR(SEARCH("Existing Value Required",AN14)))</formula>
    </cfRule>
  </conditionalFormatting>
  <conditionalFormatting sqref="Z14:Z258">
    <cfRule type="containsText" dxfId="146" priority="16" operator="containsText" text="Not Possible">
      <formula>NOT(ISERROR(SEARCH("Not Possible",Z14)))</formula>
    </cfRule>
  </conditionalFormatting>
  <conditionalFormatting sqref="AP12:AP258">
    <cfRule type="containsText" dxfId="145" priority="12" operator="containsText" text="Existing Value Not Required">
      <formula>NOT(ISERROR(SEARCH("Existing Value Not Required",AP12)))</formula>
    </cfRule>
    <cfRule type="containsText" dxfId="144" priority="13" operator="containsText" text="Existing Value Required">
      <formula>NOT(ISERROR(SEARCH("Existing Value Required",AP12)))</formula>
    </cfRule>
  </conditionalFormatting>
  <conditionalFormatting sqref="O12:O258">
    <cfRule type="beginsWith" dxfId="143" priority="8" operator="beginsWith" text="Bespoke">
      <formula>LEFT(O12,LEN("Bespoke"))="Bespoke"</formula>
    </cfRule>
    <cfRule type="beginsWith" dxfId="142" priority="9" operator="beginsWith" text="Same distinctiveness">
      <formula>LEFT(O12,LEN("Same distinctiveness"))="Same distinctiveness"</formula>
    </cfRule>
    <cfRule type="beginsWith" dxfId="141" priority="10" operator="beginsWith" text="Same broad">
      <formula>LEFT(O12,LEN("Same broad"))="Same broad"</formula>
    </cfRule>
    <cfRule type="beginsWith" dxfId="140" priority="11" operator="beginsWith" text="Same Habitat">
      <formula>LEFT(O12,LEN("Same Habitat"))="Same Habitat"</formula>
    </cfRule>
  </conditionalFormatting>
  <conditionalFormatting sqref="T12:AP258">
    <cfRule type="containsText" dxfId="139" priority="7" operator="containsText" text="Error">
      <formula>NOT(ISERROR(SEARCH("Error",T12)))</formula>
    </cfRule>
  </conditionalFormatting>
  <conditionalFormatting sqref="AB12:AC258">
    <cfRule type="containsText" dxfId="138" priority="6" operator="containsText" text="Spatial">
      <formula>NOT(ISERROR(SEARCH("Spatial",AB12)))</formula>
    </cfRule>
  </conditionalFormatting>
  <conditionalFormatting sqref="AD2">
    <cfRule type="containsText" dxfId="137" priority="5" operator="containsText" text="Note">
      <formula>NOT(ISERROR(SEARCH("Note",AD2)))</formula>
    </cfRule>
  </conditionalFormatting>
  <conditionalFormatting sqref="AD12:AP258">
    <cfRule type="containsText" dxfId="136" priority="4" operator="containsText" text="Check">
      <formula>NOT(ISERROR(SEARCH("Check",AD12)))</formula>
    </cfRule>
  </conditionalFormatting>
  <conditionalFormatting sqref="AO12:AO258">
    <cfRule type="containsText" dxfId="135" priority="3" operator="containsText" text="Spatial">
      <formula>NOT(ISERROR(SEARCH("Spatial",AO12)))</formula>
    </cfRule>
  </conditionalFormatting>
  <conditionalFormatting sqref="V260">
    <cfRule type="containsText" dxfId="134" priority="2" operator="containsText" text="Error">
      <formula>NOT(ISERROR(SEARCH("Error",V260)))</formula>
    </cfRule>
  </conditionalFormatting>
  <conditionalFormatting sqref="AD5">
    <cfRule type="containsText" dxfId="133"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70" zoomScaleNormal="70" workbookViewId="0">
      <pane ySplit="9" topLeftCell="A10" activePane="bottomLeft" state="frozen"/>
      <selection activeCell="S28" sqref="S28"/>
      <selection pane="bottomLeft" activeCell="L20" sqref="L20"/>
    </sheetView>
  </sheetViews>
  <sheetFormatPr defaultColWidth="8.88671875" defaultRowHeight="0" customHeight="1" zeroHeight="1" x14ac:dyDescent="0.25"/>
  <cols>
    <col min="1" max="1" width="3" style="31" customWidth="1"/>
    <col min="2" max="2" width="11.88671875" style="31" customWidth="1"/>
    <col min="3" max="3" width="12.6640625" style="31" customWidth="1"/>
    <col min="4" max="4" width="62.5546875" style="31" customWidth="1"/>
    <col min="5" max="5" width="10.6640625" style="31" customWidth="1"/>
    <col min="6" max="6" width="19.109375" style="31" customWidth="1"/>
    <col min="7" max="7" width="8.6640625" style="31" customWidth="1"/>
    <col min="8" max="8" width="14.33203125" style="31" bestFit="1" customWidth="1"/>
    <col min="9" max="9" width="8.44140625" style="31" customWidth="1"/>
    <col min="10" max="10" width="41.6640625" style="31" customWidth="1"/>
    <col min="11" max="11" width="21.44140625" style="31" customWidth="1"/>
    <col min="12" max="12" width="13.109375" style="31" customWidth="1"/>
    <col min="13" max="13" width="20.6640625" style="31" customWidth="1"/>
    <col min="14" max="14" width="13.33203125" style="31" customWidth="1"/>
    <col min="15" max="15" width="3.6640625" style="31" customWidth="1"/>
    <col min="16" max="17" width="12" style="31" customWidth="1"/>
    <col min="18" max="18" width="10.109375" style="31" customWidth="1"/>
    <col min="19" max="19" width="12" style="31" customWidth="1"/>
    <col min="20" max="21" width="8.6640625" style="31" customWidth="1"/>
    <col min="22" max="23" width="50.109375" style="31" customWidth="1"/>
    <col min="24" max="28" width="8.88671875" style="31" customWidth="1"/>
    <col min="29" max="30" width="8.88671875" style="31"/>
    <col min="31" max="31" width="9" style="31" hidden="1" customWidth="1"/>
    <col min="32" max="32" width="9.5546875" style="31" hidden="1" customWidth="1"/>
    <col min="33" max="33" width="0" style="31" hidden="1" customWidth="1"/>
    <col min="34" max="34" width="11.88671875" style="31" hidden="1" customWidth="1"/>
    <col min="35" max="35" width="0" style="31" hidden="1" customWidth="1"/>
    <col min="36" max="36" width="9" style="31" hidden="1" customWidth="1"/>
    <col min="37" max="37" width="9.5546875" style="31" hidden="1" customWidth="1"/>
    <col min="38" max="38" width="15.88671875" style="31" hidden="1" customWidth="1"/>
    <col min="39" max="16384" width="8.88671875" style="31"/>
  </cols>
  <sheetData>
    <row r="1" spans="2:38" ht="15.75" customHeight="1" thickBot="1" x14ac:dyDescent="0.3"/>
    <row r="2" spans="2:38" ht="20.25" customHeight="1" thickBot="1" x14ac:dyDescent="0.3">
      <c r="B2" s="786" t="str">
        <f>IF([1]Start!$F$12="","",[1]Start!$F$12)</f>
        <v/>
      </c>
      <c r="C2" s="787"/>
      <c r="D2" s="788"/>
    </row>
    <row r="3" spans="2:38" ht="20.399999999999999" customHeight="1" x14ac:dyDescent="0.25">
      <c r="B3" s="975" t="str">
        <f ca="1">MID(CELL("filename",A1),FIND("]",CELL("filename",A1))+1,256)</f>
        <v>B-1 Site Hedge Baseline</v>
      </c>
      <c r="C3" s="976"/>
      <c r="D3" s="977"/>
    </row>
    <row r="4" spans="2:38" ht="10.95" customHeight="1" thickBot="1" x14ac:dyDescent="0.3">
      <c r="B4" s="978"/>
      <c r="C4" s="979"/>
      <c r="D4" s="980"/>
    </row>
    <row r="5" spans="2:38" ht="15.75" customHeight="1" x14ac:dyDescent="0.25"/>
    <row r="6" spans="2:38" ht="20.399999999999999" customHeight="1" x14ac:dyDescent="0.25"/>
    <row r="7" spans="2:38" ht="45" customHeight="1" thickBot="1" x14ac:dyDescent="0.3">
      <c r="B7" s="132"/>
      <c r="C7" s="132"/>
      <c r="E7" s="131"/>
    </row>
    <row r="8" spans="2:38" s="42" customFormat="1" ht="28.5" customHeight="1" thickBot="1" x14ac:dyDescent="0.3">
      <c r="B8" s="40"/>
      <c r="C8" s="970" t="s">
        <v>292</v>
      </c>
      <c r="D8" s="971"/>
      <c r="E8" s="972"/>
      <c r="F8" s="949" t="s">
        <v>272</v>
      </c>
      <c r="G8" s="949"/>
      <c r="H8" s="949" t="s">
        <v>273</v>
      </c>
      <c r="I8" s="949"/>
      <c r="J8" s="949" t="s">
        <v>191</v>
      </c>
      <c r="K8" s="949"/>
      <c r="L8" s="949"/>
      <c r="M8" s="973" t="s">
        <v>192</v>
      </c>
      <c r="N8" s="167" t="s">
        <v>193</v>
      </c>
      <c r="O8" s="31"/>
      <c r="P8" s="970" t="s">
        <v>194</v>
      </c>
      <c r="Q8" s="971"/>
      <c r="R8" s="971"/>
      <c r="S8" s="971"/>
      <c r="T8" s="971"/>
      <c r="U8" s="972"/>
      <c r="V8" s="970" t="s">
        <v>196</v>
      </c>
      <c r="W8" s="972"/>
    </row>
    <row r="9" spans="2:38" ht="45.75" customHeight="1" thickBot="1" x14ac:dyDescent="0.3">
      <c r="B9" s="135" t="s">
        <v>254</v>
      </c>
      <c r="C9" s="201" t="s">
        <v>293</v>
      </c>
      <c r="D9" s="201" t="s">
        <v>99</v>
      </c>
      <c r="E9" s="202" t="s">
        <v>294</v>
      </c>
      <c r="F9" s="368" t="s">
        <v>189</v>
      </c>
      <c r="G9" s="202" t="s">
        <v>206</v>
      </c>
      <c r="H9" s="368" t="s">
        <v>190</v>
      </c>
      <c r="I9" s="202" t="s">
        <v>206</v>
      </c>
      <c r="J9" s="368" t="s">
        <v>191</v>
      </c>
      <c r="K9" s="201" t="s">
        <v>191</v>
      </c>
      <c r="L9" s="202" t="s">
        <v>231</v>
      </c>
      <c r="M9" s="974"/>
      <c r="N9" s="207" t="s">
        <v>295</v>
      </c>
      <c r="P9" s="368" t="s">
        <v>296</v>
      </c>
      <c r="Q9" s="201" t="s">
        <v>297</v>
      </c>
      <c r="R9" s="201" t="s">
        <v>298</v>
      </c>
      <c r="S9" s="201" t="s">
        <v>299</v>
      </c>
      <c r="T9" s="201" t="s">
        <v>300</v>
      </c>
      <c r="U9" s="202" t="s">
        <v>214</v>
      </c>
      <c r="V9" s="208" t="s">
        <v>215</v>
      </c>
      <c r="W9" s="209" t="s">
        <v>216</v>
      </c>
      <c r="AE9" s="156" t="s">
        <v>219</v>
      </c>
      <c r="AF9" s="156" t="s">
        <v>220</v>
      </c>
      <c r="AH9" s="156" t="s">
        <v>222</v>
      </c>
      <c r="AJ9" s="156" t="s">
        <v>219</v>
      </c>
      <c r="AK9" s="156" t="s">
        <v>220</v>
      </c>
      <c r="AL9" s="131" t="s">
        <v>200</v>
      </c>
    </row>
    <row r="10" spans="2:38" ht="27.6" x14ac:dyDescent="0.25">
      <c r="B10" s="141">
        <v>1</v>
      </c>
      <c r="C10" s="203">
        <v>1</v>
      </c>
      <c r="D10" s="203" t="s">
        <v>119</v>
      </c>
      <c r="E10" s="153">
        <v>3.7999999999999999E-2</v>
      </c>
      <c r="F10" s="553" t="str">
        <f>IF(D10="","",VLOOKUP(D10,'G-6 Hedgerow Data'!$B$2:$AG$15,2,FALSE))</f>
        <v>V.Low</v>
      </c>
      <c r="G10" s="499">
        <f>IF(D10="","",VLOOKUP(D10,'G-6 Hedgerow Data'!$B$2:$AG$15,3,FALSE))</f>
        <v>1</v>
      </c>
      <c r="H10" s="145" t="s">
        <v>242</v>
      </c>
      <c r="I10" s="499">
        <f>IFERROR(VLOOKUP(H10,'G-1 All Habitats'!$Z$2:$AA$9,2,FALSE),"")</f>
        <v>1</v>
      </c>
      <c r="J10" s="145" t="s">
        <v>913</v>
      </c>
      <c r="K10" s="520" t="str">
        <f>IF(J10="","",IF(VLOOKUP(J10,'G-3 Multipliers'!$L$3:$N$6,2,FALSE)=0,"Spatial Data Missing",VLOOKUP(J10,'G-3 Multipliers'!$L$3:$N$6,2,FALSE)))</f>
        <v xml:space="preserve">High strategic significance </v>
      </c>
      <c r="L10" s="505">
        <f>IF(J10="","",IF(VLOOKUP(J10,'G-3 Multipliers'!$L$3:$N$6,3,FALSE)=0,"Spatial Data Missing ⚠",VLOOKUP(J10,'G-3 Multipliers'!$L$3:$N$6,3,FALSE)))</f>
        <v>1.1499999999999999</v>
      </c>
      <c r="M10" s="506" t="str">
        <f>IF(D10="","",VLOOKUP(D10,'G-6 Hedgerow Data'!$B$1:$AH$15,33,FALSE))</f>
        <v>Same distinctiveness band or better</v>
      </c>
      <c r="N10" s="513">
        <f>IFERROR(E10*G10*I10*L10,"")</f>
        <v>4.3699999999999996E-2</v>
      </c>
      <c r="O10" s="40"/>
      <c r="P10" s="154">
        <v>3.7999999999999999E-2</v>
      </c>
      <c r="Q10" s="203"/>
      <c r="R10" s="532">
        <f>IFERROR(P10*G10*I10*L10,"")</f>
        <v>4.3699999999999996E-2</v>
      </c>
      <c r="S10" s="532">
        <f>IFERROR(Q10*G10*I10*L10,"")</f>
        <v>0</v>
      </c>
      <c r="T10" s="532">
        <f>IF(D10="","",IF(E10-P10-Q10=0&lt;0,"Error in lengths ▲",IF(P10+Q10&gt;E10,"Error in Lengths ▲",E10-P10-Q10)))</f>
        <v>0</v>
      </c>
      <c r="U10" s="557">
        <f>IF(OR(E10="",N10=""),"",IF(E10-P10-Q10=0&lt;0,"Error in Lengths ▲",IF(P10+Q10&gt;E10,"Error in Lengths ▲",N10-R10-S10)))</f>
        <v>0</v>
      </c>
      <c r="V10" s="169" t="s">
        <v>1575</v>
      </c>
      <c r="W10" s="170"/>
      <c r="AE10" s="156" t="b">
        <f t="shared" ref="AE10:AE73" si="0">IF(D10="","",IF(P10&gt;0,TRUE,FALSE))</f>
        <v>1</v>
      </c>
      <c r="AF10" s="156" t="b">
        <f t="shared" ref="AF10:AF73" si="1">IF(D10="","",IF(Q10&gt;0,TRUE,FALSE))</f>
        <v>0</v>
      </c>
      <c r="AH10" s="156">
        <v>1</v>
      </c>
      <c r="AJ10" s="156">
        <f t="array" ref="AJ10">IFERROR(INDEX($AH$10:$AH$258, MATCH(0, IF(TRUE=$AE$10:$AE$258, COUNTIF($AJ9:$AJ$9, $AH$10:$AH$258), ""), 0)),"")</f>
        <v>1</v>
      </c>
      <c r="AK10" s="156" t="str">
        <f t="array" ref="AK10">IFERROR(INDEX($AH$10:$AH$258, MATCH(0, IF(TRUE=$AF$10:$AF$258, COUNTIF($AK9:$AK$9, $AH$10:$AH$258), ""), 0)),"")</f>
        <v/>
      </c>
      <c r="AL10" s="31" t="str">
        <f>IFERROR(INDEX('G-6 Hedgerow Data'!$BJ$3:$BJ$15,MATCH(D10,'G-6 Hedgerow Data'!$B$3:$B$15,0)),"")</f>
        <v>Hedgecond2</v>
      </c>
    </row>
    <row r="11" spans="2:38" ht="13.8" x14ac:dyDescent="0.25">
      <c r="B11" s="141">
        <v>2</v>
      </c>
      <c r="C11" s="203"/>
      <c r="D11" s="203"/>
      <c r="E11" s="153"/>
      <c r="F11" s="553" t="str">
        <f>IF(D11="","",VLOOKUP(D11,'G-6 Hedgerow Data'!$B$2:$AG$15,2,FALSE))</f>
        <v/>
      </c>
      <c r="G11" s="499" t="str">
        <f>IF(D11="","",VLOOKUP(D11,'G-6 Hedgerow Data'!$B$2:$AG$15,3,FALSE))</f>
        <v/>
      </c>
      <c r="H11" s="145"/>
      <c r="I11" s="499" t="str">
        <f>IFERROR(VLOOKUP(H11,'G-1 All Habitats'!$Z$2:$AA$9,2,FALSE),"")</f>
        <v/>
      </c>
      <c r="J11" s="145"/>
      <c r="K11" s="507" t="str">
        <f>IF(J11="","",IF(VLOOKUP(J11,'G-3 Multipliers'!$L$3:$N$6,2,FALSE)=0,"Spatial Data Missing",VLOOKUP(J11,'G-3 Multipliers'!$L$3:$N$6,2,FALSE)))</f>
        <v/>
      </c>
      <c r="L11" s="505" t="str">
        <f>IF(J11="","",IF(VLOOKUP(J11,'G-3 Multipliers'!$L$3:$N$6,3,FALSE)=0,"Spatial Data Missing ⚠",VLOOKUP(J11,'G-3 Multipliers'!$L$3:$N$6,3,FALSE)))</f>
        <v/>
      </c>
      <c r="M11" s="506" t="str">
        <f>IF(D11="","",VLOOKUP(D11,'G-6 Hedgerow Data'!$B$1:$AH$15,33,FALSE))</f>
        <v/>
      </c>
      <c r="N11" s="513" t="str">
        <f t="shared" ref="N11:N74" si="2">IFERROR(E11*G11*I11*L11,"")</f>
        <v/>
      </c>
      <c r="O11" s="40"/>
      <c r="P11" s="154"/>
      <c r="Q11" s="203"/>
      <c r="R11" s="532" t="str">
        <f t="shared" ref="R11:R74" si="3">IFERROR(P11*G11*I11*L11,"")</f>
        <v/>
      </c>
      <c r="S11" s="532" t="str">
        <f t="shared" ref="S11:S74" si="4">IFERROR(Q11*G11*I11*L11,"")</f>
        <v/>
      </c>
      <c r="T11" s="532" t="str">
        <f t="shared" ref="T11:T74" si="5">IF(D11="","",IF(E11-P11-Q11=0&lt;0,"Error in lengths ▲",IF(P11+Q11&gt;E11,"Error in Lengths ▲",E11-P11-Q11)))</f>
        <v/>
      </c>
      <c r="U11" s="557"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3.8" x14ac:dyDescent="0.25">
      <c r="B12" s="141">
        <v>3</v>
      </c>
      <c r="C12" s="203"/>
      <c r="D12" s="203"/>
      <c r="E12" s="153"/>
      <c r="F12" s="553" t="str">
        <f>IF(D12="","",VLOOKUP(D12,'G-6 Hedgerow Data'!$B$2:$AG$15,2,FALSE))</f>
        <v/>
      </c>
      <c r="G12" s="499" t="str">
        <f>IF(D12="","",VLOOKUP(D12,'G-6 Hedgerow Data'!$B$2:$AG$15,3,FALSE))</f>
        <v/>
      </c>
      <c r="H12" s="145"/>
      <c r="I12" s="499" t="str">
        <f>IFERROR(VLOOKUP(H12,'G-1 All Habitats'!$Z$2:$AA$9,2,FALSE),"")</f>
        <v/>
      </c>
      <c r="J12" s="145"/>
      <c r="K12" s="507" t="str">
        <f>IF(J12="","",IF(VLOOKUP(J12,'G-3 Multipliers'!$L$3:$N$6,2,FALSE)=0,"Spatial Data Missing",VLOOKUP(J12,'G-3 Multipliers'!$L$3:$N$6,2,FALSE)))</f>
        <v/>
      </c>
      <c r="L12" s="505" t="str">
        <f>IF(J12="","",IF(VLOOKUP(J12,'G-3 Multipliers'!$L$3:$N$6,3,FALSE)=0,"Spatial Data Missing ⚠",VLOOKUP(J12,'G-3 Multipliers'!$L$3:$N$6,3,FALSE)))</f>
        <v/>
      </c>
      <c r="M12" s="506" t="str">
        <f>IF(D12="","",VLOOKUP(D12,'G-6 Hedgerow Data'!$B$1:$AH$15,33,FALSE))</f>
        <v/>
      </c>
      <c r="N12" s="513" t="str">
        <f t="shared" si="2"/>
        <v/>
      </c>
      <c r="O12" s="40"/>
      <c r="P12" s="154"/>
      <c r="Q12" s="203"/>
      <c r="R12" s="532" t="str">
        <f t="shared" si="3"/>
        <v/>
      </c>
      <c r="S12" s="532" t="str">
        <f t="shared" si="4"/>
        <v/>
      </c>
      <c r="T12" s="532" t="str">
        <f t="shared" si="5"/>
        <v/>
      </c>
      <c r="U12" s="557"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3.8" x14ac:dyDescent="0.25">
      <c r="B13" s="141">
        <v>4</v>
      </c>
      <c r="C13" s="203"/>
      <c r="D13" s="203"/>
      <c r="E13" s="153"/>
      <c r="F13" s="553" t="str">
        <f>IF(D13="","",VLOOKUP(D13,'G-6 Hedgerow Data'!$B$2:$AG$15,2,FALSE))</f>
        <v/>
      </c>
      <c r="G13" s="499" t="str">
        <f>IF(D13="","",VLOOKUP(D13,'G-6 Hedgerow Data'!$B$2:$AG$15,3,FALSE))</f>
        <v/>
      </c>
      <c r="H13" s="145"/>
      <c r="I13" s="499" t="str">
        <f>IFERROR(VLOOKUP(H13,'G-1 All Habitats'!$Z$2:$AA$9,2,FALSE),"")</f>
        <v/>
      </c>
      <c r="J13" s="145"/>
      <c r="K13" s="507" t="str">
        <f>IF(J13="","",IF(VLOOKUP(J13,'G-3 Multipliers'!$L$3:$N$6,2,FALSE)=0,"Spatial Data Missing",VLOOKUP(J13,'G-3 Multipliers'!$L$3:$N$6,2,FALSE)))</f>
        <v/>
      </c>
      <c r="L13" s="505" t="str">
        <f>IF(J13="","",IF(VLOOKUP(J13,'G-3 Multipliers'!$L$3:$N$6,3,FALSE)=0,"Spatial Data Missing ⚠",VLOOKUP(J13,'G-3 Multipliers'!$L$3:$N$6,3,FALSE)))</f>
        <v/>
      </c>
      <c r="M13" s="506" t="str">
        <f>IF(D13="","",VLOOKUP(D13,'G-6 Hedgerow Data'!$B$1:$AH$15,33,FALSE))</f>
        <v/>
      </c>
      <c r="N13" s="513" t="str">
        <f t="shared" si="2"/>
        <v/>
      </c>
      <c r="O13" s="40"/>
      <c r="P13" s="154"/>
      <c r="Q13" s="203"/>
      <c r="R13" s="532" t="str">
        <f t="shared" si="3"/>
        <v/>
      </c>
      <c r="S13" s="532" t="str">
        <f t="shared" si="4"/>
        <v/>
      </c>
      <c r="T13" s="532" t="str">
        <f t="shared" si="5"/>
        <v/>
      </c>
      <c r="U13" s="557"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3.8" x14ac:dyDescent="0.25">
      <c r="B14" s="141">
        <v>5</v>
      </c>
      <c r="C14" s="203"/>
      <c r="D14" s="203"/>
      <c r="E14" s="153"/>
      <c r="F14" s="553" t="str">
        <f>IF(D14="","",VLOOKUP(D14,'G-6 Hedgerow Data'!$B$2:$AG$15,2,FALSE))</f>
        <v/>
      </c>
      <c r="G14" s="499" t="str">
        <f>IF(D14="","",VLOOKUP(D14,'G-6 Hedgerow Data'!$B$2:$AG$15,3,FALSE))</f>
        <v/>
      </c>
      <c r="H14" s="145"/>
      <c r="I14" s="499" t="str">
        <f>IFERROR(VLOOKUP(H14,'G-1 All Habitats'!$Z$2:$AA$9,2,FALSE),"")</f>
        <v/>
      </c>
      <c r="J14" s="145"/>
      <c r="K14" s="507" t="str">
        <f>IF(J14="","",IF(VLOOKUP(J14,'G-3 Multipliers'!$L$3:$N$6,2,FALSE)=0,"Spatial Data Missing",VLOOKUP(J14,'G-3 Multipliers'!$L$3:$N$6,2,FALSE)))</f>
        <v/>
      </c>
      <c r="L14" s="505" t="str">
        <f>IF(J14="","",IF(VLOOKUP(J14,'G-3 Multipliers'!$L$3:$N$6,3,FALSE)=0,"Spatial Data Missing ⚠",VLOOKUP(J14,'G-3 Multipliers'!$L$3:$N$6,3,FALSE)))</f>
        <v/>
      </c>
      <c r="M14" s="506" t="str">
        <f>IF(D14="","",VLOOKUP(D14,'G-6 Hedgerow Data'!$B$1:$AH$15,33,FALSE))</f>
        <v/>
      </c>
      <c r="N14" s="513" t="str">
        <f t="shared" si="2"/>
        <v/>
      </c>
      <c r="O14" s="40"/>
      <c r="P14" s="154"/>
      <c r="Q14" s="203"/>
      <c r="R14" s="532" t="str">
        <f t="shared" si="3"/>
        <v/>
      </c>
      <c r="S14" s="532" t="str">
        <f t="shared" si="4"/>
        <v/>
      </c>
      <c r="T14" s="532" t="str">
        <f t="shared" si="5"/>
        <v/>
      </c>
      <c r="U14" s="557"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3.8" x14ac:dyDescent="0.25">
      <c r="B15" s="141">
        <v>6</v>
      </c>
      <c r="C15" s="203"/>
      <c r="D15" s="203"/>
      <c r="E15" s="153"/>
      <c r="F15" s="553" t="str">
        <f>IF(D15="","",VLOOKUP(D15,'G-6 Hedgerow Data'!$B$2:$AG$15,2,FALSE))</f>
        <v/>
      </c>
      <c r="G15" s="499" t="str">
        <f>IF(D15="","",VLOOKUP(D15,'G-6 Hedgerow Data'!$B$2:$AG$15,3,FALSE))</f>
        <v/>
      </c>
      <c r="H15" s="145"/>
      <c r="I15" s="499" t="str">
        <f>IFERROR(VLOOKUP(H15,'G-1 All Habitats'!$Z$2:$AA$9,2,FALSE),"")</f>
        <v/>
      </c>
      <c r="J15" s="145"/>
      <c r="K15" s="507" t="str">
        <f>IF(J15="","",IF(VLOOKUP(J15,'G-3 Multipliers'!$L$3:$N$6,2,FALSE)=0,"Spatial Data Missing",VLOOKUP(J15,'G-3 Multipliers'!$L$3:$N$6,2,FALSE)))</f>
        <v/>
      </c>
      <c r="L15" s="505" t="str">
        <f>IF(J15="","",IF(VLOOKUP(J15,'G-3 Multipliers'!$L$3:$N$6,3,FALSE)=0,"Spatial Data Missing ⚠",VLOOKUP(J15,'G-3 Multipliers'!$L$3:$N$6,3,FALSE)))</f>
        <v/>
      </c>
      <c r="M15" s="506" t="str">
        <f>IF(D15="","",VLOOKUP(D15,'G-6 Hedgerow Data'!$B$1:$AH$15,33,FALSE))</f>
        <v/>
      </c>
      <c r="N15" s="513" t="str">
        <f t="shared" si="2"/>
        <v/>
      </c>
      <c r="O15" s="40"/>
      <c r="P15" s="154"/>
      <c r="Q15" s="203"/>
      <c r="R15" s="532" t="str">
        <f t="shared" si="3"/>
        <v/>
      </c>
      <c r="S15" s="532" t="str">
        <f t="shared" si="4"/>
        <v/>
      </c>
      <c r="T15" s="532" t="str">
        <f t="shared" si="5"/>
        <v/>
      </c>
      <c r="U15" s="557"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8" x14ac:dyDescent="0.25">
      <c r="B16" s="141">
        <v>7</v>
      </c>
      <c r="C16" s="203"/>
      <c r="D16" s="203"/>
      <c r="E16" s="153"/>
      <c r="F16" s="553" t="str">
        <f>IF(D16="","",VLOOKUP(D16,'G-6 Hedgerow Data'!$B$2:$AG$15,2,FALSE))</f>
        <v/>
      </c>
      <c r="G16" s="499" t="str">
        <f>IF(D16="","",VLOOKUP(D16,'G-6 Hedgerow Data'!$B$2:$AG$15,3,FALSE))</f>
        <v/>
      </c>
      <c r="H16" s="145"/>
      <c r="I16" s="499" t="str">
        <f>IFERROR(VLOOKUP(H16,'G-1 All Habitats'!$Z$2:$AA$9,2,FALSE),"")</f>
        <v/>
      </c>
      <c r="J16" s="145"/>
      <c r="K16" s="507" t="str">
        <f>IF(J16="","",IF(VLOOKUP(J16,'G-3 Multipliers'!$L$3:$N$6,2,FALSE)=0,"Spatial Data Missing",VLOOKUP(J16,'G-3 Multipliers'!$L$3:$N$6,2,FALSE)))</f>
        <v/>
      </c>
      <c r="L16" s="505" t="str">
        <f>IF(J16="","",IF(VLOOKUP(J16,'G-3 Multipliers'!$L$3:$N$6,3,FALSE)=0,"Spatial Data Missing ⚠",VLOOKUP(J16,'G-3 Multipliers'!$L$3:$N$6,3,FALSE)))</f>
        <v/>
      </c>
      <c r="M16" s="506" t="str">
        <f>IF(D16="","",VLOOKUP(D16,'G-6 Hedgerow Data'!$B$1:$AH$15,33,FALSE))</f>
        <v/>
      </c>
      <c r="N16" s="513" t="str">
        <f t="shared" si="2"/>
        <v/>
      </c>
      <c r="O16" s="40"/>
      <c r="P16" s="154"/>
      <c r="Q16" s="203"/>
      <c r="R16" s="532" t="str">
        <f t="shared" si="3"/>
        <v/>
      </c>
      <c r="S16" s="532" t="str">
        <f t="shared" si="4"/>
        <v/>
      </c>
      <c r="T16" s="532" t="str">
        <f t="shared" si="5"/>
        <v/>
      </c>
      <c r="U16" s="557"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8" x14ac:dyDescent="0.25">
      <c r="B17" s="141">
        <v>8</v>
      </c>
      <c r="C17" s="203"/>
      <c r="D17" s="203"/>
      <c r="E17" s="153"/>
      <c r="F17" s="553" t="str">
        <f>IF(D17="","",VLOOKUP(D17,'G-6 Hedgerow Data'!$B$2:$AG$15,2,FALSE))</f>
        <v/>
      </c>
      <c r="G17" s="499" t="str">
        <f>IF(D17="","",VLOOKUP(D17,'G-6 Hedgerow Data'!$B$2:$AG$15,3,FALSE))</f>
        <v/>
      </c>
      <c r="H17" s="145"/>
      <c r="I17" s="499" t="str">
        <f>IFERROR(VLOOKUP(H17,'G-1 All Habitats'!$Z$2:$AA$9,2,FALSE),"")</f>
        <v/>
      </c>
      <c r="J17" s="145"/>
      <c r="K17" s="507" t="str">
        <f>IF(J17="","",IF(VLOOKUP(J17,'G-3 Multipliers'!$L$3:$N$6,2,FALSE)=0,"Spatial Data Missing",VLOOKUP(J17,'G-3 Multipliers'!$L$3:$N$6,2,FALSE)))</f>
        <v/>
      </c>
      <c r="L17" s="505" t="str">
        <f>IF(J17="","",IF(VLOOKUP(J17,'G-3 Multipliers'!$L$3:$N$6,3,FALSE)=0,"Spatial Data Missing ⚠",VLOOKUP(J17,'G-3 Multipliers'!$L$3:$N$6,3,FALSE)))</f>
        <v/>
      </c>
      <c r="M17" s="506" t="str">
        <f>IF(D17="","",VLOOKUP(D17,'G-6 Hedgerow Data'!$B$1:$AH$15,33,FALSE))</f>
        <v/>
      </c>
      <c r="N17" s="513" t="str">
        <f t="shared" si="2"/>
        <v/>
      </c>
      <c r="O17" s="40"/>
      <c r="P17" s="154"/>
      <c r="Q17" s="203"/>
      <c r="R17" s="532" t="str">
        <f t="shared" si="3"/>
        <v/>
      </c>
      <c r="S17" s="532" t="str">
        <f t="shared" si="4"/>
        <v/>
      </c>
      <c r="T17" s="532" t="str">
        <f t="shared" si="5"/>
        <v/>
      </c>
      <c r="U17" s="557"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8" x14ac:dyDescent="0.25">
      <c r="B18" s="141">
        <v>9</v>
      </c>
      <c r="C18" s="203"/>
      <c r="D18" s="203"/>
      <c r="E18" s="153"/>
      <c r="F18" s="553" t="str">
        <f>IF(D18="","",VLOOKUP(D18,'G-6 Hedgerow Data'!$B$2:$AG$15,2,FALSE))</f>
        <v/>
      </c>
      <c r="G18" s="499" t="str">
        <f>IF(D18="","",VLOOKUP(D18,'G-6 Hedgerow Data'!$B$2:$AG$15,3,FALSE))</f>
        <v/>
      </c>
      <c r="H18" s="145"/>
      <c r="I18" s="499" t="str">
        <f>IFERROR(VLOOKUP(H18,'G-1 All Habitats'!$Z$2:$AA$9,2,FALSE),"")</f>
        <v/>
      </c>
      <c r="J18" s="145"/>
      <c r="K18" s="507" t="str">
        <f>IF(J18="","",IF(VLOOKUP(J18,'G-3 Multipliers'!$L$3:$N$6,2,FALSE)=0,"Spatial Data Missing",VLOOKUP(J18,'G-3 Multipliers'!$L$3:$N$6,2,FALSE)))</f>
        <v/>
      </c>
      <c r="L18" s="505" t="str">
        <f>IF(J18="","",IF(VLOOKUP(J18,'G-3 Multipliers'!$L$3:$N$6,3,FALSE)=0,"Spatial Data Missing ⚠",VLOOKUP(J18,'G-3 Multipliers'!$L$3:$N$6,3,FALSE)))</f>
        <v/>
      </c>
      <c r="M18" s="506" t="str">
        <f>IF(D18="","",VLOOKUP(D18,'G-6 Hedgerow Data'!$B$1:$AH$15,33,FALSE))</f>
        <v/>
      </c>
      <c r="N18" s="513" t="str">
        <f t="shared" si="2"/>
        <v/>
      </c>
      <c r="O18" s="40"/>
      <c r="P18" s="154"/>
      <c r="Q18" s="203"/>
      <c r="R18" s="532" t="str">
        <f t="shared" si="3"/>
        <v/>
      </c>
      <c r="S18" s="532" t="str">
        <f t="shared" si="4"/>
        <v/>
      </c>
      <c r="T18" s="532" t="str">
        <f t="shared" si="5"/>
        <v/>
      </c>
      <c r="U18" s="557"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3.8" x14ac:dyDescent="0.25">
      <c r="B19" s="141">
        <v>10</v>
      </c>
      <c r="C19" s="203"/>
      <c r="D19" s="203"/>
      <c r="E19" s="153"/>
      <c r="F19" s="553" t="str">
        <f>IF(D19="","",VLOOKUP(D19,'G-6 Hedgerow Data'!$B$2:$AG$15,2,FALSE))</f>
        <v/>
      </c>
      <c r="G19" s="499" t="str">
        <f>IF(D19="","",VLOOKUP(D19,'G-6 Hedgerow Data'!$B$2:$AG$15,3,FALSE))</f>
        <v/>
      </c>
      <c r="H19" s="145"/>
      <c r="I19" s="499" t="str">
        <f>IFERROR(VLOOKUP(H19,'G-1 All Habitats'!$Z$2:$AA$9,2,FALSE),"")</f>
        <v/>
      </c>
      <c r="J19" s="145"/>
      <c r="K19" s="507" t="str">
        <f>IF(J19="","",IF(VLOOKUP(J19,'G-3 Multipliers'!$L$3:$N$6,2,FALSE)=0,"Spatial Data Missing",VLOOKUP(J19,'G-3 Multipliers'!$L$3:$N$6,2,FALSE)))</f>
        <v/>
      </c>
      <c r="L19" s="505" t="str">
        <f>IF(J19="","",IF(VLOOKUP(J19,'G-3 Multipliers'!$L$3:$N$6,3,FALSE)=0,"Spatial Data Missing ⚠",VLOOKUP(J19,'G-3 Multipliers'!$L$3:$N$6,3,FALSE)))</f>
        <v/>
      </c>
      <c r="M19" s="506" t="str">
        <f>IF(D19="","",VLOOKUP(D19,'G-6 Hedgerow Data'!$B$1:$AH$15,33,FALSE))</f>
        <v/>
      </c>
      <c r="N19" s="513" t="str">
        <f t="shared" si="2"/>
        <v/>
      </c>
      <c r="O19" s="40"/>
      <c r="P19" s="154"/>
      <c r="Q19" s="203"/>
      <c r="R19" s="532" t="str">
        <f t="shared" si="3"/>
        <v/>
      </c>
      <c r="S19" s="532" t="str">
        <f t="shared" si="4"/>
        <v/>
      </c>
      <c r="T19" s="532" t="str">
        <f t="shared" si="5"/>
        <v/>
      </c>
      <c r="U19" s="557"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8" x14ac:dyDescent="0.25">
      <c r="B20" s="141">
        <v>11</v>
      </c>
      <c r="C20" s="203"/>
      <c r="D20" s="203"/>
      <c r="E20" s="153"/>
      <c r="F20" s="553" t="str">
        <f>IF(D20="","",VLOOKUP(D20,'G-6 Hedgerow Data'!$B$2:$AG$15,2,FALSE))</f>
        <v/>
      </c>
      <c r="G20" s="499" t="str">
        <f>IF(D20="","",VLOOKUP(D20,'G-6 Hedgerow Data'!$B$2:$AG$15,3,FALSE))</f>
        <v/>
      </c>
      <c r="H20" s="145"/>
      <c r="I20" s="499" t="str">
        <f>IFERROR(VLOOKUP(H20,'G-1 All Habitats'!$Z$2:$AA$9,2,FALSE),"")</f>
        <v/>
      </c>
      <c r="J20" s="145"/>
      <c r="K20" s="507" t="str">
        <f>IF(J20="","",IF(VLOOKUP(J20,'G-3 Multipliers'!$L$3:$N$6,2,FALSE)=0,"Spatial Data Missing",VLOOKUP(J20,'G-3 Multipliers'!$L$3:$N$6,2,FALSE)))</f>
        <v/>
      </c>
      <c r="L20" s="505" t="str">
        <f>IF(J20="","",IF(VLOOKUP(J20,'G-3 Multipliers'!$L$3:$N$6,3,FALSE)=0,"Spatial Data Missing ⚠",VLOOKUP(J20,'G-3 Multipliers'!$L$3:$N$6,3,FALSE)))</f>
        <v/>
      </c>
      <c r="M20" s="506" t="str">
        <f>IF(D20="","",VLOOKUP(D20,'G-6 Hedgerow Data'!$B$1:$AH$15,33,FALSE))</f>
        <v/>
      </c>
      <c r="N20" s="513" t="str">
        <f t="shared" si="2"/>
        <v/>
      </c>
      <c r="O20" s="40"/>
      <c r="P20" s="154"/>
      <c r="Q20" s="203"/>
      <c r="R20" s="532" t="str">
        <f t="shared" si="3"/>
        <v/>
      </c>
      <c r="S20" s="532" t="str">
        <f t="shared" si="4"/>
        <v/>
      </c>
      <c r="T20" s="532" t="str">
        <f t="shared" si="5"/>
        <v/>
      </c>
      <c r="U20" s="557"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8" x14ac:dyDescent="0.25">
      <c r="B21" s="141">
        <v>12</v>
      </c>
      <c r="C21" s="203"/>
      <c r="D21" s="203"/>
      <c r="E21" s="153"/>
      <c r="F21" s="553" t="str">
        <f>IF(D21="","",VLOOKUP(D21,'G-6 Hedgerow Data'!$B$2:$AG$15,2,FALSE))</f>
        <v/>
      </c>
      <c r="G21" s="499" t="str">
        <f>IF(D21="","",VLOOKUP(D21,'G-6 Hedgerow Data'!$B$2:$AG$15,3,FALSE))</f>
        <v/>
      </c>
      <c r="H21" s="145"/>
      <c r="I21" s="499" t="str">
        <f>IFERROR(VLOOKUP(H21,'G-1 All Habitats'!$Z$2:$AA$9,2,FALSE),"")</f>
        <v/>
      </c>
      <c r="J21" s="145"/>
      <c r="K21" s="507" t="str">
        <f>IF(J21="","",IF(VLOOKUP(J21,'G-3 Multipliers'!$L$3:$N$6,2,FALSE)=0,"Spatial Data Missing",VLOOKUP(J21,'G-3 Multipliers'!$L$3:$N$6,2,FALSE)))</f>
        <v/>
      </c>
      <c r="L21" s="505" t="str">
        <f>IF(J21="","",IF(VLOOKUP(J21,'G-3 Multipliers'!$L$3:$N$6,3,FALSE)=0,"Spatial Data Missing ⚠",VLOOKUP(J21,'G-3 Multipliers'!$L$3:$N$6,3,FALSE)))</f>
        <v/>
      </c>
      <c r="M21" s="506" t="str">
        <f>IF(D21="","",VLOOKUP(D21,'G-6 Hedgerow Data'!$B$1:$AH$15,33,FALSE))</f>
        <v/>
      </c>
      <c r="N21" s="513" t="str">
        <f t="shared" si="2"/>
        <v/>
      </c>
      <c r="O21" s="40"/>
      <c r="P21" s="154"/>
      <c r="Q21" s="203"/>
      <c r="R21" s="532" t="str">
        <f t="shared" si="3"/>
        <v/>
      </c>
      <c r="S21" s="532" t="str">
        <f t="shared" si="4"/>
        <v/>
      </c>
      <c r="T21" s="532" t="str">
        <f t="shared" si="5"/>
        <v/>
      </c>
      <c r="U21" s="557"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8" x14ac:dyDescent="0.25">
      <c r="B22" s="141">
        <v>13</v>
      </c>
      <c r="C22" s="203"/>
      <c r="D22" s="203"/>
      <c r="E22" s="153"/>
      <c r="F22" s="553" t="str">
        <f>IF(D22="","",VLOOKUP(D22,'G-6 Hedgerow Data'!$B$2:$AG$15,2,FALSE))</f>
        <v/>
      </c>
      <c r="G22" s="499" t="str">
        <f>IF(D22="","",VLOOKUP(D22,'G-6 Hedgerow Data'!$B$2:$AG$15,3,FALSE))</f>
        <v/>
      </c>
      <c r="H22" s="145"/>
      <c r="I22" s="499" t="str">
        <f>IFERROR(VLOOKUP(H22,'G-1 All Habitats'!$Z$2:$AA$9,2,FALSE),"")</f>
        <v/>
      </c>
      <c r="J22" s="145"/>
      <c r="K22" s="507" t="str">
        <f>IF(J22="","",IF(VLOOKUP(J22,'G-3 Multipliers'!$L$3:$N$6,2,FALSE)=0,"Spatial Data Missing",VLOOKUP(J22,'G-3 Multipliers'!$L$3:$N$6,2,FALSE)))</f>
        <v/>
      </c>
      <c r="L22" s="505" t="str">
        <f>IF(J22="","",IF(VLOOKUP(J22,'G-3 Multipliers'!$L$3:$N$6,3,FALSE)=0,"Spatial Data Missing ⚠",VLOOKUP(J22,'G-3 Multipliers'!$L$3:$N$6,3,FALSE)))</f>
        <v/>
      </c>
      <c r="M22" s="506" t="str">
        <f>IF(D22="","",VLOOKUP(D22,'G-6 Hedgerow Data'!$B$1:$AH$15,33,FALSE))</f>
        <v/>
      </c>
      <c r="N22" s="513" t="str">
        <f t="shared" si="2"/>
        <v/>
      </c>
      <c r="O22" s="40"/>
      <c r="P22" s="154"/>
      <c r="Q22" s="203"/>
      <c r="R22" s="532" t="str">
        <f t="shared" si="3"/>
        <v/>
      </c>
      <c r="S22" s="532" t="str">
        <f t="shared" si="4"/>
        <v/>
      </c>
      <c r="T22" s="532" t="str">
        <f t="shared" si="5"/>
        <v/>
      </c>
      <c r="U22" s="557"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8" x14ac:dyDescent="0.25">
      <c r="B23" s="141">
        <v>14</v>
      </c>
      <c r="C23" s="203"/>
      <c r="D23" s="203"/>
      <c r="E23" s="153"/>
      <c r="F23" s="553" t="str">
        <f>IF(D23="","",VLOOKUP(D23,'G-6 Hedgerow Data'!$B$2:$AG$15,2,FALSE))</f>
        <v/>
      </c>
      <c r="G23" s="499" t="str">
        <f>IF(D23="","",VLOOKUP(D23,'G-6 Hedgerow Data'!$B$2:$AG$15,3,FALSE))</f>
        <v/>
      </c>
      <c r="H23" s="145"/>
      <c r="I23" s="499" t="str">
        <f>IFERROR(VLOOKUP(H23,'G-1 All Habitats'!$Z$2:$AA$9,2,FALSE),"")</f>
        <v/>
      </c>
      <c r="J23" s="145"/>
      <c r="K23" s="507" t="str">
        <f>IF(J23="","",IF(VLOOKUP(J23,'G-3 Multipliers'!$L$3:$N$6,2,FALSE)=0,"Spatial Data Missing",VLOOKUP(J23,'G-3 Multipliers'!$L$3:$N$6,2,FALSE)))</f>
        <v/>
      </c>
      <c r="L23" s="505" t="str">
        <f>IF(J23="","",IF(VLOOKUP(J23,'G-3 Multipliers'!$L$3:$N$6,3,FALSE)=0,"Spatial Data Missing ⚠",VLOOKUP(J23,'G-3 Multipliers'!$L$3:$N$6,3,FALSE)))</f>
        <v/>
      </c>
      <c r="M23" s="506" t="str">
        <f>IF(D23="","",VLOOKUP(D23,'G-6 Hedgerow Data'!$B$1:$AH$15,33,FALSE))</f>
        <v/>
      </c>
      <c r="N23" s="513" t="str">
        <f t="shared" si="2"/>
        <v/>
      </c>
      <c r="O23" s="40"/>
      <c r="P23" s="154"/>
      <c r="Q23" s="203"/>
      <c r="R23" s="532" t="str">
        <f t="shared" si="3"/>
        <v/>
      </c>
      <c r="S23" s="532" t="str">
        <f t="shared" si="4"/>
        <v/>
      </c>
      <c r="T23" s="532" t="str">
        <f t="shared" si="5"/>
        <v/>
      </c>
      <c r="U23" s="557"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8" x14ac:dyDescent="0.25">
      <c r="B24" s="141">
        <v>15</v>
      </c>
      <c r="C24" s="203"/>
      <c r="D24" s="203"/>
      <c r="E24" s="153"/>
      <c r="F24" s="553" t="str">
        <f>IF(D24="","",VLOOKUP(D24,'G-6 Hedgerow Data'!$B$2:$AG$15,2,FALSE))</f>
        <v/>
      </c>
      <c r="G24" s="499" t="str">
        <f>IF(D24="","",VLOOKUP(D24,'G-6 Hedgerow Data'!$B$2:$AG$15,3,FALSE))</f>
        <v/>
      </c>
      <c r="H24" s="145"/>
      <c r="I24" s="499" t="str">
        <f>IFERROR(VLOOKUP(H24,'G-1 All Habitats'!$Z$2:$AA$9,2,FALSE),"")</f>
        <v/>
      </c>
      <c r="J24" s="145"/>
      <c r="K24" s="507" t="str">
        <f>IF(J24="","",IF(VLOOKUP(J24,'G-3 Multipliers'!$L$3:$N$6,2,FALSE)=0,"Spatial Data Missing",VLOOKUP(J24,'G-3 Multipliers'!$L$3:$N$6,2,FALSE)))</f>
        <v/>
      </c>
      <c r="L24" s="505" t="str">
        <f>IF(J24="","",IF(VLOOKUP(J24,'G-3 Multipliers'!$L$3:$N$6,3,FALSE)=0,"Spatial Data Missing ⚠",VLOOKUP(J24,'G-3 Multipliers'!$L$3:$N$6,3,FALSE)))</f>
        <v/>
      </c>
      <c r="M24" s="506" t="str">
        <f>IF(D24="","",VLOOKUP(D24,'G-6 Hedgerow Data'!$B$1:$AH$15,33,FALSE))</f>
        <v/>
      </c>
      <c r="N24" s="513" t="str">
        <f t="shared" si="2"/>
        <v/>
      </c>
      <c r="O24" s="40"/>
      <c r="P24" s="154"/>
      <c r="Q24" s="203"/>
      <c r="R24" s="532" t="str">
        <f t="shared" si="3"/>
        <v/>
      </c>
      <c r="S24" s="532" t="str">
        <f t="shared" si="4"/>
        <v/>
      </c>
      <c r="T24" s="532" t="str">
        <f t="shared" si="5"/>
        <v/>
      </c>
      <c r="U24" s="557"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8" x14ac:dyDescent="0.25">
      <c r="B25" s="141">
        <v>16</v>
      </c>
      <c r="C25" s="203"/>
      <c r="D25" s="203"/>
      <c r="E25" s="153"/>
      <c r="F25" s="553" t="str">
        <f>IF(D25="","",VLOOKUP(D25,'G-6 Hedgerow Data'!$B$2:$AG$15,2,FALSE))</f>
        <v/>
      </c>
      <c r="G25" s="499" t="str">
        <f>IF(D25="","",VLOOKUP(D25,'G-6 Hedgerow Data'!$B$2:$AG$15,3,FALSE))</f>
        <v/>
      </c>
      <c r="H25" s="145"/>
      <c r="I25" s="499" t="str">
        <f>IFERROR(VLOOKUP(H25,'G-1 All Habitats'!$Z$2:$AA$9,2,FALSE),"")</f>
        <v/>
      </c>
      <c r="J25" s="145"/>
      <c r="K25" s="507" t="str">
        <f>IF(J25="","",IF(VLOOKUP(J25,'G-3 Multipliers'!$L$3:$N$6,2,FALSE)=0,"Spatial Data Missing",VLOOKUP(J25,'G-3 Multipliers'!$L$3:$N$6,2,FALSE)))</f>
        <v/>
      </c>
      <c r="L25" s="505" t="str">
        <f>IF(J25="","",IF(VLOOKUP(J25,'G-3 Multipliers'!$L$3:$N$6,3,FALSE)=0,"Spatial Data Missing ⚠",VLOOKUP(J25,'G-3 Multipliers'!$L$3:$N$6,3,FALSE)))</f>
        <v/>
      </c>
      <c r="M25" s="506" t="str">
        <f>IF(D25="","",VLOOKUP(D25,'G-6 Hedgerow Data'!$B$1:$AH$15,33,FALSE))</f>
        <v/>
      </c>
      <c r="N25" s="513" t="str">
        <f t="shared" si="2"/>
        <v/>
      </c>
      <c r="O25" s="40"/>
      <c r="P25" s="154"/>
      <c r="Q25" s="203"/>
      <c r="R25" s="532" t="str">
        <f t="shared" si="3"/>
        <v/>
      </c>
      <c r="S25" s="532" t="str">
        <f t="shared" si="4"/>
        <v/>
      </c>
      <c r="T25" s="532" t="str">
        <f t="shared" si="5"/>
        <v/>
      </c>
      <c r="U25" s="557"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8" x14ac:dyDescent="0.25">
      <c r="B26" s="141">
        <v>17</v>
      </c>
      <c r="C26" s="203"/>
      <c r="D26" s="203"/>
      <c r="E26" s="153"/>
      <c r="F26" s="553" t="str">
        <f>IF(D26="","",VLOOKUP(D26,'G-6 Hedgerow Data'!$B$2:$AG$15,2,FALSE))</f>
        <v/>
      </c>
      <c r="G26" s="499" t="str">
        <f>IF(D26="","",VLOOKUP(D26,'G-6 Hedgerow Data'!$B$2:$AG$15,3,FALSE))</f>
        <v/>
      </c>
      <c r="H26" s="145"/>
      <c r="I26" s="499" t="str">
        <f>IFERROR(VLOOKUP(H26,'G-1 All Habitats'!$Z$2:$AA$9,2,FALSE),"")</f>
        <v/>
      </c>
      <c r="J26" s="145"/>
      <c r="K26" s="507" t="str">
        <f>IF(J26="","",IF(VLOOKUP(J26,'G-3 Multipliers'!$L$3:$N$6,2,FALSE)=0,"Spatial Data Missing",VLOOKUP(J26,'G-3 Multipliers'!$L$3:$N$6,2,FALSE)))</f>
        <v/>
      </c>
      <c r="L26" s="505" t="str">
        <f>IF(J26="","",IF(VLOOKUP(J26,'G-3 Multipliers'!$L$3:$N$6,3,FALSE)=0,"Spatial Data Missing ⚠",VLOOKUP(J26,'G-3 Multipliers'!$L$3:$N$6,3,FALSE)))</f>
        <v/>
      </c>
      <c r="M26" s="506" t="str">
        <f>IF(D26="","",VLOOKUP(D26,'G-6 Hedgerow Data'!$B$1:$AH$15,33,FALSE))</f>
        <v/>
      </c>
      <c r="N26" s="513" t="str">
        <f t="shared" si="2"/>
        <v/>
      </c>
      <c r="O26" s="40"/>
      <c r="P26" s="154"/>
      <c r="Q26" s="203"/>
      <c r="R26" s="532" t="str">
        <f t="shared" si="3"/>
        <v/>
      </c>
      <c r="S26" s="532" t="str">
        <f t="shared" si="4"/>
        <v/>
      </c>
      <c r="T26" s="532" t="str">
        <f t="shared" si="5"/>
        <v/>
      </c>
      <c r="U26" s="557"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8" x14ac:dyDescent="0.25">
      <c r="B27" s="141">
        <v>18</v>
      </c>
      <c r="C27" s="203"/>
      <c r="D27" s="203"/>
      <c r="E27" s="153"/>
      <c r="F27" s="553" t="str">
        <f>IF(D27="","",VLOOKUP(D27,'G-6 Hedgerow Data'!$B$2:$AG$15,2,FALSE))</f>
        <v/>
      </c>
      <c r="G27" s="499" t="str">
        <f>IF(D27="","",VLOOKUP(D27,'G-6 Hedgerow Data'!$B$2:$AG$15,3,FALSE))</f>
        <v/>
      </c>
      <c r="H27" s="145"/>
      <c r="I27" s="499" t="str">
        <f>IFERROR(VLOOKUP(H27,'G-1 All Habitats'!$Z$2:$AA$9,2,FALSE),"")</f>
        <v/>
      </c>
      <c r="J27" s="145"/>
      <c r="K27" s="507" t="str">
        <f>IF(J27="","",IF(VLOOKUP(J27,'G-3 Multipliers'!$L$3:$N$6,2,FALSE)=0,"Spatial Data Missing",VLOOKUP(J27,'G-3 Multipliers'!$L$3:$N$6,2,FALSE)))</f>
        <v/>
      </c>
      <c r="L27" s="505" t="str">
        <f>IF(J27="","",IF(VLOOKUP(J27,'G-3 Multipliers'!$L$3:$N$6,3,FALSE)=0,"Spatial Data Missing ⚠",VLOOKUP(J27,'G-3 Multipliers'!$L$3:$N$6,3,FALSE)))</f>
        <v/>
      </c>
      <c r="M27" s="506" t="str">
        <f>IF(D27="","",VLOOKUP(D27,'G-6 Hedgerow Data'!$B$1:$AH$15,33,FALSE))</f>
        <v/>
      </c>
      <c r="N27" s="513" t="str">
        <f t="shared" si="2"/>
        <v/>
      </c>
      <c r="O27" s="40"/>
      <c r="P27" s="154"/>
      <c r="Q27" s="203"/>
      <c r="R27" s="532" t="str">
        <f t="shared" si="3"/>
        <v/>
      </c>
      <c r="S27" s="532" t="str">
        <f t="shared" si="4"/>
        <v/>
      </c>
      <c r="T27" s="532" t="str">
        <f t="shared" si="5"/>
        <v/>
      </c>
      <c r="U27" s="557"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8" x14ac:dyDescent="0.25">
      <c r="B28" s="141">
        <v>19</v>
      </c>
      <c r="C28" s="203"/>
      <c r="D28" s="203"/>
      <c r="E28" s="153"/>
      <c r="F28" s="553" t="str">
        <f>IF(D28="","",VLOOKUP(D28,'G-6 Hedgerow Data'!$B$2:$AG$15,2,FALSE))</f>
        <v/>
      </c>
      <c r="G28" s="499" t="str">
        <f>IF(D28="","",VLOOKUP(D28,'G-6 Hedgerow Data'!$B$2:$AG$15,3,FALSE))</f>
        <v/>
      </c>
      <c r="H28" s="145"/>
      <c r="I28" s="499" t="str">
        <f>IFERROR(VLOOKUP(H28,'G-1 All Habitats'!$Z$2:$AA$9,2,FALSE),"")</f>
        <v/>
      </c>
      <c r="J28" s="145"/>
      <c r="K28" s="507" t="str">
        <f>IF(J28="","",IF(VLOOKUP(J28,'G-3 Multipliers'!$L$3:$N$6,2,FALSE)=0,"Spatial Data Missing",VLOOKUP(J28,'G-3 Multipliers'!$L$3:$N$6,2,FALSE)))</f>
        <v/>
      </c>
      <c r="L28" s="505" t="str">
        <f>IF(J28="","",IF(VLOOKUP(J28,'G-3 Multipliers'!$L$3:$N$6,3,FALSE)=0,"Spatial Data Missing ⚠",VLOOKUP(J28,'G-3 Multipliers'!$L$3:$N$6,3,FALSE)))</f>
        <v/>
      </c>
      <c r="M28" s="506" t="str">
        <f>IF(D28="","",VLOOKUP(D28,'G-6 Hedgerow Data'!$B$1:$AH$15,33,FALSE))</f>
        <v/>
      </c>
      <c r="N28" s="513" t="str">
        <f t="shared" si="2"/>
        <v/>
      </c>
      <c r="O28" s="40"/>
      <c r="P28" s="154"/>
      <c r="Q28" s="203"/>
      <c r="R28" s="532" t="str">
        <f t="shared" si="3"/>
        <v/>
      </c>
      <c r="S28" s="532" t="str">
        <f t="shared" si="4"/>
        <v/>
      </c>
      <c r="T28" s="532" t="str">
        <f t="shared" si="5"/>
        <v/>
      </c>
      <c r="U28" s="557"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8" x14ac:dyDescent="0.25">
      <c r="B29" s="141">
        <v>20</v>
      </c>
      <c r="C29" s="203"/>
      <c r="D29" s="203"/>
      <c r="E29" s="153"/>
      <c r="F29" s="553" t="str">
        <f>IF(D29="","",VLOOKUP(D29,'G-6 Hedgerow Data'!$B$2:$AG$15,2,FALSE))</f>
        <v/>
      </c>
      <c r="G29" s="499" t="str">
        <f>IF(D29="","",VLOOKUP(D29,'G-6 Hedgerow Data'!$B$2:$AG$15,3,FALSE))</f>
        <v/>
      </c>
      <c r="H29" s="145"/>
      <c r="I29" s="499" t="str">
        <f>IFERROR(VLOOKUP(H29,'G-1 All Habitats'!$Z$2:$AA$9,2,FALSE),"")</f>
        <v/>
      </c>
      <c r="J29" s="145"/>
      <c r="K29" s="507" t="str">
        <f>IF(J29="","",IF(VLOOKUP(J29,'G-3 Multipliers'!$L$3:$N$6,2,FALSE)=0,"Spatial Data Missing",VLOOKUP(J29,'G-3 Multipliers'!$L$3:$N$6,2,FALSE)))</f>
        <v/>
      </c>
      <c r="L29" s="505" t="str">
        <f>IF(J29="","",IF(VLOOKUP(J29,'G-3 Multipliers'!$L$3:$N$6,3,FALSE)=0,"Spatial Data Missing ⚠",VLOOKUP(J29,'G-3 Multipliers'!$L$3:$N$6,3,FALSE)))</f>
        <v/>
      </c>
      <c r="M29" s="506" t="str">
        <f>IF(D29="","",VLOOKUP(D29,'G-6 Hedgerow Data'!$B$1:$AH$15,33,FALSE))</f>
        <v/>
      </c>
      <c r="N29" s="513" t="str">
        <f t="shared" si="2"/>
        <v/>
      </c>
      <c r="O29" s="40"/>
      <c r="P29" s="154"/>
      <c r="Q29" s="203"/>
      <c r="R29" s="532" t="str">
        <f t="shared" si="3"/>
        <v/>
      </c>
      <c r="S29" s="532" t="str">
        <f t="shared" si="4"/>
        <v/>
      </c>
      <c r="T29" s="532" t="str">
        <f t="shared" si="5"/>
        <v/>
      </c>
      <c r="U29" s="557"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8" x14ac:dyDescent="0.25">
      <c r="B30" s="141">
        <v>21</v>
      </c>
      <c r="C30" s="203"/>
      <c r="D30" s="203"/>
      <c r="E30" s="153"/>
      <c r="F30" s="553" t="str">
        <f>IF(D30="","",VLOOKUP(D30,'G-6 Hedgerow Data'!$B$2:$AG$15,2,FALSE))</f>
        <v/>
      </c>
      <c r="G30" s="499" t="str">
        <f>IF(D30="","",VLOOKUP(D30,'G-6 Hedgerow Data'!$B$2:$AG$15,3,FALSE))</f>
        <v/>
      </c>
      <c r="H30" s="145"/>
      <c r="I30" s="499" t="str">
        <f>IFERROR(VLOOKUP(H30,'G-1 All Habitats'!$Z$2:$AA$9,2,FALSE),"")</f>
        <v/>
      </c>
      <c r="J30" s="145"/>
      <c r="K30" s="507" t="str">
        <f>IF(J30="","",IF(VLOOKUP(J30,'G-3 Multipliers'!$L$3:$N$6,2,FALSE)=0,"Spatial Data Missing",VLOOKUP(J30,'G-3 Multipliers'!$L$3:$N$6,2,FALSE)))</f>
        <v/>
      </c>
      <c r="L30" s="505" t="str">
        <f>IF(J30="","",IF(VLOOKUP(J30,'G-3 Multipliers'!$L$3:$N$6,3,FALSE)=0,"Spatial Data Missing ⚠",VLOOKUP(J30,'G-3 Multipliers'!$L$3:$N$6,3,FALSE)))</f>
        <v/>
      </c>
      <c r="M30" s="506" t="str">
        <f>IF(D30="","",VLOOKUP(D30,'G-6 Hedgerow Data'!$B$1:$AH$15,33,FALSE))</f>
        <v/>
      </c>
      <c r="N30" s="513" t="str">
        <f t="shared" si="2"/>
        <v/>
      </c>
      <c r="O30" s="40"/>
      <c r="P30" s="154"/>
      <c r="Q30" s="203"/>
      <c r="R30" s="532" t="str">
        <f t="shared" si="3"/>
        <v/>
      </c>
      <c r="S30" s="532" t="str">
        <f t="shared" si="4"/>
        <v/>
      </c>
      <c r="T30" s="532" t="str">
        <f t="shared" si="5"/>
        <v/>
      </c>
      <c r="U30" s="557"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8" x14ac:dyDescent="0.25">
      <c r="B31" s="141">
        <v>22</v>
      </c>
      <c r="C31" s="203"/>
      <c r="D31" s="203"/>
      <c r="E31" s="153"/>
      <c r="F31" s="553" t="str">
        <f>IF(D31="","",VLOOKUP(D31,'G-6 Hedgerow Data'!$B$2:$AG$15,2,FALSE))</f>
        <v/>
      </c>
      <c r="G31" s="499" t="str">
        <f>IF(D31="","",VLOOKUP(D31,'G-6 Hedgerow Data'!$B$2:$AG$15,3,FALSE))</f>
        <v/>
      </c>
      <c r="H31" s="145"/>
      <c r="I31" s="499" t="str">
        <f>IFERROR(VLOOKUP(H31,'G-1 All Habitats'!$Z$2:$AA$9,2,FALSE),"")</f>
        <v/>
      </c>
      <c r="J31" s="145"/>
      <c r="K31" s="507" t="str">
        <f>IF(J31="","",IF(VLOOKUP(J31,'G-3 Multipliers'!$L$3:$N$6,2,FALSE)=0,"Spatial Data Missing",VLOOKUP(J31,'G-3 Multipliers'!$L$3:$N$6,2,FALSE)))</f>
        <v/>
      </c>
      <c r="L31" s="505" t="str">
        <f>IF(J31="","",IF(VLOOKUP(J31,'G-3 Multipliers'!$L$3:$N$6,3,FALSE)=0,"Spatial Data Missing ⚠",VLOOKUP(J31,'G-3 Multipliers'!$L$3:$N$6,3,FALSE)))</f>
        <v/>
      </c>
      <c r="M31" s="506" t="str">
        <f>IF(D31="","",VLOOKUP(D31,'G-6 Hedgerow Data'!$B$1:$AH$15,33,FALSE))</f>
        <v/>
      </c>
      <c r="N31" s="513" t="str">
        <f t="shared" si="2"/>
        <v/>
      </c>
      <c r="O31" s="40"/>
      <c r="P31" s="154"/>
      <c r="Q31" s="203"/>
      <c r="R31" s="532" t="str">
        <f t="shared" si="3"/>
        <v/>
      </c>
      <c r="S31" s="532" t="str">
        <f t="shared" si="4"/>
        <v/>
      </c>
      <c r="T31" s="532" t="str">
        <f t="shared" si="5"/>
        <v/>
      </c>
      <c r="U31" s="557"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8" x14ac:dyDescent="0.25">
      <c r="B32" s="141">
        <v>23</v>
      </c>
      <c r="C32" s="203"/>
      <c r="D32" s="203"/>
      <c r="E32" s="153"/>
      <c r="F32" s="553" t="str">
        <f>IF(D32="","",VLOOKUP(D32,'G-6 Hedgerow Data'!$B$2:$AG$15,2,FALSE))</f>
        <v/>
      </c>
      <c r="G32" s="499" t="str">
        <f>IF(D32="","",VLOOKUP(D32,'G-6 Hedgerow Data'!$B$2:$AG$15,3,FALSE))</f>
        <v/>
      </c>
      <c r="H32" s="145"/>
      <c r="I32" s="499" t="str">
        <f>IFERROR(VLOOKUP(H32,'G-1 All Habitats'!$Z$2:$AA$9,2,FALSE),"")</f>
        <v/>
      </c>
      <c r="J32" s="145"/>
      <c r="K32" s="507" t="str">
        <f>IF(J32="","",IF(VLOOKUP(J32,'G-3 Multipliers'!$L$3:$N$6,2,FALSE)=0,"Spatial Data Missing",VLOOKUP(J32,'G-3 Multipliers'!$L$3:$N$6,2,FALSE)))</f>
        <v/>
      </c>
      <c r="L32" s="505" t="str">
        <f>IF(J32="","",IF(VLOOKUP(J32,'G-3 Multipliers'!$L$3:$N$6,3,FALSE)=0,"Spatial Data Missing ⚠",VLOOKUP(J32,'G-3 Multipliers'!$L$3:$N$6,3,FALSE)))</f>
        <v/>
      </c>
      <c r="M32" s="506" t="str">
        <f>IF(D32="","",VLOOKUP(D32,'G-6 Hedgerow Data'!$B$1:$AH$15,33,FALSE))</f>
        <v/>
      </c>
      <c r="N32" s="513" t="str">
        <f t="shared" si="2"/>
        <v/>
      </c>
      <c r="O32" s="40"/>
      <c r="P32" s="154"/>
      <c r="Q32" s="203"/>
      <c r="R32" s="532" t="str">
        <f t="shared" si="3"/>
        <v/>
      </c>
      <c r="S32" s="532" t="str">
        <f t="shared" si="4"/>
        <v/>
      </c>
      <c r="T32" s="532" t="str">
        <f t="shared" si="5"/>
        <v/>
      </c>
      <c r="U32" s="557"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8" x14ac:dyDescent="0.25">
      <c r="B33" s="141">
        <v>24</v>
      </c>
      <c r="C33" s="203"/>
      <c r="D33" s="203"/>
      <c r="E33" s="153"/>
      <c r="F33" s="553" t="str">
        <f>IF(D33="","",VLOOKUP(D33,'G-6 Hedgerow Data'!$B$2:$AG$15,2,FALSE))</f>
        <v/>
      </c>
      <c r="G33" s="499" t="str">
        <f>IF(D33="","",VLOOKUP(D33,'G-6 Hedgerow Data'!$B$2:$AG$15,3,FALSE))</f>
        <v/>
      </c>
      <c r="H33" s="145"/>
      <c r="I33" s="499" t="str">
        <f>IFERROR(VLOOKUP(H33,'G-1 All Habitats'!$Z$2:$AA$9,2,FALSE),"")</f>
        <v/>
      </c>
      <c r="J33" s="145"/>
      <c r="K33" s="507" t="str">
        <f>IF(J33="","",IF(VLOOKUP(J33,'G-3 Multipliers'!$L$3:$N$6,2,FALSE)=0,"Spatial Data Missing",VLOOKUP(J33,'G-3 Multipliers'!$L$3:$N$6,2,FALSE)))</f>
        <v/>
      </c>
      <c r="L33" s="505" t="str">
        <f>IF(J33="","",IF(VLOOKUP(J33,'G-3 Multipliers'!$L$3:$N$6,3,FALSE)=0,"Spatial Data Missing ⚠",VLOOKUP(J33,'G-3 Multipliers'!$L$3:$N$6,3,FALSE)))</f>
        <v/>
      </c>
      <c r="M33" s="506" t="str">
        <f>IF(D33="","",VLOOKUP(D33,'G-6 Hedgerow Data'!$B$1:$AH$15,33,FALSE))</f>
        <v/>
      </c>
      <c r="N33" s="513" t="str">
        <f t="shared" si="2"/>
        <v/>
      </c>
      <c r="O33" s="40"/>
      <c r="P33" s="154"/>
      <c r="Q33" s="203"/>
      <c r="R33" s="532" t="str">
        <f t="shared" si="3"/>
        <v/>
      </c>
      <c r="S33" s="532" t="str">
        <f t="shared" si="4"/>
        <v/>
      </c>
      <c r="T33" s="532" t="str">
        <f t="shared" si="5"/>
        <v/>
      </c>
      <c r="U33" s="557"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8" x14ac:dyDescent="0.25">
      <c r="B34" s="141">
        <v>25</v>
      </c>
      <c r="C34" s="203"/>
      <c r="D34" s="203"/>
      <c r="E34" s="153"/>
      <c r="F34" s="553" t="str">
        <f>IF(D34="","",VLOOKUP(D34,'G-6 Hedgerow Data'!$B$2:$AG$15,2,FALSE))</f>
        <v/>
      </c>
      <c r="G34" s="499" t="str">
        <f>IF(D34="","",VLOOKUP(D34,'G-6 Hedgerow Data'!$B$2:$AG$15,3,FALSE))</f>
        <v/>
      </c>
      <c r="H34" s="145"/>
      <c r="I34" s="499" t="str">
        <f>IFERROR(VLOOKUP(H34,'G-1 All Habitats'!$Z$2:$AA$9,2,FALSE),"")</f>
        <v/>
      </c>
      <c r="J34" s="145"/>
      <c r="K34" s="507" t="str">
        <f>IF(J34="","",IF(VLOOKUP(J34,'G-3 Multipliers'!$L$3:$N$6,2,FALSE)=0,"Spatial Data Missing",VLOOKUP(J34,'G-3 Multipliers'!$L$3:$N$6,2,FALSE)))</f>
        <v/>
      </c>
      <c r="L34" s="505" t="str">
        <f>IF(J34="","",IF(VLOOKUP(J34,'G-3 Multipliers'!$L$3:$N$6,3,FALSE)=0,"Spatial Data Missing ⚠",VLOOKUP(J34,'G-3 Multipliers'!$L$3:$N$6,3,FALSE)))</f>
        <v/>
      </c>
      <c r="M34" s="506" t="str">
        <f>IF(D34="","",VLOOKUP(D34,'G-6 Hedgerow Data'!$B$1:$AH$15,33,FALSE))</f>
        <v/>
      </c>
      <c r="N34" s="513" t="str">
        <f t="shared" si="2"/>
        <v/>
      </c>
      <c r="O34" s="40"/>
      <c r="P34" s="154"/>
      <c r="Q34" s="203"/>
      <c r="R34" s="532" t="str">
        <f t="shared" si="3"/>
        <v/>
      </c>
      <c r="S34" s="532" t="str">
        <f t="shared" si="4"/>
        <v/>
      </c>
      <c r="T34" s="532" t="str">
        <f t="shared" si="5"/>
        <v/>
      </c>
      <c r="U34" s="557"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8" x14ac:dyDescent="0.25">
      <c r="B35" s="141">
        <v>26</v>
      </c>
      <c r="C35" s="203"/>
      <c r="D35" s="203"/>
      <c r="E35" s="153"/>
      <c r="F35" s="553" t="str">
        <f>IF(D35="","",VLOOKUP(D35,'G-6 Hedgerow Data'!$B$2:$AG$15,2,FALSE))</f>
        <v/>
      </c>
      <c r="G35" s="499" t="str">
        <f>IF(D35="","",VLOOKUP(D35,'G-6 Hedgerow Data'!$B$2:$AG$15,3,FALSE))</f>
        <v/>
      </c>
      <c r="H35" s="145"/>
      <c r="I35" s="499" t="str">
        <f>IFERROR(VLOOKUP(H35,'G-1 All Habitats'!$Z$2:$AA$9,2,FALSE),"")</f>
        <v/>
      </c>
      <c r="J35" s="145"/>
      <c r="K35" s="507" t="str">
        <f>IF(J35="","",IF(VLOOKUP(J35,'G-3 Multipliers'!$L$3:$N$6,2,FALSE)=0,"Spatial Data Missing",VLOOKUP(J35,'G-3 Multipliers'!$L$3:$N$6,2,FALSE)))</f>
        <v/>
      </c>
      <c r="L35" s="505" t="str">
        <f>IF(J35="","",IF(VLOOKUP(J35,'G-3 Multipliers'!$L$3:$N$6,3,FALSE)=0,"Spatial Data Missing ⚠",VLOOKUP(J35,'G-3 Multipliers'!$L$3:$N$6,3,FALSE)))</f>
        <v/>
      </c>
      <c r="M35" s="506" t="str">
        <f>IF(D35="","",VLOOKUP(D35,'G-6 Hedgerow Data'!$B$1:$AH$15,33,FALSE))</f>
        <v/>
      </c>
      <c r="N35" s="513" t="str">
        <f t="shared" si="2"/>
        <v/>
      </c>
      <c r="O35" s="40"/>
      <c r="P35" s="154"/>
      <c r="Q35" s="203"/>
      <c r="R35" s="532" t="str">
        <f t="shared" si="3"/>
        <v/>
      </c>
      <c r="S35" s="532" t="str">
        <f t="shared" si="4"/>
        <v/>
      </c>
      <c r="T35" s="532" t="str">
        <f t="shared" si="5"/>
        <v/>
      </c>
      <c r="U35" s="557"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8" x14ac:dyDescent="0.25">
      <c r="B36" s="141">
        <v>27</v>
      </c>
      <c r="C36" s="203"/>
      <c r="D36" s="203"/>
      <c r="E36" s="153"/>
      <c r="F36" s="553" t="str">
        <f>IF(D36="","",VLOOKUP(D36,'G-6 Hedgerow Data'!$B$2:$AG$15,2,FALSE))</f>
        <v/>
      </c>
      <c r="G36" s="499" t="str">
        <f>IF(D36="","",VLOOKUP(D36,'G-6 Hedgerow Data'!$B$2:$AG$15,3,FALSE))</f>
        <v/>
      </c>
      <c r="H36" s="145"/>
      <c r="I36" s="499" t="str">
        <f>IFERROR(VLOOKUP(H36,'G-1 All Habitats'!$Z$2:$AA$9,2,FALSE),"")</f>
        <v/>
      </c>
      <c r="J36" s="145"/>
      <c r="K36" s="507" t="str">
        <f>IF(J36="","",IF(VLOOKUP(J36,'G-3 Multipliers'!$L$3:$N$6,2,FALSE)=0,"Spatial Data Missing",VLOOKUP(J36,'G-3 Multipliers'!$L$3:$N$6,2,FALSE)))</f>
        <v/>
      </c>
      <c r="L36" s="505" t="str">
        <f>IF(J36="","",IF(VLOOKUP(J36,'G-3 Multipliers'!$L$3:$N$6,3,FALSE)=0,"Spatial Data Missing ⚠",VLOOKUP(J36,'G-3 Multipliers'!$L$3:$N$6,3,FALSE)))</f>
        <v/>
      </c>
      <c r="M36" s="506" t="str">
        <f>IF(D36="","",VLOOKUP(D36,'G-6 Hedgerow Data'!$B$1:$AH$15,33,FALSE))</f>
        <v/>
      </c>
      <c r="N36" s="513" t="str">
        <f t="shared" si="2"/>
        <v/>
      </c>
      <c r="O36" s="40"/>
      <c r="P36" s="154"/>
      <c r="Q36" s="203"/>
      <c r="R36" s="532" t="str">
        <f t="shared" si="3"/>
        <v/>
      </c>
      <c r="S36" s="532" t="str">
        <f t="shared" si="4"/>
        <v/>
      </c>
      <c r="T36" s="532" t="str">
        <f t="shared" si="5"/>
        <v/>
      </c>
      <c r="U36" s="557"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8" x14ac:dyDescent="0.25">
      <c r="B37" s="141">
        <v>28</v>
      </c>
      <c r="C37" s="203"/>
      <c r="D37" s="203"/>
      <c r="E37" s="153"/>
      <c r="F37" s="553" t="str">
        <f>IF(D37="","",VLOOKUP(D37,'G-6 Hedgerow Data'!$B$2:$AG$15,2,FALSE))</f>
        <v/>
      </c>
      <c r="G37" s="499" t="str">
        <f>IF(D37="","",VLOOKUP(D37,'G-6 Hedgerow Data'!$B$2:$AG$15,3,FALSE))</f>
        <v/>
      </c>
      <c r="H37" s="145"/>
      <c r="I37" s="499" t="str">
        <f>IFERROR(VLOOKUP(H37,'G-1 All Habitats'!$Z$2:$AA$9,2,FALSE),"")</f>
        <v/>
      </c>
      <c r="J37" s="145"/>
      <c r="K37" s="507" t="str">
        <f>IF(J37="","",IF(VLOOKUP(J37,'G-3 Multipliers'!$L$3:$N$6,2,FALSE)=0,"Spatial Data Missing",VLOOKUP(J37,'G-3 Multipliers'!$L$3:$N$6,2,FALSE)))</f>
        <v/>
      </c>
      <c r="L37" s="505" t="str">
        <f>IF(J37="","",IF(VLOOKUP(J37,'G-3 Multipliers'!$L$3:$N$6,3,FALSE)=0,"Spatial Data Missing ⚠",VLOOKUP(J37,'G-3 Multipliers'!$L$3:$N$6,3,FALSE)))</f>
        <v/>
      </c>
      <c r="M37" s="506" t="str">
        <f>IF(D37="","",VLOOKUP(D37,'G-6 Hedgerow Data'!$B$1:$AH$15,33,FALSE))</f>
        <v/>
      </c>
      <c r="N37" s="513" t="str">
        <f t="shared" si="2"/>
        <v/>
      </c>
      <c r="O37" s="40"/>
      <c r="P37" s="154"/>
      <c r="Q37" s="203"/>
      <c r="R37" s="532" t="str">
        <f t="shared" si="3"/>
        <v/>
      </c>
      <c r="S37" s="532" t="str">
        <f t="shared" si="4"/>
        <v/>
      </c>
      <c r="T37" s="532" t="str">
        <f t="shared" si="5"/>
        <v/>
      </c>
      <c r="U37" s="557"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8" x14ac:dyDescent="0.25">
      <c r="B38" s="141">
        <v>29</v>
      </c>
      <c r="C38" s="203"/>
      <c r="D38" s="203"/>
      <c r="E38" s="153"/>
      <c r="F38" s="553" t="str">
        <f>IF(D38="","",VLOOKUP(D38,'G-6 Hedgerow Data'!$B$2:$AG$15,2,FALSE))</f>
        <v/>
      </c>
      <c r="G38" s="499" t="str">
        <f>IF(D38="","",VLOOKUP(D38,'G-6 Hedgerow Data'!$B$2:$AG$15,3,FALSE))</f>
        <v/>
      </c>
      <c r="H38" s="145"/>
      <c r="I38" s="499" t="str">
        <f>IFERROR(VLOOKUP(H38,'G-1 All Habitats'!$Z$2:$AA$9,2,FALSE),"")</f>
        <v/>
      </c>
      <c r="J38" s="145"/>
      <c r="K38" s="507" t="str">
        <f>IF(J38="","",IF(VLOOKUP(J38,'G-3 Multipliers'!$L$3:$N$6,2,FALSE)=0,"Spatial Data Missing",VLOOKUP(J38,'G-3 Multipliers'!$L$3:$N$6,2,FALSE)))</f>
        <v/>
      </c>
      <c r="L38" s="505" t="str">
        <f>IF(J38="","",IF(VLOOKUP(J38,'G-3 Multipliers'!$L$3:$N$6,3,FALSE)=0,"Spatial Data Missing ⚠",VLOOKUP(J38,'G-3 Multipliers'!$L$3:$N$6,3,FALSE)))</f>
        <v/>
      </c>
      <c r="M38" s="506" t="str">
        <f>IF(D38="","",VLOOKUP(D38,'G-6 Hedgerow Data'!$B$1:$AH$15,33,FALSE))</f>
        <v/>
      </c>
      <c r="N38" s="513" t="str">
        <f t="shared" si="2"/>
        <v/>
      </c>
      <c r="O38" s="40"/>
      <c r="P38" s="154"/>
      <c r="Q38" s="203"/>
      <c r="R38" s="532" t="str">
        <f t="shared" si="3"/>
        <v/>
      </c>
      <c r="S38" s="532" t="str">
        <f t="shared" si="4"/>
        <v/>
      </c>
      <c r="T38" s="532" t="str">
        <f t="shared" si="5"/>
        <v/>
      </c>
      <c r="U38" s="557"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8" x14ac:dyDescent="0.25">
      <c r="B39" s="141">
        <v>30</v>
      </c>
      <c r="C39" s="203"/>
      <c r="D39" s="203"/>
      <c r="E39" s="153"/>
      <c r="F39" s="553" t="str">
        <f>IF(D39="","",VLOOKUP(D39,'G-6 Hedgerow Data'!$B$2:$AG$15,2,FALSE))</f>
        <v/>
      </c>
      <c r="G39" s="499" t="str">
        <f>IF(D39="","",VLOOKUP(D39,'G-6 Hedgerow Data'!$B$2:$AG$15,3,FALSE))</f>
        <v/>
      </c>
      <c r="H39" s="145"/>
      <c r="I39" s="499" t="str">
        <f>IFERROR(VLOOKUP(H39,'G-1 All Habitats'!$Z$2:$AA$9,2,FALSE),"")</f>
        <v/>
      </c>
      <c r="J39" s="145"/>
      <c r="K39" s="507" t="str">
        <f>IF(J39="","",IF(VLOOKUP(J39,'G-3 Multipliers'!$L$3:$N$6,2,FALSE)=0,"Spatial Data Missing",VLOOKUP(J39,'G-3 Multipliers'!$L$3:$N$6,2,FALSE)))</f>
        <v/>
      </c>
      <c r="L39" s="505" t="str">
        <f>IF(J39="","",IF(VLOOKUP(J39,'G-3 Multipliers'!$L$3:$N$6,3,FALSE)=0,"Spatial Data Missing ⚠",VLOOKUP(J39,'G-3 Multipliers'!$L$3:$N$6,3,FALSE)))</f>
        <v/>
      </c>
      <c r="M39" s="506" t="str">
        <f>IF(D39="","",VLOOKUP(D39,'G-6 Hedgerow Data'!$B$1:$AH$15,33,FALSE))</f>
        <v/>
      </c>
      <c r="N39" s="513" t="str">
        <f t="shared" si="2"/>
        <v/>
      </c>
      <c r="O39" s="40"/>
      <c r="P39" s="154"/>
      <c r="Q39" s="203"/>
      <c r="R39" s="532" t="str">
        <f t="shared" si="3"/>
        <v/>
      </c>
      <c r="S39" s="532" t="str">
        <f t="shared" si="4"/>
        <v/>
      </c>
      <c r="T39" s="532" t="str">
        <f t="shared" si="5"/>
        <v/>
      </c>
      <c r="U39" s="557"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8" x14ac:dyDescent="0.25">
      <c r="B40" s="141">
        <v>31</v>
      </c>
      <c r="C40" s="203"/>
      <c r="D40" s="203"/>
      <c r="E40" s="153"/>
      <c r="F40" s="553" t="str">
        <f>IF(D40="","",VLOOKUP(D40,'G-6 Hedgerow Data'!$B$2:$AG$15,2,FALSE))</f>
        <v/>
      </c>
      <c r="G40" s="499" t="str">
        <f>IF(D40="","",VLOOKUP(D40,'G-6 Hedgerow Data'!$B$2:$AG$15,3,FALSE))</f>
        <v/>
      </c>
      <c r="H40" s="145"/>
      <c r="I40" s="499" t="str">
        <f>IFERROR(VLOOKUP(H40,'G-1 All Habitats'!$Z$2:$AA$9,2,FALSE),"")</f>
        <v/>
      </c>
      <c r="J40" s="145"/>
      <c r="K40" s="507" t="str">
        <f>IF(J40="","",IF(VLOOKUP(J40,'G-3 Multipliers'!$L$3:$N$6,2,FALSE)=0,"Spatial Data Missing",VLOOKUP(J40,'G-3 Multipliers'!$L$3:$N$6,2,FALSE)))</f>
        <v/>
      </c>
      <c r="L40" s="505" t="str">
        <f>IF(J40="","",IF(VLOOKUP(J40,'G-3 Multipliers'!$L$3:$N$6,3,FALSE)=0,"Spatial Data Missing ⚠",VLOOKUP(J40,'G-3 Multipliers'!$L$3:$N$6,3,FALSE)))</f>
        <v/>
      </c>
      <c r="M40" s="506" t="str">
        <f>IF(D40="","",VLOOKUP(D40,'G-6 Hedgerow Data'!$B$1:$AH$15,33,FALSE))</f>
        <v/>
      </c>
      <c r="N40" s="513" t="str">
        <f t="shared" si="2"/>
        <v/>
      </c>
      <c r="O40" s="40"/>
      <c r="P40" s="154"/>
      <c r="Q40" s="203"/>
      <c r="R40" s="532" t="str">
        <f t="shared" si="3"/>
        <v/>
      </c>
      <c r="S40" s="532" t="str">
        <f t="shared" si="4"/>
        <v/>
      </c>
      <c r="T40" s="532" t="str">
        <f t="shared" si="5"/>
        <v/>
      </c>
      <c r="U40" s="557"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8" x14ac:dyDescent="0.25">
      <c r="B41" s="141">
        <v>32</v>
      </c>
      <c r="C41" s="203"/>
      <c r="D41" s="203"/>
      <c r="E41" s="153"/>
      <c r="F41" s="553" t="str">
        <f>IF(D41="","",VLOOKUP(D41,'G-6 Hedgerow Data'!$B$2:$AG$15,2,FALSE))</f>
        <v/>
      </c>
      <c r="G41" s="499" t="str">
        <f>IF(D41="","",VLOOKUP(D41,'G-6 Hedgerow Data'!$B$2:$AG$15,3,FALSE))</f>
        <v/>
      </c>
      <c r="H41" s="145"/>
      <c r="I41" s="499" t="str">
        <f>IFERROR(VLOOKUP(H41,'G-1 All Habitats'!$Z$2:$AA$9,2,FALSE),"")</f>
        <v/>
      </c>
      <c r="J41" s="145"/>
      <c r="K41" s="507" t="str">
        <f>IF(J41="","",IF(VLOOKUP(J41,'G-3 Multipliers'!$L$3:$N$6,2,FALSE)=0,"Spatial Data Missing",VLOOKUP(J41,'G-3 Multipliers'!$L$3:$N$6,2,FALSE)))</f>
        <v/>
      </c>
      <c r="L41" s="505" t="str">
        <f>IF(J41="","",IF(VLOOKUP(J41,'G-3 Multipliers'!$L$3:$N$6,3,FALSE)=0,"Spatial Data Missing ⚠",VLOOKUP(J41,'G-3 Multipliers'!$L$3:$N$6,3,FALSE)))</f>
        <v/>
      </c>
      <c r="M41" s="506" t="str">
        <f>IF(D41="","",VLOOKUP(D41,'G-6 Hedgerow Data'!$B$1:$AH$15,33,FALSE))</f>
        <v/>
      </c>
      <c r="N41" s="513" t="str">
        <f t="shared" si="2"/>
        <v/>
      </c>
      <c r="O41" s="40"/>
      <c r="P41" s="154"/>
      <c r="Q41" s="203"/>
      <c r="R41" s="532" t="str">
        <f t="shared" si="3"/>
        <v/>
      </c>
      <c r="S41" s="532" t="str">
        <f t="shared" si="4"/>
        <v/>
      </c>
      <c r="T41" s="532" t="str">
        <f t="shared" si="5"/>
        <v/>
      </c>
      <c r="U41" s="557"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8" x14ac:dyDescent="0.25">
      <c r="B42" s="141">
        <v>33</v>
      </c>
      <c r="C42" s="203"/>
      <c r="D42" s="203"/>
      <c r="E42" s="153"/>
      <c r="F42" s="553" t="str">
        <f>IF(D42="","",VLOOKUP(D42,'G-6 Hedgerow Data'!$B$2:$AG$15,2,FALSE))</f>
        <v/>
      </c>
      <c r="G42" s="499" t="str">
        <f>IF(D42="","",VLOOKUP(D42,'G-6 Hedgerow Data'!$B$2:$AG$15,3,FALSE))</f>
        <v/>
      </c>
      <c r="H42" s="145"/>
      <c r="I42" s="499" t="str">
        <f>IFERROR(VLOOKUP(H42,'G-1 All Habitats'!$Z$2:$AA$9,2,FALSE),"")</f>
        <v/>
      </c>
      <c r="J42" s="145"/>
      <c r="K42" s="507" t="str">
        <f>IF(J42="","",IF(VLOOKUP(J42,'G-3 Multipliers'!$L$3:$N$6,2,FALSE)=0,"Spatial Data Missing",VLOOKUP(J42,'G-3 Multipliers'!$L$3:$N$6,2,FALSE)))</f>
        <v/>
      </c>
      <c r="L42" s="505" t="str">
        <f>IF(J42="","",IF(VLOOKUP(J42,'G-3 Multipliers'!$L$3:$N$6,3,FALSE)=0,"Spatial Data Missing ⚠",VLOOKUP(J42,'G-3 Multipliers'!$L$3:$N$6,3,FALSE)))</f>
        <v/>
      </c>
      <c r="M42" s="506" t="str">
        <f>IF(D42="","",VLOOKUP(D42,'G-6 Hedgerow Data'!$B$1:$AH$15,33,FALSE))</f>
        <v/>
      </c>
      <c r="N42" s="513" t="str">
        <f t="shared" si="2"/>
        <v/>
      </c>
      <c r="O42" s="40"/>
      <c r="P42" s="154"/>
      <c r="Q42" s="203"/>
      <c r="R42" s="532" t="str">
        <f t="shared" si="3"/>
        <v/>
      </c>
      <c r="S42" s="532" t="str">
        <f t="shared" si="4"/>
        <v/>
      </c>
      <c r="T42" s="532" t="str">
        <f t="shared" si="5"/>
        <v/>
      </c>
      <c r="U42" s="557"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8" x14ac:dyDescent="0.25">
      <c r="B43" s="141">
        <v>34</v>
      </c>
      <c r="C43" s="203"/>
      <c r="D43" s="203"/>
      <c r="E43" s="153"/>
      <c r="F43" s="553" t="str">
        <f>IF(D43="","",VLOOKUP(D43,'G-6 Hedgerow Data'!$B$2:$AG$15,2,FALSE))</f>
        <v/>
      </c>
      <c r="G43" s="499" t="str">
        <f>IF(D43="","",VLOOKUP(D43,'G-6 Hedgerow Data'!$B$2:$AG$15,3,FALSE))</f>
        <v/>
      </c>
      <c r="H43" s="145"/>
      <c r="I43" s="499" t="str">
        <f>IFERROR(VLOOKUP(H43,'G-1 All Habitats'!$Z$2:$AA$9,2,FALSE),"")</f>
        <v/>
      </c>
      <c r="J43" s="145"/>
      <c r="K43" s="507" t="str">
        <f>IF(J43="","",IF(VLOOKUP(J43,'G-3 Multipliers'!$L$3:$N$6,2,FALSE)=0,"Spatial Data Missing",VLOOKUP(J43,'G-3 Multipliers'!$L$3:$N$6,2,FALSE)))</f>
        <v/>
      </c>
      <c r="L43" s="505" t="str">
        <f>IF(J43="","",IF(VLOOKUP(J43,'G-3 Multipliers'!$L$3:$N$6,3,FALSE)=0,"Spatial Data Missing ⚠",VLOOKUP(J43,'G-3 Multipliers'!$L$3:$N$6,3,FALSE)))</f>
        <v/>
      </c>
      <c r="M43" s="506" t="str">
        <f>IF(D43="","",VLOOKUP(D43,'G-6 Hedgerow Data'!$B$1:$AH$15,33,FALSE))</f>
        <v/>
      </c>
      <c r="N43" s="513" t="str">
        <f t="shared" si="2"/>
        <v/>
      </c>
      <c r="O43" s="40"/>
      <c r="P43" s="154"/>
      <c r="Q43" s="203"/>
      <c r="R43" s="532" t="str">
        <f t="shared" si="3"/>
        <v/>
      </c>
      <c r="S43" s="532" t="str">
        <f t="shared" si="4"/>
        <v/>
      </c>
      <c r="T43" s="532" t="str">
        <f t="shared" si="5"/>
        <v/>
      </c>
      <c r="U43" s="557"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8" x14ac:dyDescent="0.25">
      <c r="B44" s="141">
        <v>35</v>
      </c>
      <c r="C44" s="203"/>
      <c r="D44" s="203"/>
      <c r="E44" s="153"/>
      <c r="F44" s="553" t="str">
        <f>IF(D44="","",VLOOKUP(D44,'G-6 Hedgerow Data'!$B$2:$AG$15,2,FALSE))</f>
        <v/>
      </c>
      <c r="G44" s="499" t="str">
        <f>IF(D44="","",VLOOKUP(D44,'G-6 Hedgerow Data'!$B$2:$AG$15,3,FALSE))</f>
        <v/>
      </c>
      <c r="H44" s="145"/>
      <c r="I44" s="499" t="str">
        <f>IFERROR(VLOOKUP(H44,'G-1 All Habitats'!$Z$2:$AA$9,2,FALSE),"")</f>
        <v/>
      </c>
      <c r="J44" s="145"/>
      <c r="K44" s="507" t="str">
        <f>IF(J44="","",IF(VLOOKUP(J44,'G-3 Multipliers'!$L$3:$N$6,2,FALSE)=0,"Spatial Data Missing",VLOOKUP(J44,'G-3 Multipliers'!$L$3:$N$6,2,FALSE)))</f>
        <v/>
      </c>
      <c r="L44" s="505" t="str">
        <f>IF(J44="","",IF(VLOOKUP(J44,'G-3 Multipliers'!$L$3:$N$6,3,FALSE)=0,"Spatial Data Missing ⚠",VLOOKUP(J44,'G-3 Multipliers'!$L$3:$N$6,3,FALSE)))</f>
        <v/>
      </c>
      <c r="M44" s="506" t="str">
        <f>IF(D44="","",VLOOKUP(D44,'G-6 Hedgerow Data'!$B$1:$AH$15,33,FALSE))</f>
        <v/>
      </c>
      <c r="N44" s="513" t="str">
        <f t="shared" si="2"/>
        <v/>
      </c>
      <c r="O44" s="40"/>
      <c r="P44" s="154"/>
      <c r="Q44" s="203"/>
      <c r="R44" s="532" t="str">
        <f t="shared" si="3"/>
        <v/>
      </c>
      <c r="S44" s="532" t="str">
        <f t="shared" si="4"/>
        <v/>
      </c>
      <c r="T44" s="532" t="str">
        <f t="shared" si="5"/>
        <v/>
      </c>
      <c r="U44" s="557"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8" x14ac:dyDescent="0.25">
      <c r="B45" s="141">
        <v>36</v>
      </c>
      <c r="C45" s="203"/>
      <c r="D45" s="203"/>
      <c r="E45" s="153"/>
      <c r="F45" s="553" t="str">
        <f>IF(D45="","",VLOOKUP(D45,'G-6 Hedgerow Data'!$B$2:$AG$15,2,FALSE))</f>
        <v/>
      </c>
      <c r="G45" s="499" t="str">
        <f>IF(D45="","",VLOOKUP(D45,'G-6 Hedgerow Data'!$B$2:$AG$15,3,FALSE))</f>
        <v/>
      </c>
      <c r="H45" s="145"/>
      <c r="I45" s="499" t="str">
        <f>IFERROR(VLOOKUP(H45,'G-1 All Habitats'!$Z$2:$AA$9,2,FALSE),"")</f>
        <v/>
      </c>
      <c r="J45" s="145"/>
      <c r="K45" s="507" t="str">
        <f>IF(J45="","",IF(VLOOKUP(J45,'G-3 Multipliers'!$L$3:$N$6,2,FALSE)=0,"Spatial Data Missing",VLOOKUP(J45,'G-3 Multipliers'!$L$3:$N$6,2,FALSE)))</f>
        <v/>
      </c>
      <c r="L45" s="505" t="str">
        <f>IF(J45="","",IF(VLOOKUP(J45,'G-3 Multipliers'!$L$3:$N$6,3,FALSE)=0,"Spatial Data Missing ⚠",VLOOKUP(J45,'G-3 Multipliers'!$L$3:$N$6,3,FALSE)))</f>
        <v/>
      </c>
      <c r="M45" s="506" t="str">
        <f>IF(D45="","",VLOOKUP(D45,'G-6 Hedgerow Data'!$B$1:$AH$15,33,FALSE))</f>
        <v/>
      </c>
      <c r="N45" s="513" t="str">
        <f t="shared" si="2"/>
        <v/>
      </c>
      <c r="O45" s="40"/>
      <c r="P45" s="154"/>
      <c r="Q45" s="203"/>
      <c r="R45" s="532" t="str">
        <f t="shared" si="3"/>
        <v/>
      </c>
      <c r="S45" s="532" t="str">
        <f t="shared" si="4"/>
        <v/>
      </c>
      <c r="T45" s="532" t="str">
        <f t="shared" si="5"/>
        <v/>
      </c>
      <c r="U45" s="557"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8" x14ac:dyDescent="0.25">
      <c r="B46" s="141">
        <v>37</v>
      </c>
      <c r="C46" s="203"/>
      <c r="D46" s="203"/>
      <c r="E46" s="153"/>
      <c r="F46" s="553" t="str">
        <f>IF(D46="","",VLOOKUP(D46,'G-6 Hedgerow Data'!$B$2:$AG$15,2,FALSE))</f>
        <v/>
      </c>
      <c r="G46" s="499" t="str">
        <f>IF(D46="","",VLOOKUP(D46,'G-6 Hedgerow Data'!$B$2:$AG$15,3,FALSE))</f>
        <v/>
      </c>
      <c r="H46" s="145"/>
      <c r="I46" s="499" t="str">
        <f>IFERROR(VLOOKUP(H46,'G-1 All Habitats'!$Z$2:$AA$9,2,FALSE),"")</f>
        <v/>
      </c>
      <c r="J46" s="145"/>
      <c r="K46" s="507" t="str">
        <f>IF(J46="","",IF(VLOOKUP(J46,'G-3 Multipliers'!$L$3:$N$6,2,FALSE)=0,"Spatial Data Missing",VLOOKUP(J46,'G-3 Multipliers'!$L$3:$N$6,2,FALSE)))</f>
        <v/>
      </c>
      <c r="L46" s="505" t="str">
        <f>IF(J46="","",IF(VLOOKUP(J46,'G-3 Multipliers'!$L$3:$N$6,3,FALSE)=0,"Spatial Data Missing ⚠",VLOOKUP(J46,'G-3 Multipliers'!$L$3:$N$6,3,FALSE)))</f>
        <v/>
      </c>
      <c r="M46" s="506" t="str">
        <f>IF(D46="","",VLOOKUP(D46,'G-6 Hedgerow Data'!$B$1:$AH$15,33,FALSE))</f>
        <v/>
      </c>
      <c r="N46" s="513" t="str">
        <f t="shared" si="2"/>
        <v/>
      </c>
      <c r="O46" s="40"/>
      <c r="P46" s="154"/>
      <c r="Q46" s="203"/>
      <c r="R46" s="532" t="str">
        <f t="shared" si="3"/>
        <v/>
      </c>
      <c r="S46" s="532" t="str">
        <f t="shared" si="4"/>
        <v/>
      </c>
      <c r="T46" s="532" t="str">
        <f t="shared" si="5"/>
        <v/>
      </c>
      <c r="U46" s="557"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8" x14ac:dyDescent="0.25">
      <c r="B47" s="141">
        <v>38</v>
      </c>
      <c r="C47" s="203"/>
      <c r="D47" s="203"/>
      <c r="E47" s="153"/>
      <c r="F47" s="553" t="str">
        <f>IF(D47="","",VLOOKUP(D47,'G-6 Hedgerow Data'!$B$2:$AG$15,2,FALSE))</f>
        <v/>
      </c>
      <c r="G47" s="499" t="str">
        <f>IF(D47="","",VLOOKUP(D47,'G-6 Hedgerow Data'!$B$2:$AG$15,3,FALSE))</f>
        <v/>
      </c>
      <c r="H47" s="145"/>
      <c r="I47" s="499" t="str">
        <f>IFERROR(VLOOKUP(H47,'G-1 All Habitats'!$Z$2:$AA$9,2,FALSE),"")</f>
        <v/>
      </c>
      <c r="J47" s="145"/>
      <c r="K47" s="507" t="str">
        <f>IF(J47="","",IF(VLOOKUP(J47,'G-3 Multipliers'!$L$3:$N$6,2,FALSE)=0,"Spatial Data Missing",VLOOKUP(J47,'G-3 Multipliers'!$L$3:$N$6,2,FALSE)))</f>
        <v/>
      </c>
      <c r="L47" s="505" t="str">
        <f>IF(J47="","",IF(VLOOKUP(J47,'G-3 Multipliers'!$L$3:$N$6,3,FALSE)=0,"Spatial Data Missing ⚠",VLOOKUP(J47,'G-3 Multipliers'!$L$3:$N$6,3,FALSE)))</f>
        <v/>
      </c>
      <c r="M47" s="506" t="str">
        <f>IF(D47="","",VLOOKUP(D47,'G-6 Hedgerow Data'!$B$1:$AH$15,33,FALSE))</f>
        <v/>
      </c>
      <c r="N47" s="513" t="str">
        <f t="shared" si="2"/>
        <v/>
      </c>
      <c r="O47" s="40"/>
      <c r="P47" s="154"/>
      <c r="Q47" s="203"/>
      <c r="R47" s="532" t="str">
        <f t="shared" si="3"/>
        <v/>
      </c>
      <c r="S47" s="532" t="str">
        <f t="shared" si="4"/>
        <v/>
      </c>
      <c r="T47" s="532" t="str">
        <f t="shared" si="5"/>
        <v/>
      </c>
      <c r="U47" s="557"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8" x14ac:dyDescent="0.25">
      <c r="B48" s="141">
        <v>39</v>
      </c>
      <c r="C48" s="203"/>
      <c r="D48" s="203"/>
      <c r="E48" s="153"/>
      <c r="F48" s="553" t="str">
        <f>IF(D48="","",VLOOKUP(D48,'G-6 Hedgerow Data'!$B$2:$AG$15,2,FALSE))</f>
        <v/>
      </c>
      <c r="G48" s="499" t="str">
        <f>IF(D48="","",VLOOKUP(D48,'G-6 Hedgerow Data'!$B$2:$AG$15,3,FALSE))</f>
        <v/>
      </c>
      <c r="H48" s="145"/>
      <c r="I48" s="499" t="str">
        <f>IFERROR(VLOOKUP(H48,'G-1 All Habitats'!$Z$2:$AA$9,2,FALSE),"")</f>
        <v/>
      </c>
      <c r="J48" s="145"/>
      <c r="K48" s="507" t="str">
        <f>IF(J48="","",IF(VLOOKUP(J48,'G-3 Multipliers'!$L$3:$N$6,2,FALSE)=0,"Spatial Data Missing",VLOOKUP(J48,'G-3 Multipliers'!$L$3:$N$6,2,FALSE)))</f>
        <v/>
      </c>
      <c r="L48" s="505" t="str">
        <f>IF(J48="","",IF(VLOOKUP(J48,'G-3 Multipliers'!$L$3:$N$6,3,FALSE)=0,"Spatial Data Missing ⚠",VLOOKUP(J48,'G-3 Multipliers'!$L$3:$N$6,3,FALSE)))</f>
        <v/>
      </c>
      <c r="M48" s="506" t="str">
        <f>IF(D48="","",VLOOKUP(D48,'G-6 Hedgerow Data'!$B$1:$AH$15,33,FALSE))</f>
        <v/>
      </c>
      <c r="N48" s="513" t="str">
        <f t="shared" si="2"/>
        <v/>
      </c>
      <c r="O48" s="40"/>
      <c r="P48" s="154"/>
      <c r="Q48" s="203"/>
      <c r="R48" s="532" t="str">
        <f t="shared" si="3"/>
        <v/>
      </c>
      <c r="S48" s="532" t="str">
        <f t="shared" si="4"/>
        <v/>
      </c>
      <c r="T48" s="532" t="str">
        <f t="shared" si="5"/>
        <v/>
      </c>
      <c r="U48" s="557"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8" x14ac:dyDescent="0.25">
      <c r="B49" s="141">
        <v>40</v>
      </c>
      <c r="C49" s="203"/>
      <c r="D49" s="203"/>
      <c r="E49" s="153"/>
      <c r="F49" s="553" t="str">
        <f>IF(D49="","",VLOOKUP(D49,'G-6 Hedgerow Data'!$B$2:$AG$15,2,FALSE))</f>
        <v/>
      </c>
      <c r="G49" s="499" t="str">
        <f>IF(D49="","",VLOOKUP(D49,'G-6 Hedgerow Data'!$B$2:$AG$15,3,FALSE))</f>
        <v/>
      </c>
      <c r="H49" s="145"/>
      <c r="I49" s="499" t="str">
        <f>IFERROR(VLOOKUP(H49,'G-1 All Habitats'!$Z$2:$AA$9,2,FALSE),"")</f>
        <v/>
      </c>
      <c r="J49" s="145"/>
      <c r="K49" s="507" t="str">
        <f>IF(J49="","",IF(VLOOKUP(J49,'G-3 Multipliers'!$L$3:$N$6,2,FALSE)=0,"Spatial Data Missing",VLOOKUP(J49,'G-3 Multipliers'!$L$3:$N$6,2,FALSE)))</f>
        <v/>
      </c>
      <c r="L49" s="505" t="str">
        <f>IF(J49="","",IF(VLOOKUP(J49,'G-3 Multipliers'!$L$3:$N$6,3,FALSE)=0,"Spatial Data Missing ⚠",VLOOKUP(J49,'G-3 Multipliers'!$L$3:$N$6,3,FALSE)))</f>
        <v/>
      </c>
      <c r="M49" s="506" t="str">
        <f>IF(D49="","",VLOOKUP(D49,'G-6 Hedgerow Data'!$B$1:$AH$15,33,FALSE))</f>
        <v/>
      </c>
      <c r="N49" s="513" t="str">
        <f t="shared" si="2"/>
        <v/>
      </c>
      <c r="O49" s="40"/>
      <c r="P49" s="154"/>
      <c r="Q49" s="203"/>
      <c r="R49" s="532" t="str">
        <f t="shared" si="3"/>
        <v/>
      </c>
      <c r="S49" s="532" t="str">
        <f t="shared" si="4"/>
        <v/>
      </c>
      <c r="T49" s="532" t="str">
        <f t="shared" si="5"/>
        <v/>
      </c>
      <c r="U49" s="557"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8" x14ac:dyDescent="0.25">
      <c r="B50" s="141">
        <v>41</v>
      </c>
      <c r="C50" s="203"/>
      <c r="D50" s="203"/>
      <c r="E50" s="153"/>
      <c r="F50" s="553" t="str">
        <f>IF(D50="","",VLOOKUP(D50,'G-6 Hedgerow Data'!$B$2:$AG$15,2,FALSE))</f>
        <v/>
      </c>
      <c r="G50" s="499" t="str">
        <f>IF(D50="","",VLOOKUP(D50,'G-6 Hedgerow Data'!$B$2:$AG$15,3,FALSE))</f>
        <v/>
      </c>
      <c r="H50" s="145"/>
      <c r="I50" s="499" t="str">
        <f>IFERROR(VLOOKUP(H50,'G-1 All Habitats'!$Z$2:$AA$9,2,FALSE),"")</f>
        <v/>
      </c>
      <c r="J50" s="145"/>
      <c r="K50" s="507" t="str">
        <f>IF(J50="","",IF(VLOOKUP(J50,'G-3 Multipliers'!$L$3:$N$6,2,FALSE)=0,"Spatial Data Missing",VLOOKUP(J50,'G-3 Multipliers'!$L$3:$N$6,2,FALSE)))</f>
        <v/>
      </c>
      <c r="L50" s="505" t="str">
        <f>IF(J50="","",IF(VLOOKUP(J50,'G-3 Multipliers'!$L$3:$N$6,3,FALSE)=0,"Spatial Data Missing ⚠",VLOOKUP(J50,'G-3 Multipliers'!$L$3:$N$6,3,FALSE)))</f>
        <v/>
      </c>
      <c r="M50" s="506" t="str">
        <f>IF(D50="","",VLOOKUP(D50,'G-6 Hedgerow Data'!$B$1:$AH$15,33,FALSE))</f>
        <v/>
      </c>
      <c r="N50" s="513" t="str">
        <f t="shared" si="2"/>
        <v/>
      </c>
      <c r="O50" s="40"/>
      <c r="P50" s="154"/>
      <c r="Q50" s="203"/>
      <c r="R50" s="532" t="str">
        <f t="shared" si="3"/>
        <v/>
      </c>
      <c r="S50" s="532" t="str">
        <f t="shared" si="4"/>
        <v/>
      </c>
      <c r="T50" s="532" t="str">
        <f t="shared" si="5"/>
        <v/>
      </c>
      <c r="U50" s="557"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8" x14ac:dyDescent="0.25">
      <c r="B51" s="141">
        <v>42</v>
      </c>
      <c r="C51" s="203"/>
      <c r="D51" s="203"/>
      <c r="E51" s="153"/>
      <c r="F51" s="553" t="str">
        <f>IF(D51="","",VLOOKUP(D51,'G-6 Hedgerow Data'!$B$2:$AG$15,2,FALSE))</f>
        <v/>
      </c>
      <c r="G51" s="499" t="str">
        <f>IF(D51="","",VLOOKUP(D51,'G-6 Hedgerow Data'!$B$2:$AG$15,3,FALSE))</f>
        <v/>
      </c>
      <c r="H51" s="145"/>
      <c r="I51" s="499" t="str">
        <f>IFERROR(VLOOKUP(H51,'G-1 All Habitats'!$Z$2:$AA$9,2,FALSE),"")</f>
        <v/>
      </c>
      <c r="J51" s="145"/>
      <c r="K51" s="507" t="str">
        <f>IF(J51="","",IF(VLOOKUP(J51,'G-3 Multipliers'!$L$3:$N$6,2,FALSE)=0,"Spatial Data Missing",VLOOKUP(J51,'G-3 Multipliers'!$L$3:$N$6,2,FALSE)))</f>
        <v/>
      </c>
      <c r="L51" s="505" t="str">
        <f>IF(J51="","",IF(VLOOKUP(J51,'G-3 Multipliers'!$L$3:$N$6,3,FALSE)=0,"Spatial Data Missing ⚠",VLOOKUP(J51,'G-3 Multipliers'!$L$3:$N$6,3,FALSE)))</f>
        <v/>
      </c>
      <c r="M51" s="506" t="str">
        <f>IF(D51="","",VLOOKUP(D51,'G-6 Hedgerow Data'!$B$1:$AH$15,33,FALSE))</f>
        <v/>
      </c>
      <c r="N51" s="513" t="str">
        <f t="shared" si="2"/>
        <v/>
      </c>
      <c r="O51" s="40"/>
      <c r="P51" s="154"/>
      <c r="Q51" s="203"/>
      <c r="R51" s="532" t="str">
        <f t="shared" si="3"/>
        <v/>
      </c>
      <c r="S51" s="532" t="str">
        <f t="shared" si="4"/>
        <v/>
      </c>
      <c r="T51" s="532" t="str">
        <f t="shared" si="5"/>
        <v/>
      </c>
      <c r="U51" s="557"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8" x14ac:dyDescent="0.25">
      <c r="B52" s="141">
        <v>43</v>
      </c>
      <c r="C52" s="203"/>
      <c r="D52" s="203"/>
      <c r="E52" s="153"/>
      <c r="F52" s="553" t="str">
        <f>IF(D52="","",VLOOKUP(D52,'G-6 Hedgerow Data'!$B$2:$AG$15,2,FALSE))</f>
        <v/>
      </c>
      <c r="G52" s="499" t="str">
        <f>IF(D52="","",VLOOKUP(D52,'G-6 Hedgerow Data'!$B$2:$AG$15,3,FALSE))</f>
        <v/>
      </c>
      <c r="H52" s="145"/>
      <c r="I52" s="499" t="str">
        <f>IFERROR(VLOOKUP(H52,'G-1 All Habitats'!$Z$2:$AA$9,2,FALSE),"")</f>
        <v/>
      </c>
      <c r="J52" s="145"/>
      <c r="K52" s="507" t="str">
        <f>IF(J52="","",IF(VLOOKUP(J52,'G-3 Multipliers'!$L$3:$N$6,2,FALSE)=0,"Spatial Data Missing",VLOOKUP(J52,'G-3 Multipliers'!$L$3:$N$6,2,FALSE)))</f>
        <v/>
      </c>
      <c r="L52" s="505" t="str">
        <f>IF(J52="","",IF(VLOOKUP(J52,'G-3 Multipliers'!$L$3:$N$6,3,FALSE)=0,"Spatial Data Missing ⚠",VLOOKUP(J52,'G-3 Multipliers'!$L$3:$N$6,3,FALSE)))</f>
        <v/>
      </c>
      <c r="M52" s="506" t="str">
        <f>IF(D52="","",VLOOKUP(D52,'G-6 Hedgerow Data'!$B$1:$AH$15,33,FALSE))</f>
        <v/>
      </c>
      <c r="N52" s="513" t="str">
        <f t="shared" si="2"/>
        <v/>
      </c>
      <c r="O52" s="40"/>
      <c r="P52" s="154"/>
      <c r="Q52" s="203"/>
      <c r="R52" s="532" t="str">
        <f t="shared" si="3"/>
        <v/>
      </c>
      <c r="S52" s="532" t="str">
        <f t="shared" si="4"/>
        <v/>
      </c>
      <c r="T52" s="532" t="str">
        <f t="shared" si="5"/>
        <v/>
      </c>
      <c r="U52" s="557"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8" x14ac:dyDescent="0.25">
      <c r="B53" s="141">
        <v>44</v>
      </c>
      <c r="C53" s="203"/>
      <c r="D53" s="203"/>
      <c r="E53" s="153"/>
      <c r="F53" s="553" t="str">
        <f>IF(D53="","",VLOOKUP(D53,'G-6 Hedgerow Data'!$B$2:$AG$15,2,FALSE))</f>
        <v/>
      </c>
      <c r="G53" s="499" t="str">
        <f>IF(D53="","",VLOOKUP(D53,'G-6 Hedgerow Data'!$B$2:$AG$15,3,FALSE))</f>
        <v/>
      </c>
      <c r="H53" s="145"/>
      <c r="I53" s="499" t="str">
        <f>IFERROR(VLOOKUP(H53,'G-1 All Habitats'!$Z$2:$AA$9,2,FALSE),"")</f>
        <v/>
      </c>
      <c r="J53" s="145"/>
      <c r="K53" s="507" t="str">
        <f>IF(J53="","",IF(VLOOKUP(J53,'G-3 Multipliers'!$L$3:$N$6,2,FALSE)=0,"Spatial Data Missing",VLOOKUP(J53,'G-3 Multipliers'!$L$3:$N$6,2,FALSE)))</f>
        <v/>
      </c>
      <c r="L53" s="505" t="str">
        <f>IF(J53="","",IF(VLOOKUP(J53,'G-3 Multipliers'!$L$3:$N$6,3,FALSE)=0,"Spatial Data Missing ⚠",VLOOKUP(J53,'G-3 Multipliers'!$L$3:$N$6,3,FALSE)))</f>
        <v/>
      </c>
      <c r="M53" s="506" t="str">
        <f>IF(D53="","",VLOOKUP(D53,'G-6 Hedgerow Data'!$B$1:$AH$15,33,FALSE))</f>
        <v/>
      </c>
      <c r="N53" s="513" t="str">
        <f t="shared" si="2"/>
        <v/>
      </c>
      <c r="O53" s="40"/>
      <c r="P53" s="154"/>
      <c r="Q53" s="203"/>
      <c r="R53" s="532" t="str">
        <f t="shared" si="3"/>
        <v/>
      </c>
      <c r="S53" s="532" t="str">
        <f t="shared" si="4"/>
        <v/>
      </c>
      <c r="T53" s="532" t="str">
        <f t="shared" si="5"/>
        <v/>
      </c>
      <c r="U53" s="557"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8" x14ac:dyDescent="0.25">
      <c r="B54" s="141">
        <v>45</v>
      </c>
      <c r="C54" s="203"/>
      <c r="D54" s="203"/>
      <c r="E54" s="153"/>
      <c r="F54" s="553" t="str">
        <f>IF(D54="","",VLOOKUP(D54,'G-6 Hedgerow Data'!$B$2:$AG$15,2,FALSE))</f>
        <v/>
      </c>
      <c r="G54" s="499" t="str">
        <f>IF(D54="","",VLOOKUP(D54,'G-6 Hedgerow Data'!$B$2:$AG$15,3,FALSE))</f>
        <v/>
      </c>
      <c r="H54" s="145"/>
      <c r="I54" s="499" t="str">
        <f>IFERROR(VLOOKUP(H54,'G-1 All Habitats'!$Z$2:$AA$9,2,FALSE),"")</f>
        <v/>
      </c>
      <c r="J54" s="145"/>
      <c r="K54" s="507" t="str">
        <f>IF(J54="","",IF(VLOOKUP(J54,'G-3 Multipliers'!$L$3:$N$6,2,FALSE)=0,"Spatial Data Missing",VLOOKUP(J54,'G-3 Multipliers'!$L$3:$N$6,2,FALSE)))</f>
        <v/>
      </c>
      <c r="L54" s="505" t="str">
        <f>IF(J54="","",IF(VLOOKUP(J54,'G-3 Multipliers'!$L$3:$N$6,3,FALSE)=0,"Spatial Data Missing ⚠",VLOOKUP(J54,'G-3 Multipliers'!$L$3:$N$6,3,FALSE)))</f>
        <v/>
      </c>
      <c r="M54" s="506" t="str">
        <f>IF(D54="","",VLOOKUP(D54,'G-6 Hedgerow Data'!$B$1:$AH$15,33,FALSE))</f>
        <v/>
      </c>
      <c r="N54" s="513" t="str">
        <f t="shared" si="2"/>
        <v/>
      </c>
      <c r="O54" s="40"/>
      <c r="P54" s="154"/>
      <c r="Q54" s="203"/>
      <c r="R54" s="532" t="str">
        <f t="shared" si="3"/>
        <v/>
      </c>
      <c r="S54" s="532" t="str">
        <f t="shared" si="4"/>
        <v/>
      </c>
      <c r="T54" s="532" t="str">
        <f t="shared" si="5"/>
        <v/>
      </c>
      <c r="U54" s="557"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8" x14ac:dyDescent="0.25">
      <c r="B55" s="141">
        <v>46</v>
      </c>
      <c r="C55" s="203"/>
      <c r="D55" s="203"/>
      <c r="E55" s="153"/>
      <c r="F55" s="553" t="str">
        <f>IF(D55="","",VLOOKUP(D55,'G-6 Hedgerow Data'!$B$2:$AG$15,2,FALSE))</f>
        <v/>
      </c>
      <c r="G55" s="499" t="str">
        <f>IF(D55="","",VLOOKUP(D55,'G-6 Hedgerow Data'!$B$2:$AG$15,3,FALSE))</f>
        <v/>
      </c>
      <c r="H55" s="145"/>
      <c r="I55" s="499" t="str">
        <f>IFERROR(VLOOKUP(H55,'G-1 All Habitats'!$Z$2:$AA$9,2,FALSE),"")</f>
        <v/>
      </c>
      <c r="J55" s="145"/>
      <c r="K55" s="507" t="str">
        <f>IF(J55="","",IF(VLOOKUP(J55,'G-3 Multipliers'!$L$3:$N$6,2,FALSE)=0,"Spatial Data Missing",VLOOKUP(J55,'G-3 Multipliers'!$L$3:$N$6,2,FALSE)))</f>
        <v/>
      </c>
      <c r="L55" s="505" t="str">
        <f>IF(J55="","",IF(VLOOKUP(J55,'G-3 Multipliers'!$L$3:$N$6,3,FALSE)=0,"Spatial Data Missing ⚠",VLOOKUP(J55,'G-3 Multipliers'!$L$3:$N$6,3,FALSE)))</f>
        <v/>
      </c>
      <c r="M55" s="506" t="str">
        <f>IF(D55="","",VLOOKUP(D55,'G-6 Hedgerow Data'!$B$1:$AH$15,33,FALSE))</f>
        <v/>
      </c>
      <c r="N55" s="513" t="str">
        <f t="shared" si="2"/>
        <v/>
      </c>
      <c r="O55" s="40"/>
      <c r="P55" s="154"/>
      <c r="Q55" s="203"/>
      <c r="R55" s="532" t="str">
        <f t="shared" si="3"/>
        <v/>
      </c>
      <c r="S55" s="532" t="str">
        <f t="shared" si="4"/>
        <v/>
      </c>
      <c r="T55" s="532" t="str">
        <f t="shared" si="5"/>
        <v/>
      </c>
      <c r="U55" s="557"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8" x14ac:dyDescent="0.25">
      <c r="B56" s="141">
        <v>47</v>
      </c>
      <c r="C56" s="203"/>
      <c r="D56" s="203"/>
      <c r="E56" s="153"/>
      <c r="F56" s="553" t="str">
        <f>IF(D56="","",VLOOKUP(D56,'G-6 Hedgerow Data'!$B$2:$AG$15,2,FALSE))</f>
        <v/>
      </c>
      <c r="G56" s="499" t="str">
        <f>IF(D56="","",VLOOKUP(D56,'G-6 Hedgerow Data'!$B$2:$AG$15,3,FALSE))</f>
        <v/>
      </c>
      <c r="H56" s="145"/>
      <c r="I56" s="499" t="str">
        <f>IFERROR(VLOOKUP(H56,'G-1 All Habitats'!$Z$2:$AA$9,2,FALSE),"")</f>
        <v/>
      </c>
      <c r="J56" s="145"/>
      <c r="K56" s="507" t="str">
        <f>IF(J56="","",IF(VLOOKUP(J56,'G-3 Multipliers'!$L$3:$N$6,2,FALSE)=0,"Spatial Data Missing",VLOOKUP(J56,'G-3 Multipliers'!$L$3:$N$6,2,FALSE)))</f>
        <v/>
      </c>
      <c r="L56" s="505" t="str">
        <f>IF(J56="","",IF(VLOOKUP(J56,'G-3 Multipliers'!$L$3:$N$6,3,FALSE)=0,"Spatial Data Missing ⚠",VLOOKUP(J56,'G-3 Multipliers'!$L$3:$N$6,3,FALSE)))</f>
        <v/>
      </c>
      <c r="M56" s="506" t="str">
        <f>IF(D56="","",VLOOKUP(D56,'G-6 Hedgerow Data'!$B$1:$AH$15,33,FALSE))</f>
        <v/>
      </c>
      <c r="N56" s="513" t="str">
        <f t="shared" si="2"/>
        <v/>
      </c>
      <c r="O56" s="40"/>
      <c r="P56" s="154"/>
      <c r="Q56" s="203"/>
      <c r="R56" s="532" t="str">
        <f t="shared" si="3"/>
        <v/>
      </c>
      <c r="S56" s="532" t="str">
        <f t="shared" si="4"/>
        <v/>
      </c>
      <c r="T56" s="532" t="str">
        <f t="shared" si="5"/>
        <v/>
      </c>
      <c r="U56" s="557"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8" x14ac:dyDescent="0.25">
      <c r="B57" s="141">
        <v>48</v>
      </c>
      <c r="C57" s="203"/>
      <c r="D57" s="203"/>
      <c r="E57" s="153"/>
      <c r="F57" s="553" t="str">
        <f>IF(D57="","",VLOOKUP(D57,'G-6 Hedgerow Data'!$B$2:$AG$15,2,FALSE))</f>
        <v/>
      </c>
      <c r="G57" s="499" t="str">
        <f>IF(D57="","",VLOOKUP(D57,'G-6 Hedgerow Data'!$B$2:$AG$15,3,FALSE))</f>
        <v/>
      </c>
      <c r="H57" s="145"/>
      <c r="I57" s="499" t="str">
        <f>IFERROR(VLOOKUP(H57,'G-1 All Habitats'!$Z$2:$AA$9,2,FALSE),"")</f>
        <v/>
      </c>
      <c r="J57" s="145"/>
      <c r="K57" s="507" t="str">
        <f>IF(J57="","",IF(VLOOKUP(J57,'G-3 Multipliers'!$L$3:$N$6,2,FALSE)=0,"Spatial Data Missing",VLOOKUP(J57,'G-3 Multipliers'!$L$3:$N$6,2,FALSE)))</f>
        <v/>
      </c>
      <c r="L57" s="505" t="str">
        <f>IF(J57="","",IF(VLOOKUP(J57,'G-3 Multipliers'!$L$3:$N$6,3,FALSE)=0,"Spatial Data Missing ⚠",VLOOKUP(J57,'G-3 Multipliers'!$L$3:$N$6,3,FALSE)))</f>
        <v/>
      </c>
      <c r="M57" s="506" t="str">
        <f>IF(D57="","",VLOOKUP(D57,'G-6 Hedgerow Data'!$B$1:$AH$15,33,FALSE))</f>
        <v/>
      </c>
      <c r="N57" s="513" t="str">
        <f t="shared" si="2"/>
        <v/>
      </c>
      <c r="O57" s="40"/>
      <c r="P57" s="154"/>
      <c r="Q57" s="203"/>
      <c r="R57" s="532" t="str">
        <f t="shared" si="3"/>
        <v/>
      </c>
      <c r="S57" s="532" t="str">
        <f t="shared" si="4"/>
        <v/>
      </c>
      <c r="T57" s="532" t="str">
        <f t="shared" si="5"/>
        <v/>
      </c>
      <c r="U57" s="557"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8" x14ac:dyDescent="0.25">
      <c r="B58" s="141">
        <v>49</v>
      </c>
      <c r="C58" s="203"/>
      <c r="D58" s="203"/>
      <c r="E58" s="153"/>
      <c r="F58" s="553" t="str">
        <f>IF(D58="","",VLOOKUP(D58,'G-6 Hedgerow Data'!$B$2:$AG$15,2,FALSE))</f>
        <v/>
      </c>
      <c r="G58" s="499" t="str">
        <f>IF(D58="","",VLOOKUP(D58,'G-6 Hedgerow Data'!$B$2:$AG$15,3,FALSE))</f>
        <v/>
      </c>
      <c r="H58" s="145"/>
      <c r="I58" s="499" t="str">
        <f>IFERROR(VLOOKUP(H58,'G-1 All Habitats'!$Z$2:$AA$9,2,FALSE),"")</f>
        <v/>
      </c>
      <c r="J58" s="145"/>
      <c r="K58" s="507" t="str">
        <f>IF(J58="","",IF(VLOOKUP(J58,'G-3 Multipliers'!$L$3:$N$6,2,FALSE)=0,"Spatial Data Missing",VLOOKUP(J58,'G-3 Multipliers'!$L$3:$N$6,2,FALSE)))</f>
        <v/>
      </c>
      <c r="L58" s="505" t="str">
        <f>IF(J58="","",IF(VLOOKUP(J58,'G-3 Multipliers'!$L$3:$N$6,3,FALSE)=0,"Spatial Data Missing ⚠",VLOOKUP(J58,'G-3 Multipliers'!$L$3:$N$6,3,FALSE)))</f>
        <v/>
      </c>
      <c r="M58" s="506" t="str">
        <f>IF(D58="","",VLOOKUP(D58,'G-6 Hedgerow Data'!$B$1:$AH$15,33,FALSE))</f>
        <v/>
      </c>
      <c r="N58" s="513" t="str">
        <f t="shared" si="2"/>
        <v/>
      </c>
      <c r="O58" s="40"/>
      <c r="P58" s="154"/>
      <c r="Q58" s="203"/>
      <c r="R58" s="532" t="str">
        <f t="shared" si="3"/>
        <v/>
      </c>
      <c r="S58" s="532" t="str">
        <f t="shared" si="4"/>
        <v/>
      </c>
      <c r="T58" s="532" t="str">
        <f t="shared" si="5"/>
        <v/>
      </c>
      <c r="U58" s="557"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8" x14ac:dyDescent="0.25">
      <c r="B59" s="141">
        <v>50</v>
      </c>
      <c r="C59" s="203"/>
      <c r="D59" s="203"/>
      <c r="E59" s="153"/>
      <c r="F59" s="553" t="str">
        <f>IF(D59="","",VLOOKUP(D59,'G-6 Hedgerow Data'!$B$2:$AG$15,2,FALSE))</f>
        <v/>
      </c>
      <c r="G59" s="499" t="str">
        <f>IF(D59="","",VLOOKUP(D59,'G-6 Hedgerow Data'!$B$2:$AG$15,3,FALSE))</f>
        <v/>
      </c>
      <c r="H59" s="145"/>
      <c r="I59" s="499" t="str">
        <f>IFERROR(VLOOKUP(H59,'G-1 All Habitats'!$Z$2:$AA$9,2,FALSE),"")</f>
        <v/>
      </c>
      <c r="J59" s="145"/>
      <c r="K59" s="507" t="str">
        <f>IF(J59="","",IF(VLOOKUP(J59,'G-3 Multipliers'!$L$3:$N$6,2,FALSE)=0,"Spatial Data Missing",VLOOKUP(J59,'G-3 Multipliers'!$L$3:$N$6,2,FALSE)))</f>
        <v/>
      </c>
      <c r="L59" s="505" t="str">
        <f>IF(J59="","",IF(VLOOKUP(J59,'G-3 Multipliers'!$L$3:$N$6,3,FALSE)=0,"Spatial Data Missing ⚠",VLOOKUP(J59,'G-3 Multipliers'!$L$3:$N$6,3,FALSE)))</f>
        <v/>
      </c>
      <c r="M59" s="506" t="str">
        <f>IF(D59="","",VLOOKUP(D59,'G-6 Hedgerow Data'!$B$1:$AH$15,33,FALSE))</f>
        <v/>
      </c>
      <c r="N59" s="513" t="str">
        <f t="shared" si="2"/>
        <v/>
      </c>
      <c r="O59" s="40"/>
      <c r="P59" s="154"/>
      <c r="Q59" s="203"/>
      <c r="R59" s="532" t="str">
        <f t="shared" si="3"/>
        <v/>
      </c>
      <c r="S59" s="532" t="str">
        <f t="shared" si="4"/>
        <v/>
      </c>
      <c r="T59" s="532" t="str">
        <f t="shared" si="5"/>
        <v/>
      </c>
      <c r="U59" s="557"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8" x14ac:dyDescent="0.25">
      <c r="B60" s="141">
        <v>51</v>
      </c>
      <c r="C60" s="203"/>
      <c r="D60" s="203"/>
      <c r="E60" s="153"/>
      <c r="F60" s="553" t="str">
        <f>IF(D60="","",VLOOKUP(D60,'G-6 Hedgerow Data'!$B$2:$AG$15,2,FALSE))</f>
        <v/>
      </c>
      <c r="G60" s="499" t="str">
        <f>IF(D60="","",VLOOKUP(D60,'G-6 Hedgerow Data'!$B$2:$AG$15,3,FALSE))</f>
        <v/>
      </c>
      <c r="H60" s="145"/>
      <c r="I60" s="499" t="str">
        <f>IFERROR(VLOOKUP(H60,'G-1 All Habitats'!$Z$2:$AA$9,2,FALSE),"")</f>
        <v/>
      </c>
      <c r="J60" s="145"/>
      <c r="K60" s="507" t="str">
        <f>IF(J60="","",IF(VLOOKUP(J60,'G-3 Multipliers'!$L$3:$N$6,2,FALSE)=0,"Spatial Data Missing",VLOOKUP(J60,'G-3 Multipliers'!$L$3:$N$6,2,FALSE)))</f>
        <v/>
      </c>
      <c r="L60" s="505" t="str">
        <f>IF(J60="","",IF(VLOOKUP(J60,'G-3 Multipliers'!$L$3:$N$6,3,FALSE)=0,"Spatial Data Missing ⚠",VLOOKUP(J60,'G-3 Multipliers'!$L$3:$N$6,3,FALSE)))</f>
        <v/>
      </c>
      <c r="M60" s="506" t="str">
        <f>IF(D60="","",VLOOKUP(D60,'G-6 Hedgerow Data'!$B$1:$AH$15,33,FALSE))</f>
        <v/>
      </c>
      <c r="N60" s="513" t="str">
        <f t="shared" si="2"/>
        <v/>
      </c>
      <c r="O60" s="40"/>
      <c r="P60" s="154"/>
      <c r="Q60" s="203"/>
      <c r="R60" s="532" t="str">
        <f t="shared" si="3"/>
        <v/>
      </c>
      <c r="S60" s="532" t="str">
        <f t="shared" si="4"/>
        <v/>
      </c>
      <c r="T60" s="532" t="str">
        <f t="shared" si="5"/>
        <v/>
      </c>
      <c r="U60" s="557"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8" x14ac:dyDescent="0.25">
      <c r="B61" s="141">
        <v>52</v>
      </c>
      <c r="C61" s="203"/>
      <c r="D61" s="203"/>
      <c r="E61" s="153"/>
      <c r="F61" s="553" t="str">
        <f>IF(D61="","",VLOOKUP(D61,'G-6 Hedgerow Data'!$B$2:$AG$15,2,FALSE))</f>
        <v/>
      </c>
      <c r="G61" s="499" t="str">
        <f>IF(D61="","",VLOOKUP(D61,'G-6 Hedgerow Data'!$B$2:$AG$15,3,FALSE))</f>
        <v/>
      </c>
      <c r="H61" s="145"/>
      <c r="I61" s="499" t="str">
        <f>IFERROR(VLOOKUP(H61,'G-1 All Habitats'!$Z$2:$AA$9,2,FALSE),"")</f>
        <v/>
      </c>
      <c r="J61" s="145"/>
      <c r="K61" s="507" t="str">
        <f>IF(J61="","",IF(VLOOKUP(J61,'G-3 Multipliers'!$L$3:$N$6,2,FALSE)=0,"Spatial Data Missing",VLOOKUP(J61,'G-3 Multipliers'!$L$3:$N$6,2,FALSE)))</f>
        <v/>
      </c>
      <c r="L61" s="505" t="str">
        <f>IF(J61="","",IF(VLOOKUP(J61,'G-3 Multipliers'!$L$3:$N$6,3,FALSE)=0,"Spatial Data Missing ⚠",VLOOKUP(J61,'G-3 Multipliers'!$L$3:$N$6,3,FALSE)))</f>
        <v/>
      </c>
      <c r="M61" s="506" t="str">
        <f>IF(D61="","",VLOOKUP(D61,'G-6 Hedgerow Data'!$B$1:$AH$15,33,FALSE))</f>
        <v/>
      </c>
      <c r="N61" s="513" t="str">
        <f t="shared" si="2"/>
        <v/>
      </c>
      <c r="O61" s="40"/>
      <c r="P61" s="154"/>
      <c r="Q61" s="203"/>
      <c r="R61" s="532" t="str">
        <f t="shared" si="3"/>
        <v/>
      </c>
      <c r="S61" s="532" t="str">
        <f t="shared" si="4"/>
        <v/>
      </c>
      <c r="T61" s="532" t="str">
        <f t="shared" si="5"/>
        <v/>
      </c>
      <c r="U61" s="557"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8" x14ac:dyDescent="0.25">
      <c r="B62" s="141">
        <v>53</v>
      </c>
      <c r="C62" s="203"/>
      <c r="D62" s="203"/>
      <c r="E62" s="153"/>
      <c r="F62" s="553" t="str">
        <f>IF(D62="","",VLOOKUP(D62,'G-6 Hedgerow Data'!$B$2:$AG$15,2,FALSE))</f>
        <v/>
      </c>
      <c r="G62" s="499" t="str">
        <f>IF(D62="","",VLOOKUP(D62,'G-6 Hedgerow Data'!$B$2:$AG$15,3,FALSE))</f>
        <v/>
      </c>
      <c r="H62" s="145"/>
      <c r="I62" s="499" t="str">
        <f>IFERROR(VLOOKUP(H62,'G-1 All Habitats'!$Z$2:$AA$9,2,FALSE),"")</f>
        <v/>
      </c>
      <c r="J62" s="145"/>
      <c r="K62" s="507" t="str">
        <f>IF(J62="","",IF(VLOOKUP(J62,'G-3 Multipliers'!$L$3:$N$6,2,FALSE)=0,"Spatial Data Missing",VLOOKUP(J62,'G-3 Multipliers'!$L$3:$N$6,2,FALSE)))</f>
        <v/>
      </c>
      <c r="L62" s="505" t="str">
        <f>IF(J62="","",IF(VLOOKUP(J62,'G-3 Multipliers'!$L$3:$N$6,3,FALSE)=0,"Spatial Data Missing ⚠",VLOOKUP(J62,'G-3 Multipliers'!$L$3:$N$6,3,FALSE)))</f>
        <v/>
      </c>
      <c r="M62" s="506" t="str">
        <f>IF(D62="","",VLOOKUP(D62,'G-6 Hedgerow Data'!$B$1:$AH$15,33,FALSE))</f>
        <v/>
      </c>
      <c r="N62" s="513" t="str">
        <f t="shared" si="2"/>
        <v/>
      </c>
      <c r="O62" s="40"/>
      <c r="P62" s="154"/>
      <c r="Q62" s="203"/>
      <c r="R62" s="532" t="str">
        <f t="shared" si="3"/>
        <v/>
      </c>
      <c r="S62" s="532" t="str">
        <f t="shared" si="4"/>
        <v/>
      </c>
      <c r="T62" s="532" t="str">
        <f t="shared" si="5"/>
        <v/>
      </c>
      <c r="U62" s="557"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8" x14ac:dyDescent="0.25">
      <c r="B63" s="141">
        <v>54</v>
      </c>
      <c r="C63" s="203"/>
      <c r="D63" s="203"/>
      <c r="E63" s="153"/>
      <c r="F63" s="553" t="str">
        <f>IF(D63="","",VLOOKUP(D63,'G-6 Hedgerow Data'!$B$2:$AG$15,2,FALSE))</f>
        <v/>
      </c>
      <c r="G63" s="499" t="str">
        <f>IF(D63="","",VLOOKUP(D63,'G-6 Hedgerow Data'!$B$2:$AG$15,3,FALSE))</f>
        <v/>
      </c>
      <c r="H63" s="145"/>
      <c r="I63" s="499" t="str">
        <f>IFERROR(VLOOKUP(H63,'G-1 All Habitats'!$Z$2:$AA$9,2,FALSE),"")</f>
        <v/>
      </c>
      <c r="J63" s="145"/>
      <c r="K63" s="507" t="str">
        <f>IF(J63="","",IF(VLOOKUP(J63,'G-3 Multipliers'!$L$3:$N$6,2,FALSE)=0,"Spatial Data Missing",VLOOKUP(J63,'G-3 Multipliers'!$L$3:$N$6,2,FALSE)))</f>
        <v/>
      </c>
      <c r="L63" s="505" t="str">
        <f>IF(J63="","",IF(VLOOKUP(J63,'G-3 Multipliers'!$L$3:$N$6,3,FALSE)=0,"Spatial Data Missing ⚠",VLOOKUP(J63,'G-3 Multipliers'!$L$3:$N$6,3,FALSE)))</f>
        <v/>
      </c>
      <c r="M63" s="506" t="str">
        <f>IF(D63="","",VLOOKUP(D63,'G-6 Hedgerow Data'!$B$1:$AH$15,33,FALSE))</f>
        <v/>
      </c>
      <c r="N63" s="513" t="str">
        <f t="shared" si="2"/>
        <v/>
      </c>
      <c r="O63" s="40"/>
      <c r="P63" s="154"/>
      <c r="Q63" s="203"/>
      <c r="R63" s="532" t="str">
        <f t="shared" si="3"/>
        <v/>
      </c>
      <c r="S63" s="532" t="str">
        <f t="shared" si="4"/>
        <v/>
      </c>
      <c r="T63" s="532" t="str">
        <f t="shared" si="5"/>
        <v/>
      </c>
      <c r="U63" s="557"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8" x14ac:dyDescent="0.25">
      <c r="B64" s="141">
        <v>55</v>
      </c>
      <c r="C64" s="203"/>
      <c r="D64" s="203"/>
      <c r="E64" s="153"/>
      <c r="F64" s="553" t="str">
        <f>IF(D64="","",VLOOKUP(D64,'G-6 Hedgerow Data'!$B$2:$AG$15,2,FALSE))</f>
        <v/>
      </c>
      <c r="G64" s="499" t="str">
        <f>IF(D64="","",VLOOKUP(D64,'G-6 Hedgerow Data'!$B$2:$AG$15,3,FALSE))</f>
        <v/>
      </c>
      <c r="H64" s="145"/>
      <c r="I64" s="499" t="str">
        <f>IFERROR(VLOOKUP(H64,'G-1 All Habitats'!$Z$2:$AA$9,2,FALSE),"")</f>
        <v/>
      </c>
      <c r="J64" s="145"/>
      <c r="K64" s="507" t="str">
        <f>IF(J64="","",IF(VLOOKUP(J64,'G-3 Multipliers'!$L$3:$N$6,2,FALSE)=0,"Spatial Data Missing",VLOOKUP(J64,'G-3 Multipliers'!$L$3:$N$6,2,FALSE)))</f>
        <v/>
      </c>
      <c r="L64" s="505" t="str">
        <f>IF(J64="","",IF(VLOOKUP(J64,'G-3 Multipliers'!$L$3:$N$6,3,FALSE)=0,"Spatial Data Missing ⚠",VLOOKUP(J64,'G-3 Multipliers'!$L$3:$N$6,3,FALSE)))</f>
        <v/>
      </c>
      <c r="M64" s="506" t="str">
        <f>IF(D64="","",VLOOKUP(D64,'G-6 Hedgerow Data'!$B$1:$AH$15,33,FALSE))</f>
        <v/>
      </c>
      <c r="N64" s="513" t="str">
        <f t="shared" si="2"/>
        <v/>
      </c>
      <c r="O64" s="40"/>
      <c r="P64" s="154"/>
      <c r="Q64" s="203"/>
      <c r="R64" s="532" t="str">
        <f t="shared" si="3"/>
        <v/>
      </c>
      <c r="S64" s="532" t="str">
        <f t="shared" si="4"/>
        <v/>
      </c>
      <c r="T64" s="532" t="str">
        <f t="shared" si="5"/>
        <v/>
      </c>
      <c r="U64" s="557"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8" x14ac:dyDescent="0.25">
      <c r="B65" s="141">
        <v>56</v>
      </c>
      <c r="C65" s="203"/>
      <c r="D65" s="203"/>
      <c r="E65" s="153"/>
      <c r="F65" s="553" t="str">
        <f>IF(D65="","",VLOOKUP(D65,'G-6 Hedgerow Data'!$B$2:$AG$15,2,FALSE))</f>
        <v/>
      </c>
      <c r="G65" s="499" t="str">
        <f>IF(D65="","",VLOOKUP(D65,'G-6 Hedgerow Data'!$B$2:$AG$15,3,FALSE))</f>
        <v/>
      </c>
      <c r="H65" s="145"/>
      <c r="I65" s="499" t="str">
        <f>IFERROR(VLOOKUP(H65,'G-1 All Habitats'!$Z$2:$AA$9,2,FALSE),"")</f>
        <v/>
      </c>
      <c r="J65" s="145"/>
      <c r="K65" s="507" t="str">
        <f>IF(J65="","",IF(VLOOKUP(J65,'G-3 Multipliers'!$L$3:$N$6,2,FALSE)=0,"Spatial Data Missing",VLOOKUP(J65,'G-3 Multipliers'!$L$3:$N$6,2,FALSE)))</f>
        <v/>
      </c>
      <c r="L65" s="505" t="str">
        <f>IF(J65="","",IF(VLOOKUP(J65,'G-3 Multipliers'!$L$3:$N$6,3,FALSE)=0,"Spatial Data Missing ⚠",VLOOKUP(J65,'G-3 Multipliers'!$L$3:$N$6,3,FALSE)))</f>
        <v/>
      </c>
      <c r="M65" s="506" t="str">
        <f>IF(D65="","",VLOOKUP(D65,'G-6 Hedgerow Data'!$B$1:$AH$15,33,FALSE))</f>
        <v/>
      </c>
      <c r="N65" s="513" t="str">
        <f t="shared" si="2"/>
        <v/>
      </c>
      <c r="O65" s="40"/>
      <c r="P65" s="154"/>
      <c r="Q65" s="203"/>
      <c r="R65" s="532" t="str">
        <f t="shared" si="3"/>
        <v/>
      </c>
      <c r="S65" s="532" t="str">
        <f t="shared" si="4"/>
        <v/>
      </c>
      <c r="T65" s="532" t="str">
        <f t="shared" si="5"/>
        <v/>
      </c>
      <c r="U65" s="557"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8" x14ac:dyDescent="0.25">
      <c r="B66" s="141">
        <v>57</v>
      </c>
      <c r="C66" s="203"/>
      <c r="D66" s="203"/>
      <c r="E66" s="153"/>
      <c r="F66" s="553" t="str">
        <f>IF(D66="","",VLOOKUP(D66,'G-6 Hedgerow Data'!$B$2:$AG$15,2,FALSE))</f>
        <v/>
      </c>
      <c r="G66" s="499" t="str">
        <f>IF(D66="","",VLOOKUP(D66,'G-6 Hedgerow Data'!$B$2:$AG$15,3,FALSE))</f>
        <v/>
      </c>
      <c r="H66" s="145"/>
      <c r="I66" s="499" t="str">
        <f>IFERROR(VLOOKUP(H66,'G-1 All Habitats'!$Z$2:$AA$9,2,FALSE),"")</f>
        <v/>
      </c>
      <c r="J66" s="145"/>
      <c r="K66" s="507" t="str">
        <f>IF(J66="","",IF(VLOOKUP(J66,'G-3 Multipliers'!$L$3:$N$6,2,FALSE)=0,"Spatial Data Missing",VLOOKUP(J66,'G-3 Multipliers'!$L$3:$N$6,2,FALSE)))</f>
        <v/>
      </c>
      <c r="L66" s="505" t="str">
        <f>IF(J66="","",IF(VLOOKUP(J66,'G-3 Multipliers'!$L$3:$N$6,3,FALSE)=0,"Spatial Data Missing ⚠",VLOOKUP(J66,'G-3 Multipliers'!$L$3:$N$6,3,FALSE)))</f>
        <v/>
      </c>
      <c r="M66" s="506" t="str">
        <f>IF(D66="","",VLOOKUP(D66,'G-6 Hedgerow Data'!$B$1:$AH$15,33,FALSE))</f>
        <v/>
      </c>
      <c r="N66" s="513" t="str">
        <f t="shared" si="2"/>
        <v/>
      </c>
      <c r="O66" s="40"/>
      <c r="P66" s="154"/>
      <c r="Q66" s="203"/>
      <c r="R66" s="532" t="str">
        <f t="shared" si="3"/>
        <v/>
      </c>
      <c r="S66" s="532" t="str">
        <f t="shared" si="4"/>
        <v/>
      </c>
      <c r="T66" s="532" t="str">
        <f t="shared" si="5"/>
        <v/>
      </c>
      <c r="U66" s="557"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8" x14ac:dyDescent="0.25">
      <c r="B67" s="141">
        <v>58</v>
      </c>
      <c r="C67" s="203"/>
      <c r="D67" s="203"/>
      <c r="E67" s="153"/>
      <c r="F67" s="553" t="str">
        <f>IF(D67="","",VLOOKUP(D67,'G-6 Hedgerow Data'!$B$2:$AG$15,2,FALSE))</f>
        <v/>
      </c>
      <c r="G67" s="499" t="str">
        <f>IF(D67="","",VLOOKUP(D67,'G-6 Hedgerow Data'!$B$2:$AG$15,3,FALSE))</f>
        <v/>
      </c>
      <c r="H67" s="145"/>
      <c r="I67" s="499" t="str">
        <f>IFERROR(VLOOKUP(H67,'G-1 All Habitats'!$Z$2:$AA$9,2,FALSE),"")</f>
        <v/>
      </c>
      <c r="J67" s="145"/>
      <c r="K67" s="507" t="str">
        <f>IF(J67="","",IF(VLOOKUP(J67,'G-3 Multipliers'!$L$3:$N$6,2,FALSE)=0,"Spatial Data Missing",VLOOKUP(J67,'G-3 Multipliers'!$L$3:$N$6,2,FALSE)))</f>
        <v/>
      </c>
      <c r="L67" s="505" t="str">
        <f>IF(J67="","",IF(VLOOKUP(J67,'G-3 Multipliers'!$L$3:$N$6,3,FALSE)=0,"Spatial Data Missing ⚠",VLOOKUP(J67,'G-3 Multipliers'!$L$3:$N$6,3,FALSE)))</f>
        <v/>
      </c>
      <c r="M67" s="506" t="str">
        <f>IF(D67="","",VLOOKUP(D67,'G-6 Hedgerow Data'!$B$1:$AH$15,33,FALSE))</f>
        <v/>
      </c>
      <c r="N67" s="513" t="str">
        <f t="shared" si="2"/>
        <v/>
      </c>
      <c r="O67" s="40"/>
      <c r="P67" s="154"/>
      <c r="Q67" s="203"/>
      <c r="R67" s="532" t="str">
        <f t="shared" si="3"/>
        <v/>
      </c>
      <c r="S67" s="532" t="str">
        <f t="shared" si="4"/>
        <v/>
      </c>
      <c r="T67" s="532" t="str">
        <f t="shared" si="5"/>
        <v/>
      </c>
      <c r="U67" s="557"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8" x14ac:dyDescent="0.25">
      <c r="B68" s="141">
        <v>59</v>
      </c>
      <c r="C68" s="203"/>
      <c r="D68" s="203"/>
      <c r="E68" s="153"/>
      <c r="F68" s="553" t="str">
        <f>IF(D68="","",VLOOKUP(D68,'G-6 Hedgerow Data'!$B$2:$AG$15,2,FALSE))</f>
        <v/>
      </c>
      <c r="G68" s="499" t="str">
        <f>IF(D68="","",VLOOKUP(D68,'G-6 Hedgerow Data'!$B$2:$AG$15,3,FALSE))</f>
        <v/>
      </c>
      <c r="H68" s="145"/>
      <c r="I68" s="499" t="str">
        <f>IFERROR(VLOOKUP(H68,'G-1 All Habitats'!$Z$2:$AA$9,2,FALSE),"")</f>
        <v/>
      </c>
      <c r="J68" s="145"/>
      <c r="K68" s="507" t="str">
        <f>IF(J68="","",IF(VLOOKUP(J68,'G-3 Multipliers'!$L$3:$N$6,2,FALSE)=0,"Spatial Data Missing",VLOOKUP(J68,'G-3 Multipliers'!$L$3:$N$6,2,FALSE)))</f>
        <v/>
      </c>
      <c r="L68" s="505" t="str">
        <f>IF(J68="","",IF(VLOOKUP(J68,'G-3 Multipliers'!$L$3:$N$6,3,FALSE)=0,"Spatial Data Missing ⚠",VLOOKUP(J68,'G-3 Multipliers'!$L$3:$N$6,3,FALSE)))</f>
        <v/>
      </c>
      <c r="M68" s="506" t="str">
        <f>IF(D68="","",VLOOKUP(D68,'G-6 Hedgerow Data'!$B$1:$AH$15,33,FALSE))</f>
        <v/>
      </c>
      <c r="N68" s="513" t="str">
        <f t="shared" si="2"/>
        <v/>
      </c>
      <c r="O68" s="40"/>
      <c r="P68" s="154"/>
      <c r="Q68" s="203"/>
      <c r="R68" s="532" t="str">
        <f t="shared" si="3"/>
        <v/>
      </c>
      <c r="S68" s="532" t="str">
        <f t="shared" si="4"/>
        <v/>
      </c>
      <c r="T68" s="532" t="str">
        <f t="shared" si="5"/>
        <v/>
      </c>
      <c r="U68" s="557"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8" x14ac:dyDescent="0.25">
      <c r="B69" s="141">
        <v>60</v>
      </c>
      <c r="C69" s="203"/>
      <c r="D69" s="203"/>
      <c r="E69" s="153"/>
      <c r="F69" s="553" t="str">
        <f>IF(D69="","",VLOOKUP(D69,'G-6 Hedgerow Data'!$B$2:$AG$15,2,FALSE))</f>
        <v/>
      </c>
      <c r="G69" s="499" t="str">
        <f>IF(D69="","",VLOOKUP(D69,'G-6 Hedgerow Data'!$B$2:$AG$15,3,FALSE))</f>
        <v/>
      </c>
      <c r="H69" s="145"/>
      <c r="I69" s="499" t="str">
        <f>IFERROR(VLOOKUP(H69,'G-1 All Habitats'!$Z$2:$AA$9,2,FALSE),"")</f>
        <v/>
      </c>
      <c r="J69" s="145"/>
      <c r="K69" s="507" t="str">
        <f>IF(J69="","",IF(VLOOKUP(J69,'G-3 Multipliers'!$L$3:$N$6,2,FALSE)=0,"Spatial Data Missing",VLOOKUP(J69,'G-3 Multipliers'!$L$3:$N$6,2,FALSE)))</f>
        <v/>
      </c>
      <c r="L69" s="505" t="str">
        <f>IF(J69="","",IF(VLOOKUP(J69,'G-3 Multipliers'!$L$3:$N$6,3,FALSE)=0,"Spatial Data Missing ⚠",VLOOKUP(J69,'G-3 Multipliers'!$L$3:$N$6,3,FALSE)))</f>
        <v/>
      </c>
      <c r="M69" s="506" t="str">
        <f>IF(D69="","",VLOOKUP(D69,'G-6 Hedgerow Data'!$B$1:$AH$15,33,FALSE))</f>
        <v/>
      </c>
      <c r="N69" s="513" t="str">
        <f t="shared" si="2"/>
        <v/>
      </c>
      <c r="O69" s="40"/>
      <c r="P69" s="154"/>
      <c r="Q69" s="203"/>
      <c r="R69" s="532" t="str">
        <f t="shared" si="3"/>
        <v/>
      </c>
      <c r="S69" s="532" t="str">
        <f t="shared" si="4"/>
        <v/>
      </c>
      <c r="T69" s="532" t="str">
        <f t="shared" si="5"/>
        <v/>
      </c>
      <c r="U69" s="557"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8" x14ac:dyDescent="0.25">
      <c r="B70" s="141">
        <v>61</v>
      </c>
      <c r="C70" s="203"/>
      <c r="D70" s="203"/>
      <c r="E70" s="153"/>
      <c r="F70" s="553" t="str">
        <f>IF(D70="","",VLOOKUP(D70,'G-6 Hedgerow Data'!$B$2:$AG$15,2,FALSE))</f>
        <v/>
      </c>
      <c r="G70" s="499" t="str">
        <f>IF(D70="","",VLOOKUP(D70,'G-6 Hedgerow Data'!$B$2:$AG$15,3,FALSE))</f>
        <v/>
      </c>
      <c r="H70" s="145"/>
      <c r="I70" s="499" t="str">
        <f>IFERROR(VLOOKUP(H70,'G-1 All Habitats'!$Z$2:$AA$9,2,FALSE),"")</f>
        <v/>
      </c>
      <c r="J70" s="145"/>
      <c r="K70" s="507" t="str">
        <f>IF(J70="","",IF(VLOOKUP(J70,'G-3 Multipliers'!$L$3:$N$6,2,FALSE)=0,"Spatial Data Missing",VLOOKUP(J70,'G-3 Multipliers'!$L$3:$N$6,2,FALSE)))</f>
        <v/>
      </c>
      <c r="L70" s="505" t="str">
        <f>IF(J70="","",IF(VLOOKUP(J70,'G-3 Multipliers'!$L$3:$N$6,3,FALSE)=0,"Spatial Data Missing ⚠",VLOOKUP(J70,'G-3 Multipliers'!$L$3:$N$6,3,FALSE)))</f>
        <v/>
      </c>
      <c r="M70" s="506" t="str">
        <f>IF(D70="","",VLOOKUP(D70,'G-6 Hedgerow Data'!$B$1:$AH$15,33,FALSE))</f>
        <v/>
      </c>
      <c r="N70" s="513" t="str">
        <f t="shared" si="2"/>
        <v/>
      </c>
      <c r="O70" s="40"/>
      <c r="P70" s="154"/>
      <c r="Q70" s="203"/>
      <c r="R70" s="532" t="str">
        <f t="shared" si="3"/>
        <v/>
      </c>
      <c r="S70" s="532" t="str">
        <f t="shared" si="4"/>
        <v/>
      </c>
      <c r="T70" s="532" t="str">
        <f t="shared" si="5"/>
        <v/>
      </c>
      <c r="U70" s="557"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8" x14ac:dyDescent="0.25">
      <c r="B71" s="141">
        <v>62</v>
      </c>
      <c r="C71" s="203"/>
      <c r="D71" s="203"/>
      <c r="E71" s="153"/>
      <c r="F71" s="553" t="str">
        <f>IF(D71="","",VLOOKUP(D71,'G-6 Hedgerow Data'!$B$2:$AG$15,2,FALSE))</f>
        <v/>
      </c>
      <c r="G71" s="499" t="str">
        <f>IF(D71="","",VLOOKUP(D71,'G-6 Hedgerow Data'!$B$2:$AG$15,3,FALSE))</f>
        <v/>
      </c>
      <c r="H71" s="145"/>
      <c r="I71" s="499" t="str">
        <f>IFERROR(VLOOKUP(H71,'G-1 All Habitats'!$Z$2:$AA$9,2,FALSE),"")</f>
        <v/>
      </c>
      <c r="J71" s="145"/>
      <c r="K71" s="507" t="str">
        <f>IF(J71="","",IF(VLOOKUP(J71,'G-3 Multipliers'!$L$3:$N$6,2,FALSE)=0,"Spatial Data Missing",VLOOKUP(J71,'G-3 Multipliers'!$L$3:$N$6,2,FALSE)))</f>
        <v/>
      </c>
      <c r="L71" s="505" t="str">
        <f>IF(J71="","",IF(VLOOKUP(J71,'G-3 Multipliers'!$L$3:$N$6,3,FALSE)=0,"Spatial Data Missing ⚠",VLOOKUP(J71,'G-3 Multipliers'!$L$3:$N$6,3,FALSE)))</f>
        <v/>
      </c>
      <c r="M71" s="506" t="str">
        <f>IF(D71="","",VLOOKUP(D71,'G-6 Hedgerow Data'!$B$1:$AH$15,33,FALSE))</f>
        <v/>
      </c>
      <c r="N71" s="513" t="str">
        <f t="shared" si="2"/>
        <v/>
      </c>
      <c r="O71" s="40"/>
      <c r="P71" s="154"/>
      <c r="Q71" s="203"/>
      <c r="R71" s="532" t="str">
        <f t="shared" si="3"/>
        <v/>
      </c>
      <c r="S71" s="532" t="str">
        <f t="shared" si="4"/>
        <v/>
      </c>
      <c r="T71" s="532" t="str">
        <f t="shared" si="5"/>
        <v/>
      </c>
      <c r="U71" s="557"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8" x14ac:dyDescent="0.25">
      <c r="B72" s="141">
        <v>63</v>
      </c>
      <c r="C72" s="203"/>
      <c r="D72" s="203"/>
      <c r="E72" s="153"/>
      <c r="F72" s="553" t="str">
        <f>IF(D72="","",VLOOKUP(D72,'G-6 Hedgerow Data'!$B$2:$AG$15,2,FALSE))</f>
        <v/>
      </c>
      <c r="G72" s="499" t="str">
        <f>IF(D72="","",VLOOKUP(D72,'G-6 Hedgerow Data'!$B$2:$AG$15,3,FALSE))</f>
        <v/>
      </c>
      <c r="H72" s="145"/>
      <c r="I72" s="499" t="str">
        <f>IFERROR(VLOOKUP(H72,'G-1 All Habitats'!$Z$2:$AA$9,2,FALSE),"")</f>
        <v/>
      </c>
      <c r="J72" s="145"/>
      <c r="K72" s="507" t="str">
        <f>IF(J72="","",IF(VLOOKUP(J72,'G-3 Multipliers'!$L$3:$N$6,2,FALSE)=0,"Spatial Data Missing",VLOOKUP(J72,'G-3 Multipliers'!$L$3:$N$6,2,FALSE)))</f>
        <v/>
      </c>
      <c r="L72" s="505" t="str">
        <f>IF(J72="","",IF(VLOOKUP(J72,'G-3 Multipliers'!$L$3:$N$6,3,FALSE)=0,"Spatial Data Missing ⚠",VLOOKUP(J72,'G-3 Multipliers'!$L$3:$N$6,3,FALSE)))</f>
        <v/>
      </c>
      <c r="M72" s="506" t="str">
        <f>IF(D72="","",VLOOKUP(D72,'G-6 Hedgerow Data'!$B$1:$AH$15,33,FALSE))</f>
        <v/>
      </c>
      <c r="N72" s="513" t="str">
        <f t="shared" si="2"/>
        <v/>
      </c>
      <c r="O72" s="40"/>
      <c r="P72" s="154"/>
      <c r="Q72" s="203"/>
      <c r="R72" s="532" t="str">
        <f t="shared" si="3"/>
        <v/>
      </c>
      <c r="S72" s="532" t="str">
        <f t="shared" si="4"/>
        <v/>
      </c>
      <c r="T72" s="532" t="str">
        <f t="shared" si="5"/>
        <v/>
      </c>
      <c r="U72" s="557"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8" x14ac:dyDescent="0.25">
      <c r="B73" s="141">
        <v>64</v>
      </c>
      <c r="C73" s="203"/>
      <c r="D73" s="203"/>
      <c r="E73" s="153"/>
      <c r="F73" s="553" t="str">
        <f>IF(D73="","",VLOOKUP(D73,'G-6 Hedgerow Data'!$B$2:$AG$15,2,FALSE))</f>
        <v/>
      </c>
      <c r="G73" s="499" t="str">
        <f>IF(D73="","",VLOOKUP(D73,'G-6 Hedgerow Data'!$B$2:$AG$15,3,FALSE))</f>
        <v/>
      </c>
      <c r="H73" s="145"/>
      <c r="I73" s="499" t="str">
        <f>IFERROR(VLOOKUP(H73,'G-1 All Habitats'!$Z$2:$AA$9,2,FALSE),"")</f>
        <v/>
      </c>
      <c r="J73" s="145"/>
      <c r="K73" s="507" t="str">
        <f>IF(J73="","",IF(VLOOKUP(J73,'G-3 Multipliers'!$L$3:$N$6,2,FALSE)=0,"Spatial Data Missing",VLOOKUP(J73,'G-3 Multipliers'!$L$3:$N$6,2,FALSE)))</f>
        <v/>
      </c>
      <c r="L73" s="505" t="str">
        <f>IF(J73="","",IF(VLOOKUP(J73,'G-3 Multipliers'!$L$3:$N$6,3,FALSE)=0,"Spatial Data Missing ⚠",VLOOKUP(J73,'G-3 Multipliers'!$L$3:$N$6,3,FALSE)))</f>
        <v/>
      </c>
      <c r="M73" s="506" t="str">
        <f>IF(D73="","",VLOOKUP(D73,'G-6 Hedgerow Data'!$B$1:$AH$15,33,FALSE))</f>
        <v/>
      </c>
      <c r="N73" s="513" t="str">
        <f t="shared" si="2"/>
        <v/>
      </c>
      <c r="O73" s="40"/>
      <c r="P73" s="154"/>
      <c r="Q73" s="203"/>
      <c r="R73" s="532" t="str">
        <f t="shared" si="3"/>
        <v/>
      </c>
      <c r="S73" s="532" t="str">
        <f t="shared" si="4"/>
        <v/>
      </c>
      <c r="T73" s="532" t="str">
        <f t="shared" si="5"/>
        <v/>
      </c>
      <c r="U73" s="557"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8" x14ac:dyDescent="0.25">
      <c r="B74" s="141">
        <v>65</v>
      </c>
      <c r="C74" s="203"/>
      <c r="D74" s="203"/>
      <c r="E74" s="153"/>
      <c r="F74" s="553" t="str">
        <f>IF(D74="","",VLOOKUP(D74,'G-6 Hedgerow Data'!$B$2:$AG$15,2,FALSE))</f>
        <v/>
      </c>
      <c r="G74" s="499" t="str">
        <f>IF(D74="","",VLOOKUP(D74,'G-6 Hedgerow Data'!$B$2:$AG$15,3,FALSE))</f>
        <v/>
      </c>
      <c r="H74" s="145"/>
      <c r="I74" s="499" t="str">
        <f>IFERROR(VLOOKUP(H74,'G-1 All Habitats'!$Z$2:$AA$9,2,FALSE),"")</f>
        <v/>
      </c>
      <c r="J74" s="145"/>
      <c r="K74" s="507" t="str">
        <f>IF(J74="","",IF(VLOOKUP(J74,'G-3 Multipliers'!$L$3:$N$6,2,FALSE)=0,"Spatial Data Missing",VLOOKUP(J74,'G-3 Multipliers'!$L$3:$N$6,2,FALSE)))</f>
        <v/>
      </c>
      <c r="L74" s="505" t="str">
        <f>IF(J74="","",IF(VLOOKUP(J74,'G-3 Multipliers'!$L$3:$N$6,3,FALSE)=0,"Spatial Data Missing ⚠",VLOOKUP(J74,'G-3 Multipliers'!$L$3:$N$6,3,FALSE)))</f>
        <v/>
      </c>
      <c r="M74" s="506" t="str">
        <f>IF(D74="","",VLOOKUP(D74,'G-6 Hedgerow Data'!$B$1:$AH$15,33,FALSE))</f>
        <v/>
      </c>
      <c r="N74" s="513" t="str">
        <f t="shared" si="2"/>
        <v/>
      </c>
      <c r="O74" s="40"/>
      <c r="P74" s="154"/>
      <c r="Q74" s="203"/>
      <c r="R74" s="532" t="str">
        <f t="shared" si="3"/>
        <v/>
      </c>
      <c r="S74" s="532" t="str">
        <f t="shared" si="4"/>
        <v/>
      </c>
      <c r="T74" s="532" t="str">
        <f t="shared" si="5"/>
        <v/>
      </c>
      <c r="U74" s="557"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8" x14ac:dyDescent="0.25">
      <c r="B75" s="141">
        <v>66</v>
      </c>
      <c r="C75" s="203"/>
      <c r="D75" s="203"/>
      <c r="E75" s="153"/>
      <c r="F75" s="553" t="str">
        <f>IF(D75="","",VLOOKUP(D75,'G-6 Hedgerow Data'!$B$2:$AG$15,2,FALSE))</f>
        <v/>
      </c>
      <c r="G75" s="499" t="str">
        <f>IF(D75="","",VLOOKUP(D75,'G-6 Hedgerow Data'!$B$2:$AG$15,3,FALSE))</f>
        <v/>
      </c>
      <c r="H75" s="145"/>
      <c r="I75" s="499" t="str">
        <f>IFERROR(VLOOKUP(H75,'G-1 All Habitats'!$Z$2:$AA$9,2,FALSE),"")</f>
        <v/>
      </c>
      <c r="J75" s="145"/>
      <c r="K75" s="507" t="str">
        <f>IF(J75="","",IF(VLOOKUP(J75,'G-3 Multipliers'!$L$3:$N$6,2,FALSE)=0,"Spatial Data Missing",VLOOKUP(J75,'G-3 Multipliers'!$L$3:$N$6,2,FALSE)))</f>
        <v/>
      </c>
      <c r="L75" s="505" t="str">
        <f>IF(J75="","",IF(VLOOKUP(J75,'G-3 Multipliers'!$L$3:$N$6,3,FALSE)=0,"Spatial Data Missing ⚠",VLOOKUP(J75,'G-3 Multipliers'!$L$3:$N$6,3,FALSE)))</f>
        <v/>
      </c>
      <c r="M75" s="506" t="str">
        <f>IF(D75="","",VLOOKUP(D75,'G-6 Hedgerow Data'!$B$1:$AH$15,33,FALSE))</f>
        <v/>
      </c>
      <c r="N75" s="513" t="str">
        <f t="shared" ref="N75:N138" si="9">IFERROR(E75*G75*I75*L75,"")</f>
        <v/>
      </c>
      <c r="O75" s="40"/>
      <c r="P75" s="154"/>
      <c r="Q75" s="203"/>
      <c r="R75" s="532" t="str">
        <f t="shared" ref="R75:R138" si="10">IFERROR(P75*G75*I75*L75,"")</f>
        <v/>
      </c>
      <c r="S75" s="532" t="str">
        <f t="shared" ref="S75:S138" si="11">IFERROR(Q75*G75*I75*L75,"")</f>
        <v/>
      </c>
      <c r="T75" s="532" t="str">
        <f t="shared" ref="T75:T138" si="12">IF(D75="","",IF(E75-P75-Q75=0&lt;0,"Error in lengths ▲",IF(P75+Q75&gt;E75,"Error in Lengths ▲",E75-P75-Q75)))</f>
        <v/>
      </c>
      <c r="U75" s="557"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8" x14ac:dyDescent="0.25">
      <c r="B76" s="141">
        <v>67</v>
      </c>
      <c r="C76" s="203"/>
      <c r="D76" s="203"/>
      <c r="E76" s="153"/>
      <c r="F76" s="553" t="str">
        <f>IF(D76="","",VLOOKUP(D76,'G-6 Hedgerow Data'!$B$2:$AG$15,2,FALSE))</f>
        <v/>
      </c>
      <c r="G76" s="499" t="str">
        <f>IF(D76="","",VLOOKUP(D76,'G-6 Hedgerow Data'!$B$2:$AG$15,3,FALSE))</f>
        <v/>
      </c>
      <c r="H76" s="145"/>
      <c r="I76" s="499" t="str">
        <f>IFERROR(VLOOKUP(H76,'G-1 All Habitats'!$Z$2:$AA$9,2,FALSE),"")</f>
        <v/>
      </c>
      <c r="J76" s="145"/>
      <c r="K76" s="507" t="str">
        <f>IF(J76="","",IF(VLOOKUP(J76,'G-3 Multipliers'!$L$3:$N$6,2,FALSE)=0,"Spatial Data Missing",VLOOKUP(J76,'G-3 Multipliers'!$L$3:$N$6,2,FALSE)))</f>
        <v/>
      </c>
      <c r="L76" s="505" t="str">
        <f>IF(J76="","",IF(VLOOKUP(J76,'G-3 Multipliers'!$L$3:$N$6,3,FALSE)=0,"Spatial Data Missing ⚠",VLOOKUP(J76,'G-3 Multipliers'!$L$3:$N$6,3,FALSE)))</f>
        <v/>
      </c>
      <c r="M76" s="506" t="str">
        <f>IF(D76="","",VLOOKUP(D76,'G-6 Hedgerow Data'!$B$1:$AH$15,33,FALSE))</f>
        <v/>
      </c>
      <c r="N76" s="513" t="str">
        <f t="shared" si="9"/>
        <v/>
      </c>
      <c r="O76" s="40"/>
      <c r="P76" s="154"/>
      <c r="Q76" s="203"/>
      <c r="R76" s="532" t="str">
        <f t="shared" si="10"/>
        <v/>
      </c>
      <c r="S76" s="532" t="str">
        <f t="shared" si="11"/>
        <v/>
      </c>
      <c r="T76" s="532" t="str">
        <f t="shared" si="12"/>
        <v/>
      </c>
      <c r="U76" s="557"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8" x14ac:dyDescent="0.25">
      <c r="B77" s="141">
        <v>68</v>
      </c>
      <c r="C77" s="203"/>
      <c r="D77" s="203"/>
      <c r="E77" s="153"/>
      <c r="F77" s="553" t="str">
        <f>IF(D77="","",VLOOKUP(D77,'G-6 Hedgerow Data'!$B$2:$AG$15,2,FALSE))</f>
        <v/>
      </c>
      <c r="G77" s="499" t="str">
        <f>IF(D77="","",VLOOKUP(D77,'G-6 Hedgerow Data'!$B$2:$AG$15,3,FALSE))</f>
        <v/>
      </c>
      <c r="H77" s="145"/>
      <c r="I77" s="499" t="str">
        <f>IFERROR(VLOOKUP(H77,'G-1 All Habitats'!$Z$2:$AA$9,2,FALSE),"")</f>
        <v/>
      </c>
      <c r="J77" s="145"/>
      <c r="K77" s="507" t="str">
        <f>IF(J77="","",IF(VLOOKUP(J77,'G-3 Multipliers'!$L$3:$N$6,2,FALSE)=0,"Spatial Data Missing",VLOOKUP(J77,'G-3 Multipliers'!$L$3:$N$6,2,FALSE)))</f>
        <v/>
      </c>
      <c r="L77" s="505" t="str">
        <f>IF(J77="","",IF(VLOOKUP(J77,'G-3 Multipliers'!$L$3:$N$6,3,FALSE)=0,"Spatial Data Missing ⚠",VLOOKUP(J77,'G-3 Multipliers'!$L$3:$N$6,3,FALSE)))</f>
        <v/>
      </c>
      <c r="M77" s="506" t="str">
        <f>IF(D77="","",VLOOKUP(D77,'G-6 Hedgerow Data'!$B$1:$AH$15,33,FALSE))</f>
        <v/>
      </c>
      <c r="N77" s="513" t="str">
        <f t="shared" si="9"/>
        <v/>
      </c>
      <c r="O77" s="40"/>
      <c r="P77" s="154"/>
      <c r="Q77" s="203"/>
      <c r="R77" s="532" t="str">
        <f t="shared" si="10"/>
        <v/>
      </c>
      <c r="S77" s="532" t="str">
        <f t="shared" si="11"/>
        <v/>
      </c>
      <c r="T77" s="532" t="str">
        <f t="shared" si="12"/>
        <v/>
      </c>
      <c r="U77" s="557"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8" x14ac:dyDescent="0.25">
      <c r="B78" s="141">
        <v>69</v>
      </c>
      <c r="C78" s="203"/>
      <c r="D78" s="203"/>
      <c r="E78" s="153"/>
      <c r="F78" s="553" t="str">
        <f>IF(D78="","",VLOOKUP(D78,'G-6 Hedgerow Data'!$B$2:$AG$15,2,FALSE))</f>
        <v/>
      </c>
      <c r="G78" s="499" t="str">
        <f>IF(D78="","",VLOOKUP(D78,'G-6 Hedgerow Data'!$B$2:$AG$15,3,FALSE))</f>
        <v/>
      </c>
      <c r="H78" s="145"/>
      <c r="I78" s="499" t="str">
        <f>IFERROR(VLOOKUP(H78,'G-1 All Habitats'!$Z$2:$AA$9,2,FALSE),"")</f>
        <v/>
      </c>
      <c r="J78" s="145"/>
      <c r="K78" s="507" t="str">
        <f>IF(J78="","",IF(VLOOKUP(J78,'G-3 Multipliers'!$L$3:$N$6,2,FALSE)=0,"Spatial Data Missing",VLOOKUP(J78,'G-3 Multipliers'!$L$3:$N$6,2,FALSE)))</f>
        <v/>
      </c>
      <c r="L78" s="505" t="str">
        <f>IF(J78="","",IF(VLOOKUP(J78,'G-3 Multipliers'!$L$3:$N$6,3,FALSE)=0,"Spatial Data Missing ⚠",VLOOKUP(J78,'G-3 Multipliers'!$L$3:$N$6,3,FALSE)))</f>
        <v/>
      </c>
      <c r="M78" s="506" t="str">
        <f>IF(D78="","",VLOOKUP(D78,'G-6 Hedgerow Data'!$B$1:$AH$15,33,FALSE))</f>
        <v/>
      </c>
      <c r="N78" s="513" t="str">
        <f t="shared" si="9"/>
        <v/>
      </c>
      <c r="O78" s="40"/>
      <c r="P78" s="154"/>
      <c r="Q78" s="203"/>
      <c r="R78" s="532" t="str">
        <f t="shared" si="10"/>
        <v/>
      </c>
      <c r="S78" s="532" t="str">
        <f t="shared" si="11"/>
        <v/>
      </c>
      <c r="T78" s="532" t="str">
        <f t="shared" si="12"/>
        <v/>
      </c>
      <c r="U78" s="557"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8" x14ac:dyDescent="0.25">
      <c r="B79" s="141">
        <v>70</v>
      </c>
      <c r="C79" s="203"/>
      <c r="D79" s="203"/>
      <c r="E79" s="153"/>
      <c r="F79" s="553" t="str">
        <f>IF(D79="","",VLOOKUP(D79,'G-6 Hedgerow Data'!$B$2:$AG$15,2,FALSE))</f>
        <v/>
      </c>
      <c r="G79" s="499" t="str">
        <f>IF(D79="","",VLOOKUP(D79,'G-6 Hedgerow Data'!$B$2:$AG$15,3,FALSE))</f>
        <v/>
      </c>
      <c r="H79" s="145"/>
      <c r="I79" s="499" t="str">
        <f>IFERROR(VLOOKUP(H79,'G-1 All Habitats'!$Z$2:$AA$9,2,FALSE),"")</f>
        <v/>
      </c>
      <c r="J79" s="145"/>
      <c r="K79" s="507" t="str">
        <f>IF(J79="","",IF(VLOOKUP(J79,'G-3 Multipliers'!$L$3:$N$6,2,FALSE)=0,"Spatial Data Missing",VLOOKUP(J79,'G-3 Multipliers'!$L$3:$N$6,2,FALSE)))</f>
        <v/>
      </c>
      <c r="L79" s="505" t="str">
        <f>IF(J79="","",IF(VLOOKUP(J79,'G-3 Multipliers'!$L$3:$N$6,3,FALSE)=0,"Spatial Data Missing ⚠",VLOOKUP(J79,'G-3 Multipliers'!$L$3:$N$6,3,FALSE)))</f>
        <v/>
      </c>
      <c r="M79" s="506" t="str">
        <f>IF(D79="","",VLOOKUP(D79,'G-6 Hedgerow Data'!$B$1:$AH$15,33,FALSE))</f>
        <v/>
      </c>
      <c r="N79" s="513" t="str">
        <f t="shared" si="9"/>
        <v/>
      </c>
      <c r="O79" s="40"/>
      <c r="P79" s="154"/>
      <c r="Q79" s="203"/>
      <c r="R79" s="532" t="str">
        <f t="shared" si="10"/>
        <v/>
      </c>
      <c r="S79" s="532" t="str">
        <f t="shared" si="11"/>
        <v/>
      </c>
      <c r="T79" s="532" t="str">
        <f t="shared" si="12"/>
        <v/>
      </c>
      <c r="U79" s="557"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8" x14ac:dyDescent="0.25">
      <c r="B80" s="141">
        <v>71</v>
      </c>
      <c r="C80" s="203"/>
      <c r="D80" s="203"/>
      <c r="E80" s="153"/>
      <c r="F80" s="553" t="str">
        <f>IF(D80="","",VLOOKUP(D80,'G-6 Hedgerow Data'!$B$2:$AG$15,2,FALSE))</f>
        <v/>
      </c>
      <c r="G80" s="499" t="str">
        <f>IF(D80="","",VLOOKUP(D80,'G-6 Hedgerow Data'!$B$2:$AG$15,3,FALSE))</f>
        <v/>
      </c>
      <c r="H80" s="145"/>
      <c r="I80" s="499" t="str">
        <f>IFERROR(VLOOKUP(H80,'G-1 All Habitats'!$Z$2:$AA$9,2,FALSE),"")</f>
        <v/>
      </c>
      <c r="J80" s="145"/>
      <c r="K80" s="507" t="str">
        <f>IF(J80="","",IF(VLOOKUP(J80,'G-3 Multipliers'!$L$3:$N$6,2,FALSE)=0,"Spatial Data Missing",VLOOKUP(J80,'G-3 Multipliers'!$L$3:$N$6,2,FALSE)))</f>
        <v/>
      </c>
      <c r="L80" s="505" t="str">
        <f>IF(J80="","",IF(VLOOKUP(J80,'G-3 Multipliers'!$L$3:$N$6,3,FALSE)=0,"Spatial Data Missing ⚠",VLOOKUP(J80,'G-3 Multipliers'!$L$3:$N$6,3,FALSE)))</f>
        <v/>
      </c>
      <c r="M80" s="506" t="str">
        <f>IF(D80="","",VLOOKUP(D80,'G-6 Hedgerow Data'!$B$1:$AH$15,33,FALSE))</f>
        <v/>
      </c>
      <c r="N80" s="513" t="str">
        <f t="shared" si="9"/>
        <v/>
      </c>
      <c r="O80" s="40"/>
      <c r="P80" s="154"/>
      <c r="Q80" s="203"/>
      <c r="R80" s="532" t="str">
        <f t="shared" si="10"/>
        <v/>
      </c>
      <c r="S80" s="532" t="str">
        <f t="shared" si="11"/>
        <v/>
      </c>
      <c r="T80" s="532" t="str">
        <f t="shared" si="12"/>
        <v/>
      </c>
      <c r="U80" s="557"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8" x14ac:dyDescent="0.25">
      <c r="B81" s="141">
        <v>72</v>
      </c>
      <c r="C81" s="203"/>
      <c r="D81" s="203"/>
      <c r="E81" s="153"/>
      <c r="F81" s="553" t="str">
        <f>IF(D81="","",VLOOKUP(D81,'G-6 Hedgerow Data'!$B$2:$AG$15,2,FALSE))</f>
        <v/>
      </c>
      <c r="G81" s="499" t="str">
        <f>IF(D81="","",VLOOKUP(D81,'G-6 Hedgerow Data'!$B$2:$AG$15,3,FALSE))</f>
        <v/>
      </c>
      <c r="H81" s="145"/>
      <c r="I81" s="499" t="str">
        <f>IFERROR(VLOOKUP(H81,'G-1 All Habitats'!$Z$2:$AA$9,2,FALSE),"")</f>
        <v/>
      </c>
      <c r="J81" s="145"/>
      <c r="K81" s="507" t="str">
        <f>IF(J81="","",IF(VLOOKUP(J81,'G-3 Multipliers'!$L$3:$N$6,2,FALSE)=0,"Spatial Data Missing",VLOOKUP(J81,'G-3 Multipliers'!$L$3:$N$6,2,FALSE)))</f>
        <v/>
      </c>
      <c r="L81" s="505" t="str">
        <f>IF(J81="","",IF(VLOOKUP(J81,'G-3 Multipliers'!$L$3:$N$6,3,FALSE)=0,"Spatial Data Missing ⚠",VLOOKUP(J81,'G-3 Multipliers'!$L$3:$N$6,3,FALSE)))</f>
        <v/>
      </c>
      <c r="M81" s="506" t="str">
        <f>IF(D81="","",VLOOKUP(D81,'G-6 Hedgerow Data'!$B$1:$AH$15,33,FALSE))</f>
        <v/>
      </c>
      <c r="N81" s="513" t="str">
        <f t="shared" si="9"/>
        <v/>
      </c>
      <c r="O81" s="40"/>
      <c r="P81" s="154"/>
      <c r="Q81" s="203"/>
      <c r="R81" s="532" t="str">
        <f t="shared" si="10"/>
        <v/>
      </c>
      <c r="S81" s="532" t="str">
        <f t="shared" si="11"/>
        <v/>
      </c>
      <c r="T81" s="532" t="str">
        <f t="shared" si="12"/>
        <v/>
      </c>
      <c r="U81" s="557"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8" x14ac:dyDescent="0.25">
      <c r="B82" s="141">
        <v>73</v>
      </c>
      <c r="C82" s="203"/>
      <c r="D82" s="203"/>
      <c r="E82" s="153"/>
      <c r="F82" s="553" t="str">
        <f>IF(D82="","",VLOOKUP(D82,'G-6 Hedgerow Data'!$B$2:$AG$15,2,FALSE))</f>
        <v/>
      </c>
      <c r="G82" s="499" t="str">
        <f>IF(D82="","",VLOOKUP(D82,'G-6 Hedgerow Data'!$B$2:$AG$15,3,FALSE))</f>
        <v/>
      </c>
      <c r="H82" s="145"/>
      <c r="I82" s="499" t="str">
        <f>IFERROR(VLOOKUP(H82,'G-1 All Habitats'!$Z$2:$AA$9,2,FALSE),"")</f>
        <v/>
      </c>
      <c r="J82" s="145"/>
      <c r="K82" s="507" t="str">
        <f>IF(J82="","",IF(VLOOKUP(J82,'G-3 Multipliers'!$L$3:$N$6,2,FALSE)=0,"Spatial Data Missing",VLOOKUP(J82,'G-3 Multipliers'!$L$3:$N$6,2,FALSE)))</f>
        <v/>
      </c>
      <c r="L82" s="505" t="str">
        <f>IF(J82="","",IF(VLOOKUP(J82,'G-3 Multipliers'!$L$3:$N$6,3,FALSE)=0,"Spatial Data Missing ⚠",VLOOKUP(J82,'G-3 Multipliers'!$L$3:$N$6,3,FALSE)))</f>
        <v/>
      </c>
      <c r="M82" s="506" t="str">
        <f>IF(D82="","",VLOOKUP(D82,'G-6 Hedgerow Data'!$B$1:$AH$15,33,FALSE))</f>
        <v/>
      </c>
      <c r="N82" s="513" t="str">
        <f t="shared" si="9"/>
        <v/>
      </c>
      <c r="O82" s="40"/>
      <c r="P82" s="154"/>
      <c r="Q82" s="203"/>
      <c r="R82" s="532" t="str">
        <f t="shared" si="10"/>
        <v/>
      </c>
      <c r="S82" s="532" t="str">
        <f t="shared" si="11"/>
        <v/>
      </c>
      <c r="T82" s="532" t="str">
        <f t="shared" si="12"/>
        <v/>
      </c>
      <c r="U82" s="557"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8" x14ac:dyDescent="0.25">
      <c r="B83" s="141">
        <v>74</v>
      </c>
      <c r="C83" s="203"/>
      <c r="D83" s="203"/>
      <c r="E83" s="153"/>
      <c r="F83" s="553" t="str">
        <f>IF(D83="","",VLOOKUP(D83,'G-6 Hedgerow Data'!$B$2:$AG$15,2,FALSE))</f>
        <v/>
      </c>
      <c r="G83" s="499" t="str">
        <f>IF(D83="","",VLOOKUP(D83,'G-6 Hedgerow Data'!$B$2:$AG$15,3,FALSE))</f>
        <v/>
      </c>
      <c r="H83" s="145"/>
      <c r="I83" s="499" t="str">
        <f>IFERROR(VLOOKUP(H83,'G-1 All Habitats'!$Z$2:$AA$9,2,FALSE),"")</f>
        <v/>
      </c>
      <c r="J83" s="145"/>
      <c r="K83" s="507" t="str">
        <f>IF(J83="","",IF(VLOOKUP(J83,'G-3 Multipliers'!$L$3:$N$6,2,FALSE)=0,"Spatial Data Missing",VLOOKUP(J83,'G-3 Multipliers'!$L$3:$N$6,2,FALSE)))</f>
        <v/>
      </c>
      <c r="L83" s="505" t="str">
        <f>IF(J83="","",IF(VLOOKUP(J83,'G-3 Multipliers'!$L$3:$N$6,3,FALSE)=0,"Spatial Data Missing ⚠",VLOOKUP(J83,'G-3 Multipliers'!$L$3:$N$6,3,FALSE)))</f>
        <v/>
      </c>
      <c r="M83" s="506" t="str">
        <f>IF(D83="","",VLOOKUP(D83,'G-6 Hedgerow Data'!$B$1:$AH$15,33,FALSE))</f>
        <v/>
      </c>
      <c r="N83" s="513" t="str">
        <f t="shared" si="9"/>
        <v/>
      </c>
      <c r="O83" s="40"/>
      <c r="P83" s="154"/>
      <c r="Q83" s="203"/>
      <c r="R83" s="532" t="str">
        <f t="shared" si="10"/>
        <v/>
      </c>
      <c r="S83" s="532" t="str">
        <f t="shared" si="11"/>
        <v/>
      </c>
      <c r="T83" s="532" t="str">
        <f t="shared" si="12"/>
        <v/>
      </c>
      <c r="U83" s="557"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8" x14ac:dyDescent="0.25">
      <c r="B84" s="141">
        <v>75</v>
      </c>
      <c r="C84" s="203"/>
      <c r="D84" s="203"/>
      <c r="E84" s="153"/>
      <c r="F84" s="553" t="str">
        <f>IF(D84="","",VLOOKUP(D84,'G-6 Hedgerow Data'!$B$2:$AG$15,2,FALSE))</f>
        <v/>
      </c>
      <c r="G84" s="499" t="str">
        <f>IF(D84="","",VLOOKUP(D84,'G-6 Hedgerow Data'!$B$2:$AG$15,3,FALSE))</f>
        <v/>
      </c>
      <c r="H84" s="145"/>
      <c r="I84" s="499" t="str">
        <f>IFERROR(VLOOKUP(H84,'G-1 All Habitats'!$Z$2:$AA$9,2,FALSE),"")</f>
        <v/>
      </c>
      <c r="J84" s="145"/>
      <c r="K84" s="507" t="str">
        <f>IF(J84="","",IF(VLOOKUP(J84,'G-3 Multipliers'!$L$3:$N$6,2,FALSE)=0,"Spatial Data Missing",VLOOKUP(J84,'G-3 Multipliers'!$L$3:$N$6,2,FALSE)))</f>
        <v/>
      </c>
      <c r="L84" s="505" t="str">
        <f>IF(J84="","",IF(VLOOKUP(J84,'G-3 Multipliers'!$L$3:$N$6,3,FALSE)=0,"Spatial Data Missing ⚠",VLOOKUP(J84,'G-3 Multipliers'!$L$3:$N$6,3,FALSE)))</f>
        <v/>
      </c>
      <c r="M84" s="506" t="str">
        <f>IF(D84="","",VLOOKUP(D84,'G-6 Hedgerow Data'!$B$1:$AH$15,33,FALSE))</f>
        <v/>
      </c>
      <c r="N84" s="513" t="str">
        <f t="shared" si="9"/>
        <v/>
      </c>
      <c r="O84" s="40"/>
      <c r="P84" s="154"/>
      <c r="Q84" s="203"/>
      <c r="R84" s="532" t="str">
        <f t="shared" si="10"/>
        <v/>
      </c>
      <c r="S84" s="532" t="str">
        <f t="shared" si="11"/>
        <v/>
      </c>
      <c r="T84" s="532" t="str">
        <f t="shared" si="12"/>
        <v/>
      </c>
      <c r="U84" s="557"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8" x14ac:dyDescent="0.25">
      <c r="B85" s="141">
        <v>76</v>
      </c>
      <c r="C85" s="203"/>
      <c r="D85" s="203"/>
      <c r="E85" s="153"/>
      <c r="F85" s="553" t="str">
        <f>IF(D85="","",VLOOKUP(D85,'G-6 Hedgerow Data'!$B$2:$AG$15,2,FALSE))</f>
        <v/>
      </c>
      <c r="G85" s="499" t="str">
        <f>IF(D85="","",VLOOKUP(D85,'G-6 Hedgerow Data'!$B$2:$AG$15,3,FALSE))</f>
        <v/>
      </c>
      <c r="H85" s="145"/>
      <c r="I85" s="499" t="str">
        <f>IFERROR(VLOOKUP(H85,'G-1 All Habitats'!$Z$2:$AA$9,2,FALSE),"")</f>
        <v/>
      </c>
      <c r="J85" s="145"/>
      <c r="K85" s="507" t="str">
        <f>IF(J85="","",IF(VLOOKUP(J85,'G-3 Multipliers'!$L$3:$N$6,2,FALSE)=0,"Spatial Data Missing",VLOOKUP(J85,'G-3 Multipliers'!$L$3:$N$6,2,FALSE)))</f>
        <v/>
      </c>
      <c r="L85" s="505" t="str">
        <f>IF(J85="","",IF(VLOOKUP(J85,'G-3 Multipliers'!$L$3:$N$6,3,FALSE)=0,"Spatial Data Missing ⚠",VLOOKUP(J85,'G-3 Multipliers'!$L$3:$N$6,3,FALSE)))</f>
        <v/>
      </c>
      <c r="M85" s="506" t="str">
        <f>IF(D85="","",VLOOKUP(D85,'G-6 Hedgerow Data'!$B$1:$AH$15,33,FALSE))</f>
        <v/>
      </c>
      <c r="N85" s="513" t="str">
        <f t="shared" si="9"/>
        <v/>
      </c>
      <c r="O85" s="40"/>
      <c r="P85" s="154"/>
      <c r="Q85" s="203"/>
      <c r="R85" s="532" t="str">
        <f t="shared" si="10"/>
        <v/>
      </c>
      <c r="S85" s="532" t="str">
        <f t="shared" si="11"/>
        <v/>
      </c>
      <c r="T85" s="532" t="str">
        <f t="shared" si="12"/>
        <v/>
      </c>
      <c r="U85" s="557"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8" x14ac:dyDescent="0.25">
      <c r="B86" s="141">
        <v>77</v>
      </c>
      <c r="C86" s="203"/>
      <c r="D86" s="203"/>
      <c r="E86" s="153"/>
      <c r="F86" s="553" t="str">
        <f>IF(D86="","",VLOOKUP(D86,'G-6 Hedgerow Data'!$B$2:$AG$15,2,FALSE))</f>
        <v/>
      </c>
      <c r="G86" s="499" t="str">
        <f>IF(D86="","",VLOOKUP(D86,'G-6 Hedgerow Data'!$B$2:$AG$15,3,FALSE))</f>
        <v/>
      </c>
      <c r="H86" s="145"/>
      <c r="I86" s="499" t="str">
        <f>IFERROR(VLOOKUP(H86,'G-1 All Habitats'!$Z$2:$AA$9,2,FALSE),"")</f>
        <v/>
      </c>
      <c r="J86" s="145"/>
      <c r="K86" s="507" t="str">
        <f>IF(J86="","",IF(VLOOKUP(J86,'G-3 Multipliers'!$L$3:$N$6,2,FALSE)=0,"Spatial Data Missing",VLOOKUP(J86,'G-3 Multipliers'!$L$3:$N$6,2,FALSE)))</f>
        <v/>
      </c>
      <c r="L86" s="505" t="str">
        <f>IF(J86="","",IF(VLOOKUP(J86,'G-3 Multipliers'!$L$3:$N$6,3,FALSE)=0,"Spatial Data Missing ⚠",VLOOKUP(J86,'G-3 Multipliers'!$L$3:$N$6,3,FALSE)))</f>
        <v/>
      </c>
      <c r="M86" s="506" t="str">
        <f>IF(D86="","",VLOOKUP(D86,'G-6 Hedgerow Data'!$B$1:$AH$15,33,FALSE))</f>
        <v/>
      </c>
      <c r="N86" s="513" t="str">
        <f t="shared" si="9"/>
        <v/>
      </c>
      <c r="O86" s="40"/>
      <c r="P86" s="154"/>
      <c r="Q86" s="203"/>
      <c r="R86" s="532" t="str">
        <f t="shared" si="10"/>
        <v/>
      </c>
      <c r="S86" s="532" t="str">
        <f t="shared" si="11"/>
        <v/>
      </c>
      <c r="T86" s="532" t="str">
        <f t="shared" si="12"/>
        <v/>
      </c>
      <c r="U86" s="557"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8" x14ac:dyDescent="0.25">
      <c r="B87" s="141">
        <v>78</v>
      </c>
      <c r="C87" s="203"/>
      <c r="D87" s="203"/>
      <c r="E87" s="153"/>
      <c r="F87" s="553" t="str">
        <f>IF(D87="","",VLOOKUP(D87,'G-6 Hedgerow Data'!$B$2:$AG$15,2,FALSE))</f>
        <v/>
      </c>
      <c r="G87" s="499" t="str">
        <f>IF(D87="","",VLOOKUP(D87,'G-6 Hedgerow Data'!$B$2:$AG$15,3,FALSE))</f>
        <v/>
      </c>
      <c r="H87" s="145"/>
      <c r="I87" s="499" t="str">
        <f>IFERROR(VLOOKUP(H87,'G-1 All Habitats'!$Z$2:$AA$9,2,FALSE),"")</f>
        <v/>
      </c>
      <c r="J87" s="145"/>
      <c r="K87" s="507" t="str">
        <f>IF(J87="","",IF(VLOOKUP(J87,'G-3 Multipliers'!$L$3:$N$6,2,FALSE)=0,"Spatial Data Missing",VLOOKUP(J87,'G-3 Multipliers'!$L$3:$N$6,2,FALSE)))</f>
        <v/>
      </c>
      <c r="L87" s="505" t="str">
        <f>IF(J87="","",IF(VLOOKUP(J87,'G-3 Multipliers'!$L$3:$N$6,3,FALSE)=0,"Spatial Data Missing ⚠",VLOOKUP(J87,'G-3 Multipliers'!$L$3:$N$6,3,FALSE)))</f>
        <v/>
      </c>
      <c r="M87" s="506" t="str">
        <f>IF(D87="","",VLOOKUP(D87,'G-6 Hedgerow Data'!$B$1:$AH$15,33,FALSE))</f>
        <v/>
      </c>
      <c r="N87" s="513" t="str">
        <f t="shared" si="9"/>
        <v/>
      </c>
      <c r="O87" s="40"/>
      <c r="P87" s="154"/>
      <c r="Q87" s="203"/>
      <c r="R87" s="532" t="str">
        <f t="shared" si="10"/>
        <v/>
      </c>
      <c r="S87" s="532" t="str">
        <f t="shared" si="11"/>
        <v/>
      </c>
      <c r="T87" s="532" t="str">
        <f t="shared" si="12"/>
        <v/>
      </c>
      <c r="U87" s="557"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8" x14ac:dyDescent="0.25">
      <c r="B88" s="141">
        <v>79</v>
      </c>
      <c r="C88" s="203"/>
      <c r="D88" s="203"/>
      <c r="E88" s="153"/>
      <c r="F88" s="553" t="str">
        <f>IF(D88="","",VLOOKUP(D88,'G-6 Hedgerow Data'!$B$2:$AG$15,2,FALSE))</f>
        <v/>
      </c>
      <c r="G88" s="499" t="str">
        <f>IF(D88="","",VLOOKUP(D88,'G-6 Hedgerow Data'!$B$2:$AG$15,3,FALSE))</f>
        <v/>
      </c>
      <c r="H88" s="145"/>
      <c r="I88" s="499" t="str">
        <f>IFERROR(VLOOKUP(H88,'G-1 All Habitats'!$Z$2:$AA$9,2,FALSE),"")</f>
        <v/>
      </c>
      <c r="J88" s="145"/>
      <c r="K88" s="507" t="str">
        <f>IF(J88="","",IF(VLOOKUP(J88,'G-3 Multipliers'!$L$3:$N$6,2,FALSE)=0,"Spatial Data Missing",VLOOKUP(J88,'G-3 Multipliers'!$L$3:$N$6,2,FALSE)))</f>
        <v/>
      </c>
      <c r="L88" s="505" t="str">
        <f>IF(J88="","",IF(VLOOKUP(J88,'G-3 Multipliers'!$L$3:$N$6,3,FALSE)=0,"Spatial Data Missing ⚠",VLOOKUP(J88,'G-3 Multipliers'!$L$3:$N$6,3,FALSE)))</f>
        <v/>
      </c>
      <c r="M88" s="506" t="str">
        <f>IF(D88="","",VLOOKUP(D88,'G-6 Hedgerow Data'!$B$1:$AH$15,33,FALSE))</f>
        <v/>
      </c>
      <c r="N88" s="513" t="str">
        <f t="shared" si="9"/>
        <v/>
      </c>
      <c r="O88" s="40"/>
      <c r="P88" s="154"/>
      <c r="Q88" s="203"/>
      <c r="R88" s="532" t="str">
        <f t="shared" si="10"/>
        <v/>
      </c>
      <c r="S88" s="532" t="str">
        <f t="shared" si="11"/>
        <v/>
      </c>
      <c r="T88" s="532" t="str">
        <f t="shared" si="12"/>
        <v/>
      </c>
      <c r="U88" s="557"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8" x14ac:dyDescent="0.25">
      <c r="B89" s="141">
        <v>80</v>
      </c>
      <c r="C89" s="203"/>
      <c r="D89" s="203"/>
      <c r="E89" s="153"/>
      <c r="F89" s="553" t="str">
        <f>IF(D89="","",VLOOKUP(D89,'G-6 Hedgerow Data'!$B$2:$AG$15,2,FALSE))</f>
        <v/>
      </c>
      <c r="G89" s="499" t="str">
        <f>IF(D89="","",VLOOKUP(D89,'G-6 Hedgerow Data'!$B$2:$AG$15,3,FALSE))</f>
        <v/>
      </c>
      <c r="H89" s="145"/>
      <c r="I89" s="499" t="str">
        <f>IFERROR(VLOOKUP(H89,'G-1 All Habitats'!$Z$2:$AA$9,2,FALSE),"")</f>
        <v/>
      </c>
      <c r="J89" s="145"/>
      <c r="K89" s="507" t="str">
        <f>IF(J89="","",IF(VLOOKUP(J89,'G-3 Multipliers'!$L$3:$N$6,2,FALSE)=0,"Spatial Data Missing",VLOOKUP(J89,'G-3 Multipliers'!$L$3:$N$6,2,FALSE)))</f>
        <v/>
      </c>
      <c r="L89" s="505" t="str">
        <f>IF(J89="","",IF(VLOOKUP(J89,'G-3 Multipliers'!$L$3:$N$6,3,FALSE)=0,"Spatial Data Missing ⚠",VLOOKUP(J89,'G-3 Multipliers'!$L$3:$N$6,3,FALSE)))</f>
        <v/>
      </c>
      <c r="M89" s="506" t="str">
        <f>IF(D89="","",VLOOKUP(D89,'G-6 Hedgerow Data'!$B$1:$AH$15,33,FALSE))</f>
        <v/>
      </c>
      <c r="N89" s="513" t="str">
        <f t="shared" si="9"/>
        <v/>
      </c>
      <c r="O89" s="40"/>
      <c r="P89" s="154"/>
      <c r="Q89" s="203"/>
      <c r="R89" s="532" t="str">
        <f t="shared" si="10"/>
        <v/>
      </c>
      <c r="S89" s="532" t="str">
        <f t="shared" si="11"/>
        <v/>
      </c>
      <c r="T89" s="532" t="str">
        <f t="shared" si="12"/>
        <v/>
      </c>
      <c r="U89" s="557"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8" x14ac:dyDescent="0.25">
      <c r="B90" s="141">
        <v>81</v>
      </c>
      <c r="C90" s="203"/>
      <c r="D90" s="203"/>
      <c r="E90" s="153"/>
      <c r="F90" s="553" t="str">
        <f>IF(D90="","",VLOOKUP(D90,'G-6 Hedgerow Data'!$B$2:$AG$15,2,FALSE))</f>
        <v/>
      </c>
      <c r="G90" s="499" t="str">
        <f>IF(D90="","",VLOOKUP(D90,'G-6 Hedgerow Data'!$B$2:$AG$15,3,FALSE))</f>
        <v/>
      </c>
      <c r="H90" s="145"/>
      <c r="I90" s="499" t="str">
        <f>IFERROR(VLOOKUP(H90,'G-1 All Habitats'!$Z$2:$AA$9,2,FALSE),"")</f>
        <v/>
      </c>
      <c r="J90" s="145"/>
      <c r="K90" s="507" t="str">
        <f>IF(J90="","",IF(VLOOKUP(J90,'G-3 Multipliers'!$L$3:$N$6,2,FALSE)=0,"Spatial Data Missing",VLOOKUP(J90,'G-3 Multipliers'!$L$3:$N$6,2,FALSE)))</f>
        <v/>
      </c>
      <c r="L90" s="505" t="str">
        <f>IF(J90="","",IF(VLOOKUP(J90,'G-3 Multipliers'!$L$3:$N$6,3,FALSE)=0,"Spatial Data Missing ⚠",VLOOKUP(J90,'G-3 Multipliers'!$L$3:$N$6,3,FALSE)))</f>
        <v/>
      </c>
      <c r="M90" s="506" t="str">
        <f>IF(D90="","",VLOOKUP(D90,'G-6 Hedgerow Data'!$B$1:$AH$15,33,FALSE))</f>
        <v/>
      </c>
      <c r="N90" s="513" t="str">
        <f t="shared" si="9"/>
        <v/>
      </c>
      <c r="O90" s="40"/>
      <c r="P90" s="154"/>
      <c r="Q90" s="203"/>
      <c r="R90" s="532" t="str">
        <f t="shared" si="10"/>
        <v/>
      </c>
      <c r="S90" s="532" t="str">
        <f t="shared" si="11"/>
        <v/>
      </c>
      <c r="T90" s="532" t="str">
        <f t="shared" si="12"/>
        <v/>
      </c>
      <c r="U90" s="557"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8" x14ac:dyDescent="0.25">
      <c r="B91" s="141">
        <v>82</v>
      </c>
      <c r="C91" s="203"/>
      <c r="D91" s="203"/>
      <c r="E91" s="153"/>
      <c r="F91" s="553" t="str">
        <f>IF(D91="","",VLOOKUP(D91,'G-6 Hedgerow Data'!$B$2:$AG$15,2,FALSE))</f>
        <v/>
      </c>
      <c r="G91" s="499" t="str">
        <f>IF(D91="","",VLOOKUP(D91,'G-6 Hedgerow Data'!$B$2:$AG$15,3,FALSE))</f>
        <v/>
      </c>
      <c r="H91" s="145"/>
      <c r="I91" s="499" t="str">
        <f>IFERROR(VLOOKUP(H91,'G-1 All Habitats'!$Z$2:$AA$9,2,FALSE),"")</f>
        <v/>
      </c>
      <c r="J91" s="145"/>
      <c r="K91" s="507" t="str">
        <f>IF(J91="","",IF(VLOOKUP(J91,'G-3 Multipliers'!$L$3:$N$6,2,FALSE)=0,"Spatial Data Missing",VLOOKUP(J91,'G-3 Multipliers'!$L$3:$N$6,2,FALSE)))</f>
        <v/>
      </c>
      <c r="L91" s="505" t="str">
        <f>IF(J91="","",IF(VLOOKUP(J91,'G-3 Multipliers'!$L$3:$N$6,3,FALSE)=0,"Spatial Data Missing ⚠",VLOOKUP(J91,'G-3 Multipliers'!$L$3:$N$6,3,FALSE)))</f>
        <v/>
      </c>
      <c r="M91" s="506" t="str">
        <f>IF(D91="","",VLOOKUP(D91,'G-6 Hedgerow Data'!$B$1:$AH$15,33,FALSE))</f>
        <v/>
      </c>
      <c r="N91" s="513" t="str">
        <f t="shared" si="9"/>
        <v/>
      </c>
      <c r="O91" s="40"/>
      <c r="P91" s="154"/>
      <c r="Q91" s="203"/>
      <c r="R91" s="532" t="str">
        <f t="shared" si="10"/>
        <v/>
      </c>
      <c r="S91" s="532" t="str">
        <f t="shared" si="11"/>
        <v/>
      </c>
      <c r="T91" s="532" t="str">
        <f t="shared" si="12"/>
        <v/>
      </c>
      <c r="U91" s="557"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8" x14ac:dyDescent="0.25">
      <c r="B92" s="141">
        <v>83</v>
      </c>
      <c r="C92" s="203"/>
      <c r="D92" s="203"/>
      <c r="E92" s="153"/>
      <c r="F92" s="553" t="str">
        <f>IF(D92="","",VLOOKUP(D92,'G-6 Hedgerow Data'!$B$2:$AG$15,2,FALSE))</f>
        <v/>
      </c>
      <c r="G92" s="499" t="str">
        <f>IF(D92="","",VLOOKUP(D92,'G-6 Hedgerow Data'!$B$2:$AG$15,3,FALSE))</f>
        <v/>
      </c>
      <c r="H92" s="145"/>
      <c r="I92" s="499" t="str">
        <f>IFERROR(VLOOKUP(H92,'G-1 All Habitats'!$Z$2:$AA$9,2,FALSE),"")</f>
        <v/>
      </c>
      <c r="J92" s="145"/>
      <c r="K92" s="507" t="str">
        <f>IF(J92="","",IF(VLOOKUP(J92,'G-3 Multipliers'!$L$3:$N$6,2,FALSE)=0,"Spatial Data Missing",VLOOKUP(J92,'G-3 Multipliers'!$L$3:$N$6,2,FALSE)))</f>
        <v/>
      </c>
      <c r="L92" s="505" t="str">
        <f>IF(J92="","",IF(VLOOKUP(J92,'G-3 Multipliers'!$L$3:$N$6,3,FALSE)=0,"Spatial Data Missing ⚠",VLOOKUP(J92,'G-3 Multipliers'!$L$3:$N$6,3,FALSE)))</f>
        <v/>
      </c>
      <c r="M92" s="506" t="str">
        <f>IF(D92="","",VLOOKUP(D92,'G-6 Hedgerow Data'!$B$1:$AH$15,33,FALSE))</f>
        <v/>
      </c>
      <c r="N92" s="513" t="str">
        <f t="shared" si="9"/>
        <v/>
      </c>
      <c r="O92" s="40"/>
      <c r="P92" s="154"/>
      <c r="Q92" s="203"/>
      <c r="R92" s="532" t="str">
        <f t="shared" si="10"/>
        <v/>
      </c>
      <c r="S92" s="532" t="str">
        <f t="shared" si="11"/>
        <v/>
      </c>
      <c r="T92" s="532" t="str">
        <f t="shared" si="12"/>
        <v/>
      </c>
      <c r="U92" s="557"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8" x14ac:dyDescent="0.25">
      <c r="B93" s="141">
        <v>84</v>
      </c>
      <c r="C93" s="203"/>
      <c r="D93" s="203"/>
      <c r="E93" s="153"/>
      <c r="F93" s="553" t="str">
        <f>IF(D93="","",VLOOKUP(D93,'G-6 Hedgerow Data'!$B$2:$AG$15,2,FALSE))</f>
        <v/>
      </c>
      <c r="G93" s="499" t="str">
        <f>IF(D93="","",VLOOKUP(D93,'G-6 Hedgerow Data'!$B$2:$AG$15,3,FALSE))</f>
        <v/>
      </c>
      <c r="H93" s="145"/>
      <c r="I93" s="499" t="str">
        <f>IFERROR(VLOOKUP(H93,'G-1 All Habitats'!$Z$2:$AA$9,2,FALSE),"")</f>
        <v/>
      </c>
      <c r="J93" s="145"/>
      <c r="K93" s="507" t="str">
        <f>IF(J93="","",IF(VLOOKUP(J93,'G-3 Multipliers'!$L$3:$N$6,2,FALSE)=0,"Spatial Data Missing",VLOOKUP(J93,'G-3 Multipliers'!$L$3:$N$6,2,FALSE)))</f>
        <v/>
      </c>
      <c r="L93" s="505" t="str">
        <f>IF(J93="","",IF(VLOOKUP(J93,'G-3 Multipliers'!$L$3:$N$6,3,FALSE)=0,"Spatial Data Missing ⚠",VLOOKUP(J93,'G-3 Multipliers'!$L$3:$N$6,3,FALSE)))</f>
        <v/>
      </c>
      <c r="M93" s="506" t="str">
        <f>IF(D93="","",VLOOKUP(D93,'G-6 Hedgerow Data'!$B$1:$AH$15,33,FALSE))</f>
        <v/>
      </c>
      <c r="N93" s="513" t="str">
        <f t="shared" si="9"/>
        <v/>
      </c>
      <c r="O93" s="40"/>
      <c r="P93" s="154"/>
      <c r="Q93" s="203"/>
      <c r="R93" s="532" t="str">
        <f t="shared" si="10"/>
        <v/>
      </c>
      <c r="S93" s="532" t="str">
        <f t="shared" si="11"/>
        <v/>
      </c>
      <c r="T93" s="532" t="str">
        <f t="shared" si="12"/>
        <v/>
      </c>
      <c r="U93" s="557"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8" x14ac:dyDescent="0.25">
      <c r="B94" s="141">
        <v>85</v>
      </c>
      <c r="C94" s="203"/>
      <c r="D94" s="203"/>
      <c r="E94" s="153"/>
      <c r="F94" s="553" t="str">
        <f>IF(D94="","",VLOOKUP(D94,'G-6 Hedgerow Data'!$B$2:$AG$15,2,FALSE))</f>
        <v/>
      </c>
      <c r="G94" s="499" t="str">
        <f>IF(D94="","",VLOOKUP(D94,'G-6 Hedgerow Data'!$B$2:$AG$15,3,FALSE))</f>
        <v/>
      </c>
      <c r="H94" s="145"/>
      <c r="I94" s="499" t="str">
        <f>IFERROR(VLOOKUP(H94,'G-1 All Habitats'!$Z$2:$AA$9,2,FALSE),"")</f>
        <v/>
      </c>
      <c r="J94" s="145"/>
      <c r="K94" s="507" t="str">
        <f>IF(J94="","",IF(VLOOKUP(J94,'G-3 Multipliers'!$L$3:$N$6,2,FALSE)=0,"Spatial Data Missing",VLOOKUP(J94,'G-3 Multipliers'!$L$3:$N$6,2,FALSE)))</f>
        <v/>
      </c>
      <c r="L94" s="505" t="str">
        <f>IF(J94="","",IF(VLOOKUP(J94,'G-3 Multipliers'!$L$3:$N$6,3,FALSE)=0,"Spatial Data Missing ⚠",VLOOKUP(J94,'G-3 Multipliers'!$L$3:$N$6,3,FALSE)))</f>
        <v/>
      </c>
      <c r="M94" s="506" t="str">
        <f>IF(D94="","",VLOOKUP(D94,'G-6 Hedgerow Data'!$B$1:$AH$15,33,FALSE))</f>
        <v/>
      </c>
      <c r="N94" s="513" t="str">
        <f t="shared" si="9"/>
        <v/>
      </c>
      <c r="O94" s="40"/>
      <c r="P94" s="154"/>
      <c r="Q94" s="203"/>
      <c r="R94" s="532" t="str">
        <f t="shared" si="10"/>
        <v/>
      </c>
      <c r="S94" s="532" t="str">
        <f t="shared" si="11"/>
        <v/>
      </c>
      <c r="T94" s="532" t="str">
        <f t="shared" si="12"/>
        <v/>
      </c>
      <c r="U94" s="557"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8" x14ac:dyDescent="0.25">
      <c r="B95" s="141">
        <v>86</v>
      </c>
      <c r="C95" s="203"/>
      <c r="D95" s="203"/>
      <c r="E95" s="153"/>
      <c r="F95" s="553" t="str">
        <f>IF(D95="","",VLOOKUP(D95,'G-6 Hedgerow Data'!$B$2:$AG$15,2,FALSE))</f>
        <v/>
      </c>
      <c r="G95" s="499" t="str">
        <f>IF(D95="","",VLOOKUP(D95,'G-6 Hedgerow Data'!$B$2:$AG$15,3,FALSE))</f>
        <v/>
      </c>
      <c r="H95" s="145"/>
      <c r="I95" s="499" t="str">
        <f>IFERROR(VLOOKUP(H95,'G-1 All Habitats'!$Z$2:$AA$9,2,FALSE),"")</f>
        <v/>
      </c>
      <c r="J95" s="145"/>
      <c r="K95" s="507" t="str">
        <f>IF(J95="","",IF(VLOOKUP(J95,'G-3 Multipliers'!$L$3:$N$6,2,FALSE)=0,"Spatial Data Missing",VLOOKUP(J95,'G-3 Multipliers'!$L$3:$N$6,2,FALSE)))</f>
        <v/>
      </c>
      <c r="L95" s="505" t="str">
        <f>IF(J95="","",IF(VLOOKUP(J95,'G-3 Multipliers'!$L$3:$N$6,3,FALSE)=0,"Spatial Data Missing ⚠",VLOOKUP(J95,'G-3 Multipliers'!$L$3:$N$6,3,FALSE)))</f>
        <v/>
      </c>
      <c r="M95" s="506" t="str">
        <f>IF(D95="","",VLOOKUP(D95,'G-6 Hedgerow Data'!$B$1:$AH$15,33,FALSE))</f>
        <v/>
      </c>
      <c r="N95" s="513" t="str">
        <f t="shared" si="9"/>
        <v/>
      </c>
      <c r="O95" s="40"/>
      <c r="P95" s="154"/>
      <c r="Q95" s="203"/>
      <c r="R95" s="532" t="str">
        <f t="shared" si="10"/>
        <v/>
      </c>
      <c r="S95" s="532" t="str">
        <f t="shared" si="11"/>
        <v/>
      </c>
      <c r="T95" s="532" t="str">
        <f t="shared" si="12"/>
        <v/>
      </c>
      <c r="U95" s="557"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8" x14ac:dyDescent="0.25">
      <c r="B96" s="141">
        <v>87</v>
      </c>
      <c r="C96" s="203"/>
      <c r="D96" s="203"/>
      <c r="E96" s="153"/>
      <c r="F96" s="553" t="str">
        <f>IF(D96="","",VLOOKUP(D96,'G-6 Hedgerow Data'!$B$2:$AG$15,2,FALSE))</f>
        <v/>
      </c>
      <c r="G96" s="499" t="str">
        <f>IF(D96="","",VLOOKUP(D96,'G-6 Hedgerow Data'!$B$2:$AG$15,3,FALSE))</f>
        <v/>
      </c>
      <c r="H96" s="145"/>
      <c r="I96" s="499" t="str">
        <f>IFERROR(VLOOKUP(H96,'G-1 All Habitats'!$Z$2:$AA$9,2,FALSE),"")</f>
        <v/>
      </c>
      <c r="J96" s="145"/>
      <c r="K96" s="507" t="str">
        <f>IF(J96="","",IF(VLOOKUP(J96,'G-3 Multipliers'!$L$3:$N$6,2,FALSE)=0,"Spatial Data Missing",VLOOKUP(J96,'G-3 Multipliers'!$L$3:$N$6,2,FALSE)))</f>
        <v/>
      </c>
      <c r="L96" s="505" t="str">
        <f>IF(J96="","",IF(VLOOKUP(J96,'G-3 Multipliers'!$L$3:$N$6,3,FALSE)=0,"Spatial Data Missing ⚠",VLOOKUP(J96,'G-3 Multipliers'!$L$3:$N$6,3,FALSE)))</f>
        <v/>
      </c>
      <c r="M96" s="506" t="str">
        <f>IF(D96="","",VLOOKUP(D96,'G-6 Hedgerow Data'!$B$1:$AH$15,33,FALSE))</f>
        <v/>
      </c>
      <c r="N96" s="513" t="str">
        <f t="shared" si="9"/>
        <v/>
      </c>
      <c r="O96" s="40"/>
      <c r="P96" s="154"/>
      <c r="Q96" s="203"/>
      <c r="R96" s="532" t="str">
        <f t="shared" si="10"/>
        <v/>
      </c>
      <c r="S96" s="532" t="str">
        <f t="shared" si="11"/>
        <v/>
      </c>
      <c r="T96" s="532" t="str">
        <f t="shared" si="12"/>
        <v/>
      </c>
      <c r="U96" s="557"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8" x14ac:dyDescent="0.25">
      <c r="B97" s="141">
        <v>88</v>
      </c>
      <c r="C97" s="203"/>
      <c r="D97" s="203"/>
      <c r="E97" s="153"/>
      <c r="F97" s="553" t="str">
        <f>IF(D97="","",VLOOKUP(D97,'G-6 Hedgerow Data'!$B$2:$AG$15,2,FALSE))</f>
        <v/>
      </c>
      <c r="G97" s="499" t="str">
        <f>IF(D97="","",VLOOKUP(D97,'G-6 Hedgerow Data'!$B$2:$AG$15,3,FALSE))</f>
        <v/>
      </c>
      <c r="H97" s="145"/>
      <c r="I97" s="499" t="str">
        <f>IFERROR(VLOOKUP(H97,'G-1 All Habitats'!$Z$2:$AA$9,2,FALSE),"")</f>
        <v/>
      </c>
      <c r="J97" s="145"/>
      <c r="K97" s="507" t="str">
        <f>IF(J97="","",IF(VLOOKUP(J97,'G-3 Multipliers'!$L$3:$N$6,2,FALSE)=0,"Spatial Data Missing",VLOOKUP(J97,'G-3 Multipliers'!$L$3:$N$6,2,FALSE)))</f>
        <v/>
      </c>
      <c r="L97" s="505" t="str">
        <f>IF(J97="","",IF(VLOOKUP(J97,'G-3 Multipliers'!$L$3:$N$6,3,FALSE)=0,"Spatial Data Missing ⚠",VLOOKUP(J97,'G-3 Multipliers'!$L$3:$N$6,3,FALSE)))</f>
        <v/>
      </c>
      <c r="M97" s="506" t="str">
        <f>IF(D97="","",VLOOKUP(D97,'G-6 Hedgerow Data'!$B$1:$AH$15,33,FALSE))</f>
        <v/>
      </c>
      <c r="N97" s="513" t="str">
        <f t="shared" si="9"/>
        <v/>
      </c>
      <c r="O97" s="40"/>
      <c r="P97" s="154"/>
      <c r="Q97" s="203"/>
      <c r="R97" s="532" t="str">
        <f t="shared" si="10"/>
        <v/>
      </c>
      <c r="S97" s="532" t="str">
        <f t="shared" si="11"/>
        <v/>
      </c>
      <c r="T97" s="532" t="str">
        <f t="shared" si="12"/>
        <v/>
      </c>
      <c r="U97" s="557"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8" x14ac:dyDescent="0.25">
      <c r="B98" s="141">
        <v>89</v>
      </c>
      <c r="C98" s="203"/>
      <c r="D98" s="203"/>
      <c r="E98" s="153"/>
      <c r="F98" s="553" t="str">
        <f>IF(D98="","",VLOOKUP(D98,'G-6 Hedgerow Data'!$B$2:$AG$15,2,FALSE))</f>
        <v/>
      </c>
      <c r="G98" s="499" t="str">
        <f>IF(D98="","",VLOOKUP(D98,'G-6 Hedgerow Data'!$B$2:$AG$15,3,FALSE))</f>
        <v/>
      </c>
      <c r="H98" s="145"/>
      <c r="I98" s="499" t="str">
        <f>IFERROR(VLOOKUP(H98,'G-1 All Habitats'!$Z$2:$AA$9,2,FALSE),"")</f>
        <v/>
      </c>
      <c r="J98" s="145"/>
      <c r="K98" s="507" t="str">
        <f>IF(J98="","",IF(VLOOKUP(J98,'G-3 Multipliers'!$L$3:$N$6,2,FALSE)=0,"Spatial Data Missing",VLOOKUP(J98,'G-3 Multipliers'!$L$3:$N$6,2,FALSE)))</f>
        <v/>
      </c>
      <c r="L98" s="505" t="str">
        <f>IF(J98="","",IF(VLOOKUP(J98,'G-3 Multipliers'!$L$3:$N$6,3,FALSE)=0,"Spatial Data Missing ⚠",VLOOKUP(J98,'G-3 Multipliers'!$L$3:$N$6,3,FALSE)))</f>
        <v/>
      </c>
      <c r="M98" s="506" t="str">
        <f>IF(D98="","",VLOOKUP(D98,'G-6 Hedgerow Data'!$B$1:$AH$15,33,FALSE))</f>
        <v/>
      </c>
      <c r="N98" s="513" t="str">
        <f t="shared" si="9"/>
        <v/>
      </c>
      <c r="O98" s="40"/>
      <c r="P98" s="154"/>
      <c r="Q98" s="203"/>
      <c r="R98" s="532" t="str">
        <f t="shared" si="10"/>
        <v/>
      </c>
      <c r="S98" s="532" t="str">
        <f t="shared" si="11"/>
        <v/>
      </c>
      <c r="T98" s="532" t="str">
        <f t="shared" si="12"/>
        <v/>
      </c>
      <c r="U98" s="557"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8" x14ac:dyDescent="0.25">
      <c r="B99" s="141">
        <v>90</v>
      </c>
      <c r="C99" s="203"/>
      <c r="D99" s="203"/>
      <c r="E99" s="153"/>
      <c r="F99" s="553" t="str">
        <f>IF(D99="","",VLOOKUP(D99,'G-6 Hedgerow Data'!$B$2:$AG$15,2,FALSE))</f>
        <v/>
      </c>
      <c r="G99" s="499" t="str">
        <f>IF(D99="","",VLOOKUP(D99,'G-6 Hedgerow Data'!$B$2:$AG$15,3,FALSE))</f>
        <v/>
      </c>
      <c r="H99" s="145"/>
      <c r="I99" s="499" t="str">
        <f>IFERROR(VLOOKUP(H99,'G-1 All Habitats'!$Z$2:$AA$9,2,FALSE),"")</f>
        <v/>
      </c>
      <c r="J99" s="145"/>
      <c r="K99" s="507" t="str">
        <f>IF(J99="","",IF(VLOOKUP(J99,'G-3 Multipliers'!$L$3:$N$6,2,FALSE)=0,"Spatial Data Missing",VLOOKUP(J99,'G-3 Multipliers'!$L$3:$N$6,2,FALSE)))</f>
        <v/>
      </c>
      <c r="L99" s="505" t="str">
        <f>IF(J99="","",IF(VLOOKUP(J99,'G-3 Multipliers'!$L$3:$N$6,3,FALSE)=0,"Spatial Data Missing ⚠",VLOOKUP(J99,'G-3 Multipliers'!$L$3:$N$6,3,FALSE)))</f>
        <v/>
      </c>
      <c r="M99" s="506" t="str">
        <f>IF(D99="","",VLOOKUP(D99,'G-6 Hedgerow Data'!$B$1:$AH$15,33,FALSE))</f>
        <v/>
      </c>
      <c r="N99" s="513" t="str">
        <f t="shared" si="9"/>
        <v/>
      </c>
      <c r="O99" s="40"/>
      <c r="P99" s="154"/>
      <c r="Q99" s="203"/>
      <c r="R99" s="532" t="str">
        <f t="shared" si="10"/>
        <v/>
      </c>
      <c r="S99" s="532" t="str">
        <f t="shared" si="11"/>
        <v/>
      </c>
      <c r="T99" s="532" t="str">
        <f t="shared" si="12"/>
        <v/>
      </c>
      <c r="U99" s="557"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8" x14ac:dyDescent="0.25">
      <c r="B100" s="141">
        <v>91</v>
      </c>
      <c r="C100" s="203"/>
      <c r="D100" s="203"/>
      <c r="E100" s="153"/>
      <c r="F100" s="553" t="str">
        <f>IF(D100="","",VLOOKUP(D100,'G-6 Hedgerow Data'!$B$2:$AG$15,2,FALSE))</f>
        <v/>
      </c>
      <c r="G100" s="499" t="str">
        <f>IF(D100="","",VLOOKUP(D100,'G-6 Hedgerow Data'!$B$2:$AG$15,3,FALSE))</f>
        <v/>
      </c>
      <c r="H100" s="145"/>
      <c r="I100" s="499" t="str">
        <f>IFERROR(VLOOKUP(H100,'G-1 All Habitats'!$Z$2:$AA$9,2,FALSE),"")</f>
        <v/>
      </c>
      <c r="J100" s="145"/>
      <c r="K100" s="507" t="str">
        <f>IF(J100="","",IF(VLOOKUP(J100,'G-3 Multipliers'!$L$3:$N$6,2,FALSE)=0,"Spatial Data Missing",VLOOKUP(J100,'G-3 Multipliers'!$L$3:$N$6,2,FALSE)))</f>
        <v/>
      </c>
      <c r="L100" s="505" t="str">
        <f>IF(J100="","",IF(VLOOKUP(J100,'G-3 Multipliers'!$L$3:$N$6,3,FALSE)=0,"Spatial Data Missing ⚠",VLOOKUP(J100,'G-3 Multipliers'!$L$3:$N$6,3,FALSE)))</f>
        <v/>
      </c>
      <c r="M100" s="506" t="str">
        <f>IF(D100="","",VLOOKUP(D100,'G-6 Hedgerow Data'!$B$1:$AH$15,33,FALSE))</f>
        <v/>
      </c>
      <c r="N100" s="513" t="str">
        <f t="shared" si="9"/>
        <v/>
      </c>
      <c r="O100" s="40"/>
      <c r="P100" s="154"/>
      <c r="Q100" s="203"/>
      <c r="R100" s="532" t="str">
        <f t="shared" si="10"/>
        <v/>
      </c>
      <c r="S100" s="532" t="str">
        <f t="shared" si="11"/>
        <v/>
      </c>
      <c r="T100" s="532" t="str">
        <f t="shared" si="12"/>
        <v/>
      </c>
      <c r="U100" s="557"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8" x14ac:dyDescent="0.25">
      <c r="B101" s="141">
        <v>92</v>
      </c>
      <c r="C101" s="203"/>
      <c r="D101" s="203"/>
      <c r="E101" s="153"/>
      <c r="F101" s="553" t="str">
        <f>IF(D101="","",VLOOKUP(D101,'G-6 Hedgerow Data'!$B$2:$AG$15,2,FALSE))</f>
        <v/>
      </c>
      <c r="G101" s="499" t="str">
        <f>IF(D101="","",VLOOKUP(D101,'G-6 Hedgerow Data'!$B$2:$AG$15,3,FALSE))</f>
        <v/>
      </c>
      <c r="H101" s="145"/>
      <c r="I101" s="499" t="str">
        <f>IFERROR(VLOOKUP(H101,'G-1 All Habitats'!$Z$2:$AA$9,2,FALSE),"")</f>
        <v/>
      </c>
      <c r="J101" s="145"/>
      <c r="K101" s="507" t="str">
        <f>IF(J101="","",IF(VLOOKUP(J101,'G-3 Multipliers'!$L$3:$N$6,2,FALSE)=0,"Spatial Data Missing",VLOOKUP(J101,'G-3 Multipliers'!$L$3:$N$6,2,FALSE)))</f>
        <v/>
      </c>
      <c r="L101" s="505" t="str">
        <f>IF(J101="","",IF(VLOOKUP(J101,'G-3 Multipliers'!$L$3:$N$6,3,FALSE)=0,"Spatial Data Missing ⚠",VLOOKUP(J101,'G-3 Multipliers'!$L$3:$N$6,3,FALSE)))</f>
        <v/>
      </c>
      <c r="M101" s="506" t="str">
        <f>IF(D101="","",VLOOKUP(D101,'G-6 Hedgerow Data'!$B$1:$AH$15,33,FALSE))</f>
        <v/>
      </c>
      <c r="N101" s="513" t="str">
        <f t="shared" si="9"/>
        <v/>
      </c>
      <c r="O101" s="40"/>
      <c r="P101" s="154"/>
      <c r="Q101" s="203"/>
      <c r="R101" s="532" t="str">
        <f t="shared" si="10"/>
        <v/>
      </c>
      <c r="S101" s="532" t="str">
        <f t="shared" si="11"/>
        <v/>
      </c>
      <c r="T101" s="532" t="str">
        <f t="shared" si="12"/>
        <v/>
      </c>
      <c r="U101" s="557"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8" x14ac:dyDescent="0.25">
      <c r="B102" s="141">
        <v>93</v>
      </c>
      <c r="C102" s="203"/>
      <c r="D102" s="203"/>
      <c r="E102" s="153"/>
      <c r="F102" s="553" t="str">
        <f>IF(D102="","",VLOOKUP(D102,'G-6 Hedgerow Data'!$B$2:$AG$15,2,FALSE))</f>
        <v/>
      </c>
      <c r="G102" s="499" t="str">
        <f>IF(D102="","",VLOOKUP(D102,'G-6 Hedgerow Data'!$B$2:$AG$15,3,FALSE))</f>
        <v/>
      </c>
      <c r="H102" s="145"/>
      <c r="I102" s="499" t="str">
        <f>IFERROR(VLOOKUP(H102,'G-1 All Habitats'!$Z$2:$AA$9,2,FALSE),"")</f>
        <v/>
      </c>
      <c r="J102" s="145"/>
      <c r="K102" s="507" t="str">
        <f>IF(J102="","",IF(VLOOKUP(J102,'G-3 Multipliers'!$L$3:$N$6,2,FALSE)=0,"Spatial Data Missing",VLOOKUP(J102,'G-3 Multipliers'!$L$3:$N$6,2,FALSE)))</f>
        <v/>
      </c>
      <c r="L102" s="505" t="str">
        <f>IF(J102="","",IF(VLOOKUP(J102,'G-3 Multipliers'!$L$3:$N$6,3,FALSE)=0,"Spatial Data Missing ⚠",VLOOKUP(J102,'G-3 Multipliers'!$L$3:$N$6,3,FALSE)))</f>
        <v/>
      </c>
      <c r="M102" s="506" t="str">
        <f>IF(D102="","",VLOOKUP(D102,'G-6 Hedgerow Data'!$B$1:$AH$15,33,FALSE))</f>
        <v/>
      </c>
      <c r="N102" s="513" t="str">
        <f t="shared" si="9"/>
        <v/>
      </c>
      <c r="O102" s="40"/>
      <c r="P102" s="154"/>
      <c r="Q102" s="203"/>
      <c r="R102" s="532" t="str">
        <f t="shared" si="10"/>
        <v/>
      </c>
      <c r="S102" s="532" t="str">
        <f t="shared" si="11"/>
        <v/>
      </c>
      <c r="T102" s="532" t="str">
        <f t="shared" si="12"/>
        <v/>
      </c>
      <c r="U102" s="557"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8" x14ac:dyDescent="0.25">
      <c r="B103" s="141">
        <v>94</v>
      </c>
      <c r="C103" s="203"/>
      <c r="D103" s="203"/>
      <c r="E103" s="153"/>
      <c r="F103" s="553" t="str">
        <f>IF(D103="","",VLOOKUP(D103,'G-6 Hedgerow Data'!$B$2:$AG$15,2,FALSE))</f>
        <v/>
      </c>
      <c r="G103" s="499" t="str">
        <f>IF(D103="","",VLOOKUP(D103,'G-6 Hedgerow Data'!$B$2:$AG$15,3,FALSE))</f>
        <v/>
      </c>
      <c r="H103" s="145"/>
      <c r="I103" s="499" t="str">
        <f>IFERROR(VLOOKUP(H103,'G-1 All Habitats'!$Z$2:$AA$9,2,FALSE),"")</f>
        <v/>
      </c>
      <c r="J103" s="145"/>
      <c r="K103" s="507" t="str">
        <f>IF(J103="","",IF(VLOOKUP(J103,'G-3 Multipliers'!$L$3:$N$6,2,FALSE)=0,"Spatial Data Missing",VLOOKUP(J103,'G-3 Multipliers'!$L$3:$N$6,2,FALSE)))</f>
        <v/>
      </c>
      <c r="L103" s="505" t="str">
        <f>IF(J103="","",IF(VLOOKUP(J103,'G-3 Multipliers'!$L$3:$N$6,3,FALSE)=0,"Spatial Data Missing ⚠",VLOOKUP(J103,'G-3 Multipliers'!$L$3:$N$6,3,FALSE)))</f>
        <v/>
      </c>
      <c r="M103" s="506" t="str">
        <f>IF(D103="","",VLOOKUP(D103,'G-6 Hedgerow Data'!$B$1:$AH$15,33,FALSE))</f>
        <v/>
      </c>
      <c r="N103" s="513" t="str">
        <f t="shared" si="9"/>
        <v/>
      </c>
      <c r="O103" s="40"/>
      <c r="P103" s="154"/>
      <c r="Q103" s="203"/>
      <c r="R103" s="532" t="str">
        <f t="shared" si="10"/>
        <v/>
      </c>
      <c r="S103" s="532" t="str">
        <f t="shared" si="11"/>
        <v/>
      </c>
      <c r="T103" s="532" t="str">
        <f t="shared" si="12"/>
        <v/>
      </c>
      <c r="U103" s="557"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8" x14ac:dyDescent="0.25">
      <c r="B104" s="141">
        <v>95</v>
      </c>
      <c r="C104" s="203"/>
      <c r="D104" s="203"/>
      <c r="E104" s="153"/>
      <c r="F104" s="553" t="str">
        <f>IF(D104="","",VLOOKUP(D104,'G-6 Hedgerow Data'!$B$2:$AG$15,2,FALSE))</f>
        <v/>
      </c>
      <c r="G104" s="499" t="str">
        <f>IF(D104="","",VLOOKUP(D104,'G-6 Hedgerow Data'!$B$2:$AG$15,3,FALSE))</f>
        <v/>
      </c>
      <c r="H104" s="145"/>
      <c r="I104" s="499" t="str">
        <f>IFERROR(VLOOKUP(H104,'G-1 All Habitats'!$Z$2:$AA$9,2,FALSE),"")</f>
        <v/>
      </c>
      <c r="J104" s="145"/>
      <c r="K104" s="507" t="str">
        <f>IF(J104="","",IF(VLOOKUP(J104,'G-3 Multipliers'!$L$3:$N$6,2,FALSE)=0,"Spatial Data Missing",VLOOKUP(J104,'G-3 Multipliers'!$L$3:$N$6,2,FALSE)))</f>
        <v/>
      </c>
      <c r="L104" s="505" t="str">
        <f>IF(J104="","",IF(VLOOKUP(J104,'G-3 Multipliers'!$L$3:$N$6,3,FALSE)=0,"Spatial Data Missing ⚠",VLOOKUP(J104,'G-3 Multipliers'!$L$3:$N$6,3,FALSE)))</f>
        <v/>
      </c>
      <c r="M104" s="506" t="str">
        <f>IF(D104="","",VLOOKUP(D104,'G-6 Hedgerow Data'!$B$1:$AH$15,33,FALSE))</f>
        <v/>
      </c>
      <c r="N104" s="513" t="str">
        <f t="shared" si="9"/>
        <v/>
      </c>
      <c r="O104" s="40"/>
      <c r="P104" s="154"/>
      <c r="Q104" s="203"/>
      <c r="R104" s="532" t="str">
        <f t="shared" si="10"/>
        <v/>
      </c>
      <c r="S104" s="532" t="str">
        <f t="shared" si="11"/>
        <v/>
      </c>
      <c r="T104" s="532" t="str">
        <f t="shared" si="12"/>
        <v/>
      </c>
      <c r="U104" s="557"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8" x14ac:dyDescent="0.25">
      <c r="B105" s="141">
        <v>96</v>
      </c>
      <c r="C105" s="203"/>
      <c r="D105" s="203"/>
      <c r="E105" s="153"/>
      <c r="F105" s="553" t="str">
        <f>IF(D105="","",VLOOKUP(D105,'G-6 Hedgerow Data'!$B$2:$AG$15,2,FALSE))</f>
        <v/>
      </c>
      <c r="G105" s="499" t="str">
        <f>IF(D105="","",VLOOKUP(D105,'G-6 Hedgerow Data'!$B$2:$AG$15,3,FALSE))</f>
        <v/>
      </c>
      <c r="H105" s="145"/>
      <c r="I105" s="499" t="str">
        <f>IFERROR(VLOOKUP(H105,'G-1 All Habitats'!$Z$2:$AA$9,2,FALSE),"")</f>
        <v/>
      </c>
      <c r="J105" s="145"/>
      <c r="K105" s="507" t="str">
        <f>IF(J105="","",IF(VLOOKUP(J105,'G-3 Multipliers'!$L$3:$N$6,2,FALSE)=0,"Spatial Data Missing",VLOOKUP(J105,'G-3 Multipliers'!$L$3:$N$6,2,FALSE)))</f>
        <v/>
      </c>
      <c r="L105" s="505" t="str">
        <f>IF(J105="","",IF(VLOOKUP(J105,'G-3 Multipliers'!$L$3:$N$6,3,FALSE)=0,"Spatial Data Missing ⚠",VLOOKUP(J105,'G-3 Multipliers'!$L$3:$N$6,3,FALSE)))</f>
        <v/>
      </c>
      <c r="M105" s="506" t="str">
        <f>IF(D105="","",VLOOKUP(D105,'G-6 Hedgerow Data'!$B$1:$AH$15,33,FALSE))</f>
        <v/>
      </c>
      <c r="N105" s="513" t="str">
        <f t="shared" si="9"/>
        <v/>
      </c>
      <c r="O105" s="40"/>
      <c r="P105" s="154"/>
      <c r="Q105" s="203"/>
      <c r="R105" s="532" t="str">
        <f t="shared" si="10"/>
        <v/>
      </c>
      <c r="S105" s="532" t="str">
        <f t="shared" si="11"/>
        <v/>
      </c>
      <c r="T105" s="532" t="str">
        <f t="shared" si="12"/>
        <v/>
      </c>
      <c r="U105" s="557"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8" x14ac:dyDescent="0.25">
      <c r="B106" s="141">
        <v>97</v>
      </c>
      <c r="C106" s="203"/>
      <c r="D106" s="203"/>
      <c r="E106" s="153"/>
      <c r="F106" s="553" t="str">
        <f>IF(D106="","",VLOOKUP(D106,'G-6 Hedgerow Data'!$B$2:$AG$15,2,FALSE))</f>
        <v/>
      </c>
      <c r="G106" s="499" t="str">
        <f>IF(D106="","",VLOOKUP(D106,'G-6 Hedgerow Data'!$B$2:$AG$15,3,FALSE))</f>
        <v/>
      </c>
      <c r="H106" s="145"/>
      <c r="I106" s="499" t="str">
        <f>IFERROR(VLOOKUP(H106,'G-1 All Habitats'!$Z$2:$AA$9,2,FALSE),"")</f>
        <v/>
      </c>
      <c r="J106" s="145"/>
      <c r="K106" s="507" t="str">
        <f>IF(J106="","",IF(VLOOKUP(J106,'G-3 Multipliers'!$L$3:$N$6,2,FALSE)=0,"Spatial Data Missing",VLOOKUP(J106,'G-3 Multipliers'!$L$3:$N$6,2,FALSE)))</f>
        <v/>
      </c>
      <c r="L106" s="505" t="str">
        <f>IF(J106="","",IF(VLOOKUP(J106,'G-3 Multipliers'!$L$3:$N$6,3,FALSE)=0,"Spatial Data Missing ⚠",VLOOKUP(J106,'G-3 Multipliers'!$L$3:$N$6,3,FALSE)))</f>
        <v/>
      </c>
      <c r="M106" s="506" t="str">
        <f>IF(D106="","",VLOOKUP(D106,'G-6 Hedgerow Data'!$B$1:$AH$15,33,FALSE))</f>
        <v/>
      </c>
      <c r="N106" s="513" t="str">
        <f t="shared" si="9"/>
        <v/>
      </c>
      <c r="O106" s="40"/>
      <c r="P106" s="154"/>
      <c r="Q106" s="203"/>
      <c r="R106" s="532" t="str">
        <f t="shared" si="10"/>
        <v/>
      </c>
      <c r="S106" s="532" t="str">
        <f t="shared" si="11"/>
        <v/>
      </c>
      <c r="T106" s="532" t="str">
        <f t="shared" si="12"/>
        <v/>
      </c>
      <c r="U106" s="557"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8" x14ac:dyDescent="0.25">
      <c r="B107" s="141">
        <v>98</v>
      </c>
      <c r="C107" s="203"/>
      <c r="D107" s="203"/>
      <c r="E107" s="153"/>
      <c r="F107" s="553" t="str">
        <f>IF(D107="","",VLOOKUP(D107,'G-6 Hedgerow Data'!$B$2:$AG$15,2,FALSE))</f>
        <v/>
      </c>
      <c r="G107" s="499" t="str">
        <f>IF(D107="","",VLOOKUP(D107,'G-6 Hedgerow Data'!$B$2:$AG$15,3,FALSE))</f>
        <v/>
      </c>
      <c r="H107" s="145"/>
      <c r="I107" s="499" t="str">
        <f>IFERROR(VLOOKUP(H107,'G-1 All Habitats'!$Z$2:$AA$9,2,FALSE),"")</f>
        <v/>
      </c>
      <c r="J107" s="145"/>
      <c r="K107" s="507" t="str">
        <f>IF(J107="","",IF(VLOOKUP(J107,'G-3 Multipliers'!$L$3:$N$6,2,FALSE)=0,"Spatial Data Missing",VLOOKUP(J107,'G-3 Multipliers'!$L$3:$N$6,2,FALSE)))</f>
        <v/>
      </c>
      <c r="L107" s="505" t="str">
        <f>IF(J107="","",IF(VLOOKUP(J107,'G-3 Multipliers'!$L$3:$N$6,3,FALSE)=0,"Spatial Data Missing ⚠",VLOOKUP(J107,'G-3 Multipliers'!$L$3:$N$6,3,FALSE)))</f>
        <v/>
      </c>
      <c r="M107" s="506" t="str">
        <f>IF(D107="","",VLOOKUP(D107,'G-6 Hedgerow Data'!$B$1:$AH$15,33,FALSE))</f>
        <v/>
      </c>
      <c r="N107" s="513" t="str">
        <f t="shared" si="9"/>
        <v/>
      </c>
      <c r="O107" s="40"/>
      <c r="P107" s="154"/>
      <c r="Q107" s="203"/>
      <c r="R107" s="532" t="str">
        <f t="shared" si="10"/>
        <v/>
      </c>
      <c r="S107" s="532" t="str">
        <f t="shared" si="11"/>
        <v/>
      </c>
      <c r="T107" s="532" t="str">
        <f t="shared" si="12"/>
        <v/>
      </c>
      <c r="U107" s="557"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8" x14ac:dyDescent="0.25">
      <c r="B108" s="141">
        <v>99</v>
      </c>
      <c r="C108" s="203"/>
      <c r="D108" s="203"/>
      <c r="E108" s="153"/>
      <c r="F108" s="553" t="str">
        <f>IF(D108="","",VLOOKUP(D108,'G-6 Hedgerow Data'!$B$2:$AG$15,2,FALSE))</f>
        <v/>
      </c>
      <c r="G108" s="499" t="str">
        <f>IF(D108="","",VLOOKUP(D108,'G-6 Hedgerow Data'!$B$2:$AG$15,3,FALSE))</f>
        <v/>
      </c>
      <c r="H108" s="145"/>
      <c r="I108" s="499" t="str">
        <f>IFERROR(VLOOKUP(H108,'G-1 All Habitats'!$Z$2:$AA$9,2,FALSE),"")</f>
        <v/>
      </c>
      <c r="J108" s="145"/>
      <c r="K108" s="507" t="str">
        <f>IF(J108="","",IF(VLOOKUP(J108,'G-3 Multipliers'!$L$3:$N$6,2,FALSE)=0,"Spatial Data Missing",VLOOKUP(J108,'G-3 Multipliers'!$L$3:$N$6,2,FALSE)))</f>
        <v/>
      </c>
      <c r="L108" s="505" t="str">
        <f>IF(J108="","",IF(VLOOKUP(J108,'G-3 Multipliers'!$L$3:$N$6,3,FALSE)=0,"Spatial Data Missing ⚠",VLOOKUP(J108,'G-3 Multipliers'!$L$3:$N$6,3,FALSE)))</f>
        <v/>
      </c>
      <c r="M108" s="506" t="str">
        <f>IF(D108="","",VLOOKUP(D108,'G-6 Hedgerow Data'!$B$1:$AH$15,33,FALSE))</f>
        <v/>
      </c>
      <c r="N108" s="513" t="str">
        <f t="shared" si="9"/>
        <v/>
      </c>
      <c r="O108" s="40"/>
      <c r="P108" s="154"/>
      <c r="Q108" s="203"/>
      <c r="R108" s="532" t="str">
        <f t="shared" si="10"/>
        <v/>
      </c>
      <c r="S108" s="532" t="str">
        <f t="shared" si="11"/>
        <v/>
      </c>
      <c r="T108" s="532" t="str">
        <f t="shared" si="12"/>
        <v/>
      </c>
      <c r="U108" s="557"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8" x14ac:dyDescent="0.25">
      <c r="B109" s="141">
        <v>100</v>
      </c>
      <c r="C109" s="203"/>
      <c r="D109" s="203"/>
      <c r="E109" s="153"/>
      <c r="F109" s="553" t="str">
        <f>IF(D109="","",VLOOKUP(D109,'G-6 Hedgerow Data'!$B$2:$AG$15,2,FALSE))</f>
        <v/>
      </c>
      <c r="G109" s="499" t="str">
        <f>IF(D109="","",VLOOKUP(D109,'G-6 Hedgerow Data'!$B$2:$AG$15,3,FALSE))</f>
        <v/>
      </c>
      <c r="H109" s="145"/>
      <c r="I109" s="499" t="str">
        <f>IFERROR(VLOOKUP(H109,'G-1 All Habitats'!$Z$2:$AA$9,2,FALSE),"")</f>
        <v/>
      </c>
      <c r="J109" s="145"/>
      <c r="K109" s="507" t="str">
        <f>IF(J109="","",IF(VLOOKUP(J109,'G-3 Multipliers'!$L$3:$N$6,2,FALSE)=0,"Spatial Data Missing",VLOOKUP(J109,'G-3 Multipliers'!$L$3:$N$6,2,FALSE)))</f>
        <v/>
      </c>
      <c r="L109" s="505" t="str">
        <f>IF(J109="","",IF(VLOOKUP(J109,'G-3 Multipliers'!$L$3:$N$6,3,FALSE)=0,"Spatial Data Missing ⚠",VLOOKUP(J109,'G-3 Multipliers'!$L$3:$N$6,3,FALSE)))</f>
        <v/>
      </c>
      <c r="M109" s="506" t="str">
        <f>IF(D109="","",VLOOKUP(D109,'G-6 Hedgerow Data'!$B$1:$AH$15,33,FALSE))</f>
        <v/>
      </c>
      <c r="N109" s="513" t="str">
        <f t="shared" si="9"/>
        <v/>
      </c>
      <c r="O109" s="40"/>
      <c r="P109" s="154"/>
      <c r="Q109" s="203"/>
      <c r="R109" s="532" t="str">
        <f t="shared" si="10"/>
        <v/>
      </c>
      <c r="S109" s="532" t="str">
        <f t="shared" si="11"/>
        <v/>
      </c>
      <c r="T109" s="532" t="str">
        <f t="shared" si="12"/>
        <v/>
      </c>
      <c r="U109" s="557"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8" x14ac:dyDescent="0.25">
      <c r="B110" s="141">
        <v>101</v>
      </c>
      <c r="C110" s="203"/>
      <c r="D110" s="203"/>
      <c r="E110" s="153"/>
      <c r="F110" s="553" t="str">
        <f>IF(D110="","",VLOOKUP(D110,'G-6 Hedgerow Data'!$B$2:$AG$15,2,FALSE))</f>
        <v/>
      </c>
      <c r="G110" s="499" t="str">
        <f>IF(D110="","",VLOOKUP(D110,'G-6 Hedgerow Data'!$B$2:$AG$15,3,FALSE))</f>
        <v/>
      </c>
      <c r="H110" s="145"/>
      <c r="I110" s="499" t="str">
        <f>IFERROR(VLOOKUP(H110,'G-1 All Habitats'!$Z$2:$AA$9,2,FALSE),"")</f>
        <v/>
      </c>
      <c r="J110" s="145"/>
      <c r="K110" s="507" t="str">
        <f>IF(J110="","",IF(VLOOKUP(J110,'G-3 Multipliers'!$L$3:$N$6,2,FALSE)=0,"Spatial Data Missing",VLOOKUP(J110,'G-3 Multipliers'!$L$3:$N$6,2,FALSE)))</f>
        <v/>
      </c>
      <c r="L110" s="505" t="str">
        <f>IF(J110="","",IF(VLOOKUP(J110,'G-3 Multipliers'!$L$3:$N$6,3,FALSE)=0,"Spatial Data Missing ⚠",VLOOKUP(J110,'G-3 Multipliers'!$L$3:$N$6,3,FALSE)))</f>
        <v/>
      </c>
      <c r="M110" s="506" t="str">
        <f>IF(D110="","",VLOOKUP(D110,'G-6 Hedgerow Data'!$B$1:$AH$15,33,FALSE))</f>
        <v/>
      </c>
      <c r="N110" s="513" t="str">
        <f t="shared" si="9"/>
        <v/>
      </c>
      <c r="O110" s="40"/>
      <c r="P110" s="154"/>
      <c r="Q110" s="203"/>
      <c r="R110" s="532" t="str">
        <f t="shared" si="10"/>
        <v/>
      </c>
      <c r="S110" s="532" t="str">
        <f t="shared" si="11"/>
        <v/>
      </c>
      <c r="T110" s="532" t="str">
        <f t="shared" si="12"/>
        <v/>
      </c>
      <c r="U110" s="557"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8" x14ac:dyDescent="0.25">
      <c r="B111" s="141">
        <v>102</v>
      </c>
      <c r="C111" s="203"/>
      <c r="D111" s="203"/>
      <c r="E111" s="153"/>
      <c r="F111" s="553" t="str">
        <f>IF(D111="","",VLOOKUP(D111,'G-6 Hedgerow Data'!$B$2:$AG$15,2,FALSE))</f>
        <v/>
      </c>
      <c r="G111" s="499" t="str">
        <f>IF(D111="","",VLOOKUP(D111,'G-6 Hedgerow Data'!$B$2:$AG$15,3,FALSE))</f>
        <v/>
      </c>
      <c r="H111" s="145"/>
      <c r="I111" s="499" t="str">
        <f>IFERROR(VLOOKUP(H111,'G-1 All Habitats'!$Z$2:$AA$9,2,FALSE),"")</f>
        <v/>
      </c>
      <c r="J111" s="145"/>
      <c r="K111" s="507" t="str">
        <f>IF(J111="","",IF(VLOOKUP(J111,'G-3 Multipliers'!$L$3:$N$6,2,FALSE)=0,"Spatial Data Missing",VLOOKUP(J111,'G-3 Multipliers'!$L$3:$N$6,2,FALSE)))</f>
        <v/>
      </c>
      <c r="L111" s="505" t="str">
        <f>IF(J111="","",IF(VLOOKUP(J111,'G-3 Multipliers'!$L$3:$N$6,3,FALSE)=0,"Spatial Data Missing ⚠",VLOOKUP(J111,'G-3 Multipliers'!$L$3:$N$6,3,FALSE)))</f>
        <v/>
      </c>
      <c r="M111" s="506" t="str">
        <f>IF(D111="","",VLOOKUP(D111,'G-6 Hedgerow Data'!$B$1:$AH$15,33,FALSE))</f>
        <v/>
      </c>
      <c r="N111" s="513" t="str">
        <f t="shared" si="9"/>
        <v/>
      </c>
      <c r="O111" s="40"/>
      <c r="P111" s="154"/>
      <c r="Q111" s="203"/>
      <c r="R111" s="532" t="str">
        <f t="shared" si="10"/>
        <v/>
      </c>
      <c r="S111" s="532" t="str">
        <f t="shared" si="11"/>
        <v/>
      </c>
      <c r="T111" s="532" t="str">
        <f t="shared" si="12"/>
        <v/>
      </c>
      <c r="U111" s="557"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8" x14ac:dyDescent="0.25">
      <c r="B112" s="141">
        <v>103</v>
      </c>
      <c r="C112" s="203"/>
      <c r="D112" s="203"/>
      <c r="E112" s="153"/>
      <c r="F112" s="553" t="str">
        <f>IF(D112="","",VLOOKUP(D112,'G-6 Hedgerow Data'!$B$2:$AG$15,2,FALSE))</f>
        <v/>
      </c>
      <c r="G112" s="499" t="str">
        <f>IF(D112="","",VLOOKUP(D112,'G-6 Hedgerow Data'!$B$2:$AG$15,3,FALSE))</f>
        <v/>
      </c>
      <c r="H112" s="145"/>
      <c r="I112" s="499" t="str">
        <f>IFERROR(VLOOKUP(H112,'G-1 All Habitats'!$Z$2:$AA$9,2,FALSE),"")</f>
        <v/>
      </c>
      <c r="J112" s="145"/>
      <c r="K112" s="507" t="str">
        <f>IF(J112="","",IF(VLOOKUP(J112,'G-3 Multipliers'!$L$3:$N$6,2,FALSE)=0,"Spatial Data Missing",VLOOKUP(J112,'G-3 Multipliers'!$L$3:$N$6,2,FALSE)))</f>
        <v/>
      </c>
      <c r="L112" s="505" t="str">
        <f>IF(J112="","",IF(VLOOKUP(J112,'G-3 Multipliers'!$L$3:$N$6,3,FALSE)=0,"Spatial Data Missing ⚠",VLOOKUP(J112,'G-3 Multipliers'!$L$3:$N$6,3,FALSE)))</f>
        <v/>
      </c>
      <c r="M112" s="506" t="str">
        <f>IF(D112="","",VLOOKUP(D112,'G-6 Hedgerow Data'!$B$1:$AH$15,33,FALSE))</f>
        <v/>
      </c>
      <c r="N112" s="513" t="str">
        <f t="shared" si="9"/>
        <v/>
      </c>
      <c r="O112" s="40"/>
      <c r="P112" s="154"/>
      <c r="Q112" s="203"/>
      <c r="R112" s="532" t="str">
        <f t="shared" si="10"/>
        <v/>
      </c>
      <c r="S112" s="532" t="str">
        <f t="shared" si="11"/>
        <v/>
      </c>
      <c r="T112" s="532" t="str">
        <f t="shared" si="12"/>
        <v/>
      </c>
      <c r="U112" s="557"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8" x14ac:dyDescent="0.25">
      <c r="B113" s="141">
        <v>104</v>
      </c>
      <c r="C113" s="203"/>
      <c r="D113" s="203"/>
      <c r="E113" s="153"/>
      <c r="F113" s="553" t="str">
        <f>IF(D113="","",VLOOKUP(D113,'G-6 Hedgerow Data'!$B$2:$AG$15,2,FALSE))</f>
        <v/>
      </c>
      <c r="G113" s="499" t="str">
        <f>IF(D113="","",VLOOKUP(D113,'G-6 Hedgerow Data'!$B$2:$AG$15,3,FALSE))</f>
        <v/>
      </c>
      <c r="H113" s="145"/>
      <c r="I113" s="499" t="str">
        <f>IFERROR(VLOOKUP(H113,'G-1 All Habitats'!$Z$2:$AA$9,2,FALSE),"")</f>
        <v/>
      </c>
      <c r="J113" s="145"/>
      <c r="K113" s="507" t="str">
        <f>IF(J113="","",IF(VLOOKUP(J113,'G-3 Multipliers'!$L$3:$N$6,2,FALSE)=0,"Spatial Data Missing",VLOOKUP(J113,'G-3 Multipliers'!$L$3:$N$6,2,FALSE)))</f>
        <v/>
      </c>
      <c r="L113" s="505" t="str">
        <f>IF(J113="","",IF(VLOOKUP(J113,'G-3 Multipliers'!$L$3:$N$6,3,FALSE)=0,"Spatial Data Missing ⚠",VLOOKUP(J113,'G-3 Multipliers'!$L$3:$N$6,3,FALSE)))</f>
        <v/>
      </c>
      <c r="M113" s="506" t="str">
        <f>IF(D113="","",VLOOKUP(D113,'G-6 Hedgerow Data'!$B$1:$AH$15,33,FALSE))</f>
        <v/>
      </c>
      <c r="N113" s="513" t="str">
        <f t="shared" si="9"/>
        <v/>
      </c>
      <c r="O113" s="40"/>
      <c r="P113" s="154"/>
      <c r="Q113" s="203"/>
      <c r="R113" s="532" t="str">
        <f t="shared" si="10"/>
        <v/>
      </c>
      <c r="S113" s="532" t="str">
        <f t="shared" si="11"/>
        <v/>
      </c>
      <c r="T113" s="532" t="str">
        <f t="shared" si="12"/>
        <v/>
      </c>
      <c r="U113" s="557"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8" x14ac:dyDescent="0.25">
      <c r="B114" s="141">
        <v>105</v>
      </c>
      <c r="C114" s="203"/>
      <c r="D114" s="203"/>
      <c r="E114" s="153"/>
      <c r="F114" s="553" t="str">
        <f>IF(D114="","",VLOOKUP(D114,'G-6 Hedgerow Data'!$B$2:$AG$15,2,FALSE))</f>
        <v/>
      </c>
      <c r="G114" s="499" t="str">
        <f>IF(D114="","",VLOOKUP(D114,'G-6 Hedgerow Data'!$B$2:$AG$15,3,FALSE))</f>
        <v/>
      </c>
      <c r="H114" s="145"/>
      <c r="I114" s="499" t="str">
        <f>IFERROR(VLOOKUP(H114,'G-1 All Habitats'!$Z$2:$AA$9,2,FALSE),"")</f>
        <v/>
      </c>
      <c r="J114" s="145"/>
      <c r="K114" s="507" t="str">
        <f>IF(J114="","",IF(VLOOKUP(J114,'G-3 Multipliers'!$L$3:$N$6,2,FALSE)=0,"Spatial Data Missing",VLOOKUP(J114,'G-3 Multipliers'!$L$3:$N$6,2,FALSE)))</f>
        <v/>
      </c>
      <c r="L114" s="505" t="str">
        <f>IF(J114="","",IF(VLOOKUP(J114,'G-3 Multipliers'!$L$3:$N$6,3,FALSE)=0,"Spatial Data Missing ⚠",VLOOKUP(J114,'G-3 Multipliers'!$L$3:$N$6,3,FALSE)))</f>
        <v/>
      </c>
      <c r="M114" s="506" t="str">
        <f>IF(D114="","",VLOOKUP(D114,'G-6 Hedgerow Data'!$B$1:$AH$15,33,FALSE))</f>
        <v/>
      </c>
      <c r="N114" s="513" t="str">
        <f t="shared" si="9"/>
        <v/>
      </c>
      <c r="O114" s="40"/>
      <c r="P114" s="154"/>
      <c r="Q114" s="203"/>
      <c r="R114" s="532" t="str">
        <f t="shared" si="10"/>
        <v/>
      </c>
      <c r="S114" s="532" t="str">
        <f t="shared" si="11"/>
        <v/>
      </c>
      <c r="T114" s="532" t="str">
        <f t="shared" si="12"/>
        <v/>
      </c>
      <c r="U114" s="557"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8" x14ac:dyDescent="0.25">
      <c r="B115" s="141">
        <v>106</v>
      </c>
      <c r="C115" s="203"/>
      <c r="D115" s="203"/>
      <c r="E115" s="153"/>
      <c r="F115" s="553" t="str">
        <f>IF(D115="","",VLOOKUP(D115,'G-6 Hedgerow Data'!$B$2:$AG$15,2,FALSE))</f>
        <v/>
      </c>
      <c r="G115" s="499" t="str">
        <f>IF(D115="","",VLOOKUP(D115,'G-6 Hedgerow Data'!$B$2:$AG$15,3,FALSE))</f>
        <v/>
      </c>
      <c r="H115" s="145"/>
      <c r="I115" s="499" t="str">
        <f>IFERROR(VLOOKUP(H115,'G-1 All Habitats'!$Z$2:$AA$9,2,FALSE),"")</f>
        <v/>
      </c>
      <c r="J115" s="145"/>
      <c r="K115" s="507" t="str">
        <f>IF(J115="","",IF(VLOOKUP(J115,'G-3 Multipliers'!$L$3:$N$6,2,FALSE)=0,"Spatial Data Missing",VLOOKUP(J115,'G-3 Multipliers'!$L$3:$N$6,2,FALSE)))</f>
        <v/>
      </c>
      <c r="L115" s="505" t="str">
        <f>IF(J115="","",IF(VLOOKUP(J115,'G-3 Multipliers'!$L$3:$N$6,3,FALSE)=0,"Spatial Data Missing ⚠",VLOOKUP(J115,'G-3 Multipliers'!$L$3:$N$6,3,FALSE)))</f>
        <v/>
      </c>
      <c r="M115" s="506" t="str">
        <f>IF(D115="","",VLOOKUP(D115,'G-6 Hedgerow Data'!$B$1:$AH$15,33,FALSE))</f>
        <v/>
      </c>
      <c r="N115" s="513" t="str">
        <f t="shared" si="9"/>
        <v/>
      </c>
      <c r="O115" s="40"/>
      <c r="P115" s="154"/>
      <c r="Q115" s="203"/>
      <c r="R115" s="532" t="str">
        <f t="shared" si="10"/>
        <v/>
      </c>
      <c r="S115" s="532" t="str">
        <f t="shared" si="11"/>
        <v/>
      </c>
      <c r="T115" s="532" t="str">
        <f t="shared" si="12"/>
        <v/>
      </c>
      <c r="U115" s="557"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8" x14ac:dyDescent="0.25">
      <c r="B116" s="141">
        <v>107</v>
      </c>
      <c r="C116" s="203"/>
      <c r="D116" s="203"/>
      <c r="E116" s="153"/>
      <c r="F116" s="553" t="str">
        <f>IF(D116="","",VLOOKUP(D116,'G-6 Hedgerow Data'!$B$2:$AG$15,2,FALSE))</f>
        <v/>
      </c>
      <c r="G116" s="499" t="str">
        <f>IF(D116="","",VLOOKUP(D116,'G-6 Hedgerow Data'!$B$2:$AG$15,3,FALSE))</f>
        <v/>
      </c>
      <c r="H116" s="145"/>
      <c r="I116" s="499" t="str">
        <f>IFERROR(VLOOKUP(H116,'G-1 All Habitats'!$Z$2:$AA$9,2,FALSE),"")</f>
        <v/>
      </c>
      <c r="J116" s="145"/>
      <c r="K116" s="507" t="str">
        <f>IF(J116="","",IF(VLOOKUP(J116,'G-3 Multipliers'!$L$3:$N$6,2,FALSE)=0,"Spatial Data Missing",VLOOKUP(J116,'G-3 Multipliers'!$L$3:$N$6,2,FALSE)))</f>
        <v/>
      </c>
      <c r="L116" s="505" t="str">
        <f>IF(J116="","",IF(VLOOKUP(J116,'G-3 Multipliers'!$L$3:$N$6,3,FALSE)=0,"Spatial Data Missing ⚠",VLOOKUP(J116,'G-3 Multipliers'!$L$3:$N$6,3,FALSE)))</f>
        <v/>
      </c>
      <c r="M116" s="506" t="str">
        <f>IF(D116="","",VLOOKUP(D116,'G-6 Hedgerow Data'!$B$1:$AH$15,33,FALSE))</f>
        <v/>
      </c>
      <c r="N116" s="513" t="str">
        <f t="shared" si="9"/>
        <v/>
      </c>
      <c r="O116" s="40"/>
      <c r="P116" s="154"/>
      <c r="Q116" s="203"/>
      <c r="R116" s="532" t="str">
        <f t="shared" si="10"/>
        <v/>
      </c>
      <c r="S116" s="532" t="str">
        <f t="shared" si="11"/>
        <v/>
      </c>
      <c r="T116" s="532" t="str">
        <f t="shared" si="12"/>
        <v/>
      </c>
      <c r="U116" s="557"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8" x14ac:dyDescent="0.25">
      <c r="B117" s="141">
        <v>108</v>
      </c>
      <c r="C117" s="203"/>
      <c r="D117" s="203"/>
      <c r="E117" s="153"/>
      <c r="F117" s="553" t="str">
        <f>IF(D117="","",VLOOKUP(D117,'G-6 Hedgerow Data'!$B$2:$AG$15,2,FALSE))</f>
        <v/>
      </c>
      <c r="G117" s="499" t="str">
        <f>IF(D117="","",VLOOKUP(D117,'G-6 Hedgerow Data'!$B$2:$AG$15,3,FALSE))</f>
        <v/>
      </c>
      <c r="H117" s="145"/>
      <c r="I117" s="499" t="str">
        <f>IFERROR(VLOOKUP(H117,'G-1 All Habitats'!$Z$2:$AA$9,2,FALSE),"")</f>
        <v/>
      </c>
      <c r="J117" s="145"/>
      <c r="K117" s="507" t="str">
        <f>IF(J117="","",IF(VLOOKUP(J117,'G-3 Multipliers'!$L$3:$N$6,2,FALSE)=0,"Spatial Data Missing",VLOOKUP(J117,'G-3 Multipliers'!$L$3:$N$6,2,FALSE)))</f>
        <v/>
      </c>
      <c r="L117" s="505" t="str">
        <f>IF(J117="","",IF(VLOOKUP(J117,'G-3 Multipliers'!$L$3:$N$6,3,FALSE)=0,"Spatial Data Missing ⚠",VLOOKUP(J117,'G-3 Multipliers'!$L$3:$N$6,3,FALSE)))</f>
        <v/>
      </c>
      <c r="M117" s="506" t="str">
        <f>IF(D117="","",VLOOKUP(D117,'G-6 Hedgerow Data'!$B$1:$AH$15,33,FALSE))</f>
        <v/>
      </c>
      <c r="N117" s="513" t="str">
        <f t="shared" si="9"/>
        <v/>
      </c>
      <c r="O117" s="40"/>
      <c r="P117" s="154"/>
      <c r="Q117" s="203"/>
      <c r="R117" s="532" t="str">
        <f t="shared" si="10"/>
        <v/>
      </c>
      <c r="S117" s="532" t="str">
        <f t="shared" si="11"/>
        <v/>
      </c>
      <c r="T117" s="532" t="str">
        <f t="shared" si="12"/>
        <v/>
      </c>
      <c r="U117" s="557"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8" x14ac:dyDescent="0.25">
      <c r="B118" s="141">
        <v>109</v>
      </c>
      <c r="C118" s="203"/>
      <c r="D118" s="203"/>
      <c r="E118" s="153"/>
      <c r="F118" s="553" t="str">
        <f>IF(D118="","",VLOOKUP(D118,'G-6 Hedgerow Data'!$B$2:$AG$15,2,FALSE))</f>
        <v/>
      </c>
      <c r="G118" s="499" t="str">
        <f>IF(D118="","",VLOOKUP(D118,'G-6 Hedgerow Data'!$B$2:$AG$15,3,FALSE))</f>
        <v/>
      </c>
      <c r="H118" s="145"/>
      <c r="I118" s="499" t="str">
        <f>IFERROR(VLOOKUP(H118,'G-1 All Habitats'!$Z$2:$AA$9,2,FALSE),"")</f>
        <v/>
      </c>
      <c r="J118" s="145"/>
      <c r="K118" s="507" t="str">
        <f>IF(J118="","",IF(VLOOKUP(J118,'G-3 Multipliers'!$L$3:$N$6,2,FALSE)=0,"Spatial Data Missing",VLOOKUP(J118,'G-3 Multipliers'!$L$3:$N$6,2,FALSE)))</f>
        <v/>
      </c>
      <c r="L118" s="505" t="str">
        <f>IF(J118="","",IF(VLOOKUP(J118,'G-3 Multipliers'!$L$3:$N$6,3,FALSE)=0,"Spatial Data Missing ⚠",VLOOKUP(J118,'G-3 Multipliers'!$L$3:$N$6,3,FALSE)))</f>
        <v/>
      </c>
      <c r="M118" s="506" t="str">
        <f>IF(D118="","",VLOOKUP(D118,'G-6 Hedgerow Data'!$B$1:$AH$15,33,FALSE))</f>
        <v/>
      </c>
      <c r="N118" s="513" t="str">
        <f t="shared" si="9"/>
        <v/>
      </c>
      <c r="O118" s="40"/>
      <c r="P118" s="154"/>
      <c r="Q118" s="203"/>
      <c r="R118" s="532" t="str">
        <f t="shared" si="10"/>
        <v/>
      </c>
      <c r="S118" s="532" t="str">
        <f t="shared" si="11"/>
        <v/>
      </c>
      <c r="T118" s="532" t="str">
        <f t="shared" si="12"/>
        <v/>
      </c>
      <c r="U118" s="557"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8" x14ac:dyDescent="0.25">
      <c r="B119" s="141">
        <v>110</v>
      </c>
      <c r="C119" s="203"/>
      <c r="D119" s="203"/>
      <c r="E119" s="153"/>
      <c r="F119" s="553" t="str">
        <f>IF(D119="","",VLOOKUP(D119,'G-6 Hedgerow Data'!$B$2:$AG$15,2,FALSE))</f>
        <v/>
      </c>
      <c r="G119" s="499" t="str">
        <f>IF(D119="","",VLOOKUP(D119,'G-6 Hedgerow Data'!$B$2:$AG$15,3,FALSE))</f>
        <v/>
      </c>
      <c r="H119" s="145"/>
      <c r="I119" s="499" t="str">
        <f>IFERROR(VLOOKUP(H119,'G-1 All Habitats'!$Z$2:$AA$9,2,FALSE),"")</f>
        <v/>
      </c>
      <c r="J119" s="145"/>
      <c r="K119" s="507" t="str">
        <f>IF(J119="","",IF(VLOOKUP(J119,'G-3 Multipliers'!$L$3:$N$6,2,FALSE)=0,"Spatial Data Missing",VLOOKUP(J119,'G-3 Multipliers'!$L$3:$N$6,2,FALSE)))</f>
        <v/>
      </c>
      <c r="L119" s="505" t="str">
        <f>IF(J119="","",IF(VLOOKUP(J119,'G-3 Multipliers'!$L$3:$N$6,3,FALSE)=0,"Spatial Data Missing ⚠",VLOOKUP(J119,'G-3 Multipliers'!$L$3:$N$6,3,FALSE)))</f>
        <v/>
      </c>
      <c r="M119" s="506" t="str">
        <f>IF(D119="","",VLOOKUP(D119,'G-6 Hedgerow Data'!$B$1:$AH$15,33,FALSE))</f>
        <v/>
      </c>
      <c r="N119" s="513" t="str">
        <f t="shared" si="9"/>
        <v/>
      </c>
      <c r="O119" s="40"/>
      <c r="P119" s="154"/>
      <c r="Q119" s="203"/>
      <c r="R119" s="532" t="str">
        <f t="shared" si="10"/>
        <v/>
      </c>
      <c r="S119" s="532" t="str">
        <f t="shared" si="11"/>
        <v/>
      </c>
      <c r="T119" s="532" t="str">
        <f t="shared" si="12"/>
        <v/>
      </c>
      <c r="U119" s="557"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8" x14ac:dyDescent="0.25">
      <c r="B120" s="141">
        <v>111</v>
      </c>
      <c r="C120" s="203"/>
      <c r="D120" s="203"/>
      <c r="E120" s="153"/>
      <c r="F120" s="553" t="str">
        <f>IF(D120="","",VLOOKUP(D120,'G-6 Hedgerow Data'!$B$2:$AG$15,2,FALSE))</f>
        <v/>
      </c>
      <c r="G120" s="499" t="str">
        <f>IF(D120="","",VLOOKUP(D120,'G-6 Hedgerow Data'!$B$2:$AG$15,3,FALSE))</f>
        <v/>
      </c>
      <c r="H120" s="145"/>
      <c r="I120" s="499" t="str">
        <f>IFERROR(VLOOKUP(H120,'G-1 All Habitats'!$Z$2:$AA$9,2,FALSE),"")</f>
        <v/>
      </c>
      <c r="J120" s="145"/>
      <c r="K120" s="507" t="str">
        <f>IF(J120="","",IF(VLOOKUP(J120,'G-3 Multipliers'!$L$3:$N$6,2,FALSE)=0,"Spatial Data Missing",VLOOKUP(J120,'G-3 Multipliers'!$L$3:$N$6,2,FALSE)))</f>
        <v/>
      </c>
      <c r="L120" s="505" t="str">
        <f>IF(J120="","",IF(VLOOKUP(J120,'G-3 Multipliers'!$L$3:$N$6,3,FALSE)=0,"Spatial Data Missing ⚠",VLOOKUP(J120,'G-3 Multipliers'!$L$3:$N$6,3,FALSE)))</f>
        <v/>
      </c>
      <c r="M120" s="506" t="str">
        <f>IF(D120="","",VLOOKUP(D120,'G-6 Hedgerow Data'!$B$1:$AH$15,33,FALSE))</f>
        <v/>
      </c>
      <c r="N120" s="513" t="str">
        <f t="shared" si="9"/>
        <v/>
      </c>
      <c r="O120" s="40"/>
      <c r="P120" s="154"/>
      <c r="Q120" s="203"/>
      <c r="R120" s="532" t="str">
        <f t="shared" si="10"/>
        <v/>
      </c>
      <c r="S120" s="532" t="str">
        <f t="shared" si="11"/>
        <v/>
      </c>
      <c r="T120" s="532" t="str">
        <f t="shared" si="12"/>
        <v/>
      </c>
      <c r="U120" s="557"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8" x14ac:dyDescent="0.25">
      <c r="B121" s="141">
        <v>112</v>
      </c>
      <c r="C121" s="203"/>
      <c r="D121" s="203"/>
      <c r="E121" s="153"/>
      <c r="F121" s="553" t="str">
        <f>IF(D121="","",VLOOKUP(D121,'G-6 Hedgerow Data'!$B$2:$AG$15,2,FALSE))</f>
        <v/>
      </c>
      <c r="G121" s="499" t="str">
        <f>IF(D121="","",VLOOKUP(D121,'G-6 Hedgerow Data'!$B$2:$AG$15,3,FALSE))</f>
        <v/>
      </c>
      <c r="H121" s="145"/>
      <c r="I121" s="499" t="str">
        <f>IFERROR(VLOOKUP(H121,'G-1 All Habitats'!$Z$2:$AA$9,2,FALSE),"")</f>
        <v/>
      </c>
      <c r="J121" s="145"/>
      <c r="K121" s="507" t="str">
        <f>IF(J121="","",IF(VLOOKUP(J121,'G-3 Multipliers'!$L$3:$N$6,2,FALSE)=0,"Spatial Data Missing",VLOOKUP(J121,'G-3 Multipliers'!$L$3:$N$6,2,FALSE)))</f>
        <v/>
      </c>
      <c r="L121" s="505" t="str">
        <f>IF(J121="","",IF(VLOOKUP(J121,'G-3 Multipliers'!$L$3:$N$6,3,FALSE)=0,"Spatial Data Missing ⚠",VLOOKUP(J121,'G-3 Multipliers'!$L$3:$N$6,3,FALSE)))</f>
        <v/>
      </c>
      <c r="M121" s="506" t="str">
        <f>IF(D121="","",VLOOKUP(D121,'G-6 Hedgerow Data'!$B$1:$AH$15,33,FALSE))</f>
        <v/>
      </c>
      <c r="N121" s="513" t="str">
        <f t="shared" si="9"/>
        <v/>
      </c>
      <c r="O121" s="40"/>
      <c r="P121" s="154"/>
      <c r="Q121" s="203"/>
      <c r="R121" s="532" t="str">
        <f t="shared" si="10"/>
        <v/>
      </c>
      <c r="S121" s="532" t="str">
        <f t="shared" si="11"/>
        <v/>
      </c>
      <c r="T121" s="532" t="str">
        <f t="shared" si="12"/>
        <v/>
      </c>
      <c r="U121" s="557"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8" x14ac:dyDescent="0.25">
      <c r="B122" s="141">
        <v>113</v>
      </c>
      <c r="C122" s="203"/>
      <c r="D122" s="203"/>
      <c r="E122" s="153"/>
      <c r="F122" s="553" t="str">
        <f>IF(D122="","",VLOOKUP(D122,'G-6 Hedgerow Data'!$B$2:$AG$15,2,FALSE))</f>
        <v/>
      </c>
      <c r="G122" s="499" t="str">
        <f>IF(D122="","",VLOOKUP(D122,'G-6 Hedgerow Data'!$B$2:$AG$15,3,FALSE))</f>
        <v/>
      </c>
      <c r="H122" s="145"/>
      <c r="I122" s="499" t="str">
        <f>IFERROR(VLOOKUP(H122,'G-1 All Habitats'!$Z$2:$AA$9,2,FALSE),"")</f>
        <v/>
      </c>
      <c r="J122" s="145"/>
      <c r="K122" s="507" t="str">
        <f>IF(J122="","",IF(VLOOKUP(J122,'G-3 Multipliers'!$L$3:$N$6,2,FALSE)=0,"Spatial Data Missing",VLOOKUP(J122,'G-3 Multipliers'!$L$3:$N$6,2,FALSE)))</f>
        <v/>
      </c>
      <c r="L122" s="505" t="str">
        <f>IF(J122="","",IF(VLOOKUP(J122,'G-3 Multipliers'!$L$3:$N$6,3,FALSE)=0,"Spatial Data Missing ⚠",VLOOKUP(J122,'G-3 Multipliers'!$L$3:$N$6,3,FALSE)))</f>
        <v/>
      </c>
      <c r="M122" s="506" t="str">
        <f>IF(D122="","",VLOOKUP(D122,'G-6 Hedgerow Data'!$B$1:$AH$15,33,FALSE))</f>
        <v/>
      </c>
      <c r="N122" s="513" t="str">
        <f t="shared" si="9"/>
        <v/>
      </c>
      <c r="O122" s="40"/>
      <c r="P122" s="154"/>
      <c r="Q122" s="203"/>
      <c r="R122" s="532" t="str">
        <f t="shared" si="10"/>
        <v/>
      </c>
      <c r="S122" s="532" t="str">
        <f t="shared" si="11"/>
        <v/>
      </c>
      <c r="T122" s="532" t="str">
        <f t="shared" si="12"/>
        <v/>
      </c>
      <c r="U122" s="557"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8" x14ac:dyDescent="0.25">
      <c r="B123" s="141">
        <v>114</v>
      </c>
      <c r="C123" s="203"/>
      <c r="D123" s="203"/>
      <c r="E123" s="153"/>
      <c r="F123" s="553" t="str">
        <f>IF(D123="","",VLOOKUP(D123,'G-6 Hedgerow Data'!$B$2:$AG$15,2,FALSE))</f>
        <v/>
      </c>
      <c r="G123" s="499" t="str">
        <f>IF(D123="","",VLOOKUP(D123,'G-6 Hedgerow Data'!$B$2:$AG$15,3,FALSE))</f>
        <v/>
      </c>
      <c r="H123" s="145"/>
      <c r="I123" s="499" t="str">
        <f>IFERROR(VLOOKUP(H123,'G-1 All Habitats'!$Z$2:$AA$9,2,FALSE),"")</f>
        <v/>
      </c>
      <c r="J123" s="145"/>
      <c r="K123" s="507" t="str">
        <f>IF(J123="","",IF(VLOOKUP(J123,'G-3 Multipliers'!$L$3:$N$6,2,FALSE)=0,"Spatial Data Missing",VLOOKUP(J123,'G-3 Multipliers'!$L$3:$N$6,2,FALSE)))</f>
        <v/>
      </c>
      <c r="L123" s="505" t="str">
        <f>IF(J123="","",IF(VLOOKUP(J123,'G-3 Multipliers'!$L$3:$N$6,3,FALSE)=0,"Spatial Data Missing ⚠",VLOOKUP(J123,'G-3 Multipliers'!$L$3:$N$6,3,FALSE)))</f>
        <v/>
      </c>
      <c r="M123" s="506" t="str">
        <f>IF(D123="","",VLOOKUP(D123,'G-6 Hedgerow Data'!$B$1:$AH$15,33,FALSE))</f>
        <v/>
      </c>
      <c r="N123" s="513" t="str">
        <f t="shared" si="9"/>
        <v/>
      </c>
      <c r="O123" s="40"/>
      <c r="P123" s="154"/>
      <c r="Q123" s="203"/>
      <c r="R123" s="532" t="str">
        <f t="shared" si="10"/>
        <v/>
      </c>
      <c r="S123" s="532" t="str">
        <f t="shared" si="11"/>
        <v/>
      </c>
      <c r="T123" s="532" t="str">
        <f t="shared" si="12"/>
        <v/>
      </c>
      <c r="U123" s="557"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8" x14ac:dyDescent="0.25">
      <c r="B124" s="141">
        <v>115</v>
      </c>
      <c r="C124" s="203"/>
      <c r="D124" s="203"/>
      <c r="E124" s="153"/>
      <c r="F124" s="553" t="str">
        <f>IF(D124="","",VLOOKUP(D124,'G-6 Hedgerow Data'!$B$2:$AG$15,2,FALSE))</f>
        <v/>
      </c>
      <c r="G124" s="499" t="str">
        <f>IF(D124="","",VLOOKUP(D124,'G-6 Hedgerow Data'!$B$2:$AG$15,3,FALSE))</f>
        <v/>
      </c>
      <c r="H124" s="145"/>
      <c r="I124" s="499" t="str">
        <f>IFERROR(VLOOKUP(H124,'G-1 All Habitats'!$Z$2:$AA$9,2,FALSE),"")</f>
        <v/>
      </c>
      <c r="J124" s="145"/>
      <c r="K124" s="507" t="str">
        <f>IF(J124="","",IF(VLOOKUP(J124,'G-3 Multipliers'!$L$3:$N$6,2,FALSE)=0,"Spatial Data Missing",VLOOKUP(J124,'G-3 Multipliers'!$L$3:$N$6,2,FALSE)))</f>
        <v/>
      </c>
      <c r="L124" s="505" t="str">
        <f>IF(J124="","",IF(VLOOKUP(J124,'G-3 Multipliers'!$L$3:$N$6,3,FALSE)=0,"Spatial Data Missing ⚠",VLOOKUP(J124,'G-3 Multipliers'!$L$3:$N$6,3,FALSE)))</f>
        <v/>
      </c>
      <c r="M124" s="506" t="str">
        <f>IF(D124="","",VLOOKUP(D124,'G-6 Hedgerow Data'!$B$1:$AH$15,33,FALSE))</f>
        <v/>
      </c>
      <c r="N124" s="513" t="str">
        <f t="shared" si="9"/>
        <v/>
      </c>
      <c r="O124" s="40"/>
      <c r="P124" s="154"/>
      <c r="Q124" s="203"/>
      <c r="R124" s="532" t="str">
        <f t="shared" si="10"/>
        <v/>
      </c>
      <c r="S124" s="532" t="str">
        <f t="shared" si="11"/>
        <v/>
      </c>
      <c r="T124" s="532" t="str">
        <f t="shared" si="12"/>
        <v/>
      </c>
      <c r="U124" s="557"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8" x14ac:dyDescent="0.25">
      <c r="B125" s="141">
        <v>116</v>
      </c>
      <c r="C125" s="203"/>
      <c r="D125" s="203"/>
      <c r="E125" s="153"/>
      <c r="F125" s="553" t="str">
        <f>IF(D125="","",VLOOKUP(D125,'G-6 Hedgerow Data'!$B$2:$AG$15,2,FALSE))</f>
        <v/>
      </c>
      <c r="G125" s="499" t="str">
        <f>IF(D125="","",VLOOKUP(D125,'G-6 Hedgerow Data'!$B$2:$AG$15,3,FALSE))</f>
        <v/>
      </c>
      <c r="H125" s="145"/>
      <c r="I125" s="499" t="str">
        <f>IFERROR(VLOOKUP(H125,'G-1 All Habitats'!$Z$2:$AA$9,2,FALSE),"")</f>
        <v/>
      </c>
      <c r="J125" s="145"/>
      <c r="K125" s="507" t="str">
        <f>IF(J125="","",IF(VLOOKUP(J125,'G-3 Multipliers'!$L$3:$N$6,2,FALSE)=0,"Spatial Data Missing",VLOOKUP(J125,'G-3 Multipliers'!$L$3:$N$6,2,FALSE)))</f>
        <v/>
      </c>
      <c r="L125" s="505" t="str">
        <f>IF(J125="","",IF(VLOOKUP(J125,'G-3 Multipliers'!$L$3:$N$6,3,FALSE)=0,"Spatial Data Missing ⚠",VLOOKUP(J125,'G-3 Multipliers'!$L$3:$N$6,3,FALSE)))</f>
        <v/>
      </c>
      <c r="M125" s="506" t="str">
        <f>IF(D125="","",VLOOKUP(D125,'G-6 Hedgerow Data'!$B$1:$AH$15,33,FALSE))</f>
        <v/>
      </c>
      <c r="N125" s="513" t="str">
        <f t="shared" si="9"/>
        <v/>
      </c>
      <c r="O125" s="40"/>
      <c r="P125" s="154"/>
      <c r="Q125" s="203"/>
      <c r="R125" s="532" t="str">
        <f t="shared" si="10"/>
        <v/>
      </c>
      <c r="S125" s="532" t="str">
        <f t="shared" si="11"/>
        <v/>
      </c>
      <c r="T125" s="532" t="str">
        <f t="shared" si="12"/>
        <v/>
      </c>
      <c r="U125" s="557"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8" x14ac:dyDescent="0.25">
      <c r="B126" s="141">
        <v>117</v>
      </c>
      <c r="C126" s="203"/>
      <c r="D126" s="203"/>
      <c r="E126" s="153"/>
      <c r="F126" s="553" t="str">
        <f>IF(D126="","",VLOOKUP(D126,'G-6 Hedgerow Data'!$B$2:$AG$15,2,FALSE))</f>
        <v/>
      </c>
      <c r="G126" s="499" t="str">
        <f>IF(D126="","",VLOOKUP(D126,'G-6 Hedgerow Data'!$B$2:$AG$15,3,FALSE))</f>
        <v/>
      </c>
      <c r="H126" s="145"/>
      <c r="I126" s="499" t="str">
        <f>IFERROR(VLOOKUP(H126,'G-1 All Habitats'!$Z$2:$AA$9,2,FALSE),"")</f>
        <v/>
      </c>
      <c r="J126" s="145"/>
      <c r="K126" s="507" t="str">
        <f>IF(J126="","",IF(VLOOKUP(J126,'G-3 Multipliers'!$L$3:$N$6,2,FALSE)=0,"Spatial Data Missing",VLOOKUP(J126,'G-3 Multipliers'!$L$3:$N$6,2,FALSE)))</f>
        <v/>
      </c>
      <c r="L126" s="505" t="str">
        <f>IF(J126="","",IF(VLOOKUP(J126,'G-3 Multipliers'!$L$3:$N$6,3,FALSE)=0,"Spatial Data Missing ⚠",VLOOKUP(J126,'G-3 Multipliers'!$L$3:$N$6,3,FALSE)))</f>
        <v/>
      </c>
      <c r="M126" s="506" t="str">
        <f>IF(D126="","",VLOOKUP(D126,'G-6 Hedgerow Data'!$B$1:$AH$15,33,FALSE))</f>
        <v/>
      </c>
      <c r="N126" s="513" t="str">
        <f t="shared" si="9"/>
        <v/>
      </c>
      <c r="O126" s="40"/>
      <c r="P126" s="154"/>
      <c r="Q126" s="203"/>
      <c r="R126" s="532" t="str">
        <f t="shared" si="10"/>
        <v/>
      </c>
      <c r="S126" s="532" t="str">
        <f t="shared" si="11"/>
        <v/>
      </c>
      <c r="T126" s="532" t="str">
        <f t="shared" si="12"/>
        <v/>
      </c>
      <c r="U126" s="557"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8" x14ac:dyDescent="0.25">
      <c r="B127" s="141">
        <v>118</v>
      </c>
      <c r="C127" s="203"/>
      <c r="D127" s="203"/>
      <c r="E127" s="153"/>
      <c r="F127" s="553" t="str">
        <f>IF(D127="","",VLOOKUP(D127,'G-6 Hedgerow Data'!$B$2:$AG$15,2,FALSE))</f>
        <v/>
      </c>
      <c r="G127" s="499" t="str">
        <f>IF(D127="","",VLOOKUP(D127,'G-6 Hedgerow Data'!$B$2:$AG$15,3,FALSE))</f>
        <v/>
      </c>
      <c r="H127" s="145"/>
      <c r="I127" s="499" t="str">
        <f>IFERROR(VLOOKUP(H127,'G-1 All Habitats'!$Z$2:$AA$9,2,FALSE),"")</f>
        <v/>
      </c>
      <c r="J127" s="145"/>
      <c r="K127" s="507" t="str">
        <f>IF(J127="","",IF(VLOOKUP(J127,'G-3 Multipliers'!$L$3:$N$6,2,FALSE)=0,"Spatial Data Missing",VLOOKUP(J127,'G-3 Multipliers'!$L$3:$N$6,2,FALSE)))</f>
        <v/>
      </c>
      <c r="L127" s="505" t="str">
        <f>IF(J127="","",IF(VLOOKUP(J127,'G-3 Multipliers'!$L$3:$N$6,3,FALSE)=0,"Spatial Data Missing ⚠",VLOOKUP(J127,'G-3 Multipliers'!$L$3:$N$6,3,FALSE)))</f>
        <v/>
      </c>
      <c r="M127" s="506" t="str">
        <f>IF(D127="","",VLOOKUP(D127,'G-6 Hedgerow Data'!$B$1:$AH$15,33,FALSE))</f>
        <v/>
      </c>
      <c r="N127" s="513" t="str">
        <f t="shared" si="9"/>
        <v/>
      </c>
      <c r="O127" s="40"/>
      <c r="P127" s="154"/>
      <c r="Q127" s="203"/>
      <c r="R127" s="532" t="str">
        <f t="shared" si="10"/>
        <v/>
      </c>
      <c r="S127" s="532" t="str">
        <f t="shared" si="11"/>
        <v/>
      </c>
      <c r="T127" s="532" t="str">
        <f t="shared" si="12"/>
        <v/>
      </c>
      <c r="U127" s="557"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8" x14ac:dyDescent="0.25">
      <c r="B128" s="141">
        <v>119</v>
      </c>
      <c r="C128" s="203"/>
      <c r="D128" s="203"/>
      <c r="E128" s="153"/>
      <c r="F128" s="553" t="str">
        <f>IF(D128="","",VLOOKUP(D128,'G-6 Hedgerow Data'!$B$2:$AG$15,2,FALSE))</f>
        <v/>
      </c>
      <c r="G128" s="499" t="str">
        <f>IF(D128="","",VLOOKUP(D128,'G-6 Hedgerow Data'!$B$2:$AG$15,3,FALSE))</f>
        <v/>
      </c>
      <c r="H128" s="145"/>
      <c r="I128" s="499" t="str">
        <f>IFERROR(VLOOKUP(H128,'G-1 All Habitats'!$Z$2:$AA$9,2,FALSE),"")</f>
        <v/>
      </c>
      <c r="J128" s="145"/>
      <c r="K128" s="507" t="str">
        <f>IF(J128="","",IF(VLOOKUP(J128,'G-3 Multipliers'!$L$3:$N$6,2,FALSE)=0,"Spatial Data Missing",VLOOKUP(J128,'G-3 Multipliers'!$L$3:$N$6,2,FALSE)))</f>
        <v/>
      </c>
      <c r="L128" s="505" t="str">
        <f>IF(J128="","",IF(VLOOKUP(J128,'G-3 Multipliers'!$L$3:$N$6,3,FALSE)=0,"Spatial Data Missing ⚠",VLOOKUP(J128,'G-3 Multipliers'!$L$3:$N$6,3,FALSE)))</f>
        <v/>
      </c>
      <c r="M128" s="506" t="str">
        <f>IF(D128="","",VLOOKUP(D128,'G-6 Hedgerow Data'!$B$1:$AH$15,33,FALSE))</f>
        <v/>
      </c>
      <c r="N128" s="513" t="str">
        <f t="shared" si="9"/>
        <v/>
      </c>
      <c r="O128" s="40"/>
      <c r="P128" s="154"/>
      <c r="Q128" s="203"/>
      <c r="R128" s="532" t="str">
        <f t="shared" si="10"/>
        <v/>
      </c>
      <c r="S128" s="532" t="str">
        <f t="shared" si="11"/>
        <v/>
      </c>
      <c r="T128" s="532" t="str">
        <f t="shared" si="12"/>
        <v/>
      </c>
      <c r="U128" s="557"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8" x14ac:dyDescent="0.25">
      <c r="B129" s="141">
        <v>120</v>
      </c>
      <c r="C129" s="203"/>
      <c r="D129" s="203"/>
      <c r="E129" s="153"/>
      <c r="F129" s="553" t="str">
        <f>IF(D129="","",VLOOKUP(D129,'G-6 Hedgerow Data'!$B$2:$AG$15,2,FALSE))</f>
        <v/>
      </c>
      <c r="G129" s="499" t="str">
        <f>IF(D129="","",VLOOKUP(D129,'G-6 Hedgerow Data'!$B$2:$AG$15,3,FALSE))</f>
        <v/>
      </c>
      <c r="H129" s="145"/>
      <c r="I129" s="499" t="str">
        <f>IFERROR(VLOOKUP(H129,'G-1 All Habitats'!$Z$2:$AA$9,2,FALSE),"")</f>
        <v/>
      </c>
      <c r="J129" s="145"/>
      <c r="K129" s="507" t="str">
        <f>IF(J129="","",IF(VLOOKUP(J129,'G-3 Multipliers'!$L$3:$N$6,2,FALSE)=0,"Spatial Data Missing",VLOOKUP(J129,'G-3 Multipliers'!$L$3:$N$6,2,FALSE)))</f>
        <v/>
      </c>
      <c r="L129" s="505" t="str">
        <f>IF(J129="","",IF(VLOOKUP(J129,'G-3 Multipliers'!$L$3:$N$6,3,FALSE)=0,"Spatial Data Missing ⚠",VLOOKUP(J129,'G-3 Multipliers'!$L$3:$N$6,3,FALSE)))</f>
        <v/>
      </c>
      <c r="M129" s="506" t="str">
        <f>IF(D129="","",VLOOKUP(D129,'G-6 Hedgerow Data'!$B$1:$AH$15,33,FALSE))</f>
        <v/>
      </c>
      <c r="N129" s="513" t="str">
        <f t="shared" si="9"/>
        <v/>
      </c>
      <c r="O129" s="40"/>
      <c r="P129" s="154"/>
      <c r="Q129" s="203"/>
      <c r="R129" s="532" t="str">
        <f t="shared" si="10"/>
        <v/>
      </c>
      <c r="S129" s="532" t="str">
        <f t="shared" si="11"/>
        <v/>
      </c>
      <c r="T129" s="532" t="str">
        <f t="shared" si="12"/>
        <v/>
      </c>
      <c r="U129" s="557"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8" x14ac:dyDescent="0.25">
      <c r="B130" s="141">
        <v>121</v>
      </c>
      <c r="C130" s="203"/>
      <c r="D130" s="203"/>
      <c r="E130" s="153"/>
      <c r="F130" s="553" t="str">
        <f>IF(D130="","",VLOOKUP(D130,'G-6 Hedgerow Data'!$B$2:$AG$15,2,FALSE))</f>
        <v/>
      </c>
      <c r="G130" s="499" t="str">
        <f>IF(D130="","",VLOOKUP(D130,'G-6 Hedgerow Data'!$B$2:$AG$15,3,FALSE))</f>
        <v/>
      </c>
      <c r="H130" s="145"/>
      <c r="I130" s="499" t="str">
        <f>IFERROR(VLOOKUP(H130,'G-1 All Habitats'!$Z$2:$AA$9,2,FALSE),"")</f>
        <v/>
      </c>
      <c r="J130" s="145"/>
      <c r="K130" s="507" t="str">
        <f>IF(J130="","",IF(VLOOKUP(J130,'G-3 Multipliers'!$L$3:$N$6,2,FALSE)=0,"Spatial Data Missing",VLOOKUP(J130,'G-3 Multipliers'!$L$3:$N$6,2,FALSE)))</f>
        <v/>
      </c>
      <c r="L130" s="505" t="str">
        <f>IF(J130="","",IF(VLOOKUP(J130,'G-3 Multipliers'!$L$3:$N$6,3,FALSE)=0,"Spatial Data Missing ⚠",VLOOKUP(J130,'G-3 Multipliers'!$L$3:$N$6,3,FALSE)))</f>
        <v/>
      </c>
      <c r="M130" s="506" t="str">
        <f>IF(D130="","",VLOOKUP(D130,'G-6 Hedgerow Data'!$B$1:$AH$15,33,FALSE))</f>
        <v/>
      </c>
      <c r="N130" s="513" t="str">
        <f t="shared" si="9"/>
        <v/>
      </c>
      <c r="O130" s="40"/>
      <c r="P130" s="154"/>
      <c r="Q130" s="203"/>
      <c r="R130" s="532" t="str">
        <f t="shared" si="10"/>
        <v/>
      </c>
      <c r="S130" s="532" t="str">
        <f t="shared" si="11"/>
        <v/>
      </c>
      <c r="T130" s="532" t="str">
        <f t="shared" si="12"/>
        <v/>
      </c>
      <c r="U130" s="557"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8" x14ac:dyDescent="0.25">
      <c r="B131" s="141">
        <v>122</v>
      </c>
      <c r="C131" s="203"/>
      <c r="D131" s="203"/>
      <c r="E131" s="153"/>
      <c r="F131" s="553" t="str">
        <f>IF(D131="","",VLOOKUP(D131,'G-6 Hedgerow Data'!$B$2:$AG$15,2,FALSE))</f>
        <v/>
      </c>
      <c r="G131" s="499" t="str">
        <f>IF(D131="","",VLOOKUP(D131,'G-6 Hedgerow Data'!$B$2:$AG$15,3,FALSE))</f>
        <v/>
      </c>
      <c r="H131" s="145"/>
      <c r="I131" s="499" t="str">
        <f>IFERROR(VLOOKUP(H131,'G-1 All Habitats'!$Z$2:$AA$9,2,FALSE),"")</f>
        <v/>
      </c>
      <c r="J131" s="145"/>
      <c r="K131" s="507" t="str">
        <f>IF(J131="","",IF(VLOOKUP(J131,'G-3 Multipliers'!$L$3:$N$6,2,FALSE)=0,"Spatial Data Missing",VLOOKUP(J131,'G-3 Multipliers'!$L$3:$N$6,2,FALSE)))</f>
        <v/>
      </c>
      <c r="L131" s="505" t="str">
        <f>IF(J131="","",IF(VLOOKUP(J131,'G-3 Multipliers'!$L$3:$N$6,3,FALSE)=0,"Spatial Data Missing ⚠",VLOOKUP(J131,'G-3 Multipliers'!$L$3:$N$6,3,FALSE)))</f>
        <v/>
      </c>
      <c r="M131" s="506" t="str">
        <f>IF(D131="","",VLOOKUP(D131,'G-6 Hedgerow Data'!$B$1:$AH$15,33,FALSE))</f>
        <v/>
      </c>
      <c r="N131" s="513" t="str">
        <f t="shared" si="9"/>
        <v/>
      </c>
      <c r="O131" s="40"/>
      <c r="P131" s="154"/>
      <c r="Q131" s="203"/>
      <c r="R131" s="532" t="str">
        <f t="shared" si="10"/>
        <v/>
      </c>
      <c r="S131" s="532" t="str">
        <f t="shared" si="11"/>
        <v/>
      </c>
      <c r="T131" s="532" t="str">
        <f t="shared" si="12"/>
        <v/>
      </c>
      <c r="U131" s="557"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8" x14ac:dyDescent="0.25">
      <c r="B132" s="141">
        <v>123</v>
      </c>
      <c r="C132" s="203"/>
      <c r="D132" s="203"/>
      <c r="E132" s="153"/>
      <c r="F132" s="553" t="str">
        <f>IF(D132="","",VLOOKUP(D132,'G-6 Hedgerow Data'!$B$2:$AG$15,2,FALSE))</f>
        <v/>
      </c>
      <c r="G132" s="499" t="str">
        <f>IF(D132="","",VLOOKUP(D132,'G-6 Hedgerow Data'!$B$2:$AG$15,3,FALSE))</f>
        <v/>
      </c>
      <c r="H132" s="145"/>
      <c r="I132" s="499" t="str">
        <f>IFERROR(VLOOKUP(H132,'G-1 All Habitats'!$Z$2:$AA$9,2,FALSE),"")</f>
        <v/>
      </c>
      <c r="J132" s="145"/>
      <c r="K132" s="507" t="str">
        <f>IF(J132="","",IF(VLOOKUP(J132,'G-3 Multipliers'!$L$3:$N$6,2,FALSE)=0,"Spatial Data Missing",VLOOKUP(J132,'G-3 Multipliers'!$L$3:$N$6,2,FALSE)))</f>
        <v/>
      </c>
      <c r="L132" s="505" t="str">
        <f>IF(J132="","",IF(VLOOKUP(J132,'G-3 Multipliers'!$L$3:$N$6,3,FALSE)=0,"Spatial Data Missing ⚠",VLOOKUP(J132,'G-3 Multipliers'!$L$3:$N$6,3,FALSE)))</f>
        <v/>
      </c>
      <c r="M132" s="506" t="str">
        <f>IF(D132="","",VLOOKUP(D132,'G-6 Hedgerow Data'!$B$1:$AH$15,33,FALSE))</f>
        <v/>
      </c>
      <c r="N132" s="513" t="str">
        <f t="shared" si="9"/>
        <v/>
      </c>
      <c r="O132" s="40"/>
      <c r="P132" s="154"/>
      <c r="Q132" s="203"/>
      <c r="R132" s="532" t="str">
        <f t="shared" si="10"/>
        <v/>
      </c>
      <c r="S132" s="532" t="str">
        <f t="shared" si="11"/>
        <v/>
      </c>
      <c r="T132" s="532" t="str">
        <f t="shared" si="12"/>
        <v/>
      </c>
      <c r="U132" s="557"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8" x14ac:dyDescent="0.25">
      <c r="B133" s="141">
        <v>124</v>
      </c>
      <c r="C133" s="203"/>
      <c r="D133" s="203"/>
      <c r="E133" s="153"/>
      <c r="F133" s="553" t="str">
        <f>IF(D133="","",VLOOKUP(D133,'G-6 Hedgerow Data'!$B$2:$AG$15,2,FALSE))</f>
        <v/>
      </c>
      <c r="G133" s="499" t="str">
        <f>IF(D133="","",VLOOKUP(D133,'G-6 Hedgerow Data'!$B$2:$AG$15,3,FALSE))</f>
        <v/>
      </c>
      <c r="H133" s="145"/>
      <c r="I133" s="499" t="str">
        <f>IFERROR(VLOOKUP(H133,'G-1 All Habitats'!$Z$2:$AA$9,2,FALSE),"")</f>
        <v/>
      </c>
      <c r="J133" s="145"/>
      <c r="K133" s="507" t="str">
        <f>IF(J133="","",IF(VLOOKUP(J133,'G-3 Multipliers'!$L$3:$N$6,2,FALSE)=0,"Spatial Data Missing",VLOOKUP(J133,'G-3 Multipliers'!$L$3:$N$6,2,FALSE)))</f>
        <v/>
      </c>
      <c r="L133" s="505" t="str">
        <f>IF(J133="","",IF(VLOOKUP(J133,'G-3 Multipliers'!$L$3:$N$6,3,FALSE)=0,"Spatial Data Missing ⚠",VLOOKUP(J133,'G-3 Multipliers'!$L$3:$N$6,3,FALSE)))</f>
        <v/>
      </c>
      <c r="M133" s="506" t="str">
        <f>IF(D133="","",VLOOKUP(D133,'G-6 Hedgerow Data'!$B$1:$AH$15,33,FALSE))</f>
        <v/>
      </c>
      <c r="N133" s="513" t="str">
        <f t="shared" si="9"/>
        <v/>
      </c>
      <c r="O133" s="40"/>
      <c r="P133" s="154"/>
      <c r="Q133" s="203"/>
      <c r="R133" s="532" t="str">
        <f t="shared" si="10"/>
        <v/>
      </c>
      <c r="S133" s="532" t="str">
        <f t="shared" si="11"/>
        <v/>
      </c>
      <c r="T133" s="532" t="str">
        <f t="shared" si="12"/>
        <v/>
      </c>
      <c r="U133" s="557"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8" x14ac:dyDescent="0.25">
      <c r="B134" s="141">
        <v>125</v>
      </c>
      <c r="C134" s="203"/>
      <c r="D134" s="203"/>
      <c r="E134" s="153"/>
      <c r="F134" s="553" t="str">
        <f>IF(D134="","",VLOOKUP(D134,'G-6 Hedgerow Data'!$B$2:$AG$15,2,FALSE))</f>
        <v/>
      </c>
      <c r="G134" s="499" t="str">
        <f>IF(D134="","",VLOOKUP(D134,'G-6 Hedgerow Data'!$B$2:$AG$15,3,FALSE))</f>
        <v/>
      </c>
      <c r="H134" s="145"/>
      <c r="I134" s="499" t="str">
        <f>IFERROR(VLOOKUP(H134,'G-1 All Habitats'!$Z$2:$AA$9,2,FALSE),"")</f>
        <v/>
      </c>
      <c r="J134" s="145"/>
      <c r="K134" s="507" t="str">
        <f>IF(J134="","",IF(VLOOKUP(J134,'G-3 Multipliers'!$L$3:$N$6,2,FALSE)=0,"Spatial Data Missing",VLOOKUP(J134,'G-3 Multipliers'!$L$3:$N$6,2,FALSE)))</f>
        <v/>
      </c>
      <c r="L134" s="505" t="str">
        <f>IF(J134="","",IF(VLOOKUP(J134,'G-3 Multipliers'!$L$3:$N$6,3,FALSE)=0,"Spatial Data Missing ⚠",VLOOKUP(J134,'G-3 Multipliers'!$L$3:$N$6,3,FALSE)))</f>
        <v/>
      </c>
      <c r="M134" s="506" t="str">
        <f>IF(D134="","",VLOOKUP(D134,'G-6 Hedgerow Data'!$B$1:$AH$15,33,FALSE))</f>
        <v/>
      </c>
      <c r="N134" s="513" t="str">
        <f t="shared" si="9"/>
        <v/>
      </c>
      <c r="O134" s="40"/>
      <c r="P134" s="154"/>
      <c r="Q134" s="203"/>
      <c r="R134" s="532" t="str">
        <f t="shared" si="10"/>
        <v/>
      </c>
      <c r="S134" s="532" t="str">
        <f t="shared" si="11"/>
        <v/>
      </c>
      <c r="T134" s="532" t="str">
        <f t="shared" si="12"/>
        <v/>
      </c>
      <c r="U134" s="557"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8" x14ac:dyDescent="0.25">
      <c r="B135" s="141">
        <v>126</v>
      </c>
      <c r="C135" s="203"/>
      <c r="D135" s="203"/>
      <c r="E135" s="153"/>
      <c r="F135" s="553" t="str">
        <f>IF(D135="","",VLOOKUP(D135,'G-6 Hedgerow Data'!$B$2:$AG$15,2,FALSE))</f>
        <v/>
      </c>
      <c r="G135" s="499" t="str">
        <f>IF(D135="","",VLOOKUP(D135,'G-6 Hedgerow Data'!$B$2:$AG$15,3,FALSE))</f>
        <v/>
      </c>
      <c r="H135" s="145"/>
      <c r="I135" s="499" t="str">
        <f>IFERROR(VLOOKUP(H135,'G-1 All Habitats'!$Z$2:$AA$9,2,FALSE),"")</f>
        <v/>
      </c>
      <c r="J135" s="145"/>
      <c r="K135" s="507" t="str">
        <f>IF(J135="","",IF(VLOOKUP(J135,'G-3 Multipliers'!$L$3:$N$6,2,FALSE)=0,"Spatial Data Missing",VLOOKUP(J135,'G-3 Multipliers'!$L$3:$N$6,2,FALSE)))</f>
        <v/>
      </c>
      <c r="L135" s="505" t="str">
        <f>IF(J135="","",IF(VLOOKUP(J135,'G-3 Multipliers'!$L$3:$N$6,3,FALSE)=0,"Spatial Data Missing ⚠",VLOOKUP(J135,'G-3 Multipliers'!$L$3:$N$6,3,FALSE)))</f>
        <v/>
      </c>
      <c r="M135" s="506" t="str">
        <f>IF(D135="","",VLOOKUP(D135,'G-6 Hedgerow Data'!$B$1:$AH$15,33,FALSE))</f>
        <v/>
      </c>
      <c r="N135" s="513" t="str">
        <f t="shared" si="9"/>
        <v/>
      </c>
      <c r="O135" s="40"/>
      <c r="P135" s="154"/>
      <c r="Q135" s="203"/>
      <c r="R135" s="532" t="str">
        <f t="shared" si="10"/>
        <v/>
      </c>
      <c r="S135" s="532" t="str">
        <f t="shared" si="11"/>
        <v/>
      </c>
      <c r="T135" s="532" t="str">
        <f t="shared" si="12"/>
        <v/>
      </c>
      <c r="U135" s="557"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8" x14ac:dyDescent="0.25">
      <c r="B136" s="141">
        <v>127</v>
      </c>
      <c r="C136" s="203"/>
      <c r="D136" s="203"/>
      <c r="E136" s="153"/>
      <c r="F136" s="553" t="str">
        <f>IF(D136="","",VLOOKUP(D136,'G-6 Hedgerow Data'!$B$2:$AG$15,2,FALSE))</f>
        <v/>
      </c>
      <c r="G136" s="499" t="str">
        <f>IF(D136="","",VLOOKUP(D136,'G-6 Hedgerow Data'!$B$2:$AG$15,3,FALSE))</f>
        <v/>
      </c>
      <c r="H136" s="145"/>
      <c r="I136" s="499" t="str">
        <f>IFERROR(VLOOKUP(H136,'G-1 All Habitats'!$Z$2:$AA$9,2,FALSE),"")</f>
        <v/>
      </c>
      <c r="J136" s="145"/>
      <c r="K136" s="507" t="str">
        <f>IF(J136="","",IF(VLOOKUP(J136,'G-3 Multipliers'!$L$3:$N$6,2,FALSE)=0,"Spatial Data Missing",VLOOKUP(J136,'G-3 Multipliers'!$L$3:$N$6,2,FALSE)))</f>
        <v/>
      </c>
      <c r="L136" s="505" t="str">
        <f>IF(J136="","",IF(VLOOKUP(J136,'G-3 Multipliers'!$L$3:$N$6,3,FALSE)=0,"Spatial Data Missing ⚠",VLOOKUP(J136,'G-3 Multipliers'!$L$3:$N$6,3,FALSE)))</f>
        <v/>
      </c>
      <c r="M136" s="506" t="str">
        <f>IF(D136="","",VLOOKUP(D136,'G-6 Hedgerow Data'!$B$1:$AH$15,33,FALSE))</f>
        <v/>
      </c>
      <c r="N136" s="513" t="str">
        <f t="shared" si="9"/>
        <v/>
      </c>
      <c r="O136" s="40"/>
      <c r="P136" s="154"/>
      <c r="Q136" s="203"/>
      <c r="R136" s="532" t="str">
        <f t="shared" si="10"/>
        <v/>
      </c>
      <c r="S136" s="532" t="str">
        <f t="shared" si="11"/>
        <v/>
      </c>
      <c r="T136" s="532" t="str">
        <f t="shared" si="12"/>
        <v/>
      </c>
      <c r="U136" s="557"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8" x14ac:dyDescent="0.25">
      <c r="B137" s="141">
        <v>128</v>
      </c>
      <c r="C137" s="203"/>
      <c r="D137" s="203"/>
      <c r="E137" s="153"/>
      <c r="F137" s="553" t="str">
        <f>IF(D137="","",VLOOKUP(D137,'G-6 Hedgerow Data'!$B$2:$AG$15,2,FALSE))</f>
        <v/>
      </c>
      <c r="G137" s="499" t="str">
        <f>IF(D137="","",VLOOKUP(D137,'G-6 Hedgerow Data'!$B$2:$AG$15,3,FALSE))</f>
        <v/>
      </c>
      <c r="H137" s="145"/>
      <c r="I137" s="499" t="str">
        <f>IFERROR(VLOOKUP(H137,'G-1 All Habitats'!$Z$2:$AA$9,2,FALSE),"")</f>
        <v/>
      </c>
      <c r="J137" s="145"/>
      <c r="K137" s="507" t="str">
        <f>IF(J137="","",IF(VLOOKUP(J137,'G-3 Multipliers'!$L$3:$N$6,2,FALSE)=0,"Spatial Data Missing",VLOOKUP(J137,'G-3 Multipliers'!$L$3:$N$6,2,FALSE)))</f>
        <v/>
      </c>
      <c r="L137" s="505" t="str">
        <f>IF(J137="","",IF(VLOOKUP(J137,'G-3 Multipliers'!$L$3:$N$6,3,FALSE)=0,"Spatial Data Missing ⚠",VLOOKUP(J137,'G-3 Multipliers'!$L$3:$N$6,3,FALSE)))</f>
        <v/>
      </c>
      <c r="M137" s="506" t="str">
        <f>IF(D137="","",VLOOKUP(D137,'G-6 Hedgerow Data'!$B$1:$AH$15,33,FALSE))</f>
        <v/>
      </c>
      <c r="N137" s="513" t="str">
        <f t="shared" si="9"/>
        <v/>
      </c>
      <c r="O137" s="40"/>
      <c r="P137" s="154"/>
      <c r="Q137" s="203"/>
      <c r="R137" s="532" t="str">
        <f t="shared" si="10"/>
        <v/>
      </c>
      <c r="S137" s="532" t="str">
        <f t="shared" si="11"/>
        <v/>
      </c>
      <c r="T137" s="532" t="str">
        <f t="shared" si="12"/>
        <v/>
      </c>
      <c r="U137" s="557"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8" x14ac:dyDescent="0.25">
      <c r="B138" s="141">
        <v>129</v>
      </c>
      <c r="C138" s="203"/>
      <c r="D138" s="203"/>
      <c r="E138" s="153"/>
      <c r="F138" s="553" t="str">
        <f>IF(D138="","",VLOOKUP(D138,'G-6 Hedgerow Data'!$B$2:$AG$15,2,FALSE))</f>
        <v/>
      </c>
      <c r="G138" s="499" t="str">
        <f>IF(D138="","",VLOOKUP(D138,'G-6 Hedgerow Data'!$B$2:$AG$15,3,FALSE))</f>
        <v/>
      </c>
      <c r="H138" s="145"/>
      <c r="I138" s="499" t="str">
        <f>IFERROR(VLOOKUP(H138,'G-1 All Habitats'!$Z$2:$AA$9,2,FALSE),"")</f>
        <v/>
      </c>
      <c r="J138" s="145"/>
      <c r="K138" s="507" t="str">
        <f>IF(J138="","",IF(VLOOKUP(J138,'G-3 Multipliers'!$L$3:$N$6,2,FALSE)=0,"Spatial Data Missing",VLOOKUP(J138,'G-3 Multipliers'!$L$3:$N$6,2,FALSE)))</f>
        <v/>
      </c>
      <c r="L138" s="505" t="str">
        <f>IF(J138="","",IF(VLOOKUP(J138,'G-3 Multipliers'!$L$3:$N$6,3,FALSE)=0,"Spatial Data Missing ⚠",VLOOKUP(J138,'G-3 Multipliers'!$L$3:$N$6,3,FALSE)))</f>
        <v/>
      </c>
      <c r="M138" s="506" t="str">
        <f>IF(D138="","",VLOOKUP(D138,'G-6 Hedgerow Data'!$B$1:$AH$15,33,FALSE))</f>
        <v/>
      </c>
      <c r="N138" s="513" t="str">
        <f t="shared" si="9"/>
        <v/>
      </c>
      <c r="O138" s="40"/>
      <c r="P138" s="154"/>
      <c r="Q138" s="203"/>
      <c r="R138" s="532" t="str">
        <f t="shared" si="10"/>
        <v/>
      </c>
      <c r="S138" s="532" t="str">
        <f t="shared" si="11"/>
        <v/>
      </c>
      <c r="T138" s="532" t="str">
        <f t="shared" si="12"/>
        <v/>
      </c>
      <c r="U138" s="557"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8" x14ac:dyDescent="0.25">
      <c r="B139" s="141">
        <v>130</v>
      </c>
      <c r="C139" s="203"/>
      <c r="D139" s="203"/>
      <c r="E139" s="153"/>
      <c r="F139" s="553" t="str">
        <f>IF(D139="","",VLOOKUP(D139,'G-6 Hedgerow Data'!$B$2:$AG$15,2,FALSE))</f>
        <v/>
      </c>
      <c r="G139" s="499" t="str">
        <f>IF(D139="","",VLOOKUP(D139,'G-6 Hedgerow Data'!$B$2:$AG$15,3,FALSE))</f>
        <v/>
      </c>
      <c r="H139" s="145"/>
      <c r="I139" s="499" t="str">
        <f>IFERROR(VLOOKUP(H139,'G-1 All Habitats'!$Z$2:$AA$9,2,FALSE),"")</f>
        <v/>
      </c>
      <c r="J139" s="145"/>
      <c r="K139" s="507" t="str">
        <f>IF(J139="","",IF(VLOOKUP(J139,'G-3 Multipliers'!$L$3:$N$6,2,FALSE)=0,"Spatial Data Missing",VLOOKUP(J139,'G-3 Multipliers'!$L$3:$N$6,2,FALSE)))</f>
        <v/>
      </c>
      <c r="L139" s="505" t="str">
        <f>IF(J139="","",IF(VLOOKUP(J139,'G-3 Multipliers'!$L$3:$N$6,3,FALSE)=0,"Spatial Data Missing ⚠",VLOOKUP(J139,'G-3 Multipliers'!$L$3:$N$6,3,FALSE)))</f>
        <v/>
      </c>
      <c r="M139" s="506" t="str">
        <f>IF(D139="","",VLOOKUP(D139,'G-6 Hedgerow Data'!$B$1:$AH$15,33,FALSE))</f>
        <v/>
      </c>
      <c r="N139" s="513" t="str">
        <f t="shared" ref="N139:N202" si="16">IFERROR(E139*G139*I139*L139,"")</f>
        <v/>
      </c>
      <c r="O139" s="40"/>
      <c r="P139" s="154"/>
      <c r="Q139" s="203"/>
      <c r="R139" s="532" t="str">
        <f t="shared" ref="R139:R202" si="17">IFERROR(P139*G139*I139*L139,"")</f>
        <v/>
      </c>
      <c r="S139" s="532" t="str">
        <f t="shared" ref="S139:S202" si="18">IFERROR(Q139*G139*I139*L139,"")</f>
        <v/>
      </c>
      <c r="T139" s="532" t="str">
        <f t="shared" ref="T139:T202" si="19">IF(D139="","",IF(E139-P139-Q139=0&lt;0,"Error in lengths ▲",IF(P139+Q139&gt;E139,"Error in Lengths ▲",E139-P139-Q139)))</f>
        <v/>
      </c>
      <c r="U139" s="557"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8" x14ac:dyDescent="0.25">
      <c r="B140" s="141">
        <v>131</v>
      </c>
      <c r="C140" s="203"/>
      <c r="D140" s="203"/>
      <c r="E140" s="153"/>
      <c r="F140" s="553" t="str">
        <f>IF(D140="","",VLOOKUP(D140,'G-6 Hedgerow Data'!$B$2:$AG$15,2,FALSE))</f>
        <v/>
      </c>
      <c r="G140" s="499" t="str">
        <f>IF(D140="","",VLOOKUP(D140,'G-6 Hedgerow Data'!$B$2:$AG$15,3,FALSE))</f>
        <v/>
      </c>
      <c r="H140" s="145"/>
      <c r="I140" s="499" t="str">
        <f>IFERROR(VLOOKUP(H140,'G-1 All Habitats'!$Z$2:$AA$9,2,FALSE),"")</f>
        <v/>
      </c>
      <c r="J140" s="145"/>
      <c r="K140" s="507" t="str">
        <f>IF(J140="","",IF(VLOOKUP(J140,'G-3 Multipliers'!$L$3:$N$6,2,FALSE)=0,"Spatial Data Missing",VLOOKUP(J140,'G-3 Multipliers'!$L$3:$N$6,2,FALSE)))</f>
        <v/>
      </c>
      <c r="L140" s="505" t="str">
        <f>IF(J140="","",IF(VLOOKUP(J140,'G-3 Multipliers'!$L$3:$N$6,3,FALSE)=0,"Spatial Data Missing ⚠",VLOOKUP(J140,'G-3 Multipliers'!$L$3:$N$6,3,FALSE)))</f>
        <v/>
      </c>
      <c r="M140" s="506" t="str">
        <f>IF(D140="","",VLOOKUP(D140,'G-6 Hedgerow Data'!$B$1:$AH$15,33,FALSE))</f>
        <v/>
      </c>
      <c r="N140" s="513" t="str">
        <f t="shared" si="16"/>
        <v/>
      </c>
      <c r="O140" s="40"/>
      <c r="P140" s="154"/>
      <c r="Q140" s="203"/>
      <c r="R140" s="532" t="str">
        <f t="shared" si="17"/>
        <v/>
      </c>
      <c r="S140" s="532" t="str">
        <f t="shared" si="18"/>
        <v/>
      </c>
      <c r="T140" s="532" t="str">
        <f t="shared" si="19"/>
        <v/>
      </c>
      <c r="U140" s="557"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8" x14ac:dyDescent="0.25">
      <c r="B141" s="141">
        <v>132</v>
      </c>
      <c r="C141" s="203"/>
      <c r="D141" s="203"/>
      <c r="E141" s="153"/>
      <c r="F141" s="553" t="str">
        <f>IF(D141="","",VLOOKUP(D141,'G-6 Hedgerow Data'!$B$2:$AG$15,2,FALSE))</f>
        <v/>
      </c>
      <c r="G141" s="499" t="str">
        <f>IF(D141="","",VLOOKUP(D141,'G-6 Hedgerow Data'!$B$2:$AG$15,3,FALSE))</f>
        <v/>
      </c>
      <c r="H141" s="145"/>
      <c r="I141" s="499" t="str">
        <f>IFERROR(VLOOKUP(H141,'G-1 All Habitats'!$Z$2:$AA$9,2,FALSE),"")</f>
        <v/>
      </c>
      <c r="J141" s="145"/>
      <c r="K141" s="507" t="str">
        <f>IF(J141="","",IF(VLOOKUP(J141,'G-3 Multipliers'!$L$3:$N$6,2,FALSE)=0,"Spatial Data Missing",VLOOKUP(J141,'G-3 Multipliers'!$L$3:$N$6,2,FALSE)))</f>
        <v/>
      </c>
      <c r="L141" s="505" t="str">
        <f>IF(J141="","",IF(VLOOKUP(J141,'G-3 Multipliers'!$L$3:$N$6,3,FALSE)=0,"Spatial Data Missing ⚠",VLOOKUP(J141,'G-3 Multipliers'!$L$3:$N$6,3,FALSE)))</f>
        <v/>
      </c>
      <c r="M141" s="506" t="str">
        <f>IF(D141="","",VLOOKUP(D141,'G-6 Hedgerow Data'!$B$1:$AH$15,33,FALSE))</f>
        <v/>
      </c>
      <c r="N141" s="513" t="str">
        <f t="shared" si="16"/>
        <v/>
      </c>
      <c r="O141" s="40"/>
      <c r="P141" s="154"/>
      <c r="Q141" s="203"/>
      <c r="R141" s="532" t="str">
        <f t="shared" si="17"/>
        <v/>
      </c>
      <c r="S141" s="532" t="str">
        <f t="shared" si="18"/>
        <v/>
      </c>
      <c r="T141" s="532" t="str">
        <f t="shared" si="19"/>
        <v/>
      </c>
      <c r="U141" s="557"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8" x14ac:dyDescent="0.25">
      <c r="B142" s="141">
        <v>133</v>
      </c>
      <c r="C142" s="203"/>
      <c r="D142" s="203"/>
      <c r="E142" s="153"/>
      <c r="F142" s="553" t="str">
        <f>IF(D142="","",VLOOKUP(D142,'G-6 Hedgerow Data'!$B$2:$AG$15,2,FALSE))</f>
        <v/>
      </c>
      <c r="G142" s="499" t="str">
        <f>IF(D142="","",VLOOKUP(D142,'G-6 Hedgerow Data'!$B$2:$AG$15,3,FALSE))</f>
        <v/>
      </c>
      <c r="H142" s="145"/>
      <c r="I142" s="499" t="str">
        <f>IFERROR(VLOOKUP(H142,'G-1 All Habitats'!$Z$2:$AA$9,2,FALSE),"")</f>
        <v/>
      </c>
      <c r="J142" s="145"/>
      <c r="K142" s="507" t="str">
        <f>IF(J142="","",IF(VLOOKUP(J142,'G-3 Multipliers'!$L$3:$N$6,2,FALSE)=0,"Spatial Data Missing",VLOOKUP(J142,'G-3 Multipliers'!$L$3:$N$6,2,FALSE)))</f>
        <v/>
      </c>
      <c r="L142" s="505" t="str">
        <f>IF(J142="","",IF(VLOOKUP(J142,'G-3 Multipliers'!$L$3:$N$6,3,FALSE)=0,"Spatial Data Missing ⚠",VLOOKUP(J142,'G-3 Multipliers'!$L$3:$N$6,3,FALSE)))</f>
        <v/>
      </c>
      <c r="M142" s="506" t="str">
        <f>IF(D142="","",VLOOKUP(D142,'G-6 Hedgerow Data'!$B$1:$AH$15,33,FALSE))</f>
        <v/>
      </c>
      <c r="N142" s="513" t="str">
        <f t="shared" si="16"/>
        <v/>
      </c>
      <c r="O142" s="40"/>
      <c r="P142" s="154"/>
      <c r="Q142" s="203"/>
      <c r="R142" s="532" t="str">
        <f t="shared" si="17"/>
        <v/>
      </c>
      <c r="S142" s="532" t="str">
        <f t="shared" si="18"/>
        <v/>
      </c>
      <c r="T142" s="532" t="str">
        <f t="shared" si="19"/>
        <v/>
      </c>
      <c r="U142" s="557"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8" x14ac:dyDescent="0.25">
      <c r="B143" s="141">
        <v>134</v>
      </c>
      <c r="C143" s="203"/>
      <c r="D143" s="203"/>
      <c r="E143" s="153"/>
      <c r="F143" s="553" t="str">
        <f>IF(D143="","",VLOOKUP(D143,'G-6 Hedgerow Data'!$B$2:$AG$15,2,FALSE))</f>
        <v/>
      </c>
      <c r="G143" s="499" t="str">
        <f>IF(D143="","",VLOOKUP(D143,'G-6 Hedgerow Data'!$B$2:$AG$15,3,FALSE))</f>
        <v/>
      </c>
      <c r="H143" s="145"/>
      <c r="I143" s="499" t="str">
        <f>IFERROR(VLOOKUP(H143,'G-1 All Habitats'!$Z$2:$AA$9,2,FALSE),"")</f>
        <v/>
      </c>
      <c r="J143" s="145"/>
      <c r="K143" s="507" t="str">
        <f>IF(J143="","",IF(VLOOKUP(J143,'G-3 Multipliers'!$L$3:$N$6,2,FALSE)=0,"Spatial Data Missing",VLOOKUP(J143,'G-3 Multipliers'!$L$3:$N$6,2,FALSE)))</f>
        <v/>
      </c>
      <c r="L143" s="505" t="str">
        <f>IF(J143="","",IF(VLOOKUP(J143,'G-3 Multipliers'!$L$3:$N$6,3,FALSE)=0,"Spatial Data Missing ⚠",VLOOKUP(J143,'G-3 Multipliers'!$L$3:$N$6,3,FALSE)))</f>
        <v/>
      </c>
      <c r="M143" s="506" t="str">
        <f>IF(D143="","",VLOOKUP(D143,'G-6 Hedgerow Data'!$B$1:$AH$15,33,FALSE))</f>
        <v/>
      </c>
      <c r="N143" s="513" t="str">
        <f t="shared" si="16"/>
        <v/>
      </c>
      <c r="O143" s="40"/>
      <c r="P143" s="154"/>
      <c r="Q143" s="203"/>
      <c r="R143" s="532" t="str">
        <f t="shared" si="17"/>
        <v/>
      </c>
      <c r="S143" s="532" t="str">
        <f t="shared" si="18"/>
        <v/>
      </c>
      <c r="T143" s="532" t="str">
        <f t="shared" si="19"/>
        <v/>
      </c>
      <c r="U143" s="557"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8" x14ac:dyDescent="0.25">
      <c r="B144" s="141">
        <v>135</v>
      </c>
      <c r="C144" s="203"/>
      <c r="D144" s="203"/>
      <c r="E144" s="153"/>
      <c r="F144" s="553" t="str">
        <f>IF(D144="","",VLOOKUP(D144,'G-6 Hedgerow Data'!$B$2:$AG$15,2,FALSE))</f>
        <v/>
      </c>
      <c r="G144" s="499" t="str">
        <f>IF(D144="","",VLOOKUP(D144,'G-6 Hedgerow Data'!$B$2:$AG$15,3,FALSE))</f>
        <v/>
      </c>
      <c r="H144" s="145"/>
      <c r="I144" s="499" t="str">
        <f>IFERROR(VLOOKUP(H144,'G-1 All Habitats'!$Z$2:$AA$9,2,FALSE),"")</f>
        <v/>
      </c>
      <c r="J144" s="145"/>
      <c r="K144" s="507" t="str">
        <f>IF(J144="","",IF(VLOOKUP(J144,'G-3 Multipliers'!$L$3:$N$6,2,FALSE)=0,"Spatial Data Missing",VLOOKUP(J144,'G-3 Multipliers'!$L$3:$N$6,2,FALSE)))</f>
        <v/>
      </c>
      <c r="L144" s="505" t="str">
        <f>IF(J144="","",IF(VLOOKUP(J144,'G-3 Multipliers'!$L$3:$N$6,3,FALSE)=0,"Spatial Data Missing ⚠",VLOOKUP(J144,'G-3 Multipliers'!$L$3:$N$6,3,FALSE)))</f>
        <v/>
      </c>
      <c r="M144" s="506" t="str">
        <f>IF(D144="","",VLOOKUP(D144,'G-6 Hedgerow Data'!$B$1:$AH$15,33,FALSE))</f>
        <v/>
      </c>
      <c r="N144" s="513" t="str">
        <f t="shared" si="16"/>
        <v/>
      </c>
      <c r="O144" s="40"/>
      <c r="P144" s="154"/>
      <c r="Q144" s="203"/>
      <c r="R144" s="532" t="str">
        <f t="shared" si="17"/>
        <v/>
      </c>
      <c r="S144" s="532" t="str">
        <f t="shared" si="18"/>
        <v/>
      </c>
      <c r="T144" s="532" t="str">
        <f t="shared" si="19"/>
        <v/>
      </c>
      <c r="U144" s="557"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8" x14ac:dyDescent="0.25">
      <c r="B145" s="141">
        <v>136</v>
      </c>
      <c r="C145" s="203"/>
      <c r="D145" s="203"/>
      <c r="E145" s="153"/>
      <c r="F145" s="553" t="str">
        <f>IF(D145="","",VLOOKUP(D145,'G-6 Hedgerow Data'!$B$2:$AG$15,2,FALSE))</f>
        <v/>
      </c>
      <c r="G145" s="499" t="str">
        <f>IF(D145="","",VLOOKUP(D145,'G-6 Hedgerow Data'!$B$2:$AG$15,3,FALSE))</f>
        <v/>
      </c>
      <c r="H145" s="145"/>
      <c r="I145" s="499" t="str">
        <f>IFERROR(VLOOKUP(H145,'G-1 All Habitats'!$Z$2:$AA$9,2,FALSE),"")</f>
        <v/>
      </c>
      <c r="J145" s="145"/>
      <c r="K145" s="507" t="str">
        <f>IF(J145="","",IF(VLOOKUP(J145,'G-3 Multipliers'!$L$3:$N$6,2,FALSE)=0,"Spatial Data Missing",VLOOKUP(J145,'G-3 Multipliers'!$L$3:$N$6,2,FALSE)))</f>
        <v/>
      </c>
      <c r="L145" s="505" t="str">
        <f>IF(J145="","",IF(VLOOKUP(J145,'G-3 Multipliers'!$L$3:$N$6,3,FALSE)=0,"Spatial Data Missing ⚠",VLOOKUP(J145,'G-3 Multipliers'!$L$3:$N$6,3,FALSE)))</f>
        <v/>
      </c>
      <c r="M145" s="506" t="str">
        <f>IF(D145="","",VLOOKUP(D145,'G-6 Hedgerow Data'!$B$1:$AH$15,33,FALSE))</f>
        <v/>
      </c>
      <c r="N145" s="513" t="str">
        <f t="shared" si="16"/>
        <v/>
      </c>
      <c r="O145" s="40"/>
      <c r="P145" s="154"/>
      <c r="Q145" s="203"/>
      <c r="R145" s="532" t="str">
        <f t="shared" si="17"/>
        <v/>
      </c>
      <c r="S145" s="532" t="str">
        <f t="shared" si="18"/>
        <v/>
      </c>
      <c r="T145" s="532" t="str">
        <f t="shared" si="19"/>
        <v/>
      </c>
      <c r="U145" s="557"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8" x14ac:dyDescent="0.25">
      <c r="B146" s="141">
        <v>137</v>
      </c>
      <c r="C146" s="203"/>
      <c r="D146" s="203"/>
      <c r="E146" s="153"/>
      <c r="F146" s="553" t="str">
        <f>IF(D146="","",VLOOKUP(D146,'G-6 Hedgerow Data'!$B$2:$AG$15,2,FALSE))</f>
        <v/>
      </c>
      <c r="G146" s="499" t="str">
        <f>IF(D146="","",VLOOKUP(D146,'G-6 Hedgerow Data'!$B$2:$AG$15,3,FALSE))</f>
        <v/>
      </c>
      <c r="H146" s="145"/>
      <c r="I146" s="499" t="str">
        <f>IFERROR(VLOOKUP(H146,'G-1 All Habitats'!$Z$2:$AA$9,2,FALSE),"")</f>
        <v/>
      </c>
      <c r="J146" s="145"/>
      <c r="K146" s="507" t="str">
        <f>IF(J146="","",IF(VLOOKUP(J146,'G-3 Multipliers'!$L$3:$N$6,2,FALSE)=0,"Spatial Data Missing",VLOOKUP(J146,'G-3 Multipliers'!$L$3:$N$6,2,FALSE)))</f>
        <v/>
      </c>
      <c r="L146" s="505" t="str">
        <f>IF(J146="","",IF(VLOOKUP(J146,'G-3 Multipliers'!$L$3:$N$6,3,FALSE)=0,"Spatial Data Missing ⚠",VLOOKUP(J146,'G-3 Multipliers'!$L$3:$N$6,3,FALSE)))</f>
        <v/>
      </c>
      <c r="M146" s="506" t="str">
        <f>IF(D146="","",VLOOKUP(D146,'G-6 Hedgerow Data'!$B$1:$AH$15,33,FALSE))</f>
        <v/>
      </c>
      <c r="N146" s="513" t="str">
        <f t="shared" si="16"/>
        <v/>
      </c>
      <c r="O146" s="40"/>
      <c r="P146" s="154"/>
      <c r="Q146" s="203"/>
      <c r="R146" s="532" t="str">
        <f t="shared" si="17"/>
        <v/>
      </c>
      <c r="S146" s="532" t="str">
        <f t="shared" si="18"/>
        <v/>
      </c>
      <c r="T146" s="532" t="str">
        <f t="shared" si="19"/>
        <v/>
      </c>
      <c r="U146" s="557"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8" x14ac:dyDescent="0.25">
      <c r="B147" s="141">
        <v>138</v>
      </c>
      <c r="C147" s="203"/>
      <c r="D147" s="203"/>
      <c r="E147" s="153"/>
      <c r="F147" s="553" t="str">
        <f>IF(D147="","",VLOOKUP(D147,'G-6 Hedgerow Data'!$B$2:$AG$15,2,FALSE))</f>
        <v/>
      </c>
      <c r="G147" s="499" t="str">
        <f>IF(D147="","",VLOOKUP(D147,'G-6 Hedgerow Data'!$B$2:$AG$15,3,FALSE))</f>
        <v/>
      </c>
      <c r="H147" s="145"/>
      <c r="I147" s="499" t="str">
        <f>IFERROR(VLOOKUP(H147,'G-1 All Habitats'!$Z$2:$AA$9,2,FALSE),"")</f>
        <v/>
      </c>
      <c r="J147" s="145"/>
      <c r="K147" s="507" t="str">
        <f>IF(J147="","",IF(VLOOKUP(J147,'G-3 Multipliers'!$L$3:$N$6,2,FALSE)=0,"Spatial Data Missing",VLOOKUP(J147,'G-3 Multipliers'!$L$3:$N$6,2,FALSE)))</f>
        <v/>
      </c>
      <c r="L147" s="505" t="str">
        <f>IF(J147="","",IF(VLOOKUP(J147,'G-3 Multipliers'!$L$3:$N$6,3,FALSE)=0,"Spatial Data Missing ⚠",VLOOKUP(J147,'G-3 Multipliers'!$L$3:$N$6,3,FALSE)))</f>
        <v/>
      </c>
      <c r="M147" s="506" t="str">
        <f>IF(D147="","",VLOOKUP(D147,'G-6 Hedgerow Data'!$B$1:$AH$15,33,FALSE))</f>
        <v/>
      </c>
      <c r="N147" s="513" t="str">
        <f t="shared" si="16"/>
        <v/>
      </c>
      <c r="O147" s="40"/>
      <c r="P147" s="154"/>
      <c r="Q147" s="203"/>
      <c r="R147" s="532" t="str">
        <f t="shared" si="17"/>
        <v/>
      </c>
      <c r="S147" s="532" t="str">
        <f t="shared" si="18"/>
        <v/>
      </c>
      <c r="T147" s="532" t="str">
        <f t="shared" si="19"/>
        <v/>
      </c>
      <c r="U147" s="557"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8" x14ac:dyDescent="0.25">
      <c r="B148" s="141">
        <v>139</v>
      </c>
      <c r="C148" s="203"/>
      <c r="D148" s="203"/>
      <c r="E148" s="153"/>
      <c r="F148" s="553" t="str">
        <f>IF(D148="","",VLOOKUP(D148,'G-6 Hedgerow Data'!$B$2:$AG$15,2,FALSE))</f>
        <v/>
      </c>
      <c r="G148" s="499" t="str">
        <f>IF(D148="","",VLOOKUP(D148,'G-6 Hedgerow Data'!$B$2:$AG$15,3,FALSE))</f>
        <v/>
      </c>
      <c r="H148" s="145"/>
      <c r="I148" s="499" t="str">
        <f>IFERROR(VLOOKUP(H148,'G-1 All Habitats'!$Z$2:$AA$9,2,FALSE),"")</f>
        <v/>
      </c>
      <c r="J148" s="145"/>
      <c r="K148" s="507" t="str">
        <f>IF(J148="","",IF(VLOOKUP(J148,'G-3 Multipliers'!$L$3:$N$6,2,FALSE)=0,"Spatial Data Missing",VLOOKUP(J148,'G-3 Multipliers'!$L$3:$N$6,2,FALSE)))</f>
        <v/>
      </c>
      <c r="L148" s="505" t="str">
        <f>IF(J148="","",IF(VLOOKUP(J148,'G-3 Multipliers'!$L$3:$N$6,3,FALSE)=0,"Spatial Data Missing ⚠",VLOOKUP(J148,'G-3 Multipliers'!$L$3:$N$6,3,FALSE)))</f>
        <v/>
      </c>
      <c r="M148" s="506" t="str">
        <f>IF(D148="","",VLOOKUP(D148,'G-6 Hedgerow Data'!$B$1:$AH$15,33,FALSE))</f>
        <v/>
      </c>
      <c r="N148" s="513" t="str">
        <f t="shared" si="16"/>
        <v/>
      </c>
      <c r="O148" s="40"/>
      <c r="P148" s="154"/>
      <c r="Q148" s="203"/>
      <c r="R148" s="532" t="str">
        <f t="shared" si="17"/>
        <v/>
      </c>
      <c r="S148" s="532" t="str">
        <f t="shared" si="18"/>
        <v/>
      </c>
      <c r="T148" s="532" t="str">
        <f t="shared" si="19"/>
        <v/>
      </c>
      <c r="U148" s="557"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8" x14ac:dyDescent="0.25">
      <c r="B149" s="141">
        <v>140</v>
      </c>
      <c r="C149" s="203"/>
      <c r="D149" s="203"/>
      <c r="E149" s="153"/>
      <c r="F149" s="553" t="str">
        <f>IF(D149="","",VLOOKUP(D149,'G-6 Hedgerow Data'!$B$2:$AG$15,2,FALSE))</f>
        <v/>
      </c>
      <c r="G149" s="499" t="str">
        <f>IF(D149="","",VLOOKUP(D149,'G-6 Hedgerow Data'!$B$2:$AG$15,3,FALSE))</f>
        <v/>
      </c>
      <c r="H149" s="145"/>
      <c r="I149" s="499" t="str">
        <f>IFERROR(VLOOKUP(H149,'G-1 All Habitats'!$Z$2:$AA$9,2,FALSE),"")</f>
        <v/>
      </c>
      <c r="J149" s="145"/>
      <c r="K149" s="507" t="str">
        <f>IF(J149="","",IF(VLOOKUP(J149,'G-3 Multipliers'!$L$3:$N$6,2,FALSE)=0,"Spatial Data Missing",VLOOKUP(J149,'G-3 Multipliers'!$L$3:$N$6,2,FALSE)))</f>
        <v/>
      </c>
      <c r="L149" s="505" t="str">
        <f>IF(J149="","",IF(VLOOKUP(J149,'G-3 Multipliers'!$L$3:$N$6,3,FALSE)=0,"Spatial Data Missing ⚠",VLOOKUP(J149,'G-3 Multipliers'!$L$3:$N$6,3,FALSE)))</f>
        <v/>
      </c>
      <c r="M149" s="506" t="str">
        <f>IF(D149="","",VLOOKUP(D149,'G-6 Hedgerow Data'!$B$1:$AH$15,33,FALSE))</f>
        <v/>
      </c>
      <c r="N149" s="513" t="str">
        <f t="shared" si="16"/>
        <v/>
      </c>
      <c r="O149" s="40"/>
      <c r="P149" s="154"/>
      <c r="Q149" s="203"/>
      <c r="R149" s="532" t="str">
        <f t="shared" si="17"/>
        <v/>
      </c>
      <c r="S149" s="532" t="str">
        <f t="shared" si="18"/>
        <v/>
      </c>
      <c r="T149" s="532" t="str">
        <f t="shared" si="19"/>
        <v/>
      </c>
      <c r="U149" s="557"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8" x14ac:dyDescent="0.25">
      <c r="B150" s="141">
        <v>141</v>
      </c>
      <c r="C150" s="203"/>
      <c r="D150" s="203"/>
      <c r="E150" s="153"/>
      <c r="F150" s="553" t="str">
        <f>IF(D150="","",VLOOKUP(D150,'G-6 Hedgerow Data'!$B$2:$AG$15,2,FALSE))</f>
        <v/>
      </c>
      <c r="G150" s="499" t="str">
        <f>IF(D150="","",VLOOKUP(D150,'G-6 Hedgerow Data'!$B$2:$AG$15,3,FALSE))</f>
        <v/>
      </c>
      <c r="H150" s="145"/>
      <c r="I150" s="499" t="str">
        <f>IFERROR(VLOOKUP(H150,'G-1 All Habitats'!$Z$2:$AA$9,2,FALSE),"")</f>
        <v/>
      </c>
      <c r="J150" s="145"/>
      <c r="K150" s="507" t="str">
        <f>IF(J150="","",IF(VLOOKUP(J150,'G-3 Multipliers'!$L$3:$N$6,2,FALSE)=0,"Spatial Data Missing",VLOOKUP(J150,'G-3 Multipliers'!$L$3:$N$6,2,FALSE)))</f>
        <v/>
      </c>
      <c r="L150" s="505" t="str">
        <f>IF(J150="","",IF(VLOOKUP(J150,'G-3 Multipliers'!$L$3:$N$6,3,FALSE)=0,"Spatial Data Missing ⚠",VLOOKUP(J150,'G-3 Multipliers'!$L$3:$N$6,3,FALSE)))</f>
        <v/>
      </c>
      <c r="M150" s="506" t="str">
        <f>IF(D150="","",VLOOKUP(D150,'G-6 Hedgerow Data'!$B$1:$AH$15,33,FALSE))</f>
        <v/>
      </c>
      <c r="N150" s="513" t="str">
        <f t="shared" si="16"/>
        <v/>
      </c>
      <c r="O150" s="40"/>
      <c r="P150" s="154"/>
      <c r="Q150" s="203"/>
      <c r="R150" s="532" t="str">
        <f t="shared" si="17"/>
        <v/>
      </c>
      <c r="S150" s="532" t="str">
        <f t="shared" si="18"/>
        <v/>
      </c>
      <c r="T150" s="532" t="str">
        <f t="shared" si="19"/>
        <v/>
      </c>
      <c r="U150" s="557"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8" x14ac:dyDescent="0.25">
      <c r="B151" s="141">
        <v>142</v>
      </c>
      <c r="C151" s="203"/>
      <c r="D151" s="203"/>
      <c r="E151" s="153"/>
      <c r="F151" s="553" t="str">
        <f>IF(D151="","",VLOOKUP(D151,'G-6 Hedgerow Data'!$B$2:$AG$15,2,FALSE))</f>
        <v/>
      </c>
      <c r="G151" s="499" t="str">
        <f>IF(D151="","",VLOOKUP(D151,'G-6 Hedgerow Data'!$B$2:$AG$15,3,FALSE))</f>
        <v/>
      </c>
      <c r="H151" s="145"/>
      <c r="I151" s="499" t="str">
        <f>IFERROR(VLOOKUP(H151,'G-1 All Habitats'!$Z$2:$AA$9,2,FALSE),"")</f>
        <v/>
      </c>
      <c r="J151" s="145"/>
      <c r="K151" s="507" t="str">
        <f>IF(J151="","",IF(VLOOKUP(J151,'G-3 Multipliers'!$L$3:$N$6,2,FALSE)=0,"Spatial Data Missing",VLOOKUP(J151,'G-3 Multipliers'!$L$3:$N$6,2,FALSE)))</f>
        <v/>
      </c>
      <c r="L151" s="505" t="str">
        <f>IF(J151="","",IF(VLOOKUP(J151,'G-3 Multipliers'!$L$3:$N$6,3,FALSE)=0,"Spatial Data Missing ⚠",VLOOKUP(J151,'G-3 Multipliers'!$L$3:$N$6,3,FALSE)))</f>
        <v/>
      </c>
      <c r="M151" s="506" t="str">
        <f>IF(D151="","",VLOOKUP(D151,'G-6 Hedgerow Data'!$B$1:$AH$15,33,FALSE))</f>
        <v/>
      </c>
      <c r="N151" s="513" t="str">
        <f t="shared" si="16"/>
        <v/>
      </c>
      <c r="O151" s="40"/>
      <c r="P151" s="154"/>
      <c r="Q151" s="203"/>
      <c r="R151" s="532" t="str">
        <f t="shared" si="17"/>
        <v/>
      </c>
      <c r="S151" s="532" t="str">
        <f t="shared" si="18"/>
        <v/>
      </c>
      <c r="T151" s="532" t="str">
        <f t="shared" si="19"/>
        <v/>
      </c>
      <c r="U151" s="557"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8" x14ac:dyDescent="0.25">
      <c r="B152" s="141">
        <v>143</v>
      </c>
      <c r="C152" s="203"/>
      <c r="D152" s="203"/>
      <c r="E152" s="153"/>
      <c r="F152" s="553" t="str">
        <f>IF(D152="","",VLOOKUP(D152,'G-6 Hedgerow Data'!$B$2:$AG$15,2,FALSE))</f>
        <v/>
      </c>
      <c r="G152" s="499" t="str">
        <f>IF(D152="","",VLOOKUP(D152,'G-6 Hedgerow Data'!$B$2:$AG$15,3,FALSE))</f>
        <v/>
      </c>
      <c r="H152" s="145"/>
      <c r="I152" s="499" t="str">
        <f>IFERROR(VLOOKUP(H152,'G-1 All Habitats'!$Z$2:$AA$9,2,FALSE),"")</f>
        <v/>
      </c>
      <c r="J152" s="145"/>
      <c r="K152" s="507" t="str">
        <f>IF(J152="","",IF(VLOOKUP(J152,'G-3 Multipliers'!$L$3:$N$6,2,FALSE)=0,"Spatial Data Missing",VLOOKUP(J152,'G-3 Multipliers'!$L$3:$N$6,2,FALSE)))</f>
        <v/>
      </c>
      <c r="L152" s="505" t="str">
        <f>IF(J152="","",IF(VLOOKUP(J152,'G-3 Multipliers'!$L$3:$N$6,3,FALSE)=0,"Spatial Data Missing ⚠",VLOOKUP(J152,'G-3 Multipliers'!$L$3:$N$6,3,FALSE)))</f>
        <v/>
      </c>
      <c r="M152" s="506" t="str">
        <f>IF(D152="","",VLOOKUP(D152,'G-6 Hedgerow Data'!$B$1:$AH$15,33,FALSE))</f>
        <v/>
      </c>
      <c r="N152" s="513" t="str">
        <f t="shared" si="16"/>
        <v/>
      </c>
      <c r="O152" s="40"/>
      <c r="P152" s="154"/>
      <c r="Q152" s="203"/>
      <c r="R152" s="532" t="str">
        <f t="shared" si="17"/>
        <v/>
      </c>
      <c r="S152" s="532" t="str">
        <f t="shared" si="18"/>
        <v/>
      </c>
      <c r="T152" s="532" t="str">
        <f t="shared" si="19"/>
        <v/>
      </c>
      <c r="U152" s="557"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8" x14ac:dyDescent="0.25">
      <c r="B153" s="141">
        <v>144</v>
      </c>
      <c r="C153" s="203"/>
      <c r="D153" s="203"/>
      <c r="E153" s="153"/>
      <c r="F153" s="553" t="str">
        <f>IF(D153="","",VLOOKUP(D153,'G-6 Hedgerow Data'!$B$2:$AG$15,2,FALSE))</f>
        <v/>
      </c>
      <c r="G153" s="499" t="str">
        <f>IF(D153="","",VLOOKUP(D153,'G-6 Hedgerow Data'!$B$2:$AG$15,3,FALSE))</f>
        <v/>
      </c>
      <c r="H153" s="145"/>
      <c r="I153" s="499" t="str">
        <f>IFERROR(VLOOKUP(H153,'G-1 All Habitats'!$Z$2:$AA$9,2,FALSE),"")</f>
        <v/>
      </c>
      <c r="J153" s="145"/>
      <c r="K153" s="507" t="str">
        <f>IF(J153="","",IF(VLOOKUP(J153,'G-3 Multipliers'!$L$3:$N$6,2,FALSE)=0,"Spatial Data Missing",VLOOKUP(J153,'G-3 Multipliers'!$L$3:$N$6,2,FALSE)))</f>
        <v/>
      </c>
      <c r="L153" s="505" t="str">
        <f>IF(J153="","",IF(VLOOKUP(J153,'G-3 Multipliers'!$L$3:$N$6,3,FALSE)=0,"Spatial Data Missing ⚠",VLOOKUP(J153,'G-3 Multipliers'!$L$3:$N$6,3,FALSE)))</f>
        <v/>
      </c>
      <c r="M153" s="506" t="str">
        <f>IF(D153="","",VLOOKUP(D153,'G-6 Hedgerow Data'!$B$1:$AH$15,33,FALSE))</f>
        <v/>
      </c>
      <c r="N153" s="513" t="str">
        <f t="shared" si="16"/>
        <v/>
      </c>
      <c r="O153" s="40"/>
      <c r="P153" s="154"/>
      <c r="Q153" s="203"/>
      <c r="R153" s="532" t="str">
        <f t="shared" si="17"/>
        <v/>
      </c>
      <c r="S153" s="532" t="str">
        <f t="shared" si="18"/>
        <v/>
      </c>
      <c r="T153" s="532" t="str">
        <f t="shared" si="19"/>
        <v/>
      </c>
      <c r="U153" s="557"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8" x14ac:dyDescent="0.25">
      <c r="B154" s="141">
        <v>145</v>
      </c>
      <c r="C154" s="203"/>
      <c r="D154" s="203"/>
      <c r="E154" s="153"/>
      <c r="F154" s="553" t="str">
        <f>IF(D154="","",VLOOKUP(D154,'G-6 Hedgerow Data'!$B$2:$AG$15,2,FALSE))</f>
        <v/>
      </c>
      <c r="G154" s="499" t="str">
        <f>IF(D154="","",VLOOKUP(D154,'G-6 Hedgerow Data'!$B$2:$AG$15,3,FALSE))</f>
        <v/>
      </c>
      <c r="H154" s="145"/>
      <c r="I154" s="499" t="str">
        <f>IFERROR(VLOOKUP(H154,'G-1 All Habitats'!$Z$2:$AA$9,2,FALSE),"")</f>
        <v/>
      </c>
      <c r="J154" s="145"/>
      <c r="K154" s="507" t="str">
        <f>IF(J154="","",IF(VLOOKUP(J154,'G-3 Multipliers'!$L$3:$N$6,2,FALSE)=0,"Spatial Data Missing",VLOOKUP(J154,'G-3 Multipliers'!$L$3:$N$6,2,FALSE)))</f>
        <v/>
      </c>
      <c r="L154" s="505" t="str">
        <f>IF(J154="","",IF(VLOOKUP(J154,'G-3 Multipliers'!$L$3:$N$6,3,FALSE)=0,"Spatial Data Missing ⚠",VLOOKUP(J154,'G-3 Multipliers'!$L$3:$N$6,3,FALSE)))</f>
        <v/>
      </c>
      <c r="M154" s="506" t="str">
        <f>IF(D154="","",VLOOKUP(D154,'G-6 Hedgerow Data'!$B$1:$AH$15,33,FALSE))</f>
        <v/>
      </c>
      <c r="N154" s="513" t="str">
        <f t="shared" si="16"/>
        <v/>
      </c>
      <c r="O154" s="40"/>
      <c r="P154" s="154"/>
      <c r="Q154" s="203"/>
      <c r="R154" s="532" t="str">
        <f t="shared" si="17"/>
        <v/>
      </c>
      <c r="S154" s="532" t="str">
        <f t="shared" si="18"/>
        <v/>
      </c>
      <c r="T154" s="532" t="str">
        <f t="shared" si="19"/>
        <v/>
      </c>
      <c r="U154" s="557"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8" x14ac:dyDescent="0.25">
      <c r="B155" s="141">
        <v>146</v>
      </c>
      <c r="C155" s="203"/>
      <c r="D155" s="203"/>
      <c r="E155" s="153"/>
      <c r="F155" s="553" t="str">
        <f>IF(D155="","",VLOOKUP(D155,'G-6 Hedgerow Data'!$B$2:$AG$15,2,FALSE))</f>
        <v/>
      </c>
      <c r="G155" s="499" t="str">
        <f>IF(D155="","",VLOOKUP(D155,'G-6 Hedgerow Data'!$B$2:$AG$15,3,FALSE))</f>
        <v/>
      </c>
      <c r="H155" s="145"/>
      <c r="I155" s="499" t="str">
        <f>IFERROR(VLOOKUP(H155,'G-1 All Habitats'!$Z$2:$AA$9,2,FALSE),"")</f>
        <v/>
      </c>
      <c r="J155" s="145"/>
      <c r="K155" s="507" t="str">
        <f>IF(J155="","",IF(VLOOKUP(J155,'G-3 Multipliers'!$L$3:$N$6,2,FALSE)=0,"Spatial Data Missing",VLOOKUP(J155,'G-3 Multipliers'!$L$3:$N$6,2,FALSE)))</f>
        <v/>
      </c>
      <c r="L155" s="505" t="str">
        <f>IF(J155="","",IF(VLOOKUP(J155,'G-3 Multipliers'!$L$3:$N$6,3,FALSE)=0,"Spatial Data Missing ⚠",VLOOKUP(J155,'G-3 Multipliers'!$L$3:$N$6,3,FALSE)))</f>
        <v/>
      </c>
      <c r="M155" s="506" t="str">
        <f>IF(D155="","",VLOOKUP(D155,'G-6 Hedgerow Data'!$B$1:$AH$15,33,FALSE))</f>
        <v/>
      </c>
      <c r="N155" s="513" t="str">
        <f t="shared" si="16"/>
        <v/>
      </c>
      <c r="O155" s="40"/>
      <c r="P155" s="154"/>
      <c r="Q155" s="203"/>
      <c r="R155" s="532" t="str">
        <f t="shared" si="17"/>
        <v/>
      </c>
      <c r="S155" s="532" t="str">
        <f t="shared" si="18"/>
        <v/>
      </c>
      <c r="T155" s="532" t="str">
        <f t="shared" si="19"/>
        <v/>
      </c>
      <c r="U155" s="557"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8" x14ac:dyDescent="0.25">
      <c r="B156" s="141">
        <v>147</v>
      </c>
      <c r="C156" s="203"/>
      <c r="D156" s="203"/>
      <c r="E156" s="153"/>
      <c r="F156" s="553" t="str">
        <f>IF(D156="","",VLOOKUP(D156,'G-6 Hedgerow Data'!$B$2:$AG$15,2,FALSE))</f>
        <v/>
      </c>
      <c r="G156" s="499" t="str">
        <f>IF(D156="","",VLOOKUP(D156,'G-6 Hedgerow Data'!$B$2:$AG$15,3,FALSE))</f>
        <v/>
      </c>
      <c r="H156" s="145"/>
      <c r="I156" s="499" t="str">
        <f>IFERROR(VLOOKUP(H156,'G-1 All Habitats'!$Z$2:$AA$9,2,FALSE),"")</f>
        <v/>
      </c>
      <c r="J156" s="145"/>
      <c r="K156" s="507" t="str">
        <f>IF(J156="","",IF(VLOOKUP(J156,'G-3 Multipliers'!$L$3:$N$6,2,FALSE)=0,"Spatial Data Missing",VLOOKUP(J156,'G-3 Multipliers'!$L$3:$N$6,2,FALSE)))</f>
        <v/>
      </c>
      <c r="L156" s="505" t="str">
        <f>IF(J156="","",IF(VLOOKUP(J156,'G-3 Multipliers'!$L$3:$N$6,3,FALSE)=0,"Spatial Data Missing ⚠",VLOOKUP(J156,'G-3 Multipliers'!$L$3:$N$6,3,FALSE)))</f>
        <v/>
      </c>
      <c r="M156" s="506" t="str">
        <f>IF(D156="","",VLOOKUP(D156,'G-6 Hedgerow Data'!$B$1:$AH$15,33,FALSE))</f>
        <v/>
      </c>
      <c r="N156" s="513" t="str">
        <f t="shared" si="16"/>
        <v/>
      </c>
      <c r="O156" s="40"/>
      <c r="P156" s="154"/>
      <c r="Q156" s="203"/>
      <c r="R156" s="532" t="str">
        <f t="shared" si="17"/>
        <v/>
      </c>
      <c r="S156" s="532" t="str">
        <f t="shared" si="18"/>
        <v/>
      </c>
      <c r="T156" s="532" t="str">
        <f t="shared" si="19"/>
        <v/>
      </c>
      <c r="U156" s="557"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8" x14ac:dyDescent="0.25">
      <c r="B157" s="141">
        <v>148</v>
      </c>
      <c r="C157" s="203"/>
      <c r="D157" s="203"/>
      <c r="E157" s="153"/>
      <c r="F157" s="553" t="str">
        <f>IF(D157="","",VLOOKUP(D157,'G-6 Hedgerow Data'!$B$2:$AG$15,2,FALSE))</f>
        <v/>
      </c>
      <c r="G157" s="499" t="str">
        <f>IF(D157="","",VLOOKUP(D157,'G-6 Hedgerow Data'!$B$2:$AG$15,3,FALSE))</f>
        <v/>
      </c>
      <c r="H157" s="145"/>
      <c r="I157" s="499" t="str">
        <f>IFERROR(VLOOKUP(H157,'G-1 All Habitats'!$Z$2:$AA$9,2,FALSE),"")</f>
        <v/>
      </c>
      <c r="J157" s="145"/>
      <c r="K157" s="507" t="str">
        <f>IF(J157="","",IF(VLOOKUP(J157,'G-3 Multipliers'!$L$3:$N$6,2,FALSE)=0,"Spatial Data Missing",VLOOKUP(J157,'G-3 Multipliers'!$L$3:$N$6,2,FALSE)))</f>
        <v/>
      </c>
      <c r="L157" s="505" t="str">
        <f>IF(J157="","",IF(VLOOKUP(J157,'G-3 Multipliers'!$L$3:$N$6,3,FALSE)=0,"Spatial Data Missing ⚠",VLOOKUP(J157,'G-3 Multipliers'!$L$3:$N$6,3,FALSE)))</f>
        <v/>
      </c>
      <c r="M157" s="506" t="str">
        <f>IF(D157="","",VLOOKUP(D157,'G-6 Hedgerow Data'!$B$1:$AH$15,33,FALSE))</f>
        <v/>
      </c>
      <c r="N157" s="513" t="str">
        <f t="shared" si="16"/>
        <v/>
      </c>
      <c r="O157" s="40"/>
      <c r="P157" s="154"/>
      <c r="Q157" s="203"/>
      <c r="R157" s="532" t="str">
        <f t="shared" si="17"/>
        <v/>
      </c>
      <c r="S157" s="532" t="str">
        <f t="shared" si="18"/>
        <v/>
      </c>
      <c r="T157" s="532" t="str">
        <f t="shared" si="19"/>
        <v/>
      </c>
      <c r="U157" s="557"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8" x14ac:dyDescent="0.25">
      <c r="B158" s="141">
        <v>149</v>
      </c>
      <c r="C158" s="203"/>
      <c r="D158" s="203"/>
      <c r="E158" s="153"/>
      <c r="F158" s="553" t="str">
        <f>IF(D158="","",VLOOKUP(D158,'G-6 Hedgerow Data'!$B$2:$AG$15,2,FALSE))</f>
        <v/>
      </c>
      <c r="G158" s="499" t="str">
        <f>IF(D158="","",VLOOKUP(D158,'G-6 Hedgerow Data'!$B$2:$AG$15,3,FALSE))</f>
        <v/>
      </c>
      <c r="H158" s="145"/>
      <c r="I158" s="499" t="str">
        <f>IFERROR(VLOOKUP(H158,'G-1 All Habitats'!$Z$2:$AA$9,2,FALSE),"")</f>
        <v/>
      </c>
      <c r="J158" s="145"/>
      <c r="K158" s="507" t="str">
        <f>IF(J158="","",IF(VLOOKUP(J158,'G-3 Multipliers'!$L$3:$N$6,2,FALSE)=0,"Spatial Data Missing",VLOOKUP(J158,'G-3 Multipliers'!$L$3:$N$6,2,FALSE)))</f>
        <v/>
      </c>
      <c r="L158" s="505" t="str">
        <f>IF(J158="","",IF(VLOOKUP(J158,'G-3 Multipliers'!$L$3:$N$6,3,FALSE)=0,"Spatial Data Missing ⚠",VLOOKUP(J158,'G-3 Multipliers'!$L$3:$N$6,3,FALSE)))</f>
        <v/>
      </c>
      <c r="M158" s="506" t="str">
        <f>IF(D158="","",VLOOKUP(D158,'G-6 Hedgerow Data'!$B$1:$AH$15,33,FALSE))</f>
        <v/>
      </c>
      <c r="N158" s="513" t="str">
        <f t="shared" si="16"/>
        <v/>
      </c>
      <c r="O158" s="40"/>
      <c r="P158" s="154"/>
      <c r="Q158" s="203"/>
      <c r="R158" s="532" t="str">
        <f t="shared" si="17"/>
        <v/>
      </c>
      <c r="S158" s="532" t="str">
        <f t="shared" si="18"/>
        <v/>
      </c>
      <c r="T158" s="532" t="str">
        <f t="shared" si="19"/>
        <v/>
      </c>
      <c r="U158" s="557"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8" x14ac:dyDescent="0.25">
      <c r="B159" s="141">
        <v>150</v>
      </c>
      <c r="C159" s="203"/>
      <c r="D159" s="203"/>
      <c r="E159" s="153"/>
      <c r="F159" s="553" t="str">
        <f>IF(D159="","",VLOOKUP(D159,'G-6 Hedgerow Data'!$B$2:$AG$15,2,FALSE))</f>
        <v/>
      </c>
      <c r="G159" s="499" t="str">
        <f>IF(D159="","",VLOOKUP(D159,'G-6 Hedgerow Data'!$B$2:$AG$15,3,FALSE))</f>
        <v/>
      </c>
      <c r="H159" s="145"/>
      <c r="I159" s="499" t="str">
        <f>IFERROR(VLOOKUP(H159,'G-1 All Habitats'!$Z$2:$AA$9,2,FALSE),"")</f>
        <v/>
      </c>
      <c r="J159" s="145"/>
      <c r="K159" s="507" t="str">
        <f>IF(J159="","",IF(VLOOKUP(J159,'G-3 Multipliers'!$L$3:$N$6,2,FALSE)=0,"Spatial Data Missing",VLOOKUP(J159,'G-3 Multipliers'!$L$3:$N$6,2,FALSE)))</f>
        <v/>
      </c>
      <c r="L159" s="505" t="str">
        <f>IF(J159="","",IF(VLOOKUP(J159,'G-3 Multipliers'!$L$3:$N$6,3,FALSE)=0,"Spatial Data Missing ⚠",VLOOKUP(J159,'G-3 Multipliers'!$L$3:$N$6,3,FALSE)))</f>
        <v/>
      </c>
      <c r="M159" s="506" t="str">
        <f>IF(D159="","",VLOOKUP(D159,'G-6 Hedgerow Data'!$B$1:$AH$15,33,FALSE))</f>
        <v/>
      </c>
      <c r="N159" s="513" t="str">
        <f t="shared" si="16"/>
        <v/>
      </c>
      <c r="O159" s="40"/>
      <c r="P159" s="154"/>
      <c r="Q159" s="203"/>
      <c r="R159" s="532" t="str">
        <f t="shared" si="17"/>
        <v/>
      </c>
      <c r="S159" s="532" t="str">
        <f t="shared" si="18"/>
        <v/>
      </c>
      <c r="T159" s="532" t="str">
        <f t="shared" si="19"/>
        <v/>
      </c>
      <c r="U159" s="557"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8" x14ac:dyDescent="0.25">
      <c r="B160" s="141">
        <v>151</v>
      </c>
      <c r="C160" s="203"/>
      <c r="D160" s="203"/>
      <c r="E160" s="153"/>
      <c r="F160" s="553" t="str">
        <f>IF(D160="","",VLOOKUP(D160,'G-6 Hedgerow Data'!$B$2:$AG$15,2,FALSE))</f>
        <v/>
      </c>
      <c r="G160" s="499" t="str">
        <f>IF(D160="","",VLOOKUP(D160,'G-6 Hedgerow Data'!$B$2:$AG$15,3,FALSE))</f>
        <v/>
      </c>
      <c r="H160" s="145"/>
      <c r="I160" s="499" t="str">
        <f>IFERROR(VLOOKUP(H160,'G-1 All Habitats'!$Z$2:$AA$9,2,FALSE),"")</f>
        <v/>
      </c>
      <c r="J160" s="145"/>
      <c r="K160" s="507" t="str">
        <f>IF(J160="","",IF(VLOOKUP(J160,'G-3 Multipliers'!$L$3:$N$6,2,FALSE)=0,"Spatial Data Missing",VLOOKUP(J160,'G-3 Multipliers'!$L$3:$N$6,2,FALSE)))</f>
        <v/>
      </c>
      <c r="L160" s="505" t="str">
        <f>IF(J160="","",IF(VLOOKUP(J160,'G-3 Multipliers'!$L$3:$N$6,3,FALSE)=0,"Spatial Data Missing ⚠",VLOOKUP(J160,'G-3 Multipliers'!$L$3:$N$6,3,FALSE)))</f>
        <v/>
      </c>
      <c r="M160" s="506" t="str">
        <f>IF(D160="","",VLOOKUP(D160,'G-6 Hedgerow Data'!$B$1:$AH$15,33,FALSE))</f>
        <v/>
      </c>
      <c r="N160" s="513" t="str">
        <f t="shared" si="16"/>
        <v/>
      </c>
      <c r="O160" s="40"/>
      <c r="P160" s="154"/>
      <c r="Q160" s="203"/>
      <c r="R160" s="532" t="str">
        <f t="shared" si="17"/>
        <v/>
      </c>
      <c r="S160" s="532" t="str">
        <f t="shared" si="18"/>
        <v/>
      </c>
      <c r="T160" s="532" t="str">
        <f t="shared" si="19"/>
        <v/>
      </c>
      <c r="U160" s="557"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8" x14ac:dyDescent="0.25">
      <c r="B161" s="141">
        <v>152</v>
      </c>
      <c r="C161" s="203"/>
      <c r="D161" s="203"/>
      <c r="E161" s="153"/>
      <c r="F161" s="553" t="str">
        <f>IF(D161="","",VLOOKUP(D161,'G-6 Hedgerow Data'!$B$2:$AG$15,2,FALSE))</f>
        <v/>
      </c>
      <c r="G161" s="499" t="str">
        <f>IF(D161="","",VLOOKUP(D161,'G-6 Hedgerow Data'!$B$2:$AG$15,3,FALSE))</f>
        <v/>
      </c>
      <c r="H161" s="145"/>
      <c r="I161" s="499" t="str">
        <f>IFERROR(VLOOKUP(H161,'G-1 All Habitats'!$Z$2:$AA$9,2,FALSE),"")</f>
        <v/>
      </c>
      <c r="J161" s="145"/>
      <c r="K161" s="507" t="str">
        <f>IF(J161="","",IF(VLOOKUP(J161,'G-3 Multipliers'!$L$3:$N$6,2,FALSE)=0,"Spatial Data Missing",VLOOKUP(J161,'G-3 Multipliers'!$L$3:$N$6,2,FALSE)))</f>
        <v/>
      </c>
      <c r="L161" s="505" t="str">
        <f>IF(J161="","",IF(VLOOKUP(J161,'G-3 Multipliers'!$L$3:$N$6,3,FALSE)=0,"Spatial Data Missing ⚠",VLOOKUP(J161,'G-3 Multipliers'!$L$3:$N$6,3,FALSE)))</f>
        <v/>
      </c>
      <c r="M161" s="506" t="str">
        <f>IF(D161="","",VLOOKUP(D161,'G-6 Hedgerow Data'!$B$1:$AH$15,33,FALSE))</f>
        <v/>
      </c>
      <c r="N161" s="513" t="str">
        <f t="shared" si="16"/>
        <v/>
      </c>
      <c r="O161" s="40"/>
      <c r="P161" s="154"/>
      <c r="Q161" s="203"/>
      <c r="R161" s="532" t="str">
        <f t="shared" si="17"/>
        <v/>
      </c>
      <c r="S161" s="532" t="str">
        <f t="shared" si="18"/>
        <v/>
      </c>
      <c r="T161" s="532" t="str">
        <f t="shared" si="19"/>
        <v/>
      </c>
      <c r="U161" s="557"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8" x14ac:dyDescent="0.25">
      <c r="B162" s="141">
        <v>153</v>
      </c>
      <c r="C162" s="203"/>
      <c r="D162" s="203"/>
      <c r="E162" s="153"/>
      <c r="F162" s="553" t="str">
        <f>IF(D162="","",VLOOKUP(D162,'G-6 Hedgerow Data'!$B$2:$AG$15,2,FALSE))</f>
        <v/>
      </c>
      <c r="G162" s="499" t="str">
        <f>IF(D162="","",VLOOKUP(D162,'G-6 Hedgerow Data'!$B$2:$AG$15,3,FALSE))</f>
        <v/>
      </c>
      <c r="H162" s="145"/>
      <c r="I162" s="499" t="str">
        <f>IFERROR(VLOOKUP(H162,'G-1 All Habitats'!$Z$2:$AA$9,2,FALSE),"")</f>
        <v/>
      </c>
      <c r="J162" s="145"/>
      <c r="K162" s="507" t="str">
        <f>IF(J162="","",IF(VLOOKUP(J162,'G-3 Multipliers'!$L$3:$N$6,2,FALSE)=0,"Spatial Data Missing",VLOOKUP(J162,'G-3 Multipliers'!$L$3:$N$6,2,FALSE)))</f>
        <v/>
      </c>
      <c r="L162" s="505" t="str">
        <f>IF(J162="","",IF(VLOOKUP(J162,'G-3 Multipliers'!$L$3:$N$6,3,FALSE)=0,"Spatial Data Missing ⚠",VLOOKUP(J162,'G-3 Multipliers'!$L$3:$N$6,3,FALSE)))</f>
        <v/>
      </c>
      <c r="M162" s="506" t="str">
        <f>IF(D162="","",VLOOKUP(D162,'G-6 Hedgerow Data'!$B$1:$AH$15,33,FALSE))</f>
        <v/>
      </c>
      <c r="N162" s="513" t="str">
        <f t="shared" si="16"/>
        <v/>
      </c>
      <c r="O162" s="40"/>
      <c r="P162" s="154"/>
      <c r="Q162" s="203"/>
      <c r="R162" s="532" t="str">
        <f t="shared" si="17"/>
        <v/>
      </c>
      <c r="S162" s="532" t="str">
        <f t="shared" si="18"/>
        <v/>
      </c>
      <c r="T162" s="532" t="str">
        <f t="shared" si="19"/>
        <v/>
      </c>
      <c r="U162" s="557"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8" x14ac:dyDescent="0.25">
      <c r="B163" s="141">
        <v>154</v>
      </c>
      <c r="C163" s="203"/>
      <c r="D163" s="203"/>
      <c r="E163" s="153"/>
      <c r="F163" s="553" t="str">
        <f>IF(D163="","",VLOOKUP(D163,'G-6 Hedgerow Data'!$B$2:$AG$15,2,FALSE))</f>
        <v/>
      </c>
      <c r="G163" s="499" t="str">
        <f>IF(D163="","",VLOOKUP(D163,'G-6 Hedgerow Data'!$B$2:$AG$15,3,FALSE))</f>
        <v/>
      </c>
      <c r="H163" s="145"/>
      <c r="I163" s="499" t="str">
        <f>IFERROR(VLOOKUP(H163,'G-1 All Habitats'!$Z$2:$AA$9,2,FALSE),"")</f>
        <v/>
      </c>
      <c r="J163" s="145"/>
      <c r="K163" s="507" t="str">
        <f>IF(J163="","",IF(VLOOKUP(J163,'G-3 Multipliers'!$L$3:$N$6,2,FALSE)=0,"Spatial Data Missing",VLOOKUP(J163,'G-3 Multipliers'!$L$3:$N$6,2,FALSE)))</f>
        <v/>
      </c>
      <c r="L163" s="505" t="str">
        <f>IF(J163="","",IF(VLOOKUP(J163,'G-3 Multipliers'!$L$3:$N$6,3,FALSE)=0,"Spatial Data Missing ⚠",VLOOKUP(J163,'G-3 Multipliers'!$L$3:$N$6,3,FALSE)))</f>
        <v/>
      </c>
      <c r="M163" s="506" t="str">
        <f>IF(D163="","",VLOOKUP(D163,'G-6 Hedgerow Data'!$B$1:$AH$15,33,FALSE))</f>
        <v/>
      </c>
      <c r="N163" s="513" t="str">
        <f t="shared" si="16"/>
        <v/>
      </c>
      <c r="O163" s="40"/>
      <c r="P163" s="154"/>
      <c r="Q163" s="203"/>
      <c r="R163" s="532" t="str">
        <f t="shared" si="17"/>
        <v/>
      </c>
      <c r="S163" s="532" t="str">
        <f t="shared" si="18"/>
        <v/>
      </c>
      <c r="T163" s="532" t="str">
        <f t="shared" si="19"/>
        <v/>
      </c>
      <c r="U163" s="557"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8" x14ac:dyDescent="0.25">
      <c r="B164" s="141">
        <v>155</v>
      </c>
      <c r="C164" s="203"/>
      <c r="D164" s="203"/>
      <c r="E164" s="153"/>
      <c r="F164" s="553" t="str">
        <f>IF(D164="","",VLOOKUP(D164,'G-6 Hedgerow Data'!$B$2:$AG$15,2,FALSE))</f>
        <v/>
      </c>
      <c r="G164" s="499" t="str">
        <f>IF(D164="","",VLOOKUP(D164,'G-6 Hedgerow Data'!$B$2:$AG$15,3,FALSE))</f>
        <v/>
      </c>
      <c r="H164" s="145"/>
      <c r="I164" s="499" t="str">
        <f>IFERROR(VLOOKUP(H164,'G-1 All Habitats'!$Z$2:$AA$9,2,FALSE),"")</f>
        <v/>
      </c>
      <c r="J164" s="145"/>
      <c r="K164" s="507" t="str">
        <f>IF(J164="","",IF(VLOOKUP(J164,'G-3 Multipliers'!$L$3:$N$6,2,FALSE)=0,"Spatial Data Missing",VLOOKUP(J164,'G-3 Multipliers'!$L$3:$N$6,2,FALSE)))</f>
        <v/>
      </c>
      <c r="L164" s="505" t="str">
        <f>IF(J164="","",IF(VLOOKUP(J164,'G-3 Multipliers'!$L$3:$N$6,3,FALSE)=0,"Spatial Data Missing ⚠",VLOOKUP(J164,'G-3 Multipliers'!$L$3:$N$6,3,FALSE)))</f>
        <v/>
      </c>
      <c r="M164" s="506" t="str">
        <f>IF(D164="","",VLOOKUP(D164,'G-6 Hedgerow Data'!$B$1:$AH$15,33,FALSE))</f>
        <v/>
      </c>
      <c r="N164" s="513" t="str">
        <f t="shared" si="16"/>
        <v/>
      </c>
      <c r="O164" s="40"/>
      <c r="P164" s="154"/>
      <c r="Q164" s="203"/>
      <c r="R164" s="532" t="str">
        <f t="shared" si="17"/>
        <v/>
      </c>
      <c r="S164" s="532" t="str">
        <f t="shared" si="18"/>
        <v/>
      </c>
      <c r="T164" s="532" t="str">
        <f t="shared" si="19"/>
        <v/>
      </c>
      <c r="U164" s="557"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8" x14ac:dyDescent="0.25">
      <c r="B165" s="141">
        <v>156</v>
      </c>
      <c r="C165" s="203"/>
      <c r="D165" s="203"/>
      <c r="E165" s="153"/>
      <c r="F165" s="553" t="str">
        <f>IF(D165="","",VLOOKUP(D165,'G-6 Hedgerow Data'!$B$2:$AG$15,2,FALSE))</f>
        <v/>
      </c>
      <c r="G165" s="499" t="str">
        <f>IF(D165="","",VLOOKUP(D165,'G-6 Hedgerow Data'!$B$2:$AG$15,3,FALSE))</f>
        <v/>
      </c>
      <c r="H165" s="145"/>
      <c r="I165" s="499" t="str">
        <f>IFERROR(VLOOKUP(H165,'G-1 All Habitats'!$Z$2:$AA$9,2,FALSE),"")</f>
        <v/>
      </c>
      <c r="J165" s="145"/>
      <c r="K165" s="507" t="str">
        <f>IF(J165="","",IF(VLOOKUP(J165,'G-3 Multipliers'!$L$3:$N$6,2,FALSE)=0,"Spatial Data Missing",VLOOKUP(J165,'G-3 Multipliers'!$L$3:$N$6,2,FALSE)))</f>
        <v/>
      </c>
      <c r="L165" s="505" t="str">
        <f>IF(J165="","",IF(VLOOKUP(J165,'G-3 Multipliers'!$L$3:$N$6,3,FALSE)=0,"Spatial Data Missing ⚠",VLOOKUP(J165,'G-3 Multipliers'!$L$3:$N$6,3,FALSE)))</f>
        <v/>
      </c>
      <c r="M165" s="506" t="str">
        <f>IF(D165="","",VLOOKUP(D165,'G-6 Hedgerow Data'!$B$1:$AH$15,33,FALSE))</f>
        <v/>
      </c>
      <c r="N165" s="513" t="str">
        <f t="shared" si="16"/>
        <v/>
      </c>
      <c r="O165" s="40"/>
      <c r="P165" s="154"/>
      <c r="Q165" s="203"/>
      <c r="R165" s="532" t="str">
        <f t="shared" si="17"/>
        <v/>
      </c>
      <c r="S165" s="532" t="str">
        <f t="shared" si="18"/>
        <v/>
      </c>
      <c r="T165" s="532" t="str">
        <f t="shared" si="19"/>
        <v/>
      </c>
      <c r="U165" s="557"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8" x14ac:dyDescent="0.25">
      <c r="B166" s="141">
        <v>157</v>
      </c>
      <c r="C166" s="203"/>
      <c r="D166" s="203"/>
      <c r="E166" s="153"/>
      <c r="F166" s="553" t="str">
        <f>IF(D166="","",VLOOKUP(D166,'G-6 Hedgerow Data'!$B$2:$AG$15,2,FALSE))</f>
        <v/>
      </c>
      <c r="G166" s="499" t="str">
        <f>IF(D166="","",VLOOKUP(D166,'G-6 Hedgerow Data'!$B$2:$AG$15,3,FALSE))</f>
        <v/>
      </c>
      <c r="H166" s="145"/>
      <c r="I166" s="499" t="str">
        <f>IFERROR(VLOOKUP(H166,'G-1 All Habitats'!$Z$2:$AA$9,2,FALSE),"")</f>
        <v/>
      </c>
      <c r="J166" s="145"/>
      <c r="K166" s="507" t="str">
        <f>IF(J166="","",IF(VLOOKUP(J166,'G-3 Multipliers'!$L$3:$N$6,2,FALSE)=0,"Spatial Data Missing",VLOOKUP(J166,'G-3 Multipliers'!$L$3:$N$6,2,FALSE)))</f>
        <v/>
      </c>
      <c r="L166" s="505" t="str">
        <f>IF(J166="","",IF(VLOOKUP(J166,'G-3 Multipliers'!$L$3:$N$6,3,FALSE)=0,"Spatial Data Missing ⚠",VLOOKUP(J166,'G-3 Multipliers'!$L$3:$N$6,3,FALSE)))</f>
        <v/>
      </c>
      <c r="M166" s="506" t="str">
        <f>IF(D166="","",VLOOKUP(D166,'G-6 Hedgerow Data'!$B$1:$AH$15,33,FALSE))</f>
        <v/>
      </c>
      <c r="N166" s="513" t="str">
        <f t="shared" si="16"/>
        <v/>
      </c>
      <c r="O166" s="40"/>
      <c r="P166" s="154"/>
      <c r="Q166" s="203"/>
      <c r="R166" s="532" t="str">
        <f t="shared" si="17"/>
        <v/>
      </c>
      <c r="S166" s="532" t="str">
        <f t="shared" si="18"/>
        <v/>
      </c>
      <c r="T166" s="532" t="str">
        <f t="shared" si="19"/>
        <v/>
      </c>
      <c r="U166" s="557"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8" x14ac:dyDescent="0.25">
      <c r="B167" s="141">
        <v>158</v>
      </c>
      <c r="C167" s="203"/>
      <c r="D167" s="203"/>
      <c r="E167" s="153"/>
      <c r="F167" s="553" t="str">
        <f>IF(D167="","",VLOOKUP(D167,'G-6 Hedgerow Data'!$B$2:$AG$15,2,FALSE))</f>
        <v/>
      </c>
      <c r="G167" s="499" t="str">
        <f>IF(D167="","",VLOOKUP(D167,'G-6 Hedgerow Data'!$B$2:$AG$15,3,FALSE))</f>
        <v/>
      </c>
      <c r="H167" s="145"/>
      <c r="I167" s="499" t="str">
        <f>IFERROR(VLOOKUP(H167,'G-1 All Habitats'!$Z$2:$AA$9,2,FALSE),"")</f>
        <v/>
      </c>
      <c r="J167" s="145"/>
      <c r="K167" s="507" t="str">
        <f>IF(J167="","",IF(VLOOKUP(J167,'G-3 Multipliers'!$L$3:$N$6,2,FALSE)=0,"Spatial Data Missing",VLOOKUP(J167,'G-3 Multipliers'!$L$3:$N$6,2,FALSE)))</f>
        <v/>
      </c>
      <c r="L167" s="505" t="str">
        <f>IF(J167="","",IF(VLOOKUP(J167,'G-3 Multipliers'!$L$3:$N$6,3,FALSE)=0,"Spatial Data Missing ⚠",VLOOKUP(J167,'G-3 Multipliers'!$L$3:$N$6,3,FALSE)))</f>
        <v/>
      </c>
      <c r="M167" s="506" t="str">
        <f>IF(D167="","",VLOOKUP(D167,'G-6 Hedgerow Data'!$B$1:$AH$15,33,FALSE))</f>
        <v/>
      </c>
      <c r="N167" s="513" t="str">
        <f t="shared" si="16"/>
        <v/>
      </c>
      <c r="O167" s="40"/>
      <c r="P167" s="154"/>
      <c r="Q167" s="203"/>
      <c r="R167" s="532" t="str">
        <f t="shared" si="17"/>
        <v/>
      </c>
      <c r="S167" s="532" t="str">
        <f t="shared" si="18"/>
        <v/>
      </c>
      <c r="T167" s="532" t="str">
        <f t="shared" si="19"/>
        <v/>
      </c>
      <c r="U167" s="557"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8" x14ac:dyDescent="0.25">
      <c r="B168" s="141">
        <v>159</v>
      </c>
      <c r="C168" s="203"/>
      <c r="D168" s="203"/>
      <c r="E168" s="153"/>
      <c r="F168" s="553" t="str">
        <f>IF(D168="","",VLOOKUP(D168,'G-6 Hedgerow Data'!$B$2:$AG$15,2,FALSE))</f>
        <v/>
      </c>
      <c r="G168" s="499" t="str">
        <f>IF(D168="","",VLOOKUP(D168,'G-6 Hedgerow Data'!$B$2:$AG$15,3,FALSE))</f>
        <v/>
      </c>
      <c r="H168" s="145"/>
      <c r="I168" s="499" t="str">
        <f>IFERROR(VLOOKUP(H168,'G-1 All Habitats'!$Z$2:$AA$9,2,FALSE),"")</f>
        <v/>
      </c>
      <c r="J168" s="145"/>
      <c r="K168" s="507" t="str">
        <f>IF(J168="","",IF(VLOOKUP(J168,'G-3 Multipliers'!$L$3:$N$6,2,FALSE)=0,"Spatial Data Missing",VLOOKUP(J168,'G-3 Multipliers'!$L$3:$N$6,2,FALSE)))</f>
        <v/>
      </c>
      <c r="L168" s="505" t="str">
        <f>IF(J168="","",IF(VLOOKUP(J168,'G-3 Multipliers'!$L$3:$N$6,3,FALSE)=0,"Spatial Data Missing ⚠",VLOOKUP(J168,'G-3 Multipliers'!$L$3:$N$6,3,FALSE)))</f>
        <v/>
      </c>
      <c r="M168" s="506" t="str">
        <f>IF(D168="","",VLOOKUP(D168,'G-6 Hedgerow Data'!$B$1:$AH$15,33,FALSE))</f>
        <v/>
      </c>
      <c r="N168" s="513" t="str">
        <f t="shared" si="16"/>
        <v/>
      </c>
      <c r="O168" s="40"/>
      <c r="P168" s="154"/>
      <c r="Q168" s="203"/>
      <c r="R168" s="532" t="str">
        <f t="shared" si="17"/>
        <v/>
      </c>
      <c r="S168" s="532" t="str">
        <f t="shared" si="18"/>
        <v/>
      </c>
      <c r="T168" s="532" t="str">
        <f t="shared" si="19"/>
        <v/>
      </c>
      <c r="U168" s="557"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8" x14ac:dyDescent="0.25">
      <c r="B169" s="141">
        <v>160</v>
      </c>
      <c r="C169" s="203"/>
      <c r="D169" s="203"/>
      <c r="E169" s="153"/>
      <c r="F169" s="553" t="str">
        <f>IF(D169="","",VLOOKUP(D169,'G-6 Hedgerow Data'!$B$2:$AG$15,2,FALSE))</f>
        <v/>
      </c>
      <c r="G169" s="499" t="str">
        <f>IF(D169="","",VLOOKUP(D169,'G-6 Hedgerow Data'!$B$2:$AG$15,3,FALSE))</f>
        <v/>
      </c>
      <c r="H169" s="145"/>
      <c r="I169" s="499" t="str">
        <f>IFERROR(VLOOKUP(H169,'G-1 All Habitats'!$Z$2:$AA$9,2,FALSE),"")</f>
        <v/>
      </c>
      <c r="J169" s="145"/>
      <c r="K169" s="507" t="str">
        <f>IF(J169="","",IF(VLOOKUP(J169,'G-3 Multipliers'!$L$3:$N$6,2,FALSE)=0,"Spatial Data Missing",VLOOKUP(J169,'G-3 Multipliers'!$L$3:$N$6,2,FALSE)))</f>
        <v/>
      </c>
      <c r="L169" s="505" t="str">
        <f>IF(J169="","",IF(VLOOKUP(J169,'G-3 Multipliers'!$L$3:$N$6,3,FALSE)=0,"Spatial Data Missing ⚠",VLOOKUP(J169,'G-3 Multipliers'!$L$3:$N$6,3,FALSE)))</f>
        <v/>
      </c>
      <c r="M169" s="506" t="str">
        <f>IF(D169="","",VLOOKUP(D169,'G-6 Hedgerow Data'!$B$1:$AH$15,33,FALSE))</f>
        <v/>
      </c>
      <c r="N169" s="513" t="str">
        <f t="shared" si="16"/>
        <v/>
      </c>
      <c r="O169" s="40"/>
      <c r="P169" s="154"/>
      <c r="Q169" s="203"/>
      <c r="R169" s="532" t="str">
        <f t="shared" si="17"/>
        <v/>
      </c>
      <c r="S169" s="532" t="str">
        <f t="shared" si="18"/>
        <v/>
      </c>
      <c r="T169" s="532" t="str">
        <f t="shared" si="19"/>
        <v/>
      </c>
      <c r="U169" s="557"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8" x14ac:dyDescent="0.25">
      <c r="B170" s="141">
        <v>161</v>
      </c>
      <c r="C170" s="203"/>
      <c r="D170" s="203"/>
      <c r="E170" s="153"/>
      <c r="F170" s="553" t="str">
        <f>IF(D170="","",VLOOKUP(D170,'G-6 Hedgerow Data'!$B$2:$AG$15,2,FALSE))</f>
        <v/>
      </c>
      <c r="G170" s="499" t="str">
        <f>IF(D170="","",VLOOKUP(D170,'G-6 Hedgerow Data'!$B$2:$AG$15,3,FALSE))</f>
        <v/>
      </c>
      <c r="H170" s="145"/>
      <c r="I170" s="499" t="str">
        <f>IFERROR(VLOOKUP(H170,'G-1 All Habitats'!$Z$2:$AA$9,2,FALSE),"")</f>
        <v/>
      </c>
      <c r="J170" s="145"/>
      <c r="K170" s="507" t="str">
        <f>IF(J170="","",IF(VLOOKUP(J170,'G-3 Multipliers'!$L$3:$N$6,2,FALSE)=0,"Spatial Data Missing",VLOOKUP(J170,'G-3 Multipliers'!$L$3:$N$6,2,FALSE)))</f>
        <v/>
      </c>
      <c r="L170" s="505" t="str">
        <f>IF(J170="","",IF(VLOOKUP(J170,'G-3 Multipliers'!$L$3:$N$6,3,FALSE)=0,"Spatial Data Missing ⚠",VLOOKUP(J170,'G-3 Multipliers'!$L$3:$N$6,3,FALSE)))</f>
        <v/>
      </c>
      <c r="M170" s="506" t="str">
        <f>IF(D170="","",VLOOKUP(D170,'G-6 Hedgerow Data'!$B$1:$AH$15,33,FALSE))</f>
        <v/>
      </c>
      <c r="N170" s="513" t="str">
        <f t="shared" si="16"/>
        <v/>
      </c>
      <c r="O170" s="40"/>
      <c r="P170" s="154"/>
      <c r="Q170" s="203"/>
      <c r="R170" s="532" t="str">
        <f t="shared" si="17"/>
        <v/>
      </c>
      <c r="S170" s="532" t="str">
        <f t="shared" si="18"/>
        <v/>
      </c>
      <c r="T170" s="532" t="str">
        <f t="shared" si="19"/>
        <v/>
      </c>
      <c r="U170" s="557"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8" x14ac:dyDescent="0.25">
      <c r="B171" s="141">
        <v>162</v>
      </c>
      <c r="C171" s="203"/>
      <c r="D171" s="203"/>
      <c r="E171" s="153"/>
      <c r="F171" s="553" t="str">
        <f>IF(D171="","",VLOOKUP(D171,'G-6 Hedgerow Data'!$B$2:$AG$15,2,FALSE))</f>
        <v/>
      </c>
      <c r="G171" s="499" t="str">
        <f>IF(D171="","",VLOOKUP(D171,'G-6 Hedgerow Data'!$B$2:$AG$15,3,FALSE))</f>
        <v/>
      </c>
      <c r="H171" s="145"/>
      <c r="I171" s="499" t="str">
        <f>IFERROR(VLOOKUP(H171,'G-1 All Habitats'!$Z$2:$AA$9,2,FALSE),"")</f>
        <v/>
      </c>
      <c r="J171" s="145"/>
      <c r="K171" s="507" t="str">
        <f>IF(J171="","",IF(VLOOKUP(J171,'G-3 Multipliers'!$L$3:$N$6,2,FALSE)=0,"Spatial Data Missing",VLOOKUP(J171,'G-3 Multipliers'!$L$3:$N$6,2,FALSE)))</f>
        <v/>
      </c>
      <c r="L171" s="505" t="str">
        <f>IF(J171="","",IF(VLOOKUP(J171,'G-3 Multipliers'!$L$3:$N$6,3,FALSE)=0,"Spatial Data Missing ⚠",VLOOKUP(J171,'G-3 Multipliers'!$L$3:$N$6,3,FALSE)))</f>
        <v/>
      </c>
      <c r="M171" s="506" t="str">
        <f>IF(D171="","",VLOOKUP(D171,'G-6 Hedgerow Data'!$B$1:$AH$15,33,FALSE))</f>
        <v/>
      </c>
      <c r="N171" s="513" t="str">
        <f t="shared" si="16"/>
        <v/>
      </c>
      <c r="O171" s="40"/>
      <c r="P171" s="154"/>
      <c r="Q171" s="203"/>
      <c r="R171" s="532" t="str">
        <f t="shared" si="17"/>
        <v/>
      </c>
      <c r="S171" s="532" t="str">
        <f t="shared" si="18"/>
        <v/>
      </c>
      <c r="T171" s="532" t="str">
        <f t="shared" si="19"/>
        <v/>
      </c>
      <c r="U171" s="557"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8" x14ac:dyDescent="0.25">
      <c r="B172" s="141">
        <v>163</v>
      </c>
      <c r="C172" s="203"/>
      <c r="D172" s="203"/>
      <c r="E172" s="153"/>
      <c r="F172" s="553" t="str">
        <f>IF(D172="","",VLOOKUP(D172,'G-6 Hedgerow Data'!$B$2:$AG$15,2,FALSE))</f>
        <v/>
      </c>
      <c r="G172" s="499" t="str">
        <f>IF(D172="","",VLOOKUP(D172,'G-6 Hedgerow Data'!$B$2:$AG$15,3,FALSE))</f>
        <v/>
      </c>
      <c r="H172" s="145"/>
      <c r="I172" s="499" t="str">
        <f>IFERROR(VLOOKUP(H172,'G-1 All Habitats'!$Z$2:$AA$9,2,FALSE),"")</f>
        <v/>
      </c>
      <c r="J172" s="145"/>
      <c r="K172" s="507" t="str">
        <f>IF(J172="","",IF(VLOOKUP(J172,'G-3 Multipliers'!$L$3:$N$6,2,FALSE)=0,"Spatial Data Missing",VLOOKUP(J172,'G-3 Multipliers'!$L$3:$N$6,2,FALSE)))</f>
        <v/>
      </c>
      <c r="L172" s="505" t="str">
        <f>IF(J172="","",IF(VLOOKUP(J172,'G-3 Multipliers'!$L$3:$N$6,3,FALSE)=0,"Spatial Data Missing ⚠",VLOOKUP(J172,'G-3 Multipliers'!$L$3:$N$6,3,FALSE)))</f>
        <v/>
      </c>
      <c r="M172" s="506" t="str">
        <f>IF(D172="","",VLOOKUP(D172,'G-6 Hedgerow Data'!$B$1:$AH$15,33,FALSE))</f>
        <v/>
      </c>
      <c r="N172" s="513" t="str">
        <f t="shared" si="16"/>
        <v/>
      </c>
      <c r="O172" s="40"/>
      <c r="P172" s="154"/>
      <c r="Q172" s="203"/>
      <c r="R172" s="532" t="str">
        <f t="shared" si="17"/>
        <v/>
      </c>
      <c r="S172" s="532" t="str">
        <f t="shared" si="18"/>
        <v/>
      </c>
      <c r="T172" s="532" t="str">
        <f t="shared" si="19"/>
        <v/>
      </c>
      <c r="U172" s="557"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8" x14ac:dyDescent="0.25">
      <c r="B173" s="141">
        <v>164</v>
      </c>
      <c r="C173" s="203"/>
      <c r="D173" s="203"/>
      <c r="E173" s="153"/>
      <c r="F173" s="553" t="str">
        <f>IF(D173="","",VLOOKUP(D173,'G-6 Hedgerow Data'!$B$2:$AG$15,2,FALSE))</f>
        <v/>
      </c>
      <c r="G173" s="499" t="str">
        <f>IF(D173="","",VLOOKUP(D173,'G-6 Hedgerow Data'!$B$2:$AG$15,3,FALSE))</f>
        <v/>
      </c>
      <c r="H173" s="145"/>
      <c r="I173" s="499" t="str">
        <f>IFERROR(VLOOKUP(H173,'G-1 All Habitats'!$Z$2:$AA$9,2,FALSE),"")</f>
        <v/>
      </c>
      <c r="J173" s="145"/>
      <c r="K173" s="507" t="str">
        <f>IF(J173="","",IF(VLOOKUP(J173,'G-3 Multipliers'!$L$3:$N$6,2,FALSE)=0,"Spatial Data Missing",VLOOKUP(J173,'G-3 Multipliers'!$L$3:$N$6,2,FALSE)))</f>
        <v/>
      </c>
      <c r="L173" s="505" t="str">
        <f>IF(J173="","",IF(VLOOKUP(J173,'G-3 Multipliers'!$L$3:$N$6,3,FALSE)=0,"Spatial Data Missing ⚠",VLOOKUP(J173,'G-3 Multipliers'!$L$3:$N$6,3,FALSE)))</f>
        <v/>
      </c>
      <c r="M173" s="506" t="str">
        <f>IF(D173="","",VLOOKUP(D173,'G-6 Hedgerow Data'!$B$1:$AH$15,33,FALSE))</f>
        <v/>
      </c>
      <c r="N173" s="513" t="str">
        <f t="shared" si="16"/>
        <v/>
      </c>
      <c r="O173" s="40"/>
      <c r="P173" s="154"/>
      <c r="Q173" s="203"/>
      <c r="R173" s="532" t="str">
        <f t="shared" si="17"/>
        <v/>
      </c>
      <c r="S173" s="532" t="str">
        <f t="shared" si="18"/>
        <v/>
      </c>
      <c r="T173" s="532" t="str">
        <f t="shared" si="19"/>
        <v/>
      </c>
      <c r="U173" s="557"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8" x14ac:dyDescent="0.25">
      <c r="B174" s="141">
        <v>165</v>
      </c>
      <c r="C174" s="203"/>
      <c r="D174" s="203"/>
      <c r="E174" s="153"/>
      <c r="F174" s="553" t="str">
        <f>IF(D174="","",VLOOKUP(D174,'G-6 Hedgerow Data'!$B$2:$AG$15,2,FALSE))</f>
        <v/>
      </c>
      <c r="G174" s="499" t="str">
        <f>IF(D174="","",VLOOKUP(D174,'G-6 Hedgerow Data'!$B$2:$AG$15,3,FALSE))</f>
        <v/>
      </c>
      <c r="H174" s="145"/>
      <c r="I174" s="499" t="str">
        <f>IFERROR(VLOOKUP(H174,'G-1 All Habitats'!$Z$2:$AA$9,2,FALSE),"")</f>
        <v/>
      </c>
      <c r="J174" s="145"/>
      <c r="K174" s="507" t="str">
        <f>IF(J174="","",IF(VLOOKUP(J174,'G-3 Multipliers'!$L$3:$N$6,2,FALSE)=0,"Spatial Data Missing",VLOOKUP(J174,'G-3 Multipliers'!$L$3:$N$6,2,FALSE)))</f>
        <v/>
      </c>
      <c r="L174" s="505" t="str">
        <f>IF(J174="","",IF(VLOOKUP(J174,'G-3 Multipliers'!$L$3:$N$6,3,FALSE)=0,"Spatial Data Missing ⚠",VLOOKUP(J174,'G-3 Multipliers'!$L$3:$N$6,3,FALSE)))</f>
        <v/>
      </c>
      <c r="M174" s="506" t="str">
        <f>IF(D174="","",VLOOKUP(D174,'G-6 Hedgerow Data'!$B$1:$AH$15,33,FALSE))</f>
        <v/>
      </c>
      <c r="N174" s="513" t="str">
        <f t="shared" si="16"/>
        <v/>
      </c>
      <c r="O174" s="40"/>
      <c r="P174" s="154"/>
      <c r="Q174" s="203"/>
      <c r="R174" s="532" t="str">
        <f t="shared" si="17"/>
        <v/>
      </c>
      <c r="S174" s="532" t="str">
        <f t="shared" si="18"/>
        <v/>
      </c>
      <c r="T174" s="532" t="str">
        <f t="shared" si="19"/>
        <v/>
      </c>
      <c r="U174" s="557"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8" x14ac:dyDescent="0.25">
      <c r="B175" s="141">
        <v>166</v>
      </c>
      <c r="C175" s="203"/>
      <c r="D175" s="203"/>
      <c r="E175" s="153"/>
      <c r="F175" s="553" t="str">
        <f>IF(D175="","",VLOOKUP(D175,'G-6 Hedgerow Data'!$B$2:$AG$15,2,FALSE))</f>
        <v/>
      </c>
      <c r="G175" s="499" t="str">
        <f>IF(D175="","",VLOOKUP(D175,'G-6 Hedgerow Data'!$B$2:$AG$15,3,FALSE))</f>
        <v/>
      </c>
      <c r="H175" s="145"/>
      <c r="I175" s="499" t="str">
        <f>IFERROR(VLOOKUP(H175,'G-1 All Habitats'!$Z$2:$AA$9,2,FALSE),"")</f>
        <v/>
      </c>
      <c r="J175" s="145"/>
      <c r="K175" s="507" t="str">
        <f>IF(J175="","",IF(VLOOKUP(J175,'G-3 Multipliers'!$L$3:$N$6,2,FALSE)=0,"Spatial Data Missing",VLOOKUP(J175,'G-3 Multipliers'!$L$3:$N$6,2,FALSE)))</f>
        <v/>
      </c>
      <c r="L175" s="505" t="str">
        <f>IF(J175="","",IF(VLOOKUP(J175,'G-3 Multipliers'!$L$3:$N$6,3,FALSE)=0,"Spatial Data Missing ⚠",VLOOKUP(J175,'G-3 Multipliers'!$L$3:$N$6,3,FALSE)))</f>
        <v/>
      </c>
      <c r="M175" s="506" t="str">
        <f>IF(D175="","",VLOOKUP(D175,'G-6 Hedgerow Data'!$B$1:$AH$15,33,FALSE))</f>
        <v/>
      </c>
      <c r="N175" s="513" t="str">
        <f t="shared" si="16"/>
        <v/>
      </c>
      <c r="O175" s="40"/>
      <c r="P175" s="154"/>
      <c r="Q175" s="203"/>
      <c r="R175" s="532" t="str">
        <f t="shared" si="17"/>
        <v/>
      </c>
      <c r="S175" s="532" t="str">
        <f t="shared" si="18"/>
        <v/>
      </c>
      <c r="T175" s="532" t="str">
        <f t="shared" si="19"/>
        <v/>
      </c>
      <c r="U175" s="557"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8" x14ac:dyDescent="0.25">
      <c r="B176" s="141">
        <v>167</v>
      </c>
      <c r="C176" s="203"/>
      <c r="D176" s="203"/>
      <c r="E176" s="153"/>
      <c r="F176" s="553" t="str">
        <f>IF(D176="","",VLOOKUP(D176,'G-6 Hedgerow Data'!$B$2:$AG$15,2,FALSE))</f>
        <v/>
      </c>
      <c r="G176" s="499" t="str">
        <f>IF(D176="","",VLOOKUP(D176,'G-6 Hedgerow Data'!$B$2:$AG$15,3,FALSE))</f>
        <v/>
      </c>
      <c r="H176" s="145"/>
      <c r="I176" s="499" t="str">
        <f>IFERROR(VLOOKUP(H176,'G-1 All Habitats'!$Z$2:$AA$9,2,FALSE),"")</f>
        <v/>
      </c>
      <c r="J176" s="145"/>
      <c r="K176" s="507" t="str">
        <f>IF(J176="","",IF(VLOOKUP(J176,'G-3 Multipliers'!$L$3:$N$6,2,FALSE)=0,"Spatial Data Missing",VLOOKUP(J176,'G-3 Multipliers'!$L$3:$N$6,2,FALSE)))</f>
        <v/>
      </c>
      <c r="L176" s="505" t="str">
        <f>IF(J176="","",IF(VLOOKUP(J176,'G-3 Multipliers'!$L$3:$N$6,3,FALSE)=0,"Spatial Data Missing ⚠",VLOOKUP(J176,'G-3 Multipliers'!$L$3:$N$6,3,FALSE)))</f>
        <v/>
      </c>
      <c r="M176" s="506" t="str">
        <f>IF(D176="","",VLOOKUP(D176,'G-6 Hedgerow Data'!$B$1:$AH$15,33,FALSE))</f>
        <v/>
      </c>
      <c r="N176" s="513" t="str">
        <f t="shared" si="16"/>
        <v/>
      </c>
      <c r="O176" s="40"/>
      <c r="P176" s="154"/>
      <c r="Q176" s="203"/>
      <c r="R176" s="532" t="str">
        <f t="shared" si="17"/>
        <v/>
      </c>
      <c r="S176" s="532" t="str">
        <f t="shared" si="18"/>
        <v/>
      </c>
      <c r="T176" s="532" t="str">
        <f t="shared" si="19"/>
        <v/>
      </c>
      <c r="U176" s="557"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8" x14ac:dyDescent="0.25">
      <c r="B177" s="141">
        <v>168</v>
      </c>
      <c r="C177" s="203"/>
      <c r="D177" s="203"/>
      <c r="E177" s="153"/>
      <c r="F177" s="553" t="str">
        <f>IF(D177="","",VLOOKUP(D177,'G-6 Hedgerow Data'!$B$2:$AG$15,2,FALSE))</f>
        <v/>
      </c>
      <c r="G177" s="499" t="str">
        <f>IF(D177="","",VLOOKUP(D177,'G-6 Hedgerow Data'!$B$2:$AG$15,3,FALSE))</f>
        <v/>
      </c>
      <c r="H177" s="145"/>
      <c r="I177" s="499" t="str">
        <f>IFERROR(VLOOKUP(H177,'G-1 All Habitats'!$Z$2:$AA$9,2,FALSE),"")</f>
        <v/>
      </c>
      <c r="J177" s="145"/>
      <c r="K177" s="507" t="str">
        <f>IF(J177="","",IF(VLOOKUP(J177,'G-3 Multipliers'!$L$3:$N$6,2,FALSE)=0,"Spatial Data Missing",VLOOKUP(J177,'G-3 Multipliers'!$L$3:$N$6,2,FALSE)))</f>
        <v/>
      </c>
      <c r="L177" s="505" t="str">
        <f>IF(J177="","",IF(VLOOKUP(J177,'G-3 Multipliers'!$L$3:$N$6,3,FALSE)=0,"Spatial Data Missing ⚠",VLOOKUP(J177,'G-3 Multipliers'!$L$3:$N$6,3,FALSE)))</f>
        <v/>
      </c>
      <c r="M177" s="506" t="str">
        <f>IF(D177="","",VLOOKUP(D177,'G-6 Hedgerow Data'!$B$1:$AH$15,33,FALSE))</f>
        <v/>
      </c>
      <c r="N177" s="513" t="str">
        <f t="shared" si="16"/>
        <v/>
      </c>
      <c r="O177" s="40"/>
      <c r="P177" s="154"/>
      <c r="Q177" s="203"/>
      <c r="R177" s="532" t="str">
        <f t="shared" si="17"/>
        <v/>
      </c>
      <c r="S177" s="532" t="str">
        <f t="shared" si="18"/>
        <v/>
      </c>
      <c r="T177" s="532" t="str">
        <f t="shared" si="19"/>
        <v/>
      </c>
      <c r="U177" s="557"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8" x14ac:dyDescent="0.25">
      <c r="B178" s="141">
        <v>169</v>
      </c>
      <c r="C178" s="203"/>
      <c r="D178" s="203"/>
      <c r="E178" s="153"/>
      <c r="F178" s="553" t="str">
        <f>IF(D178="","",VLOOKUP(D178,'G-6 Hedgerow Data'!$B$2:$AG$15,2,FALSE))</f>
        <v/>
      </c>
      <c r="G178" s="499" t="str">
        <f>IF(D178="","",VLOOKUP(D178,'G-6 Hedgerow Data'!$B$2:$AG$15,3,FALSE))</f>
        <v/>
      </c>
      <c r="H178" s="145"/>
      <c r="I178" s="499" t="str">
        <f>IFERROR(VLOOKUP(H178,'G-1 All Habitats'!$Z$2:$AA$9,2,FALSE),"")</f>
        <v/>
      </c>
      <c r="J178" s="145"/>
      <c r="K178" s="507" t="str">
        <f>IF(J178="","",IF(VLOOKUP(J178,'G-3 Multipliers'!$L$3:$N$6,2,FALSE)=0,"Spatial Data Missing",VLOOKUP(J178,'G-3 Multipliers'!$L$3:$N$6,2,FALSE)))</f>
        <v/>
      </c>
      <c r="L178" s="505" t="str">
        <f>IF(J178="","",IF(VLOOKUP(J178,'G-3 Multipliers'!$L$3:$N$6,3,FALSE)=0,"Spatial Data Missing ⚠",VLOOKUP(J178,'G-3 Multipliers'!$L$3:$N$6,3,FALSE)))</f>
        <v/>
      </c>
      <c r="M178" s="506" t="str">
        <f>IF(D178="","",VLOOKUP(D178,'G-6 Hedgerow Data'!$B$1:$AH$15,33,FALSE))</f>
        <v/>
      </c>
      <c r="N178" s="513" t="str">
        <f t="shared" si="16"/>
        <v/>
      </c>
      <c r="O178" s="40"/>
      <c r="P178" s="154"/>
      <c r="Q178" s="203"/>
      <c r="R178" s="532" t="str">
        <f t="shared" si="17"/>
        <v/>
      </c>
      <c r="S178" s="532" t="str">
        <f t="shared" si="18"/>
        <v/>
      </c>
      <c r="T178" s="532" t="str">
        <f t="shared" si="19"/>
        <v/>
      </c>
      <c r="U178" s="557"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8" x14ac:dyDescent="0.25">
      <c r="B179" s="141">
        <v>170</v>
      </c>
      <c r="C179" s="203"/>
      <c r="D179" s="203"/>
      <c r="E179" s="153"/>
      <c r="F179" s="553" t="str">
        <f>IF(D179="","",VLOOKUP(D179,'G-6 Hedgerow Data'!$B$2:$AG$15,2,FALSE))</f>
        <v/>
      </c>
      <c r="G179" s="499" t="str">
        <f>IF(D179="","",VLOOKUP(D179,'G-6 Hedgerow Data'!$B$2:$AG$15,3,FALSE))</f>
        <v/>
      </c>
      <c r="H179" s="145"/>
      <c r="I179" s="499" t="str">
        <f>IFERROR(VLOOKUP(H179,'G-1 All Habitats'!$Z$2:$AA$9,2,FALSE),"")</f>
        <v/>
      </c>
      <c r="J179" s="145"/>
      <c r="K179" s="507" t="str">
        <f>IF(J179="","",IF(VLOOKUP(J179,'G-3 Multipliers'!$L$3:$N$6,2,FALSE)=0,"Spatial Data Missing",VLOOKUP(J179,'G-3 Multipliers'!$L$3:$N$6,2,FALSE)))</f>
        <v/>
      </c>
      <c r="L179" s="505" t="str">
        <f>IF(J179="","",IF(VLOOKUP(J179,'G-3 Multipliers'!$L$3:$N$6,3,FALSE)=0,"Spatial Data Missing ⚠",VLOOKUP(J179,'G-3 Multipliers'!$L$3:$N$6,3,FALSE)))</f>
        <v/>
      </c>
      <c r="M179" s="506" t="str">
        <f>IF(D179="","",VLOOKUP(D179,'G-6 Hedgerow Data'!$B$1:$AH$15,33,FALSE))</f>
        <v/>
      </c>
      <c r="N179" s="513" t="str">
        <f t="shared" si="16"/>
        <v/>
      </c>
      <c r="O179" s="40"/>
      <c r="P179" s="154"/>
      <c r="Q179" s="203"/>
      <c r="R179" s="532" t="str">
        <f t="shared" si="17"/>
        <v/>
      </c>
      <c r="S179" s="532" t="str">
        <f t="shared" si="18"/>
        <v/>
      </c>
      <c r="T179" s="532" t="str">
        <f t="shared" si="19"/>
        <v/>
      </c>
      <c r="U179" s="557"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8" x14ac:dyDescent="0.25">
      <c r="B180" s="141">
        <v>171</v>
      </c>
      <c r="C180" s="203"/>
      <c r="D180" s="203"/>
      <c r="E180" s="153"/>
      <c r="F180" s="553" t="str">
        <f>IF(D180="","",VLOOKUP(D180,'G-6 Hedgerow Data'!$B$2:$AG$15,2,FALSE))</f>
        <v/>
      </c>
      <c r="G180" s="499" t="str">
        <f>IF(D180="","",VLOOKUP(D180,'G-6 Hedgerow Data'!$B$2:$AG$15,3,FALSE))</f>
        <v/>
      </c>
      <c r="H180" s="145"/>
      <c r="I180" s="499" t="str">
        <f>IFERROR(VLOOKUP(H180,'G-1 All Habitats'!$Z$2:$AA$9,2,FALSE),"")</f>
        <v/>
      </c>
      <c r="J180" s="145"/>
      <c r="K180" s="507" t="str">
        <f>IF(J180="","",IF(VLOOKUP(J180,'G-3 Multipliers'!$L$3:$N$6,2,FALSE)=0,"Spatial Data Missing",VLOOKUP(J180,'G-3 Multipliers'!$L$3:$N$6,2,FALSE)))</f>
        <v/>
      </c>
      <c r="L180" s="505" t="str">
        <f>IF(J180="","",IF(VLOOKUP(J180,'G-3 Multipliers'!$L$3:$N$6,3,FALSE)=0,"Spatial Data Missing ⚠",VLOOKUP(J180,'G-3 Multipliers'!$L$3:$N$6,3,FALSE)))</f>
        <v/>
      </c>
      <c r="M180" s="506" t="str">
        <f>IF(D180="","",VLOOKUP(D180,'G-6 Hedgerow Data'!$B$1:$AH$15,33,FALSE))</f>
        <v/>
      </c>
      <c r="N180" s="513" t="str">
        <f t="shared" si="16"/>
        <v/>
      </c>
      <c r="O180" s="40"/>
      <c r="P180" s="154"/>
      <c r="Q180" s="203"/>
      <c r="R180" s="532" t="str">
        <f t="shared" si="17"/>
        <v/>
      </c>
      <c r="S180" s="532" t="str">
        <f t="shared" si="18"/>
        <v/>
      </c>
      <c r="T180" s="532" t="str">
        <f t="shared" si="19"/>
        <v/>
      </c>
      <c r="U180" s="557"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8" x14ac:dyDescent="0.25">
      <c r="B181" s="141">
        <v>172</v>
      </c>
      <c r="C181" s="203"/>
      <c r="D181" s="203"/>
      <c r="E181" s="153"/>
      <c r="F181" s="553" t="str">
        <f>IF(D181="","",VLOOKUP(D181,'G-6 Hedgerow Data'!$B$2:$AG$15,2,FALSE))</f>
        <v/>
      </c>
      <c r="G181" s="499" t="str">
        <f>IF(D181="","",VLOOKUP(D181,'G-6 Hedgerow Data'!$B$2:$AG$15,3,FALSE))</f>
        <v/>
      </c>
      <c r="H181" s="145"/>
      <c r="I181" s="499" t="str">
        <f>IFERROR(VLOOKUP(H181,'G-1 All Habitats'!$Z$2:$AA$9,2,FALSE),"")</f>
        <v/>
      </c>
      <c r="J181" s="145"/>
      <c r="K181" s="507" t="str">
        <f>IF(J181="","",IF(VLOOKUP(J181,'G-3 Multipliers'!$L$3:$N$6,2,FALSE)=0,"Spatial Data Missing",VLOOKUP(J181,'G-3 Multipliers'!$L$3:$N$6,2,FALSE)))</f>
        <v/>
      </c>
      <c r="L181" s="505" t="str">
        <f>IF(J181="","",IF(VLOOKUP(J181,'G-3 Multipliers'!$L$3:$N$6,3,FALSE)=0,"Spatial Data Missing ⚠",VLOOKUP(J181,'G-3 Multipliers'!$L$3:$N$6,3,FALSE)))</f>
        <v/>
      </c>
      <c r="M181" s="506" t="str">
        <f>IF(D181="","",VLOOKUP(D181,'G-6 Hedgerow Data'!$B$1:$AH$15,33,FALSE))</f>
        <v/>
      </c>
      <c r="N181" s="513" t="str">
        <f t="shared" si="16"/>
        <v/>
      </c>
      <c r="O181" s="40"/>
      <c r="P181" s="154"/>
      <c r="Q181" s="203"/>
      <c r="R181" s="532" t="str">
        <f t="shared" si="17"/>
        <v/>
      </c>
      <c r="S181" s="532" t="str">
        <f t="shared" si="18"/>
        <v/>
      </c>
      <c r="T181" s="532" t="str">
        <f t="shared" si="19"/>
        <v/>
      </c>
      <c r="U181" s="557"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8" x14ac:dyDescent="0.25">
      <c r="B182" s="141">
        <v>173</v>
      </c>
      <c r="C182" s="203"/>
      <c r="D182" s="203"/>
      <c r="E182" s="153"/>
      <c r="F182" s="553" t="str">
        <f>IF(D182="","",VLOOKUP(D182,'G-6 Hedgerow Data'!$B$2:$AG$15,2,FALSE))</f>
        <v/>
      </c>
      <c r="G182" s="499" t="str">
        <f>IF(D182="","",VLOOKUP(D182,'G-6 Hedgerow Data'!$B$2:$AG$15,3,FALSE))</f>
        <v/>
      </c>
      <c r="H182" s="145"/>
      <c r="I182" s="499" t="str">
        <f>IFERROR(VLOOKUP(H182,'G-1 All Habitats'!$Z$2:$AA$9,2,FALSE),"")</f>
        <v/>
      </c>
      <c r="J182" s="145"/>
      <c r="K182" s="507" t="str">
        <f>IF(J182="","",IF(VLOOKUP(J182,'G-3 Multipliers'!$L$3:$N$6,2,FALSE)=0,"Spatial Data Missing",VLOOKUP(J182,'G-3 Multipliers'!$L$3:$N$6,2,FALSE)))</f>
        <v/>
      </c>
      <c r="L182" s="505" t="str">
        <f>IF(J182="","",IF(VLOOKUP(J182,'G-3 Multipliers'!$L$3:$N$6,3,FALSE)=0,"Spatial Data Missing ⚠",VLOOKUP(J182,'G-3 Multipliers'!$L$3:$N$6,3,FALSE)))</f>
        <v/>
      </c>
      <c r="M182" s="506" t="str">
        <f>IF(D182="","",VLOOKUP(D182,'G-6 Hedgerow Data'!$B$1:$AH$15,33,FALSE))</f>
        <v/>
      </c>
      <c r="N182" s="513" t="str">
        <f t="shared" si="16"/>
        <v/>
      </c>
      <c r="O182" s="40"/>
      <c r="P182" s="154"/>
      <c r="Q182" s="203"/>
      <c r="R182" s="532" t="str">
        <f t="shared" si="17"/>
        <v/>
      </c>
      <c r="S182" s="532" t="str">
        <f t="shared" si="18"/>
        <v/>
      </c>
      <c r="T182" s="532" t="str">
        <f t="shared" si="19"/>
        <v/>
      </c>
      <c r="U182" s="557"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8" x14ac:dyDescent="0.25">
      <c r="B183" s="141">
        <v>174</v>
      </c>
      <c r="C183" s="203"/>
      <c r="D183" s="203"/>
      <c r="E183" s="153"/>
      <c r="F183" s="553" t="str">
        <f>IF(D183="","",VLOOKUP(D183,'G-6 Hedgerow Data'!$B$2:$AG$15,2,FALSE))</f>
        <v/>
      </c>
      <c r="G183" s="499" t="str">
        <f>IF(D183="","",VLOOKUP(D183,'G-6 Hedgerow Data'!$B$2:$AG$15,3,FALSE))</f>
        <v/>
      </c>
      <c r="H183" s="145"/>
      <c r="I183" s="499" t="str">
        <f>IFERROR(VLOOKUP(H183,'G-1 All Habitats'!$Z$2:$AA$9,2,FALSE),"")</f>
        <v/>
      </c>
      <c r="J183" s="145"/>
      <c r="K183" s="507" t="str">
        <f>IF(J183="","",IF(VLOOKUP(J183,'G-3 Multipliers'!$L$3:$N$6,2,FALSE)=0,"Spatial Data Missing",VLOOKUP(J183,'G-3 Multipliers'!$L$3:$N$6,2,FALSE)))</f>
        <v/>
      </c>
      <c r="L183" s="505" t="str">
        <f>IF(J183="","",IF(VLOOKUP(J183,'G-3 Multipliers'!$L$3:$N$6,3,FALSE)=0,"Spatial Data Missing ⚠",VLOOKUP(J183,'G-3 Multipliers'!$L$3:$N$6,3,FALSE)))</f>
        <v/>
      </c>
      <c r="M183" s="506" t="str">
        <f>IF(D183="","",VLOOKUP(D183,'G-6 Hedgerow Data'!$B$1:$AH$15,33,FALSE))</f>
        <v/>
      </c>
      <c r="N183" s="513" t="str">
        <f t="shared" si="16"/>
        <v/>
      </c>
      <c r="O183" s="40"/>
      <c r="P183" s="154"/>
      <c r="Q183" s="203"/>
      <c r="R183" s="532" t="str">
        <f t="shared" si="17"/>
        <v/>
      </c>
      <c r="S183" s="532" t="str">
        <f t="shared" si="18"/>
        <v/>
      </c>
      <c r="T183" s="532" t="str">
        <f t="shared" si="19"/>
        <v/>
      </c>
      <c r="U183" s="557"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8" x14ac:dyDescent="0.25">
      <c r="B184" s="141">
        <v>175</v>
      </c>
      <c r="C184" s="203"/>
      <c r="D184" s="203"/>
      <c r="E184" s="153"/>
      <c r="F184" s="553" t="str">
        <f>IF(D184="","",VLOOKUP(D184,'G-6 Hedgerow Data'!$B$2:$AG$15,2,FALSE))</f>
        <v/>
      </c>
      <c r="G184" s="499" t="str">
        <f>IF(D184="","",VLOOKUP(D184,'G-6 Hedgerow Data'!$B$2:$AG$15,3,FALSE))</f>
        <v/>
      </c>
      <c r="H184" s="145"/>
      <c r="I184" s="499" t="str">
        <f>IFERROR(VLOOKUP(H184,'G-1 All Habitats'!$Z$2:$AA$9,2,FALSE),"")</f>
        <v/>
      </c>
      <c r="J184" s="145"/>
      <c r="K184" s="507" t="str">
        <f>IF(J184="","",IF(VLOOKUP(J184,'G-3 Multipliers'!$L$3:$N$6,2,FALSE)=0,"Spatial Data Missing",VLOOKUP(J184,'G-3 Multipliers'!$L$3:$N$6,2,FALSE)))</f>
        <v/>
      </c>
      <c r="L184" s="505" t="str">
        <f>IF(J184="","",IF(VLOOKUP(J184,'G-3 Multipliers'!$L$3:$N$6,3,FALSE)=0,"Spatial Data Missing ⚠",VLOOKUP(J184,'G-3 Multipliers'!$L$3:$N$6,3,FALSE)))</f>
        <v/>
      </c>
      <c r="M184" s="506" t="str">
        <f>IF(D184="","",VLOOKUP(D184,'G-6 Hedgerow Data'!$B$1:$AH$15,33,FALSE))</f>
        <v/>
      </c>
      <c r="N184" s="513" t="str">
        <f t="shared" si="16"/>
        <v/>
      </c>
      <c r="O184" s="40"/>
      <c r="P184" s="154"/>
      <c r="Q184" s="203"/>
      <c r="R184" s="532" t="str">
        <f t="shared" si="17"/>
        <v/>
      </c>
      <c r="S184" s="532" t="str">
        <f t="shared" si="18"/>
        <v/>
      </c>
      <c r="T184" s="532" t="str">
        <f t="shared" si="19"/>
        <v/>
      </c>
      <c r="U184" s="557"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8" x14ac:dyDescent="0.25">
      <c r="B185" s="141">
        <v>176</v>
      </c>
      <c r="C185" s="203"/>
      <c r="D185" s="203"/>
      <c r="E185" s="153"/>
      <c r="F185" s="553" t="str">
        <f>IF(D185="","",VLOOKUP(D185,'G-6 Hedgerow Data'!$B$2:$AG$15,2,FALSE))</f>
        <v/>
      </c>
      <c r="G185" s="499" t="str">
        <f>IF(D185="","",VLOOKUP(D185,'G-6 Hedgerow Data'!$B$2:$AG$15,3,FALSE))</f>
        <v/>
      </c>
      <c r="H185" s="145"/>
      <c r="I185" s="499" t="str">
        <f>IFERROR(VLOOKUP(H185,'G-1 All Habitats'!$Z$2:$AA$9,2,FALSE),"")</f>
        <v/>
      </c>
      <c r="J185" s="145"/>
      <c r="K185" s="507" t="str">
        <f>IF(J185="","",IF(VLOOKUP(J185,'G-3 Multipliers'!$L$3:$N$6,2,FALSE)=0,"Spatial Data Missing",VLOOKUP(J185,'G-3 Multipliers'!$L$3:$N$6,2,FALSE)))</f>
        <v/>
      </c>
      <c r="L185" s="505" t="str">
        <f>IF(J185="","",IF(VLOOKUP(J185,'G-3 Multipliers'!$L$3:$N$6,3,FALSE)=0,"Spatial Data Missing ⚠",VLOOKUP(J185,'G-3 Multipliers'!$L$3:$N$6,3,FALSE)))</f>
        <v/>
      </c>
      <c r="M185" s="506" t="str">
        <f>IF(D185="","",VLOOKUP(D185,'G-6 Hedgerow Data'!$B$1:$AH$15,33,FALSE))</f>
        <v/>
      </c>
      <c r="N185" s="513" t="str">
        <f t="shared" si="16"/>
        <v/>
      </c>
      <c r="O185" s="40"/>
      <c r="P185" s="154"/>
      <c r="Q185" s="203"/>
      <c r="R185" s="532" t="str">
        <f t="shared" si="17"/>
        <v/>
      </c>
      <c r="S185" s="532" t="str">
        <f t="shared" si="18"/>
        <v/>
      </c>
      <c r="T185" s="532" t="str">
        <f t="shared" si="19"/>
        <v/>
      </c>
      <c r="U185" s="557"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8" x14ac:dyDescent="0.25">
      <c r="B186" s="141">
        <v>177</v>
      </c>
      <c r="C186" s="203"/>
      <c r="D186" s="203"/>
      <c r="E186" s="153"/>
      <c r="F186" s="553" t="str">
        <f>IF(D186="","",VLOOKUP(D186,'G-6 Hedgerow Data'!$B$2:$AG$15,2,FALSE))</f>
        <v/>
      </c>
      <c r="G186" s="499" t="str">
        <f>IF(D186="","",VLOOKUP(D186,'G-6 Hedgerow Data'!$B$2:$AG$15,3,FALSE))</f>
        <v/>
      </c>
      <c r="H186" s="145"/>
      <c r="I186" s="499" t="str">
        <f>IFERROR(VLOOKUP(H186,'G-1 All Habitats'!$Z$2:$AA$9,2,FALSE),"")</f>
        <v/>
      </c>
      <c r="J186" s="145"/>
      <c r="K186" s="507" t="str">
        <f>IF(J186="","",IF(VLOOKUP(J186,'G-3 Multipliers'!$L$3:$N$6,2,FALSE)=0,"Spatial Data Missing",VLOOKUP(J186,'G-3 Multipliers'!$L$3:$N$6,2,FALSE)))</f>
        <v/>
      </c>
      <c r="L186" s="505" t="str">
        <f>IF(J186="","",IF(VLOOKUP(J186,'G-3 Multipliers'!$L$3:$N$6,3,FALSE)=0,"Spatial Data Missing ⚠",VLOOKUP(J186,'G-3 Multipliers'!$L$3:$N$6,3,FALSE)))</f>
        <v/>
      </c>
      <c r="M186" s="506" t="str">
        <f>IF(D186="","",VLOOKUP(D186,'G-6 Hedgerow Data'!$B$1:$AH$15,33,FALSE))</f>
        <v/>
      </c>
      <c r="N186" s="513" t="str">
        <f t="shared" si="16"/>
        <v/>
      </c>
      <c r="O186" s="40"/>
      <c r="P186" s="154"/>
      <c r="Q186" s="203"/>
      <c r="R186" s="532" t="str">
        <f t="shared" si="17"/>
        <v/>
      </c>
      <c r="S186" s="532" t="str">
        <f t="shared" si="18"/>
        <v/>
      </c>
      <c r="T186" s="532" t="str">
        <f t="shared" si="19"/>
        <v/>
      </c>
      <c r="U186" s="557"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8" x14ac:dyDescent="0.25">
      <c r="B187" s="141">
        <v>178</v>
      </c>
      <c r="C187" s="203"/>
      <c r="D187" s="203"/>
      <c r="E187" s="153"/>
      <c r="F187" s="553" t="str">
        <f>IF(D187="","",VLOOKUP(D187,'G-6 Hedgerow Data'!$B$2:$AG$15,2,FALSE))</f>
        <v/>
      </c>
      <c r="G187" s="499" t="str">
        <f>IF(D187="","",VLOOKUP(D187,'G-6 Hedgerow Data'!$B$2:$AG$15,3,FALSE))</f>
        <v/>
      </c>
      <c r="H187" s="145"/>
      <c r="I187" s="499" t="str">
        <f>IFERROR(VLOOKUP(H187,'G-1 All Habitats'!$Z$2:$AA$9,2,FALSE),"")</f>
        <v/>
      </c>
      <c r="J187" s="145"/>
      <c r="K187" s="507" t="str">
        <f>IF(J187="","",IF(VLOOKUP(J187,'G-3 Multipliers'!$L$3:$N$6,2,FALSE)=0,"Spatial Data Missing",VLOOKUP(J187,'G-3 Multipliers'!$L$3:$N$6,2,FALSE)))</f>
        <v/>
      </c>
      <c r="L187" s="505" t="str">
        <f>IF(J187="","",IF(VLOOKUP(J187,'G-3 Multipliers'!$L$3:$N$6,3,FALSE)=0,"Spatial Data Missing ⚠",VLOOKUP(J187,'G-3 Multipliers'!$L$3:$N$6,3,FALSE)))</f>
        <v/>
      </c>
      <c r="M187" s="506" t="str">
        <f>IF(D187="","",VLOOKUP(D187,'G-6 Hedgerow Data'!$B$1:$AH$15,33,FALSE))</f>
        <v/>
      </c>
      <c r="N187" s="513" t="str">
        <f t="shared" si="16"/>
        <v/>
      </c>
      <c r="O187" s="40"/>
      <c r="P187" s="154"/>
      <c r="Q187" s="203"/>
      <c r="R187" s="532" t="str">
        <f t="shared" si="17"/>
        <v/>
      </c>
      <c r="S187" s="532" t="str">
        <f t="shared" si="18"/>
        <v/>
      </c>
      <c r="T187" s="532" t="str">
        <f t="shared" si="19"/>
        <v/>
      </c>
      <c r="U187" s="557"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8" x14ac:dyDescent="0.25">
      <c r="B188" s="141">
        <v>179</v>
      </c>
      <c r="C188" s="203"/>
      <c r="D188" s="203"/>
      <c r="E188" s="153"/>
      <c r="F188" s="553" t="str">
        <f>IF(D188="","",VLOOKUP(D188,'G-6 Hedgerow Data'!$B$2:$AG$15,2,FALSE))</f>
        <v/>
      </c>
      <c r="G188" s="499" t="str">
        <f>IF(D188="","",VLOOKUP(D188,'G-6 Hedgerow Data'!$B$2:$AG$15,3,FALSE))</f>
        <v/>
      </c>
      <c r="H188" s="145"/>
      <c r="I188" s="499" t="str">
        <f>IFERROR(VLOOKUP(H188,'G-1 All Habitats'!$Z$2:$AA$9,2,FALSE),"")</f>
        <v/>
      </c>
      <c r="J188" s="145"/>
      <c r="K188" s="507" t="str">
        <f>IF(J188="","",IF(VLOOKUP(J188,'G-3 Multipliers'!$L$3:$N$6,2,FALSE)=0,"Spatial Data Missing",VLOOKUP(J188,'G-3 Multipliers'!$L$3:$N$6,2,FALSE)))</f>
        <v/>
      </c>
      <c r="L188" s="505" t="str">
        <f>IF(J188="","",IF(VLOOKUP(J188,'G-3 Multipliers'!$L$3:$N$6,3,FALSE)=0,"Spatial Data Missing ⚠",VLOOKUP(J188,'G-3 Multipliers'!$L$3:$N$6,3,FALSE)))</f>
        <v/>
      </c>
      <c r="M188" s="506" t="str">
        <f>IF(D188="","",VLOOKUP(D188,'G-6 Hedgerow Data'!$B$1:$AH$15,33,FALSE))</f>
        <v/>
      </c>
      <c r="N188" s="513" t="str">
        <f t="shared" si="16"/>
        <v/>
      </c>
      <c r="O188" s="40"/>
      <c r="P188" s="154"/>
      <c r="Q188" s="203"/>
      <c r="R188" s="532" t="str">
        <f t="shared" si="17"/>
        <v/>
      </c>
      <c r="S188" s="532" t="str">
        <f t="shared" si="18"/>
        <v/>
      </c>
      <c r="T188" s="532" t="str">
        <f t="shared" si="19"/>
        <v/>
      </c>
      <c r="U188" s="557"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8" x14ac:dyDescent="0.25">
      <c r="B189" s="141">
        <v>180</v>
      </c>
      <c r="C189" s="203"/>
      <c r="D189" s="203"/>
      <c r="E189" s="153"/>
      <c r="F189" s="553" t="str">
        <f>IF(D189="","",VLOOKUP(D189,'G-6 Hedgerow Data'!$B$2:$AG$15,2,FALSE))</f>
        <v/>
      </c>
      <c r="G189" s="499" t="str">
        <f>IF(D189="","",VLOOKUP(D189,'G-6 Hedgerow Data'!$B$2:$AG$15,3,FALSE))</f>
        <v/>
      </c>
      <c r="H189" s="145"/>
      <c r="I189" s="499" t="str">
        <f>IFERROR(VLOOKUP(H189,'G-1 All Habitats'!$Z$2:$AA$9,2,FALSE),"")</f>
        <v/>
      </c>
      <c r="J189" s="145"/>
      <c r="K189" s="507" t="str">
        <f>IF(J189="","",IF(VLOOKUP(J189,'G-3 Multipliers'!$L$3:$N$6,2,FALSE)=0,"Spatial Data Missing",VLOOKUP(J189,'G-3 Multipliers'!$L$3:$N$6,2,FALSE)))</f>
        <v/>
      </c>
      <c r="L189" s="505" t="str">
        <f>IF(J189="","",IF(VLOOKUP(J189,'G-3 Multipliers'!$L$3:$N$6,3,FALSE)=0,"Spatial Data Missing ⚠",VLOOKUP(J189,'G-3 Multipliers'!$L$3:$N$6,3,FALSE)))</f>
        <v/>
      </c>
      <c r="M189" s="506" t="str">
        <f>IF(D189="","",VLOOKUP(D189,'G-6 Hedgerow Data'!$B$1:$AH$15,33,FALSE))</f>
        <v/>
      </c>
      <c r="N189" s="513" t="str">
        <f t="shared" si="16"/>
        <v/>
      </c>
      <c r="O189" s="40"/>
      <c r="P189" s="154"/>
      <c r="Q189" s="203"/>
      <c r="R189" s="532" t="str">
        <f t="shared" si="17"/>
        <v/>
      </c>
      <c r="S189" s="532" t="str">
        <f t="shared" si="18"/>
        <v/>
      </c>
      <c r="T189" s="532" t="str">
        <f t="shared" si="19"/>
        <v/>
      </c>
      <c r="U189" s="557"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8" x14ac:dyDescent="0.25">
      <c r="B190" s="141">
        <v>181</v>
      </c>
      <c r="C190" s="203"/>
      <c r="D190" s="203"/>
      <c r="E190" s="153"/>
      <c r="F190" s="553" t="str">
        <f>IF(D190="","",VLOOKUP(D190,'G-6 Hedgerow Data'!$B$2:$AG$15,2,FALSE))</f>
        <v/>
      </c>
      <c r="G190" s="499" t="str">
        <f>IF(D190="","",VLOOKUP(D190,'G-6 Hedgerow Data'!$B$2:$AG$15,3,FALSE))</f>
        <v/>
      </c>
      <c r="H190" s="145"/>
      <c r="I190" s="499" t="str">
        <f>IFERROR(VLOOKUP(H190,'G-1 All Habitats'!$Z$2:$AA$9,2,FALSE),"")</f>
        <v/>
      </c>
      <c r="J190" s="145"/>
      <c r="K190" s="507" t="str">
        <f>IF(J190="","",IF(VLOOKUP(J190,'G-3 Multipliers'!$L$3:$N$6,2,FALSE)=0,"Spatial Data Missing",VLOOKUP(J190,'G-3 Multipliers'!$L$3:$N$6,2,FALSE)))</f>
        <v/>
      </c>
      <c r="L190" s="505" t="str">
        <f>IF(J190="","",IF(VLOOKUP(J190,'G-3 Multipliers'!$L$3:$N$6,3,FALSE)=0,"Spatial Data Missing ⚠",VLOOKUP(J190,'G-3 Multipliers'!$L$3:$N$6,3,FALSE)))</f>
        <v/>
      </c>
      <c r="M190" s="506" t="str">
        <f>IF(D190="","",VLOOKUP(D190,'G-6 Hedgerow Data'!$B$1:$AH$15,33,FALSE))</f>
        <v/>
      </c>
      <c r="N190" s="513" t="str">
        <f t="shared" si="16"/>
        <v/>
      </c>
      <c r="O190" s="40"/>
      <c r="P190" s="154"/>
      <c r="Q190" s="203"/>
      <c r="R190" s="532" t="str">
        <f t="shared" si="17"/>
        <v/>
      </c>
      <c r="S190" s="532" t="str">
        <f t="shared" si="18"/>
        <v/>
      </c>
      <c r="T190" s="532" t="str">
        <f t="shared" si="19"/>
        <v/>
      </c>
      <c r="U190" s="557"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8" x14ac:dyDescent="0.25">
      <c r="B191" s="141">
        <v>182</v>
      </c>
      <c r="C191" s="203"/>
      <c r="D191" s="203"/>
      <c r="E191" s="153"/>
      <c r="F191" s="553" t="str">
        <f>IF(D191="","",VLOOKUP(D191,'G-6 Hedgerow Data'!$B$2:$AG$15,2,FALSE))</f>
        <v/>
      </c>
      <c r="G191" s="499" t="str">
        <f>IF(D191="","",VLOOKUP(D191,'G-6 Hedgerow Data'!$B$2:$AG$15,3,FALSE))</f>
        <v/>
      </c>
      <c r="H191" s="145"/>
      <c r="I191" s="499" t="str">
        <f>IFERROR(VLOOKUP(H191,'G-1 All Habitats'!$Z$2:$AA$9,2,FALSE),"")</f>
        <v/>
      </c>
      <c r="J191" s="145"/>
      <c r="K191" s="507" t="str">
        <f>IF(J191="","",IF(VLOOKUP(J191,'G-3 Multipliers'!$L$3:$N$6,2,FALSE)=0,"Spatial Data Missing",VLOOKUP(J191,'G-3 Multipliers'!$L$3:$N$6,2,FALSE)))</f>
        <v/>
      </c>
      <c r="L191" s="505" t="str">
        <f>IF(J191="","",IF(VLOOKUP(J191,'G-3 Multipliers'!$L$3:$N$6,3,FALSE)=0,"Spatial Data Missing ⚠",VLOOKUP(J191,'G-3 Multipliers'!$L$3:$N$6,3,FALSE)))</f>
        <v/>
      </c>
      <c r="M191" s="506" t="str">
        <f>IF(D191="","",VLOOKUP(D191,'G-6 Hedgerow Data'!$B$1:$AH$15,33,FALSE))</f>
        <v/>
      </c>
      <c r="N191" s="513" t="str">
        <f t="shared" si="16"/>
        <v/>
      </c>
      <c r="O191" s="40"/>
      <c r="P191" s="154"/>
      <c r="Q191" s="203"/>
      <c r="R191" s="532" t="str">
        <f t="shared" si="17"/>
        <v/>
      </c>
      <c r="S191" s="532" t="str">
        <f t="shared" si="18"/>
        <v/>
      </c>
      <c r="T191" s="532" t="str">
        <f t="shared" si="19"/>
        <v/>
      </c>
      <c r="U191" s="557"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8" x14ac:dyDescent="0.25">
      <c r="B192" s="141">
        <v>183</v>
      </c>
      <c r="C192" s="203"/>
      <c r="D192" s="203"/>
      <c r="E192" s="153"/>
      <c r="F192" s="553" t="str">
        <f>IF(D192="","",VLOOKUP(D192,'G-6 Hedgerow Data'!$B$2:$AG$15,2,FALSE))</f>
        <v/>
      </c>
      <c r="G192" s="499" t="str">
        <f>IF(D192="","",VLOOKUP(D192,'G-6 Hedgerow Data'!$B$2:$AG$15,3,FALSE))</f>
        <v/>
      </c>
      <c r="H192" s="145"/>
      <c r="I192" s="499" t="str">
        <f>IFERROR(VLOOKUP(H192,'G-1 All Habitats'!$Z$2:$AA$9,2,FALSE),"")</f>
        <v/>
      </c>
      <c r="J192" s="145"/>
      <c r="K192" s="507" t="str">
        <f>IF(J192="","",IF(VLOOKUP(J192,'G-3 Multipliers'!$L$3:$N$6,2,FALSE)=0,"Spatial Data Missing",VLOOKUP(J192,'G-3 Multipliers'!$L$3:$N$6,2,FALSE)))</f>
        <v/>
      </c>
      <c r="L192" s="505" t="str">
        <f>IF(J192="","",IF(VLOOKUP(J192,'G-3 Multipliers'!$L$3:$N$6,3,FALSE)=0,"Spatial Data Missing ⚠",VLOOKUP(J192,'G-3 Multipliers'!$L$3:$N$6,3,FALSE)))</f>
        <v/>
      </c>
      <c r="M192" s="506" t="str">
        <f>IF(D192="","",VLOOKUP(D192,'G-6 Hedgerow Data'!$B$1:$AH$15,33,FALSE))</f>
        <v/>
      </c>
      <c r="N192" s="513" t="str">
        <f t="shared" si="16"/>
        <v/>
      </c>
      <c r="O192" s="40"/>
      <c r="P192" s="154"/>
      <c r="Q192" s="203"/>
      <c r="R192" s="532" t="str">
        <f t="shared" si="17"/>
        <v/>
      </c>
      <c r="S192" s="532" t="str">
        <f t="shared" si="18"/>
        <v/>
      </c>
      <c r="T192" s="532" t="str">
        <f t="shared" si="19"/>
        <v/>
      </c>
      <c r="U192" s="557"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8" x14ac:dyDescent="0.25">
      <c r="B193" s="141">
        <v>184</v>
      </c>
      <c r="C193" s="203"/>
      <c r="D193" s="203"/>
      <c r="E193" s="153"/>
      <c r="F193" s="553" t="str">
        <f>IF(D193="","",VLOOKUP(D193,'G-6 Hedgerow Data'!$B$2:$AG$15,2,FALSE))</f>
        <v/>
      </c>
      <c r="G193" s="499" t="str">
        <f>IF(D193="","",VLOOKUP(D193,'G-6 Hedgerow Data'!$B$2:$AG$15,3,FALSE))</f>
        <v/>
      </c>
      <c r="H193" s="145"/>
      <c r="I193" s="499" t="str">
        <f>IFERROR(VLOOKUP(H193,'G-1 All Habitats'!$Z$2:$AA$9,2,FALSE),"")</f>
        <v/>
      </c>
      <c r="J193" s="145"/>
      <c r="K193" s="507" t="str">
        <f>IF(J193="","",IF(VLOOKUP(J193,'G-3 Multipliers'!$L$3:$N$6,2,FALSE)=0,"Spatial Data Missing",VLOOKUP(J193,'G-3 Multipliers'!$L$3:$N$6,2,FALSE)))</f>
        <v/>
      </c>
      <c r="L193" s="505" t="str">
        <f>IF(J193="","",IF(VLOOKUP(J193,'G-3 Multipliers'!$L$3:$N$6,3,FALSE)=0,"Spatial Data Missing ⚠",VLOOKUP(J193,'G-3 Multipliers'!$L$3:$N$6,3,FALSE)))</f>
        <v/>
      </c>
      <c r="M193" s="506" t="str">
        <f>IF(D193="","",VLOOKUP(D193,'G-6 Hedgerow Data'!$B$1:$AH$15,33,FALSE))</f>
        <v/>
      </c>
      <c r="N193" s="513" t="str">
        <f t="shared" si="16"/>
        <v/>
      </c>
      <c r="O193" s="40"/>
      <c r="P193" s="154"/>
      <c r="Q193" s="203"/>
      <c r="R193" s="532" t="str">
        <f t="shared" si="17"/>
        <v/>
      </c>
      <c r="S193" s="532" t="str">
        <f t="shared" si="18"/>
        <v/>
      </c>
      <c r="T193" s="532" t="str">
        <f t="shared" si="19"/>
        <v/>
      </c>
      <c r="U193" s="557"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8" x14ac:dyDescent="0.25">
      <c r="B194" s="141">
        <v>185</v>
      </c>
      <c r="C194" s="203"/>
      <c r="D194" s="203"/>
      <c r="E194" s="153"/>
      <c r="F194" s="553" t="str">
        <f>IF(D194="","",VLOOKUP(D194,'G-6 Hedgerow Data'!$B$2:$AG$15,2,FALSE))</f>
        <v/>
      </c>
      <c r="G194" s="499" t="str">
        <f>IF(D194="","",VLOOKUP(D194,'G-6 Hedgerow Data'!$B$2:$AG$15,3,FALSE))</f>
        <v/>
      </c>
      <c r="H194" s="145"/>
      <c r="I194" s="499" t="str">
        <f>IFERROR(VLOOKUP(H194,'G-1 All Habitats'!$Z$2:$AA$9,2,FALSE),"")</f>
        <v/>
      </c>
      <c r="J194" s="145"/>
      <c r="K194" s="507" t="str">
        <f>IF(J194="","",IF(VLOOKUP(J194,'G-3 Multipliers'!$L$3:$N$6,2,FALSE)=0,"Spatial Data Missing",VLOOKUP(J194,'G-3 Multipliers'!$L$3:$N$6,2,FALSE)))</f>
        <v/>
      </c>
      <c r="L194" s="505" t="str">
        <f>IF(J194="","",IF(VLOOKUP(J194,'G-3 Multipliers'!$L$3:$N$6,3,FALSE)=0,"Spatial Data Missing ⚠",VLOOKUP(J194,'G-3 Multipliers'!$L$3:$N$6,3,FALSE)))</f>
        <v/>
      </c>
      <c r="M194" s="506" t="str">
        <f>IF(D194="","",VLOOKUP(D194,'G-6 Hedgerow Data'!$B$1:$AH$15,33,FALSE))</f>
        <v/>
      </c>
      <c r="N194" s="513" t="str">
        <f t="shared" si="16"/>
        <v/>
      </c>
      <c r="O194" s="40"/>
      <c r="P194" s="154"/>
      <c r="Q194" s="203"/>
      <c r="R194" s="532" t="str">
        <f t="shared" si="17"/>
        <v/>
      </c>
      <c r="S194" s="532" t="str">
        <f t="shared" si="18"/>
        <v/>
      </c>
      <c r="T194" s="532" t="str">
        <f t="shared" si="19"/>
        <v/>
      </c>
      <c r="U194" s="557"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8" x14ac:dyDescent="0.25">
      <c r="B195" s="141">
        <v>186</v>
      </c>
      <c r="C195" s="203"/>
      <c r="D195" s="203"/>
      <c r="E195" s="153"/>
      <c r="F195" s="553" t="str">
        <f>IF(D195="","",VLOOKUP(D195,'G-6 Hedgerow Data'!$B$2:$AG$15,2,FALSE))</f>
        <v/>
      </c>
      <c r="G195" s="499" t="str">
        <f>IF(D195="","",VLOOKUP(D195,'G-6 Hedgerow Data'!$B$2:$AG$15,3,FALSE))</f>
        <v/>
      </c>
      <c r="H195" s="145"/>
      <c r="I195" s="499" t="str">
        <f>IFERROR(VLOOKUP(H195,'G-1 All Habitats'!$Z$2:$AA$9,2,FALSE),"")</f>
        <v/>
      </c>
      <c r="J195" s="145"/>
      <c r="K195" s="507" t="str">
        <f>IF(J195="","",IF(VLOOKUP(J195,'G-3 Multipliers'!$L$3:$N$6,2,FALSE)=0,"Spatial Data Missing",VLOOKUP(J195,'G-3 Multipliers'!$L$3:$N$6,2,FALSE)))</f>
        <v/>
      </c>
      <c r="L195" s="505" t="str">
        <f>IF(J195="","",IF(VLOOKUP(J195,'G-3 Multipliers'!$L$3:$N$6,3,FALSE)=0,"Spatial Data Missing ⚠",VLOOKUP(J195,'G-3 Multipliers'!$L$3:$N$6,3,FALSE)))</f>
        <v/>
      </c>
      <c r="M195" s="506" t="str">
        <f>IF(D195="","",VLOOKUP(D195,'G-6 Hedgerow Data'!$B$1:$AH$15,33,FALSE))</f>
        <v/>
      </c>
      <c r="N195" s="513" t="str">
        <f t="shared" si="16"/>
        <v/>
      </c>
      <c r="O195" s="40"/>
      <c r="P195" s="154"/>
      <c r="Q195" s="203"/>
      <c r="R195" s="532" t="str">
        <f t="shared" si="17"/>
        <v/>
      </c>
      <c r="S195" s="532" t="str">
        <f t="shared" si="18"/>
        <v/>
      </c>
      <c r="T195" s="532" t="str">
        <f t="shared" si="19"/>
        <v/>
      </c>
      <c r="U195" s="557"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8" x14ac:dyDescent="0.25">
      <c r="B196" s="141">
        <v>187</v>
      </c>
      <c r="C196" s="203"/>
      <c r="D196" s="203"/>
      <c r="E196" s="153"/>
      <c r="F196" s="553" t="str">
        <f>IF(D196="","",VLOOKUP(D196,'G-6 Hedgerow Data'!$B$2:$AG$15,2,FALSE))</f>
        <v/>
      </c>
      <c r="G196" s="499" t="str">
        <f>IF(D196="","",VLOOKUP(D196,'G-6 Hedgerow Data'!$B$2:$AG$15,3,FALSE))</f>
        <v/>
      </c>
      <c r="H196" s="145"/>
      <c r="I196" s="499" t="str">
        <f>IFERROR(VLOOKUP(H196,'G-1 All Habitats'!$Z$2:$AA$9,2,FALSE),"")</f>
        <v/>
      </c>
      <c r="J196" s="145"/>
      <c r="K196" s="507" t="str">
        <f>IF(J196="","",IF(VLOOKUP(J196,'G-3 Multipliers'!$L$3:$N$6,2,FALSE)=0,"Spatial Data Missing",VLOOKUP(J196,'G-3 Multipliers'!$L$3:$N$6,2,FALSE)))</f>
        <v/>
      </c>
      <c r="L196" s="505" t="str">
        <f>IF(J196="","",IF(VLOOKUP(J196,'G-3 Multipliers'!$L$3:$N$6,3,FALSE)=0,"Spatial Data Missing ⚠",VLOOKUP(J196,'G-3 Multipliers'!$L$3:$N$6,3,FALSE)))</f>
        <v/>
      </c>
      <c r="M196" s="506" t="str">
        <f>IF(D196="","",VLOOKUP(D196,'G-6 Hedgerow Data'!$B$1:$AH$15,33,FALSE))</f>
        <v/>
      </c>
      <c r="N196" s="513" t="str">
        <f t="shared" si="16"/>
        <v/>
      </c>
      <c r="O196" s="40"/>
      <c r="P196" s="154"/>
      <c r="Q196" s="203"/>
      <c r="R196" s="532" t="str">
        <f t="shared" si="17"/>
        <v/>
      </c>
      <c r="S196" s="532" t="str">
        <f t="shared" si="18"/>
        <v/>
      </c>
      <c r="T196" s="532" t="str">
        <f t="shared" si="19"/>
        <v/>
      </c>
      <c r="U196" s="557"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8" x14ac:dyDescent="0.25">
      <c r="B197" s="141">
        <v>188</v>
      </c>
      <c r="C197" s="203"/>
      <c r="D197" s="203"/>
      <c r="E197" s="153"/>
      <c r="F197" s="553" t="str">
        <f>IF(D197="","",VLOOKUP(D197,'G-6 Hedgerow Data'!$B$2:$AG$15,2,FALSE))</f>
        <v/>
      </c>
      <c r="G197" s="499" t="str">
        <f>IF(D197="","",VLOOKUP(D197,'G-6 Hedgerow Data'!$B$2:$AG$15,3,FALSE))</f>
        <v/>
      </c>
      <c r="H197" s="145"/>
      <c r="I197" s="499" t="str">
        <f>IFERROR(VLOOKUP(H197,'G-1 All Habitats'!$Z$2:$AA$9,2,FALSE),"")</f>
        <v/>
      </c>
      <c r="J197" s="145"/>
      <c r="K197" s="507" t="str">
        <f>IF(J197="","",IF(VLOOKUP(J197,'G-3 Multipliers'!$L$3:$N$6,2,FALSE)=0,"Spatial Data Missing",VLOOKUP(J197,'G-3 Multipliers'!$L$3:$N$6,2,FALSE)))</f>
        <v/>
      </c>
      <c r="L197" s="505" t="str">
        <f>IF(J197="","",IF(VLOOKUP(J197,'G-3 Multipliers'!$L$3:$N$6,3,FALSE)=0,"Spatial Data Missing ⚠",VLOOKUP(J197,'G-3 Multipliers'!$L$3:$N$6,3,FALSE)))</f>
        <v/>
      </c>
      <c r="M197" s="506" t="str">
        <f>IF(D197="","",VLOOKUP(D197,'G-6 Hedgerow Data'!$B$1:$AH$15,33,FALSE))</f>
        <v/>
      </c>
      <c r="N197" s="513" t="str">
        <f t="shared" si="16"/>
        <v/>
      </c>
      <c r="O197" s="40"/>
      <c r="P197" s="154"/>
      <c r="Q197" s="203"/>
      <c r="R197" s="532" t="str">
        <f t="shared" si="17"/>
        <v/>
      </c>
      <c r="S197" s="532" t="str">
        <f t="shared" si="18"/>
        <v/>
      </c>
      <c r="T197" s="532" t="str">
        <f t="shared" si="19"/>
        <v/>
      </c>
      <c r="U197" s="557"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8" x14ac:dyDescent="0.25">
      <c r="B198" s="141">
        <v>189</v>
      </c>
      <c r="C198" s="203"/>
      <c r="D198" s="203"/>
      <c r="E198" s="153"/>
      <c r="F198" s="553" t="str">
        <f>IF(D198="","",VLOOKUP(D198,'G-6 Hedgerow Data'!$B$2:$AG$15,2,FALSE))</f>
        <v/>
      </c>
      <c r="G198" s="499" t="str">
        <f>IF(D198="","",VLOOKUP(D198,'G-6 Hedgerow Data'!$B$2:$AG$15,3,FALSE))</f>
        <v/>
      </c>
      <c r="H198" s="145"/>
      <c r="I198" s="499" t="str">
        <f>IFERROR(VLOOKUP(H198,'G-1 All Habitats'!$Z$2:$AA$9,2,FALSE),"")</f>
        <v/>
      </c>
      <c r="J198" s="145"/>
      <c r="K198" s="507" t="str">
        <f>IF(J198="","",IF(VLOOKUP(J198,'G-3 Multipliers'!$L$3:$N$6,2,FALSE)=0,"Spatial Data Missing",VLOOKUP(J198,'G-3 Multipliers'!$L$3:$N$6,2,FALSE)))</f>
        <v/>
      </c>
      <c r="L198" s="505" t="str">
        <f>IF(J198="","",IF(VLOOKUP(J198,'G-3 Multipliers'!$L$3:$N$6,3,FALSE)=0,"Spatial Data Missing ⚠",VLOOKUP(J198,'G-3 Multipliers'!$L$3:$N$6,3,FALSE)))</f>
        <v/>
      </c>
      <c r="M198" s="506" t="str">
        <f>IF(D198="","",VLOOKUP(D198,'G-6 Hedgerow Data'!$B$1:$AH$15,33,FALSE))</f>
        <v/>
      </c>
      <c r="N198" s="513" t="str">
        <f t="shared" si="16"/>
        <v/>
      </c>
      <c r="O198" s="40"/>
      <c r="P198" s="154"/>
      <c r="Q198" s="203"/>
      <c r="R198" s="532" t="str">
        <f t="shared" si="17"/>
        <v/>
      </c>
      <c r="S198" s="532" t="str">
        <f t="shared" si="18"/>
        <v/>
      </c>
      <c r="T198" s="532" t="str">
        <f t="shared" si="19"/>
        <v/>
      </c>
      <c r="U198" s="557"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8" x14ac:dyDescent="0.25">
      <c r="B199" s="141">
        <v>190</v>
      </c>
      <c r="C199" s="203"/>
      <c r="D199" s="203"/>
      <c r="E199" s="153"/>
      <c r="F199" s="553" t="str">
        <f>IF(D199="","",VLOOKUP(D199,'G-6 Hedgerow Data'!$B$2:$AG$15,2,FALSE))</f>
        <v/>
      </c>
      <c r="G199" s="499" t="str">
        <f>IF(D199="","",VLOOKUP(D199,'G-6 Hedgerow Data'!$B$2:$AG$15,3,FALSE))</f>
        <v/>
      </c>
      <c r="H199" s="145"/>
      <c r="I199" s="499" t="str">
        <f>IFERROR(VLOOKUP(H199,'G-1 All Habitats'!$Z$2:$AA$9,2,FALSE),"")</f>
        <v/>
      </c>
      <c r="J199" s="145"/>
      <c r="K199" s="507" t="str">
        <f>IF(J199="","",IF(VLOOKUP(J199,'G-3 Multipliers'!$L$3:$N$6,2,FALSE)=0,"Spatial Data Missing",VLOOKUP(J199,'G-3 Multipliers'!$L$3:$N$6,2,FALSE)))</f>
        <v/>
      </c>
      <c r="L199" s="505" t="str">
        <f>IF(J199="","",IF(VLOOKUP(J199,'G-3 Multipliers'!$L$3:$N$6,3,FALSE)=0,"Spatial Data Missing ⚠",VLOOKUP(J199,'G-3 Multipliers'!$L$3:$N$6,3,FALSE)))</f>
        <v/>
      </c>
      <c r="M199" s="506" t="str">
        <f>IF(D199="","",VLOOKUP(D199,'G-6 Hedgerow Data'!$B$1:$AH$15,33,FALSE))</f>
        <v/>
      </c>
      <c r="N199" s="513" t="str">
        <f t="shared" si="16"/>
        <v/>
      </c>
      <c r="O199" s="40"/>
      <c r="P199" s="154"/>
      <c r="Q199" s="203"/>
      <c r="R199" s="532" t="str">
        <f t="shared" si="17"/>
        <v/>
      </c>
      <c r="S199" s="532" t="str">
        <f t="shared" si="18"/>
        <v/>
      </c>
      <c r="T199" s="532" t="str">
        <f t="shared" si="19"/>
        <v/>
      </c>
      <c r="U199" s="557"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8" x14ac:dyDescent="0.25">
      <c r="B200" s="141">
        <v>191</v>
      </c>
      <c r="C200" s="203"/>
      <c r="D200" s="203"/>
      <c r="E200" s="153"/>
      <c r="F200" s="553" t="str">
        <f>IF(D200="","",VLOOKUP(D200,'G-6 Hedgerow Data'!$B$2:$AG$15,2,FALSE))</f>
        <v/>
      </c>
      <c r="G200" s="499" t="str">
        <f>IF(D200="","",VLOOKUP(D200,'G-6 Hedgerow Data'!$B$2:$AG$15,3,FALSE))</f>
        <v/>
      </c>
      <c r="H200" s="145"/>
      <c r="I200" s="499" t="str">
        <f>IFERROR(VLOOKUP(H200,'G-1 All Habitats'!$Z$2:$AA$9,2,FALSE),"")</f>
        <v/>
      </c>
      <c r="J200" s="145"/>
      <c r="K200" s="507" t="str">
        <f>IF(J200="","",IF(VLOOKUP(J200,'G-3 Multipliers'!$L$3:$N$6,2,FALSE)=0,"Spatial Data Missing",VLOOKUP(J200,'G-3 Multipliers'!$L$3:$N$6,2,FALSE)))</f>
        <v/>
      </c>
      <c r="L200" s="505" t="str">
        <f>IF(J200="","",IF(VLOOKUP(J200,'G-3 Multipliers'!$L$3:$N$6,3,FALSE)=0,"Spatial Data Missing ⚠",VLOOKUP(J200,'G-3 Multipliers'!$L$3:$N$6,3,FALSE)))</f>
        <v/>
      </c>
      <c r="M200" s="506" t="str">
        <f>IF(D200="","",VLOOKUP(D200,'G-6 Hedgerow Data'!$B$1:$AH$15,33,FALSE))</f>
        <v/>
      </c>
      <c r="N200" s="513" t="str">
        <f t="shared" si="16"/>
        <v/>
      </c>
      <c r="O200" s="40"/>
      <c r="P200" s="154"/>
      <c r="Q200" s="203"/>
      <c r="R200" s="532" t="str">
        <f t="shared" si="17"/>
        <v/>
      </c>
      <c r="S200" s="532" t="str">
        <f t="shared" si="18"/>
        <v/>
      </c>
      <c r="T200" s="532" t="str">
        <f t="shared" si="19"/>
        <v/>
      </c>
      <c r="U200" s="557"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8" x14ac:dyDescent="0.25">
      <c r="B201" s="141">
        <v>192</v>
      </c>
      <c r="C201" s="203"/>
      <c r="D201" s="203"/>
      <c r="E201" s="153"/>
      <c r="F201" s="553" t="str">
        <f>IF(D201="","",VLOOKUP(D201,'G-6 Hedgerow Data'!$B$2:$AG$15,2,FALSE))</f>
        <v/>
      </c>
      <c r="G201" s="499" t="str">
        <f>IF(D201="","",VLOOKUP(D201,'G-6 Hedgerow Data'!$B$2:$AG$15,3,FALSE))</f>
        <v/>
      </c>
      <c r="H201" s="145"/>
      <c r="I201" s="499" t="str">
        <f>IFERROR(VLOOKUP(H201,'G-1 All Habitats'!$Z$2:$AA$9,2,FALSE),"")</f>
        <v/>
      </c>
      <c r="J201" s="145"/>
      <c r="K201" s="507" t="str">
        <f>IF(J201="","",IF(VLOOKUP(J201,'G-3 Multipliers'!$L$3:$N$6,2,FALSE)=0,"Spatial Data Missing",VLOOKUP(J201,'G-3 Multipliers'!$L$3:$N$6,2,FALSE)))</f>
        <v/>
      </c>
      <c r="L201" s="505" t="str">
        <f>IF(J201="","",IF(VLOOKUP(J201,'G-3 Multipliers'!$L$3:$N$6,3,FALSE)=0,"Spatial Data Missing ⚠",VLOOKUP(J201,'G-3 Multipliers'!$L$3:$N$6,3,FALSE)))</f>
        <v/>
      </c>
      <c r="M201" s="506" t="str">
        <f>IF(D201="","",VLOOKUP(D201,'G-6 Hedgerow Data'!$B$1:$AH$15,33,FALSE))</f>
        <v/>
      </c>
      <c r="N201" s="513" t="str">
        <f t="shared" si="16"/>
        <v/>
      </c>
      <c r="O201" s="40"/>
      <c r="P201" s="154"/>
      <c r="Q201" s="203"/>
      <c r="R201" s="532" t="str">
        <f t="shared" si="17"/>
        <v/>
      </c>
      <c r="S201" s="532" t="str">
        <f t="shared" si="18"/>
        <v/>
      </c>
      <c r="T201" s="532" t="str">
        <f t="shared" si="19"/>
        <v/>
      </c>
      <c r="U201" s="557"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8" x14ac:dyDescent="0.25">
      <c r="B202" s="141">
        <v>193</v>
      </c>
      <c r="C202" s="203"/>
      <c r="D202" s="203"/>
      <c r="E202" s="153"/>
      <c r="F202" s="553" t="str">
        <f>IF(D202="","",VLOOKUP(D202,'G-6 Hedgerow Data'!$B$2:$AG$15,2,FALSE))</f>
        <v/>
      </c>
      <c r="G202" s="499" t="str">
        <f>IF(D202="","",VLOOKUP(D202,'G-6 Hedgerow Data'!$B$2:$AG$15,3,FALSE))</f>
        <v/>
      </c>
      <c r="H202" s="145"/>
      <c r="I202" s="499" t="str">
        <f>IFERROR(VLOOKUP(H202,'G-1 All Habitats'!$Z$2:$AA$9,2,FALSE),"")</f>
        <v/>
      </c>
      <c r="J202" s="145"/>
      <c r="K202" s="507" t="str">
        <f>IF(J202="","",IF(VLOOKUP(J202,'G-3 Multipliers'!$L$3:$N$6,2,FALSE)=0,"Spatial Data Missing",VLOOKUP(J202,'G-3 Multipliers'!$L$3:$N$6,2,FALSE)))</f>
        <v/>
      </c>
      <c r="L202" s="505" t="str">
        <f>IF(J202="","",IF(VLOOKUP(J202,'G-3 Multipliers'!$L$3:$N$6,3,FALSE)=0,"Spatial Data Missing ⚠",VLOOKUP(J202,'G-3 Multipliers'!$L$3:$N$6,3,FALSE)))</f>
        <v/>
      </c>
      <c r="M202" s="506" t="str">
        <f>IF(D202="","",VLOOKUP(D202,'G-6 Hedgerow Data'!$B$1:$AH$15,33,FALSE))</f>
        <v/>
      </c>
      <c r="N202" s="513" t="str">
        <f t="shared" si="16"/>
        <v/>
      </c>
      <c r="O202" s="40"/>
      <c r="P202" s="154"/>
      <c r="Q202" s="203"/>
      <c r="R202" s="532" t="str">
        <f t="shared" si="17"/>
        <v/>
      </c>
      <c r="S202" s="532" t="str">
        <f t="shared" si="18"/>
        <v/>
      </c>
      <c r="T202" s="532" t="str">
        <f t="shared" si="19"/>
        <v/>
      </c>
      <c r="U202" s="557"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8" x14ac:dyDescent="0.25">
      <c r="B203" s="141">
        <v>194</v>
      </c>
      <c r="C203" s="203"/>
      <c r="D203" s="203"/>
      <c r="E203" s="153"/>
      <c r="F203" s="553" t="str">
        <f>IF(D203="","",VLOOKUP(D203,'G-6 Hedgerow Data'!$B$2:$AG$15,2,FALSE))</f>
        <v/>
      </c>
      <c r="G203" s="499" t="str">
        <f>IF(D203="","",VLOOKUP(D203,'G-6 Hedgerow Data'!$B$2:$AG$15,3,FALSE))</f>
        <v/>
      </c>
      <c r="H203" s="145"/>
      <c r="I203" s="499" t="str">
        <f>IFERROR(VLOOKUP(H203,'G-1 All Habitats'!$Z$2:$AA$9,2,FALSE),"")</f>
        <v/>
      </c>
      <c r="J203" s="145"/>
      <c r="K203" s="507" t="str">
        <f>IF(J203="","",IF(VLOOKUP(J203,'G-3 Multipliers'!$L$3:$N$6,2,FALSE)=0,"Spatial Data Missing",VLOOKUP(J203,'G-3 Multipliers'!$L$3:$N$6,2,FALSE)))</f>
        <v/>
      </c>
      <c r="L203" s="505" t="str">
        <f>IF(J203="","",IF(VLOOKUP(J203,'G-3 Multipliers'!$L$3:$N$6,3,FALSE)=0,"Spatial Data Missing ⚠",VLOOKUP(J203,'G-3 Multipliers'!$L$3:$N$6,3,FALSE)))</f>
        <v/>
      </c>
      <c r="M203" s="506" t="str">
        <f>IF(D203="","",VLOOKUP(D203,'G-6 Hedgerow Data'!$B$1:$AH$15,33,FALSE))</f>
        <v/>
      </c>
      <c r="N203" s="513" t="str">
        <f t="shared" ref="N203:N257" si="23">IFERROR(E203*G203*I203*L203,"")</f>
        <v/>
      </c>
      <c r="O203" s="40"/>
      <c r="P203" s="154"/>
      <c r="Q203" s="203"/>
      <c r="R203" s="532" t="str">
        <f t="shared" ref="R203:R257" si="24">IFERROR(P203*G203*I203*L203,"")</f>
        <v/>
      </c>
      <c r="S203" s="532" t="str">
        <f t="shared" ref="S203:S257" si="25">IFERROR(Q203*G203*I203*L203,"")</f>
        <v/>
      </c>
      <c r="T203" s="532" t="str">
        <f t="shared" ref="T203:T256" si="26">IF(D203="","",IF(E203-P203-Q203=0&lt;0,"Error in lengths ▲",IF(P203+Q203&gt;E203,"Error in Lengths ▲",E203-P203-Q203)))</f>
        <v/>
      </c>
      <c r="U203" s="557"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8" x14ac:dyDescent="0.25">
      <c r="B204" s="141">
        <v>195</v>
      </c>
      <c r="C204" s="203"/>
      <c r="D204" s="203"/>
      <c r="E204" s="153"/>
      <c r="F204" s="553" t="str">
        <f>IF(D204="","",VLOOKUP(D204,'G-6 Hedgerow Data'!$B$2:$AG$15,2,FALSE))</f>
        <v/>
      </c>
      <c r="G204" s="499" t="str">
        <f>IF(D204="","",VLOOKUP(D204,'G-6 Hedgerow Data'!$B$2:$AG$15,3,FALSE))</f>
        <v/>
      </c>
      <c r="H204" s="145"/>
      <c r="I204" s="499" t="str">
        <f>IFERROR(VLOOKUP(H204,'G-1 All Habitats'!$Z$2:$AA$9,2,FALSE),"")</f>
        <v/>
      </c>
      <c r="J204" s="145"/>
      <c r="K204" s="507" t="str">
        <f>IF(J204="","",IF(VLOOKUP(J204,'G-3 Multipliers'!$L$3:$N$6,2,FALSE)=0,"Spatial Data Missing",VLOOKUP(J204,'G-3 Multipliers'!$L$3:$N$6,2,FALSE)))</f>
        <v/>
      </c>
      <c r="L204" s="505" t="str">
        <f>IF(J204="","",IF(VLOOKUP(J204,'G-3 Multipliers'!$L$3:$N$6,3,FALSE)=0,"Spatial Data Missing ⚠",VLOOKUP(J204,'G-3 Multipliers'!$L$3:$N$6,3,FALSE)))</f>
        <v/>
      </c>
      <c r="M204" s="506" t="str">
        <f>IF(D204="","",VLOOKUP(D204,'G-6 Hedgerow Data'!$B$1:$AH$15,33,FALSE))</f>
        <v/>
      </c>
      <c r="N204" s="513" t="str">
        <f t="shared" si="23"/>
        <v/>
      </c>
      <c r="O204" s="40"/>
      <c r="P204" s="154"/>
      <c r="Q204" s="203"/>
      <c r="R204" s="532" t="str">
        <f t="shared" si="24"/>
        <v/>
      </c>
      <c r="S204" s="532" t="str">
        <f t="shared" si="25"/>
        <v/>
      </c>
      <c r="T204" s="532" t="str">
        <f t="shared" si="26"/>
        <v/>
      </c>
      <c r="U204" s="557"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8" x14ac:dyDescent="0.25">
      <c r="B205" s="141">
        <v>196</v>
      </c>
      <c r="C205" s="203"/>
      <c r="D205" s="203"/>
      <c r="E205" s="153"/>
      <c r="F205" s="553" t="str">
        <f>IF(D205="","",VLOOKUP(D205,'G-6 Hedgerow Data'!$B$2:$AG$15,2,FALSE))</f>
        <v/>
      </c>
      <c r="G205" s="499" t="str">
        <f>IF(D205="","",VLOOKUP(D205,'G-6 Hedgerow Data'!$B$2:$AG$15,3,FALSE))</f>
        <v/>
      </c>
      <c r="H205" s="145"/>
      <c r="I205" s="499" t="str">
        <f>IFERROR(VLOOKUP(H205,'G-1 All Habitats'!$Z$2:$AA$9,2,FALSE),"")</f>
        <v/>
      </c>
      <c r="J205" s="145"/>
      <c r="K205" s="507" t="str">
        <f>IF(J205="","",IF(VLOOKUP(J205,'G-3 Multipliers'!$L$3:$N$6,2,FALSE)=0,"Spatial Data Missing",VLOOKUP(J205,'G-3 Multipliers'!$L$3:$N$6,2,FALSE)))</f>
        <v/>
      </c>
      <c r="L205" s="505" t="str">
        <f>IF(J205="","",IF(VLOOKUP(J205,'G-3 Multipliers'!$L$3:$N$6,3,FALSE)=0,"Spatial Data Missing ⚠",VLOOKUP(J205,'G-3 Multipliers'!$L$3:$N$6,3,FALSE)))</f>
        <v/>
      </c>
      <c r="M205" s="506" t="str">
        <f>IF(D205="","",VLOOKUP(D205,'G-6 Hedgerow Data'!$B$1:$AH$15,33,FALSE))</f>
        <v/>
      </c>
      <c r="N205" s="513" t="str">
        <f t="shared" si="23"/>
        <v/>
      </c>
      <c r="O205" s="40"/>
      <c r="P205" s="154"/>
      <c r="Q205" s="203"/>
      <c r="R205" s="532" t="str">
        <f t="shared" si="24"/>
        <v/>
      </c>
      <c r="S205" s="532" t="str">
        <f t="shared" si="25"/>
        <v/>
      </c>
      <c r="T205" s="532" t="str">
        <f t="shared" si="26"/>
        <v/>
      </c>
      <c r="U205" s="557"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8" x14ac:dyDescent="0.25">
      <c r="B206" s="141">
        <v>197</v>
      </c>
      <c r="C206" s="203"/>
      <c r="D206" s="203"/>
      <c r="E206" s="153"/>
      <c r="F206" s="553" t="str">
        <f>IF(D206="","",VLOOKUP(D206,'G-6 Hedgerow Data'!$B$2:$AG$15,2,FALSE))</f>
        <v/>
      </c>
      <c r="G206" s="499" t="str">
        <f>IF(D206="","",VLOOKUP(D206,'G-6 Hedgerow Data'!$B$2:$AG$15,3,FALSE))</f>
        <v/>
      </c>
      <c r="H206" s="145"/>
      <c r="I206" s="499" t="str">
        <f>IFERROR(VLOOKUP(H206,'G-1 All Habitats'!$Z$2:$AA$9,2,FALSE),"")</f>
        <v/>
      </c>
      <c r="J206" s="145"/>
      <c r="K206" s="507" t="str">
        <f>IF(J206="","",IF(VLOOKUP(J206,'G-3 Multipliers'!$L$3:$N$6,2,FALSE)=0,"Spatial Data Missing",VLOOKUP(J206,'G-3 Multipliers'!$L$3:$N$6,2,FALSE)))</f>
        <v/>
      </c>
      <c r="L206" s="505" t="str">
        <f>IF(J206="","",IF(VLOOKUP(J206,'G-3 Multipliers'!$L$3:$N$6,3,FALSE)=0,"Spatial Data Missing ⚠",VLOOKUP(J206,'G-3 Multipliers'!$L$3:$N$6,3,FALSE)))</f>
        <v/>
      </c>
      <c r="M206" s="506" t="str">
        <f>IF(D206="","",VLOOKUP(D206,'G-6 Hedgerow Data'!$B$1:$AH$15,33,FALSE))</f>
        <v/>
      </c>
      <c r="N206" s="513" t="str">
        <f t="shared" si="23"/>
        <v/>
      </c>
      <c r="O206" s="40"/>
      <c r="P206" s="154"/>
      <c r="Q206" s="203"/>
      <c r="R206" s="532" t="str">
        <f t="shared" si="24"/>
        <v/>
      </c>
      <c r="S206" s="532" t="str">
        <f t="shared" si="25"/>
        <v/>
      </c>
      <c r="T206" s="532" t="str">
        <f t="shared" si="26"/>
        <v/>
      </c>
      <c r="U206" s="557"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8" x14ac:dyDescent="0.25">
      <c r="B207" s="141">
        <v>198</v>
      </c>
      <c r="C207" s="203"/>
      <c r="D207" s="203"/>
      <c r="E207" s="153"/>
      <c r="F207" s="553" t="str">
        <f>IF(D207="","",VLOOKUP(D207,'G-6 Hedgerow Data'!$B$2:$AG$15,2,FALSE))</f>
        <v/>
      </c>
      <c r="G207" s="499" t="str">
        <f>IF(D207="","",VLOOKUP(D207,'G-6 Hedgerow Data'!$B$2:$AG$15,3,FALSE))</f>
        <v/>
      </c>
      <c r="H207" s="145"/>
      <c r="I207" s="499" t="str">
        <f>IFERROR(VLOOKUP(H207,'G-1 All Habitats'!$Z$2:$AA$9,2,FALSE),"")</f>
        <v/>
      </c>
      <c r="J207" s="145"/>
      <c r="K207" s="507" t="str">
        <f>IF(J207="","",IF(VLOOKUP(J207,'G-3 Multipliers'!$L$3:$N$6,2,FALSE)=0,"Spatial Data Missing",VLOOKUP(J207,'G-3 Multipliers'!$L$3:$N$6,2,FALSE)))</f>
        <v/>
      </c>
      <c r="L207" s="505" t="str">
        <f>IF(J207="","",IF(VLOOKUP(J207,'G-3 Multipliers'!$L$3:$N$6,3,FALSE)=0,"Spatial Data Missing ⚠",VLOOKUP(J207,'G-3 Multipliers'!$L$3:$N$6,3,FALSE)))</f>
        <v/>
      </c>
      <c r="M207" s="506" t="str">
        <f>IF(D207="","",VLOOKUP(D207,'G-6 Hedgerow Data'!$B$1:$AH$15,33,FALSE))</f>
        <v/>
      </c>
      <c r="N207" s="513" t="str">
        <f t="shared" si="23"/>
        <v/>
      </c>
      <c r="O207" s="40"/>
      <c r="P207" s="154"/>
      <c r="Q207" s="203"/>
      <c r="R207" s="532" t="str">
        <f t="shared" si="24"/>
        <v/>
      </c>
      <c r="S207" s="532" t="str">
        <f t="shared" si="25"/>
        <v/>
      </c>
      <c r="T207" s="532" t="str">
        <f t="shared" si="26"/>
        <v/>
      </c>
      <c r="U207" s="557"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8" x14ac:dyDescent="0.25">
      <c r="B208" s="141">
        <v>199</v>
      </c>
      <c r="C208" s="203"/>
      <c r="D208" s="203"/>
      <c r="E208" s="153"/>
      <c r="F208" s="553" t="str">
        <f>IF(D208="","",VLOOKUP(D208,'G-6 Hedgerow Data'!$B$2:$AG$15,2,FALSE))</f>
        <v/>
      </c>
      <c r="G208" s="499" t="str">
        <f>IF(D208="","",VLOOKUP(D208,'G-6 Hedgerow Data'!$B$2:$AG$15,3,FALSE))</f>
        <v/>
      </c>
      <c r="H208" s="145"/>
      <c r="I208" s="499" t="str">
        <f>IFERROR(VLOOKUP(H208,'G-1 All Habitats'!$Z$2:$AA$9,2,FALSE),"")</f>
        <v/>
      </c>
      <c r="J208" s="145"/>
      <c r="K208" s="507" t="str">
        <f>IF(J208="","",IF(VLOOKUP(J208,'G-3 Multipliers'!$L$3:$N$6,2,FALSE)=0,"Spatial Data Missing",VLOOKUP(J208,'G-3 Multipliers'!$L$3:$N$6,2,FALSE)))</f>
        <v/>
      </c>
      <c r="L208" s="505" t="str">
        <f>IF(J208="","",IF(VLOOKUP(J208,'G-3 Multipliers'!$L$3:$N$6,3,FALSE)=0,"Spatial Data Missing ⚠",VLOOKUP(J208,'G-3 Multipliers'!$L$3:$N$6,3,FALSE)))</f>
        <v/>
      </c>
      <c r="M208" s="506" t="str">
        <f>IF(D208="","",VLOOKUP(D208,'G-6 Hedgerow Data'!$B$1:$AH$15,33,FALSE))</f>
        <v/>
      </c>
      <c r="N208" s="513" t="str">
        <f t="shared" si="23"/>
        <v/>
      </c>
      <c r="O208" s="40"/>
      <c r="P208" s="154"/>
      <c r="Q208" s="203"/>
      <c r="R208" s="532" t="str">
        <f t="shared" si="24"/>
        <v/>
      </c>
      <c r="S208" s="532" t="str">
        <f t="shared" si="25"/>
        <v/>
      </c>
      <c r="T208" s="532" t="str">
        <f t="shared" si="26"/>
        <v/>
      </c>
      <c r="U208" s="557"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8" x14ac:dyDescent="0.25">
      <c r="B209" s="141">
        <v>200</v>
      </c>
      <c r="C209" s="203"/>
      <c r="D209" s="203"/>
      <c r="E209" s="153"/>
      <c r="F209" s="553" t="str">
        <f>IF(D209="","",VLOOKUP(D209,'G-6 Hedgerow Data'!$B$2:$AG$15,2,FALSE))</f>
        <v/>
      </c>
      <c r="G209" s="499" t="str">
        <f>IF(D209="","",VLOOKUP(D209,'G-6 Hedgerow Data'!$B$2:$AG$15,3,FALSE))</f>
        <v/>
      </c>
      <c r="H209" s="145"/>
      <c r="I209" s="499" t="str">
        <f>IFERROR(VLOOKUP(H209,'G-1 All Habitats'!$Z$2:$AA$9,2,FALSE),"")</f>
        <v/>
      </c>
      <c r="J209" s="145"/>
      <c r="K209" s="507" t="str">
        <f>IF(J209="","",IF(VLOOKUP(J209,'G-3 Multipliers'!$L$3:$N$6,2,FALSE)=0,"Spatial Data Missing",VLOOKUP(J209,'G-3 Multipliers'!$L$3:$N$6,2,FALSE)))</f>
        <v/>
      </c>
      <c r="L209" s="505" t="str">
        <f>IF(J209="","",IF(VLOOKUP(J209,'G-3 Multipliers'!$L$3:$N$6,3,FALSE)=0,"Spatial Data Missing ⚠",VLOOKUP(J209,'G-3 Multipliers'!$L$3:$N$6,3,FALSE)))</f>
        <v/>
      </c>
      <c r="M209" s="506" t="str">
        <f>IF(D209="","",VLOOKUP(D209,'G-6 Hedgerow Data'!$B$1:$AH$15,33,FALSE))</f>
        <v/>
      </c>
      <c r="N209" s="513" t="str">
        <f t="shared" si="23"/>
        <v/>
      </c>
      <c r="O209" s="40"/>
      <c r="P209" s="154"/>
      <c r="Q209" s="203"/>
      <c r="R209" s="532" t="str">
        <f t="shared" si="24"/>
        <v/>
      </c>
      <c r="S209" s="532" t="str">
        <f t="shared" si="25"/>
        <v/>
      </c>
      <c r="T209" s="532" t="str">
        <f t="shared" si="26"/>
        <v/>
      </c>
      <c r="U209" s="557"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8" x14ac:dyDescent="0.25">
      <c r="B210" s="141">
        <v>201</v>
      </c>
      <c r="C210" s="203"/>
      <c r="D210" s="203"/>
      <c r="E210" s="153"/>
      <c r="F210" s="553" t="str">
        <f>IF(D210="","",VLOOKUP(D210,'G-6 Hedgerow Data'!$B$2:$AG$15,2,FALSE))</f>
        <v/>
      </c>
      <c r="G210" s="499" t="str">
        <f>IF(D210="","",VLOOKUP(D210,'G-6 Hedgerow Data'!$B$2:$AG$15,3,FALSE))</f>
        <v/>
      </c>
      <c r="H210" s="145"/>
      <c r="I210" s="499" t="str">
        <f>IFERROR(VLOOKUP(H210,'G-1 All Habitats'!$Z$2:$AA$9,2,FALSE),"")</f>
        <v/>
      </c>
      <c r="J210" s="145"/>
      <c r="K210" s="507" t="str">
        <f>IF(J210="","",IF(VLOOKUP(J210,'G-3 Multipliers'!$L$3:$N$6,2,FALSE)=0,"Spatial Data Missing",VLOOKUP(J210,'G-3 Multipliers'!$L$3:$N$6,2,FALSE)))</f>
        <v/>
      </c>
      <c r="L210" s="505" t="str">
        <f>IF(J210="","",IF(VLOOKUP(J210,'G-3 Multipliers'!$L$3:$N$6,3,FALSE)=0,"Spatial Data Missing ⚠",VLOOKUP(J210,'G-3 Multipliers'!$L$3:$N$6,3,FALSE)))</f>
        <v/>
      </c>
      <c r="M210" s="506" t="str">
        <f>IF(D210="","",VLOOKUP(D210,'G-6 Hedgerow Data'!$B$1:$AH$15,33,FALSE))</f>
        <v/>
      </c>
      <c r="N210" s="513" t="str">
        <f t="shared" si="23"/>
        <v/>
      </c>
      <c r="O210" s="40"/>
      <c r="P210" s="154"/>
      <c r="Q210" s="203"/>
      <c r="R210" s="532" t="str">
        <f t="shared" si="24"/>
        <v/>
      </c>
      <c r="S210" s="532" t="str">
        <f t="shared" si="25"/>
        <v/>
      </c>
      <c r="T210" s="532" t="str">
        <f t="shared" si="26"/>
        <v/>
      </c>
      <c r="U210" s="557"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8" x14ac:dyDescent="0.25">
      <c r="B211" s="141">
        <v>202</v>
      </c>
      <c r="C211" s="203"/>
      <c r="D211" s="203"/>
      <c r="E211" s="153"/>
      <c r="F211" s="553" t="str">
        <f>IF(D211="","",VLOOKUP(D211,'G-6 Hedgerow Data'!$B$2:$AG$15,2,FALSE))</f>
        <v/>
      </c>
      <c r="G211" s="499" t="str">
        <f>IF(D211="","",VLOOKUP(D211,'G-6 Hedgerow Data'!$B$2:$AG$15,3,FALSE))</f>
        <v/>
      </c>
      <c r="H211" s="145"/>
      <c r="I211" s="499" t="str">
        <f>IFERROR(VLOOKUP(H211,'G-1 All Habitats'!$Z$2:$AA$9,2,FALSE),"")</f>
        <v/>
      </c>
      <c r="J211" s="145"/>
      <c r="K211" s="507" t="str">
        <f>IF(J211="","",IF(VLOOKUP(J211,'G-3 Multipliers'!$L$3:$N$6,2,FALSE)=0,"Spatial Data Missing ⚠",VLOOKUP(J211,'G-3 Multipliers'!$L$3:$N$6,2,FALSE)))</f>
        <v/>
      </c>
      <c r="L211" s="505" t="str">
        <f>IF(J211="","",IF(VLOOKUP(J211,'G-3 Multipliers'!$L$3:$N$6,3,FALSE)=0,"Spatial Data Missing ⚠",VLOOKUP(J211,'G-3 Multipliers'!$L$3:$N$6,3,FALSE)))</f>
        <v/>
      </c>
      <c r="M211" s="506" t="str">
        <f>IF(D211="","",VLOOKUP(D211,'G-6 Hedgerow Data'!$B$1:$AH$15,33,FALSE))</f>
        <v/>
      </c>
      <c r="N211" s="513" t="str">
        <f t="shared" si="23"/>
        <v/>
      </c>
      <c r="O211" s="40"/>
      <c r="P211" s="154"/>
      <c r="Q211" s="203"/>
      <c r="R211" s="532" t="str">
        <f t="shared" si="24"/>
        <v/>
      </c>
      <c r="S211" s="532" t="str">
        <f t="shared" si="25"/>
        <v/>
      </c>
      <c r="T211" s="532" t="str">
        <f t="shared" si="26"/>
        <v/>
      </c>
      <c r="U211" s="557"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8" x14ac:dyDescent="0.25">
      <c r="B212" s="141">
        <v>203</v>
      </c>
      <c r="C212" s="203"/>
      <c r="D212" s="203"/>
      <c r="E212" s="153"/>
      <c r="F212" s="553" t="str">
        <f>IF(D212="","",VLOOKUP(D212,'G-6 Hedgerow Data'!$B$2:$AG$15,2,FALSE))</f>
        <v/>
      </c>
      <c r="G212" s="499" t="str">
        <f>IF(D212="","",VLOOKUP(D212,'G-6 Hedgerow Data'!$B$2:$AG$15,3,FALSE))</f>
        <v/>
      </c>
      <c r="H212" s="145"/>
      <c r="I212" s="499" t="str">
        <f>IFERROR(VLOOKUP(H212,'G-1 All Habitats'!$Z$2:$AA$9,2,FALSE),"")</f>
        <v/>
      </c>
      <c r="J212" s="145"/>
      <c r="K212" s="507" t="str">
        <f>IF(J212="","",IF(VLOOKUP(J212,'G-3 Multipliers'!$L$3:$N$6,2,FALSE)=0,"Spatial Data Missing ⚠",VLOOKUP(J212,'G-3 Multipliers'!$L$3:$N$6,2,FALSE)))</f>
        <v/>
      </c>
      <c r="L212" s="505" t="str">
        <f>IF(J212="","",IF(VLOOKUP(J212,'G-3 Multipliers'!$L$3:$N$6,3,FALSE)=0,"Spatial Data Missing ⚠",VLOOKUP(J212,'G-3 Multipliers'!$L$3:$N$6,3,FALSE)))</f>
        <v/>
      </c>
      <c r="M212" s="506" t="str">
        <f>IF(D212="","",VLOOKUP(D212,'G-6 Hedgerow Data'!$B$1:$AH$15,33,FALSE))</f>
        <v/>
      </c>
      <c r="N212" s="513" t="str">
        <f t="shared" si="23"/>
        <v/>
      </c>
      <c r="O212" s="40"/>
      <c r="P212" s="154"/>
      <c r="Q212" s="203"/>
      <c r="R212" s="532" t="str">
        <f t="shared" si="24"/>
        <v/>
      </c>
      <c r="S212" s="532" t="str">
        <f t="shared" si="25"/>
        <v/>
      </c>
      <c r="T212" s="532" t="str">
        <f t="shared" si="26"/>
        <v/>
      </c>
      <c r="U212" s="557"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8" x14ac:dyDescent="0.25">
      <c r="B213" s="141">
        <v>204</v>
      </c>
      <c r="C213" s="203"/>
      <c r="D213" s="203"/>
      <c r="E213" s="153"/>
      <c r="F213" s="553" t="str">
        <f>IF(D213="","",VLOOKUP(D213,'G-6 Hedgerow Data'!$B$2:$AG$15,2,FALSE))</f>
        <v/>
      </c>
      <c r="G213" s="499" t="str">
        <f>IF(D213="","",VLOOKUP(D213,'G-6 Hedgerow Data'!$B$2:$AG$15,3,FALSE))</f>
        <v/>
      </c>
      <c r="H213" s="145"/>
      <c r="I213" s="499" t="str">
        <f>IFERROR(VLOOKUP(H213,'G-1 All Habitats'!$Z$2:$AA$9,2,FALSE),"")</f>
        <v/>
      </c>
      <c r="J213" s="145"/>
      <c r="K213" s="507" t="str">
        <f>IF(J213="","",IF(VLOOKUP(J213,'G-3 Multipliers'!$L$3:$N$6,2,FALSE)=0,"Spatial Data Missing ⚠",VLOOKUP(J213,'G-3 Multipliers'!$L$3:$N$6,2,FALSE)))</f>
        <v/>
      </c>
      <c r="L213" s="505" t="str">
        <f>IF(J213="","",IF(VLOOKUP(J213,'G-3 Multipliers'!$L$3:$N$6,3,FALSE)=0,"Spatial Data Missing ⚠",VLOOKUP(J213,'G-3 Multipliers'!$L$3:$N$6,3,FALSE)))</f>
        <v/>
      </c>
      <c r="M213" s="506" t="str">
        <f>IF(D213="","",VLOOKUP(D213,'G-6 Hedgerow Data'!$B$1:$AH$15,33,FALSE))</f>
        <v/>
      </c>
      <c r="N213" s="513" t="str">
        <f t="shared" si="23"/>
        <v/>
      </c>
      <c r="O213" s="40"/>
      <c r="P213" s="154"/>
      <c r="Q213" s="203"/>
      <c r="R213" s="532" t="str">
        <f t="shared" si="24"/>
        <v/>
      </c>
      <c r="S213" s="532" t="str">
        <f t="shared" si="25"/>
        <v/>
      </c>
      <c r="T213" s="532" t="str">
        <f t="shared" si="26"/>
        <v/>
      </c>
      <c r="U213" s="557"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8" x14ac:dyDescent="0.25">
      <c r="B214" s="141">
        <v>205</v>
      </c>
      <c r="C214" s="203"/>
      <c r="D214" s="203"/>
      <c r="E214" s="153"/>
      <c r="F214" s="553" t="str">
        <f>IF(D214="","",VLOOKUP(D214,'G-6 Hedgerow Data'!$B$2:$AG$15,2,FALSE))</f>
        <v/>
      </c>
      <c r="G214" s="499" t="str">
        <f>IF(D214="","",VLOOKUP(D214,'G-6 Hedgerow Data'!$B$2:$AG$15,3,FALSE))</f>
        <v/>
      </c>
      <c r="H214" s="145"/>
      <c r="I214" s="499" t="str">
        <f>IFERROR(VLOOKUP(H214,'G-1 All Habitats'!$Z$2:$AA$9,2,FALSE),"")</f>
        <v/>
      </c>
      <c r="J214" s="145"/>
      <c r="K214" s="507" t="str">
        <f>IF(J214="","",IF(VLOOKUP(J214,'G-3 Multipliers'!$L$3:$N$6,2,FALSE)=0,"Spatial Data Missing ⚠",VLOOKUP(J214,'G-3 Multipliers'!$L$3:$N$6,2,FALSE)))</f>
        <v/>
      </c>
      <c r="L214" s="505" t="str">
        <f>IF(J214="","",IF(VLOOKUP(J214,'G-3 Multipliers'!$L$3:$N$6,3,FALSE)=0,"Spatial Data Missing ⚠",VLOOKUP(J214,'G-3 Multipliers'!$L$3:$N$6,3,FALSE)))</f>
        <v/>
      </c>
      <c r="M214" s="506" t="str">
        <f>IF(D214="","",VLOOKUP(D214,'G-6 Hedgerow Data'!$B$1:$AH$15,33,FALSE))</f>
        <v/>
      </c>
      <c r="N214" s="513" t="str">
        <f t="shared" si="23"/>
        <v/>
      </c>
      <c r="O214" s="40"/>
      <c r="P214" s="154"/>
      <c r="Q214" s="203"/>
      <c r="R214" s="532" t="str">
        <f t="shared" si="24"/>
        <v/>
      </c>
      <c r="S214" s="532" t="str">
        <f t="shared" si="25"/>
        <v/>
      </c>
      <c r="T214" s="532" t="str">
        <f t="shared" si="26"/>
        <v/>
      </c>
      <c r="U214" s="557"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8" x14ac:dyDescent="0.25">
      <c r="B215" s="141">
        <v>206</v>
      </c>
      <c r="C215" s="203"/>
      <c r="D215" s="203"/>
      <c r="E215" s="153"/>
      <c r="F215" s="553" t="str">
        <f>IF(D215="","",VLOOKUP(D215,'G-6 Hedgerow Data'!$B$2:$AG$15,2,FALSE))</f>
        <v/>
      </c>
      <c r="G215" s="499" t="str">
        <f>IF(D215="","",VLOOKUP(D215,'G-6 Hedgerow Data'!$B$2:$AG$15,3,FALSE))</f>
        <v/>
      </c>
      <c r="H215" s="145"/>
      <c r="I215" s="499" t="str">
        <f>IFERROR(VLOOKUP(H215,'G-1 All Habitats'!$Z$2:$AA$9,2,FALSE),"")</f>
        <v/>
      </c>
      <c r="J215" s="145"/>
      <c r="K215" s="507" t="str">
        <f>IF(J215="","",IF(VLOOKUP(J215,'G-3 Multipliers'!$L$3:$N$6,2,FALSE)=0,"Spatial Data Missing ⚠",VLOOKUP(J215,'G-3 Multipliers'!$L$3:$N$6,2,FALSE)))</f>
        <v/>
      </c>
      <c r="L215" s="505" t="str">
        <f>IF(J215="","",IF(VLOOKUP(J215,'G-3 Multipliers'!$L$3:$N$6,3,FALSE)=0,"Spatial Data Missing ⚠",VLOOKUP(J215,'G-3 Multipliers'!$L$3:$N$6,3,FALSE)))</f>
        <v/>
      </c>
      <c r="M215" s="506" t="str">
        <f>IF(D215="","",VLOOKUP(D215,'G-6 Hedgerow Data'!$B$1:$AH$15,33,FALSE))</f>
        <v/>
      </c>
      <c r="N215" s="513" t="str">
        <f t="shared" si="23"/>
        <v/>
      </c>
      <c r="O215" s="40"/>
      <c r="P215" s="154"/>
      <c r="Q215" s="203"/>
      <c r="R215" s="532" t="str">
        <f t="shared" si="24"/>
        <v/>
      </c>
      <c r="S215" s="532" t="str">
        <f t="shared" si="25"/>
        <v/>
      </c>
      <c r="T215" s="532" t="str">
        <f t="shared" si="26"/>
        <v/>
      </c>
      <c r="U215" s="557"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8" x14ac:dyDescent="0.25">
      <c r="B216" s="141">
        <v>207</v>
      </c>
      <c r="C216" s="203"/>
      <c r="D216" s="203"/>
      <c r="E216" s="153"/>
      <c r="F216" s="553" t="str">
        <f>IF(D216="","",VLOOKUP(D216,'G-6 Hedgerow Data'!$B$2:$AG$15,2,FALSE))</f>
        <v/>
      </c>
      <c r="G216" s="499" t="str">
        <f>IF(D216="","",VLOOKUP(D216,'G-6 Hedgerow Data'!$B$2:$AG$15,3,FALSE))</f>
        <v/>
      </c>
      <c r="H216" s="145"/>
      <c r="I216" s="499" t="str">
        <f>IFERROR(VLOOKUP(H216,'G-1 All Habitats'!$Z$2:$AA$9,2,FALSE),"")</f>
        <v/>
      </c>
      <c r="J216" s="145"/>
      <c r="K216" s="507" t="str">
        <f>IF(J216="","",IF(VLOOKUP(J216,'G-3 Multipliers'!$L$3:$N$6,2,FALSE)=0,"Spatial Data Missing ⚠",VLOOKUP(J216,'G-3 Multipliers'!$L$3:$N$6,2,FALSE)))</f>
        <v/>
      </c>
      <c r="L216" s="505" t="str">
        <f>IF(J216="","",IF(VLOOKUP(J216,'G-3 Multipliers'!$L$3:$N$6,3,FALSE)=0,"Spatial Data Missing ⚠",VLOOKUP(J216,'G-3 Multipliers'!$L$3:$N$6,3,FALSE)))</f>
        <v/>
      </c>
      <c r="M216" s="506" t="str">
        <f>IF(D216="","",VLOOKUP(D216,'G-6 Hedgerow Data'!$B$1:$AH$15,33,FALSE))</f>
        <v/>
      </c>
      <c r="N216" s="513" t="str">
        <f t="shared" si="23"/>
        <v/>
      </c>
      <c r="O216" s="40"/>
      <c r="P216" s="154"/>
      <c r="Q216" s="203"/>
      <c r="R216" s="532" t="str">
        <f t="shared" si="24"/>
        <v/>
      </c>
      <c r="S216" s="532" t="str">
        <f t="shared" si="25"/>
        <v/>
      </c>
      <c r="T216" s="532" t="str">
        <f t="shared" si="26"/>
        <v/>
      </c>
      <c r="U216" s="557"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8" x14ac:dyDescent="0.25">
      <c r="B217" s="141">
        <v>208</v>
      </c>
      <c r="C217" s="203"/>
      <c r="D217" s="203"/>
      <c r="E217" s="153"/>
      <c r="F217" s="553" t="str">
        <f>IF(D217="","",VLOOKUP(D217,'G-6 Hedgerow Data'!$B$2:$AG$15,2,FALSE))</f>
        <v/>
      </c>
      <c r="G217" s="499" t="str">
        <f>IF(D217="","",VLOOKUP(D217,'G-6 Hedgerow Data'!$B$2:$AG$15,3,FALSE))</f>
        <v/>
      </c>
      <c r="H217" s="145"/>
      <c r="I217" s="499" t="str">
        <f>IFERROR(VLOOKUP(H217,'G-1 All Habitats'!$Z$2:$AA$9,2,FALSE),"")</f>
        <v/>
      </c>
      <c r="J217" s="145"/>
      <c r="K217" s="507" t="str">
        <f>IF(J217="","",IF(VLOOKUP(J217,'G-3 Multipliers'!$L$3:$N$6,2,FALSE)=0,"Spatial Data Missing ⚠",VLOOKUP(J217,'G-3 Multipliers'!$L$3:$N$6,2,FALSE)))</f>
        <v/>
      </c>
      <c r="L217" s="505" t="str">
        <f>IF(J217="","",IF(VLOOKUP(J217,'G-3 Multipliers'!$L$3:$N$6,3,FALSE)=0,"Spatial Data Missing ⚠",VLOOKUP(J217,'G-3 Multipliers'!$L$3:$N$6,3,FALSE)))</f>
        <v/>
      </c>
      <c r="M217" s="506" t="str">
        <f>IF(D217="","",VLOOKUP(D217,'G-6 Hedgerow Data'!$B$1:$AH$15,33,FALSE))</f>
        <v/>
      </c>
      <c r="N217" s="513" t="str">
        <f t="shared" si="23"/>
        <v/>
      </c>
      <c r="O217" s="40"/>
      <c r="P217" s="154"/>
      <c r="Q217" s="203"/>
      <c r="R217" s="532" t="str">
        <f t="shared" si="24"/>
        <v/>
      </c>
      <c r="S217" s="532" t="str">
        <f t="shared" si="25"/>
        <v/>
      </c>
      <c r="T217" s="532" t="str">
        <f t="shared" si="26"/>
        <v/>
      </c>
      <c r="U217" s="557"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8" x14ac:dyDescent="0.25">
      <c r="B218" s="141">
        <v>209</v>
      </c>
      <c r="C218" s="203"/>
      <c r="D218" s="203"/>
      <c r="E218" s="153"/>
      <c r="F218" s="553" t="str">
        <f>IF(D218="","",VLOOKUP(D218,'G-6 Hedgerow Data'!$B$2:$AG$15,2,FALSE))</f>
        <v/>
      </c>
      <c r="G218" s="499" t="str">
        <f>IF(D218="","",VLOOKUP(D218,'G-6 Hedgerow Data'!$B$2:$AG$15,3,FALSE))</f>
        <v/>
      </c>
      <c r="H218" s="145"/>
      <c r="I218" s="499" t="str">
        <f>IFERROR(VLOOKUP(H218,'G-1 All Habitats'!$Z$2:$AA$9,2,FALSE),"")</f>
        <v/>
      </c>
      <c r="J218" s="145"/>
      <c r="K218" s="507" t="str">
        <f>IF(J218="","",IF(VLOOKUP(J218,'G-3 Multipliers'!$L$3:$N$6,2,FALSE)=0,"Spatial Data Missing ⚠",VLOOKUP(J218,'G-3 Multipliers'!$L$3:$N$6,2,FALSE)))</f>
        <v/>
      </c>
      <c r="L218" s="505" t="str">
        <f>IF(J218="","",IF(VLOOKUP(J218,'G-3 Multipliers'!$L$3:$N$6,3,FALSE)=0,"Spatial Data Missing ⚠",VLOOKUP(J218,'G-3 Multipliers'!$L$3:$N$6,3,FALSE)))</f>
        <v/>
      </c>
      <c r="M218" s="506" t="str">
        <f>IF(D218="","",VLOOKUP(D218,'G-6 Hedgerow Data'!$B$1:$AH$15,33,FALSE))</f>
        <v/>
      </c>
      <c r="N218" s="513" t="str">
        <f t="shared" si="23"/>
        <v/>
      </c>
      <c r="O218" s="40"/>
      <c r="P218" s="154"/>
      <c r="Q218" s="203"/>
      <c r="R218" s="532" t="str">
        <f t="shared" si="24"/>
        <v/>
      </c>
      <c r="S218" s="532" t="str">
        <f t="shared" si="25"/>
        <v/>
      </c>
      <c r="T218" s="532" t="str">
        <f t="shared" si="26"/>
        <v/>
      </c>
      <c r="U218" s="557"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8" x14ac:dyDescent="0.25">
      <c r="B219" s="141">
        <v>210</v>
      </c>
      <c r="C219" s="203"/>
      <c r="D219" s="203"/>
      <c r="E219" s="153"/>
      <c r="F219" s="553" t="str">
        <f>IF(D219="","",VLOOKUP(D219,'G-6 Hedgerow Data'!$B$2:$AG$15,2,FALSE))</f>
        <v/>
      </c>
      <c r="G219" s="499" t="str">
        <f>IF(D219="","",VLOOKUP(D219,'G-6 Hedgerow Data'!$B$2:$AG$15,3,FALSE))</f>
        <v/>
      </c>
      <c r="H219" s="145"/>
      <c r="I219" s="499" t="str">
        <f>IFERROR(VLOOKUP(H219,'G-1 All Habitats'!$Z$2:$AA$9,2,FALSE),"")</f>
        <v/>
      </c>
      <c r="J219" s="145"/>
      <c r="K219" s="507" t="str">
        <f>IF(J219="","",IF(VLOOKUP(J219,'G-3 Multipliers'!$L$3:$N$6,2,FALSE)=0,"Spatial Data Missing ⚠",VLOOKUP(J219,'G-3 Multipliers'!$L$3:$N$6,2,FALSE)))</f>
        <v/>
      </c>
      <c r="L219" s="505" t="str">
        <f>IF(J219="","",IF(VLOOKUP(J219,'G-3 Multipliers'!$L$3:$N$6,3,FALSE)=0,"Spatial Data Missing ⚠",VLOOKUP(J219,'G-3 Multipliers'!$L$3:$N$6,3,FALSE)))</f>
        <v/>
      </c>
      <c r="M219" s="506" t="str">
        <f>IF(D219="","",VLOOKUP(D219,'G-6 Hedgerow Data'!$B$1:$AH$15,33,FALSE))</f>
        <v/>
      </c>
      <c r="N219" s="513" t="str">
        <f t="shared" si="23"/>
        <v/>
      </c>
      <c r="O219" s="40"/>
      <c r="P219" s="154"/>
      <c r="Q219" s="203"/>
      <c r="R219" s="532" t="str">
        <f t="shared" si="24"/>
        <v/>
      </c>
      <c r="S219" s="532" t="str">
        <f t="shared" si="25"/>
        <v/>
      </c>
      <c r="T219" s="532" t="str">
        <f t="shared" si="26"/>
        <v/>
      </c>
      <c r="U219" s="557"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8" x14ac:dyDescent="0.25">
      <c r="B220" s="141">
        <v>211</v>
      </c>
      <c r="C220" s="203"/>
      <c r="D220" s="203"/>
      <c r="E220" s="153"/>
      <c r="F220" s="553" t="str">
        <f>IF(D220="","",VLOOKUP(D220,'G-6 Hedgerow Data'!$B$2:$AG$15,2,FALSE))</f>
        <v/>
      </c>
      <c r="G220" s="499" t="str">
        <f>IF(D220="","",VLOOKUP(D220,'G-6 Hedgerow Data'!$B$2:$AG$15,3,FALSE))</f>
        <v/>
      </c>
      <c r="H220" s="145"/>
      <c r="I220" s="499" t="str">
        <f>IFERROR(VLOOKUP(H220,'G-1 All Habitats'!$Z$2:$AA$9,2,FALSE),"")</f>
        <v/>
      </c>
      <c r="J220" s="145"/>
      <c r="K220" s="507" t="str">
        <f>IF(J220="","",IF(VLOOKUP(J220,'G-3 Multipliers'!$L$3:$N$6,2,FALSE)=0,"Spatial Data Missing ⚠",VLOOKUP(J220,'G-3 Multipliers'!$L$3:$N$6,2,FALSE)))</f>
        <v/>
      </c>
      <c r="L220" s="505" t="str">
        <f>IF(J220="","",IF(VLOOKUP(J220,'G-3 Multipliers'!$L$3:$N$6,3,FALSE)=0,"Spatial Data Missing ⚠",VLOOKUP(J220,'G-3 Multipliers'!$L$3:$N$6,3,FALSE)))</f>
        <v/>
      </c>
      <c r="M220" s="506" t="str">
        <f>IF(D220="","",VLOOKUP(D220,'G-6 Hedgerow Data'!$B$1:$AH$15,33,FALSE))</f>
        <v/>
      </c>
      <c r="N220" s="513" t="str">
        <f t="shared" si="23"/>
        <v/>
      </c>
      <c r="O220" s="40"/>
      <c r="P220" s="154"/>
      <c r="Q220" s="203"/>
      <c r="R220" s="532" t="str">
        <f t="shared" si="24"/>
        <v/>
      </c>
      <c r="S220" s="532" t="str">
        <f t="shared" si="25"/>
        <v/>
      </c>
      <c r="T220" s="532" t="str">
        <f t="shared" si="26"/>
        <v/>
      </c>
      <c r="U220" s="557"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8" x14ac:dyDescent="0.25">
      <c r="B221" s="141">
        <v>212</v>
      </c>
      <c r="C221" s="203"/>
      <c r="D221" s="203"/>
      <c r="E221" s="153"/>
      <c r="F221" s="553" t="str">
        <f>IF(D221="","",VLOOKUP(D221,'G-6 Hedgerow Data'!$B$2:$AG$15,2,FALSE))</f>
        <v/>
      </c>
      <c r="G221" s="499" t="str">
        <f>IF(D221="","",VLOOKUP(D221,'G-6 Hedgerow Data'!$B$2:$AG$15,3,FALSE))</f>
        <v/>
      </c>
      <c r="H221" s="145"/>
      <c r="I221" s="499" t="str">
        <f>IFERROR(VLOOKUP(H221,'G-1 All Habitats'!$Z$2:$AA$9,2,FALSE),"")</f>
        <v/>
      </c>
      <c r="J221" s="145"/>
      <c r="K221" s="507" t="str">
        <f>IF(J221="","",IF(VLOOKUP(J221,'G-3 Multipliers'!$L$3:$N$6,2,FALSE)=0,"Spatial Data Missing ⚠",VLOOKUP(J221,'G-3 Multipliers'!$L$3:$N$6,2,FALSE)))</f>
        <v/>
      </c>
      <c r="L221" s="505" t="str">
        <f>IF(J221="","",IF(VLOOKUP(J221,'G-3 Multipliers'!$L$3:$N$6,3,FALSE)=0,"Spatial Data Missing ⚠",VLOOKUP(J221,'G-3 Multipliers'!$L$3:$N$6,3,FALSE)))</f>
        <v/>
      </c>
      <c r="M221" s="506" t="str">
        <f>IF(D221="","",VLOOKUP(D221,'G-6 Hedgerow Data'!$B$1:$AH$15,33,FALSE))</f>
        <v/>
      </c>
      <c r="N221" s="513" t="str">
        <f t="shared" si="23"/>
        <v/>
      </c>
      <c r="O221" s="40"/>
      <c r="P221" s="154"/>
      <c r="Q221" s="203"/>
      <c r="R221" s="532" t="str">
        <f t="shared" si="24"/>
        <v/>
      </c>
      <c r="S221" s="532" t="str">
        <f t="shared" si="25"/>
        <v/>
      </c>
      <c r="T221" s="532" t="str">
        <f t="shared" si="26"/>
        <v/>
      </c>
      <c r="U221" s="557"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8" x14ac:dyDescent="0.25">
      <c r="B222" s="141">
        <v>213</v>
      </c>
      <c r="C222" s="203"/>
      <c r="D222" s="203"/>
      <c r="E222" s="153"/>
      <c r="F222" s="553" t="str">
        <f>IF(D222="","",VLOOKUP(D222,'G-6 Hedgerow Data'!$B$2:$AG$15,2,FALSE))</f>
        <v/>
      </c>
      <c r="G222" s="499" t="str">
        <f>IF(D222="","",VLOOKUP(D222,'G-6 Hedgerow Data'!$B$2:$AG$15,3,FALSE))</f>
        <v/>
      </c>
      <c r="H222" s="145"/>
      <c r="I222" s="499" t="str">
        <f>IFERROR(VLOOKUP(H222,'G-1 All Habitats'!$Z$2:$AA$9,2,FALSE),"")</f>
        <v/>
      </c>
      <c r="J222" s="145"/>
      <c r="K222" s="507" t="str">
        <f>IF(J222="","",IF(VLOOKUP(J222,'G-3 Multipliers'!$L$3:$N$6,2,FALSE)=0,"Spatial Data Missing ⚠",VLOOKUP(J222,'G-3 Multipliers'!$L$3:$N$6,2,FALSE)))</f>
        <v/>
      </c>
      <c r="L222" s="505" t="str">
        <f>IF(J222="","",IF(VLOOKUP(J222,'G-3 Multipliers'!$L$3:$N$6,3,FALSE)=0,"Spatial Data Missing ⚠",VLOOKUP(J222,'G-3 Multipliers'!$L$3:$N$6,3,FALSE)))</f>
        <v/>
      </c>
      <c r="M222" s="506" t="str">
        <f>IF(D222="","",VLOOKUP(D222,'G-6 Hedgerow Data'!$B$1:$AH$15,33,FALSE))</f>
        <v/>
      </c>
      <c r="N222" s="513" t="str">
        <f t="shared" si="23"/>
        <v/>
      </c>
      <c r="O222" s="40"/>
      <c r="P222" s="154"/>
      <c r="Q222" s="203"/>
      <c r="R222" s="532" t="str">
        <f t="shared" si="24"/>
        <v/>
      </c>
      <c r="S222" s="532" t="str">
        <f t="shared" si="25"/>
        <v/>
      </c>
      <c r="T222" s="532" t="str">
        <f t="shared" si="26"/>
        <v/>
      </c>
      <c r="U222" s="557"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8" x14ac:dyDescent="0.25">
      <c r="B223" s="141">
        <v>214</v>
      </c>
      <c r="C223" s="203"/>
      <c r="D223" s="203"/>
      <c r="E223" s="153"/>
      <c r="F223" s="553" t="str">
        <f>IF(D223="","",VLOOKUP(D223,'G-6 Hedgerow Data'!$B$2:$AG$15,2,FALSE))</f>
        <v/>
      </c>
      <c r="G223" s="499" t="str">
        <f>IF(D223="","",VLOOKUP(D223,'G-6 Hedgerow Data'!$B$2:$AG$15,3,FALSE))</f>
        <v/>
      </c>
      <c r="H223" s="145"/>
      <c r="I223" s="499" t="str">
        <f>IFERROR(VLOOKUP(H223,'G-1 All Habitats'!$Z$2:$AA$9,2,FALSE),"")</f>
        <v/>
      </c>
      <c r="J223" s="145"/>
      <c r="K223" s="507" t="str">
        <f>IF(J223="","",IF(VLOOKUP(J223,'G-3 Multipliers'!$L$3:$N$6,2,FALSE)=0,"Spatial Data Missing ⚠",VLOOKUP(J223,'G-3 Multipliers'!$L$3:$N$6,2,FALSE)))</f>
        <v/>
      </c>
      <c r="L223" s="505" t="str">
        <f>IF(J223="","",IF(VLOOKUP(J223,'G-3 Multipliers'!$L$3:$N$6,3,FALSE)=0,"Spatial Data Missing ⚠",VLOOKUP(J223,'G-3 Multipliers'!$L$3:$N$6,3,FALSE)))</f>
        <v/>
      </c>
      <c r="M223" s="506" t="str">
        <f>IF(D223="","",VLOOKUP(D223,'G-6 Hedgerow Data'!$B$1:$AH$15,33,FALSE))</f>
        <v/>
      </c>
      <c r="N223" s="513" t="str">
        <f t="shared" si="23"/>
        <v/>
      </c>
      <c r="O223" s="40"/>
      <c r="P223" s="154"/>
      <c r="Q223" s="203"/>
      <c r="R223" s="532" t="str">
        <f t="shared" si="24"/>
        <v/>
      </c>
      <c r="S223" s="532" t="str">
        <f t="shared" si="25"/>
        <v/>
      </c>
      <c r="T223" s="532" t="str">
        <f t="shared" si="26"/>
        <v/>
      </c>
      <c r="U223" s="557"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8" x14ac:dyDescent="0.25">
      <c r="B224" s="141">
        <v>215</v>
      </c>
      <c r="C224" s="203"/>
      <c r="D224" s="203"/>
      <c r="E224" s="153"/>
      <c r="F224" s="553" t="str">
        <f>IF(D224="","",VLOOKUP(D224,'G-6 Hedgerow Data'!$B$2:$AG$15,2,FALSE))</f>
        <v/>
      </c>
      <c r="G224" s="499" t="str">
        <f>IF(D224="","",VLOOKUP(D224,'G-6 Hedgerow Data'!$B$2:$AG$15,3,FALSE))</f>
        <v/>
      </c>
      <c r="H224" s="145"/>
      <c r="I224" s="499" t="str">
        <f>IFERROR(VLOOKUP(H224,'G-1 All Habitats'!$Z$2:$AA$9,2,FALSE),"")</f>
        <v/>
      </c>
      <c r="J224" s="145"/>
      <c r="K224" s="507" t="str">
        <f>IF(J224="","",IF(VLOOKUP(J224,'G-3 Multipliers'!$L$3:$N$6,2,FALSE)=0,"Spatial Data Missing ⚠",VLOOKUP(J224,'G-3 Multipliers'!$L$3:$N$6,2,FALSE)))</f>
        <v/>
      </c>
      <c r="L224" s="505" t="str">
        <f>IF(J224="","",IF(VLOOKUP(J224,'G-3 Multipliers'!$L$3:$N$6,3,FALSE)=0,"Spatial Data Missing ⚠",VLOOKUP(J224,'G-3 Multipliers'!$L$3:$N$6,3,FALSE)))</f>
        <v/>
      </c>
      <c r="M224" s="506" t="str">
        <f>IF(D224="","",VLOOKUP(D224,'G-6 Hedgerow Data'!$B$1:$AH$15,33,FALSE))</f>
        <v/>
      </c>
      <c r="N224" s="513" t="str">
        <f t="shared" si="23"/>
        <v/>
      </c>
      <c r="O224" s="40"/>
      <c r="P224" s="154"/>
      <c r="Q224" s="203"/>
      <c r="R224" s="532" t="str">
        <f t="shared" si="24"/>
        <v/>
      </c>
      <c r="S224" s="532" t="str">
        <f t="shared" si="25"/>
        <v/>
      </c>
      <c r="T224" s="532" t="str">
        <f t="shared" si="26"/>
        <v/>
      </c>
      <c r="U224" s="557"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8" x14ac:dyDescent="0.25">
      <c r="B225" s="141">
        <v>216</v>
      </c>
      <c r="C225" s="203"/>
      <c r="D225" s="203"/>
      <c r="E225" s="153"/>
      <c r="F225" s="553" t="str">
        <f>IF(D225="","",VLOOKUP(D225,'G-6 Hedgerow Data'!$B$2:$AG$15,2,FALSE))</f>
        <v/>
      </c>
      <c r="G225" s="499" t="str">
        <f>IF(D225="","",VLOOKUP(D225,'G-6 Hedgerow Data'!$B$2:$AG$15,3,FALSE))</f>
        <v/>
      </c>
      <c r="H225" s="145"/>
      <c r="I225" s="499" t="str">
        <f>IFERROR(VLOOKUP(H225,'G-1 All Habitats'!$Z$2:$AA$9,2,FALSE),"")</f>
        <v/>
      </c>
      <c r="J225" s="145"/>
      <c r="K225" s="507" t="str">
        <f>IF(J225="","",IF(VLOOKUP(J225,'G-3 Multipliers'!$L$3:$N$6,2,FALSE)=0,"Spatial Data Missing ⚠",VLOOKUP(J225,'G-3 Multipliers'!$L$3:$N$6,2,FALSE)))</f>
        <v/>
      </c>
      <c r="L225" s="505" t="str">
        <f>IF(J225="","",IF(VLOOKUP(J225,'G-3 Multipliers'!$L$3:$N$6,3,FALSE)=0,"Spatial Data Missing ⚠",VLOOKUP(J225,'G-3 Multipliers'!$L$3:$N$6,3,FALSE)))</f>
        <v/>
      </c>
      <c r="M225" s="506" t="str">
        <f>IF(D225="","",VLOOKUP(D225,'G-6 Hedgerow Data'!$B$1:$AH$15,33,FALSE))</f>
        <v/>
      </c>
      <c r="N225" s="513" t="str">
        <f t="shared" si="23"/>
        <v/>
      </c>
      <c r="O225" s="40"/>
      <c r="P225" s="154"/>
      <c r="Q225" s="203"/>
      <c r="R225" s="532" t="str">
        <f t="shared" si="24"/>
        <v/>
      </c>
      <c r="S225" s="532" t="str">
        <f t="shared" si="25"/>
        <v/>
      </c>
      <c r="T225" s="532" t="str">
        <f t="shared" si="26"/>
        <v/>
      </c>
      <c r="U225" s="557"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8" x14ac:dyDescent="0.25">
      <c r="B226" s="141">
        <v>217</v>
      </c>
      <c r="C226" s="203"/>
      <c r="D226" s="203"/>
      <c r="E226" s="153"/>
      <c r="F226" s="553" t="str">
        <f>IF(D226="","",VLOOKUP(D226,'G-6 Hedgerow Data'!$B$2:$AG$15,2,FALSE))</f>
        <v/>
      </c>
      <c r="G226" s="499" t="str">
        <f>IF(D226="","",VLOOKUP(D226,'G-6 Hedgerow Data'!$B$2:$AG$15,3,FALSE))</f>
        <v/>
      </c>
      <c r="H226" s="145"/>
      <c r="I226" s="499" t="str">
        <f>IFERROR(VLOOKUP(H226,'G-1 All Habitats'!$Z$2:$AA$9,2,FALSE),"")</f>
        <v/>
      </c>
      <c r="J226" s="145"/>
      <c r="K226" s="507" t="str">
        <f>IF(J226="","",IF(VLOOKUP(J226,'G-3 Multipliers'!$L$3:$N$6,2,FALSE)=0,"Spatial Data Missing ⚠",VLOOKUP(J226,'G-3 Multipliers'!$L$3:$N$6,2,FALSE)))</f>
        <v/>
      </c>
      <c r="L226" s="505" t="str">
        <f>IF(J226="","",IF(VLOOKUP(J226,'G-3 Multipliers'!$L$3:$N$6,3,FALSE)=0,"Spatial Data Missing ⚠",VLOOKUP(J226,'G-3 Multipliers'!$L$3:$N$6,3,FALSE)))</f>
        <v/>
      </c>
      <c r="M226" s="506" t="str">
        <f>IF(D226="","",VLOOKUP(D226,'G-6 Hedgerow Data'!$B$1:$AH$15,33,FALSE))</f>
        <v/>
      </c>
      <c r="N226" s="513" t="str">
        <f t="shared" si="23"/>
        <v/>
      </c>
      <c r="O226" s="40"/>
      <c r="P226" s="154"/>
      <c r="Q226" s="203"/>
      <c r="R226" s="532" t="str">
        <f t="shared" si="24"/>
        <v/>
      </c>
      <c r="S226" s="532" t="str">
        <f t="shared" si="25"/>
        <v/>
      </c>
      <c r="T226" s="532" t="str">
        <f t="shared" si="26"/>
        <v/>
      </c>
      <c r="U226" s="557"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8" x14ac:dyDescent="0.25">
      <c r="B227" s="141">
        <v>218</v>
      </c>
      <c r="C227" s="203"/>
      <c r="D227" s="203"/>
      <c r="E227" s="153"/>
      <c r="F227" s="553" t="str">
        <f>IF(D227="","",VLOOKUP(D227,'G-6 Hedgerow Data'!$B$2:$AG$15,2,FALSE))</f>
        <v/>
      </c>
      <c r="G227" s="499" t="str">
        <f>IF(D227="","",VLOOKUP(D227,'G-6 Hedgerow Data'!$B$2:$AG$15,3,FALSE))</f>
        <v/>
      </c>
      <c r="H227" s="145"/>
      <c r="I227" s="499" t="str">
        <f>IFERROR(VLOOKUP(H227,'G-1 All Habitats'!$Z$2:$AA$9,2,FALSE),"")</f>
        <v/>
      </c>
      <c r="J227" s="145"/>
      <c r="K227" s="507" t="str">
        <f>IF(J227="","",IF(VLOOKUP(J227,'G-3 Multipliers'!$L$3:$N$6,2,FALSE)=0,"Spatial Data Missing ⚠",VLOOKUP(J227,'G-3 Multipliers'!$L$3:$N$6,2,FALSE)))</f>
        <v/>
      </c>
      <c r="L227" s="505" t="str">
        <f>IF(J227="","",IF(VLOOKUP(J227,'G-3 Multipliers'!$L$3:$N$6,3,FALSE)=0,"Spatial Data Missing ⚠",VLOOKUP(J227,'G-3 Multipliers'!$L$3:$N$6,3,FALSE)))</f>
        <v/>
      </c>
      <c r="M227" s="506" t="str">
        <f>IF(D227="","",VLOOKUP(D227,'G-6 Hedgerow Data'!$B$1:$AH$15,33,FALSE))</f>
        <v/>
      </c>
      <c r="N227" s="513" t="str">
        <f t="shared" si="23"/>
        <v/>
      </c>
      <c r="O227" s="40"/>
      <c r="P227" s="154"/>
      <c r="Q227" s="203"/>
      <c r="R227" s="532" t="str">
        <f t="shared" si="24"/>
        <v/>
      </c>
      <c r="S227" s="532" t="str">
        <f t="shared" si="25"/>
        <v/>
      </c>
      <c r="T227" s="532" t="str">
        <f t="shared" si="26"/>
        <v/>
      </c>
      <c r="U227" s="557"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8" x14ac:dyDescent="0.25">
      <c r="B228" s="141">
        <v>219</v>
      </c>
      <c r="C228" s="203"/>
      <c r="D228" s="203"/>
      <c r="E228" s="153"/>
      <c r="F228" s="553" t="str">
        <f>IF(D228="","",VLOOKUP(D228,'G-6 Hedgerow Data'!$B$2:$AG$15,2,FALSE))</f>
        <v/>
      </c>
      <c r="G228" s="499" t="str">
        <f>IF(D228="","",VLOOKUP(D228,'G-6 Hedgerow Data'!$B$2:$AG$15,3,FALSE))</f>
        <v/>
      </c>
      <c r="H228" s="145"/>
      <c r="I228" s="499" t="str">
        <f>IFERROR(VLOOKUP(H228,'G-1 All Habitats'!$Z$2:$AA$9,2,FALSE),"")</f>
        <v/>
      </c>
      <c r="J228" s="145"/>
      <c r="K228" s="507" t="str">
        <f>IF(J228="","",IF(VLOOKUP(J228,'G-3 Multipliers'!$L$3:$N$6,2,FALSE)=0,"Spatial Data Missing ⚠",VLOOKUP(J228,'G-3 Multipliers'!$L$3:$N$6,2,FALSE)))</f>
        <v/>
      </c>
      <c r="L228" s="505" t="str">
        <f>IF(J228="","",IF(VLOOKUP(J228,'G-3 Multipliers'!$L$3:$N$6,3,FALSE)=0,"Spatial Data Missing ⚠",VLOOKUP(J228,'G-3 Multipliers'!$L$3:$N$6,3,FALSE)))</f>
        <v/>
      </c>
      <c r="M228" s="506" t="str">
        <f>IF(D228="","",VLOOKUP(D228,'G-6 Hedgerow Data'!$B$1:$AH$15,33,FALSE))</f>
        <v/>
      </c>
      <c r="N228" s="513" t="str">
        <f t="shared" si="23"/>
        <v/>
      </c>
      <c r="O228" s="40"/>
      <c r="P228" s="154"/>
      <c r="Q228" s="203"/>
      <c r="R228" s="532" t="str">
        <f t="shared" si="24"/>
        <v/>
      </c>
      <c r="S228" s="532" t="str">
        <f t="shared" si="25"/>
        <v/>
      </c>
      <c r="T228" s="532" t="str">
        <f t="shared" si="26"/>
        <v/>
      </c>
      <c r="U228" s="557"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8" x14ac:dyDescent="0.25">
      <c r="B229" s="141">
        <v>220</v>
      </c>
      <c r="C229" s="203"/>
      <c r="D229" s="203"/>
      <c r="E229" s="153"/>
      <c r="F229" s="553" t="str">
        <f>IF(D229="","",VLOOKUP(D229,'G-6 Hedgerow Data'!$B$2:$AG$15,2,FALSE))</f>
        <v/>
      </c>
      <c r="G229" s="499" t="str">
        <f>IF(D229="","",VLOOKUP(D229,'G-6 Hedgerow Data'!$B$2:$AG$15,3,FALSE))</f>
        <v/>
      </c>
      <c r="H229" s="145"/>
      <c r="I229" s="499" t="str">
        <f>IFERROR(VLOOKUP(H229,'G-1 All Habitats'!$Z$2:$AA$9,2,FALSE),"")</f>
        <v/>
      </c>
      <c r="J229" s="145"/>
      <c r="K229" s="507" t="str">
        <f>IF(J229="","",IF(VLOOKUP(J229,'G-3 Multipliers'!$L$3:$N$6,2,FALSE)=0,"Spatial Data Missing ⚠",VLOOKUP(J229,'G-3 Multipliers'!$L$3:$N$6,2,FALSE)))</f>
        <v/>
      </c>
      <c r="L229" s="505" t="str">
        <f>IF(J229="","",IF(VLOOKUP(J229,'G-3 Multipliers'!$L$3:$N$6,3,FALSE)=0,"Spatial Data Missing ⚠",VLOOKUP(J229,'G-3 Multipliers'!$L$3:$N$6,3,FALSE)))</f>
        <v/>
      </c>
      <c r="M229" s="506" t="str">
        <f>IF(D229="","",VLOOKUP(D229,'G-6 Hedgerow Data'!$B$1:$AH$15,33,FALSE))</f>
        <v/>
      </c>
      <c r="N229" s="513" t="str">
        <f t="shared" si="23"/>
        <v/>
      </c>
      <c r="O229" s="40"/>
      <c r="P229" s="154"/>
      <c r="Q229" s="203"/>
      <c r="R229" s="532" t="str">
        <f t="shared" si="24"/>
        <v/>
      </c>
      <c r="S229" s="532" t="str">
        <f t="shared" si="25"/>
        <v/>
      </c>
      <c r="T229" s="532" t="str">
        <f t="shared" si="26"/>
        <v/>
      </c>
      <c r="U229" s="557"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8" x14ac:dyDescent="0.25">
      <c r="B230" s="141">
        <v>221</v>
      </c>
      <c r="C230" s="203"/>
      <c r="D230" s="203"/>
      <c r="E230" s="153"/>
      <c r="F230" s="553" t="str">
        <f>IF(D230="","",VLOOKUP(D230,'G-6 Hedgerow Data'!$B$2:$AG$15,2,FALSE))</f>
        <v/>
      </c>
      <c r="G230" s="499" t="str">
        <f>IF(D230="","",VLOOKUP(D230,'G-6 Hedgerow Data'!$B$2:$AG$15,3,FALSE))</f>
        <v/>
      </c>
      <c r="H230" s="145"/>
      <c r="I230" s="499" t="str">
        <f>IFERROR(VLOOKUP(H230,'G-1 All Habitats'!$Z$2:$AA$9,2,FALSE),"")</f>
        <v/>
      </c>
      <c r="J230" s="145"/>
      <c r="K230" s="507" t="str">
        <f>IF(J230="","",IF(VLOOKUP(J230,'G-3 Multipliers'!$L$3:$N$6,2,FALSE)=0,"Spatial Data Missing ⚠",VLOOKUP(J230,'G-3 Multipliers'!$L$3:$N$6,2,FALSE)))</f>
        <v/>
      </c>
      <c r="L230" s="505" t="str">
        <f>IF(J230="","",IF(VLOOKUP(J230,'G-3 Multipliers'!$L$3:$N$6,3,FALSE)=0,"Spatial Data Missing ⚠",VLOOKUP(J230,'G-3 Multipliers'!$L$3:$N$6,3,FALSE)))</f>
        <v/>
      </c>
      <c r="M230" s="506" t="str">
        <f>IF(D230="","",VLOOKUP(D230,'G-6 Hedgerow Data'!$B$1:$AH$15,33,FALSE))</f>
        <v/>
      </c>
      <c r="N230" s="513" t="str">
        <f t="shared" si="23"/>
        <v/>
      </c>
      <c r="O230" s="40"/>
      <c r="P230" s="154"/>
      <c r="Q230" s="203"/>
      <c r="R230" s="532" t="str">
        <f t="shared" si="24"/>
        <v/>
      </c>
      <c r="S230" s="532" t="str">
        <f t="shared" si="25"/>
        <v/>
      </c>
      <c r="T230" s="532" t="str">
        <f t="shared" si="26"/>
        <v/>
      </c>
      <c r="U230" s="557"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8" x14ac:dyDescent="0.25">
      <c r="B231" s="141">
        <v>222</v>
      </c>
      <c r="C231" s="203"/>
      <c r="D231" s="203"/>
      <c r="E231" s="153"/>
      <c r="F231" s="553" t="str">
        <f>IF(D231="","",VLOOKUP(D231,'G-6 Hedgerow Data'!$B$2:$AG$15,2,FALSE))</f>
        <v/>
      </c>
      <c r="G231" s="499" t="str">
        <f>IF(D231="","",VLOOKUP(D231,'G-6 Hedgerow Data'!$B$2:$AG$15,3,FALSE))</f>
        <v/>
      </c>
      <c r="H231" s="145"/>
      <c r="I231" s="499" t="str">
        <f>IFERROR(VLOOKUP(H231,'G-1 All Habitats'!$Z$2:$AA$9,2,FALSE),"")</f>
        <v/>
      </c>
      <c r="J231" s="145"/>
      <c r="K231" s="507" t="str">
        <f>IF(J231="","",IF(VLOOKUP(J231,'G-3 Multipliers'!$L$3:$N$6,2,FALSE)=0,"Spatial Data Missing ⚠",VLOOKUP(J231,'G-3 Multipliers'!$L$3:$N$6,2,FALSE)))</f>
        <v/>
      </c>
      <c r="L231" s="505" t="str">
        <f>IF(J231="","",IF(VLOOKUP(J231,'G-3 Multipliers'!$L$3:$N$6,3,FALSE)=0,"Spatial Data Missing ⚠",VLOOKUP(J231,'G-3 Multipliers'!$L$3:$N$6,3,FALSE)))</f>
        <v/>
      </c>
      <c r="M231" s="506" t="str">
        <f>IF(D231="","",VLOOKUP(D231,'G-6 Hedgerow Data'!$B$1:$AH$15,33,FALSE))</f>
        <v/>
      </c>
      <c r="N231" s="513" t="str">
        <f t="shared" si="23"/>
        <v/>
      </c>
      <c r="O231" s="40"/>
      <c r="P231" s="154"/>
      <c r="Q231" s="203"/>
      <c r="R231" s="532" t="str">
        <f t="shared" si="24"/>
        <v/>
      </c>
      <c r="S231" s="532" t="str">
        <f t="shared" si="25"/>
        <v/>
      </c>
      <c r="T231" s="532" t="str">
        <f t="shared" si="26"/>
        <v/>
      </c>
      <c r="U231" s="557"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8" x14ac:dyDescent="0.25">
      <c r="B232" s="141">
        <v>223</v>
      </c>
      <c r="C232" s="203"/>
      <c r="D232" s="203"/>
      <c r="E232" s="153"/>
      <c r="F232" s="553" t="str">
        <f>IF(D232="","",VLOOKUP(D232,'G-6 Hedgerow Data'!$B$2:$AG$15,2,FALSE))</f>
        <v/>
      </c>
      <c r="G232" s="499" t="str">
        <f>IF(D232="","",VLOOKUP(D232,'G-6 Hedgerow Data'!$B$2:$AG$15,3,FALSE))</f>
        <v/>
      </c>
      <c r="H232" s="145"/>
      <c r="I232" s="499" t="str">
        <f>IFERROR(VLOOKUP(H232,'G-1 All Habitats'!$Z$2:$AA$9,2,FALSE),"")</f>
        <v/>
      </c>
      <c r="J232" s="145"/>
      <c r="K232" s="507" t="str">
        <f>IF(J232="","",IF(VLOOKUP(J232,'G-3 Multipliers'!$L$3:$N$6,2,FALSE)=0,"Spatial Data Missing ⚠",VLOOKUP(J232,'G-3 Multipliers'!$L$3:$N$6,2,FALSE)))</f>
        <v/>
      </c>
      <c r="L232" s="505" t="str">
        <f>IF(J232="","",IF(VLOOKUP(J232,'G-3 Multipliers'!$L$3:$N$6,3,FALSE)=0,"Spatial Data Missing ⚠",VLOOKUP(J232,'G-3 Multipliers'!$L$3:$N$6,3,FALSE)))</f>
        <v/>
      </c>
      <c r="M232" s="506" t="str">
        <f>IF(D232="","",VLOOKUP(D232,'G-6 Hedgerow Data'!$B$1:$AH$15,33,FALSE))</f>
        <v/>
      </c>
      <c r="N232" s="513" t="str">
        <f t="shared" si="23"/>
        <v/>
      </c>
      <c r="O232" s="40"/>
      <c r="P232" s="154"/>
      <c r="Q232" s="203"/>
      <c r="R232" s="532" t="str">
        <f t="shared" si="24"/>
        <v/>
      </c>
      <c r="S232" s="532" t="str">
        <f t="shared" si="25"/>
        <v/>
      </c>
      <c r="T232" s="532" t="str">
        <f t="shared" si="26"/>
        <v/>
      </c>
      <c r="U232" s="557"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8" x14ac:dyDescent="0.25">
      <c r="B233" s="141">
        <v>224</v>
      </c>
      <c r="C233" s="203"/>
      <c r="D233" s="203"/>
      <c r="E233" s="153"/>
      <c r="F233" s="553" t="str">
        <f>IF(D233="","",VLOOKUP(D233,'G-6 Hedgerow Data'!$B$2:$AG$15,2,FALSE))</f>
        <v/>
      </c>
      <c r="G233" s="499" t="str">
        <f>IF(D233="","",VLOOKUP(D233,'G-6 Hedgerow Data'!$B$2:$AG$15,3,FALSE))</f>
        <v/>
      </c>
      <c r="H233" s="145"/>
      <c r="I233" s="499" t="str">
        <f>IFERROR(VLOOKUP(H233,'G-1 All Habitats'!$Z$2:$AA$9,2,FALSE),"")</f>
        <v/>
      </c>
      <c r="J233" s="145"/>
      <c r="K233" s="507" t="str">
        <f>IF(J233="","",IF(VLOOKUP(J233,'G-3 Multipliers'!$L$3:$N$6,2,FALSE)=0,"Spatial Data Missing ⚠",VLOOKUP(J233,'G-3 Multipliers'!$L$3:$N$6,2,FALSE)))</f>
        <v/>
      </c>
      <c r="L233" s="505" t="str">
        <f>IF(J233="","",IF(VLOOKUP(J233,'G-3 Multipliers'!$L$3:$N$6,3,FALSE)=0,"Spatial Data Missing ⚠",VLOOKUP(J233,'G-3 Multipliers'!$L$3:$N$6,3,FALSE)))</f>
        <v/>
      </c>
      <c r="M233" s="506" t="str">
        <f>IF(D233="","",VLOOKUP(D233,'G-6 Hedgerow Data'!$B$1:$AH$15,33,FALSE))</f>
        <v/>
      </c>
      <c r="N233" s="513" t="str">
        <f t="shared" si="23"/>
        <v/>
      </c>
      <c r="O233" s="40"/>
      <c r="P233" s="154"/>
      <c r="Q233" s="203"/>
      <c r="R233" s="532" t="str">
        <f t="shared" si="24"/>
        <v/>
      </c>
      <c r="S233" s="532" t="str">
        <f t="shared" si="25"/>
        <v/>
      </c>
      <c r="T233" s="532" t="str">
        <f t="shared" si="26"/>
        <v/>
      </c>
      <c r="U233" s="557"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8" x14ac:dyDescent="0.25">
      <c r="B234" s="141">
        <v>225</v>
      </c>
      <c r="C234" s="203"/>
      <c r="D234" s="203"/>
      <c r="E234" s="153"/>
      <c r="F234" s="553" t="str">
        <f>IF(D234="","",VLOOKUP(D234,'G-6 Hedgerow Data'!$B$2:$AG$15,2,FALSE))</f>
        <v/>
      </c>
      <c r="G234" s="499" t="str">
        <f>IF(D234="","",VLOOKUP(D234,'G-6 Hedgerow Data'!$B$2:$AG$15,3,FALSE))</f>
        <v/>
      </c>
      <c r="H234" s="145"/>
      <c r="I234" s="499" t="str">
        <f>IFERROR(VLOOKUP(H234,'G-1 All Habitats'!$Z$2:$AA$9,2,FALSE),"")</f>
        <v/>
      </c>
      <c r="J234" s="145"/>
      <c r="K234" s="507" t="str">
        <f>IF(J234="","",IF(VLOOKUP(J234,'G-3 Multipliers'!$L$3:$N$6,2,FALSE)=0,"Spatial Data Missing ⚠",VLOOKUP(J234,'G-3 Multipliers'!$L$3:$N$6,2,FALSE)))</f>
        <v/>
      </c>
      <c r="L234" s="505" t="str">
        <f>IF(J234="","",IF(VLOOKUP(J234,'G-3 Multipliers'!$L$3:$N$6,3,FALSE)=0,"Spatial Data Missing ⚠",VLOOKUP(J234,'G-3 Multipliers'!$L$3:$N$6,3,FALSE)))</f>
        <v/>
      </c>
      <c r="M234" s="506" t="str">
        <f>IF(D234="","",VLOOKUP(D234,'G-6 Hedgerow Data'!$B$1:$AH$15,33,FALSE))</f>
        <v/>
      </c>
      <c r="N234" s="513" t="str">
        <f t="shared" si="23"/>
        <v/>
      </c>
      <c r="O234" s="40"/>
      <c r="P234" s="154"/>
      <c r="Q234" s="203"/>
      <c r="R234" s="532" t="str">
        <f t="shared" si="24"/>
        <v/>
      </c>
      <c r="S234" s="532" t="str">
        <f t="shared" si="25"/>
        <v/>
      </c>
      <c r="T234" s="532" t="str">
        <f t="shared" si="26"/>
        <v/>
      </c>
      <c r="U234" s="557"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8" x14ac:dyDescent="0.25">
      <c r="B235" s="141">
        <v>226</v>
      </c>
      <c r="C235" s="203"/>
      <c r="D235" s="203"/>
      <c r="E235" s="153"/>
      <c r="F235" s="553" t="str">
        <f>IF(D235="","",VLOOKUP(D235,'G-6 Hedgerow Data'!$B$2:$AG$15,2,FALSE))</f>
        <v/>
      </c>
      <c r="G235" s="499" t="str">
        <f>IF(D235="","",VLOOKUP(D235,'G-6 Hedgerow Data'!$B$2:$AG$15,3,FALSE))</f>
        <v/>
      </c>
      <c r="H235" s="145"/>
      <c r="I235" s="499" t="str">
        <f>IFERROR(VLOOKUP(H235,'G-1 All Habitats'!$Z$2:$AA$9,2,FALSE),"")</f>
        <v/>
      </c>
      <c r="J235" s="145"/>
      <c r="K235" s="507" t="str">
        <f>IF(J235="","",IF(VLOOKUP(J235,'G-3 Multipliers'!$L$3:$N$6,2,FALSE)=0,"Spatial Data Missing ⚠",VLOOKUP(J235,'G-3 Multipliers'!$L$3:$N$6,2,FALSE)))</f>
        <v/>
      </c>
      <c r="L235" s="505" t="str">
        <f>IF(J235="","",IF(VLOOKUP(J235,'G-3 Multipliers'!$L$3:$N$6,3,FALSE)=0,"Spatial Data Missing ⚠",VLOOKUP(J235,'G-3 Multipliers'!$L$3:$N$6,3,FALSE)))</f>
        <v/>
      </c>
      <c r="M235" s="506" t="str">
        <f>IF(D235="","",VLOOKUP(D235,'G-6 Hedgerow Data'!$B$1:$AH$15,33,FALSE))</f>
        <v/>
      </c>
      <c r="N235" s="513" t="str">
        <f t="shared" si="23"/>
        <v/>
      </c>
      <c r="O235" s="40"/>
      <c r="P235" s="154"/>
      <c r="Q235" s="203"/>
      <c r="R235" s="532" t="str">
        <f t="shared" si="24"/>
        <v/>
      </c>
      <c r="S235" s="532" t="str">
        <f t="shared" si="25"/>
        <v/>
      </c>
      <c r="T235" s="532" t="str">
        <f t="shared" si="26"/>
        <v/>
      </c>
      <c r="U235" s="557"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8" x14ac:dyDescent="0.25">
      <c r="B236" s="141">
        <v>227</v>
      </c>
      <c r="C236" s="203"/>
      <c r="D236" s="203"/>
      <c r="E236" s="153"/>
      <c r="F236" s="553" t="str">
        <f>IF(D236="","",VLOOKUP(D236,'G-6 Hedgerow Data'!$B$2:$AG$15,2,FALSE))</f>
        <v/>
      </c>
      <c r="G236" s="499" t="str">
        <f>IF(D236="","",VLOOKUP(D236,'G-6 Hedgerow Data'!$B$2:$AG$15,3,FALSE))</f>
        <v/>
      </c>
      <c r="H236" s="145"/>
      <c r="I236" s="499" t="str">
        <f>IFERROR(VLOOKUP(H236,'G-1 All Habitats'!$Z$2:$AA$9,2,FALSE),"")</f>
        <v/>
      </c>
      <c r="J236" s="145"/>
      <c r="K236" s="507" t="str">
        <f>IF(J236="","",IF(VLOOKUP(J236,'G-3 Multipliers'!$L$3:$N$6,2,FALSE)=0,"Spatial Data Missing ⚠",VLOOKUP(J236,'G-3 Multipliers'!$L$3:$N$6,2,FALSE)))</f>
        <v/>
      </c>
      <c r="L236" s="505" t="str">
        <f>IF(J236="","",IF(VLOOKUP(J236,'G-3 Multipliers'!$L$3:$N$6,3,FALSE)=0,"Spatial Data Missing ⚠",VLOOKUP(J236,'G-3 Multipliers'!$L$3:$N$6,3,FALSE)))</f>
        <v/>
      </c>
      <c r="M236" s="506" t="str">
        <f>IF(D236="","",VLOOKUP(D236,'G-6 Hedgerow Data'!$B$1:$AH$15,33,FALSE))</f>
        <v/>
      </c>
      <c r="N236" s="513" t="str">
        <f t="shared" si="23"/>
        <v/>
      </c>
      <c r="O236" s="40"/>
      <c r="P236" s="154"/>
      <c r="Q236" s="203"/>
      <c r="R236" s="532" t="str">
        <f t="shared" si="24"/>
        <v/>
      </c>
      <c r="S236" s="532" t="str">
        <f t="shared" si="25"/>
        <v/>
      </c>
      <c r="T236" s="532" t="str">
        <f t="shared" si="26"/>
        <v/>
      </c>
      <c r="U236" s="557"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8" x14ac:dyDescent="0.25">
      <c r="B237" s="141">
        <v>228</v>
      </c>
      <c r="C237" s="203"/>
      <c r="D237" s="203"/>
      <c r="E237" s="153"/>
      <c r="F237" s="553" t="str">
        <f>IF(D237="","",VLOOKUP(D237,'G-6 Hedgerow Data'!$B$2:$AG$15,2,FALSE))</f>
        <v/>
      </c>
      <c r="G237" s="499" t="str">
        <f>IF(D237="","",VLOOKUP(D237,'G-6 Hedgerow Data'!$B$2:$AG$15,3,FALSE))</f>
        <v/>
      </c>
      <c r="H237" s="145"/>
      <c r="I237" s="499" t="str">
        <f>IFERROR(VLOOKUP(H237,'G-1 All Habitats'!$Z$2:$AA$9,2,FALSE),"")</f>
        <v/>
      </c>
      <c r="J237" s="145"/>
      <c r="K237" s="507" t="str">
        <f>IF(J237="","",IF(VLOOKUP(J237,'G-3 Multipliers'!$L$3:$N$6,2,FALSE)=0,"Spatial Data Missing ⚠",VLOOKUP(J237,'G-3 Multipliers'!$L$3:$N$6,2,FALSE)))</f>
        <v/>
      </c>
      <c r="L237" s="505" t="str">
        <f>IF(J237="","",IF(VLOOKUP(J237,'G-3 Multipliers'!$L$3:$N$6,3,FALSE)=0,"Spatial Data Missing ⚠",VLOOKUP(J237,'G-3 Multipliers'!$L$3:$N$6,3,FALSE)))</f>
        <v/>
      </c>
      <c r="M237" s="506" t="str">
        <f>IF(D237="","",VLOOKUP(D237,'G-6 Hedgerow Data'!$B$1:$AH$15,33,FALSE))</f>
        <v/>
      </c>
      <c r="N237" s="513" t="str">
        <f t="shared" si="23"/>
        <v/>
      </c>
      <c r="O237" s="40"/>
      <c r="P237" s="154"/>
      <c r="Q237" s="203"/>
      <c r="R237" s="532" t="str">
        <f t="shared" si="24"/>
        <v/>
      </c>
      <c r="S237" s="532" t="str">
        <f t="shared" si="25"/>
        <v/>
      </c>
      <c r="T237" s="532" t="str">
        <f t="shared" si="26"/>
        <v/>
      </c>
      <c r="U237" s="557"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8" x14ac:dyDescent="0.25">
      <c r="B238" s="141">
        <v>229</v>
      </c>
      <c r="C238" s="203"/>
      <c r="D238" s="203"/>
      <c r="E238" s="153"/>
      <c r="F238" s="553" t="str">
        <f>IF(D238="","",VLOOKUP(D238,'G-6 Hedgerow Data'!$B$2:$AG$15,2,FALSE))</f>
        <v/>
      </c>
      <c r="G238" s="499" t="str">
        <f>IF(D238="","",VLOOKUP(D238,'G-6 Hedgerow Data'!$B$2:$AG$15,3,FALSE))</f>
        <v/>
      </c>
      <c r="H238" s="145"/>
      <c r="I238" s="499" t="str">
        <f>IFERROR(VLOOKUP(H238,'G-1 All Habitats'!$Z$2:$AA$9,2,FALSE),"")</f>
        <v/>
      </c>
      <c r="J238" s="145"/>
      <c r="K238" s="507" t="str">
        <f>IF(J238="","",IF(VLOOKUP(J238,'G-3 Multipliers'!$L$3:$N$6,2,FALSE)=0,"Spatial Data Missing ⚠",VLOOKUP(J238,'G-3 Multipliers'!$L$3:$N$6,2,FALSE)))</f>
        <v/>
      </c>
      <c r="L238" s="505" t="str">
        <f>IF(J238="","",IF(VLOOKUP(J238,'G-3 Multipliers'!$L$3:$N$6,3,FALSE)=0,"Spatial Data Missing ⚠",VLOOKUP(J238,'G-3 Multipliers'!$L$3:$N$6,3,FALSE)))</f>
        <v/>
      </c>
      <c r="M238" s="506" t="str">
        <f>IF(D238="","",VLOOKUP(D238,'G-6 Hedgerow Data'!$B$1:$AH$15,33,FALSE))</f>
        <v/>
      </c>
      <c r="N238" s="513" t="str">
        <f t="shared" si="23"/>
        <v/>
      </c>
      <c r="O238" s="40"/>
      <c r="P238" s="154"/>
      <c r="Q238" s="203"/>
      <c r="R238" s="532" t="str">
        <f t="shared" si="24"/>
        <v/>
      </c>
      <c r="S238" s="532" t="str">
        <f t="shared" si="25"/>
        <v/>
      </c>
      <c r="T238" s="532" t="str">
        <f t="shared" si="26"/>
        <v/>
      </c>
      <c r="U238" s="557"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8" x14ac:dyDescent="0.25">
      <c r="B239" s="141">
        <v>230</v>
      </c>
      <c r="C239" s="203"/>
      <c r="D239" s="203"/>
      <c r="E239" s="153"/>
      <c r="F239" s="553" t="str">
        <f>IF(D239="","",VLOOKUP(D239,'G-6 Hedgerow Data'!$B$2:$AG$15,2,FALSE))</f>
        <v/>
      </c>
      <c r="G239" s="499" t="str">
        <f>IF(D239="","",VLOOKUP(D239,'G-6 Hedgerow Data'!$B$2:$AG$15,3,FALSE))</f>
        <v/>
      </c>
      <c r="H239" s="145"/>
      <c r="I239" s="499" t="str">
        <f>IFERROR(VLOOKUP(H239,'G-1 All Habitats'!$Z$2:$AA$9,2,FALSE),"")</f>
        <v/>
      </c>
      <c r="J239" s="145"/>
      <c r="K239" s="507" t="str">
        <f>IF(J239="","",IF(VLOOKUP(J239,'G-3 Multipliers'!$L$3:$N$6,2,FALSE)=0,"Spatial Data Missing ⚠",VLOOKUP(J239,'G-3 Multipliers'!$L$3:$N$6,2,FALSE)))</f>
        <v/>
      </c>
      <c r="L239" s="505" t="str">
        <f>IF(J239="","",IF(VLOOKUP(J239,'G-3 Multipliers'!$L$3:$N$6,3,FALSE)=0,"Spatial Data Missing ⚠",VLOOKUP(J239,'G-3 Multipliers'!$L$3:$N$6,3,FALSE)))</f>
        <v/>
      </c>
      <c r="M239" s="506" t="str">
        <f>IF(D239="","",VLOOKUP(D239,'G-6 Hedgerow Data'!$B$1:$AH$15,33,FALSE))</f>
        <v/>
      </c>
      <c r="N239" s="513" t="str">
        <f t="shared" si="23"/>
        <v/>
      </c>
      <c r="O239" s="40"/>
      <c r="P239" s="154"/>
      <c r="Q239" s="203"/>
      <c r="R239" s="532" t="str">
        <f t="shared" si="24"/>
        <v/>
      </c>
      <c r="S239" s="532" t="str">
        <f t="shared" si="25"/>
        <v/>
      </c>
      <c r="T239" s="532" t="str">
        <f t="shared" si="26"/>
        <v/>
      </c>
      <c r="U239" s="557"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8" x14ac:dyDescent="0.25">
      <c r="B240" s="141">
        <v>231</v>
      </c>
      <c r="C240" s="203"/>
      <c r="D240" s="203"/>
      <c r="E240" s="153"/>
      <c r="F240" s="553" t="str">
        <f>IF(D240="","",VLOOKUP(D240,'G-6 Hedgerow Data'!$B$2:$AG$15,2,FALSE))</f>
        <v/>
      </c>
      <c r="G240" s="499" t="str">
        <f>IF(D240="","",VLOOKUP(D240,'G-6 Hedgerow Data'!$B$2:$AG$15,3,FALSE))</f>
        <v/>
      </c>
      <c r="H240" s="145"/>
      <c r="I240" s="499" t="str">
        <f>IFERROR(VLOOKUP(H240,'G-1 All Habitats'!$Z$2:$AA$9,2,FALSE),"")</f>
        <v/>
      </c>
      <c r="J240" s="145"/>
      <c r="K240" s="507" t="str">
        <f>IF(J240="","",IF(VLOOKUP(J240,'G-3 Multipliers'!$L$3:$N$6,2,FALSE)=0,"Spatial Data Missing ⚠",VLOOKUP(J240,'G-3 Multipliers'!$L$3:$N$6,2,FALSE)))</f>
        <v/>
      </c>
      <c r="L240" s="505" t="str">
        <f>IF(J240="","",IF(VLOOKUP(J240,'G-3 Multipliers'!$L$3:$N$6,3,FALSE)=0,"Spatial Data Missing ⚠",VLOOKUP(J240,'G-3 Multipliers'!$L$3:$N$6,3,FALSE)))</f>
        <v/>
      </c>
      <c r="M240" s="506" t="str">
        <f>IF(D240="","",VLOOKUP(D240,'G-6 Hedgerow Data'!$B$1:$AH$15,33,FALSE))</f>
        <v/>
      </c>
      <c r="N240" s="513" t="str">
        <f t="shared" si="23"/>
        <v/>
      </c>
      <c r="O240" s="40"/>
      <c r="P240" s="154"/>
      <c r="Q240" s="203"/>
      <c r="R240" s="532" t="str">
        <f t="shared" si="24"/>
        <v/>
      </c>
      <c r="S240" s="532" t="str">
        <f t="shared" si="25"/>
        <v/>
      </c>
      <c r="T240" s="532" t="str">
        <f t="shared" si="26"/>
        <v/>
      </c>
      <c r="U240" s="557"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8" x14ac:dyDescent="0.25">
      <c r="B241" s="141">
        <v>232</v>
      </c>
      <c r="C241" s="203"/>
      <c r="D241" s="203"/>
      <c r="E241" s="153"/>
      <c r="F241" s="553" t="str">
        <f>IF(D241="","",VLOOKUP(D241,'G-6 Hedgerow Data'!$B$2:$AG$15,2,FALSE))</f>
        <v/>
      </c>
      <c r="G241" s="499" t="str">
        <f>IF(D241="","",VLOOKUP(D241,'G-6 Hedgerow Data'!$B$2:$AG$15,3,FALSE))</f>
        <v/>
      </c>
      <c r="H241" s="145"/>
      <c r="I241" s="499" t="str">
        <f>IFERROR(VLOOKUP(H241,'G-1 All Habitats'!$Z$2:$AA$9,2,FALSE),"")</f>
        <v/>
      </c>
      <c r="J241" s="145"/>
      <c r="K241" s="507" t="str">
        <f>IF(J241="","",IF(VLOOKUP(J241,'G-3 Multipliers'!$L$3:$N$6,2,FALSE)=0,"Spatial Data Missing ⚠",VLOOKUP(J241,'G-3 Multipliers'!$L$3:$N$6,2,FALSE)))</f>
        <v/>
      </c>
      <c r="L241" s="505" t="str">
        <f>IF(J241="","",IF(VLOOKUP(J241,'G-3 Multipliers'!$L$3:$N$6,3,FALSE)=0,"Spatial Data Missing ⚠",VLOOKUP(J241,'G-3 Multipliers'!$L$3:$N$6,3,FALSE)))</f>
        <v/>
      </c>
      <c r="M241" s="506" t="str">
        <f>IF(D241="","",VLOOKUP(D241,'G-6 Hedgerow Data'!$B$1:$AH$15,33,FALSE))</f>
        <v/>
      </c>
      <c r="N241" s="513" t="str">
        <f t="shared" si="23"/>
        <v/>
      </c>
      <c r="O241" s="40"/>
      <c r="P241" s="154"/>
      <c r="Q241" s="203"/>
      <c r="R241" s="532" t="str">
        <f t="shared" si="24"/>
        <v/>
      </c>
      <c r="S241" s="532" t="str">
        <f t="shared" si="25"/>
        <v/>
      </c>
      <c r="T241" s="532" t="str">
        <f t="shared" si="26"/>
        <v/>
      </c>
      <c r="U241" s="557"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8" x14ac:dyDescent="0.25">
      <c r="B242" s="141">
        <v>233</v>
      </c>
      <c r="C242" s="203"/>
      <c r="D242" s="203"/>
      <c r="E242" s="153"/>
      <c r="F242" s="553" t="str">
        <f>IF(D242="","",VLOOKUP(D242,'G-6 Hedgerow Data'!$B$2:$AG$15,2,FALSE))</f>
        <v/>
      </c>
      <c r="G242" s="499" t="str">
        <f>IF(D242="","",VLOOKUP(D242,'G-6 Hedgerow Data'!$B$2:$AG$15,3,FALSE))</f>
        <v/>
      </c>
      <c r="H242" s="145"/>
      <c r="I242" s="499" t="str">
        <f>IFERROR(VLOOKUP(H242,'G-1 All Habitats'!$Z$2:$AA$9,2,FALSE),"")</f>
        <v/>
      </c>
      <c r="J242" s="145"/>
      <c r="K242" s="507" t="str">
        <f>IF(J242="","",IF(VLOOKUP(J242,'G-3 Multipliers'!$L$3:$N$6,2,FALSE)=0,"Spatial Data Missing ⚠",VLOOKUP(J242,'G-3 Multipliers'!$L$3:$N$6,2,FALSE)))</f>
        <v/>
      </c>
      <c r="L242" s="505" t="str">
        <f>IF(J242="","",IF(VLOOKUP(J242,'G-3 Multipliers'!$L$3:$N$6,3,FALSE)=0,"Spatial Data Missing ⚠",VLOOKUP(J242,'G-3 Multipliers'!$L$3:$N$6,3,FALSE)))</f>
        <v/>
      </c>
      <c r="M242" s="506" t="str">
        <f>IF(D242="","",VLOOKUP(D242,'G-6 Hedgerow Data'!$B$1:$AH$15,33,FALSE))</f>
        <v/>
      </c>
      <c r="N242" s="513" t="str">
        <f t="shared" si="23"/>
        <v/>
      </c>
      <c r="O242" s="40"/>
      <c r="P242" s="154"/>
      <c r="Q242" s="203"/>
      <c r="R242" s="532" t="str">
        <f t="shared" si="24"/>
        <v/>
      </c>
      <c r="S242" s="532" t="str">
        <f t="shared" si="25"/>
        <v/>
      </c>
      <c r="T242" s="532" t="str">
        <f t="shared" si="26"/>
        <v/>
      </c>
      <c r="U242" s="557"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8" x14ac:dyDescent="0.25">
      <c r="B243" s="141">
        <v>234</v>
      </c>
      <c r="C243" s="203"/>
      <c r="D243" s="203"/>
      <c r="E243" s="153"/>
      <c r="F243" s="553" t="str">
        <f>IF(D243="","",VLOOKUP(D243,'G-6 Hedgerow Data'!$B$2:$AG$15,2,FALSE))</f>
        <v/>
      </c>
      <c r="G243" s="499" t="str">
        <f>IF(D243="","",VLOOKUP(D243,'G-6 Hedgerow Data'!$B$2:$AG$15,3,FALSE))</f>
        <v/>
      </c>
      <c r="H243" s="145"/>
      <c r="I243" s="499" t="str">
        <f>IFERROR(VLOOKUP(H243,'G-1 All Habitats'!$Z$2:$AA$9,2,FALSE),"")</f>
        <v/>
      </c>
      <c r="J243" s="145"/>
      <c r="K243" s="507" t="str">
        <f>IF(J243="","",IF(VLOOKUP(J243,'G-3 Multipliers'!$L$3:$N$6,2,FALSE)=0,"Spatial Data Missing ⚠",VLOOKUP(J243,'G-3 Multipliers'!$L$3:$N$6,2,FALSE)))</f>
        <v/>
      </c>
      <c r="L243" s="505" t="str">
        <f>IF(J243="","",IF(VLOOKUP(J243,'G-3 Multipliers'!$L$3:$N$6,3,FALSE)=0,"Spatial Data Missing ⚠",VLOOKUP(J243,'G-3 Multipliers'!$L$3:$N$6,3,FALSE)))</f>
        <v/>
      </c>
      <c r="M243" s="506" t="str">
        <f>IF(D243="","",VLOOKUP(D243,'G-6 Hedgerow Data'!$B$1:$AH$15,33,FALSE))</f>
        <v/>
      </c>
      <c r="N243" s="513" t="str">
        <f t="shared" si="23"/>
        <v/>
      </c>
      <c r="O243" s="40"/>
      <c r="P243" s="154"/>
      <c r="Q243" s="203"/>
      <c r="R243" s="532" t="str">
        <f t="shared" si="24"/>
        <v/>
      </c>
      <c r="S243" s="532" t="str">
        <f t="shared" si="25"/>
        <v/>
      </c>
      <c r="T243" s="532" t="str">
        <f t="shared" si="26"/>
        <v/>
      </c>
      <c r="U243" s="557"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8" x14ac:dyDescent="0.25">
      <c r="B244" s="141">
        <v>235</v>
      </c>
      <c r="C244" s="203"/>
      <c r="D244" s="203"/>
      <c r="E244" s="153"/>
      <c r="F244" s="553" t="str">
        <f>IF(D244="","",VLOOKUP(D244,'G-6 Hedgerow Data'!$B$2:$AG$15,2,FALSE))</f>
        <v/>
      </c>
      <c r="G244" s="499" t="str">
        <f>IF(D244="","",VLOOKUP(D244,'G-6 Hedgerow Data'!$B$2:$AG$15,3,FALSE))</f>
        <v/>
      </c>
      <c r="H244" s="145"/>
      <c r="I244" s="499" t="str">
        <f>IFERROR(VLOOKUP(H244,'G-1 All Habitats'!$Z$2:$AA$9,2,FALSE),"")</f>
        <v/>
      </c>
      <c r="J244" s="145"/>
      <c r="K244" s="507" t="str">
        <f>IF(J244="","",IF(VLOOKUP(J244,'G-3 Multipliers'!$L$3:$N$6,2,FALSE)=0,"Spatial Data Missing ⚠",VLOOKUP(J244,'G-3 Multipliers'!$L$3:$N$6,2,FALSE)))</f>
        <v/>
      </c>
      <c r="L244" s="505" t="str">
        <f>IF(J244="","",IF(VLOOKUP(J244,'G-3 Multipliers'!$L$3:$N$6,3,FALSE)=0,"Spatial Data Missing ⚠",VLOOKUP(J244,'G-3 Multipliers'!$L$3:$N$6,3,FALSE)))</f>
        <v/>
      </c>
      <c r="M244" s="506" t="str">
        <f>IF(D244="","",VLOOKUP(D244,'G-6 Hedgerow Data'!$B$1:$AH$15,33,FALSE))</f>
        <v/>
      </c>
      <c r="N244" s="513" t="str">
        <f t="shared" si="23"/>
        <v/>
      </c>
      <c r="O244" s="40"/>
      <c r="P244" s="154"/>
      <c r="Q244" s="203"/>
      <c r="R244" s="532" t="str">
        <f t="shared" si="24"/>
        <v/>
      </c>
      <c r="S244" s="532" t="str">
        <f t="shared" si="25"/>
        <v/>
      </c>
      <c r="T244" s="532" t="str">
        <f t="shared" si="26"/>
        <v/>
      </c>
      <c r="U244" s="557"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8" x14ac:dyDescent="0.25">
      <c r="B245" s="141">
        <v>236</v>
      </c>
      <c r="C245" s="203"/>
      <c r="D245" s="203"/>
      <c r="E245" s="153"/>
      <c r="F245" s="553" t="str">
        <f>IF(D245="","",VLOOKUP(D245,'G-6 Hedgerow Data'!$B$2:$AG$15,2,FALSE))</f>
        <v/>
      </c>
      <c r="G245" s="499" t="str">
        <f>IF(D245="","",VLOOKUP(D245,'G-6 Hedgerow Data'!$B$2:$AG$15,3,FALSE))</f>
        <v/>
      </c>
      <c r="H245" s="145"/>
      <c r="I245" s="499" t="str">
        <f>IFERROR(VLOOKUP(H245,'G-1 All Habitats'!$Z$2:$AA$9,2,FALSE),"")</f>
        <v/>
      </c>
      <c r="J245" s="145"/>
      <c r="K245" s="507" t="str">
        <f>IF(J245="","",IF(VLOOKUP(J245,'G-3 Multipliers'!$L$3:$N$6,2,FALSE)=0,"Spatial Data Missing ⚠",VLOOKUP(J245,'G-3 Multipliers'!$L$3:$N$6,2,FALSE)))</f>
        <v/>
      </c>
      <c r="L245" s="505" t="str">
        <f>IF(J245="","",IF(VLOOKUP(J245,'G-3 Multipliers'!$L$3:$N$6,3,FALSE)=0,"Spatial Data Missing ⚠",VLOOKUP(J245,'G-3 Multipliers'!$L$3:$N$6,3,FALSE)))</f>
        <v/>
      </c>
      <c r="M245" s="506" t="str">
        <f>IF(D245="","",VLOOKUP(D245,'G-6 Hedgerow Data'!$B$1:$AH$15,33,FALSE))</f>
        <v/>
      </c>
      <c r="N245" s="513" t="str">
        <f t="shared" si="23"/>
        <v/>
      </c>
      <c r="O245" s="40"/>
      <c r="P245" s="154"/>
      <c r="Q245" s="203"/>
      <c r="R245" s="532" t="str">
        <f t="shared" si="24"/>
        <v/>
      </c>
      <c r="S245" s="532" t="str">
        <f t="shared" si="25"/>
        <v/>
      </c>
      <c r="T245" s="532" t="str">
        <f t="shared" si="26"/>
        <v/>
      </c>
      <c r="U245" s="557"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8" x14ac:dyDescent="0.25">
      <c r="B246" s="141">
        <v>237</v>
      </c>
      <c r="C246" s="203"/>
      <c r="D246" s="203"/>
      <c r="E246" s="153"/>
      <c r="F246" s="553" t="str">
        <f>IF(D246="","",VLOOKUP(D246,'G-6 Hedgerow Data'!$B$2:$AG$15,2,FALSE))</f>
        <v/>
      </c>
      <c r="G246" s="499" t="str">
        <f>IF(D246="","",VLOOKUP(D246,'G-6 Hedgerow Data'!$B$2:$AG$15,3,FALSE))</f>
        <v/>
      </c>
      <c r="H246" s="145"/>
      <c r="I246" s="499" t="str">
        <f>IFERROR(VLOOKUP(H246,'G-1 All Habitats'!$Z$2:$AA$9,2,FALSE),"")</f>
        <v/>
      </c>
      <c r="J246" s="145"/>
      <c r="K246" s="507" t="str">
        <f>IF(J246="","",IF(VLOOKUP(J246,'G-3 Multipliers'!$L$3:$N$6,2,FALSE)=0,"Spatial Data Missing ⚠",VLOOKUP(J246,'G-3 Multipliers'!$L$3:$N$6,2,FALSE)))</f>
        <v/>
      </c>
      <c r="L246" s="505" t="str">
        <f>IF(J246="","",IF(VLOOKUP(J246,'G-3 Multipliers'!$L$3:$N$6,3,FALSE)=0,"Spatial Data Missing ⚠",VLOOKUP(J246,'G-3 Multipliers'!$L$3:$N$6,3,FALSE)))</f>
        <v/>
      </c>
      <c r="M246" s="506" t="str">
        <f>IF(D246="","",VLOOKUP(D246,'G-6 Hedgerow Data'!$B$1:$AH$15,33,FALSE))</f>
        <v/>
      </c>
      <c r="N246" s="513" t="str">
        <f t="shared" si="23"/>
        <v/>
      </c>
      <c r="O246" s="40"/>
      <c r="P246" s="154"/>
      <c r="Q246" s="203"/>
      <c r="R246" s="532" t="str">
        <f t="shared" si="24"/>
        <v/>
      </c>
      <c r="S246" s="532" t="str">
        <f t="shared" si="25"/>
        <v/>
      </c>
      <c r="T246" s="532" t="str">
        <f t="shared" si="26"/>
        <v/>
      </c>
      <c r="U246" s="557"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8" x14ac:dyDescent="0.25">
      <c r="B247" s="141">
        <v>238</v>
      </c>
      <c r="C247" s="203"/>
      <c r="D247" s="203"/>
      <c r="E247" s="153"/>
      <c r="F247" s="553" t="str">
        <f>IF(D247="","",VLOOKUP(D247,'G-6 Hedgerow Data'!$B$2:$AG$15,2,FALSE))</f>
        <v/>
      </c>
      <c r="G247" s="499" t="str">
        <f>IF(D247="","",VLOOKUP(D247,'G-6 Hedgerow Data'!$B$2:$AG$15,3,FALSE))</f>
        <v/>
      </c>
      <c r="H247" s="145"/>
      <c r="I247" s="499" t="str">
        <f>IFERROR(VLOOKUP(H247,'G-1 All Habitats'!$Z$2:$AA$9,2,FALSE),"")</f>
        <v/>
      </c>
      <c r="J247" s="145"/>
      <c r="K247" s="507" t="str">
        <f>IF(J247="","",IF(VLOOKUP(J247,'G-3 Multipliers'!$L$3:$N$6,2,FALSE)=0,"Spatial Data Missing ⚠",VLOOKUP(J247,'G-3 Multipliers'!$L$3:$N$6,2,FALSE)))</f>
        <v/>
      </c>
      <c r="L247" s="505" t="str">
        <f>IF(J247="","",IF(VLOOKUP(J247,'G-3 Multipliers'!$L$3:$N$6,3,FALSE)=0,"Spatial Data Missing ⚠",VLOOKUP(J247,'G-3 Multipliers'!$L$3:$N$6,3,FALSE)))</f>
        <v/>
      </c>
      <c r="M247" s="506" t="str">
        <f>IF(D247="","",VLOOKUP(D247,'G-6 Hedgerow Data'!$B$1:$AH$15,33,FALSE))</f>
        <v/>
      </c>
      <c r="N247" s="513" t="str">
        <f t="shared" si="23"/>
        <v/>
      </c>
      <c r="O247" s="40"/>
      <c r="P247" s="154"/>
      <c r="Q247" s="203"/>
      <c r="R247" s="532" t="str">
        <f t="shared" si="24"/>
        <v/>
      </c>
      <c r="S247" s="532" t="str">
        <f t="shared" si="25"/>
        <v/>
      </c>
      <c r="T247" s="532" t="str">
        <f t="shared" si="26"/>
        <v/>
      </c>
      <c r="U247" s="557"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8" x14ac:dyDescent="0.25">
      <c r="B248" s="141">
        <v>239</v>
      </c>
      <c r="C248" s="203"/>
      <c r="D248" s="203"/>
      <c r="E248" s="153"/>
      <c r="F248" s="553" t="str">
        <f>IF(D248="","",VLOOKUP(D248,'G-6 Hedgerow Data'!$B$2:$AG$15,2,FALSE))</f>
        <v/>
      </c>
      <c r="G248" s="499" t="str">
        <f>IF(D248="","",VLOOKUP(D248,'G-6 Hedgerow Data'!$B$2:$AG$15,3,FALSE))</f>
        <v/>
      </c>
      <c r="H248" s="145"/>
      <c r="I248" s="499" t="str">
        <f>IFERROR(VLOOKUP(H248,'G-1 All Habitats'!$Z$2:$AA$9,2,FALSE),"")</f>
        <v/>
      </c>
      <c r="J248" s="145"/>
      <c r="K248" s="507" t="str">
        <f>IF(J248="","",IF(VLOOKUP(J248,'G-3 Multipliers'!$L$3:$N$6,2,FALSE)=0,"Spatial Data Missing ⚠",VLOOKUP(J248,'G-3 Multipliers'!$L$3:$N$6,2,FALSE)))</f>
        <v/>
      </c>
      <c r="L248" s="505" t="str">
        <f>IF(J248="","",IF(VLOOKUP(J248,'G-3 Multipliers'!$L$3:$N$6,3,FALSE)=0,"Spatial Data Missing ⚠",VLOOKUP(J248,'G-3 Multipliers'!$L$3:$N$6,3,FALSE)))</f>
        <v/>
      </c>
      <c r="M248" s="506" t="str">
        <f>IF(D248="","",VLOOKUP(D248,'G-6 Hedgerow Data'!$B$1:$AH$15,33,FALSE))</f>
        <v/>
      </c>
      <c r="N248" s="513" t="str">
        <f t="shared" si="23"/>
        <v/>
      </c>
      <c r="O248" s="40"/>
      <c r="P248" s="154"/>
      <c r="Q248" s="203"/>
      <c r="R248" s="532" t="str">
        <f t="shared" si="24"/>
        <v/>
      </c>
      <c r="S248" s="532" t="str">
        <f t="shared" si="25"/>
        <v/>
      </c>
      <c r="T248" s="532" t="str">
        <f t="shared" si="26"/>
        <v/>
      </c>
      <c r="U248" s="557"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8" x14ac:dyDescent="0.25">
      <c r="B249" s="141">
        <v>240</v>
      </c>
      <c r="C249" s="203"/>
      <c r="D249" s="203"/>
      <c r="E249" s="153"/>
      <c r="F249" s="553" t="str">
        <f>IF(D249="","",VLOOKUP(D249,'G-6 Hedgerow Data'!$B$2:$AG$15,2,FALSE))</f>
        <v/>
      </c>
      <c r="G249" s="499" t="str">
        <f>IF(D249="","",VLOOKUP(D249,'G-6 Hedgerow Data'!$B$2:$AG$15,3,FALSE))</f>
        <v/>
      </c>
      <c r="H249" s="145"/>
      <c r="I249" s="499" t="str">
        <f>IFERROR(VLOOKUP(H249,'G-1 All Habitats'!$Z$2:$AA$9,2,FALSE),"")</f>
        <v/>
      </c>
      <c r="J249" s="145"/>
      <c r="K249" s="507" t="str">
        <f>IF(J249="","",IF(VLOOKUP(J249,'G-3 Multipliers'!$L$3:$N$6,2,FALSE)=0,"Spatial Data Missing ⚠",VLOOKUP(J249,'G-3 Multipliers'!$L$3:$N$6,2,FALSE)))</f>
        <v/>
      </c>
      <c r="L249" s="505" t="str">
        <f>IF(J249="","",IF(VLOOKUP(J249,'G-3 Multipliers'!$L$3:$N$6,3,FALSE)=0,"Spatial Data Missing ⚠",VLOOKUP(J249,'G-3 Multipliers'!$L$3:$N$6,3,FALSE)))</f>
        <v/>
      </c>
      <c r="M249" s="506" t="str">
        <f>IF(D249="","",VLOOKUP(D249,'G-6 Hedgerow Data'!$B$1:$AH$15,33,FALSE))</f>
        <v/>
      </c>
      <c r="N249" s="513" t="str">
        <f t="shared" si="23"/>
        <v/>
      </c>
      <c r="O249" s="40"/>
      <c r="P249" s="154"/>
      <c r="Q249" s="203"/>
      <c r="R249" s="532" t="str">
        <f t="shared" si="24"/>
        <v/>
      </c>
      <c r="S249" s="532" t="str">
        <f t="shared" si="25"/>
        <v/>
      </c>
      <c r="T249" s="532" t="str">
        <f t="shared" si="26"/>
        <v/>
      </c>
      <c r="U249" s="557"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8" x14ac:dyDescent="0.25">
      <c r="B250" s="141">
        <v>241</v>
      </c>
      <c r="C250" s="203"/>
      <c r="D250" s="203"/>
      <c r="E250" s="153"/>
      <c r="F250" s="553" t="str">
        <f>IF(D250="","",VLOOKUP(D250,'G-6 Hedgerow Data'!$B$2:$AG$15,2,FALSE))</f>
        <v/>
      </c>
      <c r="G250" s="499" t="str">
        <f>IF(D250="","",VLOOKUP(D250,'G-6 Hedgerow Data'!$B$2:$AG$15,3,FALSE))</f>
        <v/>
      </c>
      <c r="H250" s="145"/>
      <c r="I250" s="499" t="str">
        <f>IFERROR(VLOOKUP(H250,'G-1 All Habitats'!$Z$2:$AA$9,2,FALSE),"")</f>
        <v/>
      </c>
      <c r="J250" s="145"/>
      <c r="K250" s="507" t="str">
        <f>IF(J250="","",IF(VLOOKUP(J250,'G-3 Multipliers'!$L$3:$N$6,2,FALSE)=0,"Spatial Data Missing ⚠",VLOOKUP(J250,'G-3 Multipliers'!$L$3:$N$6,2,FALSE)))</f>
        <v/>
      </c>
      <c r="L250" s="505" t="str">
        <f>IF(J250="","",IF(VLOOKUP(J250,'G-3 Multipliers'!$L$3:$N$6,3,FALSE)=0,"Spatial Data Missing ⚠",VLOOKUP(J250,'G-3 Multipliers'!$L$3:$N$6,3,FALSE)))</f>
        <v/>
      </c>
      <c r="M250" s="506" t="str">
        <f>IF(D250="","",VLOOKUP(D250,'G-6 Hedgerow Data'!$B$1:$AH$15,33,FALSE))</f>
        <v/>
      </c>
      <c r="N250" s="513" t="str">
        <f t="shared" si="23"/>
        <v/>
      </c>
      <c r="O250" s="40"/>
      <c r="P250" s="154"/>
      <c r="Q250" s="203"/>
      <c r="R250" s="532" t="str">
        <f t="shared" si="24"/>
        <v/>
      </c>
      <c r="S250" s="532" t="str">
        <f t="shared" si="25"/>
        <v/>
      </c>
      <c r="T250" s="532" t="str">
        <f t="shared" si="26"/>
        <v/>
      </c>
      <c r="U250" s="557"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8" x14ac:dyDescent="0.25">
      <c r="B251" s="141">
        <v>242</v>
      </c>
      <c r="C251" s="203"/>
      <c r="D251" s="203"/>
      <c r="E251" s="153"/>
      <c r="F251" s="553" t="str">
        <f>IF(D251="","",VLOOKUP(D251,'G-6 Hedgerow Data'!$B$2:$AG$15,2,FALSE))</f>
        <v/>
      </c>
      <c r="G251" s="499" t="str">
        <f>IF(D251="","",VLOOKUP(D251,'G-6 Hedgerow Data'!$B$2:$AG$15,3,FALSE))</f>
        <v/>
      </c>
      <c r="H251" s="145"/>
      <c r="I251" s="499" t="str">
        <f>IFERROR(VLOOKUP(H251,'G-1 All Habitats'!$Z$2:$AA$9,2,FALSE),"")</f>
        <v/>
      </c>
      <c r="J251" s="145"/>
      <c r="K251" s="507" t="str">
        <f>IF(J251="","",IF(VLOOKUP(J251,'G-3 Multipliers'!$L$3:$N$6,2,FALSE)=0,"Spatial Data Missing ⚠",VLOOKUP(J251,'G-3 Multipliers'!$L$3:$N$6,2,FALSE)))</f>
        <v/>
      </c>
      <c r="L251" s="505" t="str">
        <f>IF(J251="","",IF(VLOOKUP(J251,'G-3 Multipliers'!$L$3:$N$6,3,FALSE)=0,"Spatial Data Missing ⚠",VLOOKUP(J251,'G-3 Multipliers'!$L$3:$N$6,3,FALSE)))</f>
        <v/>
      </c>
      <c r="M251" s="506" t="str">
        <f>IF(D251="","",VLOOKUP(D251,'G-6 Hedgerow Data'!$B$1:$AH$15,33,FALSE))</f>
        <v/>
      </c>
      <c r="N251" s="513" t="str">
        <f t="shared" si="23"/>
        <v/>
      </c>
      <c r="O251" s="40"/>
      <c r="P251" s="154"/>
      <c r="Q251" s="203"/>
      <c r="R251" s="532" t="str">
        <f t="shared" si="24"/>
        <v/>
      </c>
      <c r="S251" s="532" t="str">
        <f t="shared" si="25"/>
        <v/>
      </c>
      <c r="T251" s="532" t="str">
        <f t="shared" si="26"/>
        <v/>
      </c>
      <c r="U251" s="557"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8" x14ac:dyDescent="0.25">
      <c r="B252" s="141">
        <v>243</v>
      </c>
      <c r="C252" s="203"/>
      <c r="D252" s="203"/>
      <c r="E252" s="153"/>
      <c r="F252" s="553" t="str">
        <f>IF(D252="","",VLOOKUP(D252,'G-6 Hedgerow Data'!$B$2:$AG$15,2,FALSE))</f>
        <v/>
      </c>
      <c r="G252" s="499" t="str">
        <f>IF(D252="","",VLOOKUP(D252,'G-6 Hedgerow Data'!$B$2:$AG$15,3,FALSE))</f>
        <v/>
      </c>
      <c r="H252" s="145"/>
      <c r="I252" s="499" t="str">
        <f>IFERROR(VLOOKUP(H252,'G-1 All Habitats'!$Z$2:$AA$9,2,FALSE),"")</f>
        <v/>
      </c>
      <c r="J252" s="145"/>
      <c r="K252" s="507" t="str">
        <f>IF(J252="","",IF(VLOOKUP(J252,'G-3 Multipliers'!$L$3:$N$6,2,FALSE)=0,"Spatial Data Missing ⚠",VLOOKUP(J252,'G-3 Multipliers'!$L$3:$N$6,2,FALSE)))</f>
        <v/>
      </c>
      <c r="L252" s="505" t="str">
        <f>IF(J252="","",IF(VLOOKUP(J252,'G-3 Multipliers'!$L$3:$N$6,3,FALSE)=0,"Spatial Data Missing ⚠",VLOOKUP(J252,'G-3 Multipliers'!$L$3:$N$6,3,FALSE)))</f>
        <v/>
      </c>
      <c r="M252" s="506" t="str">
        <f>IF(D252="","",VLOOKUP(D252,'G-6 Hedgerow Data'!$B$1:$AH$15,33,FALSE))</f>
        <v/>
      </c>
      <c r="N252" s="513" t="str">
        <f t="shared" si="23"/>
        <v/>
      </c>
      <c r="O252" s="40"/>
      <c r="P252" s="154"/>
      <c r="Q252" s="203"/>
      <c r="R252" s="532" t="str">
        <f t="shared" si="24"/>
        <v/>
      </c>
      <c r="S252" s="532" t="str">
        <f t="shared" si="25"/>
        <v/>
      </c>
      <c r="T252" s="532" t="str">
        <f t="shared" si="26"/>
        <v/>
      </c>
      <c r="U252" s="557"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8" x14ac:dyDescent="0.25">
      <c r="B253" s="141">
        <v>244</v>
      </c>
      <c r="C253" s="203"/>
      <c r="D253" s="203"/>
      <c r="E253" s="153"/>
      <c r="F253" s="553" t="str">
        <f>IF(D253="","",VLOOKUP(D253,'G-6 Hedgerow Data'!$B$2:$AG$15,2,FALSE))</f>
        <v/>
      </c>
      <c r="G253" s="499" t="str">
        <f>IF(D253="","",VLOOKUP(D253,'G-6 Hedgerow Data'!$B$2:$AG$15,3,FALSE))</f>
        <v/>
      </c>
      <c r="H253" s="145"/>
      <c r="I253" s="499" t="str">
        <f>IFERROR(VLOOKUP(H253,'G-1 All Habitats'!$Z$2:$AA$9,2,FALSE),"")</f>
        <v/>
      </c>
      <c r="J253" s="145"/>
      <c r="K253" s="507" t="str">
        <f>IF(J253="","",IF(VLOOKUP(J253,'G-3 Multipliers'!$L$3:$N$6,2,FALSE)=0,"Spatial Data Missing ⚠",VLOOKUP(J253,'G-3 Multipliers'!$L$3:$N$6,2,FALSE)))</f>
        <v/>
      </c>
      <c r="L253" s="505" t="str">
        <f>IF(J253="","",IF(VLOOKUP(J253,'G-3 Multipliers'!$L$3:$N$6,3,FALSE)=0,"Spatial Data Missing ⚠",VLOOKUP(J253,'G-3 Multipliers'!$L$3:$N$6,3,FALSE)))</f>
        <v/>
      </c>
      <c r="M253" s="506" t="str">
        <f>IF(D253="","",VLOOKUP(D253,'G-6 Hedgerow Data'!$B$1:$AH$15,33,FALSE))</f>
        <v/>
      </c>
      <c r="N253" s="513" t="str">
        <f t="shared" si="23"/>
        <v/>
      </c>
      <c r="O253" s="40"/>
      <c r="P253" s="154"/>
      <c r="Q253" s="203"/>
      <c r="R253" s="532" t="str">
        <f t="shared" si="24"/>
        <v/>
      </c>
      <c r="S253" s="532" t="str">
        <f t="shared" si="25"/>
        <v/>
      </c>
      <c r="T253" s="532" t="str">
        <f t="shared" si="26"/>
        <v/>
      </c>
      <c r="U253" s="557"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8" x14ac:dyDescent="0.25">
      <c r="B254" s="141">
        <v>245</v>
      </c>
      <c r="C254" s="203"/>
      <c r="D254" s="203"/>
      <c r="E254" s="153"/>
      <c r="F254" s="553" t="str">
        <f>IF(D254="","",VLOOKUP(D254,'G-6 Hedgerow Data'!$B$2:$AG$15,2,FALSE))</f>
        <v/>
      </c>
      <c r="G254" s="499" t="str">
        <f>IF(D254="","",VLOOKUP(D254,'G-6 Hedgerow Data'!$B$2:$AG$15,3,FALSE))</f>
        <v/>
      </c>
      <c r="H254" s="145"/>
      <c r="I254" s="499" t="str">
        <f>IFERROR(VLOOKUP(H254,'G-1 All Habitats'!$Z$2:$AA$9,2,FALSE),"")</f>
        <v/>
      </c>
      <c r="J254" s="145"/>
      <c r="K254" s="507" t="str">
        <f>IF(J254="","",IF(VLOOKUP(J254,'G-3 Multipliers'!$L$3:$N$6,2,FALSE)=0,"Spatial Data Missing ⚠",VLOOKUP(J254,'G-3 Multipliers'!$L$3:$N$6,2,FALSE)))</f>
        <v/>
      </c>
      <c r="L254" s="505" t="str">
        <f>IF(J254="","",IF(VLOOKUP(J254,'G-3 Multipliers'!$L$3:$N$6,3,FALSE)=0,"Spatial Data Missing ⚠",VLOOKUP(J254,'G-3 Multipliers'!$L$3:$N$6,3,FALSE)))</f>
        <v/>
      </c>
      <c r="M254" s="506" t="str">
        <f>IF(D254="","",VLOOKUP(D254,'G-6 Hedgerow Data'!$B$1:$AH$15,33,FALSE))</f>
        <v/>
      </c>
      <c r="N254" s="513" t="str">
        <f t="shared" si="23"/>
        <v/>
      </c>
      <c r="O254" s="40"/>
      <c r="P254" s="154"/>
      <c r="Q254" s="203"/>
      <c r="R254" s="532" t="str">
        <f t="shared" si="24"/>
        <v/>
      </c>
      <c r="S254" s="532" t="str">
        <f t="shared" si="25"/>
        <v/>
      </c>
      <c r="T254" s="532" t="str">
        <f t="shared" si="26"/>
        <v/>
      </c>
      <c r="U254" s="557"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8" x14ac:dyDescent="0.25">
      <c r="B255" s="141">
        <v>246</v>
      </c>
      <c r="C255" s="203"/>
      <c r="D255" s="203"/>
      <c r="E255" s="153"/>
      <c r="F255" s="553" t="str">
        <f>IF(D255="","",VLOOKUP(D255,'G-6 Hedgerow Data'!$B$2:$AG$15,2,FALSE))</f>
        <v/>
      </c>
      <c r="G255" s="499" t="str">
        <f>IF(D255="","",VLOOKUP(D255,'G-6 Hedgerow Data'!$B$2:$AG$15,3,FALSE))</f>
        <v/>
      </c>
      <c r="H255" s="145"/>
      <c r="I255" s="499" t="str">
        <f>IFERROR(VLOOKUP(H255,'G-1 All Habitats'!$Z$2:$AA$9,2,FALSE),"")</f>
        <v/>
      </c>
      <c r="J255" s="145"/>
      <c r="K255" s="507" t="str">
        <f>IF(J255="","",IF(VLOOKUP(J255,'G-3 Multipliers'!$L$3:$N$6,2,FALSE)=0,"Spatial Data Missing ⚠",VLOOKUP(J255,'G-3 Multipliers'!$L$3:$N$6,2,FALSE)))</f>
        <v/>
      </c>
      <c r="L255" s="505" t="str">
        <f>IF(J255="","",IF(VLOOKUP(J255,'G-3 Multipliers'!$L$3:$N$6,3,FALSE)=0,"Spatial Data Missing ⚠",VLOOKUP(J255,'G-3 Multipliers'!$L$3:$N$6,3,FALSE)))</f>
        <v/>
      </c>
      <c r="M255" s="506" t="str">
        <f>IF(D255="","",VLOOKUP(D255,'G-6 Hedgerow Data'!$B$1:$AH$15,33,FALSE))</f>
        <v/>
      </c>
      <c r="N255" s="513" t="str">
        <f t="shared" si="23"/>
        <v/>
      </c>
      <c r="O255" s="40"/>
      <c r="P255" s="154"/>
      <c r="Q255" s="203"/>
      <c r="R255" s="532" t="str">
        <f t="shared" si="24"/>
        <v/>
      </c>
      <c r="S255" s="532" t="str">
        <f t="shared" si="25"/>
        <v/>
      </c>
      <c r="T255" s="532" t="str">
        <f t="shared" si="26"/>
        <v/>
      </c>
      <c r="U255" s="557"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8" x14ac:dyDescent="0.25">
      <c r="B256" s="141">
        <v>247</v>
      </c>
      <c r="C256" s="203"/>
      <c r="D256" s="203"/>
      <c r="E256" s="153"/>
      <c r="F256" s="553" t="str">
        <f>IF(D256="","",VLOOKUP(D256,'G-6 Hedgerow Data'!$B$2:$AG$15,2,FALSE))</f>
        <v/>
      </c>
      <c r="G256" s="499" t="str">
        <f>IF(D256="","",VLOOKUP(D256,'G-6 Hedgerow Data'!$B$2:$AG$15,3,FALSE))</f>
        <v/>
      </c>
      <c r="H256" s="145"/>
      <c r="I256" s="499" t="str">
        <f>IFERROR(VLOOKUP(H256,'G-1 All Habitats'!$Z$2:$AA$9,2,FALSE),"")</f>
        <v/>
      </c>
      <c r="J256" s="145"/>
      <c r="K256" s="507" t="str">
        <f>IF(J256="","",IF(VLOOKUP(J256,'G-3 Multipliers'!$L$3:$N$6,2,FALSE)=0,"Spatial Data Missing ⚠",VLOOKUP(J256,'G-3 Multipliers'!$L$3:$N$6,2,FALSE)))</f>
        <v/>
      </c>
      <c r="L256" s="505" t="str">
        <f>IF(J256="","",IF(VLOOKUP(J256,'G-3 Multipliers'!$L$3:$N$6,3,FALSE)=0,"Spatial Data Missing ⚠",VLOOKUP(J256,'G-3 Multipliers'!$L$3:$N$6,3,FALSE)))</f>
        <v/>
      </c>
      <c r="M256" s="506" t="str">
        <f>IF(D256="","",VLOOKUP(D256,'G-6 Hedgerow Data'!$B$1:$AH$15,33,FALSE))</f>
        <v/>
      </c>
      <c r="N256" s="513" t="str">
        <f t="shared" si="23"/>
        <v/>
      </c>
      <c r="O256" s="40"/>
      <c r="P256" s="154"/>
      <c r="Q256" s="203"/>
      <c r="R256" s="532" t="str">
        <f t="shared" si="24"/>
        <v/>
      </c>
      <c r="S256" s="532" t="str">
        <f t="shared" si="25"/>
        <v/>
      </c>
      <c r="T256" s="532" t="str">
        <f t="shared" si="26"/>
        <v/>
      </c>
      <c r="U256" s="557"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 thickBot="1" x14ac:dyDescent="0.3">
      <c r="B257" s="158">
        <v>248</v>
      </c>
      <c r="C257" s="206"/>
      <c r="D257" s="206"/>
      <c r="E257" s="160"/>
      <c r="F257" s="528" t="str">
        <f>IF(D257="","",VLOOKUP(D257,'G-6 Hedgerow Data'!$B$2:$AG$15,2,FALSE))</f>
        <v/>
      </c>
      <c r="G257" s="499" t="str">
        <f>IF(D257="","",VLOOKUP(D257,'G-6 Hedgerow Data'!$B$2:$AG$15,3,FALSE))</f>
        <v/>
      </c>
      <c r="H257" s="161"/>
      <c r="I257" s="501" t="str">
        <f>IFERROR(VLOOKUP(H257,'G-1 All Habitats'!$Z$2:$AA$9,2,FALSE),"")</f>
        <v/>
      </c>
      <c r="J257" s="161"/>
      <c r="K257" s="508" t="str">
        <f>IF(J257="","",IF(VLOOKUP(J257,'G-3 Multipliers'!$L$3:$N$6,2,FALSE)=0,"Spatial Data Missing ⚠",VLOOKUP(J257,'G-3 Multipliers'!$L$3:$N$6,2,FALSE)))</f>
        <v/>
      </c>
      <c r="L257" s="509" t="str">
        <f>IF(J257="","",IF(VLOOKUP(J257,'G-3 Multipliers'!$L$3:$N$6,3,FALSE)=0,"Spatial Data Missing ⚠",VLOOKUP(J257,'G-3 Multipliers'!$L$3:$N$6,3,FALSE)))</f>
        <v/>
      </c>
      <c r="M257" s="510" t="str">
        <f>IF(D257="","",VLOOKUP(D257,'G-6 Hedgerow Data'!$B$1:$AH$15,33,FALSE))</f>
        <v/>
      </c>
      <c r="N257" s="555" t="str">
        <f t="shared" si="23"/>
        <v/>
      </c>
      <c r="O257" s="40"/>
      <c r="P257" s="210"/>
      <c r="Q257" s="211"/>
      <c r="R257" s="535" t="str">
        <f t="shared" si="24"/>
        <v/>
      </c>
      <c r="S257" s="535" t="str">
        <f t="shared" si="25"/>
        <v/>
      </c>
      <c r="T257" s="532" t="str">
        <f>IF(D257="","",IF(E257-P257-Q257=0&lt;0,"Error in lengths ▲",IF(P257+Q257&gt;E257,"Error in Lengths ▲",E257-P257-Q257)))</f>
        <v/>
      </c>
      <c r="U257" s="557"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 thickBot="1" x14ac:dyDescent="0.3">
      <c r="D258" s="443"/>
      <c r="E258" s="554">
        <f>SUM(E10:E257)</f>
        <v>3.7999999999999999E-2</v>
      </c>
      <c r="M258" s="443"/>
      <c r="N258" s="556">
        <f>SUM(N10:N257)</f>
        <v>4.3699999999999996E-2</v>
      </c>
      <c r="O258" s="166"/>
      <c r="P258" s="517">
        <f t="shared" ref="P258:U258" si="28">SUM(P10:P257)</f>
        <v>3.7999999999999999E-2</v>
      </c>
      <c r="Q258" s="518">
        <f t="shared" si="28"/>
        <v>0</v>
      </c>
      <c r="R258" s="518">
        <f t="shared" si="28"/>
        <v>4.3699999999999996E-2</v>
      </c>
      <c r="S258" s="518">
        <f t="shared" si="28"/>
        <v>0</v>
      </c>
      <c r="T258" s="518">
        <f t="shared" si="28"/>
        <v>0</v>
      </c>
      <c r="U258" s="514">
        <f t="shared" si="28"/>
        <v>0</v>
      </c>
    </row>
    <row r="259" spans="2:38" ht="13.8" x14ac:dyDescent="0.25">
      <c r="O259" s="166"/>
      <c r="P259" s="166"/>
      <c r="Q259" s="166"/>
      <c r="R259" s="166"/>
      <c r="S259" s="166"/>
      <c r="T259" s="166"/>
      <c r="U259" s="166"/>
    </row>
    <row r="260" spans="2:38" ht="13.8" x14ac:dyDescent="0.25">
      <c r="B260" s="132"/>
      <c r="C260" s="132"/>
    </row>
    <row r="261" spans="2:38" ht="13.8" x14ac:dyDescent="0.25">
      <c r="B261" s="132"/>
      <c r="C261" s="132"/>
    </row>
    <row r="262" spans="2:38" ht="13.8" x14ac:dyDescent="0.25">
      <c r="B262" s="132"/>
      <c r="C262" s="132"/>
    </row>
    <row r="263" spans="2:38" ht="13.8" x14ac:dyDescent="0.25">
      <c r="B263" s="132"/>
      <c r="C263" s="132"/>
    </row>
    <row r="264" spans="2:38" ht="13.8" x14ac:dyDescent="0.25">
      <c r="B264" s="132"/>
      <c r="C264" s="132"/>
    </row>
  </sheetData>
  <sheetProtection algorithmName="SHA-512" hashValue="9X6AsQ//zhxGBc+nnYUzmQ5CXxVC2nhA9+NV96OJYiXWnzyjcKmpAPC2MA0DkBo8bLDFntJs+8+dZcTMvtydDQ==" saltValue="gJdyIw+VuPbprqdOghKHd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132" priority="10" operator="equal">
      <formula>"Like for like or better"</formula>
    </cfRule>
    <cfRule type="cellIs" dxfId="131" priority="11" operator="equal">
      <formula>"Like for like"</formula>
    </cfRule>
    <cfRule type="containsText" dxfId="130" priority="12" operator="containsText" text="Same distinctiveness">
      <formula>NOT(ISERROR(SEARCH("Same distinctiveness",M10)))</formula>
    </cfRule>
  </conditionalFormatting>
  <conditionalFormatting sqref="K10:K257">
    <cfRule type="containsText" dxfId="129" priority="8" operator="containsText" text="Spatial">
      <formula>NOT(ISERROR(SEARCH("Spatial",K10)))</formula>
    </cfRule>
  </conditionalFormatting>
  <conditionalFormatting sqref="L10:L257">
    <cfRule type="containsText" dxfId="128" priority="7" operator="containsText" text="Spatial">
      <formula>NOT(ISERROR(SEARCH("Spatial",L10)))</formula>
    </cfRule>
  </conditionalFormatting>
  <conditionalFormatting sqref="T10:T257">
    <cfRule type="containsText" dxfId="127" priority="6" operator="containsText" text="Error">
      <formula>NOT(ISERROR(SEARCH("Error",T10)))</formula>
    </cfRule>
  </conditionalFormatting>
  <conditionalFormatting sqref="U10:U257">
    <cfRule type="containsText" dxfId="126"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Q16" sqref="Q16"/>
    </sheetView>
  </sheetViews>
  <sheetFormatPr defaultColWidth="0" defaultRowHeight="0" customHeight="1" zeroHeight="1" x14ac:dyDescent="0.25"/>
  <cols>
    <col min="1" max="1" width="2.88671875" style="31" customWidth="1"/>
    <col min="2" max="2" width="12.6640625" style="31" customWidth="1"/>
    <col min="3" max="3" width="10.5546875" style="31" customWidth="1"/>
    <col min="4" max="4" width="62.6640625" style="31" customWidth="1"/>
    <col min="5" max="5" width="10.44140625" style="31" customWidth="1"/>
    <col min="6" max="6" width="18.88671875" style="31" customWidth="1"/>
    <col min="7" max="7" width="13.109375" style="31" customWidth="1"/>
    <col min="8" max="8" width="12.5546875" style="31" bestFit="1" customWidth="1"/>
    <col min="9" max="9" width="12.5546875" style="31" customWidth="1"/>
    <col min="10" max="10" width="41.6640625" style="31" customWidth="1"/>
    <col min="11" max="11" width="18.5546875" style="31" customWidth="1"/>
    <col min="12" max="12" width="12.33203125" style="31" customWidth="1"/>
    <col min="13" max="13" width="19.109375" style="31" customWidth="1"/>
    <col min="14" max="14" width="20" style="31" customWidth="1"/>
    <col min="15" max="15" width="17.6640625" style="31" customWidth="1"/>
    <col min="16" max="16" width="33.33203125" style="31" customWidth="1"/>
    <col min="17" max="17" width="19.109375" style="31" customWidth="1"/>
    <col min="18" max="18" width="15.33203125" style="31" customWidth="1"/>
    <col min="19" max="19" width="13.44140625" style="31" customWidth="1"/>
    <col min="20" max="20" width="18.44140625" style="31" customWidth="1"/>
    <col min="21" max="21" width="13.6640625" style="31" customWidth="1"/>
    <col min="22" max="22" width="11.88671875" style="31" customWidth="1"/>
    <col min="23" max="23" width="12.6640625" style="31" customWidth="1"/>
    <col min="24" max="24" width="42.44140625" style="31" customWidth="1"/>
    <col min="25" max="25" width="43.109375" style="31" customWidth="1"/>
    <col min="26" max="31" width="8.88671875" style="31" customWidth="1"/>
    <col min="32" max="32" width="8.88671875" style="31" hidden="1" customWidth="1"/>
    <col min="33" max="33" width="15.88671875" style="31" hidden="1" customWidth="1"/>
    <col min="34" max="16384" width="8.88671875" style="31" hidden="1"/>
  </cols>
  <sheetData>
    <row r="1" spans="2:33" ht="15.75" customHeight="1" thickBot="1" x14ac:dyDescent="0.3"/>
    <row r="2" spans="2:33" ht="21.6" customHeight="1" thickBot="1" x14ac:dyDescent="0.3">
      <c r="B2" s="803" t="str">
        <f>IF([1]Start!F12="","",[1]Start!F12)</f>
        <v/>
      </c>
      <c r="C2" s="804"/>
      <c r="D2" s="805"/>
    </row>
    <row r="3" spans="2:33" ht="15" customHeight="1" x14ac:dyDescent="0.25">
      <c r="B3" s="940" t="str">
        <f ca="1">MID(CELL("filename",A1),FIND("]",CELL("filename",A1))+1,256)</f>
        <v>B-2 Site Hedge Creation</v>
      </c>
      <c r="C3" s="941"/>
      <c r="D3" s="942"/>
      <c r="M3" s="909" t="str">
        <f>IF(OR(COUNTIF($M$12:M259,"*30+*")&gt;0,COUNTIF($Q$12:Q259,"*30+*")&gt;0),"Note; Habitat selected has a time to target condition greater than 30 years. Non standard agreement may be required. ⚠","")</f>
        <v/>
      </c>
      <c r="N3" s="909"/>
      <c r="O3" s="909"/>
      <c r="P3" s="909"/>
      <c r="Q3" s="909"/>
      <c r="R3" s="909"/>
    </row>
    <row r="4" spans="2:33" ht="15.75" customHeight="1" thickBot="1" x14ac:dyDescent="0.3">
      <c r="B4" s="943"/>
      <c r="C4" s="944"/>
      <c r="D4" s="945"/>
      <c r="M4" s="909"/>
      <c r="N4" s="909"/>
      <c r="O4" s="909"/>
      <c r="P4" s="909"/>
      <c r="Q4" s="909"/>
      <c r="R4" s="909"/>
    </row>
    <row r="5" spans="2:33" ht="15.75" customHeight="1" x14ac:dyDescent="0.25">
      <c r="M5" s="909"/>
      <c r="N5" s="909"/>
      <c r="O5" s="909"/>
      <c r="P5" s="909"/>
      <c r="Q5" s="909"/>
      <c r="R5" s="909"/>
    </row>
    <row r="6" spans="2:33" ht="15.75" customHeight="1" x14ac:dyDescent="0.25">
      <c r="M6" s="403"/>
      <c r="N6" s="403"/>
      <c r="O6" s="403"/>
      <c r="P6" s="403"/>
      <c r="Q6" s="403"/>
    </row>
    <row r="7" spans="2:33" ht="15.75" customHeight="1" x14ac:dyDescent="0.25">
      <c r="B7" s="132"/>
      <c r="C7" s="132"/>
      <c r="M7" s="403"/>
      <c r="N7" s="403"/>
      <c r="O7" s="403"/>
      <c r="P7" s="403"/>
      <c r="Q7" s="403"/>
    </row>
    <row r="8" spans="2:33" ht="13.8" x14ac:dyDescent="0.25"/>
    <row r="9" spans="2:33" ht="19.95" customHeight="1" thickBot="1" x14ac:dyDescent="0.3"/>
    <row r="10" spans="2:33" ht="31.5" customHeight="1" thickBot="1" x14ac:dyDescent="0.3">
      <c r="B10" s="132"/>
      <c r="C10" s="132"/>
      <c r="D10" s="970" t="s">
        <v>301</v>
      </c>
      <c r="E10" s="972"/>
      <c r="F10" s="970" t="s">
        <v>272</v>
      </c>
      <c r="G10" s="972"/>
      <c r="H10" s="970" t="s">
        <v>273</v>
      </c>
      <c r="I10" s="972"/>
      <c r="J10" s="970" t="s">
        <v>191</v>
      </c>
      <c r="K10" s="971"/>
      <c r="L10" s="972"/>
      <c r="M10" s="970" t="s">
        <v>228</v>
      </c>
      <c r="N10" s="971"/>
      <c r="O10" s="971"/>
      <c r="P10" s="971"/>
      <c r="Q10" s="971"/>
      <c r="R10" s="972"/>
      <c r="S10" s="970" t="s">
        <v>252</v>
      </c>
      <c r="T10" s="971"/>
      <c r="U10" s="971"/>
      <c r="V10" s="972"/>
      <c r="W10" s="973" t="s">
        <v>302</v>
      </c>
      <c r="X10" s="961" t="s">
        <v>196</v>
      </c>
      <c r="Y10" s="962"/>
    </row>
    <row r="11" spans="2:33" ht="41.4" x14ac:dyDescent="0.25">
      <c r="B11" s="135" t="s">
        <v>254</v>
      </c>
      <c r="C11" s="136" t="s">
        <v>303</v>
      </c>
      <c r="D11" s="201" t="s">
        <v>275</v>
      </c>
      <c r="E11" s="359" t="s">
        <v>294</v>
      </c>
      <c r="F11" s="304" t="s">
        <v>189</v>
      </c>
      <c r="G11" s="202" t="s">
        <v>206</v>
      </c>
      <c r="H11" s="368" t="s">
        <v>190</v>
      </c>
      <c r="I11" s="202" t="s">
        <v>206</v>
      </c>
      <c r="J11" s="368" t="s">
        <v>191</v>
      </c>
      <c r="K11" s="201" t="s">
        <v>191</v>
      </c>
      <c r="L11" s="202" t="s">
        <v>231</v>
      </c>
      <c r="M11" s="368" t="s">
        <v>304</v>
      </c>
      <c r="N11" s="201" t="s">
        <v>233</v>
      </c>
      <c r="O11" s="201" t="s">
        <v>234</v>
      </c>
      <c r="P11" s="201" t="s">
        <v>235</v>
      </c>
      <c r="Q11" s="201" t="s">
        <v>236</v>
      </c>
      <c r="R11" s="202" t="s">
        <v>237</v>
      </c>
      <c r="S11" s="368" t="s">
        <v>238</v>
      </c>
      <c r="T11" s="201" t="s">
        <v>305</v>
      </c>
      <c r="U11" s="201" t="s">
        <v>240</v>
      </c>
      <c r="V11" s="202" t="s">
        <v>241</v>
      </c>
      <c r="W11" s="982"/>
      <c r="X11" s="141" t="s">
        <v>215</v>
      </c>
      <c r="Y11" s="359" t="s">
        <v>216</v>
      </c>
      <c r="AG11" s="131" t="s">
        <v>200</v>
      </c>
    </row>
    <row r="12" spans="2:33" ht="96.6" x14ac:dyDescent="0.25">
      <c r="B12" s="368">
        <v>1</v>
      </c>
      <c r="C12" s="204">
        <v>1</v>
      </c>
      <c r="D12" s="82" t="s">
        <v>111</v>
      </c>
      <c r="E12" s="70">
        <v>0.11899999999999999</v>
      </c>
      <c r="F12" s="553" t="str">
        <f>IF(D12="","",VLOOKUP(D12,'G-6 Hedgerow Data'!$B$2:$AG$15,2,FALSE))</f>
        <v>Medium</v>
      </c>
      <c r="G12" s="499">
        <f>IF(D12="","",VLOOKUP(D12,'G-6 Hedgerow Data'!$B$2:$AG$15,3,FALSE))</f>
        <v>4</v>
      </c>
      <c r="H12" s="145" t="s">
        <v>20</v>
      </c>
      <c r="I12" s="499">
        <f>IFERROR(VLOOKUP(H12,'G-1 All Habitats'!$Z$2:$AA$9,2,FALSE),"")</f>
        <v>2</v>
      </c>
      <c r="J12" s="145" t="s">
        <v>913</v>
      </c>
      <c r="K12" s="507" t="str">
        <f>IF(J12="","",IF(VLOOKUP(J12,'G-3 Multipliers'!$L$3:$N$6,2,FALSE)=0,"Spatial Data Missing ⚠",VLOOKUP(J12,'G-3 Multipliers'!$L$3:$N$6,2,FALSE)))</f>
        <v xml:space="preserve">High strategic significance </v>
      </c>
      <c r="L12" s="505">
        <f>IF(J12="","",IF(VLOOKUP(J12,'G-3 Multipliers'!$L$3:$N$6,3,FALSE)=0,"Spatial Data Missing ⚠",VLOOKUP(J12,'G-3 Multipliers'!$L$3:$N$6,3,FALSE)))</f>
        <v>1.1499999999999999</v>
      </c>
      <c r="M12" s="498">
        <f>IF(OR(D12="",H12=""),"",(INDEX('G-6 Hedgerow Data'!$E$3:$I$15,MATCH(D12,'G-6 Hedgerow Data'!$B$3:$B$15,0),MATCH(H12,'G-6 Hedgerow Data'!$E$2:$I$2,0))))</f>
        <v>5</v>
      </c>
      <c r="N12" s="195">
        <v>0</v>
      </c>
      <c r="O12" s="195">
        <v>0</v>
      </c>
      <c r="P12" s="507"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1">
        <f>IF(M12="","",IF(LEFT(P12,5)="Error ▲","Check Data ⚠",IF(OR(N12="30+",N12="Habitat already in target condition"),0,IF(O12="30+","30+ ⚠",IF(AND(M12="30+ ⚠",OR(N12="",N12=0)),"30+ ⚠",IF(AND(M12="30+ ⚠",N12&gt;0),32-N12,IF(M12+O12&gt;30,"30+ ⚠",IF(M12+O12-N12&gt;0,M12+O12-N12,IF(M12-N12&lt;0,0,M12+O12-N12)))))))))</f>
        <v>5</v>
      </c>
      <c r="R12" s="522">
        <f t="shared" ref="R12:R75" si="0">IF(M12="","",IF(LEFT(P12,5)="Error ▲","Check Data ⚠",VLOOKUP(Q12,TemporalMultipliers,3,FALSE)))</f>
        <v>0.83682870060000003</v>
      </c>
      <c r="S12" s="498" t="str">
        <f>IF(D12="","",VLOOKUP(D12,'G-6 Hedgerow Data'!$B$3:$AG$15,31,FALSE))</f>
        <v>Low</v>
      </c>
      <c r="T12" s="507" t="str">
        <f>IF(D12="","",IF(Q12="Check Data ⚠","Check Data ⚠",IF(H12="","",IF($P12="Check details - Is there evidence that habitat has reached target condition? ⚠","Low Difficulty - only applicable if all habitat created before losses ⚠","Standard difficulty applied"))))</f>
        <v>Standard difficulty applied</v>
      </c>
      <c r="U12" s="507" t="str">
        <f>(IF(AND(T12="Standard difficulty applied",M12&gt;N12),S12,IF(AND(T12="Low Difficulty - only applicable if all habitat created before losses ⚠",Q12&lt;=0),"Low",S12)))</f>
        <v>Low</v>
      </c>
      <c r="V12" s="499">
        <f>IF(D12="","",VLOOKUP(S12,'G-3 Multipliers'!$P$3:$Q$6,2,FALSE))</f>
        <v>1</v>
      </c>
      <c r="W12" s="529">
        <f>IFERROR(E12*G12*I12*L12*R12*V12,"")</f>
        <v>0.91616006141687989</v>
      </c>
      <c r="X12" s="149" t="s">
        <v>1576</v>
      </c>
      <c r="Y12" s="150"/>
      <c r="AG12" s="31" t="str">
        <f>IFERROR(INDEX('G-6 Hedgerow Data'!$BJ$3:$BJ$15,MATCH(D12,'G-6 Hedgerow Data'!$B$3:$B$15,0)),"")</f>
        <v>Hedgecond1</v>
      </c>
    </row>
    <row r="13" spans="2:33" ht="27.6" x14ac:dyDescent="0.25">
      <c r="B13" s="141">
        <v>2</v>
      </c>
      <c r="C13" s="204">
        <v>2</v>
      </c>
      <c r="D13" s="82" t="s">
        <v>119</v>
      </c>
      <c r="E13" s="70">
        <v>2.5000000000000001E-2</v>
      </c>
      <c r="F13" s="553" t="str">
        <f>IF(D13="","",VLOOKUP(D13,'G-6 Hedgerow Data'!$B$2:$AG$15,2,FALSE))</f>
        <v>V.Low</v>
      </c>
      <c r="G13" s="499">
        <f>IF(D13="","",VLOOKUP(D13,'G-6 Hedgerow Data'!$B$2:$AG$15,3,FALSE))</f>
        <v>1</v>
      </c>
      <c r="H13" s="145" t="s">
        <v>242</v>
      </c>
      <c r="I13" s="499">
        <f>IFERROR(VLOOKUP(H13,'G-1 All Habitats'!$Z$2:$AA$9,2,FALSE),"")</f>
        <v>1</v>
      </c>
      <c r="J13" s="145" t="s">
        <v>913</v>
      </c>
      <c r="K13" s="520" t="str">
        <f>IF(J13="","",IF(VLOOKUP(J13,'G-3 Multipliers'!$L$3:$N$6,2,FALSE)=0,"Spatial Data Missing ⚠",VLOOKUP(J13,'G-3 Multipliers'!$L$3:$N$6,2,FALSE)))</f>
        <v xml:space="preserve">High strategic significance </v>
      </c>
      <c r="L13" s="505">
        <f>IF(J13="","",IF(VLOOKUP(J13,'G-3 Multipliers'!$L$3:$N$6,3,FALSE)=0,"Spatial Data Missing ⚠",VLOOKUP(J13,'G-3 Multipliers'!$L$3:$N$6,3,FALSE)))</f>
        <v>1.1499999999999999</v>
      </c>
      <c r="M13" s="498">
        <f>IF(OR(D13="",H13=""),"",(INDEX('G-6 Hedgerow Data'!$E$3:$I$15,MATCH(D13,'G-6 Hedgerow Data'!$B$3:$B$15,0),MATCH(H13,'G-6 Hedgerow Data'!$E$2:$I$2,0))))</f>
        <v>1</v>
      </c>
      <c r="N13" s="195">
        <v>0</v>
      </c>
      <c r="O13" s="195">
        <v>0</v>
      </c>
      <c r="P13" s="507"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521">
        <f t="shared" ref="Q13:Q76" si="2">IF(M13="","",IF(LEFT(P13,5)="Error ▲","Check Data ⚠",IF(OR(N13="30+",N13="Habitat already in target condition"),0,IF(O13="30+","30+ ⚠",IF(AND(M13="30+ ⚠",OR(N13="",N13=0)),"30+ ⚠",IF(AND(M13="30+ ⚠",N13&gt;0),32-N13,IF(M13+O13&gt;30,"30+ ⚠",IF(M13+O13-N13&gt;0,M13+O13-N13,IF(M13-N13&lt;0,0,M13+O13-N13)))))))))</f>
        <v>1</v>
      </c>
      <c r="R13" s="522">
        <f t="shared" si="0"/>
        <v>0.96499999999999997</v>
      </c>
      <c r="S13" s="537" t="str">
        <f>IF(D13="","",VLOOKUP(D13,'G-6 Hedgerow Data'!$B$3:$AG$15,31,FALSE))</f>
        <v>Low</v>
      </c>
      <c r="T13" s="507"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7" t="str">
        <f t="shared" ref="U13:U76" si="4">(IF(AND(T13="Standard difficulty applied",M13&gt;N13),S13,IF(AND(T13="Low Difficulty - only applicable if all habitat created before losses ⚠",Q13&lt;=0),"Low",S13)))</f>
        <v>Low</v>
      </c>
      <c r="V13" s="524">
        <f>IF(D13="","",VLOOKUP(S13,'G-3 Multipliers'!$P$3:$Q$6,2,FALSE))</f>
        <v>1</v>
      </c>
      <c r="W13" s="529">
        <f t="shared" ref="W13:W76" si="5">IFERROR(E13*G13*I13*L13*R13*V13,"")</f>
        <v>2.7743749999999998E-2</v>
      </c>
      <c r="X13" s="149" t="s">
        <v>1569</v>
      </c>
      <c r="Y13" s="150"/>
      <c r="AG13" s="31" t="str">
        <f>IFERROR(INDEX('G-6 Hedgerow Data'!$BJ$3:$BJ$15,MATCH(D13,'G-6 Hedgerow Data'!$B$3:$B$15,0)),"")</f>
        <v>Hedgecond2</v>
      </c>
    </row>
    <row r="14" spans="2:33" ht="13.8" x14ac:dyDescent="0.25">
      <c r="B14" s="141">
        <v>3</v>
      </c>
      <c r="C14" s="204"/>
      <c r="D14" s="82"/>
      <c r="E14" s="70"/>
      <c r="F14" s="553" t="str">
        <f>IF(D14="","",VLOOKUP(D14,'G-6 Hedgerow Data'!$B$2:$AG$15,2,FALSE))</f>
        <v/>
      </c>
      <c r="G14" s="499" t="str">
        <f>IF(D14="","",VLOOKUP(D14,'G-6 Hedgerow Data'!$B$2:$AG$15,3,FALSE))</f>
        <v/>
      </c>
      <c r="H14" s="145"/>
      <c r="I14" s="499" t="str">
        <f>IFERROR(VLOOKUP(H14,'G-1 All Habitats'!$Z$2:$AA$9,2,FALSE),"")</f>
        <v/>
      </c>
      <c r="J14" s="145"/>
      <c r="K14" s="520" t="str">
        <f>IF(J14="","",IF(VLOOKUP(J14,'G-3 Multipliers'!$L$3:$N$6,2,FALSE)=0,"Spatial Data Missing ⚠",VLOOKUP(J14,'G-3 Multipliers'!$L$3:$N$6,2,FALSE)))</f>
        <v/>
      </c>
      <c r="L14" s="505" t="str">
        <f>IF(J14="","",IF(VLOOKUP(J14,'G-3 Multipliers'!$L$3:$N$6,3,FALSE)=0,"Spatial Data Missing ⚠",VLOOKUP(J14,'G-3 Multipliers'!$L$3:$N$6,3,FALSE)))</f>
        <v/>
      </c>
      <c r="M14" s="498" t="str">
        <f>IF(OR(D14="",H14=""),"",(INDEX('G-6 Hedgerow Data'!$E$3:$I$15,MATCH(D14,'G-6 Hedgerow Data'!$B$3:$B$15,0),MATCH(H14,'G-6 Hedgerow Data'!$E$2:$I$2,0))))</f>
        <v/>
      </c>
      <c r="N14" s="195"/>
      <c r="O14" s="195"/>
      <c r="P14" s="507" t="str">
        <f t="shared" si="1"/>
        <v/>
      </c>
      <c r="Q14" s="521" t="str">
        <f t="shared" si="2"/>
        <v/>
      </c>
      <c r="R14" s="522" t="str">
        <f t="shared" si="0"/>
        <v/>
      </c>
      <c r="S14" s="537" t="str">
        <f>IF(D14="","",VLOOKUP(D14,'G-6 Hedgerow Data'!$B$3:$AG$15,31,FALSE))</f>
        <v/>
      </c>
      <c r="T14" s="507" t="str">
        <f t="shared" si="3"/>
        <v/>
      </c>
      <c r="U14" s="507" t="str">
        <f t="shared" si="4"/>
        <v/>
      </c>
      <c r="V14" s="524" t="str">
        <f>IF(D14="","",VLOOKUP(S14,'G-3 Multipliers'!$P$3:$Q$6,2,FALSE))</f>
        <v/>
      </c>
      <c r="W14" s="529" t="str">
        <f t="shared" si="5"/>
        <v/>
      </c>
      <c r="X14" s="149"/>
      <c r="Y14" s="150"/>
      <c r="AG14" s="31" t="str">
        <f>IFERROR(INDEX('G-6 Hedgerow Data'!$BJ$3:$BJ$15,MATCH(D14,'G-6 Hedgerow Data'!$B$3:$B$15,0)),"")</f>
        <v/>
      </c>
    </row>
    <row r="15" spans="2:33" ht="13.8" x14ac:dyDescent="0.25">
      <c r="B15" s="141">
        <v>4</v>
      </c>
      <c r="C15" s="204"/>
      <c r="D15" s="82"/>
      <c r="E15" s="70"/>
      <c r="F15" s="553" t="str">
        <f>IF(D15="","",VLOOKUP(D15,'G-6 Hedgerow Data'!$B$2:$AG$15,2,FALSE))</f>
        <v/>
      </c>
      <c r="G15" s="499" t="str">
        <f>IF(D15="","",VLOOKUP(D15,'G-6 Hedgerow Data'!$B$2:$AG$15,3,FALSE))</f>
        <v/>
      </c>
      <c r="H15" s="145"/>
      <c r="I15" s="499" t="str">
        <f>IFERROR(VLOOKUP(H15,'G-1 All Habitats'!$Z$2:$AA$9,2,FALSE),"")</f>
        <v/>
      </c>
      <c r="J15" s="145"/>
      <c r="K15" s="520" t="str">
        <f>IF(J15="","",IF(VLOOKUP(J15,'G-3 Multipliers'!$L$3:$N$6,2,FALSE)=0,"Spatial Data Missing ⚠",VLOOKUP(J15,'G-3 Multipliers'!$L$3:$N$6,2,FALSE)))</f>
        <v/>
      </c>
      <c r="L15" s="505" t="str">
        <f>IF(J15="","",IF(VLOOKUP(J15,'G-3 Multipliers'!$L$3:$N$6,3,FALSE)=0,"Spatial Data Missing ⚠",VLOOKUP(J15,'G-3 Multipliers'!$L$3:$N$6,3,FALSE)))</f>
        <v/>
      </c>
      <c r="M15" s="498" t="str">
        <f>IF(OR(D15="",H15=""),"",(INDEX('G-6 Hedgerow Data'!$E$3:$I$15,MATCH(D15,'G-6 Hedgerow Data'!$B$3:$B$15,0),MATCH(H15,'G-6 Hedgerow Data'!$E$2:$I$2,0))))</f>
        <v/>
      </c>
      <c r="N15" s="195"/>
      <c r="O15" s="195"/>
      <c r="P15" s="507" t="str">
        <f t="shared" si="1"/>
        <v/>
      </c>
      <c r="Q15" s="521" t="str">
        <f t="shared" si="2"/>
        <v/>
      </c>
      <c r="R15" s="522" t="str">
        <f t="shared" si="0"/>
        <v/>
      </c>
      <c r="S15" s="537" t="str">
        <f>IF(D15="","",VLOOKUP(D15,'G-6 Hedgerow Data'!$B$3:$AG$15,31,FALSE))</f>
        <v/>
      </c>
      <c r="T15" s="507" t="str">
        <f t="shared" si="3"/>
        <v/>
      </c>
      <c r="U15" s="507" t="str">
        <f t="shared" si="4"/>
        <v/>
      </c>
      <c r="V15" s="524" t="str">
        <f>IF(D15="","",VLOOKUP(S15,'G-3 Multipliers'!$P$3:$Q$6,2,FALSE))</f>
        <v/>
      </c>
      <c r="W15" s="529" t="str">
        <f t="shared" si="5"/>
        <v/>
      </c>
      <c r="X15" s="149"/>
      <c r="Y15" s="150"/>
      <c r="AG15" s="31" t="str">
        <f>IFERROR(INDEX('G-6 Hedgerow Data'!$BJ$3:$BJ$15,MATCH(D15,'G-6 Hedgerow Data'!$B$3:$B$15,0)),"")</f>
        <v/>
      </c>
    </row>
    <row r="16" spans="2:33" ht="13.8" x14ac:dyDescent="0.25">
      <c r="B16" s="141">
        <v>5</v>
      </c>
      <c r="C16" s="205"/>
      <c r="D16" s="195"/>
      <c r="E16" s="172"/>
      <c r="F16" s="553" t="str">
        <f>IF(D16="","",VLOOKUP(D16,'G-6 Hedgerow Data'!$B$2:$AG$15,2,FALSE))</f>
        <v/>
      </c>
      <c r="G16" s="499" t="str">
        <f>IF(D16="","",VLOOKUP(D16,'G-6 Hedgerow Data'!$B$2:$AG$15,3,FALSE))</f>
        <v/>
      </c>
      <c r="H16" s="145"/>
      <c r="I16" s="499" t="str">
        <f>IFERROR(VLOOKUP(H16,'G-1 All Habitats'!$Z$2:$AA$9,2,FALSE),"")</f>
        <v/>
      </c>
      <c r="J16" s="145"/>
      <c r="K16" s="520" t="str">
        <f>IF(J16="","",IF(VLOOKUP(J16,'G-3 Multipliers'!$L$3:$N$6,2,FALSE)=0,"Spatial Data Missing ⚠",VLOOKUP(J16,'G-3 Multipliers'!$L$3:$N$6,2,FALSE)))</f>
        <v/>
      </c>
      <c r="L16" s="505" t="str">
        <f>IF(J16="","",IF(VLOOKUP(J16,'G-3 Multipliers'!$L$3:$N$6,3,FALSE)=0,"Spatial Data Missing ⚠",VLOOKUP(J16,'G-3 Multipliers'!$L$3:$N$6,3,FALSE)))</f>
        <v/>
      </c>
      <c r="M16" s="498" t="str">
        <f>IF(OR(D16="",H16=""),"",(INDEX('G-6 Hedgerow Data'!$E$3:$I$15,MATCH(D16,'G-6 Hedgerow Data'!$B$3:$B$15,0),MATCH(H16,'G-6 Hedgerow Data'!$E$2:$I$2,0))))</f>
        <v/>
      </c>
      <c r="N16" s="195"/>
      <c r="O16" s="195"/>
      <c r="P16" s="507" t="str">
        <f t="shared" si="1"/>
        <v/>
      </c>
      <c r="Q16" s="521" t="str">
        <f t="shared" si="2"/>
        <v/>
      </c>
      <c r="R16" s="522" t="str">
        <f t="shared" si="0"/>
        <v/>
      </c>
      <c r="S16" s="537" t="str">
        <f>IF(D16="","",VLOOKUP(D16,'G-6 Hedgerow Data'!$B$3:$AG$15,31,FALSE))</f>
        <v/>
      </c>
      <c r="T16" s="507" t="str">
        <f t="shared" si="3"/>
        <v/>
      </c>
      <c r="U16" s="507" t="str">
        <f t="shared" si="4"/>
        <v/>
      </c>
      <c r="V16" s="524" t="str">
        <f>IF(D16="","",VLOOKUP(S16,'G-3 Multipliers'!$P$3:$Q$6,2,FALSE))</f>
        <v/>
      </c>
      <c r="W16" s="529" t="str">
        <f t="shared" si="5"/>
        <v/>
      </c>
      <c r="X16" s="149"/>
      <c r="Y16" s="150"/>
      <c r="AG16" s="31" t="str">
        <f>IFERROR(INDEX('G-6 Hedgerow Data'!$BJ$3:$BJ$15,MATCH(D16,'G-6 Hedgerow Data'!$B$3:$B$15,0)),"")</f>
        <v/>
      </c>
    </row>
    <row r="17" spans="2:33" ht="13.8" x14ac:dyDescent="0.25">
      <c r="B17" s="141">
        <v>6</v>
      </c>
      <c r="C17" s="205"/>
      <c r="D17" s="195"/>
      <c r="E17" s="172"/>
      <c r="F17" s="553" t="str">
        <f>IF(D17="","",VLOOKUP(D17,'G-6 Hedgerow Data'!$B$2:$AG$15,2,FALSE))</f>
        <v/>
      </c>
      <c r="G17" s="499" t="str">
        <f>IF(D17="","",VLOOKUP(D17,'G-6 Hedgerow Data'!$B$2:$AG$15,3,FALSE))</f>
        <v/>
      </c>
      <c r="H17" s="145"/>
      <c r="I17" s="499" t="str">
        <f>IFERROR(VLOOKUP(H17,'G-1 All Habitats'!$Z$2:$AA$9,2,FALSE),"")</f>
        <v/>
      </c>
      <c r="J17" s="145"/>
      <c r="K17" s="520" t="str">
        <f>IF(J17="","",IF(VLOOKUP(J17,'G-3 Multipliers'!$L$3:$N$6,2,FALSE)=0,"Spatial Data Missing ⚠",VLOOKUP(J17,'G-3 Multipliers'!$L$3:$N$6,2,FALSE)))</f>
        <v/>
      </c>
      <c r="L17" s="505" t="str">
        <f>IF(J17="","",IF(VLOOKUP(J17,'G-3 Multipliers'!$L$3:$N$6,3,FALSE)=0,"Spatial Data Missing ⚠",VLOOKUP(J17,'G-3 Multipliers'!$L$3:$N$6,3,FALSE)))</f>
        <v/>
      </c>
      <c r="M17" s="498" t="str">
        <f>IF(OR(D17="",H17=""),"",(INDEX('G-6 Hedgerow Data'!$E$3:$I$15,MATCH(D17,'G-6 Hedgerow Data'!$B$3:$B$15,0),MATCH(H17,'G-6 Hedgerow Data'!$E$2:$I$2,0))))</f>
        <v/>
      </c>
      <c r="N17" s="195"/>
      <c r="O17" s="195"/>
      <c r="P17" s="507" t="str">
        <f t="shared" si="1"/>
        <v/>
      </c>
      <c r="Q17" s="521" t="str">
        <f t="shared" si="2"/>
        <v/>
      </c>
      <c r="R17" s="522" t="str">
        <f t="shared" si="0"/>
        <v/>
      </c>
      <c r="S17" s="537" t="str">
        <f>IF(D17="","",VLOOKUP(D17,'G-6 Hedgerow Data'!$B$3:$AG$15,31,FALSE))</f>
        <v/>
      </c>
      <c r="T17" s="507" t="str">
        <f t="shared" si="3"/>
        <v/>
      </c>
      <c r="U17" s="507" t="str">
        <f t="shared" si="4"/>
        <v/>
      </c>
      <c r="V17" s="524" t="str">
        <f>IF(D17="","",VLOOKUP(S17,'G-3 Multipliers'!$P$3:$Q$6,2,FALSE))</f>
        <v/>
      </c>
      <c r="W17" s="529" t="str">
        <f t="shared" si="5"/>
        <v/>
      </c>
      <c r="X17" s="149"/>
      <c r="Y17" s="150"/>
      <c r="AG17" s="31" t="str">
        <f>IFERROR(INDEX('G-6 Hedgerow Data'!$BJ$3:$BJ$15,MATCH(D17,'G-6 Hedgerow Data'!$B$3:$B$15,0)),"")</f>
        <v/>
      </c>
    </row>
    <row r="18" spans="2:33" ht="13.8" x14ac:dyDescent="0.25">
      <c r="B18" s="141">
        <v>7</v>
      </c>
      <c r="C18" s="205"/>
      <c r="D18" s="195"/>
      <c r="E18" s="172"/>
      <c r="F18" s="553" t="str">
        <f>IF(D18="","",VLOOKUP(D18,'G-6 Hedgerow Data'!$B$2:$AG$15,2,FALSE))</f>
        <v/>
      </c>
      <c r="G18" s="499" t="str">
        <f>IF(D18="","",VLOOKUP(D18,'G-6 Hedgerow Data'!$B$2:$AG$15,3,FALSE))</f>
        <v/>
      </c>
      <c r="H18" s="145"/>
      <c r="I18" s="499" t="str">
        <f>IFERROR(VLOOKUP(H18,'G-1 All Habitats'!$Z$2:$AA$9,2,FALSE),"")</f>
        <v/>
      </c>
      <c r="J18" s="145"/>
      <c r="K18" s="520" t="str">
        <f>IF(J18="","",IF(VLOOKUP(J18,'G-3 Multipliers'!$L$3:$N$6,2,FALSE)=0,"Spatial Data Missing ⚠",VLOOKUP(J18,'G-3 Multipliers'!$L$3:$N$6,2,FALSE)))</f>
        <v/>
      </c>
      <c r="L18" s="505" t="str">
        <f>IF(J18="","",IF(VLOOKUP(J18,'G-3 Multipliers'!$L$3:$N$6,3,FALSE)=0,"Spatial Data Missing ⚠",VLOOKUP(J18,'G-3 Multipliers'!$L$3:$N$6,3,FALSE)))</f>
        <v/>
      </c>
      <c r="M18" s="498" t="str">
        <f>IF(OR(D18="",H18=""),"",(INDEX('G-6 Hedgerow Data'!$E$3:$I$15,MATCH(D18,'G-6 Hedgerow Data'!$B$3:$B$15,0),MATCH(H18,'G-6 Hedgerow Data'!$E$2:$I$2,0))))</f>
        <v/>
      </c>
      <c r="N18" s="195"/>
      <c r="O18" s="195"/>
      <c r="P18" s="507" t="str">
        <f t="shared" si="1"/>
        <v/>
      </c>
      <c r="Q18" s="521" t="str">
        <f t="shared" si="2"/>
        <v/>
      </c>
      <c r="R18" s="522" t="str">
        <f t="shared" si="0"/>
        <v/>
      </c>
      <c r="S18" s="537" t="str">
        <f>IF(D18="","",VLOOKUP(D18,'G-6 Hedgerow Data'!$B$3:$AG$15,31,FALSE))</f>
        <v/>
      </c>
      <c r="T18" s="507" t="str">
        <f t="shared" si="3"/>
        <v/>
      </c>
      <c r="U18" s="507" t="str">
        <f t="shared" si="4"/>
        <v/>
      </c>
      <c r="V18" s="524" t="str">
        <f>IF(D18="","",VLOOKUP(S18,'G-3 Multipliers'!$P$3:$Q$6,2,FALSE))</f>
        <v/>
      </c>
      <c r="W18" s="529" t="str">
        <f t="shared" si="5"/>
        <v/>
      </c>
      <c r="X18" s="149"/>
      <c r="Y18" s="150"/>
      <c r="AG18" s="31" t="str">
        <f>IFERROR(INDEX('G-6 Hedgerow Data'!$BJ$3:$BJ$15,MATCH(D18,'G-6 Hedgerow Data'!$B$3:$B$15,0)),"")</f>
        <v/>
      </c>
    </row>
    <row r="19" spans="2:33" ht="13.8" x14ac:dyDescent="0.25">
      <c r="B19" s="141">
        <v>8</v>
      </c>
      <c r="C19" s="205"/>
      <c r="D19" s="195"/>
      <c r="E19" s="172"/>
      <c r="F19" s="553" t="str">
        <f>IF(D19="","",VLOOKUP(D19,'G-6 Hedgerow Data'!$B$2:$AG$15,2,FALSE))</f>
        <v/>
      </c>
      <c r="G19" s="499" t="str">
        <f>IF(D19="","",VLOOKUP(D19,'G-6 Hedgerow Data'!$B$2:$AG$15,3,FALSE))</f>
        <v/>
      </c>
      <c r="H19" s="145"/>
      <c r="I19" s="499" t="str">
        <f>IFERROR(VLOOKUP(H19,'G-1 All Habitats'!$Z$2:$AA$9,2,FALSE),"")</f>
        <v/>
      </c>
      <c r="J19" s="145"/>
      <c r="K19" s="520" t="str">
        <f>IF(J19="","",IF(VLOOKUP(J19,'G-3 Multipliers'!$L$3:$N$6,2,FALSE)=0,"Spatial Data Missing ⚠",VLOOKUP(J19,'G-3 Multipliers'!$L$3:$N$6,2,FALSE)))</f>
        <v/>
      </c>
      <c r="L19" s="505" t="str">
        <f>IF(J19="","",IF(VLOOKUP(J19,'G-3 Multipliers'!$L$3:$N$6,3,FALSE)=0,"Spatial Data Missing ⚠",VLOOKUP(J19,'G-3 Multipliers'!$L$3:$N$6,3,FALSE)))</f>
        <v/>
      </c>
      <c r="M19" s="498" t="str">
        <f>IF(OR(D19="",H19=""),"",(INDEX('G-6 Hedgerow Data'!$E$3:$I$15,MATCH(D19,'G-6 Hedgerow Data'!$B$3:$B$15,0),MATCH(H19,'G-6 Hedgerow Data'!$E$2:$I$2,0))))</f>
        <v/>
      </c>
      <c r="N19" s="195"/>
      <c r="O19" s="195"/>
      <c r="P19" s="507" t="str">
        <f t="shared" si="1"/>
        <v/>
      </c>
      <c r="Q19" s="521" t="str">
        <f t="shared" si="2"/>
        <v/>
      </c>
      <c r="R19" s="522" t="str">
        <f t="shared" si="0"/>
        <v/>
      </c>
      <c r="S19" s="537" t="str">
        <f>IF(D19="","",VLOOKUP(D19,'G-6 Hedgerow Data'!$B$3:$AG$15,31,FALSE))</f>
        <v/>
      </c>
      <c r="T19" s="507" t="str">
        <f t="shared" si="3"/>
        <v/>
      </c>
      <c r="U19" s="507" t="str">
        <f t="shared" si="4"/>
        <v/>
      </c>
      <c r="V19" s="524" t="str">
        <f>IF(D19="","",VLOOKUP(S19,'G-3 Multipliers'!$P$3:$Q$6,2,FALSE))</f>
        <v/>
      </c>
      <c r="W19" s="529" t="str">
        <f t="shared" si="5"/>
        <v/>
      </c>
      <c r="X19" s="149"/>
      <c r="Y19" s="150"/>
      <c r="AG19" s="31" t="str">
        <f>IFERROR(INDEX('G-6 Hedgerow Data'!$BJ$3:$BJ$15,MATCH(D19,'G-6 Hedgerow Data'!$B$3:$B$15,0)),"")</f>
        <v/>
      </c>
    </row>
    <row r="20" spans="2:33" ht="13.8" x14ac:dyDescent="0.25">
      <c r="B20" s="141">
        <v>9</v>
      </c>
      <c r="C20" s="205"/>
      <c r="D20" s="195"/>
      <c r="E20" s="172"/>
      <c r="F20" s="553" t="str">
        <f>IF(D20="","",VLOOKUP(D20,'G-6 Hedgerow Data'!$B$2:$AG$15,2,FALSE))</f>
        <v/>
      </c>
      <c r="G20" s="499" t="str">
        <f>IF(D20="","",VLOOKUP(D20,'G-6 Hedgerow Data'!$B$2:$AG$15,3,FALSE))</f>
        <v/>
      </c>
      <c r="H20" s="145"/>
      <c r="I20" s="499" t="str">
        <f>IFERROR(VLOOKUP(H20,'G-1 All Habitats'!$Z$2:$AA$9,2,FALSE),"")</f>
        <v/>
      </c>
      <c r="J20" s="145"/>
      <c r="K20" s="520" t="str">
        <f>IF(J20="","",IF(VLOOKUP(J20,'G-3 Multipliers'!$L$3:$N$6,2,FALSE)=0,"Spatial Data Missing ⚠",VLOOKUP(J20,'G-3 Multipliers'!$L$3:$N$6,2,FALSE)))</f>
        <v/>
      </c>
      <c r="L20" s="505" t="str">
        <f>IF(J20="","",IF(VLOOKUP(J20,'G-3 Multipliers'!$L$3:$N$6,3,FALSE)=0,"Spatial Data Missing ⚠",VLOOKUP(J20,'G-3 Multipliers'!$L$3:$N$6,3,FALSE)))</f>
        <v/>
      </c>
      <c r="M20" s="498" t="str">
        <f>IF(OR(D20="",H20=""),"",(INDEX('G-6 Hedgerow Data'!$E$3:$I$15,MATCH(D20,'G-6 Hedgerow Data'!$B$3:$B$15,0),MATCH(H20,'G-6 Hedgerow Data'!$E$2:$I$2,0))))</f>
        <v/>
      </c>
      <c r="N20" s="195"/>
      <c r="O20" s="195"/>
      <c r="P20" s="507" t="str">
        <f t="shared" si="1"/>
        <v/>
      </c>
      <c r="Q20" s="521" t="str">
        <f t="shared" si="2"/>
        <v/>
      </c>
      <c r="R20" s="522" t="str">
        <f t="shared" si="0"/>
        <v/>
      </c>
      <c r="S20" s="537" t="str">
        <f>IF(D20="","",VLOOKUP(D20,'G-6 Hedgerow Data'!$B$3:$AG$15,31,FALSE))</f>
        <v/>
      </c>
      <c r="T20" s="507" t="str">
        <f t="shared" si="3"/>
        <v/>
      </c>
      <c r="U20" s="507" t="str">
        <f t="shared" si="4"/>
        <v/>
      </c>
      <c r="V20" s="524" t="str">
        <f>IF(D20="","",VLOOKUP(S20,'G-3 Multipliers'!$P$3:$Q$6,2,FALSE))</f>
        <v/>
      </c>
      <c r="W20" s="529" t="str">
        <f t="shared" si="5"/>
        <v/>
      </c>
      <c r="X20" s="149"/>
      <c r="Y20" s="150"/>
      <c r="AG20" s="31" t="str">
        <f>IFERROR(INDEX('G-6 Hedgerow Data'!$BJ$3:$BJ$15,MATCH(D20,'G-6 Hedgerow Data'!$B$3:$B$15,0)),"")</f>
        <v/>
      </c>
    </row>
    <row r="21" spans="2:33" ht="13.8" x14ac:dyDescent="0.25">
      <c r="B21" s="141">
        <v>10</v>
      </c>
      <c r="C21" s="205"/>
      <c r="D21" s="195"/>
      <c r="E21" s="172"/>
      <c r="F21" s="553" t="str">
        <f>IF(D21="","",VLOOKUP(D21,'G-6 Hedgerow Data'!$B$2:$AG$15,2,FALSE))</f>
        <v/>
      </c>
      <c r="G21" s="499" t="str">
        <f>IF(D21="","",VLOOKUP(D21,'G-6 Hedgerow Data'!$B$2:$AG$15,3,FALSE))</f>
        <v/>
      </c>
      <c r="H21" s="145"/>
      <c r="I21" s="499" t="str">
        <f>IFERROR(VLOOKUP(H21,'G-1 All Habitats'!$Z$2:$AA$9,2,FALSE),"")</f>
        <v/>
      </c>
      <c r="J21" s="145"/>
      <c r="K21" s="520" t="str">
        <f>IF(J21="","",IF(VLOOKUP(J21,'G-3 Multipliers'!$L$3:$N$6,2,FALSE)=0,"Spatial Data Missing ⚠",VLOOKUP(J21,'G-3 Multipliers'!$L$3:$N$6,2,FALSE)))</f>
        <v/>
      </c>
      <c r="L21" s="505" t="str">
        <f>IF(J21="","",IF(VLOOKUP(J21,'G-3 Multipliers'!$L$3:$N$6,3,FALSE)=0,"Spatial Data Missing ⚠",VLOOKUP(J21,'G-3 Multipliers'!$L$3:$N$6,3,FALSE)))</f>
        <v/>
      </c>
      <c r="M21" s="498" t="str">
        <f>IF(OR(D21="",H21=""),"",(INDEX('G-6 Hedgerow Data'!$E$3:$I$15,MATCH(D21,'G-6 Hedgerow Data'!$B$3:$B$15,0),MATCH(H21,'G-6 Hedgerow Data'!$E$2:$I$2,0))))</f>
        <v/>
      </c>
      <c r="N21" s="195"/>
      <c r="O21" s="195"/>
      <c r="P21" s="507" t="str">
        <f t="shared" si="1"/>
        <v/>
      </c>
      <c r="Q21" s="521" t="str">
        <f t="shared" si="2"/>
        <v/>
      </c>
      <c r="R21" s="522" t="str">
        <f t="shared" si="0"/>
        <v/>
      </c>
      <c r="S21" s="537" t="str">
        <f>IF(D21="","",VLOOKUP(D21,'G-6 Hedgerow Data'!$B$3:$AG$15,31,FALSE))</f>
        <v/>
      </c>
      <c r="T21" s="507" t="str">
        <f t="shared" si="3"/>
        <v/>
      </c>
      <c r="U21" s="507" t="str">
        <f t="shared" si="4"/>
        <v/>
      </c>
      <c r="V21" s="524" t="str">
        <f>IF(D21="","",VLOOKUP(S21,'G-3 Multipliers'!$P$3:$Q$6,2,FALSE))</f>
        <v/>
      </c>
      <c r="W21" s="529" t="str">
        <f t="shared" si="5"/>
        <v/>
      </c>
      <c r="X21" s="149"/>
      <c r="Y21" s="150"/>
      <c r="AG21" s="31" t="str">
        <f>IFERROR(INDEX('G-6 Hedgerow Data'!$BJ$3:$BJ$15,MATCH(D21,'G-6 Hedgerow Data'!$B$3:$B$15,0)),"")</f>
        <v/>
      </c>
    </row>
    <row r="22" spans="2:33" ht="13.8" x14ac:dyDescent="0.25">
      <c r="B22" s="141">
        <v>11</v>
      </c>
      <c r="C22" s="205"/>
      <c r="D22" s="195"/>
      <c r="E22" s="172"/>
      <c r="F22" s="553" t="str">
        <f>IF(D22="","",VLOOKUP(D22,'G-6 Hedgerow Data'!$B$2:$AG$15,2,FALSE))</f>
        <v/>
      </c>
      <c r="G22" s="499" t="str">
        <f>IF(D22="","",VLOOKUP(D22,'G-6 Hedgerow Data'!$B$2:$AG$15,3,FALSE))</f>
        <v/>
      </c>
      <c r="H22" s="145"/>
      <c r="I22" s="499" t="str">
        <f>IFERROR(VLOOKUP(H22,'G-1 All Habitats'!$Z$2:$AA$9,2,FALSE),"")</f>
        <v/>
      </c>
      <c r="J22" s="145"/>
      <c r="K22" s="520" t="str">
        <f>IF(J22="","",IF(VLOOKUP(J22,'G-3 Multipliers'!$L$3:$N$6,2,FALSE)=0,"Spatial Data Missing ⚠",VLOOKUP(J22,'G-3 Multipliers'!$L$3:$N$6,2,FALSE)))</f>
        <v/>
      </c>
      <c r="L22" s="505" t="str">
        <f>IF(J22="","",IF(VLOOKUP(J22,'G-3 Multipliers'!$L$3:$N$6,3,FALSE)=0,"Spatial Data Missing ⚠",VLOOKUP(J22,'G-3 Multipliers'!$L$3:$N$6,3,FALSE)))</f>
        <v/>
      </c>
      <c r="M22" s="498" t="str">
        <f>IF(OR(D22="",H22=""),"",(INDEX('G-6 Hedgerow Data'!$E$3:$I$15,MATCH(D22,'G-6 Hedgerow Data'!$B$3:$B$15,0),MATCH(H22,'G-6 Hedgerow Data'!$E$2:$I$2,0))))</f>
        <v/>
      </c>
      <c r="N22" s="195"/>
      <c r="O22" s="195"/>
      <c r="P22" s="507" t="str">
        <f t="shared" si="1"/>
        <v/>
      </c>
      <c r="Q22" s="521" t="str">
        <f t="shared" si="2"/>
        <v/>
      </c>
      <c r="R22" s="522" t="str">
        <f t="shared" si="0"/>
        <v/>
      </c>
      <c r="S22" s="537" t="str">
        <f>IF(D22="","",VLOOKUP(D22,'G-6 Hedgerow Data'!$B$3:$AG$15,31,FALSE))</f>
        <v/>
      </c>
      <c r="T22" s="507" t="str">
        <f t="shared" si="3"/>
        <v/>
      </c>
      <c r="U22" s="507" t="str">
        <f t="shared" si="4"/>
        <v/>
      </c>
      <c r="V22" s="524" t="str">
        <f>IF(D22="","",VLOOKUP(S22,'G-3 Multipliers'!$P$3:$Q$6,2,FALSE))</f>
        <v/>
      </c>
      <c r="W22" s="529" t="str">
        <f t="shared" si="5"/>
        <v/>
      </c>
      <c r="X22" s="149"/>
      <c r="Y22" s="150"/>
      <c r="AG22" s="31" t="str">
        <f>IFERROR(INDEX('G-6 Hedgerow Data'!$BJ$3:$BJ$15,MATCH(D22,'G-6 Hedgerow Data'!$B$3:$B$15,0)),"")</f>
        <v/>
      </c>
    </row>
    <row r="23" spans="2:33" ht="13.8" x14ac:dyDescent="0.25">
      <c r="B23" s="141">
        <v>12</v>
      </c>
      <c r="C23" s="205"/>
      <c r="D23" s="195"/>
      <c r="E23" s="172"/>
      <c r="F23" s="553" t="str">
        <f>IF(D23="","",VLOOKUP(D23,'G-6 Hedgerow Data'!$B$2:$AG$15,2,FALSE))</f>
        <v/>
      </c>
      <c r="G23" s="499" t="str">
        <f>IF(D23="","",VLOOKUP(D23,'G-6 Hedgerow Data'!$B$2:$AG$15,3,FALSE))</f>
        <v/>
      </c>
      <c r="H23" s="145"/>
      <c r="I23" s="499" t="str">
        <f>IFERROR(VLOOKUP(H23,'G-1 All Habitats'!$Z$2:$AA$9,2,FALSE),"")</f>
        <v/>
      </c>
      <c r="J23" s="145"/>
      <c r="K23" s="520" t="str">
        <f>IF(J23="","",IF(VLOOKUP(J23,'G-3 Multipliers'!$L$3:$N$6,2,FALSE)=0,"Spatial Data Missing ⚠",VLOOKUP(J23,'G-3 Multipliers'!$L$3:$N$6,2,FALSE)))</f>
        <v/>
      </c>
      <c r="L23" s="505" t="str">
        <f>IF(J23="","",IF(VLOOKUP(J23,'G-3 Multipliers'!$L$3:$N$6,3,FALSE)=0,"Spatial Data Missing ⚠",VLOOKUP(J23,'G-3 Multipliers'!$L$3:$N$6,3,FALSE)))</f>
        <v/>
      </c>
      <c r="M23" s="498" t="str">
        <f>IF(OR(D23="",H23=""),"",(INDEX('G-6 Hedgerow Data'!$E$3:$I$15,MATCH(D23,'G-6 Hedgerow Data'!$B$3:$B$15,0),MATCH(H23,'G-6 Hedgerow Data'!$E$2:$I$2,0))))</f>
        <v/>
      </c>
      <c r="N23" s="195"/>
      <c r="O23" s="195"/>
      <c r="P23" s="507" t="str">
        <f t="shared" si="1"/>
        <v/>
      </c>
      <c r="Q23" s="521" t="str">
        <f t="shared" si="2"/>
        <v/>
      </c>
      <c r="R23" s="522" t="str">
        <f t="shared" si="0"/>
        <v/>
      </c>
      <c r="S23" s="537" t="str">
        <f>IF(D23="","",VLOOKUP(D23,'G-6 Hedgerow Data'!$B$3:$AG$15,31,FALSE))</f>
        <v/>
      </c>
      <c r="T23" s="507" t="str">
        <f t="shared" si="3"/>
        <v/>
      </c>
      <c r="U23" s="507" t="str">
        <f t="shared" si="4"/>
        <v/>
      </c>
      <c r="V23" s="524" t="str">
        <f>IF(D23="","",VLOOKUP(S23,'G-3 Multipliers'!$P$3:$Q$6,2,FALSE))</f>
        <v/>
      </c>
      <c r="W23" s="529" t="str">
        <f t="shared" si="5"/>
        <v/>
      </c>
      <c r="X23" s="149"/>
      <c r="Y23" s="150"/>
      <c r="AG23" s="31" t="str">
        <f>IFERROR(INDEX('G-6 Hedgerow Data'!$BJ$3:$BJ$15,MATCH(D23,'G-6 Hedgerow Data'!$B$3:$B$15,0)),"")</f>
        <v/>
      </c>
    </row>
    <row r="24" spans="2:33" ht="13.8" x14ac:dyDescent="0.25">
      <c r="B24" s="141">
        <v>13</v>
      </c>
      <c r="C24" s="205"/>
      <c r="D24" s="195"/>
      <c r="E24" s="172"/>
      <c r="F24" s="553" t="str">
        <f>IF(D24="","",VLOOKUP(D24,'G-6 Hedgerow Data'!$B$2:$AG$15,2,FALSE))</f>
        <v/>
      </c>
      <c r="G24" s="499" t="str">
        <f>IF(D24="","",VLOOKUP(D24,'G-6 Hedgerow Data'!$B$2:$AG$15,3,FALSE))</f>
        <v/>
      </c>
      <c r="H24" s="145"/>
      <c r="I24" s="499" t="str">
        <f>IFERROR(VLOOKUP(H24,'G-1 All Habitats'!$Z$2:$AA$9,2,FALSE),"")</f>
        <v/>
      </c>
      <c r="J24" s="145"/>
      <c r="K24" s="520" t="str">
        <f>IF(J24="","",IF(VLOOKUP(J24,'G-3 Multipliers'!$L$3:$N$6,2,FALSE)=0,"Spatial Data Missing ⚠",VLOOKUP(J24,'G-3 Multipliers'!$L$3:$N$6,2,FALSE)))</f>
        <v/>
      </c>
      <c r="L24" s="505" t="str">
        <f>IF(J24="","",IF(VLOOKUP(J24,'G-3 Multipliers'!$L$3:$N$6,3,FALSE)=0,"Spatial Data Missing ⚠",VLOOKUP(J24,'G-3 Multipliers'!$L$3:$N$6,3,FALSE)))</f>
        <v/>
      </c>
      <c r="M24" s="498" t="str">
        <f>IF(OR(D24="",H24=""),"",(INDEX('G-6 Hedgerow Data'!$E$3:$I$15,MATCH(D24,'G-6 Hedgerow Data'!$B$3:$B$15,0),MATCH(H24,'G-6 Hedgerow Data'!$E$2:$I$2,0))))</f>
        <v/>
      </c>
      <c r="N24" s="195"/>
      <c r="O24" s="195"/>
      <c r="P24" s="507" t="str">
        <f t="shared" si="1"/>
        <v/>
      </c>
      <c r="Q24" s="521" t="str">
        <f t="shared" si="2"/>
        <v/>
      </c>
      <c r="R24" s="522" t="str">
        <f t="shared" si="0"/>
        <v/>
      </c>
      <c r="S24" s="537" t="str">
        <f>IF(D24="","",VLOOKUP(D24,'G-6 Hedgerow Data'!$B$3:$AG$15,31,FALSE))</f>
        <v/>
      </c>
      <c r="T24" s="507" t="str">
        <f t="shared" si="3"/>
        <v/>
      </c>
      <c r="U24" s="507" t="str">
        <f t="shared" si="4"/>
        <v/>
      </c>
      <c r="V24" s="524" t="str">
        <f>IF(D24="","",VLOOKUP(S24,'G-3 Multipliers'!$P$3:$Q$6,2,FALSE))</f>
        <v/>
      </c>
      <c r="W24" s="529" t="str">
        <f t="shared" si="5"/>
        <v/>
      </c>
      <c r="X24" s="149"/>
      <c r="Y24" s="150"/>
      <c r="AG24" s="31" t="str">
        <f>IFERROR(INDEX('G-6 Hedgerow Data'!$BJ$3:$BJ$15,MATCH(D24,'G-6 Hedgerow Data'!$B$3:$B$15,0)),"")</f>
        <v/>
      </c>
    </row>
    <row r="25" spans="2:33" ht="13.8" x14ac:dyDescent="0.25">
      <c r="B25" s="141">
        <v>14</v>
      </c>
      <c r="C25" s="205"/>
      <c r="D25" s="195"/>
      <c r="E25" s="172"/>
      <c r="F25" s="553" t="str">
        <f>IF(D25="","",VLOOKUP(D25,'G-6 Hedgerow Data'!$B$2:$AG$15,2,FALSE))</f>
        <v/>
      </c>
      <c r="G25" s="499" t="str">
        <f>IF(D25="","",VLOOKUP(D25,'G-6 Hedgerow Data'!$B$2:$AG$15,3,FALSE))</f>
        <v/>
      </c>
      <c r="H25" s="145"/>
      <c r="I25" s="499" t="str">
        <f>IFERROR(VLOOKUP(H25,'G-1 All Habitats'!$Z$2:$AA$9,2,FALSE),"")</f>
        <v/>
      </c>
      <c r="J25" s="145"/>
      <c r="K25" s="520" t="str">
        <f>IF(J25="","",IF(VLOOKUP(J25,'G-3 Multipliers'!$L$3:$N$6,2,FALSE)=0,"Spatial Data Missing ⚠",VLOOKUP(J25,'G-3 Multipliers'!$L$3:$N$6,2,FALSE)))</f>
        <v/>
      </c>
      <c r="L25" s="505" t="str">
        <f>IF(J25="","",IF(VLOOKUP(J25,'G-3 Multipliers'!$L$3:$N$6,3,FALSE)=0,"Spatial Data Missing ⚠",VLOOKUP(J25,'G-3 Multipliers'!$L$3:$N$6,3,FALSE)))</f>
        <v/>
      </c>
      <c r="M25" s="498" t="str">
        <f>IF(OR(D25="",H25=""),"",(INDEX('G-6 Hedgerow Data'!$E$3:$I$15,MATCH(D25,'G-6 Hedgerow Data'!$B$3:$B$15,0),MATCH(H25,'G-6 Hedgerow Data'!$E$2:$I$2,0))))</f>
        <v/>
      </c>
      <c r="N25" s="195"/>
      <c r="O25" s="195"/>
      <c r="P25" s="507" t="str">
        <f t="shared" si="1"/>
        <v/>
      </c>
      <c r="Q25" s="521" t="str">
        <f t="shared" si="2"/>
        <v/>
      </c>
      <c r="R25" s="522" t="str">
        <f t="shared" si="0"/>
        <v/>
      </c>
      <c r="S25" s="537" t="str">
        <f>IF(D25="","",VLOOKUP(D25,'G-6 Hedgerow Data'!$B$3:$AG$15,31,FALSE))</f>
        <v/>
      </c>
      <c r="T25" s="507" t="str">
        <f t="shared" si="3"/>
        <v/>
      </c>
      <c r="U25" s="507" t="str">
        <f t="shared" si="4"/>
        <v/>
      </c>
      <c r="V25" s="524" t="str">
        <f>IF(D25="","",VLOOKUP(S25,'G-3 Multipliers'!$P$3:$Q$6,2,FALSE))</f>
        <v/>
      </c>
      <c r="W25" s="529" t="str">
        <f t="shared" si="5"/>
        <v/>
      </c>
      <c r="X25" s="149"/>
      <c r="Y25" s="150"/>
      <c r="AG25" s="31" t="str">
        <f>IFERROR(INDEX('G-6 Hedgerow Data'!$BJ$3:$BJ$15,MATCH(D25,'G-6 Hedgerow Data'!$B$3:$B$15,0)),"")</f>
        <v/>
      </c>
    </row>
    <row r="26" spans="2:33" ht="13.8" x14ac:dyDescent="0.25">
      <c r="B26" s="141">
        <v>15</v>
      </c>
      <c r="C26" s="205"/>
      <c r="D26" s="195"/>
      <c r="E26" s="172"/>
      <c r="F26" s="553" t="str">
        <f>IF(D26="","",VLOOKUP(D26,'G-6 Hedgerow Data'!$B$2:$AG$15,2,FALSE))</f>
        <v/>
      </c>
      <c r="G26" s="499" t="str">
        <f>IF(D26="","",VLOOKUP(D26,'G-6 Hedgerow Data'!$B$2:$AG$15,3,FALSE))</f>
        <v/>
      </c>
      <c r="H26" s="145"/>
      <c r="I26" s="499" t="str">
        <f>IFERROR(VLOOKUP(H26,'G-1 All Habitats'!$Z$2:$AA$9,2,FALSE),"")</f>
        <v/>
      </c>
      <c r="J26" s="145"/>
      <c r="K26" s="520" t="str">
        <f>IF(J26="","",IF(VLOOKUP(J26,'G-3 Multipliers'!$L$3:$N$6,2,FALSE)=0,"Spatial Data Missing ⚠",VLOOKUP(J26,'G-3 Multipliers'!$L$3:$N$6,2,FALSE)))</f>
        <v/>
      </c>
      <c r="L26" s="505" t="str">
        <f>IF(J26="","",IF(VLOOKUP(J26,'G-3 Multipliers'!$L$3:$N$6,3,FALSE)=0,"Spatial Data Missing ⚠",VLOOKUP(J26,'G-3 Multipliers'!$L$3:$N$6,3,FALSE)))</f>
        <v/>
      </c>
      <c r="M26" s="498" t="str">
        <f>IF(OR(D26="",H26=""),"",(INDEX('G-6 Hedgerow Data'!$E$3:$I$15,MATCH(D26,'G-6 Hedgerow Data'!$B$3:$B$15,0),MATCH(H26,'G-6 Hedgerow Data'!$E$2:$I$2,0))))</f>
        <v/>
      </c>
      <c r="N26" s="195"/>
      <c r="O26" s="195"/>
      <c r="P26" s="507" t="str">
        <f t="shared" si="1"/>
        <v/>
      </c>
      <c r="Q26" s="521" t="str">
        <f t="shared" si="2"/>
        <v/>
      </c>
      <c r="R26" s="522" t="str">
        <f t="shared" si="0"/>
        <v/>
      </c>
      <c r="S26" s="537" t="str">
        <f>IF(D26="","",VLOOKUP(D26,'G-6 Hedgerow Data'!$B$3:$AG$15,31,FALSE))</f>
        <v/>
      </c>
      <c r="T26" s="507" t="str">
        <f t="shared" si="3"/>
        <v/>
      </c>
      <c r="U26" s="507" t="str">
        <f t="shared" si="4"/>
        <v/>
      </c>
      <c r="V26" s="524" t="str">
        <f>IF(D26="","",VLOOKUP(S26,'G-3 Multipliers'!$P$3:$Q$6,2,FALSE))</f>
        <v/>
      </c>
      <c r="W26" s="529" t="str">
        <f t="shared" si="5"/>
        <v/>
      </c>
      <c r="X26" s="149"/>
      <c r="Y26" s="150"/>
      <c r="AG26" s="31" t="str">
        <f>IFERROR(INDEX('G-6 Hedgerow Data'!$BJ$3:$BJ$15,MATCH(D26,'G-6 Hedgerow Data'!$B$3:$B$15,0)),"")</f>
        <v/>
      </c>
    </row>
    <row r="27" spans="2:33" ht="13.8" x14ac:dyDescent="0.25">
      <c r="B27" s="141">
        <v>16</v>
      </c>
      <c r="C27" s="205"/>
      <c r="D27" s="195"/>
      <c r="E27" s="172"/>
      <c r="F27" s="553" t="str">
        <f>IF(D27="","",VLOOKUP(D27,'G-6 Hedgerow Data'!$B$2:$AG$15,2,FALSE))</f>
        <v/>
      </c>
      <c r="G27" s="499" t="str">
        <f>IF(D27="","",VLOOKUP(D27,'G-6 Hedgerow Data'!$B$2:$AG$15,3,FALSE))</f>
        <v/>
      </c>
      <c r="H27" s="145"/>
      <c r="I27" s="499" t="str">
        <f>IFERROR(VLOOKUP(H27,'G-1 All Habitats'!$Z$2:$AA$9,2,FALSE),"")</f>
        <v/>
      </c>
      <c r="J27" s="145"/>
      <c r="K27" s="520" t="str">
        <f>IF(J27="","",IF(VLOOKUP(J27,'G-3 Multipliers'!$L$3:$N$6,2,FALSE)=0,"Spatial Data Missing ⚠",VLOOKUP(J27,'G-3 Multipliers'!$L$3:$N$6,2,FALSE)))</f>
        <v/>
      </c>
      <c r="L27" s="505" t="str">
        <f>IF(J27="","",IF(VLOOKUP(J27,'G-3 Multipliers'!$L$3:$N$6,3,FALSE)=0,"Spatial Data Missing ⚠",VLOOKUP(J27,'G-3 Multipliers'!$L$3:$N$6,3,FALSE)))</f>
        <v/>
      </c>
      <c r="M27" s="498" t="str">
        <f>IF(OR(D27="",H27=""),"",(INDEX('G-6 Hedgerow Data'!$E$3:$I$15,MATCH(D27,'G-6 Hedgerow Data'!$B$3:$B$15,0),MATCH(H27,'G-6 Hedgerow Data'!$E$2:$I$2,0))))</f>
        <v/>
      </c>
      <c r="N27" s="195"/>
      <c r="O27" s="195"/>
      <c r="P27" s="507" t="str">
        <f t="shared" si="1"/>
        <v/>
      </c>
      <c r="Q27" s="521" t="str">
        <f t="shared" si="2"/>
        <v/>
      </c>
      <c r="R27" s="522" t="str">
        <f t="shared" si="0"/>
        <v/>
      </c>
      <c r="S27" s="537" t="str">
        <f>IF(D27="","",VLOOKUP(D27,'G-6 Hedgerow Data'!$B$3:$AG$15,31,FALSE))</f>
        <v/>
      </c>
      <c r="T27" s="507" t="str">
        <f t="shared" si="3"/>
        <v/>
      </c>
      <c r="U27" s="507" t="str">
        <f t="shared" si="4"/>
        <v/>
      </c>
      <c r="V27" s="524" t="str">
        <f>IF(D27="","",VLOOKUP(S27,'G-3 Multipliers'!$P$3:$Q$6,2,FALSE))</f>
        <v/>
      </c>
      <c r="W27" s="529" t="str">
        <f t="shared" si="5"/>
        <v/>
      </c>
      <c r="X27" s="149"/>
      <c r="Y27" s="150"/>
      <c r="AG27" s="31" t="str">
        <f>IFERROR(INDEX('G-6 Hedgerow Data'!$BJ$3:$BJ$15,MATCH(D27,'G-6 Hedgerow Data'!$B$3:$B$15,0)),"")</f>
        <v/>
      </c>
    </row>
    <row r="28" spans="2:33" ht="13.8" x14ac:dyDescent="0.25">
      <c r="B28" s="141">
        <v>17</v>
      </c>
      <c r="C28" s="205"/>
      <c r="D28" s="195"/>
      <c r="E28" s="172"/>
      <c r="F28" s="553" t="str">
        <f>IF(D28="","",VLOOKUP(D28,'G-6 Hedgerow Data'!$B$2:$AG$15,2,FALSE))</f>
        <v/>
      </c>
      <c r="G28" s="499" t="str">
        <f>IF(D28="","",VLOOKUP(D28,'G-6 Hedgerow Data'!$B$2:$AG$15,3,FALSE))</f>
        <v/>
      </c>
      <c r="H28" s="145"/>
      <c r="I28" s="499" t="str">
        <f>IFERROR(VLOOKUP(H28,'G-1 All Habitats'!$Z$2:$AA$9,2,FALSE),"")</f>
        <v/>
      </c>
      <c r="J28" s="145"/>
      <c r="K28" s="520" t="str">
        <f>IF(J28="","",IF(VLOOKUP(J28,'G-3 Multipliers'!$L$3:$N$6,2,FALSE)=0,"Spatial Data Missing ⚠",VLOOKUP(J28,'G-3 Multipliers'!$L$3:$N$6,2,FALSE)))</f>
        <v/>
      </c>
      <c r="L28" s="505" t="str">
        <f>IF(J28="","",IF(VLOOKUP(J28,'G-3 Multipliers'!$L$3:$N$6,3,FALSE)=0,"Spatial Data Missing ⚠",VLOOKUP(J28,'G-3 Multipliers'!$L$3:$N$6,3,FALSE)))</f>
        <v/>
      </c>
      <c r="M28" s="498" t="str">
        <f>IF(OR(D28="",H28=""),"",(INDEX('G-6 Hedgerow Data'!$E$3:$I$15,MATCH(D28,'G-6 Hedgerow Data'!$B$3:$B$15,0),MATCH(H28,'G-6 Hedgerow Data'!$E$2:$I$2,0))))</f>
        <v/>
      </c>
      <c r="N28" s="195"/>
      <c r="O28" s="195"/>
      <c r="P28" s="507" t="str">
        <f t="shared" si="1"/>
        <v/>
      </c>
      <c r="Q28" s="521" t="str">
        <f t="shared" si="2"/>
        <v/>
      </c>
      <c r="R28" s="522" t="str">
        <f t="shared" si="0"/>
        <v/>
      </c>
      <c r="S28" s="537" t="str">
        <f>IF(D28="","",VLOOKUP(D28,'G-6 Hedgerow Data'!$B$3:$AG$15,31,FALSE))</f>
        <v/>
      </c>
      <c r="T28" s="507" t="str">
        <f t="shared" si="3"/>
        <v/>
      </c>
      <c r="U28" s="507" t="str">
        <f t="shared" si="4"/>
        <v/>
      </c>
      <c r="V28" s="524" t="str">
        <f>IF(D28="","",VLOOKUP(S28,'G-3 Multipliers'!$P$3:$Q$6,2,FALSE))</f>
        <v/>
      </c>
      <c r="W28" s="529" t="str">
        <f t="shared" si="5"/>
        <v/>
      </c>
      <c r="X28" s="149"/>
      <c r="Y28" s="150"/>
      <c r="AG28" s="31" t="str">
        <f>IFERROR(INDEX('G-6 Hedgerow Data'!$BJ$3:$BJ$15,MATCH(D28,'G-6 Hedgerow Data'!$B$3:$B$15,0)),"")</f>
        <v/>
      </c>
    </row>
    <row r="29" spans="2:33" ht="13.8" x14ac:dyDescent="0.25">
      <c r="B29" s="141">
        <v>18</v>
      </c>
      <c r="C29" s="205"/>
      <c r="D29" s="195"/>
      <c r="E29" s="172"/>
      <c r="F29" s="553" t="str">
        <f>IF(D29="","",VLOOKUP(D29,'G-6 Hedgerow Data'!$B$2:$AG$15,2,FALSE))</f>
        <v/>
      </c>
      <c r="G29" s="499" t="str">
        <f>IF(D29="","",VLOOKUP(D29,'G-6 Hedgerow Data'!$B$2:$AG$15,3,FALSE))</f>
        <v/>
      </c>
      <c r="H29" s="145"/>
      <c r="I29" s="499" t="str">
        <f>IFERROR(VLOOKUP(H29,'G-1 All Habitats'!$Z$2:$AA$9,2,FALSE),"")</f>
        <v/>
      </c>
      <c r="J29" s="145"/>
      <c r="K29" s="520" t="str">
        <f>IF(J29="","",IF(VLOOKUP(J29,'G-3 Multipliers'!$L$3:$N$6,2,FALSE)=0,"Spatial Data Missing ⚠",VLOOKUP(J29,'G-3 Multipliers'!$L$3:$N$6,2,FALSE)))</f>
        <v/>
      </c>
      <c r="L29" s="505" t="str">
        <f>IF(J29="","",IF(VLOOKUP(J29,'G-3 Multipliers'!$L$3:$N$6,3,FALSE)=0,"Spatial Data Missing ⚠",VLOOKUP(J29,'G-3 Multipliers'!$L$3:$N$6,3,FALSE)))</f>
        <v/>
      </c>
      <c r="M29" s="498" t="str">
        <f>IF(OR(D29="",H29=""),"",(INDEX('G-6 Hedgerow Data'!$E$3:$I$15,MATCH(D29,'G-6 Hedgerow Data'!$B$3:$B$15,0),MATCH(H29,'G-6 Hedgerow Data'!$E$2:$I$2,0))))</f>
        <v/>
      </c>
      <c r="N29" s="195"/>
      <c r="O29" s="195"/>
      <c r="P29" s="507" t="str">
        <f t="shared" si="1"/>
        <v/>
      </c>
      <c r="Q29" s="521" t="str">
        <f t="shared" si="2"/>
        <v/>
      </c>
      <c r="R29" s="522" t="str">
        <f t="shared" si="0"/>
        <v/>
      </c>
      <c r="S29" s="537" t="str">
        <f>IF(D29="","",VLOOKUP(D29,'G-6 Hedgerow Data'!$B$3:$AG$15,31,FALSE))</f>
        <v/>
      </c>
      <c r="T29" s="507" t="str">
        <f t="shared" si="3"/>
        <v/>
      </c>
      <c r="U29" s="507" t="str">
        <f t="shared" si="4"/>
        <v/>
      </c>
      <c r="V29" s="524" t="str">
        <f>IF(D29="","",VLOOKUP(S29,'G-3 Multipliers'!$P$3:$Q$6,2,FALSE))</f>
        <v/>
      </c>
      <c r="W29" s="529" t="str">
        <f t="shared" si="5"/>
        <v/>
      </c>
      <c r="X29" s="149"/>
      <c r="Y29" s="150"/>
      <c r="AG29" s="31" t="str">
        <f>IFERROR(INDEX('G-6 Hedgerow Data'!$BJ$3:$BJ$15,MATCH(D29,'G-6 Hedgerow Data'!$B$3:$B$15,0)),"")</f>
        <v/>
      </c>
    </row>
    <row r="30" spans="2:33" ht="13.8" x14ac:dyDescent="0.25">
      <c r="B30" s="141">
        <v>19</v>
      </c>
      <c r="C30" s="205"/>
      <c r="D30" s="195"/>
      <c r="E30" s="172"/>
      <c r="F30" s="553" t="str">
        <f>IF(D30="","",VLOOKUP(D30,'G-6 Hedgerow Data'!$B$2:$AG$15,2,FALSE))</f>
        <v/>
      </c>
      <c r="G30" s="499" t="str">
        <f>IF(D30="","",VLOOKUP(D30,'G-6 Hedgerow Data'!$B$2:$AG$15,3,FALSE))</f>
        <v/>
      </c>
      <c r="H30" s="145"/>
      <c r="I30" s="499" t="str">
        <f>IFERROR(VLOOKUP(H30,'G-1 All Habitats'!$Z$2:$AA$9,2,FALSE),"")</f>
        <v/>
      </c>
      <c r="J30" s="145"/>
      <c r="K30" s="520" t="str">
        <f>IF(J30="","",IF(VLOOKUP(J30,'G-3 Multipliers'!$L$3:$N$6,2,FALSE)=0,"Spatial Data Missing ⚠",VLOOKUP(J30,'G-3 Multipliers'!$L$3:$N$6,2,FALSE)))</f>
        <v/>
      </c>
      <c r="L30" s="505" t="str">
        <f>IF(J30="","",IF(VLOOKUP(J30,'G-3 Multipliers'!$L$3:$N$6,3,FALSE)=0,"Spatial Data Missing ⚠",VLOOKUP(J30,'G-3 Multipliers'!$L$3:$N$6,3,FALSE)))</f>
        <v/>
      </c>
      <c r="M30" s="498" t="str">
        <f>IF(OR(D30="",H30=""),"",(INDEX('G-6 Hedgerow Data'!$E$3:$I$15,MATCH(D30,'G-6 Hedgerow Data'!$B$3:$B$15,0),MATCH(H30,'G-6 Hedgerow Data'!$E$2:$I$2,0))))</f>
        <v/>
      </c>
      <c r="N30" s="195"/>
      <c r="O30" s="195"/>
      <c r="P30" s="507" t="str">
        <f t="shared" si="1"/>
        <v/>
      </c>
      <c r="Q30" s="521" t="str">
        <f t="shared" si="2"/>
        <v/>
      </c>
      <c r="R30" s="522" t="str">
        <f t="shared" si="0"/>
        <v/>
      </c>
      <c r="S30" s="537" t="str">
        <f>IF(D30="","",VLOOKUP(D30,'G-6 Hedgerow Data'!$B$3:$AG$15,31,FALSE))</f>
        <v/>
      </c>
      <c r="T30" s="507" t="str">
        <f t="shared" si="3"/>
        <v/>
      </c>
      <c r="U30" s="507" t="str">
        <f t="shared" si="4"/>
        <v/>
      </c>
      <c r="V30" s="524" t="str">
        <f>IF(D30="","",VLOOKUP(S30,'G-3 Multipliers'!$P$3:$Q$6,2,FALSE))</f>
        <v/>
      </c>
      <c r="W30" s="529" t="str">
        <f t="shared" si="5"/>
        <v/>
      </c>
      <c r="X30" s="149"/>
      <c r="Y30" s="150"/>
      <c r="AG30" s="31" t="str">
        <f>IFERROR(INDEX('G-6 Hedgerow Data'!$BJ$3:$BJ$15,MATCH(D30,'G-6 Hedgerow Data'!$B$3:$B$15,0)),"")</f>
        <v/>
      </c>
    </row>
    <row r="31" spans="2:33" ht="13.8" x14ac:dyDescent="0.25">
      <c r="B31" s="141">
        <v>20</v>
      </c>
      <c r="C31" s="205"/>
      <c r="D31" s="195"/>
      <c r="E31" s="172"/>
      <c r="F31" s="553" t="str">
        <f>IF(D31="","",VLOOKUP(D31,'G-6 Hedgerow Data'!$B$2:$AG$15,2,FALSE))</f>
        <v/>
      </c>
      <c r="G31" s="499" t="str">
        <f>IF(D31="","",VLOOKUP(D31,'G-6 Hedgerow Data'!$B$2:$AG$15,3,FALSE))</f>
        <v/>
      </c>
      <c r="H31" s="145"/>
      <c r="I31" s="499" t="str">
        <f>IFERROR(VLOOKUP(H31,'G-1 All Habitats'!$Z$2:$AA$9,2,FALSE),"")</f>
        <v/>
      </c>
      <c r="J31" s="145"/>
      <c r="K31" s="520" t="str">
        <f>IF(J31="","",IF(VLOOKUP(J31,'G-3 Multipliers'!$L$3:$N$6,2,FALSE)=0,"Spatial Data Missing ⚠",VLOOKUP(J31,'G-3 Multipliers'!$L$3:$N$6,2,FALSE)))</f>
        <v/>
      </c>
      <c r="L31" s="505" t="str">
        <f>IF(J31="","",IF(VLOOKUP(J31,'G-3 Multipliers'!$L$3:$N$6,3,FALSE)=0,"Spatial Data Missing ⚠",VLOOKUP(J31,'G-3 Multipliers'!$L$3:$N$6,3,FALSE)))</f>
        <v/>
      </c>
      <c r="M31" s="498" t="str">
        <f>IF(OR(D31="",H31=""),"",(INDEX('G-6 Hedgerow Data'!$E$3:$I$15,MATCH(D31,'G-6 Hedgerow Data'!$B$3:$B$15,0),MATCH(H31,'G-6 Hedgerow Data'!$E$2:$I$2,0))))</f>
        <v/>
      </c>
      <c r="N31" s="195"/>
      <c r="O31" s="195"/>
      <c r="P31" s="507" t="str">
        <f t="shared" si="1"/>
        <v/>
      </c>
      <c r="Q31" s="521" t="str">
        <f t="shared" si="2"/>
        <v/>
      </c>
      <c r="R31" s="522" t="str">
        <f t="shared" si="0"/>
        <v/>
      </c>
      <c r="S31" s="537" t="str">
        <f>IF(D31="","",VLOOKUP(D31,'G-6 Hedgerow Data'!$B$3:$AG$15,31,FALSE))</f>
        <v/>
      </c>
      <c r="T31" s="507" t="str">
        <f t="shared" si="3"/>
        <v/>
      </c>
      <c r="U31" s="507" t="str">
        <f t="shared" si="4"/>
        <v/>
      </c>
      <c r="V31" s="524" t="str">
        <f>IF(D31="","",VLOOKUP(S31,'G-3 Multipliers'!$P$3:$Q$6,2,FALSE))</f>
        <v/>
      </c>
      <c r="W31" s="529" t="str">
        <f t="shared" si="5"/>
        <v/>
      </c>
      <c r="X31" s="149"/>
      <c r="Y31" s="150"/>
      <c r="AG31" s="31" t="str">
        <f>IFERROR(INDEX('G-6 Hedgerow Data'!$BJ$3:$BJ$15,MATCH(D31,'G-6 Hedgerow Data'!$B$3:$B$15,0)),"")</f>
        <v/>
      </c>
    </row>
    <row r="32" spans="2:33" ht="13.8" x14ac:dyDescent="0.25">
      <c r="B32" s="141">
        <v>21</v>
      </c>
      <c r="C32" s="205"/>
      <c r="D32" s="195"/>
      <c r="E32" s="172"/>
      <c r="F32" s="553" t="str">
        <f>IF(D32="","",VLOOKUP(D32,'G-6 Hedgerow Data'!$B$2:$AG$15,2,FALSE))</f>
        <v/>
      </c>
      <c r="G32" s="499" t="str">
        <f>IF(D32="","",VLOOKUP(D32,'G-6 Hedgerow Data'!$B$2:$AG$15,3,FALSE))</f>
        <v/>
      </c>
      <c r="H32" s="145"/>
      <c r="I32" s="499" t="str">
        <f>IFERROR(VLOOKUP(H32,'G-1 All Habitats'!$Z$2:$AA$9,2,FALSE),"")</f>
        <v/>
      </c>
      <c r="J32" s="145"/>
      <c r="K32" s="520" t="str">
        <f>IF(J32="","",IF(VLOOKUP(J32,'G-3 Multipliers'!$L$3:$N$6,2,FALSE)=0,"Spatial Data Missing ⚠",VLOOKUP(J32,'G-3 Multipliers'!$L$3:$N$6,2,FALSE)))</f>
        <v/>
      </c>
      <c r="L32" s="505" t="str">
        <f>IF(J32="","",IF(VLOOKUP(J32,'G-3 Multipliers'!$L$3:$N$6,3,FALSE)=0,"Spatial Data Missing ⚠",VLOOKUP(J32,'G-3 Multipliers'!$L$3:$N$6,3,FALSE)))</f>
        <v/>
      </c>
      <c r="M32" s="498" t="str">
        <f>IF(OR(D32="",H32=""),"",(INDEX('G-6 Hedgerow Data'!$E$3:$I$15,MATCH(D32,'G-6 Hedgerow Data'!$B$3:$B$15,0),MATCH(H32,'G-6 Hedgerow Data'!$E$2:$I$2,0))))</f>
        <v/>
      </c>
      <c r="N32" s="195"/>
      <c r="O32" s="195"/>
      <c r="P32" s="507" t="str">
        <f t="shared" si="1"/>
        <v/>
      </c>
      <c r="Q32" s="521" t="str">
        <f t="shared" si="2"/>
        <v/>
      </c>
      <c r="R32" s="522" t="str">
        <f t="shared" si="0"/>
        <v/>
      </c>
      <c r="S32" s="537" t="str">
        <f>IF(D32="","",VLOOKUP(D32,'G-6 Hedgerow Data'!$B$3:$AG$15,31,FALSE))</f>
        <v/>
      </c>
      <c r="T32" s="507" t="str">
        <f t="shared" si="3"/>
        <v/>
      </c>
      <c r="U32" s="507" t="str">
        <f t="shared" si="4"/>
        <v/>
      </c>
      <c r="V32" s="524" t="str">
        <f>IF(D32="","",VLOOKUP(S32,'G-3 Multipliers'!$P$3:$Q$6,2,FALSE))</f>
        <v/>
      </c>
      <c r="W32" s="529" t="str">
        <f t="shared" si="5"/>
        <v/>
      </c>
      <c r="X32" s="149"/>
      <c r="Y32" s="150"/>
      <c r="AG32" s="31" t="str">
        <f>IFERROR(INDEX('G-6 Hedgerow Data'!$BJ$3:$BJ$15,MATCH(D32,'G-6 Hedgerow Data'!$B$3:$B$15,0)),"")</f>
        <v/>
      </c>
    </row>
    <row r="33" spans="2:33" ht="13.8" x14ac:dyDescent="0.25">
      <c r="B33" s="141">
        <v>22</v>
      </c>
      <c r="C33" s="205"/>
      <c r="D33" s="195"/>
      <c r="E33" s="172"/>
      <c r="F33" s="553" t="str">
        <f>IF(D33="","",VLOOKUP(D33,'G-6 Hedgerow Data'!$B$2:$AG$15,2,FALSE))</f>
        <v/>
      </c>
      <c r="G33" s="499" t="str">
        <f>IF(D33="","",VLOOKUP(D33,'G-6 Hedgerow Data'!$B$2:$AG$15,3,FALSE))</f>
        <v/>
      </c>
      <c r="H33" s="145"/>
      <c r="I33" s="499" t="str">
        <f>IFERROR(VLOOKUP(H33,'G-1 All Habitats'!$Z$2:$AA$9,2,FALSE),"")</f>
        <v/>
      </c>
      <c r="J33" s="145"/>
      <c r="K33" s="520" t="str">
        <f>IF(J33="","",IF(VLOOKUP(J33,'G-3 Multipliers'!$L$3:$N$6,2,FALSE)=0,"Spatial Data Missing ⚠",VLOOKUP(J33,'G-3 Multipliers'!$L$3:$N$6,2,FALSE)))</f>
        <v/>
      </c>
      <c r="L33" s="505" t="str">
        <f>IF(J33="","",IF(VLOOKUP(J33,'G-3 Multipliers'!$L$3:$N$6,3,FALSE)=0,"Spatial Data Missing ⚠",VLOOKUP(J33,'G-3 Multipliers'!$L$3:$N$6,3,FALSE)))</f>
        <v/>
      </c>
      <c r="M33" s="498" t="str">
        <f>IF(OR(D33="",H33=""),"",(INDEX('G-6 Hedgerow Data'!$E$3:$I$15,MATCH(D33,'G-6 Hedgerow Data'!$B$3:$B$15,0),MATCH(H33,'G-6 Hedgerow Data'!$E$2:$I$2,0))))</f>
        <v/>
      </c>
      <c r="N33" s="195"/>
      <c r="O33" s="195"/>
      <c r="P33" s="507" t="str">
        <f t="shared" si="1"/>
        <v/>
      </c>
      <c r="Q33" s="521" t="str">
        <f t="shared" si="2"/>
        <v/>
      </c>
      <c r="R33" s="522" t="str">
        <f t="shared" si="0"/>
        <v/>
      </c>
      <c r="S33" s="537" t="str">
        <f>IF(D33="","",VLOOKUP(D33,'G-6 Hedgerow Data'!$B$3:$AG$15,31,FALSE))</f>
        <v/>
      </c>
      <c r="T33" s="507" t="str">
        <f t="shared" si="3"/>
        <v/>
      </c>
      <c r="U33" s="507" t="str">
        <f t="shared" si="4"/>
        <v/>
      </c>
      <c r="V33" s="524" t="str">
        <f>IF(D33="","",VLOOKUP(S33,'G-3 Multipliers'!$P$3:$Q$6,2,FALSE))</f>
        <v/>
      </c>
      <c r="W33" s="529" t="str">
        <f t="shared" si="5"/>
        <v/>
      </c>
      <c r="X33" s="149"/>
      <c r="Y33" s="150"/>
      <c r="AG33" s="31" t="str">
        <f>IFERROR(INDEX('G-6 Hedgerow Data'!$BJ$3:$BJ$15,MATCH(D33,'G-6 Hedgerow Data'!$B$3:$B$15,0)),"")</f>
        <v/>
      </c>
    </row>
    <row r="34" spans="2:33" ht="13.8" x14ac:dyDescent="0.25">
      <c r="B34" s="141">
        <v>23</v>
      </c>
      <c r="C34" s="205"/>
      <c r="D34" s="195"/>
      <c r="E34" s="172"/>
      <c r="F34" s="553" t="str">
        <f>IF(D34="","",VLOOKUP(D34,'G-6 Hedgerow Data'!$B$2:$AG$15,2,FALSE))</f>
        <v/>
      </c>
      <c r="G34" s="499" t="str">
        <f>IF(D34="","",VLOOKUP(D34,'G-6 Hedgerow Data'!$B$2:$AG$15,3,FALSE))</f>
        <v/>
      </c>
      <c r="H34" s="145"/>
      <c r="I34" s="499" t="str">
        <f>IFERROR(VLOOKUP(H34,'G-1 All Habitats'!$Z$2:$AA$9,2,FALSE),"")</f>
        <v/>
      </c>
      <c r="J34" s="145"/>
      <c r="K34" s="520" t="str">
        <f>IF(J34="","",IF(VLOOKUP(J34,'G-3 Multipliers'!$L$3:$N$6,2,FALSE)=0,"Spatial Data Missing ⚠",VLOOKUP(J34,'G-3 Multipliers'!$L$3:$N$6,2,FALSE)))</f>
        <v/>
      </c>
      <c r="L34" s="505" t="str">
        <f>IF(J34="","",IF(VLOOKUP(J34,'G-3 Multipliers'!$L$3:$N$6,3,FALSE)=0,"Spatial Data Missing ⚠",VLOOKUP(J34,'G-3 Multipliers'!$L$3:$N$6,3,FALSE)))</f>
        <v/>
      </c>
      <c r="M34" s="498" t="str">
        <f>IF(OR(D34="",H34=""),"",(INDEX('G-6 Hedgerow Data'!$E$3:$I$15,MATCH(D34,'G-6 Hedgerow Data'!$B$3:$B$15,0),MATCH(H34,'G-6 Hedgerow Data'!$E$2:$I$2,0))))</f>
        <v/>
      </c>
      <c r="N34" s="195"/>
      <c r="O34" s="195"/>
      <c r="P34" s="507" t="str">
        <f t="shared" si="1"/>
        <v/>
      </c>
      <c r="Q34" s="521" t="str">
        <f t="shared" si="2"/>
        <v/>
      </c>
      <c r="R34" s="522" t="str">
        <f t="shared" si="0"/>
        <v/>
      </c>
      <c r="S34" s="537" t="str">
        <f>IF(D34="","",VLOOKUP(D34,'G-6 Hedgerow Data'!$B$3:$AG$15,31,FALSE))</f>
        <v/>
      </c>
      <c r="T34" s="507" t="str">
        <f t="shared" si="3"/>
        <v/>
      </c>
      <c r="U34" s="507" t="str">
        <f t="shared" si="4"/>
        <v/>
      </c>
      <c r="V34" s="524" t="str">
        <f>IF(D34="","",VLOOKUP(S34,'G-3 Multipliers'!$P$3:$Q$6,2,FALSE))</f>
        <v/>
      </c>
      <c r="W34" s="529" t="str">
        <f t="shared" si="5"/>
        <v/>
      </c>
      <c r="X34" s="149"/>
      <c r="Y34" s="150"/>
      <c r="AG34" s="31" t="str">
        <f>IFERROR(INDEX('G-6 Hedgerow Data'!$BJ$3:$BJ$15,MATCH(D34,'G-6 Hedgerow Data'!$B$3:$B$15,0)),"")</f>
        <v/>
      </c>
    </row>
    <row r="35" spans="2:33" ht="13.8" x14ac:dyDescent="0.25">
      <c r="B35" s="141">
        <v>24</v>
      </c>
      <c r="C35" s="205"/>
      <c r="D35" s="195"/>
      <c r="E35" s="172"/>
      <c r="F35" s="553" t="str">
        <f>IF(D35="","",VLOOKUP(D35,'G-6 Hedgerow Data'!$B$2:$AG$15,2,FALSE))</f>
        <v/>
      </c>
      <c r="G35" s="499" t="str">
        <f>IF(D35="","",VLOOKUP(D35,'G-6 Hedgerow Data'!$B$2:$AG$15,3,FALSE))</f>
        <v/>
      </c>
      <c r="H35" s="145"/>
      <c r="I35" s="499" t="str">
        <f>IFERROR(VLOOKUP(H35,'G-1 All Habitats'!$Z$2:$AA$9,2,FALSE),"")</f>
        <v/>
      </c>
      <c r="J35" s="145"/>
      <c r="K35" s="520" t="str">
        <f>IF(J35="","",IF(VLOOKUP(J35,'G-3 Multipliers'!$L$3:$N$6,2,FALSE)=0,"Spatial Data Missing ⚠",VLOOKUP(J35,'G-3 Multipliers'!$L$3:$N$6,2,FALSE)))</f>
        <v/>
      </c>
      <c r="L35" s="505" t="str">
        <f>IF(J35="","",IF(VLOOKUP(J35,'G-3 Multipliers'!$L$3:$N$6,3,FALSE)=0,"Spatial Data Missing ⚠",VLOOKUP(J35,'G-3 Multipliers'!$L$3:$N$6,3,FALSE)))</f>
        <v/>
      </c>
      <c r="M35" s="498" t="str">
        <f>IF(OR(D35="",H35=""),"",(INDEX('G-6 Hedgerow Data'!$E$3:$I$15,MATCH(D35,'G-6 Hedgerow Data'!$B$3:$B$15,0),MATCH(H35,'G-6 Hedgerow Data'!$E$2:$I$2,0))))</f>
        <v/>
      </c>
      <c r="N35" s="195"/>
      <c r="O35" s="195"/>
      <c r="P35" s="507" t="str">
        <f t="shared" si="1"/>
        <v/>
      </c>
      <c r="Q35" s="521" t="str">
        <f t="shared" si="2"/>
        <v/>
      </c>
      <c r="R35" s="522" t="str">
        <f t="shared" si="0"/>
        <v/>
      </c>
      <c r="S35" s="537" t="str">
        <f>IF(D35="","",VLOOKUP(D35,'G-6 Hedgerow Data'!$B$3:$AG$15,31,FALSE))</f>
        <v/>
      </c>
      <c r="T35" s="507" t="str">
        <f t="shared" si="3"/>
        <v/>
      </c>
      <c r="U35" s="507" t="str">
        <f t="shared" si="4"/>
        <v/>
      </c>
      <c r="V35" s="524" t="str">
        <f>IF(D35="","",VLOOKUP(S35,'G-3 Multipliers'!$P$3:$Q$6,2,FALSE))</f>
        <v/>
      </c>
      <c r="W35" s="529" t="str">
        <f t="shared" si="5"/>
        <v/>
      </c>
      <c r="X35" s="149"/>
      <c r="Y35" s="150"/>
      <c r="AG35" s="31" t="str">
        <f>IFERROR(INDEX('G-6 Hedgerow Data'!$BJ$3:$BJ$15,MATCH(D35,'G-6 Hedgerow Data'!$B$3:$B$15,0)),"")</f>
        <v/>
      </c>
    </row>
    <row r="36" spans="2:33" ht="13.8" x14ac:dyDescent="0.25">
      <c r="B36" s="141">
        <v>25</v>
      </c>
      <c r="C36" s="205"/>
      <c r="D36" s="195"/>
      <c r="E36" s="172"/>
      <c r="F36" s="553" t="str">
        <f>IF(D36="","",VLOOKUP(D36,'G-6 Hedgerow Data'!$B$2:$AG$15,2,FALSE))</f>
        <v/>
      </c>
      <c r="G36" s="499" t="str">
        <f>IF(D36="","",VLOOKUP(D36,'G-6 Hedgerow Data'!$B$2:$AG$15,3,FALSE))</f>
        <v/>
      </c>
      <c r="H36" s="145"/>
      <c r="I36" s="499" t="str">
        <f>IFERROR(VLOOKUP(H36,'G-1 All Habitats'!$Z$2:$AA$9,2,FALSE),"")</f>
        <v/>
      </c>
      <c r="J36" s="145"/>
      <c r="K36" s="520" t="str">
        <f>IF(J36="","",IF(VLOOKUP(J36,'G-3 Multipliers'!$L$3:$N$6,2,FALSE)=0,"Spatial Data Missing ⚠",VLOOKUP(J36,'G-3 Multipliers'!$L$3:$N$6,2,FALSE)))</f>
        <v/>
      </c>
      <c r="L36" s="505" t="str">
        <f>IF(J36="","",IF(VLOOKUP(J36,'G-3 Multipliers'!$L$3:$N$6,3,FALSE)=0,"Spatial Data Missing ⚠",VLOOKUP(J36,'G-3 Multipliers'!$L$3:$N$6,3,FALSE)))</f>
        <v/>
      </c>
      <c r="M36" s="498" t="str">
        <f>IF(OR(D36="",H36=""),"",(INDEX('G-6 Hedgerow Data'!$E$3:$I$15,MATCH(D36,'G-6 Hedgerow Data'!$B$3:$B$15,0),MATCH(H36,'G-6 Hedgerow Data'!$E$2:$I$2,0))))</f>
        <v/>
      </c>
      <c r="N36" s="195"/>
      <c r="O36" s="195"/>
      <c r="P36" s="507" t="str">
        <f t="shared" si="1"/>
        <v/>
      </c>
      <c r="Q36" s="521" t="str">
        <f t="shared" si="2"/>
        <v/>
      </c>
      <c r="R36" s="522" t="str">
        <f t="shared" si="0"/>
        <v/>
      </c>
      <c r="S36" s="537" t="str">
        <f>IF(D36="","",VLOOKUP(D36,'G-6 Hedgerow Data'!$B$3:$AG$15,31,FALSE))</f>
        <v/>
      </c>
      <c r="T36" s="507" t="str">
        <f t="shared" si="3"/>
        <v/>
      </c>
      <c r="U36" s="507" t="str">
        <f t="shared" si="4"/>
        <v/>
      </c>
      <c r="V36" s="524" t="str">
        <f>IF(D36="","",VLOOKUP(S36,'G-3 Multipliers'!$P$3:$Q$6,2,FALSE))</f>
        <v/>
      </c>
      <c r="W36" s="529" t="str">
        <f t="shared" si="5"/>
        <v/>
      </c>
      <c r="X36" s="149"/>
      <c r="Y36" s="150"/>
      <c r="AG36" s="31" t="str">
        <f>IFERROR(INDEX('G-6 Hedgerow Data'!$BJ$3:$BJ$15,MATCH(D36,'G-6 Hedgerow Data'!$B$3:$B$15,0)),"")</f>
        <v/>
      </c>
    </row>
    <row r="37" spans="2:33" ht="13.8" x14ac:dyDescent="0.25">
      <c r="B37" s="141">
        <v>26</v>
      </c>
      <c r="C37" s="205"/>
      <c r="D37" s="195"/>
      <c r="E37" s="172"/>
      <c r="F37" s="553" t="str">
        <f>IF(D37="","",VLOOKUP(D37,'G-6 Hedgerow Data'!$B$2:$AG$15,2,FALSE))</f>
        <v/>
      </c>
      <c r="G37" s="499" t="str">
        <f>IF(D37="","",VLOOKUP(D37,'G-6 Hedgerow Data'!$B$2:$AG$15,3,FALSE))</f>
        <v/>
      </c>
      <c r="H37" s="145"/>
      <c r="I37" s="499" t="str">
        <f>IFERROR(VLOOKUP(H37,'G-1 All Habitats'!$Z$2:$AA$9,2,FALSE),"")</f>
        <v/>
      </c>
      <c r="J37" s="145"/>
      <c r="K37" s="520" t="str">
        <f>IF(J37="","",IF(VLOOKUP(J37,'G-3 Multipliers'!$L$3:$N$6,2,FALSE)=0,"Spatial Data Missing ⚠",VLOOKUP(J37,'G-3 Multipliers'!$L$3:$N$6,2,FALSE)))</f>
        <v/>
      </c>
      <c r="L37" s="505" t="str">
        <f>IF(J37="","",IF(VLOOKUP(J37,'G-3 Multipliers'!$L$3:$N$6,3,FALSE)=0,"Spatial Data Missing ⚠",VLOOKUP(J37,'G-3 Multipliers'!$L$3:$N$6,3,FALSE)))</f>
        <v/>
      </c>
      <c r="M37" s="498" t="str">
        <f>IF(OR(D37="",H37=""),"",(INDEX('G-6 Hedgerow Data'!$E$3:$I$15,MATCH(D37,'G-6 Hedgerow Data'!$B$3:$B$15,0),MATCH(H37,'G-6 Hedgerow Data'!$E$2:$I$2,0))))</f>
        <v/>
      </c>
      <c r="N37" s="195"/>
      <c r="O37" s="195"/>
      <c r="P37" s="507" t="str">
        <f t="shared" si="1"/>
        <v/>
      </c>
      <c r="Q37" s="521" t="str">
        <f t="shared" si="2"/>
        <v/>
      </c>
      <c r="R37" s="522" t="str">
        <f t="shared" si="0"/>
        <v/>
      </c>
      <c r="S37" s="537" t="str">
        <f>IF(D37="","",VLOOKUP(D37,'G-6 Hedgerow Data'!$B$3:$AG$15,31,FALSE))</f>
        <v/>
      </c>
      <c r="T37" s="507" t="str">
        <f t="shared" si="3"/>
        <v/>
      </c>
      <c r="U37" s="507" t="str">
        <f t="shared" si="4"/>
        <v/>
      </c>
      <c r="V37" s="524" t="str">
        <f>IF(D37="","",VLOOKUP(S37,'G-3 Multipliers'!$P$3:$Q$6,2,FALSE))</f>
        <v/>
      </c>
      <c r="W37" s="529" t="str">
        <f t="shared" si="5"/>
        <v/>
      </c>
      <c r="X37" s="149"/>
      <c r="Y37" s="150"/>
      <c r="AG37" s="31" t="str">
        <f>IFERROR(INDEX('G-6 Hedgerow Data'!$BJ$3:$BJ$15,MATCH(D37,'G-6 Hedgerow Data'!$B$3:$B$15,0)),"")</f>
        <v/>
      </c>
    </row>
    <row r="38" spans="2:33" ht="13.8" x14ac:dyDescent="0.25">
      <c r="B38" s="141">
        <v>27</v>
      </c>
      <c r="C38" s="205"/>
      <c r="D38" s="195"/>
      <c r="E38" s="172"/>
      <c r="F38" s="553" t="str">
        <f>IF(D38="","",VLOOKUP(D38,'G-6 Hedgerow Data'!$B$2:$AG$15,2,FALSE))</f>
        <v/>
      </c>
      <c r="G38" s="499" t="str">
        <f>IF(D38="","",VLOOKUP(D38,'G-6 Hedgerow Data'!$B$2:$AG$15,3,FALSE))</f>
        <v/>
      </c>
      <c r="H38" s="145"/>
      <c r="I38" s="499" t="str">
        <f>IFERROR(VLOOKUP(H38,'G-1 All Habitats'!$Z$2:$AA$9,2,FALSE),"")</f>
        <v/>
      </c>
      <c r="J38" s="145"/>
      <c r="K38" s="520" t="str">
        <f>IF(J38="","",IF(VLOOKUP(J38,'G-3 Multipliers'!$L$3:$N$6,2,FALSE)=0,"Spatial Data Missing ⚠",VLOOKUP(J38,'G-3 Multipliers'!$L$3:$N$6,2,FALSE)))</f>
        <v/>
      </c>
      <c r="L38" s="505" t="str">
        <f>IF(J38="","",IF(VLOOKUP(J38,'G-3 Multipliers'!$L$3:$N$6,3,FALSE)=0,"Spatial Data Missing ⚠",VLOOKUP(J38,'G-3 Multipliers'!$L$3:$N$6,3,FALSE)))</f>
        <v/>
      </c>
      <c r="M38" s="498" t="str">
        <f>IF(OR(D38="",H38=""),"",(INDEX('G-6 Hedgerow Data'!$E$3:$I$15,MATCH(D38,'G-6 Hedgerow Data'!$B$3:$B$15,0),MATCH(H38,'G-6 Hedgerow Data'!$E$2:$I$2,0))))</f>
        <v/>
      </c>
      <c r="N38" s="195"/>
      <c r="O38" s="195"/>
      <c r="P38" s="507" t="str">
        <f t="shared" si="1"/>
        <v/>
      </c>
      <c r="Q38" s="521" t="str">
        <f t="shared" si="2"/>
        <v/>
      </c>
      <c r="R38" s="522" t="str">
        <f t="shared" si="0"/>
        <v/>
      </c>
      <c r="S38" s="537" t="str">
        <f>IF(D38="","",VLOOKUP(D38,'G-6 Hedgerow Data'!$B$3:$AG$15,31,FALSE))</f>
        <v/>
      </c>
      <c r="T38" s="507" t="str">
        <f t="shared" si="3"/>
        <v/>
      </c>
      <c r="U38" s="507" t="str">
        <f t="shared" si="4"/>
        <v/>
      </c>
      <c r="V38" s="524" t="str">
        <f>IF(D38="","",VLOOKUP(S38,'G-3 Multipliers'!$P$3:$Q$6,2,FALSE))</f>
        <v/>
      </c>
      <c r="W38" s="529" t="str">
        <f t="shared" si="5"/>
        <v/>
      </c>
      <c r="X38" s="149"/>
      <c r="Y38" s="150"/>
      <c r="AG38" s="31" t="str">
        <f>IFERROR(INDEX('G-6 Hedgerow Data'!$BJ$3:$BJ$15,MATCH(D38,'G-6 Hedgerow Data'!$B$3:$B$15,0)),"")</f>
        <v/>
      </c>
    </row>
    <row r="39" spans="2:33" ht="13.8" x14ac:dyDescent="0.25">
      <c r="B39" s="141">
        <v>28</v>
      </c>
      <c r="C39" s="205"/>
      <c r="D39" s="195"/>
      <c r="E39" s="172"/>
      <c r="F39" s="553" t="str">
        <f>IF(D39="","",VLOOKUP(D39,'G-6 Hedgerow Data'!$B$2:$AG$15,2,FALSE))</f>
        <v/>
      </c>
      <c r="G39" s="499" t="str">
        <f>IF(D39="","",VLOOKUP(D39,'G-6 Hedgerow Data'!$B$2:$AG$15,3,FALSE))</f>
        <v/>
      </c>
      <c r="H39" s="145"/>
      <c r="I39" s="499" t="str">
        <f>IFERROR(VLOOKUP(H39,'G-1 All Habitats'!$Z$2:$AA$9,2,FALSE),"")</f>
        <v/>
      </c>
      <c r="J39" s="145"/>
      <c r="K39" s="520" t="str">
        <f>IF(J39="","",IF(VLOOKUP(J39,'G-3 Multipliers'!$L$3:$N$6,2,FALSE)=0,"Spatial Data Missing ⚠",VLOOKUP(J39,'G-3 Multipliers'!$L$3:$N$6,2,FALSE)))</f>
        <v/>
      </c>
      <c r="L39" s="505" t="str">
        <f>IF(J39="","",IF(VLOOKUP(J39,'G-3 Multipliers'!$L$3:$N$6,3,FALSE)=0,"Spatial Data Missing ⚠",VLOOKUP(J39,'G-3 Multipliers'!$L$3:$N$6,3,FALSE)))</f>
        <v/>
      </c>
      <c r="M39" s="498" t="str">
        <f>IF(OR(D39="",H39=""),"",(INDEX('G-6 Hedgerow Data'!$E$3:$I$15,MATCH(D39,'G-6 Hedgerow Data'!$B$3:$B$15,0),MATCH(H39,'G-6 Hedgerow Data'!$E$2:$I$2,0))))</f>
        <v/>
      </c>
      <c r="N39" s="195"/>
      <c r="O39" s="195"/>
      <c r="P39" s="507" t="str">
        <f t="shared" si="1"/>
        <v/>
      </c>
      <c r="Q39" s="521" t="str">
        <f t="shared" si="2"/>
        <v/>
      </c>
      <c r="R39" s="522" t="str">
        <f t="shared" si="0"/>
        <v/>
      </c>
      <c r="S39" s="537" t="str">
        <f>IF(D39="","",VLOOKUP(D39,'G-6 Hedgerow Data'!$B$3:$AG$15,31,FALSE))</f>
        <v/>
      </c>
      <c r="T39" s="507" t="str">
        <f t="shared" si="3"/>
        <v/>
      </c>
      <c r="U39" s="507" t="str">
        <f t="shared" si="4"/>
        <v/>
      </c>
      <c r="V39" s="524" t="str">
        <f>IF(D39="","",VLOOKUP(S39,'G-3 Multipliers'!$P$3:$Q$6,2,FALSE))</f>
        <v/>
      </c>
      <c r="W39" s="529" t="str">
        <f t="shared" si="5"/>
        <v/>
      </c>
      <c r="X39" s="149"/>
      <c r="Y39" s="150"/>
      <c r="AG39" s="31" t="str">
        <f>IFERROR(INDEX('G-6 Hedgerow Data'!$BJ$3:$BJ$15,MATCH(D39,'G-6 Hedgerow Data'!$B$3:$B$15,0)),"")</f>
        <v/>
      </c>
    </row>
    <row r="40" spans="2:33" ht="13.8" x14ac:dyDescent="0.25">
      <c r="B40" s="141">
        <v>29</v>
      </c>
      <c r="C40" s="205"/>
      <c r="D40" s="195"/>
      <c r="E40" s="172"/>
      <c r="F40" s="553" t="str">
        <f>IF(D40="","",VLOOKUP(D40,'G-6 Hedgerow Data'!$B$2:$AG$15,2,FALSE))</f>
        <v/>
      </c>
      <c r="G40" s="499" t="str">
        <f>IF(D40="","",VLOOKUP(D40,'G-6 Hedgerow Data'!$B$2:$AG$15,3,FALSE))</f>
        <v/>
      </c>
      <c r="H40" s="145"/>
      <c r="I40" s="499" t="str">
        <f>IFERROR(VLOOKUP(H40,'G-1 All Habitats'!$Z$2:$AA$9,2,FALSE),"")</f>
        <v/>
      </c>
      <c r="J40" s="145"/>
      <c r="K40" s="520" t="str">
        <f>IF(J40="","",IF(VLOOKUP(J40,'G-3 Multipliers'!$L$3:$N$6,2,FALSE)=0,"Spatial Data Missing ⚠",VLOOKUP(J40,'G-3 Multipliers'!$L$3:$N$6,2,FALSE)))</f>
        <v/>
      </c>
      <c r="L40" s="505" t="str">
        <f>IF(J40="","",IF(VLOOKUP(J40,'G-3 Multipliers'!$L$3:$N$6,3,FALSE)=0,"Spatial Data Missing ⚠",VLOOKUP(J40,'G-3 Multipliers'!$L$3:$N$6,3,FALSE)))</f>
        <v/>
      </c>
      <c r="M40" s="498" t="str">
        <f>IF(OR(D40="",H40=""),"",(INDEX('G-6 Hedgerow Data'!$E$3:$I$15,MATCH(D40,'G-6 Hedgerow Data'!$B$3:$B$15,0),MATCH(H40,'G-6 Hedgerow Data'!$E$2:$I$2,0))))</f>
        <v/>
      </c>
      <c r="N40" s="195"/>
      <c r="O40" s="195"/>
      <c r="P40" s="507" t="str">
        <f t="shared" si="1"/>
        <v/>
      </c>
      <c r="Q40" s="521" t="str">
        <f t="shared" si="2"/>
        <v/>
      </c>
      <c r="R40" s="522" t="str">
        <f t="shared" si="0"/>
        <v/>
      </c>
      <c r="S40" s="537" t="str">
        <f>IF(D40="","",VLOOKUP(D40,'G-6 Hedgerow Data'!$B$3:$AG$15,31,FALSE))</f>
        <v/>
      </c>
      <c r="T40" s="507" t="str">
        <f t="shared" si="3"/>
        <v/>
      </c>
      <c r="U40" s="507" t="str">
        <f t="shared" si="4"/>
        <v/>
      </c>
      <c r="V40" s="524" t="str">
        <f>IF(D40="","",VLOOKUP(S40,'G-3 Multipliers'!$P$3:$Q$6,2,FALSE))</f>
        <v/>
      </c>
      <c r="W40" s="529" t="str">
        <f t="shared" si="5"/>
        <v/>
      </c>
      <c r="X40" s="149"/>
      <c r="Y40" s="150"/>
      <c r="AG40" s="31" t="str">
        <f>IFERROR(INDEX('G-6 Hedgerow Data'!$BJ$3:$BJ$15,MATCH(D40,'G-6 Hedgerow Data'!$B$3:$B$15,0)),"")</f>
        <v/>
      </c>
    </row>
    <row r="41" spans="2:33" ht="13.8" x14ac:dyDescent="0.25">
      <c r="B41" s="141">
        <v>30</v>
      </c>
      <c r="C41" s="205"/>
      <c r="D41" s="195"/>
      <c r="E41" s="172"/>
      <c r="F41" s="553" t="str">
        <f>IF(D41="","",VLOOKUP(D41,'G-6 Hedgerow Data'!$B$2:$AG$15,2,FALSE))</f>
        <v/>
      </c>
      <c r="G41" s="499" t="str">
        <f>IF(D41="","",VLOOKUP(D41,'G-6 Hedgerow Data'!$B$2:$AG$15,3,FALSE))</f>
        <v/>
      </c>
      <c r="H41" s="145"/>
      <c r="I41" s="499" t="str">
        <f>IFERROR(VLOOKUP(H41,'G-1 All Habitats'!$Z$2:$AA$9,2,FALSE),"")</f>
        <v/>
      </c>
      <c r="J41" s="145"/>
      <c r="K41" s="520" t="str">
        <f>IF(J41="","",IF(VLOOKUP(J41,'G-3 Multipliers'!$L$3:$N$6,2,FALSE)=0,"Spatial Data Missing ⚠",VLOOKUP(J41,'G-3 Multipliers'!$L$3:$N$6,2,FALSE)))</f>
        <v/>
      </c>
      <c r="L41" s="505" t="str">
        <f>IF(J41="","",IF(VLOOKUP(J41,'G-3 Multipliers'!$L$3:$N$6,3,FALSE)=0,"Spatial Data Missing ⚠",VLOOKUP(J41,'G-3 Multipliers'!$L$3:$N$6,3,FALSE)))</f>
        <v/>
      </c>
      <c r="M41" s="498" t="str">
        <f>IF(OR(D41="",H41=""),"",(INDEX('G-6 Hedgerow Data'!$E$3:$I$15,MATCH(D41,'G-6 Hedgerow Data'!$B$3:$B$15,0),MATCH(H41,'G-6 Hedgerow Data'!$E$2:$I$2,0))))</f>
        <v/>
      </c>
      <c r="N41" s="195"/>
      <c r="O41" s="195"/>
      <c r="P41" s="507" t="str">
        <f t="shared" si="1"/>
        <v/>
      </c>
      <c r="Q41" s="521" t="str">
        <f t="shared" si="2"/>
        <v/>
      </c>
      <c r="R41" s="522" t="str">
        <f t="shared" si="0"/>
        <v/>
      </c>
      <c r="S41" s="537" t="str">
        <f>IF(D41="","",VLOOKUP(D41,'G-6 Hedgerow Data'!$B$3:$AG$15,31,FALSE))</f>
        <v/>
      </c>
      <c r="T41" s="507" t="str">
        <f t="shared" si="3"/>
        <v/>
      </c>
      <c r="U41" s="507" t="str">
        <f t="shared" si="4"/>
        <v/>
      </c>
      <c r="V41" s="524" t="str">
        <f>IF(D41="","",VLOOKUP(S41,'G-3 Multipliers'!$P$3:$Q$6,2,FALSE))</f>
        <v/>
      </c>
      <c r="W41" s="529" t="str">
        <f t="shared" si="5"/>
        <v/>
      </c>
      <c r="X41" s="149"/>
      <c r="Y41" s="150"/>
      <c r="AG41" s="31" t="str">
        <f>IFERROR(INDEX('G-6 Hedgerow Data'!$BJ$3:$BJ$15,MATCH(D41,'G-6 Hedgerow Data'!$B$3:$B$15,0)),"")</f>
        <v/>
      </c>
    </row>
    <row r="42" spans="2:33" ht="13.8" x14ac:dyDescent="0.25">
      <c r="B42" s="141">
        <v>31</v>
      </c>
      <c r="C42" s="205"/>
      <c r="D42" s="195"/>
      <c r="E42" s="172"/>
      <c r="F42" s="553" t="str">
        <f>IF(D42="","",VLOOKUP(D42,'G-6 Hedgerow Data'!$B$2:$AG$15,2,FALSE))</f>
        <v/>
      </c>
      <c r="G42" s="499" t="str">
        <f>IF(D42="","",VLOOKUP(D42,'G-6 Hedgerow Data'!$B$2:$AG$15,3,FALSE))</f>
        <v/>
      </c>
      <c r="H42" s="145"/>
      <c r="I42" s="499" t="str">
        <f>IFERROR(VLOOKUP(H42,'G-1 All Habitats'!$Z$2:$AA$9,2,FALSE),"")</f>
        <v/>
      </c>
      <c r="J42" s="145"/>
      <c r="K42" s="520" t="str">
        <f>IF(J42="","",IF(VLOOKUP(J42,'G-3 Multipliers'!$L$3:$N$6,2,FALSE)=0,"Spatial Data Missing ⚠",VLOOKUP(J42,'G-3 Multipliers'!$L$3:$N$6,2,FALSE)))</f>
        <v/>
      </c>
      <c r="L42" s="505" t="str">
        <f>IF(J42="","",IF(VLOOKUP(J42,'G-3 Multipliers'!$L$3:$N$6,3,FALSE)=0,"Spatial Data Missing ⚠",VLOOKUP(J42,'G-3 Multipliers'!$L$3:$N$6,3,FALSE)))</f>
        <v/>
      </c>
      <c r="M42" s="498" t="str">
        <f>IF(OR(D42="",H42=""),"",(INDEX('G-6 Hedgerow Data'!$E$3:$I$15,MATCH(D42,'G-6 Hedgerow Data'!$B$3:$B$15,0),MATCH(H42,'G-6 Hedgerow Data'!$E$2:$I$2,0))))</f>
        <v/>
      </c>
      <c r="N42" s="195"/>
      <c r="O42" s="195"/>
      <c r="P42" s="507" t="str">
        <f t="shared" si="1"/>
        <v/>
      </c>
      <c r="Q42" s="521" t="str">
        <f t="shared" si="2"/>
        <v/>
      </c>
      <c r="R42" s="522" t="str">
        <f t="shared" si="0"/>
        <v/>
      </c>
      <c r="S42" s="537" t="str">
        <f>IF(D42="","",VLOOKUP(D42,'G-6 Hedgerow Data'!$B$3:$AG$15,31,FALSE))</f>
        <v/>
      </c>
      <c r="T42" s="507" t="str">
        <f t="shared" si="3"/>
        <v/>
      </c>
      <c r="U42" s="507" t="str">
        <f t="shared" si="4"/>
        <v/>
      </c>
      <c r="V42" s="524" t="str">
        <f>IF(D42="","",VLOOKUP(S42,'G-3 Multipliers'!$P$3:$Q$6,2,FALSE))</f>
        <v/>
      </c>
      <c r="W42" s="529" t="str">
        <f t="shared" si="5"/>
        <v/>
      </c>
      <c r="X42" s="149"/>
      <c r="Y42" s="150"/>
      <c r="AG42" s="31" t="str">
        <f>IFERROR(INDEX('G-6 Hedgerow Data'!$BJ$3:$BJ$15,MATCH(D42,'G-6 Hedgerow Data'!$B$3:$B$15,0)),"")</f>
        <v/>
      </c>
    </row>
    <row r="43" spans="2:33" ht="13.8" x14ac:dyDescent="0.25">
      <c r="B43" s="141">
        <v>32</v>
      </c>
      <c r="C43" s="205"/>
      <c r="D43" s="195"/>
      <c r="E43" s="172"/>
      <c r="F43" s="553" t="str">
        <f>IF(D43="","",VLOOKUP(D43,'G-6 Hedgerow Data'!$B$2:$AG$15,2,FALSE))</f>
        <v/>
      </c>
      <c r="G43" s="499" t="str">
        <f>IF(D43="","",VLOOKUP(D43,'G-6 Hedgerow Data'!$B$2:$AG$15,3,FALSE))</f>
        <v/>
      </c>
      <c r="H43" s="145"/>
      <c r="I43" s="499" t="str">
        <f>IFERROR(VLOOKUP(H43,'G-1 All Habitats'!$Z$2:$AA$9,2,FALSE),"")</f>
        <v/>
      </c>
      <c r="J43" s="145"/>
      <c r="K43" s="520" t="str">
        <f>IF(J43="","",IF(VLOOKUP(J43,'G-3 Multipliers'!$L$3:$N$6,2,FALSE)=0,"Spatial Data Missing ⚠",VLOOKUP(J43,'G-3 Multipliers'!$L$3:$N$6,2,FALSE)))</f>
        <v/>
      </c>
      <c r="L43" s="505" t="str">
        <f>IF(J43="","",IF(VLOOKUP(J43,'G-3 Multipliers'!$L$3:$N$6,3,FALSE)=0,"Spatial Data Missing ⚠",VLOOKUP(J43,'G-3 Multipliers'!$L$3:$N$6,3,FALSE)))</f>
        <v/>
      </c>
      <c r="M43" s="498" t="str">
        <f>IF(OR(D43="",H43=""),"",(INDEX('G-6 Hedgerow Data'!$E$3:$I$15,MATCH(D43,'G-6 Hedgerow Data'!$B$3:$B$15,0),MATCH(H43,'G-6 Hedgerow Data'!$E$2:$I$2,0))))</f>
        <v/>
      </c>
      <c r="N43" s="195"/>
      <c r="O43" s="195"/>
      <c r="P43" s="507" t="str">
        <f t="shared" si="1"/>
        <v/>
      </c>
      <c r="Q43" s="521" t="str">
        <f t="shared" si="2"/>
        <v/>
      </c>
      <c r="R43" s="522" t="str">
        <f t="shared" si="0"/>
        <v/>
      </c>
      <c r="S43" s="537" t="str">
        <f>IF(D43="","",VLOOKUP(D43,'G-6 Hedgerow Data'!$B$3:$AG$15,31,FALSE))</f>
        <v/>
      </c>
      <c r="T43" s="507" t="str">
        <f t="shared" si="3"/>
        <v/>
      </c>
      <c r="U43" s="507" t="str">
        <f t="shared" si="4"/>
        <v/>
      </c>
      <c r="V43" s="524" t="str">
        <f>IF(D43="","",VLOOKUP(S43,'G-3 Multipliers'!$P$3:$Q$6,2,FALSE))</f>
        <v/>
      </c>
      <c r="W43" s="529" t="str">
        <f t="shared" si="5"/>
        <v/>
      </c>
      <c r="X43" s="149"/>
      <c r="Y43" s="150"/>
      <c r="AG43" s="31" t="str">
        <f>IFERROR(INDEX('G-6 Hedgerow Data'!$BJ$3:$BJ$15,MATCH(D43,'G-6 Hedgerow Data'!$B$3:$B$15,0)),"")</f>
        <v/>
      </c>
    </row>
    <row r="44" spans="2:33" ht="13.8" x14ac:dyDescent="0.25">
      <c r="B44" s="141">
        <v>33</v>
      </c>
      <c r="C44" s="205"/>
      <c r="D44" s="195"/>
      <c r="E44" s="172"/>
      <c r="F44" s="553" t="str">
        <f>IF(D44="","",VLOOKUP(D44,'G-6 Hedgerow Data'!$B$2:$AG$15,2,FALSE))</f>
        <v/>
      </c>
      <c r="G44" s="499" t="str">
        <f>IF(D44="","",VLOOKUP(D44,'G-6 Hedgerow Data'!$B$2:$AG$15,3,FALSE))</f>
        <v/>
      </c>
      <c r="H44" s="145"/>
      <c r="I44" s="499" t="str">
        <f>IFERROR(VLOOKUP(H44,'G-1 All Habitats'!$Z$2:$AA$9,2,FALSE),"")</f>
        <v/>
      </c>
      <c r="J44" s="145"/>
      <c r="K44" s="520" t="str">
        <f>IF(J44="","",IF(VLOOKUP(J44,'G-3 Multipliers'!$L$3:$N$6,2,FALSE)=0,"Spatial Data Missing ⚠",VLOOKUP(J44,'G-3 Multipliers'!$L$3:$N$6,2,FALSE)))</f>
        <v/>
      </c>
      <c r="L44" s="505" t="str">
        <f>IF(J44="","",IF(VLOOKUP(J44,'G-3 Multipliers'!$L$3:$N$6,3,FALSE)=0,"Spatial Data Missing ⚠",VLOOKUP(J44,'G-3 Multipliers'!$L$3:$N$6,3,FALSE)))</f>
        <v/>
      </c>
      <c r="M44" s="498" t="str">
        <f>IF(OR(D44="",H44=""),"",(INDEX('G-6 Hedgerow Data'!$E$3:$I$15,MATCH(D44,'G-6 Hedgerow Data'!$B$3:$B$15,0),MATCH(H44,'G-6 Hedgerow Data'!$E$2:$I$2,0))))</f>
        <v/>
      </c>
      <c r="N44" s="195"/>
      <c r="O44" s="195"/>
      <c r="P44" s="507" t="str">
        <f t="shared" si="1"/>
        <v/>
      </c>
      <c r="Q44" s="521" t="str">
        <f t="shared" si="2"/>
        <v/>
      </c>
      <c r="R44" s="522" t="str">
        <f t="shared" si="0"/>
        <v/>
      </c>
      <c r="S44" s="537" t="str">
        <f>IF(D44="","",VLOOKUP(D44,'G-6 Hedgerow Data'!$B$3:$AG$15,31,FALSE))</f>
        <v/>
      </c>
      <c r="T44" s="507" t="str">
        <f t="shared" si="3"/>
        <v/>
      </c>
      <c r="U44" s="507" t="str">
        <f t="shared" si="4"/>
        <v/>
      </c>
      <c r="V44" s="524" t="str">
        <f>IF(D44="","",VLOOKUP(S44,'G-3 Multipliers'!$P$3:$Q$6,2,FALSE))</f>
        <v/>
      </c>
      <c r="W44" s="529" t="str">
        <f t="shared" si="5"/>
        <v/>
      </c>
      <c r="X44" s="149"/>
      <c r="Y44" s="150"/>
      <c r="AG44" s="31" t="str">
        <f>IFERROR(INDEX('G-6 Hedgerow Data'!$BJ$3:$BJ$15,MATCH(D44,'G-6 Hedgerow Data'!$B$3:$B$15,0)),"")</f>
        <v/>
      </c>
    </row>
    <row r="45" spans="2:33" ht="13.8" x14ac:dyDescent="0.25">
      <c r="B45" s="141">
        <v>34</v>
      </c>
      <c r="C45" s="205"/>
      <c r="D45" s="195"/>
      <c r="E45" s="172"/>
      <c r="F45" s="553" t="str">
        <f>IF(D45="","",VLOOKUP(D45,'G-6 Hedgerow Data'!$B$2:$AG$15,2,FALSE))</f>
        <v/>
      </c>
      <c r="G45" s="499" t="str">
        <f>IF(D45="","",VLOOKUP(D45,'G-6 Hedgerow Data'!$B$2:$AG$15,3,FALSE))</f>
        <v/>
      </c>
      <c r="H45" s="145"/>
      <c r="I45" s="499" t="str">
        <f>IFERROR(VLOOKUP(H45,'G-1 All Habitats'!$Z$2:$AA$9,2,FALSE),"")</f>
        <v/>
      </c>
      <c r="J45" s="145"/>
      <c r="K45" s="520" t="str">
        <f>IF(J45="","",IF(VLOOKUP(J45,'G-3 Multipliers'!$L$3:$N$6,2,FALSE)=0,"Spatial Data Missing ⚠",VLOOKUP(J45,'G-3 Multipliers'!$L$3:$N$6,2,FALSE)))</f>
        <v/>
      </c>
      <c r="L45" s="505" t="str">
        <f>IF(J45="","",IF(VLOOKUP(J45,'G-3 Multipliers'!$L$3:$N$6,3,FALSE)=0,"Spatial Data Missing ⚠",VLOOKUP(J45,'G-3 Multipliers'!$L$3:$N$6,3,FALSE)))</f>
        <v/>
      </c>
      <c r="M45" s="498" t="str">
        <f>IF(OR(D45="",H45=""),"",(INDEX('G-6 Hedgerow Data'!$E$3:$I$15,MATCH(D45,'G-6 Hedgerow Data'!$B$3:$B$15,0),MATCH(H45,'G-6 Hedgerow Data'!$E$2:$I$2,0))))</f>
        <v/>
      </c>
      <c r="N45" s="195"/>
      <c r="O45" s="195"/>
      <c r="P45" s="507" t="str">
        <f t="shared" si="1"/>
        <v/>
      </c>
      <c r="Q45" s="521" t="str">
        <f t="shared" si="2"/>
        <v/>
      </c>
      <c r="R45" s="522" t="str">
        <f t="shared" si="0"/>
        <v/>
      </c>
      <c r="S45" s="537" t="str">
        <f>IF(D45="","",VLOOKUP(D45,'G-6 Hedgerow Data'!$B$3:$AG$15,31,FALSE))</f>
        <v/>
      </c>
      <c r="T45" s="507" t="str">
        <f t="shared" si="3"/>
        <v/>
      </c>
      <c r="U45" s="507" t="str">
        <f t="shared" si="4"/>
        <v/>
      </c>
      <c r="V45" s="524" t="str">
        <f>IF(D45="","",VLOOKUP(S45,'G-3 Multipliers'!$P$3:$Q$6,2,FALSE))</f>
        <v/>
      </c>
      <c r="W45" s="529" t="str">
        <f t="shared" si="5"/>
        <v/>
      </c>
      <c r="X45" s="149"/>
      <c r="Y45" s="150"/>
      <c r="AG45" s="31" t="str">
        <f>IFERROR(INDEX('G-6 Hedgerow Data'!$BJ$3:$BJ$15,MATCH(D45,'G-6 Hedgerow Data'!$B$3:$B$15,0)),"")</f>
        <v/>
      </c>
    </row>
    <row r="46" spans="2:33" ht="13.8" x14ac:dyDescent="0.25">
      <c r="B46" s="141">
        <v>35</v>
      </c>
      <c r="C46" s="205"/>
      <c r="D46" s="195"/>
      <c r="E46" s="172"/>
      <c r="F46" s="553" t="str">
        <f>IF(D46="","",VLOOKUP(D46,'G-6 Hedgerow Data'!$B$2:$AG$15,2,FALSE))</f>
        <v/>
      </c>
      <c r="G46" s="499" t="str">
        <f>IF(D46="","",VLOOKUP(D46,'G-6 Hedgerow Data'!$B$2:$AG$15,3,FALSE))</f>
        <v/>
      </c>
      <c r="H46" s="145"/>
      <c r="I46" s="499" t="str">
        <f>IFERROR(VLOOKUP(H46,'G-1 All Habitats'!$Z$2:$AA$9,2,FALSE),"")</f>
        <v/>
      </c>
      <c r="J46" s="145"/>
      <c r="K46" s="520" t="str">
        <f>IF(J46="","",IF(VLOOKUP(J46,'G-3 Multipliers'!$L$3:$N$6,2,FALSE)=0,"Spatial Data Missing ⚠",VLOOKUP(J46,'G-3 Multipliers'!$L$3:$N$6,2,FALSE)))</f>
        <v/>
      </c>
      <c r="L46" s="505" t="str">
        <f>IF(J46="","",IF(VLOOKUP(J46,'G-3 Multipliers'!$L$3:$N$6,3,FALSE)=0,"Spatial Data Missing ⚠",VLOOKUP(J46,'G-3 Multipliers'!$L$3:$N$6,3,FALSE)))</f>
        <v/>
      </c>
      <c r="M46" s="498" t="str">
        <f>IF(OR(D46="",H46=""),"",(INDEX('G-6 Hedgerow Data'!$E$3:$I$15,MATCH(D46,'G-6 Hedgerow Data'!$B$3:$B$15,0),MATCH(H46,'G-6 Hedgerow Data'!$E$2:$I$2,0))))</f>
        <v/>
      </c>
      <c r="N46" s="195"/>
      <c r="O46" s="195"/>
      <c r="P46" s="507" t="str">
        <f t="shared" si="1"/>
        <v/>
      </c>
      <c r="Q46" s="521" t="str">
        <f t="shared" si="2"/>
        <v/>
      </c>
      <c r="R46" s="522" t="str">
        <f t="shared" si="0"/>
        <v/>
      </c>
      <c r="S46" s="537" t="str">
        <f>IF(D46="","",VLOOKUP(D46,'G-6 Hedgerow Data'!$B$3:$AG$15,31,FALSE))</f>
        <v/>
      </c>
      <c r="T46" s="507" t="str">
        <f t="shared" si="3"/>
        <v/>
      </c>
      <c r="U46" s="507" t="str">
        <f t="shared" si="4"/>
        <v/>
      </c>
      <c r="V46" s="524" t="str">
        <f>IF(D46="","",VLOOKUP(S46,'G-3 Multipliers'!$P$3:$Q$6,2,FALSE))</f>
        <v/>
      </c>
      <c r="W46" s="529" t="str">
        <f t="shared" si="5"/>
        <v/>
      </c>
      <c r="X46" s="149"/>
      <c r="Y46" s="150"/>
      <c r="AG46" s="31" t="str">
        <f>IFERROR(INDEX('G-6 Hedgerow Data'!$BJ$3:$BJ$15,MATCH(D46,'G-6 Hedgerow Data'!$B$3:$B$15,0)),"")</f>
        <v/>
      </c>
    </row>
    <row r="47" spans="2:33" ht="13.8" x14ac:dyDescent="0.25">
      <c r="B47" s="141">
        <v>36</v>
      </c>
      <c r="C47" s="205"/>
      <c r="D47" s="195"/>
      <c r="E47" s="172"/>
      <c r="F47" s="553" t="str">
        <f>IF(D47="","",VLOOKUP(D47,'G-6 Hedgerow Data'!$B$2:$AG$15,2,FALSE))</f>
        <v/>
      </c>
      <c r="G47" s="499" t="str">
        <f>IF(D47="","",VLOOKUP(D47,'G-6 Hedgerow Data'!$B$2:$AG$15,3,FALSE))</f>
        <v/>
      </c>
      <c r="H47" s="145"/>
      <c r="I47" s="499" t="str">
        <f>IFERROR(VLOOKUP(H47,'G-1 All Habitats'!$Z$2:$AA$9,2,FALSE),"")</f>
        <v/>
      </c>
      <c r="J47" s="145"/>
      <c r="K47" s="520" t="str">
        <f>IF(J47="","",IF(VLOOKUP(J47,'G-3 Multipliers'!$L$3:$N$6,2,FALSE)=0,"Spatial Data Missing ⚠",VLOOKUP(J47,'G-3 Multipliers'!$L$3:$N$6,2,FALSE)))</f>
        <v/>
      </c>
      <c r="L47" s="505" t="str">
        <f>IF(J47="","",IF(VLOOKUP(J47,'G-3 Multipliers'!$L$3:$N$6,3,FALSE)=0,"Spatial Data Missing ⚠",VLOOKUP(J47,'G-3 Multipliers'!$L$3:$N$6,3,FALSE)))</f>
        <v/>
      </c>
      <c r="M47" s="498" t="str">
        <f>IF(OR(D47="",H47=""),"",(INDEX('G-6 Hedgerow Data'!$E$3:$I$15,MATCH(D47,'G-6 Hedgerow Data'!$B$3:$B$15,0),MATCH(H47,'G-6 Hedgerow Data'!$E$2:$I$2,0))))</f>
        <v/>
      </c>
      <c r="N47" s="195"/>
      <c r="O47" s="195"/>
      <c r="P47" s="507" t="str">
        <f t="shared" si="1"/>
        <v/>
      </c>
      <c r="Q47" s="521" t="str">
        <f t="shared" si="2"/>
        <v/>
      </c>
      <c r="R47" s="522" t="str">
        <f t="shared" si="0"/>
        <v/>
      </c>
      <c r="S47" s="537" t="str">
        <f>IF(D47="","",VLOOKUP(D47,'G-6 Hedgerow Data'!$B$3:$AG$15,31,FALSE))</f>
        <v/>
      </c>
      <c r="T47" s="507" t="str">
        <f t="shared" si="3"/>
        <v/>
      </c>
      <c r="U47" s="507" t="str">
        <f t="shared" si="4"/>
        <v/>
      </c>
      <c r="V47" s="524" t="str">
        <f>IF(D47="","",VLOOKUP(S47,'G-3 Multipliers'!$P$3:$Q$6,2,FALSE))</f>
        <v/>
      </c>
      <c r="W47" s="529" t="str">
        <f t="shared" si="5"/>
        <v/>
      </c>
      <c r="X47" s="149"/>
      <c r="Y47" s="150"/>
      <c r="AG47" s="31" t="str">
        <f>IFERROR(INDEX('G-6 Hedgerow Data'!$BJ$3:$BJ$15,MATCH(D47,'G-6 Hedgerow Data'!$B$3:$B$15,0)),"")</f>
        <v/>
      </c>
    </row>
    <row r="48" spans="2:33" ht="13.8" x14ac:dyDescent="0.25">
      <c r="B48" s="141">
        <v>37</v>
      </c>
      <c r="C48" s="205"/>
      <c r="D48" s="195"/>
      <c r="E48" s="172"/>
      <c r="F48" s="553" t="str">
        <f>IF(D48="","",VLOOKUP(D48,'G-6 Hedgerow Data'!$B$2:$AG$15,2,FALSE))</f>
        <v/>
      </c>
      <c r="G48" s="499" t="str">
        <f>IF(D48="","",VLOOKUP(D48,'G-6 Hedgerow Data'!$B$2:$AG$15,3,FALSE))</f>
        <v/>
      </c>
      <c r="H48" s="145"/>
      <c r="I48" s="499" t="str">
        <f>IFERROR(VLOOKUP(H48,'G-1 All Habitats'!$Z$2:$AA$9,2,FALSE),"")</f>
        <v/>
      </c>
      <c r="J48" s="145"/>
      <c r="K48" s="520" t="str">
        <f>IF(J48="","",IF(VLOOKUP(J48,'G-3 Multipliers'!$L$3:$N$6,2,FALSE)=0,"Spatial Data Missing ⚠",VLOOKUP(J48,'G-3 Multipliers'!$L$3:$N$6,2,FALSE)))</f>
        <v/>
      </c>
      <c r="L48" s="505" t="str">
        <f>IF(J48="","",IF(VLOOKUP(J48,'G-3 Multipliers'!$L$3:$N$6,3,FALSE)=0,"Spatial Data Missing ⚠",VLOOKUP(J48,'G-3 Multipliers'!$L$3:$N$6,3,FALSE)))</f>
        <v/>
      </c>
      <c r="M48" s="498" t="str">
        <f>IF(OR(D48="",H48=""),"",(INDEX('G-6 Hedgerow Data'!$E$3:$I$15,MATCH(D48,'G-6 Hedgerow Data'!$B$3:$B$15,0),MATCH(H48,'G-6 Hedgerow Data'!$E$2:$I$2,0))))</f>
        <v/>
      </c>
      <c r="N48" s="195"/>
      <c r="O48" s="195"/>
      <c r="P48" s="507" t="str">
        <f t="shared" si="1"/>
        <v/>
      </c>
      <c r="Q48" s="521" t="str">
        <f t="shared" si="2"/>
        <v/>
      </c>
      <c r="R48" s="522" t="str">
        <f t="shared" si="0"/>
        <v/>
      </c>
      <c r="S48" s="537" t="str">
        <f>IF(D48="","",VLOOKUP(D48,'G-6 Hedgerow Data'!$B$3:$AG$15,31,FALSE))</f>
        <v/>
      </c>
      <c r="T48" s="507" t="str">
        <f t="shared" si="3"/>
        <v/>
      </c>
      <c r="U48" s="507" t="str">
        <f t="shared" si="4"/>
        <v/>
      </c>
      <c r="V48" s="524" t="str">
        <f>IF(D48="","",VLOOKUP(S48,'G-3 Multipliers'!$P$3:$Q$6,2,FALSE))</f>
        <v/>
      </c>
      <c r="W48" s="529" t="str">
        <f t="shared" si="5"/>
        <v/>
      </c>
      <c r="X48" s="149"/>
      <c r="Y48" s="150"/>
      <c r="AG48" s="31" t="str">
        <f>IFERROR(INDEX('G-6 Hedgerow Data'!$BJ$3:$BJ$15,MATCH(D48,'G-6 Hedgerow Data'!$B$3:$B$15,0)),"")</f>
        <v/>
      </c>
    </row>
    <row r="49" spans="2:33" ht="13.8" x14ac:dyDescent="0.25">
      <c r="B49" s="141">
        <v>38</v>
      </c>
      <c r="C49" s="205"/>
      <c r="D49" s="195"/>
      <c r="E49" s="172"/>
      <c r="F49" s="553" t="str">
        <f>IF(D49="","",VLOOKUP(D49,'G-6 Hedgerow Data'!$B$2:$AG$15,2,FALSE))</f>
        <v/>
      </c>
      <c r="G49" s="499" t="str">
        <f>IF(D49="","",VLOOKUP(D49,'G-6 Hedgerow Data'!$B$2:$AG$15,3,FALSE))</f>
        <v/>
      </c>
      <c r="H49" s="145"/>
      <c r="I49" s="499" t="str">
        <f>IFERROR(VLOOKUP(H49,'G-1 All Habitats'!$Z$2:$AA$9,2,FALSE),"")</f>
        <v/>
      </c>
      <c r="J49" s="145"/>
      <c r="K49" s="520" t="str">
        <f>IF(J49="","",IF(VLOOKUP(J49,'G-3 Multipliers'!$L$3:$N$6,2,FALSE)=0,"Spatial Data Missing ⚠",VLOOKUP(J49,'G-3 Multipliers'!$L$3:$N$6,2,FALSE)))</f>
        <v/>
      </c>
      <c r="L49" s="505" t="str">
        <f>IF(J49="","",IF(VLOOKUP(J49,'G-3 Multipliers'!$L$3:$N$6,3,FALSE)=0,"Spatial Data Missing ⚠",VLOOKUP(J49,'G-3 Multipliers'!$L$3:$N$6,3,FALSE)))</f>
        <v/>
      </c>
      <c r="M49" s="498" t="str">
        <f>IF(OR(D49="",H49=""),"",(INDEX('G-6 Hedgerow Data'!$E$3:$I$15,MATCH(D49,'G-6 Hedgerow Data'!$B$3:$B$15,0),MATCH(H49,'G-6 Hedgerow Data'!$E$2:$I$2,0))))</f>
        <v/>
      </c>
      <c r="N49" s="195"/>
      <c r="O49" s="195"/>
      <c r="P49" s="507" t="str">
        <f t="shared" si="1"/>
        <v/>
      </c>
      <c r="Q49" s="521" t="str">
        <f t="shared" si="2"/>
        <v/>
      </c>
      <c r="R49" s="522" t="str">
        <f t="shared" si="0"/>
        <v/>
      </c>
      <c r="S49" s="537" t="str">
        <f>IF(D49="","",VLOOKUP(D49,'G-6 Hedgerow Data'!$B$3:$AG$15,31,FALSE))</f>
        <v/>
      </c>
      <c r="T49" s="507" t="str">
        <f t="shared" si="3"/>
        <v/>
      </c>
      <c r="U49" s="507" t="str">
        <f t="shared" si="4"/>
        <v/>
      </c>
      <c r="V49" s="524" t="str">
        <f>IF(D49="","",VLOOKUP(S49,'G-3 Multipliers'!$P$3:$Q$6,2,FALSE))</f>
        <v/>
      </c>
      <c r="W49" s="529" t="str">
        <f t="shared" si="5"/>
        <v/>
      </c>
      <c r="X49" s="149"/>
      <c r="Y49" s="150"/>
      <c r="AG49" s="31" t="str">
        <f>IFERROR(INDEX('G-6 Hedgerow Data'!$BJ$3:$BJ$15,MATCH(D49,'G-6 Hedgerow Data'!$B$3:$B$15,0)),"")</f>
        <v/>
      </c>
    </row>
    <row r="50" spans="2:33" ht="13.8" x14ac:dyDescent="0.25">
      <c r="B50" s="141">
        <v>39</v>
      </c>
      <c r="C50" s="205"/>
      <c r="D50" s="195"/>
      <c r="E50" s="172"/>
      <c r="F50" s="553" t="str">
        <f>IF(D50="","",VLOOKUP(D50,'G-6 Hedgerow Data'!$B$2:$AG$15,2,FALSE))</f>
        <v/>
      </c>
      <c r="G50" s="499" t="str">
        <f>IF(D50="","",VLOOKUP(D50,'G-6 Hedgerow Data'!$B$2:$AG$15,3,FALSE))</f>
        <v/>
      </c>
      <c r="H50" s="145"/>
      <c r="I50" s="499" t="str">
        <f>IFERROR(VLOOKUP(H50,'G-1 All Habitats'!$Z$2:$AA$9,2,FALSE),"")</f>
        <v/>
      </c>
      <c r="J50" s="145"/>
      <c r="K50" s="520" t="str">
        <f>IF(J50="","",IF(VLOOKUP(J50,'G-3 Multipliers'!$L$3:$N$6,2,FALSE)=0,"Spatial Data Missing ⚠",VLOOKUP(J50,'G-3 Multipliers'!$L$3:$N$6,2,FALSE)))</f>
        <v/>
      </c>
      <c r="L50" s="505" t="str">
        <f>IF(J50="","",IF(VLOOKUP(J50,'G-3 Multipliers'!$L$3:$N$6,3,FALSE)=0,"Spatial Data Missing ⚠",VLOOKUP(J50,'G-3 Multipliers'!$L$3:$N$6,3,FALSE)))</f>
        <v/>
      </c>
      <c r="M50" s="498" t="str">
        <f>IF(OR(D50="",H50=""),"",(INDEX('G-6 Hedgerow Data'!$E$3:$I$15,MATCH(D50,'G-6 Hedgerow Data'!$B$3:$B$15,0),MATCH(H50,'G-6 Hedgerow Data'!$E$2:$I$2,0))))</f>
        <v/>
      </c>
      <c r="N50" s="195"/>
      <c r="O50" s="195"/>
      <c r="P50" s="507" t="str">
        <f t="shared" si="1"/>
        <v/>
      </c>
      <c r="Q50" s="521" t="str">
        <f t="shared" si="2"/>
        <v/>
      </c>
      <c r="R50" s="522" t="str">
        <f t="shared" si="0"/>
        <v/>
      </c>
      <c r="S50" s="537" t="str">
        <f>IF(D50="","",VLOOKUP(D50,'G-6 Hedgerow Data'!$B$3:$AG$15,31,FALSE))</f>
        <v/>
      </c>
      <c r="T50" s="507" t="str">
        <f t="shared" si="3"/>
        <v/>
      </c>
      <c r="U50" s="507" t="str">
        <f t="shared" si="4"/>
        <v/>
      </c>
      <c r="V50" s="524" t="str">
        <f>IF(D50="","",VLOOKUP(S50,'G-3 Multipliers'!$P$3:$Q$6,2,FALSE))</f>
        <v/>
      </c>
      <c r="W50" s="529" t="str">
        <f t="shared" si="5"/>
        <v/>
      </c>
      <c r="X50" s="149"/>
      <c r="Y50" s="150"/>
      <c r="AG50" s="31" t="str">
        <f>IFERROR(INDEX('G-6 Hedgerow Data'!$BJ$3:$BJ$15,MATCH(D50,'G-6 Hedgerow Data'!$B$3:$B$15,0)),"")</f>
        <v/>
      </c>
    </row>
    <row r="51" spans="2:33" ht="13.8" x14ac:dyDescent="0.25">
      <c r="B51" s="141">
        <v>40</v>
      </c>
      <c r="C51" s="205"/>
      <c r="D51" s="195"/>
      <c r="E51" s="172"/>
      <c r="F51" s="553" t="str">
        <f>IF(D51="","",VLOOKUP(D51,'G-6 Hedgerow Data'!$B$2:$AG$15,2,FALSE))</f>
        <v/>
      </c>
      <c r="G51" s="499" t="str">
        <f>IF(D51="","",VLOOKUP(D51,'G-6 Hedgerow Data'!$B$2:$AG$15,3,FALSE))</f>
        <v/>
      </c>
      <c r="H51" s="145"/>
      <c r="I51" s="499" t="str">
        <f>IFERROR(VLOOKUP(H51,'G-1 All Habitats'!$Z$2:$AA$9,2,FALSE),"")</f>
        <v/>
      </c>
      <c r="J51" s="145"/>
      <c r="K51" s="520" t="str">
        <f>IF(J51="","",IF(VLOOKUP(J51,'G-3 Multipliers'!$L$3:$N$6,2,FALSE)=0,"Spatial Data Missing ⚠",VLOOKUP(J51,'G-3 Multipliers'!$L$3:$N$6,2,FALSE)))</f>
        <v/>
      </c>
      <c r="L51" s="505" t="str">
        <f>IF(J51="","",IF(VLOOKUP(J51,'G-3 Multipliers'!$L$3:$N$6,3,FALSE)=0,"Spatial Data Missing ⚠",VLOOKUP(J51,'G-3 Multipliers'!$L$3:$N$6,3,FALSE)))</f>
        <v/>
      </c>
      <c r="M51" s="498" t="str">
        <f>IF(OR(D51="",H51=""),"",(INDEX('G-6 Hedgerow Data'!$E$3:$I$15,MATCH(D51,'G-6 Hedgerow Data'!$B$3:$B$15,0),MATCH(H51,'G-6 Hedgerow Data'!$E$2:$I$2,0))))</f>
        <v/>
      </c>
      <c r="N51" s="195"/>
      <c r="O51" s="195"/>
      <c r="P51" s="507" t="str">
        <f t="shared" si="1"/>
        <v/>
      </c>
      <c r="Q51" s="521" t="str">
        <f t="shared" si="2"/>
        <v/>
      </c>
      <c r="R51" s="522" t="str">
        <f t="shared" si="0"/>
        <v/>
      </c>
      <c r="S51" s="537" t="str">
        <f>IF(D51="","",VLOOKUP(D51,'G-6 Hedgerow Data'!$B$3:$AG$15,31,FALSE))</f>
        <v/>
      </c>
      <c r="T51" s="507" t="str">
        <f t="shared" si="3"/>
        <v/>
      </c>
      <c r="U51" s="507" t="str">
        <f t="shared" si="4"/>
        <v/>
      </c>
      <c r="V51" s="524" t="str">
        <f>IF(D51="","",VLOOKUP(S51,'G-3 Multipliers'!$P$3:$Q$6,2,FALSE))</f>
        <v/>
      </c>
      <c r="W51" s="529" t="str">
        <f t="shared" si="5"/>
        <v/>
      </c>
      <c r="X51" s="149"/>
      <c r="Y51" s="150"/>
      <c r="AG51" s="31" t="str">
        <f>IFERROR(INDEX('G-6 Hedgerow Data'!$BJ$3:$BJ$15,MATCH(D51,'G-6 Hedgerow Data'!$B$3:$B$15,0)),"")</f>
        <v/>
      </c>
    </row>
    <row r="52" spans="2:33" ht="13.8" x14ac:dyDescent="0.25">
      <c r="B52" s="141">
        <v>41</v>
      </c>
      <c r="C52" s="205"/>
      <c r="D52" s="195"/>
      <c r="E52" s="172"/>
      <c r="F52" s="553" t="str">
        <f>IF(D52="","",VLOOKUP(D52,'G-6 Hedgerow Data'!$B$2:$AG$15,2,FALSE))</f>
        <v/>
      </c>
      <c r="G52" s="499" t="str">
        <f>IF(D52="","",VLOOKUP(D52,'G-6 Hedgerow Data'!$B$2:$AG$15,3,FALSE))</f>
        <v/>
      </c>
      <c r="H52" s="145"/>
      <c r="I52" s="499" t="str">
        <f>IFERROR(VLOOKUP(H52,'G-1 All Habitats'!$Z$2:$AA$9,2,FALSE),"")</f>
        <v/>
      </c>
      <c r="J52" s="145"/>
      <c r="K52" s="520" t="str">
        <f>IF(J52="","",IF(VLOOKUP(J52,'G-3 Multipliers'!$L$3:$N$6,2,FALSE)=0,"Spatial Data Missing ⚠",VLOOKUP(J52,'G-3 Multipliers'!$L$3:$N$6,2,FALSE)))</f>
        <v/>
      </c>
      <c r="L52" s="505" t="str">
        <f>IF(J52="","",IF(VLOOKUP(J52,'G-3 Multipliers'!$L$3:$N$6,3,FALSE)=0,"Spatial Data Missing ⚠",VLOOKUP(J52,'G-3 Multipliers'!$L$3:$N$6,3,FALSE)))</f>
        <v/>
      </c>
      <c r="M52" s="498" t="str">
        <f>IF(OR(D52="",H52=""),"",(INDEX('G-6 Hedgerow Data'!$E$3:$I$15,MATCH(D52,'G-6 Hedgerow Data'!$B$3:$B$15,0),MATCH(H52,'G-6 Hedgerow Data'!$E$2:$I$2,0))))</f>
        <v/>
      </c>
      <c r="N52" s="195"/>
      <c r="O52" s="195"/>
      <c r="P52" s="507" t="str">
        <f t="shared" si="1"/>
        <v/>
      </c>
      <c r="Q52" s="521" t="str">
        <f t="shared" si="2"/>
        <v/>
      </c>
      <c r="R52" s="522" t="str">
        <f t="shared" si="0"/>
        <v/>
      </c>
      <c r="S52" s="537" t="str">
        <f>IF(D52="","",VLOOKUP(D52,'G-6 Hedgerow Data'!$B$3:$AG$15,31,FALSE))</f>
        <v/>
      </c>
      <c r="T52" s="507" t="str">
        <f t="shared" si="3"/>
        <v/>
      </c>
      <c r="U52" s="507" t="str">
        <f t="shared" si="4"/>
        <v/>
      </c>
      <c r="V52" s="524" t="str">
        <f>IF(D52="","",VLOOKUP(S52,'G-3 Multipliers'!$P$3:$Q$6,2,FALSE))</f>
        <v/>
      </c>
      <c r="W52" s="529" t="str">
        <f t="shared" si="5"/>
        <v/>
      </c>
      <c r="X52" s="149"/>
      <c r="Y52" s="150"/>
      <c r="AG52" s="31" t="str">
        <f>IFERROR(INDEX('G-6 Hedgerow Data'!$BJ$3:$BJ$15,MATCH(D52,'G-6 Hedgerow Data'!$B$3:$B$15,0)),"")</f>
        <v/>
      </c>
    </row>
    <row r="53" spans="2:33" ht="13.8" x14ac:dyDescent="0.25">
      <c r="B53" s="141">
        <v>42</v>
      </c>
      <c r="C53" s="205"/>
      <c r="D53" s="195"/>
      <c r="E53" s="172"/>
      <c r="F53" s="553" t="str">
        <f>IF(D53="","",VLOOKUP(D53,'G-6 Hedgerow Data'!$B$2:$AG$15,2,FALSE))</f>
        <v/>
      </c>
      <c r="G53" s="499" t="str">
        <f>IF(D53="","",VLOOKUP(D53,'G-6 Hedgerow Data'!$B$2:$AG$15,3,FALSE))</f>
        <v/>
      </c>
      <c r="H53" s="145"/>
      <c r="I53" s="499" t="str">
        <f>IFERROR(VLOOKUP(H53,'G-1 All Habitats'!$Z$2:$AA$9,2,FALSE),"")</f>
        <v/>
      </c>
      <c r="J53" s="145"/>
      <c r="K53" s="520" t="str">
        <f>IF(J53="","",IF(VLOOKUP(J53,'G-3 Multipliers'!$L$3:$N$6,2,FALSE)=0,"Spatial Data Missing ⚠",VLOOKUP(J53,'G-3 Multipliers'!$L$3:$N$6,2,FALSE)))</f>
        <v/>
      </c>
      <c r="L53" s="505" t="str">
        <f>IF(J53="","",IF(VLOOKUP(J53,'G-3 Multipliers'!$L$3:$N$6,3,FALSE)=0,"Spatial Data Missing ⚠",VLOOKUP(J53,'G-3 Multipliers'!$L$3:$N$6,3,FALSE)))</f>
        <v/>
      </c>
      <c r="M53" s="498" t="str">
        <f>IF(OR(D53="",H53=""),"",(INDEX('G-6 Hedgerow Data'!$E$3:$I$15,MATCH(D53,'G-6 Hedgerow Data'!$B$3:$B$15,0),MATCH(H53,'G-6 Hedgerow Data'!$E$2:$I$2,0))))</f>
        <v/>
      </c>
      <c r="N53" s="195"/>
      <c r="O53" s="195"/>
      <c r="P53" s="507" t="str">
        <f t="shared" si="1"/>
        <v/>
      </c>
      <c r="Q53" s="521" t="str">
        <f t="shared" si="2"/>
        <v/>
      </c>
      <c r="R53" s="522" t="str">
        <f t="shared" si="0"/>
        <v/>
      </c>
      <c r="S53" s="537" t="str">
        <f>IF(D53="","",VLOOKUP(D53,'G-6 Hedgerow Data'!$B$3:$AG$15,31,FALSE))</f>
        <v/>
      </c>
      <c r="T53" s="507" t="str">
        <f t="shared" si="3"/>
        <v/>
      </c>
      <c r="U53" s="507" t="str">
        <f t="shared" si="4"/>
        <v/>
      </c>
      <c r="V53" s="524" t="str">
        <f>IF(D53="","",VLOOKUP(S53,'G-3 Multipliers'!$P$3:$Q$6,2,FALSE))</f>
        <v/>
      </c>
      <c r="W53" s="529" t="str">
        <f t="shared" si="5"/>
        <v/>
      </c>
      <c r="X53" s="149"/>
      <c r="Y53" s="150"/>
      <c r="AG53" s="31" t="str">
        <f>IFERROR(INDEX('G-6 Hedgerow Data'!$BJ$3:$BJ$15,MATCH(D53,'G-6 Hedgerow Data'!$B$3:$B$15,0)),"")</f>
        <v/>
      </c>
    </row>
    <row r="54" spans="2:33" ht="13.8" x14ac:dyDescent="0.25">
      <c r="B54" s="141">
        <v>43</v>
      </c>
      <c r="C54" s="205"/>
      <c r="D54" s="195"/>
      <c r="E54" s="172"/>
      <c r="F54" s="553" t="str">
        <f>IF(D54="","",VLOOKUP(D54,'G-6 Hedgerow Data'!$B$2:$AG$15,2,FALSE))</f>
        <v/>
      </c>
      <c r="G54" s="499" t="str">
        <f>IF(D54="","",VLOOKUP(D54,'G-6 Hedgerow Data'!$B$2:$AG$15,3,FALSE))</f>
        <v/>
      </c>
      <c r="H54" s="145"/>
      <c r="I54" s="499" t="str">
        <f>IFERROR(VLOOKUP(H54,'G-1 All Habitats'!$Z$2:$AA$9,2,FALSE),"")</f>
        <v/>
      </c>
      <c r="J54" s="145"/>
      <c r="K54" s="520" t="str">
        <f>IF(J54="","",IF(VLOOKUP(J54,'G-3 Multipliers'!$L$3:$N$6,2,FALSE)=0,"Spatial Data Missing ⚠",VLOOKUP(J54,'G-3 Multipliers'!$L$3:$N$6,2,FALSE)))</f>
        <v/>
      </c>
      <c r="L54" s="505" t="str">
        <f>IF(J54="","",IF(VLOOKUP(J54,'G-3 Multipliers'!$L$3:$N$6,3,FALSE)=0,"Spatial Data Missing ⚠",VLOOKUP(J54,'G-3 Multipliers'!$L$3:$N$6,3,FALSE)))</f>
        <v/>
      </c>
      <c r="M54" s="498" t="str">
        <f>IF(OR(D54="",H54=""),"",(INDEX('G-6 Hedgerow Data'!$E$3:$I$15,MATCH(D54,'G-6 Hedgerow Data'!$B$3:$B$15,0),MATCH(H54,'G-6 Hedgerow Data'!$E$2:$I$2,0))))</f>
        <v/>
      </c>
      <c r="N54" s="195"/>
      <c r="O54" s="195"/>
      <c r="P54" s="507" t="str">
        <f t="shared" si="1"/>
        <v/>
      </c>
      <c r="Q54" s="521" t="str">
        <f t="shared" si="2"/>
        <v/>
      </c>
      <c r="R54" s="522" t="str">
        <f t="shared" si="0"/>
        <v/>
      </c>
      <c r="S54" s="537" t="str">
        <f>IF(D54="","",VLOOKUP(D54,'G-6 Hedgerow Data'!$B$3:$AG$15,31,FALSE))</f>
        <v/>
      </c>
      <c r="T54" s="507" t="str">
        <f t="shared" si="3"/>
        <v/>
      </c>
      <c r="U54" s="507" t="str">
        <f t="shared" si="4"/>
        <v/>
      </c>
      <c r="V54" s="524" t="str">
        <f>IF(D54="","",VLOOKUP(S54,'G-3 Multipliers'!$P$3:$Q$6,2,FALSE))</f>
        <v/>
      </c>
      <c r="W54" s="529" t="str">
        <f t="shared" si="5"/>
        <v/>
      </c>
      <c r="X54" s="149"/>
      <c r="Y54" s="150"/>
      <c r="AG54" s="31" t="str">
        <f>IFERROR(INDEX('G-6 Hedgerow Data'!$BJ$3:$BJ$15,MATCH(D54,'G-6 Hedgerow Data'!$B$3:$B$15,0)),"")</f>
        <v/>
      </c>
    </row>
    <row r="55" spans="2:33" ht="13.8" x14ac:dyDescent="0.25">
      <c r="B55" s="141">
        <v>44</v>
      </c>
      <c r="C55" s="205"/>
      <c r="D55" s="195"/>
      <c r="E55" s="172"/>
      <c r="F55" s="553" t="str">
        <f>IF(D55="","",VLOOKUP(D55,'G-6 Hedgerow Data'!$B$2:$AG$15,2,FALSE))</f>
        <v/>
      </c>
      <c r="G55" s="499" t="str">
        <f>IF(D55="","",VLOOKUP(D55,'G-6 Hedgerow Data'!$B$2:$AG$15,3,FALSE))</f>
        <v/>
      </c>
      <c r="H55" s="145"/>
      <c r="I55" s="499" t="str">
        <f>IFERROR(VLOOKUP(H55,'G-1 All Habitats'!$Z$2:$AA$9,2,FALSE),"")</f>
        <v/>
      </c>
      <c r="J55" s="145"/>
      <c r="K55" s="520" t="str">
        <f>IF(J55="","",IF(VLOOKUP(J55,'G-3 Multipliers'!$L$3:$N$6,2,FALSE)=0,"Spatial Data Missing ⚠",VLOOKUP(J55,'G-3 Multipliers'!$L$3:$N$6,2,FALSE)))</f>
        <v/>
      </c>
      <c r="L55" s="505" t="str">
        <f>IF(J55="","",IF(VLOOKUP(J55,'G-3 Multipliers'!$L$3:$N$6,3,FALSE)=0,"Spatial Data Missing ⚠",VLOOKUP(J55,'G-3 Multipliers'!$L$3:$N$6,3,FALSE)))</f>
        <v/>
      </c>
      <c r="M55" s="498" t="str">
        <f>IF(OR(D55="",H55=""),"",(INDEX('G-6 Hedgerow Data'!$E$3:$I$15,MATCH(D55,'G-6 Hedgerow Data'!$B$3:$B$15,0),MATCH(H55,'G-6 Hedgerow Data'!$E$2:$I$2,0))))</f>
        <v/>
      </c>
      <c r="N55" s="195"/>
      <c r="O55" s="195"/>
      <c r="P55" s="507" t="str">
        <f t="shared" si="1"/>
        <v/>
      </c>
      <c r="Q55" s="521" t="str">
        <f t="shared" si="2"/>
        <v/>
      </c>
      <c r="R55" s="522" t="str">
        <f t="shared" si="0"/>
        <v/>
      </c>
      <c r="S55" s="537" t="str">
        <f>IF(D55="","",VLOOKUP(D55,'G-6 Hedgerow Data'!$B$3:$AG$15,31,FALSE))</f>
        <v/>
      </c>
      <c r="T55" s="507" t="str">
        <f t="shared" si="3"/>
        <v/>
      </c>
      <c r="U55" s="507" t="str">
        <f t="shared" si="4"/>
        <v/>
      </c>
      <c r="V55" s="524" t="str">
        <f>IF(D55="","",VLOOKUP(S55,'G-3 Multipliers'!$P$3:$Q$6,2,FALSE))</f>
        <v/>
      </c>
      <c r="W55" s="529" t="str">
        <f t="shared" si="5"/>
        <v/>
      </c>
      <c r="X55" s="149"/>
      <c r="Y55" s="150"/>
      <c r="AG55" s="31" t="str">
        <f>IFERROR(INDEX('G-6 Hedgerow Data'!$BJ$3:$BJ$15,MATCH(D55,'G-6 Hedgerow Data'!$B$3:$B$15,0)),"")</f>
        <v/>
      </c>
    </row>
    <row r="56" spans="2:33" ht="13.8" x14ac:dyDescent="0.25">
      <c r="B56" s="141">
        <v>45</v>
      </c>
      <c r="C56" s="205"/>
      <c r="D56" s="195"/>
      <c r="E56" s="172"/>
      <c r="F56" s="553" t="str">
        <f>IF(D56="","",VLOOKUP(D56,'G-6 Hedgerow Data'!$B$2:$AG$15,2,FALSE))</f>
        <v/>
      </c>
      <c r="G56" s="499" t="str">
        <f>IF(D56="","",VLOOKUP(D56,'G-6 Hedgerow Data'!$B$2:$AG$15,3,FALSE))</f>
        <v/>
      </c>
      <c r="H56" s="145"/>
      <c r="I56" s="499" t="str">
        <f>IFERROR(VLOOKUP(H56,'G-1 All Habitats'!$Z$2:$AA$9,2,FALSE),"")</f>
        <v/>
      </c>
      <c r="J56" s="145"/>
      <c r="K56" s="520" t="str">
        <f>IF(J56="","",IF(VLOOKUP(J56,'G-3 Multipliers'!$L$3:$N$6,2,FALSE)=0,"Spatial Data Missing ⚠",VLOOKUP(J56,'G-3 Multipliers'!$L$3:$N$6,2,FALSE)))</f>
        <v/>
      </c>
      <c r="L56" s="505" t="str">
        <f>IF(J56="","",IF(VLOOKUP(J56,'G-3 Multipliers'!$L$3:$N$6,3,FALSE)=0,"Spatial Data Missing ⚠",VLOOKUP(J56,'G-3 Multipliers'!$L$3:$N$6,3,FALSE)))</f>
        <v/>
      </c>
      <c r="M56" s="498" t="str">
        <f>IF(OR(D56="",H56=""),"",(INDEX('G-6 Hedgerow Data'!$E$3:$I$15,MATCH(D56,'G-6 Hedgerow Data'!$B$3:$B$15,0),MATCH(H56,'G-6 Hedgerow Data'!$E$2:$I$2,0))))</f>
        <v/>
      </c>
      <c r="N56" s="195"/>
      <c r="O56" s="195"/>
      <c r="P56" s="507" t="str">
        <f t="shared" si="1"/>
        <v/>
      </c>
      <c r="Q56" s="521" t="str">
        <f t="shared" si="2"/>
        <v/>
      </c>
      <c r="R56" s="522" t="str">
        <f t="shared" si="0"/>
        <v/>
      </c>
      <c r="S56" s="537" t="str">
        <f>IF(D56="","",VLOOKUP(D56,'G-6 Hedgerow Data'!$B$3:$AG$15,31,FALSE))</f>
        <v/>
      </c>
      <c r="T56" s="507" t="str">
        <f t="shared" si="3"/>
        <v/>
      </c>
      <c r="U56" s="507" t="str">
        <f t="shared" si="4"/>
        <v/>
      </c>
      <c r="V56" s="524" t="str">
        <f>IF(D56="","",VLOOKUP(S56,'G-3 Multipliers'!$P$3:$Q$6,2,FALSE))</f>
        <v/>
      </c>
      <c r="W56" s="529" t="str">
        <f t="shared" si="5"/>
        <v/>
      </c>
      <c r="X56" s="149"/>
      <c r="Y56" s="150"/>
      <c r="AG56" s="31" t="str">
        <f>IFERROR(INDEX('G-6 Hedgerow Data'!$BJ$3:$BJ$15,MATCH(D56,'G-6 Hedgerow Data'!$B$3:$B$15,0)),"")</f>
        <v/>
      </c>
    </row>
    <row r="57" spans="2:33" ht="13.8" x14ac:dyDescent="0.25">
      <c r="B57" s="141">
        <v>46</v>
      </c>
      <c r="C57" s="205"/>
      <c r="D57" s="195"/>
      <c r="E57" s="172"/>
      <c r="F57" s="553" t="str">
        <f>IF(D57="","",VLOOKUP(D57,'G-6 Hedgerow Data'!$B$2:$AG$15,2,FALSE))</f>
        <v/>
      </c>
      <c r="G57" s="499" t="str">
        <f>IF(D57="","",VLOOKUP(D57,'G-6 Hedgerow Data'!$B$2:$AG$15,3,FALSE))</f>
        <v/>
      </c>
      <c r="H57" s="145"/>
      <c r="I57" s="499" t="str">
        <f>IFERROR(VLOOKUP(H57,'G-1 All Habitats'!$Z$2:$AA$9,2,FALSE),"")</f>
        <v/>
      </c>
      <c r="J57" s="145"/>
      <c r="K57" s="520" t="str">
        <f>IF(J57="","",IF(VLOOKUP(J57,'G-3 Multipliers'!$L$3:$N$6,2,FALSE)=0,"Spatial Data Missing ⚠",VLOOKUP(J57,'G-3 Multipliers'!$L$3:$N$6,2,FALSE)))</f>
        <v/>
      </c>
      <c r="L57" s="505" t="str">
        <f>IF(J57="","",IF(VLOOKUP(J57,'G-3 Multipliers'!$L$3:$N$6,3,FALSE)=0,"Spatial Data Missing ⚠",VLOOKUP(J57,'G-3 Multipliers'!$L$3:$N$6,3,FALSE)))</f>
        <v/>
      </c>
      <c r="M57" s="498" t="str">
        <f>IF(OR(D57="",H57=""),"",(INDEX('G-6 Hedgerow Data'!$E$3:$I$15,MATCH(D57,'G-6 Hedgerow Data'!$B$3:$B$15,0),MATCH(H57,'G-6 Hedgerow Data'!$E$2:$I$2,0))))</f>
        <v/>
      </c>
      <c r="N57" s="195"/>
      <c r="O57" s="195"/>
      <c r="P57" s="507" t="str">
        <f t="shared" si="1"/>
        <v/>
      </c>
      <c r="Q57" s="521" t="str">
        <f t="shared" si="2"/>
        <v/>
      </c>
      <c r="R57" s="522" t="str">
        <f t="shared" si="0"/>
        <v/>
      </c>
      <c r="S57" s="537" t="str">
        <f>IF(D57="","",VLOOKUP(D57,'G-6 Hedgerow Data'!$B$3:$AG$15,31,FALSE))</f>
        <v/>
      </c>
      <c r="T57" s="507" t="str">
        <f t="shared" si="3"/>
        <v/>
      </c>
      <c r="U57" s="507" t="str">
        <f t="shared" si="4"/>
        <v/>
      </c>
      <c r="V57" s="524" t="str">
        <f>IF(D57="","",VLOOKUP(S57,'G-3 Multipliers'!$P$3:$Q$6,2,FALSE))</f>
        <v/>
      </c>
      <c r="W57" s="529" t="str">
        <f t="shared" si="5"/>
        <v/>
      </c>
      <c r="X57" s="149"/>
      <c r="Y57" s="150"/>
      <c r="AG57" s="31" t="str">
        <f>IFERROR(INDEX('G-6 Hedgerow Data'!$BJ$3:$BJ$15,MATCH(D57,'G-6 Hedgerow Data'!$B$3:$B$15,0)),"")</f>
        <v/>
      </c>
    </row>
    <row r="58" spans="2:33" ht="13.8" x14ac:dyDescent="0.25">
      <c r="B58" s="141">
        <v>47</v>
      </c>
      <c r="C58" s="205"/>
      <c r="D58" s="195"/>
      <c r="E58" s="172"/>
      <c r="F58" s="553" t="str">
        <f>IF(D58="","",VLOOKUP(D58,'G-6 Hedgerow Data'!$B$2:$AG$15,2,FALSE))</f>
        <v/>
      </c>
      <c r="G58" s="499" t="str">
        <f>IF(D58="","",VLOOKUP(D58,'G-6 Hedgerow Data'!$B$2:$AG$15,3,FALSE))</f>
        <v/>
      </c>
      <c r="H58" s="145"/>
      <c r="I58" s="499" t="str">
        <f>IFERROR(VLOOKUP(H58,'G-1 All Habitats'!$Z$2:$AA$9,2,FALSE),"")</f>
        <v/>
      </c>
      <c r="J58" s="145"/>
      <c r="K58" s="520" t="str">
        <f>IF(J58="","",IF(VLOOKUP(J58,'G-3 Multipliers'!$L$3:$N$6,2,FALSE)=0,"Spatial Data Missing ⚠",VLOOKUP(J58,'G-3 Multipliers'!$L$3:$N$6,2,FALSE)))</f>
        <v/>
      </c>
      <c r="L58" s="505" t="str">
        <f>IF(J58="","",IF(VLOOKUP(J58,'G-3 Multipliers'!$L$3:$N$6,3,FALSE)=0,"Spatial Data Missing ⚠",VLOOKUP(J58,'G-3 Multipliers'!$L$3:$N$6,3,FALSE)))</f>
        <v/>
      </c>
      <c r="M58" s="498" t="str">
        <f>IF(OR(D58="",H58=""),"",(INDEX('G-6 Hedgerow Data'!$E$3:$I$15,MATCH(D58,'G-6 Hedgerow Data'!$B$3:$B$15,0),MATCH(H58,'G-6 Hedgerow Data'!$E$2:$I$2,0))))</f>
        <v/>
      </c>
      <c r="N58" s="195"/>
      <c r="O58" s="195"/>
      <c r="P58" s="507" t="str">
        <f t="shared" si="1"/>
        <v/>
      </c>
      <c r="Q58" s="521" t="str">
        <f t="shared" si="2"/>
        <v/>
      </c>
      <c r="R58" s="522" t="str">
        <f t="shared" si="0"/>
        <v/>
      </c>
      <c r="S58" s="537" t="str">
        <f>IF(D58="","",VLOOKUP(D58,'G-6 Hedgerow Data'!$B$3:$AG$15,31,FALSE))</f>
        <v/>
      </c>
      <c r="T58" s="507" t="str">
        <f t="shared" si="3"/>
        <v/>
      </c>
      <c r="U58" s="507" t="str">
        <f t="shared" si="4"/>
        <v/>
      </c>
      <c r="V58" s="524" t="str">
        <f>IF(D58="","",VLOOKUP(S58,'G-3 Multipliers'!$P$3:$Q$6,2,FALSE))</f>
        <v/>
      </c>
      <c r="W58" s="529" t="str">
        <f t="shared" si="5"/>
        <v/>
      </c>
      <c r="X58" s="149"/>
      <c r="Y58" s="150"/>
      <c r="AG58" s="31" t="str">
        <f>IFERROR(INDEX('G-6 Hedgerow Data'!$BJ$3:$BJ$15,MATCH(D58,'G-6 Hedgerow Data'!$B$3:$B$15,0)),"")</f>
        <v/>
      </c>
    </row>
    <row r="59" spans="2:33" ht="13.8" x14ac:dyDescent="0.25">
      <c r="B59" s="141">
        <v>48</v>
      </c>
      <c r="C59" s="205"/>
      <c r="D59" s="195"/>
      <c r="E59" s="172"/>
      <c r="F59" s="553" t="str">
        <f>IF(D59="","",VLOOKUP(D59,'G-6 Hedgerow Data'!$B$2:$AG$15,2,FALSE))</f>
        <v/>
      </c>
      <c r="G59" s="499" t="str">
        <f>IF(D59="","",VLOOKUP(D59,'G-6 Hedgerow Data'!$B$2:$AG$15,3,FALSE))</f>
        <v/>
      </c>
      <c r="H59" s="145"/>
      <c r="I59" s="499" t="str">
        <f>IFERROR(VLOOKUP(H59,'G-1 All Habitats'!$Z$2:$AA$9,2,FALSE),"")</f>
        <v/>
      </c>
      <c r="J59" s="145"/>
      <c r="K59" s="520" t="str">
        <f>IF(J59="","",IF(VLOOKUP(J59,'G-3 Multipliers'!$L$3:$N$6,2,FALSE)=0,"Spatial Data Missing ⚠",VLOOKUP(J59,'G-3 Multipliers'!$L$3:$N$6,2,FALSE)))</f>
        <v/>
      </c>
      <c r="L59" s="505" t="str">
        <f>IF(J59="","",IF(VLOOKUP(J59,'G-3 Multipliers'!$L$3:$N$6,3,FALSE)=0,"Spatial Data Missing ⚠",VLOOKUP(J59,'G-3 Multipliers'!$L$3:$N$6,3,FALSE)))</f>
        <v/>
      </c>
      <c r="M59" s="498" t="str">
        <f>IF(OR(D59="",H59=""),"",(INDEX('G-6 Hedgerow Data'!$E$3:$I$15,MATCH(D59,'G-6 Hedgerow Data'!$B$3:$B$15,0),MATCH(H59,'G-6 Hedgerow Data'!$E$2:$I$2,0))))</f>
        <v/>
      </c>
      <c r="N59" s="195"/>
      <c r="O59" s="195"/>
      <c r="P59" s="507" t="str">
        <f t="shared" si="1"/>
        <v/>
      </c>
      <c r="Q59" s="521" t="str">
        <f t="shared" si="2"/>
        <v/>
      </c>
      <c r="R59" s="522" t="str">
        <f t="shared" si="0"/>
        <v/>
      </c>
      <c r="S59" s="537" t="str">
        <f>IF(D59="","",VLOOKUP(D59,'G-6 Hedgerow Data'!$B$3:$AG$15,31,FALSE))</f>
        <v/>
      </c>
      <c r="T59" s="507" t="str">
        <f t="shared" si="3"/>
        <v/>
      </c>
      <c r="U59" s="507" t="str">
        <f t="shared" si="4"/>
        <v/>
      </c>
      <c r="V59" s="524" t="str">
        <f>IF(D59="","",VLOOKUP(S59,'G-3 Multipliers'!$P$3:$Q$6,2,FALSE))</f>
        <v/>
      </c>
      <c r="W59" s="529" t="str">
        <f t="shared" si="5"/>
        <v/>
      </c>
      <c r="X59" s="149"/>
      <c r="Y59" s="150"/>
      <c r="AG59" s="31" t="str">
        <f>IFERROR(INDEX('G-6 Hedgerow Data'!$BJ$3:$BJ$15,MATCH(D59,'G-6 Hedgerow Data'!$B$3:$B$15,0)),"")</f>
        <v/>
      </c>
    </row>
    <row r="60" spans="2:33" ht="13.8" x14ac:dyDescent="0.25">
      <c r="B60" s="141">
        <v>49</v>
      </c>
      <c r="C60" s="205"/>
      <c r="D60" s="195"/>
      <c r="E60" s="172"/>
      <c r="F60" s="553" t="str">
        <f>IF(D60="","",VLOOKUP(D60,'G-6 Hedgerow Data'!$B$2:$AG$15,2,FALSE))</f>
        <v/>
      </c>
      <c r="G60" s="499" t="str">
        <f>IF(D60="","",VLOOKUP(D60,'G-6 Hedgerow Data'!$B$2:$AG$15,3,FALSE))</f>
        <v/>
      </c>
      <c r="H60" s="145"/>
      <c r="I60" s="499" t="str">
        <f>IFERROR(VLOOKUP(H60,'G-1 All Habitats'!$Z$2:$AA$9,2,FALSE),"")</f>
        <v/>
      </c>
      <c r="J60" s="145"/>
      <c r="K60" s="520" t="str">
        <f>IF(J60="","",IF(VLOOKUP(J60,'G-3 Multipliers'!$L$3:$N$6,2,FALSE)=0,"Spatial Data Missing ⚠",VLOOKUP(J60,'G-3 Multipliers'!$L$3:$N$6,2,FALSE)))</f>
        <v/>
      </c>
      <c r="L60" s="505" t="str">
        <f>IF(J60="","",IF(VLOOKUP(J60,'G-3 Multipliers'!$L$3:$N$6,3,FALSE)=0,"Spatial Data Missing ⚠",VLOOKUP(J60,'G-3 Multipliers'!$L$3:$N$6,3,FALSE)))</f>
        <v/>
      </c>
      <c r="M60" s="498" t="str">
        <f>IF(OR(D60="",H60=""),"",(INDEX('G-6 Hedgerow Data'!$E$3:$I$15,MATCH(D60,'G-6 Hedgerow Data'!$B$3:$B$15,0),MATCH(H60,'G-6 Hedgerow Data'!$E$2:$I$2,0))))</f>
        <v/>
      </c>
      <c r="N60" s="195"/>
      <c r="O60" s="195"/>
      <c r="P60" s="507" t="str">
        <f t="shared" si="1"/>
        <v/>
      </c>
      <c r="Q60" s="521" t="str">
        <f t="shared" si="2"/>
        <v/>
      </c>
      <c r="R60" s="522" t="str">
        <f t="shared" si="0"/>
        <v/>
      </c>
      <c r="S60" s="537" t="str">
        <f>IF(D60="","",VLOOKUP(D60,'G-6 Hedgerow Data'!$B$3:$AG$15,31,FALSE))</f>
        <v/>
      </c>
      <c r="T60" s="507" t="str">
        <f t="shared" si="3"/>
        <v/>
      </c>
      <c r="U60" s="507" t="str">
        <f t="shared" si="4"/>
        <v/>
      </c>
      <c r="V60" s="524" t="str">
        <f>IF(D60="","",VLOOKUP(S60,'G-3 Multipliers'!$P$3:$Q$6,2,FALSE))</f>
        <v/>
      </c>
      <c r="W60" s="529" t="str">
        <f t="shared" si="5"/>
        <v/>
      </c>
      <c r="X60" s="149"/>
      <c r="Y60" s="150"/>
      <c r="AG60" s="31" t="str">
        <f>IFERROR(INDEX('G-6 Hedgerow Data'!$BJ$3:$BJ$15,MATCH(D60,'G-6 Hedgerow Data'!$B$3:$B$15,0)),"")</f>
        <v/>
      </c>
    </row>
    <row r="61" spans="2:33" ht="13.8" x14ac:dyDescent="0.25">
      <c r="B61" s="141">
        <v>50</v>
      </c>
      <c r="C61" s="205"/>
      <c r="D61" s="195"/>
      <c r="E61" s="172"/>
      <c r="F61" s="553" t="str">
        <f>IF(D61="","",VLOOKUP(D61,'G-6 Hedgerow Data'!$B$2:$AG$15,2,FALSE))</f>
        <v/>
      </c>
      <c r="G61" s="499" t="str">
        <f>IF(D61="","",VLOOKUP(D61,'G-6 Hedgerow Data'!$B$2:$AG$15,3,FALSE))</f>
        <v/>
      </c>
      <c r="H61" s="145"/>
      <c r="I61" s="499" t="str">
        <f>IFERROR(VLOOKUP(H61,'G-1 All Habitats'!$Z$2:$AA$9,2,FALSE),"")</f>
        <v/>
      </c>
      <c r="J61" s="145"/>
      <c r="K61" s="520" t="str">
        <f>IF(J61="","",IF(VLOOKUP(J61,'G-3 Multipliers'!$L$3:$N$6,2,FALSE)=0,"Spatial Data Missing ⚠",VLOOKUP(J61,'G-3 Multipliers'!$L$3:$N$6,2,FALSE)))</f>
        <v/>
      </c>
      <c r="L61" s="505" t="str">
        <f>IF(J61="","",IF(VLOOKUP(J61,'G-3 Multipliers'!$L$3:$N$6,3,FALSE)=0,"Spatial Data Missing ⚠",VLOOKUP(J61,'G-3 Multipliers'!$L$3:$N$6,3,FALSE)))</f>
        <v/>
      </c>
      <c r="M61" s="498" t="str">
        <f>IF(OR(D61="",H61=""),"",(INDEX('G-6 Hedgerow Data'!$E$3:$I$15,MATCH(D61,'G-6 Hedgerow Data'!$B$3:$B$15,0),MATCH(H61,'G-6 Hedgerow Data'!$E$2:$I$2,0))))</f>
        <v/>
      </c>
      <c r="N61" s="195"/>
      <c r="O61" s="195"/>
      <c r="P61" s="507" t="str">
        <f t="shared" si="1"/>
        <v/>
      </c>
      <c r="Q61" s="521" t="str">
        <f t="shared" si="2"/>
        <v/>
      </c>
      <c r="R61" s="522" t="str">
        <f t="shared" si="0"/>
        <v/>
      </c>
      <c r="S61" s="537" t="str">
        <f>IF(D61="","",VLOOKUP(D61,'G-6 Hedgerow Data'!$B$3:$AG$15,31,FALSE))</f>
        <v/>
      </c>
      <c r="T61" s="507" t="str">
        <f t="shared" si="3"/>
        <v/>
      </c>
      <c r="U61" s="507" t="str">
        <f t="shared" si="4"/>
        <v/>
      </c>
      <c r="V61" s="524" t="str">
        <f>IF(D61="","",VLOOKUP(S61,'G-3 Multipliers'!$P$3:$Q$6,2,FALSE))</f>
        <v/>
      </c>
      <c r="W61" s="529" t="str">
        <f t="shared" si="5"/>
        <v/>
      </c>
      <c r="X61" s="149"/>
      <c r="Y61" s="150"/>
      <c r="AG61" s="31" t="str">
        <f>IFERROR(INDEX('G-6 Hedgerow Data'!$BJ$3:$BJ$15,MATCH(D61,'G-6 Hedgerow Data'!$B$3:$B$15,0)),"")</f>
        <v/>
      </c>
    </row>
    <row r="62" spans="2:33" ht="13.8" x14ac:dyDescent="0.25">
      <c r="B62" s="141">
        <v>51</v>
      </c>
      <c r="C62" s="205"/>
      <c r="D62" s="195"/>
      <c r="E62" s="172"/>
      <c r="F62" s="553" t="str">
        <f>IF(D62="","",VLOOKUP(D62,'G-6 Hedgerow Data'!$B$2:$AG$15,2,FALSE))</f>
        <v/>
      </c>
      <c r="G62" s="499" t="str">
        <f>IF(D62="","",VLOOKUP(D62,'G-6 Hedgerow Data'!$B$2:$AG$15,3,FALSE))</f>
        <v/>
      </c>
      <c r="H62" s="145"/>
      <c r="I62" s="499" t="str">
        <f>IFERROR(VLOOKUP(H62,'G-1 All Habitats'!$Z$2:$AA$9,2,FALSE),"")</f>
        <v/>
      </c>
      <c r="J62" s="145"/>
      <c r="K62" s="520" t="str">
        <f>IF(J62="","",IF(VLOOKUP(J62,'G-3 Multipliers'!$L$3:$N$6,2,FALSE)=0,"Spatial Data Missing ⚠",VLOOKUP(J62,'G-3 Multipliers'!$L$3:$N$6,2,FALSE)))</f>
        <v/>
      </c>
      <c r="L62" s="505" t="str">
        <f>IF(J62="","",IF(VLOOKUP(J62,'G-3 Multipliers'!$L$3:$N$6,3,FALSE)=0,"Spatial Data Missing ⚠",VLOOKUP(J62,'G-3 Multipliers'!$L$3:$N$6,3,FALSE)))</f>
        <v/>
      </c>
      <c r="M62" s="498" t="str">
        <f>IF(OR(D62="",H62=""),"",(INDEX('G-6 Hedgerow Data'!$E$3:$I$15,MATCH(D62,'G-6 Hedgerow Data'!$B$3:$B$15,0),MATCH(H62,'G-6 Hedgerow Data'!$E$2:$I$2,0))))</f>
        <v/>
      </c>
      <c r="N62" s="195"/>
      <c r="O62" s="195"/>
      <c r="P62" s="507" t="str">
        <f t="shared" si="1"/>
        <v/>
      </c>
      <c r="Q62" s="521" t="str">
        <f t="shared" si="2"/>
        <v/>
      </c>
      <c r="R62" s="522" t="str">
        <f t="shared" si="0"/>
        <v/>
      </c>
      <c r="S62" s="537" t="str">
        <f>IF(D62="","",VLOOKUP(D62,'G-6 Hedgerow Data'!$B$3:$AG$15,31,FALSE))</f>
        <v/>
      </c>
      <c r="T62" s="507" t="str">
        <f t="shared" si="3"/>
        <v/>
      </c>
      <c r="U62" s="507" t="str">
        <f t="shared" si="4"/>
        <v/>
      </c>
      <c r="V62" s="524" t="str">
        <f>IF(D62="","",VLOOKUP(S62,'G-3 Multipliers'!$P$3:$Q$6,2,FALSE))</f>
        <v/>
      </c>
      <c r="W62" s="529" t="str">
        <f t="shared" si="5"/>
        <v/>
      </c>
      <c r="X62" s="149"/>
      <c r="Y62" s="150"/>
      <c r="AG62" s="31" t="str">
        <f>IFERROR(INDEX('G-6 Hedgerow Data'!$BJ$3:$BJ$15,MATCH(D62,'G-6 Hedgerow Data'!$B$3:$B$15,0)),"")</f>
        <v/>
      </c>
    </row>
    <row r="63" spans="2:33" ht="13.8" x14ac:dyDescent="0.25">
      <c r="B63" s="141">
        <v>52</v>
      </c>
      <c r="C63" s="205"/>
      <c r="D63" s="195"/>
      <c r="E63" s="172"/>
      <c r="F63" s="553" t="str">
        <f>IF(D63="","",VLOOKUP(D63,'G-6 Hedgerow Data'!$B$2:$AG$15,2,FALSE))</f>
        <v/>
      </c>
      <c r="G63" s="499" t="str">
        <f>IF(D63="","",VLOOKUP(D63,'G-6 Hedgerow Data'!$B$2:$AG$15,3,FALSE))</f>
        <v/>
      </c>
      <c r="H63" s="145"/>
      <c r="I63" s="499" t="str">
        <f>IFERROR(VLOOKUP(H63,'G-1 All Habitats'!$Z$2:$AA$9,2,FALSE),"")</f>
        <v/>
      </c>
      <c r="J63" s="145"/>
      <c r="K63" s="520" t="str">
        <f>IF(J63="","",IF(VLOOKUP(J63,'G-3 Multipliers'!$L$3:$N$6,2,FALSE)=0,"Spatial Data Missing ⚠",VLOOKUP(J63,'G-3 Multipliers'!$L$3:$N$6,2,FALSE)))</f>
        <v/>
      </c>
      <c r="L63" s="505" t="str">
        <f>IF(J63="","",IF(VLOOKUP(J63,'G-3 Multipliers'!$L$3:$N$6,3,FALSE)=0,"Spatial Data Missing ⚠",VLOOKUP(J63,'G-3 Multipliers'!$L$3:$N$6,3,FALSE)))</f>
        <v/>
      </c>
      <c r="M63" s="498" t="str">
        <f>IF(OR(D63="",H63=""),"",(INDEX('G-6 Hedgerow Data'!$E$3:$I$15,MATCH(D63,'G-6 Hedgerow Data'!$B$3:$B$15,0),MATCH(H63,'G-6 Hedgerow Data'!$E$2:$I$2,0))))</f>
        <v/>
      </c>
      <c r="N63" s="195"/>
      <c r="O63" s="195"/>
      <c r="P63" s="507" t="str">
        <f t="shared" si="1"/>
        <v/>
      </c>
      <c r="Q63" s="521" t="str">
        <f t="shared" si="2"/>
        <v/>
      </c>
      <c r="R63" s="522" t="str">
        <f t="shared" si="0"/>
        <v/>
      </c>
      <c r="S63" s="537" t="str">
        <f>IF(D63="","",VLOOKUP(D63,'G-6 Hedgerow Data'!$B$3:$AG$15,31,FALSE))</f>
        <v/>
      </c>
      <c r="T63" s="507" t="str">
        <f t="shared" si="3"/>
        <v/>
      </c>
      <c r="U63" s="507" t="str">
        <f t="shared" si="4"/>
        <v/>
      </c>
      <c r="V63" s="524" t="str">
        <f>IF(D63="","",VLOOKUP(S63,'G-3 Multipliers'!$P$3:$Q$6,2,FALSE))</f>
        <v/>
      </c>
      <c r="W63" s="529" t="str">
        <f t="shared" si="5"/>
        <v/>
      </c>
      <c r="X63" s="149"/>
      <c r="Y63" s="150"/>
      <c r="AG63" s="31" t="str">
        <f>IFERROR(INDEX('G-6 Hedgerow Data'!$BJ$3:$BJ$15,MATCH(D63,'G-6 Hedgerow Data'!$B$3:$B$15,0)),"")</f>
        <v/>
      </c>
    </row>
    <row r="64" spans="2:33" ht="13.8" x14ac:dyDescent="0.25">
      <c r="B64" s="141">
        <v>53</v>
      </c>
      <c r="C64" s="205"/>
      <c r="D64" s="195"/>
      <c r="E64" s="172"/>
      <c r="F64" s="553" t="str">
        <f>IF(D64="","",VLOOKUP(D64,'G-6 Hedgerow Data'!$B$2:$AG$15,2,FALSE))</f>
        <v/>
      </c>
      <c r="G64" s="499" t="str">
        <f>IF(D64="","",VLOOKUP(D64,'G-6 Hedgerow Data'!$B$2:$AG$15,3,FALSE))</f>
        <v/>
      </c>
      <c r="H64" s="145"/>
      <c r="I64" s="499" t="str">
        <f>IFERROR(VLOOKUP(H64,'G-1 All Habitats'!$Z$2:$AA$9,2,FALSE),"")</f>
        <v/>
      </c>
      <c r="J64" s="145"/>
      <c r="K64" s="520" t="str">
        <f>IF(J64="","",IF(VLOOKUP(J64,'G-3 Multipliers'!$L$3:$N$6,2,FALSE)=0,"Spatial Data Missing ⚠",VLOOKUP(J64,'G-3 Multipliers'!$L$3:$N$6,2,FALSE)))</f>
        <v/>
      </c>
      <c r="L64" s="505" t="str">
        <f>IF(J64="","",IF(VLOOKUP(J64,'G-3 Multipliers'!$L$3:$N$6,3,FALSE)=0,"Spatial Data Missing ⚠",VLOOKUP(J64,'G-3 Multipliers'!$L$3:$N$6,3,FALSE)))</f>
        <v/>
      </c>
      <c r="M64" s="498" t="str">
        <f>IF(OR(D64="",H64=""),"",(INDEX('G-6 Hedgerow Data'!$E$3:$I$15,MATCH(D64,'G-6 Hedgerow Data'!$B$3:$B$15,0),MATCH(H64,'G-6 Hedgerow Data'!$E$2:$I$2,0))))</f>
        <v/>
      </c>
      <c r="N64" s="195"/>
      <c r="O64" s="195"/>
      <c r="P64" s="507" t="str">
        <f t="shared" si="1"/>
        <v/>
      </c>
      <c r="Q64" s="521" t="str">
        <f t="shared" si="2"/>
        <v/>
      </c>
      <c r="R64" s="522" t="str">
        <f t="shared" si="0"/>
        <v/>
      </c>
      <c r="S64" s="537" t="str">
        <f>IF(D64="","",VLOOKUP(D64,'G-6 Hedgerow Data'!$B$3:$AG$15,31,FALSE))</f>
        <v/>
      </c>
      <c r="T64" s="507" t="str">
        <f t="shared" si="3"/>
        <v/>
      </c>
      <c r="U64" s="507" t="str">
        <f t="shared" si="4"/>
        <v/>
      </c>
      <c r="V64" s="524" t="str">
        <f>IF(D64="","",VLOOKUP(S64,'G-3 Multipliers'!$P$3:$Q$6,2,FALSE))</f>
        <v/>
      </c>
      <c r="W64" s="529" t="str">
        <f t="shared" si="5"/>
        <v/>
      </c>
      <c r="X64" s="149"/>
      <c r="Y64" s="150"/>
      <c r="AG64" s="31" t="str">
        <f>IFERROR(INDEX('G-6 Hedgerow Data'!$BJ$3:$BJ$15,MATCH(D64,'G-6 Hedgerow Data'!$B$3:$B$15,0)),"")</f>
        <v/>
      </c>
    </row>
    <row r="65" spans="2:33" ht="13.8" x14ac:dyDescent="0.25">
      <c r="B65" s="141">
        <v>54</v>
      </c>
      <c r="C65" s="205"/>
      <c r="D65" s="195"/>
      <c r="E65" s="172"/>
      <c r="F65" s="553" t="str">
        <f>IF(D65="","",VLOOKUP(D65,'G-6 Hedgerow Data'!$B$2:$AG$15,2,FALSE))</f>
        <v/>
      </c>
      <c r="G65" s="499" t="str">
        <f>IF(D65="","",VLOOKUP(D65,'G-6 Hedgerow Data'!$B$2:$AG$15,3,FALSE))</f>
        <v/>
      </c>
      <c r="H65" s="145"/>
      <c r="I65" s="499" t="str">
        <f>IFERROR(VLOOKUP(H65,'G-1 All Habitats'!$Z$2:$AA$9,2,FALSE),"")</f>
        <v/>
      </c>
      <c r="J65" s="145"/>
      <c r="K65" s="520" t="str">
        <f>IF(J65="","",IF(VLOOKUP(J65,'G-3 Multipliers'!$L$3:$N$6,2,FALSE)=0,"Spatial Data Missing ⚠",VLOOKUP(J65,'G-3 Multipliers'!$L$3:$N$6,2,FALSE)))</f>
        <v/>
      </c>
      <c r="L65" s="505" t="str">
        <f>IF(J65="","",IF(VLOOKUP(J65,'G-3 Multipliers'!$L$3:$N$6,3,FALSE)=0,"Spatial Data Missing ⚠",VLOOKUP(J65,'G-3 Multipliers'!$L$3:$N$6,3,FALSE)))</f>
        <v/>
      </c>
      <c r="M65" s="498" t="str">
        <f>IF(OR(D65="",H65=""),"",(INDEX('G-6 Hedgerow Data'!$E$3:$I$15,MATCH(D65,'G-6 Hedgerow Data'!$B$3:$B$15,0),MATCH(H65,'G-6 Hedgerow Data'!$E$2:$I$2,0))))</f>
        <v/>
      </c>
      <c r="N65" s="195"/>
      <c r="O65" s="195"/>
      <c r="P65" s="507" t="str">
        <f t="shared" si="1"/>
        <v/>
      </c>
      <c r="Q65" s="521" t="str">
        <f t="shared" si="2"/>
        <v/>
      </c>
      <c r="R65" s="522" t="str">
        <f t="shared" si="0"/>
        <v/>
      </c>
      <c r="S65" s="537" t="str">
        <f>IF(D65="","",VLOOKUP(D65,'G-6 Hedgerow Data'!$B$3:$AG$15,31,FALSE))</f>
        <v/>
      </c>
      <c r="T65" s="507" t="str">
        <f t="shared" si="3"/>
        <v/>
      </c>
      <c r="U65" s="507" t="str">
        <f t="shared" si="4"/>
        <v/>
      </c>
      <c r="V65" s="524" t="str">
        <f>IF(D65="","",VLOOKUP(S65,'G-3 Multipliers'!$P$3:$Q$6,2,FALSE))</f>
        <v/>
      </c>
      <c r="W65" s="529" t="str">
        <f t="shared" si="5"/>
        <v/>
      </c>
      <c r="X65" s="149"/>
      <c r="Y65" s="150"/>
      <c r="AG65" s="31" t="str">
        <f>IFERROR(INDEX('G-6 Hedgerow Data'!$BJ$3:$BJ$15,MATCH(D65,'G-6 Hedgerow Data'!$B$3:$B$15,0)),"")</f>
        <v/>
      </c>
    </row>
    <row r="66" spans="2:33" ht="13.8" x14ac:dyDescent="0.25">
      <c r="B66" s="141">
        <v>55</v>
      </c>
      <c r="C66" s="205"/>
      <c r="D66" s="195"/>
      <c r="E66" s="172"/>
      <c r="F66" s="553" t="str">
        <f>IF(D66="","",VLOOKUP(D66,'G-6 Hedgerow Data'!$B$2:$AG$15,2,FALSE))</f>
        <v/>
      </c>
      <c r="G66" s="499" t="str">
        <f>IF(D66="","",VLOOKUP(D66,'G-6 Hedgerow Data'!$B$2:$AG$15,3,FALSE))</f>
        <v/>
      </c>
      <c r="H66" s="145"/>
      <c r="I66" s="499" t="str">
        <f>IFERROR(VLOOKUP(H66,'G-1 All Habitats'!$Z$2:$AA$9,2,FALSE),"")</f>
        <v/>
      </c>
      <c r="J66" s="145"/>
      <c r="K66" s="520" t="str">
        <f>IF(J66="","",IF(VLOOKUP(J66,'G-3 Multipliers'!$L$3:$N$6,2,FALSE)=0,"Spatial Data Missing ⚠",VLOOKUP(J66,'G-3 Multipliers'!$L$3:$N$6,2,FALSE)))</f>
        <v/>
      </c>
      <c r="L66" s="505" t="str">
        <f>IF(J66="","",IF(VLOOKUP(J66,'G-3 Multipliers'!$L$3:$N$6,3,FALSE)=0,"Spatial Data Missing ⚠",VLOOKUP(J66,'G-3 Multipliers'!$L$3:$N$6,3,FALSE)))</f>
        <v/>
      </c>
      <c r="M66" s="498" t="str">
        <f>IF(OR(D66="",H66=""),"",(INDEX('G-6 Hedgerow Data'!$E$3:$I$15,MATCH(D66,'G-6 Hedgerow Data'!$B$3:$B$15,0),MATCH(H66,'G-6 Hedgerow Data'!$E$2:$I$2,0))))</f>
        <v/>
      </c>
      <c r="N66" s="195"/>
      <c r="O66" s="195"/>
      <c r="P66" s="507" t="str">
        <f t="shared" si="1"/>
        <v/>
      </c>
      <c r="Q66" s="521" t="str">
        <f t="shared" si="2"/>
        <v/>
      </c>
      <c r="R66" s="522" t="str">
        <f t="shared" si="0"/>
        <v/>
      </c>
      <c r="S66" s="537" t="str">
        <f>IF(D66="","",VLOOKUP(D66,'G-6 Hedgerow Data'!$B$3:$AG$15,31,FALSE))</f>
        <v/>
      </c>
      <c r="T66" s="507" t="str">
        <f t="shared" si="3"/>
        <v/>
      </c>
      <c r="U66" s="507" t="str">
        <f t="shared" si="4"/>
        <v/>
      </c>
      <c r="V66" s="524" t="str">
        <f>IF(D66="","",VLOOKUP(S66,'G-3 Multipliers'!$P$3:$Q$6,2,FALSE))</f>
        <v/>
      </c>
      <c r="W66" s="529" t="str">
        <f t="shared" si="5"/>
        <v/>
      </c>
      <c r="X66" s="149"/>
      <c r="Y66" s="150"/>
      <c r="AG66" s="31" t="str">
        <f>IFERROR(INDEX('G-6 Hedgerow Data'!$BJ$3:$BJ$15,MATCH(D66,'G-6 Hedgerow Data'!$B$3:$B$15,0)),"")</f>
        <v/>
      </c>
    </row>
    <row r="67" spans="2:33" ht="13.8" x14ac:dyDescent="0.25">
      <c r="B67" s="141">
        <v>56</v>
      </c>
      <c r="C67" s="205"/>
      <c r="D67" s="195"/>
      <c r="E67" s="172"/>
      <c r="F67" s="553" t="str">
        <f>IF(D67="","",VLOOKUP(D67,'G-6 Hedgerow Data'!$B$2:$AG$15,2,FALSE))</f>
        <v/>
      </c>
      <c r="G67" s="499" t="str">
        <f>IF(D67="","",VLOOKUP(D67,'G-6 Hedgerow Data'!$B$2:$AG$15,3,FALSE))</f>
        <v/>
      </c>
      <c r="H67" s="145"/>
      <c r="I67" s="499" t="str">
        <f>IFERROR(VLOOKUP(H67,'G-1 All Habitats'!$Z$2:$AA$9,2,FALSE),"")</f>
        <v/>
      </c>
      <c r="J67" s="145"/>
      <c r="K67" s="520" t="str">
        <f>IF(J67="","",IF(VLOOKUP(J67,'G-3 Multipliers'!$L$3:$N$6,2,FALSE)=0,"Spatial Data Missing ⚠",VLOOKUP(J67,'G-3 Multipliers'!$L$3:$N$6,2,FALSE)))</f>
        <v/>
      </c>
      <c r="L67" s="505" t="str">
        <f>IF(J67="","",IF(VLOOKUP(J67,'G-3 Multipliers'!$L$3:$N$6,3,FALSE)=0,"Spatial Data Missing ⚠",VLOOKUP(J67,'G-3 Multipliers'!$L$3:$N$6,3,FALSE)))</f>
        <v/>
      </c>
      <c r="M67" s="498" t="str">
        <f>IF(OR(D67="",H67=""),"",(INDEX('G-6 Hedgerow Data'!$E$3:$I$15,MATCH(D67,'G-6 Hedgerow Data'!$B$3:$B$15,0),MATCH(H67,'G-6 Hedgerow Data'!$E$2:$I$2,0))))</f>
        <v/>
      </c>
      <c r="N67" s="195"/>
      <c r="O67" s="195"/>
      <c r="P67" s="507" t="str">
        <f t="shared" si="1"/>
        <v/>
      </c>
      <c r="Q67" s="521" t="str">
        <f t="shared" si="2"/>
        <v/>
      </c>
      <c r="R67" s="522" t="str">
        <f t="shared" si="0"/>
        <v/>
      </c>
      <c r="S67" s="537" t="str">
        <f>IF(D67="","",VLOOKUP(D67,'G-6 Hedgerow Data'!$B$3:$AG$15,31,FALSE))</f>
        <v/>
      </c>
      <c r="T67" s="507" t="str">
        <f t="shared" si="3"/>
        <v/>
      </c>
      <c r="U67" s="507" t="str">
        <f t="shared" si="4"/>
        <v/>
      </c>
      <c r="V67" s="524" t="str">
        <f>IF(D67="","",VLOOKUP(S67,'G-3 Multipliers'!$P$3:$Q$6,2,FALSE))</f>
        <v/>
      </c>
      <c r="W67" s="529" t="str">
        <f t="shared" si="5"/>
        <v/>
      </c>
      <c r="X67" s="149"/>
      <c r="Y67" s="150"/>
      <c r="AG67" s="31" t="str">
        <f>IFERROR(INDEX('G-6 Hedgerow Data'!$BJ$3:$BJ$15,MATCH(D67,'G-6 Hedgerow Data'!$B$3:$B$15,0)),"")</f>
        <v/>
      </c>
    </row>
    <row r="68" spans="2:33" ht="13.8" x14ac:dyDescent="0.25">
      <c r="B68" s="141">
        <v>57</v>
      </c>
      <c r="C68" s="205"/>
      <c r="D68" s="195"/>
      <c r="E68" s="172"/>
      <c r="F68" s="553" t="str">
        <f>IF(D68="","",VLOOKUP(D68,'G-6 Hedgerow Data'!$B$2:$AG$15,2,FALSE))</f>
        <v/>
      </c>
      <c r="G68" s="499" t="str">
        <f>IF(D68="","",VLOOKUP(D68,'G-6 Hedgerow Data'!$B$2:$AG$15,3,FALSE))</f>
        <v/>
      </c>
      <c r="H68" s="145"/>
      <c r="I68" s="499" t="str">
        <f>IFERROR(VLOOKUP(H68,'G-1 All Habitats'!$Z$2:$AA$9,2,FALSE),"")</f>
        <v/>
      </c>
      <c r="J68" s="145"/>
      <c r="K68" s="520" t="str">
        <f>IF(J68="","",IF(VLOOKUP(J68,'G-3 Multipliers'!$L$3:$N$6,2,FALSE)=0,"Spatial Data Missing ⚠",VLOOKUP(J68,'G-3 Multipliers'!$L$3:$N$6,2,FALSE)))</f>
        <v/>
      </c>
      <c r="L68" s="505" t="str">
        <f>IF(J68="","",IF(VLOOKUP(J68,'G-3 Multipliers'!$L$3:$N$6,3,FALSE)=0,"Spatial Data Missing ⚠",VLOOKUP(J68,'G-3 Multipliers'!$L$3:$N$6,3,FALSE)))</f>
        <v/>
      </c>
      <c r="M68" s="498" t="str">
        <f>IF(OR(D68="",H68=""),"",(INDEX('G-6 Hedgerow Data'!$E$3:$I$15,MATCH(D68,'G-6 Hedgerow Data'!$B$3:$B$15,0),MATCH(H68,'G-6 Hedgerow Data'!$E$2:$I$2,0))))</f>
        <v/>
      </c>
      <c r="N68" s="195"/>
      <c r="O68" s="195"/>
      <c r="P68" s="507" t="str">
        <f t="shared" si="1"/>
        <v/>
      </c>
      <c r="Q68" s="521" t="str">
        <f t="shared" si="2"/>
        <v/>
      </c>
      <c r="R68" s="522" t="str">
        <f t="shared" si="0"/>
        <v/>
      </c>
      <c r="S68" s="537" t="str">
        <f>IF(D68="","",VLOOKUP(D68,'G-6 Hedgerow Data'!$B$3:$AG$15,31,FALSE))</f>
        <v/>
      </c>
      <c r="T68" s="507" t="str">
        <f t="shared" si="3"/>
        <v/>
      </c>
      <c r="U68" s="507" t="str">
        <f t="shared" si="4"/>
        <v/>
      </c>
      <c r="V68" s="524" t="str">
        <f>IF(D68="","",VLOOKUP(S68,'G-3 Multipliers'!$P$3:$Q$6,2,FALSE))</f>
        <v/>
      </c>
      <c r="W68" s="529" t="str">
        <f t="shared" si="5"/>
        <v/>
      </c>
      <c r="X68" s="149"/>
      <c r="Y68" s="150"/>
      <c r="AG68" s="31" t="str">
        <f>IFERROR(INDEX('G-6 Hedgerow Data'!$BJ$3:$BJ$15,MATCH(D68,'G-6 Hedgerow Data'!$B$3:$B$15,0)),"")</f>
        <v/>
      </c>
    </row>
    <row r="69" spans="2:33" ht="13.8" x14ac:dyDescent="0.25">
      <c r="B69" s="141">
        <v>58</v>
      </c>
      <c r="C69" s="205"/>
      <c r="D69" s="195"/>
      <c r="E69" s="172"/>
      <c r="F69" s="553" t="str">
        <f>IF(D69="","",VLOOKUP(D69,'G-6 Hedgerow Data'!$B$2:$AG$15,2,FALSE))</f>
        <v/>
      </c>
      <c r="G69" s="499" t="str">
        <f>IF(D69="","",VLOOKUP(D69,'G-6 Hedgerow Data'!$B$2:$AG$15,3,FALSE))</f>
        <v/>
      </c>
      <c r="H69" s="145"/>
      <c r="I69" s="499" t="str">
        <f>IFERROR(VLOOKUP(H69,'G-1 All Habitats'!$Z$2:$AA$9,2,FALSE),"")</f>
        <v/>
      </c>
      <c r="J69" s="145"/>
      <c r="K69" s="520" t="str">
        <f>IF(J69="","",IF(VLOOKUP(J69,'G-3 Multipliers'!$L$3:$N$6,2,FALSE)=0,"Spatial Data Missing ⚠",VLOOKUP(J69,'G-3 Multipliers'!$L$3:$N$6,2,FALSE)))</f>
        <v/>
      </c>
      <c r="L69" s="505" t="str">
        <f>IF(J69="","",IF(VLOOKUP(J69,'G-3 Multipliers'!$L$3:$N$6,3,FALSE)=0,"Spatial Data Missing ⚠",VLOOKUP(J69,'G-3 Multipliers'!$L$3:$N$6,3,FALSE)))</f>
        <v/>
      </c>
      <c r="M69" s="498" t="str">
        <f>IF(OR(D69="",H69=""),"",(INDEX('G-6 Hedgerow Data'!$E$3:$I$15,MATCH(D69,'G-6 Hedgerow Data'!$B$3:$B$15,0),MATCH(H69,'G-6 Hedgerow Data'!$E$2:$I$2,0))))</f>
        <v/>
      </c>
      <c r="N69" s="195"/>
      <c r="O69" s="195"/>
      <c r="P69" s="507" t="str">
        <f t="shared" si="1"/>
        <v/>
      </c>
      <c r="Q69" s="521" t="str">
        <f t="shared" si="2"/>
        <v/>
      </c>
      <c r="R69" s="522" t="str">
        <f t="shared" si="0"/>
        <v/>
      </c>
      <c r="S69" s="537" t="str">
        <f>IF(D69="","",VLOOKUP(D69,'G-6 Hedgerow Data'!$B$3:$AG$15,31,FALSE))</f>
        <v/>
      </c>
      <c r="T69" s="507" t="str">
        <f t="shared" si="3"/>
        <v/>
      </c>
      <c r="U69" s="507" t="str">
        <f t="shared" si="4"/>
        <v/>
      </c>
      <c r="V69" s="524" t="str">
        <f>IF(D69="","",VLOOKUP(S69,'G-3 Multipliers'!$P$3:$Q$6,2,FALSE))</f>
        <v/>
      </c>
      <c r="W69" s="529" t="str">
        <f t="shared" si="5"/>
        <v/>
      </c>
      <c r="X69" s="149"/>
      <c r="Y69" s="150"/>
      <c r="AG69" s="31" t="str">
        <f>IFERROR(INDEX('G-6 Hedgerow Data'!$BJ$3:$BJ$15,MATCH(D69,'G-6 Hedgerow Data'!$B$3:$B$15,0)),"")</f>
        <v/>
      </c>
    </row>
    <row r="70" spans="2:33" ht="13.8" x14ac:dyDescent="0.25">
      <c r="B70" s="141">
        <v>59</v>
      </c>
      <c r="C70" s="205"/>
      <c r="D70" s="195"/>
      <c r="E70" s="172"/>
      <c r="F70" s="553" t="str">
        <f>IF(D70="","",VLOOKUP(D70,'G-6 Hedgerow Data'!$B$2:$AG$15,2,FALSE))</f>
        <v/>
      </c>
      <c r="G70" s="499" t="str">
        <f>IF(D70="","",VLOOKUP(D70,'G-6 Hedgerow Data'!$B$2:$AG$15,3,FALSE))</f>
        <v/>
      </c>
      <c r="H70" s="145"/>
      <c r="I70" s="499" t="str">
        <f>IFERROR(VLOOKUP(H70,'G-1 All Habitats'!$Z$2:$AA$9,2,FALSE),"")</f>
        <v/>
      </c>
      <c r="J70" s="145"/>
      <c r="K70" s="520" t="str">
        <f>IF(J70="","",IF(VLOOKUP(J70,'G-3 Multipliers'!$L$3:$N$6,2,FALSE)=0,"Spatial Data Missing ⚠",VLOOKUP(J70,'G-3 Multipliers'!$L$3:$N$6,2,FALSE)))</f>
        <v/>
      </c>
      <c r="L70" s="505" t="str">
        <f>IF(J70="","",IF(VLOOKUP(J70,'G-3 Multipliers'!$L$3:$N$6,3,FALSE)=0,"Spatial Data Missing ⚠",VLOOKUP(J70,'G-3 Multipliers'!$L$3:$N$6,3,FALSE)))</f>
        <v/>
      </c>
      <c r="M70" s="498" t="str">
        <f>IF(OR(D70="",H70=""),"",(INDEX('G-6 Hedgerow Data'!$E$3:$I$15,MATCH(D70,'G-6 Hedgerow Data'!$B$3:$B$15,0),MATCH(H70,'G-6 Hedgerow Data'!$E$2:$I$2,0))))</f>
        <v/>
      </c>
      <c r="N70" s="195"/>
      <c r="O70" s="195"/>
      <c r="P70" s="507" t="str">
        <f t="shared" si="1"/>
        <v/>
      </c>
      <c r="Q70" s="521" t="str">
        <f t="shared" si="2"/>
        <v/>
      </c>
      <c r="R70" s="522" t="str">
        <f t="shared" si="0"/>
        <v/>
      </c>
      <c r="S70" s="537" t="str">
        <f>IF(D70="","",VLOOKUP(D70,'G-6 Hedgerow Data'!$B$3:$AG$15,31,FALSE))</f>
        <v/>
      </c>
      <c r="T70" s="507" t="str">
        <f t="shared" si="3"/>
        <v/>
      </c>
      <c r="U70" s="507" t="str">
        <f t="shared" si="4"/>
        <v/>
      </c>
      <c r="V70" s="524" t="str">
        <f>IF(D70="","",VLOOKUP(S70,'G-3 Multipliers'!$P$3:$Q$6,2,FALSE))</f>
        <v/>
      </c>
      <c r="W70" s="529" t="str">
        <f t="shared" si="5"/>
        <v/>
      </c>
      <c r="X70" s="149"/>
      <c r="Y70" s="150"/>
      <c r="AG70" s="31" t="str">
        <f>IFERROR(INDEX('G-6 Hedgerow Data'!$BJ$3:$BJ$15,MATCH(D70,'G-6 Hedgerow Data'!$B$3:$B$15,0)),"")</f>
        <v/>
      </c>
    </row>
    <row r="71" spans="2:33" ht="13.8" x14ac:dyDescent="0.25">
      <c r="B71" s="141">
        <v>60</v>
      </c>
      <c r="C71" s="205"/>
      <c r="D71" s="195"/>
      <c r="E71" s="172"/>
      <c r="F71" s="553" t="str">
        <f>IF(D71="","",VLOOKUP(D71,'G-6 Hedgerow Data'!$B$2:$AG$15,2,FALSE))</f>
        <v/>
      </c>
      <c r="G71" s="499" t="str">
        <f>IF(D71="","",VLOOKUP(D71,'G-6 Hedgerow Data'!$B$2:$AG$15,3,FALSE))</f>
        <v/>
      </c>
      <c r="H71" s="145"/>
      <c r="I71" s="499" t="str">
        <f>IFERROR(VLOOKUP(H71,'G-1 All Habitats'!$Z$2:$AA$9,2,FALSE),"")</f>
        <v/>
      </c>
      <c r="J71" s="145"/>
      <c r="K71" s="520" t="str">
        <f>IF(J71="","",IF(VLOOKUP(J71,'G-3 Multipliers'!$L$3:$N$6,2,FALSE)=0,"Spatial Data Missing ⚠",VLOOKUP(J71,'G-3 Multipliers'!$L$3:$N$6,2,FALSE)))</f>
        <v/>
      </c>
      <c r="L71" s="505" t="str">
        <f>IF(J71="","",IF(VLOOKUP(J71,'G-3 Multipliers'!$L$3:$N$6,3,FALSE)=0,"Spatial Data Missing ⚠",VLOOKUP(J71,'G-3 Multipliers'!$L$3:$N$6,3,FALSE)))</f>
        <v/>
      </c>
      <c r="M71" s="498" t="str">
        <f>IF(OR(D71="",H71=""),"",(INDEX('G-6 Hedgerow Data'!$E$3:$I$15,MATCH(D71,'G-6 Hedgerow Data'!$B$3:$B$15,0),MATCH(H71,'G-6 Hedgerow Data'!$E$2:$I$2,0))))</f>
        <v/>
      </c>
      <c r="N71" s="195"/>
      <c r="O71" s="195"/>
      <c r="P71" s="507" t="str">
        <f t="shared" si="1"/>
        <v/>
      </c>
      <c r="Q71" s="521" t="str">
        <f t="shared" si="2"/>
        <v/>
      </c>
      <c r="R71" s="522" t="str">
        <f t="shared" si="0"/>
        <v/>
      </c>
      <c r="S71" s="537" t="str">
        <f>IF(D71="","",VLOOKUP(D71,'G-6 Hedgerow Data'!$B$3:$AG$15,31,FALSE))</f>
        <v/>
      </c>
      <c r="T71" s="507" t="str">
        <f t="shared" si="3"/>
        <v/>
      </c>
      <c r="U71" s="507" t="str">
        <f t="shared" si="4"/>
        <v/>
      </c>
      <c r="V71" s="524" t="str">
        <f>IF(D71="","",VLOOKUP(S71,'G-3 Multipliers'!$P$3:$Q$6,2,FALSE))</f>
        <v/>
      </c>
      <c r="W71" s="529" t="str">
        <f t="shared" si="5"/>
        <v/>
      </c>
      <c r="X71" s="149"/>
      <c r="Y71" s="150"/>
      <c r="AG71" s="31" t="str">
        <f>IFERROR(INDEX('G-6 Hedgerow Data'!$BJ$3:$BJ$15,MATCH(D71,'G-6 Hedgerow Data'!$B$3:$B$15,0)),"")</f>
        <v/>
      </c>
    </row>
    <row r="72" spans="2:33" ht="13.8" x14ac:dyDescent="0.25">
      <c r="B72" s="141">
        <v>61</v>
      </c>
      <c r="C72" s="205"/>
      <c r="D72" s="195"/>
      <c r="E72" s="172"/>
      <c r="F72" s="553" t="str">
        <f>IF(D72="","",VLOOKUP(D72,'G-6 Hedgerow Data'!$B$2:$AG$15,2,FALSE))</f>
        <v/>
      </c>
      <c r="G72" s="499" t="str">
        <f>IF(D72="","",VLOOKUP(D72,'G-6 Hedgerow Data'!$B$2:$AG$15,3,FALSE))</f>
        <v/>
      </c>
      <c r="H72" s="145"/>
      <c r="I72" s="499" t="str">
        <f>IFERROR(VLOOKUP(H72,'G-1 All Habitats'!$Z$2:$AA$9,2,FALSE),"")</f>
        <v/>
      </c>
      <c r="J72" s="145"/>
      <c r="K72" s="520" t="str">
        <f>IF(J72="","",IF(VLOOKUP(J72,'G-3 Multipliers'!$L$3:$N$6,2,FALSE)=0,"Spatial Data Missing ⚠",VLOOKUP(J72,'G-3 Multipliers'!$L$3:$N$6,2,FALSE)))</f>
        <v/>
      </c>
      <c r="L72" s="505" t="str">
        <f>IF(J72="","",IF(VLOOKUP(J72,'G-3 Multipliers'!$L$3:$N$6,3,FALSE)=0,"Spatial Data Missing ⚠",VLOOKUP(J72,'G-3 Multipliers'!$L$3:$N$6,3,FALSE)))</f>
        <v/>
      </c>
      <c r="M72" s="498" t="str">
        <f>IF(OR(D72="",H72=""),"",(INDEX('G-6 Hedgerow Data'!$E$3:$I$15,MATCH(D72,'G-6 Hedgerow Data'!$B$3:$B$15,0),MATCH(H72,'G-6 Hedgerow Data'!$E$2:$I$2,0))))</f>
        <v/>
      </c>
      <c r="N72" s="195"/>
      <c r="O72" s="195"/>
      <c r="P72" s="507" t="str">
        <f t="shared" si="1"/>
        <v/>
      </c>
      <c r="Q72" s="521" t="str">
        <f t="shared" si="2"/>
        <v/>
      </c>
      <c r="R72" s="522" t="str">
        <f t="shared" si="0"/>
        <v/>
      </c>
      <c r="S72" s="537" t="str">
        <f>IF(D72="","",VLOOKUP(D72,'G-6 Hedgerow Data'!$B$3:$AG$15,31,FALSE))</f>
        <v/>
      </c>
      <c r="T72" s="507" t="str">
        <f t="shared" si="3"/>
        <v/>
      </c>
      <c r="U72" s="507" t="str">
        <f t="shared" si="4"/>
        <v/>
      </c>
      <c r="V72" s="524" t="str">
        <f>IF(D72="","",VLOOKUP(S72,'G-3 Multipliers'!$P$3:$Q$6,2,FALSE))</f>
        <v/>
      </c>
      <c r="W72" s="529" t="str">
        <f t="shared" si="5"/>
        <v/>
      </c>
      <c r="X72" s="149"/>
      <c r="Y72" s="150"/>
      <c r="AG72" s="31" t="str">
        <f>IFERROR(INDEX('G-6 Hedgerow Data'!$BJ$3:$BJ$15,MATCH(D72,'G-6 Hedgerow Data'!$B$3:$B$15,0)),"")</f>
        <v/>
      </c>
    </row>
    <row r="73" spans="2:33" ht="13.8" x14ac:dyDescent="0.25">
      <c r="B73" s="141">
        <v>62</v>
      </c>
      <c r="C73" s="205"/>
      <c r="D73" s="195"/>
      <c r="E73" s="172"/>
      <c r="F73" s="553" t="str">
        <f>IF(D73="","",VLOOKUP(D73,'G-6 Hedgerow Data'!$B$2:$AG$15,2,FALSE))</f>
        <v/>
      </c>
      <c r="G73" s="499" t="str">
        <f>IF(D73="","",VLOOKUP(D73,'G-6 Hedgerow Data'!$B$2:$AG$15,3,FALSE))</f>
        <v/>
      </c>
      <c r="H73" s="145"/>
      <c r="I73" s="499" t="str">
        <f>IFERROR(VLOOKUP(H73,'G-1 All Habitats'!$Z$2:$AA$9,2,FALSE),"")</f>
        <v/>
      </c>
      <c r="J73" s="145"/>
      <c r="K73" s="520" t="str">
        <f>IF(J73="","",IF(VLOOKUP(J73,'G-3 Multipliers'!$L$3:$N$6,2,FALSE)=0,"Spatial Data Missing ⚠",VLOOKUP(J73,'G-3 Multipliers'!$L$3:$N$6,2,FALSE)))</f>
        <v/>
      </c>
      <c r="L73" s="505" t="str">
        <f>IF(J73="","",IF(VLOOKUP(J73,'G-3 Multipliers'!$L$3:$N$6,3,FALSE)=0,"Spatial Data Missing ⚠",VLOOKUP(J73,'G-3 Multipliers'!$L$3:$N$6,3,FALSE)))</f>
        <v/>
      </c>
      <c r="M73" s="498" t="str">
        <f>IF(OR(D73="",H73=""),"",(INDEX('G-6 Hedgerow Data'!$E$3:$I$15,MATCH(D73,'G-6 Hedgerow Data'!$B$3:$B$15,0),MATCH(H73,'G-6 Hedgerow Data'!$E$2:$I$2,0))))</f>
        <v/>
      </c>
      <c r="N73" s="195"/>
      <c r="O73" s="195"/>
      <c r="P73" s="507" t="str">
        <f t="shared" si="1"/>
        <v/>
      </c>
      <c r="Q73" s="521" t="str">
        <f t="shared" si="2"/>
        <v/>
      </c>
      <c r="R73" s="522" t="str">
        <f t="shared" si="0"/>
        <v/>
      </c>
      <c r="S73" s="537" t="str">
        <f>IF(D73="","",VLOOKUP(D73,'G-6 Hedgerow Data'!$B$3:$AG$15,31,FALSE))</f>
        <v/>
      </c>
      <c r="T73" s="507" t="str">
        <f t="shared" si="3"/>
        <v/>
      </c>
      <c r="U73" s="507" t="str">
        <f t="shared" si="4"/>
        <v/>
      </c>
      <c r="V73" s="524" t="str">
        <f>IF(D73="","",VLOOKUP(S73,'G-3 Multipliers'!$P$3:$Q$6,2,FALSE))</f>
        <v/>
      </c>
      <c r="W73" s="529" t="str">
        <f t="shared" si="5"/>
        <v/>
      </c>
      <c r="X73" s="149"/>
      <c r="Y73" s="150"/>
      <c r="AG73" s="31" t="str">
        <f>IFERROR(INDEX('G-6 Hedgerow Data'!$BJ$3:$BJ$15,MATCH(D73,'G-6 Hedgerow Data'!$B$3:$B$15,0)),"")</f>
        <v/>
      </c>
    </row>
    <row r="74" spans="2:33" ht="13.8" x14ac:dyDescent="0.25">
      <c r="B74" s="141">
        <v>63</v>
      </c>
      <c r="C74" s="205"/>
      <c r="D74" s="195"/>
      <c r="E74" s="172"/>
      <c r="F74" s="553" t="str">
        <f>IF(D74="","",VLOOKUP(D74,'G-6 Hedgerow Data'!$B$2:$AG$15,2,FALSE))</f>
        <v/>
      </c>
      <c r="G74" s="499" t="str">
        <f>IF(D74="","",VLOOKUP(D74,'G-6 Hedgerow Data'!$B$2:$AG$15,3,FALSE))</f>
        <v/>
      </c>
      <c r="H74" s="145"/>
      <c r="I74" s="499" t="str">
        <f>IFERROR(VLOOKUP(H74,'G-1 All Habitats'!$Z$2:$AA$9,2,FALSE),"")</f>
        <v/>
      </c>
      <c r="J74" s="145"/>
      <c r="K74" s="520" t="str">
        <f>IF(J74="","",IF(VLOOKUP(J74,'G-3 Multipliers'!$L$3:$N$6,2,FALSE)=0,"Spatial Data Missing ⚠",VLOOKUP(J74,'G-3 Multipliers'!$L$3:$N$6,2,FALSE)))</f>
        <v/>
      </c>
      <c r="L74" s="505" t="str">
        <f>IF(J74="","",IF(VLOOKUP(J74,'G-3 Multipliers'!$L$3:$N$6,3,FALSE)=0,"Spatial Data Missing ⚠",VLOOKUP(J74,'G-3 Multipliers'!$L$3:$N$6,3,FALSE)))</f>
        <v/>
      </c>
      <c r="M74" s="498" t="str">
        <f>IF(OR(D74="",H74=""),"",(INDEX('G-6 Hedgerow Data'!$E$3:$I$15,MATCH(D74,'G-6 Hedgerow Data'!$B$3:$B$15,0),MATCH(H74,'G-6 Hedgerow Data'!$E$2:$I$2,0))))</f>
        <v/>
      </c>
      <c r="N74" s="195"/>
      <c r="O74" s="195"/>
      <c r="P74" s="507" t="str">
        <f t="shared" si="1"/>
        <v/>
      </c>
      <c r="Q74" s="521" t="str">
        <f t="shared" si="2"/>
        <v/>
      </c>
      <c r="R74" s="522" t="str">
        <f t="shared" si="0"/>
        <v/>
      </c>
      <c r="S74" s="537" t="str">
        <f>IF(D74="","",VLOOKUP(D74,'G-6 Hedgerow Data'!$B$3:$AG$15,31,FALSE))</f>
        <v/>
      </c>
      <c r="T74" s="507" t="str">
        <f t="shared" si="3"/>
        <v/>
      </c>
      <c r="U74" s="507" t="str">
        <f t="shared" si="4"/>
        <v/>
      </c>
      <c r="V74" s="524" t="str">
        <f>IF(D74="","",VLOOKUP(S74,'G-3 Multipliers'!$P$3:$Q$6,2,FALSE))</f>
        <v/>
      </c>
      <c r="W74" s="529" t="str">
        <f t="shared" si="5"/>
        <v/>
      </c>
      <c r="X74" s="149"/>
      <c r="Y74" s="150"/>
      <c r="AG74" s="31" t="str">
        <f>IFERROR(INDEX('G-6 Hedgerow Data'!$BJ$3:$BJ$15,MATCH(D74,'G-6 Hedgerow Data'!$B$3:$B$15,0)),"")</f>
        <v/>
      </c>
    </row>
    <row r="75" spans="2:33" ht="13.8" x14ac:dyDescent="0.25">
      <c r="B75" s="141">
        <v>64</v>
      </c>
      <c r="C75" s="205"/>
      <c r="D75" s="195"/>
      <c r="E75" s="172"/>
      <c r="F75" s="553" t="str">
        <f>IF(D75="","",VLOOKUP(D75,'G-6 Hedgerow Data'!$B$2:$AG$15,2,FALSE))</f>
        <v/>
      </c>
      <c r="G75" s="499" t="str">
        <f>IF(D75="","",VLOOKUP(D75,'G-6 Hedgerow Data'!$B$2:$AG$15,3,FALSE))</f>
        <v/>
      </c>
      <c r="H75" s="145"/>
      <c r="I75" s="499" t="str">
        <f>IFERROR(VLOOKUP(H75,'G-1 All Habitats'!$Z$2:$AA$9,2,FALSE),"")</f>
        <v/>
      </c>
      <c r="J75" s="145"/>
      <c r="K75" s="520" t="str">
        <f>IF(J75="","",IF(VLOOKUP(J75,'G-3 Multipliers'!$L$3:$N$6,2,FALSE)=0,"Spatial Data Missing ⚠",VLOOKUP(J75,'G-3 Multipliers'!$L$3:$N$6,2,FALSE)))</f>
        <v/>
      </c>
      <c r="L75" s="505" t="str">
        <f>IF(J75="","",IF(VLOOKUP(J75,'G-3 Multipliers'!$L$3:$N$6,3,FALSE)=0,"Spatial Data Missing ⚠",VLOOKUP(J75,'G-3 Multipliers'!$L$3:$N$6,3,FALSE)))</f>
        <v/>
      </c>
      <c r="M75" s="498" t="str">
        <f>IF(OR(D75="",H75=""),"",(INDEX('G-6 Hedgerow Data'!$E$3:$I$15,MATCH(D75,'G-6 Hedgerow Data'!$B$3:$B$15,0),MATCH(H75,'G-6 Hedgerow Data'!$E$2:$I$2,0))))</f>
        <v/>
      </c>
      <c r="N75" s="195"/>
      <c r="O75" s="195"/>
      <c r="P75" s="507" t="str">
        <f t="shared" si="1"/>
        <v/>
      </c>
      <c r="Q75" s="521" t="str">
        <f t="shared" si="2"/>
        <v/>
      </c>
      <c r="R75" s="522" t="str">
        <f t="shared" si="0"/>
        <v/>
      </c>
      <c r="S75" s="537" t="str">
        <f>IF(D75="","",VLOOKUP(D75,'G-6 Hedgerow Data'!$B$3:$AG$15,31,FALSE))</f>
        <v/>
      </c>
      <c r="T75" s="507" t="str">
        <f t="shared" si="3"/>
        <v/>
      </c>
      <c r="U75" s="507" t="str">
        <f t="shared" si="4"/>
        <v/>
      </c>
      <c r="V75" s="524" t="str">
        <f>IF(D75="","",VLOOKUP(S75,'G-3 Multipliers'!$P$3:$Q$6,2,FALSE))</f>
        <v/>
      </c>
      <c r="W75" s="529" t="str">
        <f t="shared" si="5"/>
        <v/>
      </c>
      <c r="X75" s="149"/>
      <c r="Y75" s="150"/>
      <c r="AG75" s="31" t="str">
        <f>IFERROR(INDEX('G-6 Hedgerow Data'!$BJ$3:$BJ$15,MATCH(D75,'G-6 Hedgerow Data'!$B$3:$B$15,0)),"")</f>
        <v/>
      </c>
    </row>
    <row r="76" spans="2:33" ht="13.8" x14ac:dyDescent="0.25">
      <c r="B76" s="141">
        <v>65</v>
      </c>
      <c r="C76" s="205"/>
      <c r="D76" s="195"/>
      <c r="E76" s="172"/>
      <c r="F76" s="553" t="str">
        <f>IF(D76="","",VLOOKUP(D76,'G-6 Hedgerow Data'!$B$2:$AG$15,2,FALSE))</f>
        <v/>
      </c>
      <c r="G76" s="499" t="str">
        <f>IF(D76="","",VLOOKUP(D76,'G-6 Hedgerow Data'!$B$2:$AG$15,3,FALSE))</f>
        <v/>
      </c>
      <c r="H76" s="145"/>
      <c r="I76" s="499" t="str">
        <f>IFERROR(VLOOKUP(H76,'G-1 All Habitats'!$Z$2:$AA$9,2,FALSE),"")</f>
        <v/>
      </c>
      <c r="J76" s="145"/>
      <c r="K76" s="520" t="str">
        <f>IF(J76="","",IF(VLOOKUP(J76,'G-3 Multipliers'!$L$3:$N$6,2,FALSE)=0,"Spatial Data Missing ⚠",VLOOKUP(J76,'G-3 Multipliers'!$L$3:$N$6,2,FALSE)))</f>
        <v/>
      </c>
      <c r="L76" s="505" t="str">
        <f>IF(J76="","",IF(VLOOKUP(J76,'G-3 Multipliers'!$L$3:$N$6,3,FALSE)=0,"Spatial Data Missing ⚠",VLOOKUP(J76,'G-3 Multipliers'!$L$3:$N$6,3,FALSE)))</f>
        <v/>
      </c>
      <c r="M76" s="498" t="str">
        <f>IF(OR(D76="",H76=""),"",(INDEX('G-6 Hedgerow Data'!$E$3:$I$15,MATCH(D76,'G-6 Hedgerow Data'!$B$3:$B$15,0),MATCH(H76,'G-6 Hedgerow Data'!$E$2:$I$2,0))))</f>
        <v/>
      </c>
      <c r="N76" s="195"/>
      <c r="O76" s="195"/>
      <c r="P76" s="507" t="str">
        <f t="shared" si="1"/>
        <v/>
      </c>
      <c r="Q76" s="521" t="str">
        <f t="shared" si="2"/>
        <v/>
      </c>
      <c r="R76" s="522" t="str">
        <f t="shared" ref="R76:R139" si="6">IF(M76="","",IF(LEFT(P76,5)="Error ▲","Check Data ⚠",VLOOKUP(Q76,TemporalMultipliers,3,FALSE)))</f>
        <v/>
      </c>
      <c r="S76" s="537" t="str">
        <f>IF(D76="","",VLOOKUP(D76,'G-6 Hedgerow Data'!$B$3:$AG$15,31,FALSE))</f>
        <v/>
      </c>
      <c r="T76" s="507" t="str">
        <f t="shared" si="3"/>
        <v/>
      </c>
      <c r="U76" s="507" t="str">
        <f t="shared" si="4"/>
        <v/>
      </c>
      <c r="V76" s="524" t="str">
        <f>IF(D76="","",VLOOKUP(S76,'G-3 Multipliers'!$P$3:$Q$6,2,FALSE))</f>
        <v/>
      </c>
      <c r="W76" s="529" t="str">
        <f t="shared" si="5"/>
        <v/>
      </c>
      <c r="X76" s="149"/>
      <c r="Y76" s="150"/>
      <c r="AG76" s="31" t="str">
        <f>IFERROR(INDEX('G-6 Hedgerow Data'!$BJ$3:$BJ$15,MATCH(D76,'G-6 Hedgerow Data'!$B$3:$B$15,0)),"")</f>
        <v/>
      </c>
    </row>
    <row r="77" spans="2:33" ht="13.8" x14ac:dyDescent="0.25">
      <c r="B77" s="141">
        <v>66</v>
      </c>
      <c r="C77" s="205"/>
      <c r="D77" s="195"/>
      <c r="E77" s="172"/>
      <c r="F77" s="553" t="str">
        <f>IF(D77="","",VLOOKUP(D77,'G-6 Hedgerow Data'!$B$2:$AG$15,2,FALSE))</f>
        <v/>
      </c>
      <c r="G77" s="499" t="str">
        <f>IF(D77="","",VLOOKUP(D77,'G-6 Hedgerow Data'!$B$2:$AG$15,3,FALSE))</f>
        <v/>
      </c>
      <c r="H77" s="145"/>
      <c r="I77" s="499" t="str">
        <f>IFERROR(VLOOKUP(H77,'G-1 All Habitats'!$Z$2:$AA$9,2,FALSE),"")</f>
        <v/>
      </c>
      <c r="J77" s="145"/>
      <c r="K77" s="520" t="str">
        <f>IF(J77="","",IF(VLOOKUP(J77,'G-3 Multipliers'!$L$3:$N$6,2,FALSE)=0,"Spatial Data Missing ⚠",VLOOKUP(J77,'G-3 Multipliers'!$L$3:$N$6,2,FALSE)))</f>
        <v/>
      </c>
      <c r="L77" s="505" t="str">
        <f>IF(J77="","",IF(VLOOKUP(J77,'G-3 Multipliers'!$L$3:$N$6,3,FALSE)=0,"Spatial Data Missing ⚠",VLOOKUP(J77,'G-3 Multipliers'!$L$3:$N$6,3,FALSE)))</f>
        <v/>
      </c>
      <c r="M77" s="498" t="str">
        <f>IF(OR(D77="",H77=""),"",(INDEX('G-6 Hedgerow Data'!$E$3:$I$15,MATCH(D77,'G-6 Hedgerow Data'!$B$3:$B$15,0),MATCH(H77,'G-6 Hedgerow Data'!$E$2:$I$2,0))))</f>
        <v/>
      </c>
      <c r="N77" s="195"/>
      <c r="O77" s="195"/>
      <c r="P77" s="507"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1" t="str">
        <f t="shared" ref="Q77:Q140" si="8">IF(M77="","",IF(LEFT(P77,5)="Error ▲","Check Data ⚠",IF(OR(N77="30+",N77="Habitat already in target condition"),0,IF(O77="30+","30+ ⚠",IF(AND(M77="30+ ⚠",OR(N77="",N77=0)),"30+ ⚠",IF(AND(M77="30+ ⚠",N77&gt;0),32-N77,IF(M77+O77&gt;30,"30+ ⚠",IF(M77+O77-N77&gt;0,M77+O77-N77,IF(M77-N77&lt;0,0,M77+O77-N77)))))))))</f>
        <v/>
      </c>
      <c r="R77" s="522" t="str">
        <f t="shared" si="6"/>
        <v/>
      </c>
      <c r="S77" s="537" t="str">
        <f>IF(D77="","",VLOOKUP(D77,'G-6 Hedgerow Data'!$B$3:$AG$15,31,FALSE))</f>
        <v/>
      </c>
      <c r="T77" s="507" t="str">
        <f t="shared" ref="T77:T140" si="9">IF(D77="","",IF(Q77="Check Data ⚠","Check Data ⚠",IF(H77="","",IF($P77="Check details - Is there evidence that habitat has reached target condition? ⚠","Low Difficulty - only applicable if all habitat created before losses ⚠","Standard difficulty applied"))))</f>
        <v/>
      </c>
      <c r="U77" s="507" t="str">
        <f t="shared" ref="U77:U140" si="10">(IF(AND(T77="Standard difficulty applied",M77&gt;N77),S77,IF(AND(T77="Low Difficulty - only applicable if all habitat created before losses ⚠",Q77&lt;=0),"Low",S77)))</f>
        <v/>
      </c>
      <c r="V77" s="524" t="str">
        <f>IF(D77="","",VLOOKUP(S77,'G-3 Multipliers'!$P$3:$Q$6,2,FALSE))</f>
        <v/>
      </c>
      <c r="W77" s="529" t="str">
        <f t="shared" ref="W77:W140" si="11">IFERROR(E77*G77*I77*L77*R77*V77,"")</f>
        <v/>
      </c>
      <c r="X77" s="149"/>
      <c r="Y77" s="150"/>
      <c r="AG77" s="31" t="str">
        <f>IFERROR(INDEX('G-6 Hedgerow Data'!$BJ$3:$BJ$15,MATCH(D77,'G-6 Hedgerow Data'!$B$3:$B$15,0)),"")</f>
        <v/>
      </c>
    </row>
    <row r="78" spans="2:33" ht="13.8" x14ac:dyDescent="0.25">
      <c r="B78" s="141">
        <v>67</v>
      </c>
      <c r="C78" s="205"/>
      <c r="D78" s="195"/>
      <c r="E78" s="172"/>
      <c r="F78" s="553" t="str">
        <f>IF(D78="","",VLOOKUP(D78,'G-6 Hedgerow Data'!$B$2:$AG$15,2,FALSE))</f>
        <v/>
      </c>
      <c r="G78" s="499" t="str">
        <f>IF(D78="","",VLOOKUP(D78,'G-6 Hedgerow Data'!$B$2:$AG$15,3,FALSE))</f>
        <v/>
      </c>
      <c r="H78" s="145"/>
      <c r="I78" s="499" t="str">
        <f>IFERROR(VLOOKUP(H78,'G-1 All Habitats'!$Z$2:$AA$9,2,FALSE),"")</f>
        <v/>
      </c>
      <c r="J78" s="145"/>
      <c r="K78" s="520" t="str">
        <f>IF(J78="","",IF(VLOOKUP(J78,'G-3 Multipliers'!$L$3:$N$6,2,FALSE)=0,"Spatial Data Missing ⚠",VLOOKUP(J78,'G-3 Multipliers'!$L$3:$N$6,2,FALSE)))</f>
        <v/>
      </c>
      <c r="L78" s="505" t="str">
        <f>IF(J78="","",IF(VLOOKUP(J78,'G-3 Multipliers'!$L$3:$N$6,3,FALSE)=0,"Spatial Data Missing ⚠",VLOOKUP(J78,'G-3 Multipliers'!$L$3:$N$6,3,FALSE)))</f>
        <v/>
      </c>
      <c r="M78" s="498" t="str">
        <f>IF(OR(D78="",H78=""),"",(INDEX('G-6 Hedgerow Data'!$E$3:$I$15,MATCH(D78,'G-6 Hedgerow Data'!$B$3:$B$15,0),MATCH(H78,'G-6 Hedgerow Data'!$E$2:$I$2,0))))</f>
        <v/>
      </c>
      <c r="N78" s="195"/>
      <c r="O78" s="195"/>
      <c r="P78" s="507" t="str">
        <f t="shared" si="7"/>
        <v/>
      </c>
      <c r="Q78" s="521" t="str">
        <f t="shared" si="8"/>
        <v/>
      </c>
      <c r="R78" s="522" t="str">
        <f t="shared" si="6"/>
        <v/>
      </c>
      <c r="S78" s="537" t="str">
        <f>IF(D78="","",VLOOKUP(D78,'G-6 Hedgerow Data'!$B$3:$AG$15,31,FALSE))</f>
        <v/>
      </c>
      <c r="T78" s="507" t="str">
        <f t="shared" si="9"/>
        <v/>
      </c>
      <c r="U78" s="507" t="str">
        <f t="shared" si="10"/>
        <v/>
      </c>
      <c r="V78" s="524" t="str">
        <f>IF(D78="","",VLOOKUP(S78,'G-3 Multipliers'!$P$3:$Q$6,2,FALSE))</f>
        <v/>
      </c>
      <c r="W78" s="529" t="str">
        <f t="shared" si="11"/>
        <v/>
      </c>
      <c r="X78" s="149"/>
      <c r="Y78" s="150"/>
      <c r="AG78" s="31" t="str">
        <f>IFERROR(INDEX('G-6 Hedgerow Data'!$BJ$3:$BJ$15,MATCH(D78,'G-6 Hedgerow Data'!$B$3:$B$15,0)),"")</f>
        <v/>
      </c>
    </row>
    <row r="79" spans="2:33" ht="13.8" x14ac:dyDescent="0.25">
      <c r="B79" s="141">
        <v>68</v>
      </c>
      <c r="C79" s="205"/>
      <c r="D79" s="195"/>
      <c r="E79" s="172"/>
      <c r="F79" s="553" t="str">
        <f>IF(D79="","",VLOOKUP(D79,'G-6 Hedgerow Data'!$B$2:$AG$15,2,FALSE))</f>
        <v/>
      </c>
      <c r="G79" s="499" t="str">
        <f>IF(D79="","",VLOOKUP(D79,'G-6 Hedgerow Data'!$B$2:$AG$15,3,FALSE))</f>
        <v/>
      </c>
      <c r="H79" s="145"/>
      <c r="I79" s="499" t="str">
        <f>IFERROR(VLOOKUP(H79,'G-1 All Habitats'!$Z$2:$AA$9,2,FALSE),"")</f>
        <v/>
      </c>
      <c r="J79" s="145"/>
      <c r="K79" s="520" t="str">
        <f>IF(J79="","",IF(VLOOKUP(J79,'G-3 Multipliers'!$L$3:$N$6,2,FALSE)=0,"Spatial Data Missing ⚠",VLOOKUP(J79,'G-3 Multipliers'!$L$3:$N$6,2,FALSE)))</f>
        <v/>
      </c>
      <c r="L79" s="505" t="str">
        <f>IF(J79="","",IF(VLOOKUP(J79,'G-3 Multipliers'!$L$3:$N$6,3,FALSE)=0,"Spatial Data Missing ⚠",VLOOKUP(J79,'G-3 Multipliers'!$L$3:$N$6,3,FALSE)))</f>
        <v/>
      </c>
      <c r="M79" s="498" t="str">
        <f>IF(OR(D79="",H79=""),"",(INDEX('G-6 Hedgerow Data'!$E$3:$I$15,MATCH(D79,'G-6 Hedgerow Data'!$B$3:$B$15,0),MATCH(H79,'G-6 Hedgerow Data'!$E$2:$I$2,0))))</f>
        <v/>
      </c>
      <c r="N79" s="195"/>
      <c r="O79" s="195"/>
      <c r="P79" s="507" t="str">
        <f t="shared" si="7"/>
        <v/>
      </c>
      <c r="Q79" s="521" t="str">
        <f t="shared" si="8"/>
        <v/>
      </c>
      <c r="R79" s="522" t="str">
        <f t="shared" si="6"/>
        <v/>
      </c>
      <c r="S79" s="537" t="str">
        <f>IF(D79="","",VLOOKUP(D79,'G-6 Hedgerow Data'!$B$3:$AG$15,31,FALSE))</f>
        <v/>
      </c>
      <c r="T79" s="507" t="str">
        <f t="shared" si="9"/>
        <v/>
      </c>
      <c r="U79" s="507" t="str">
        <f t="shared" si="10"/>
        <v/>
      </c>
      <c r="V79" s="524" t="str">
        <f>IF(D79="","",VLOOKUP(S79,'G-3 Multipliers'!$P$3:$Q$6,2,FALSE))</f>
        <v/>
      </c>
      <c r="W79" s="529" t="str">
        <f t="shared" si="11"/>
        <v/>
      </c>
      <c r="X79" s="149"/>
      <c r="Y79" s="150"/>
      <c r="AG79" s="31" t="str">
        <f>IFERROR(INDEX('G-6 Hedgerow Data'!$BJ$3:$BJ$15,MATCH(D79,'G-6 Hedgerow Data'!$B$3:$B$15,0)),"")</f>
        <v/>
      </c>
    </row>
    <row r="80" spans="2:33" ht="13.8" x14ac:dyDescent="0.25">
      <c r="B80" s="141">
        <v>69</v>
      </c>
      <c r="C80" s="205"/>
      <c r="D80" s="195"/>
      <c r="E80" s="172"/>
      <c r="F80" s="553" t="str">
        <f>IF(D80="","",VLOOKUP(D80,'G-6 Hedgerow Data'!$B$2:$AG$15,2,FALSE))</f>
        <v/>
      </c>
      <c r="G80" s="499" t="str">
        <f>IF(D80="","",VLOOKUP(D80,'G-6 Hedgerow Data'!$B$2:$AG$15,3,FALSE))</f>
        <v/>
      </c>
      <c r="H80" s="145"/>
      <c r="I80" s="499" t="str">
        <f>IFERROR(VLOOKUP(H80,'G-1 All Habitats'!$Z$2:$AA$9,2,FALSE),"")</f>
        <v/>
      </c>
      <c r="J80" s="145"/>
      <c r="K80" s="520" t="str">
        <f>IF(J80="","",IF(VLOOKUP(J80,'G-3 Multipliers'!$L$3:$N$6,2,FALSE)=0,"Spatial Data Missing ⚠",VLOOKUP(J80,'G-3 Multipliers'!$L$3:$N$6,2,FALSE)))</f>
        <v/>
      </c>
      <c r="L80" s="505" t="str">
        <f>IF(J80="","",IF(VLOOKUP(J80,'G-3 Multipliers'!$L$3:$N$6,3,FALSE)=0,"Spatial Data Missing ⚠",VLOOKUP(J80,'G-3 Multipliers'!$L$3:$N$6,3,FALSE)))</f>
        <v/>
      </c>
      <c r="M80" s="498" t="str">
        <f>IF(OR(D80="",H80=""),"",(INDEX('G-6 Hedgerow Data'!$E$3:$I$15,MATCH(D80,'G-6 Hedgerow Data'!$B$3:$B$15,0),MATCH(H80,'G-6 Hedgerow Data'!$E$2:$I$2,0))))</f>
        <v/>
      </c>
      <c r="N80" s="195"/>
      <c r="O80" s="195"/>
      <c r="P80" s="507" t="str">
        <f t="shared" si="7"/>
        <v/>
      </c>
      <c r="Q80" s="521" t="str">
        <f t="shared" si="8"/>
        <v/>
      </c>
      <c r="R80" s="522" t="str">
        <f t="shared" si="6"/>
        <v/>
      </c>
      <c r="S80" s="537" t="str">
        <f>IF(D80="","",VLOOKUP(D80,'G-6 Hedgerow Data'!$B$3:$AG$15,31,FALSE))</f>
        <v/>
      </c>
      <c r="T80" s="507" t="str">
        <f t="shared" si="9"/>
        <v/>
      </c>
      <c r="U80" s="507" t="str">
        <f t="shared" si="10"/>
        <v/>
      </c>
      <c r="V80" s="524" t="str">
        <f>IF(D80="","",VLOOKUP(S80,'G-3 Multipliers'!$P$3:$Q$6,2,FALSE))</f>
        <v/>
      </c>
      <c r="W80" s="529" t="str">
        <f t="shared" si="11"/>
        <v/>
      </c>
      <c r="X80" s="149"/>
      <c r="Y80" s="150"/>
      <c r="AG80" s="31" t="str">
        <f>IFERROR(INDEX('G-6 Hedgerow Data'!$BJ$3:$BJ$15,MATCH(D80,'G-6 Hedgerow Data'!$B$3:$B$15,0)),"")</f>
        <v/>
      </c>
    </row>
    <row r="81" spans="2:33" ht="13.8" x14ac:dyDescent="0.25">
      <c r="B81" s="141">
        <v>70</v>
      </c>
      <c r="C81" s="205"/>
      <c r="D81" s="195"/>
      <c r="E81" s="172"/>
      <c r="F81" s="553" t="str">
        <f>IF(D81="","",VLOOKUP(D81,'G-6 Hedgerow Data'!$B$2:$AG$15,2,FALSE))</f>
        <v/>
      </c>
      <c r="G81" s="499" t="str">
        <f>IF(D81="","",VLOOKUP(D81,'G-6 Hedgerow Data'!$B$2:$AG$15,3,FALSE))</f>
        <v/>
      </c>
      <c r="H81" s="145"/>
      <c r="I81" s="499" t="str">
        <f>IFERROR(VLOOKUP(H81,'G-1 All Habitats'!$Z$2:$AA$9,2,FALSE),"")</f>
        <v/>
      </c>
      <c r="J81" s="145"/>
      <c r="K81" s="520" t="str">
        <f>IF(J81="","",IF(VLOOKUP(J81,'G-3 Multipliers'!$L$3:$N$6,2,FALSE)=0,"Spatial Data Missing ⚠",VLOOKUP(J81,'G-3 Multipliers'!$L$3:$N$6,2,FALSE)))</f>
        <v/>
      </c>
      <c r="L81" s="505" t="str">
        <f>IF(J81="","",IF(VLOOKUP(J81,'G-3 Multipliers'!$L$3:$N$6,3,FALSE)=0,"Spatial Data Missing ⚠",VLOOKUP(J81,'G-3 Multipliers'!$L$3:$N$6,3,FALSE)))</f>
        <v/>
      </c>
      <c r="M81" s="498" t="str">
        <f>IF(OR(D81="",H81=""),"",(INDEX('G-6 Hedgerow Data'!$E$3:$I$15,MATCH(D81,'G-6 Hedgerow Data'!$B$3:$B$15,0),MATCH(H81,'G-6 Hedgerow Data'!$E$2:$I$2,0))))</f>
        <v/>
      </c>
      <c r="N81" s="195"/>
      <c r="O81" s="195"/>
      <c r="P81" s="507" t="str">
        <f t="shared" si="7"/>
        <v/>
      </c>
      <c r="Q81" s="521" t="str">
        <f t="shared" si="8"/>
        <v/>
      </c>
      <c r="R81" s="522" t="str">
        <f t="shared" si="6"/>
        <v/>
      </c>
      <c r="S81" s="537" t="str">
        <f>IF(D81="","",VLOOKUP(D81,'G-6 Hedgerow Data'!$B$3:$AG$15,31,FALSE))</f>
        <v/>
      </c>
      <c r="T81" s="507" t="str">
        <f t="shared" si="9"/>
        <v/>
      </c>
      <c r="U81" s="507" t="str">
        <f t="shared" si="10"/>
        <v/>
      </c>
      <c r="V81" s="524" t="str">
        <f>IF(D81="","",VLOOKUP(S81,'G-3 Multipliers'!$P$3:$Q$6,2,FALSE))</f>
        <v/>
      </c>
      <c r="W81" s="529" t="str">
        <f t="shared" si="11"/>
        <v/>
      </c>
      <c r="X81" s="149"/>
      <c r="Y81" s="150"/>
      <c r="AG81" s="31" t="str">
        <f>IFERROR(INDEX('G-6 Hedgerow Data'!$BJ$3:$BJ$15,MATCH(D81,'G-6 Hedgerow Data'!$B$3:$B$15,0)),"")</f>
        <v/>
      </c>
    </row>
    <row r="82" spans="2:33" ht="13.8" x14ac:dyDescent="0.25">
      <c r="B82" s="141">
        <v>71</v>
      </c>
      <c r="C82" s="205"/>
      <c r="D82" s="195"/>
      <c r="E82" s="172"/>
      <c r="F82" s="553" t="str">
        <f>IF(D82="","",VLOOKUP(D82,'G-6 Hedgerow Data'!$B$2:$AG$15,2,FALSE))</f>
        <v/>
      </c>
      <c r="G82" s="499" t="str">
        <f>IF(D82="","",VLOOKUP(D82,'G-6 Hedgerow Data'!$B$2:$AG$15,3,FALSE))</f>
        <v/>
      </c>
      <c r="H82" s="145"/>
      <c r="I82" s="499" t="str">
        <f>IFERROR(VLOOKUP(H82,'G-1 All Habitats'!$Z$2:$AA$9,2,FALSE),"")</f>
        <v/>
      </c>
      <c r="J82" s="145"/>
      <c r="K82" s="520" t="str">
        <f>IF(J82="","",IF(VLOOKUP(J82,'G-3 Multipliers'!$L$3:$N$6,2,FALSE)=0,"Spatial Data Missing ⚠",VLOOKUP(J82,'G-3 Multipliers'!$L$3:$N$6,2,FALSE)))</f>
        <v/>
      </c>
      <c r="L82" s="505" t="str">
        <f>IF(J82="","",IF(VLOOKUP(J82,'G-3 Multipliers'!$L$3:$N$6,3,FALSE)=0,"Spatial Data Missing ⚠",VLOOKUP(J82,'G-3 Multipliers'!$L$3:$N$6,3,FALSE)))</f>
        <v/>
      </c>
      <c r="M82" s="498" t="str">
        <f>IF(OR(D82="",H82=""),"",(INDEX('G-6 Hedgerow Data'!$E$3:$I$15,MATCH(D82,'G-6 Hedgerow Data'!$B$3:$B$15,0),MATCH(H82,'G-6 Hedgerow Data'!$E$2:$I$2,0))))</f>
        <v/>
      </c>
      <c r="N82" s="195"/>
      <c r="O82" s="195"/>
      <c r="P82" s="507" t="str">
        <f t="shared" si="7"/>
        <v/>
      </c>
      <c r="Q82" s="521" t="str">
        <f t="shared" si="8"/>
        <v/>
      </c>
      <c r="R82" s="522" t="str">
        <f t="shared" si="6"/>
        <v/>
      </c>
      <c r="S82" s="537" t="str">
        <f>IF(D82="","",VLOOKUP(D82,'G-6 Hedgerow Data'!$B$3:$AG$15,31,FALSE))</f>
        <v/>
      </c>
      <c r="T82" s="507" t="str">
        <f t="shared" si="9"/>
        <v/>
      </c>
      <c r="U82" s="507" t="str">
        <f t="shared" si="10"/>
        <v/>
      </c>
      <c r="V82" s="524" t="str">
        <f>IF(D82="","",VLOOKUP(S82,'G-3 Multipliers'!$P$3:$Q$6,2,FALSE))</f>
        <v/>
      </c>
      <c r="W82" s="529" t="str">
        <f t="shared" si="11"/>
        <v/>
      </c>
      <c r="X82" s="149"/>
      <c r="Y82" s="150"/>
      <c r="AG82" s="31" t="str">
        <f>IFERROR(INDEX('G-6 Hedgerow Data'!$BJ$3:$BJ$15,MATCH(D82,'G-6 Hedgerow Data'!$B$3:$B$15,0)),"")</f>
        <v/>
      </c>
    </row>
    <row r="83" spans="2:33" ht="13.8" x14ac:dyDescent="0.25">
      <c r="B83" s="141">
        <v>72</v>
      </c>
      <c r="C83" s="205"/>
      <c r="D83" s="195"/>
      <c r="E83" s="172"/>
      <c r="F83" s="553" t="str">
        <f>IF(D83="","",VLOOKUP(D83,'G-6 Hedgerow Data'!$B$2:$AG$15,2,FALSE))</f>
        <v/>
      </c>
      <c r="G83" s="499" t="str">
        <f>IF(D83="","",VLOOKUP(D83,'G-6 Hedgerow Data'!$B$2:$AG$15,3,FALSE))</f>
        <v/>
      </c>
      <c r="H83" s="145"/>
      <c r="I83" s="499" t="str">
        <f>IFERROR(VLOOKUP(H83,'G-1 All Habitats'!$Z$2:$AA$9,2,FALSE),"")</f>
        <v/>
      </c>
      <c r="J83" s="145"/>
      <c r="K83" s="520" t="str">
        <f>IF(J83="","",IF(VLOOKUP(J83,'G-3 Multipliers'!$L$3:$N$6,2,FALSE)=0,"Spatial Data Missing ⚠",VLOOKUP(J83,'G-3 Multipliers'!$L$3:$N$6,2,FALSE)))</f>
        <v/>
      </c>
      <c r="L83" s="505" t="str">
        <f>IF(J83="","",IF(VLOOKUP(J83,'G-3 Multipliers'!$L$3:$N$6,3,FALSE)=0,"Spatial Data Missing ⚠",VLOOKUP(J83,'G-3 Multipliers'!$L$3:$N$6,3,FALSE)))</f>
        <v/>
      </c>
      <c r="M83" s="498" t="str">
        <f>IF(OR(D83="",H83=""),"",(INDEX('G-6 Hedgerow Data'!$E$3:$I$15,MATCH(D83,'G-6 Hedgerow Data'!$B$3:$B$15,0),MATCH(H83,'G-6 Hedgerow Data'!$E$2:$I$2,0))))</f>
        <v/>
      </c>
      <c r="N83" s="195"/>
      <c r="O83" s="195"/>
      <c r="P83" s="507" t="str">
        <f t="shared" si="7"/>
        <v/>
      </c>
      <c r="Q83" s="521" t="str">
        <f t="shared" si="8"/>
        <v/>
      </c>
      <c r="R83" s="522" t="str">
        <f t="shared" si="6"/>
        <v/>
      </c>
      <c r="S83" s="537" t="str">
        <f>IF(D83="","",VLOOKUP(D83,'G-6 Hedgerow Data'!$B$3:$AG$15,31,FALSE))</f>
        <v/>
      </c>
      <c r="T83" s="507" t="str">
        <f t="shared" si="9"/>
        <v/>
      </c>
      <c r="U83" s="507" t="str">
        <f t="shared" si="10"/>
        <v/>
      </c>
      <c r="V83" s="524" t="str">
        <f>IF(D83="","",VLOOKUP(S83,'G-3 Multipliers'!$P$3:$Q$6,2,FALSE))</f>
        <v/>
      </c>
      <c r="W83" s="529" t="str">
        <f t="shared" si="11"/>
        <v/>
      </c>
      <c r="X83" s="149"/>
      <c r="Y83" s="150"/>
      <c r="AG83" s="31" t="str">
        <f>IFERROR(INDEX('G-6 Hedgerow Data'!$BJ$3:$BJ$15,MATCH(D83,'G-6 Hedgerow Data'!$B$3:$B$15,0)),"")</f>
        <v/>
      </c>
    </row>
    <row r="84" spans="2:33" ht="13.8" x14ac:dyDescent="0.25">
      <c r="B84" s="141">
        <v>73</v>
      </c>
      <c r="C84" s="205"/>
      <c r="D84" s="195"/>
      <c r="E84" s="172"/>
      <c r="F84" s="553" t="str">
        <f>IF(D84="","",VLOOKUP(D84,'G-6 Hedgerow Data'!$B$2:$AG$15,2,FALSE))</f>
        <v/>
      </c>
      <c r="G84" s="499" t="str">
        <f>IF(D84="","",VLOOKUP(D84,'G-6 Hedgerow Data'!$B$2:$AG$15,3,FALSE))</f>
        <v/>
      </c>
      <c r="H84" s="145"/>
      <c r="I84" s="499" t="str">
        <f>IFERROR(VLOOKUP(H84,'G-1 All Habitats'!$Z$2:$AA$9,2,FALSE),"")</f>
        <v/>
      </c>
      <c r="J84" s="145"/>
      <c r="K84" s="520" t="str">
        <f>IF(J84="","",IF(VLOOKUP(J84,'G-3 Multipliers'!$L$3:$N$6,2,FALSE)=0,"Spatial Data Missing ⚠",VLOOKUP(J84,'G-3 Multipliers'!$L$3:$N$6,2,FALSE)))</f>
        <v/>
      </c>
      <c r="L84" s="505" t="str">
        <f>IF(J84="","",IF(VLOOKUP(J84,'G-3 Multipliers'!$L$3:$N$6,3,FALSE)=0,"Spatial Data Missing ⚠",VLOOKUP(J84,'G-3 Multipliers'!$L$3:$N$6,3,FALSE)))</f>
        <v/>
      </c>
      <c r="M84" s="498" t="str">
        <f>IF(OR(D84="",H84=""),"",(INDEX('G-6 Hedgerow Data'!$E$3:$I$15,MATCH(D84,'G-6 Hedgerow Data'!$B$3:$B$15,0),MATCH(H84,'G-6 Hedgerow Data'!$E$2:$I$2,0))))</f>
        <v/>
      </c>
      <c r="N84" s="195"/>
      <c r="O84" s="195"/>
      <c r="P84" s="507" t="str">
        <f t="shared" si="7"/>
        <v/>
      </c>
      <c r="Q84" s="521" t="str">
        <f t="shared" si="8"/>
        <v/>
      </c>
      <c r="R84" s="522" t="str">
        <f t="shared" si="6"/>
        <v/>
      </c>
      <c r="S84" s="537" t="str">
        <f>IF(D84="","",VLOOKUP(D84,'G-6 Hedgerow Data'!$B$3:$AG$15,31,FALSE))</f>
        <v/>
      </c>
      <c r="T84" s="507" t="str">
        <f t="shared" si="9"/>
        <v/>
      </c>
      <c r="U84" s="507" t="str">
        <f t="shared" si="10"/>
        <v/>
      </c>
      <c r="V84" s="524" t="str">
        <f>IF(D84="","",VLOOKUP(S84,'G-3 Multipliers'!$P$3:$Q$6,2,FALSE))</f>
        <v/>
      </c>
      <c r="W84" s="529" t="str">
        <f t="shared" si="11"/>
        <v/>
      </c>
      <c r="X84" s="149"/>
      <c r="Y84" s="150"/>
      <c r="AG84" s="31" t="str">
        <f>IFERROR(INDEX('G-6 Hedgerow Data'!$BJ$3:$BJ$15,MATCH(D84,'G-6 Hedgerow Data'!$B$3:$B$15,0)),"")</f>
        <v/>
      </c>
    </row>
    <row r="85" spans="2:33" ht="13.8" x14ac:dyDescent="0.25">
      <c r="B85" s="141">
        <v>74</v>
      </c>
      <c r="C85" s="205"/>
      <c r="D85" s="195"/>
      <c r="E85" s="172"/>
      <c r="F85" s="553" t="str">
        <f>IF(D85="","",VLOOKUP(D85,'G-6 Hedgerow Data'!$B$2:$AG$15,2,FALSE))</f>
        <v/>
      </c>
      <c r="G85" s="499" t="str">
        <f>IF(D85="","",VLOOKUP(D85,'G-6 Hedgerow Data'!$B$2:$AG$15,3,FALSE))</f>
        <v/>
      </c>
      <c r="H85" s="145"/>
      <c r="I85" s="499" t="str">
        <f>IFERROR(VLOOKUP(H85,'G-1 All Habitats'!$Z$2:$AA$9,2,FALSE),"")</f>
        <v/>
      </c>
      <c r="J85" s="145"/>
      <c r="K85" s="520" t="str">
        <f>IF(J85="","",IF(VLOOKUP(J85,'G-3 Multipliers'!$L$3:$N$6,2,FALSE)=0,"Spatial Data Missing ⚠",VLOOKUP(J85,'G-3 Multipliers'!$L$3:$N$6,2,FALSE)))</f>
        <v/>
      </c>
      <c r="L85" s="505" t="str">
        <f>IF(J85="","",IF(VLOOKUP(J85,'G-3 Multipliers'!$L$3:$N$6,3,FALSE)=0,"Spatial Data Missing ⚠",VLOOKUP(J85,'G-3 Multipliers'!$L$3:$N$6,3,FALSE)))</f>
        <v/>
      </c>
      <c r="M85" s="498" t="str">
        <f>IF(OR(D85="",H85=""),"",(INDEX('G-6 Hedgerow Data'!$E$3:$I$15,MATCH(D85,'G-6 Hedgerow Data'!$B$3:$B$15,0),MATCH(H85,'G-6 Hedgerow Data'!$E$2:$I$2,0))))</f>
        <v/>
      </c>
      <c r="N85" s="195"/>
      <c r="O85" s="195"/>
      <c r="P85" s="507" t="str">
        <f t="shared" si="7"/>
        <v/>
      </c>
      <c r="Q85" s="521" t="str">
        <f t="shared" si="8"/>
        <v/>
      </c>
      <c r="R85" s="522" t="str">
        <f t="shared" si="6"/>
        <v/>
      </c>
      <c r="S85" s="537" t="str">
        <f>IF(D85="","",VLOOKUP(D85,'G-6 Hedgerow Data'!$B$3:$AG$15,31,FALSE))</f>
        <v/>
      </c>
      <c r="T85" s="507" t="str">
        <f t="shared" si="9"/>
        <v/>
      </c>
      <c r="U85" s="507" t="str">
        <f t="shared" si="10"/>
        <v/>
      </c>
      <c r="V85" s="524" t="str">
        <f>IF(D85="","",VLOOKUP(S85,'G-3 Multipliers'!$P$3:$Q$6,2,FALSE))</f>
        <v/>
      </c>
      <c r="W85" s="529" t="str">
        <f t="shared" si="11"/>
        <v/>
      </c>
      <c r="X85" s="149"/>
      <c r="Y85" s="150"/>
      <c r="AG85" s="31" t="str">
        <f>IFERROR(INDEX('G-6 Hedgerow Data'!$BJ$3:$BJ$15,MATCH(D85,'G-6 Hedgerow Data'!$B$3:$B$15,0)),"")</f>
        <v/>
      </c>
    </row>
    <row r="86" spans="2:33" ht="13.8" x14ac:dyDescent="0.25">
      <c r="B86" s="141">
        <v>75</v>
      </c>
      <c r="C86" s="205"/>
      <c r="D86" s="195"/>
      <c r="E86" s="172"/>
      <c r="F86" s="553" t="str">
        <f>IF(D86="","",VLOOKUP(D86,'G-6 Hedgerow Data'!$B$2:$AG$15,2,FALSE))</f>
        <v/>
      </c>
      <c r="G86" s="499" t="str">
        <f>IF(D86="","",VLOOKUP(D86,'G-6 Hedgerow Data'!$B$2:$AG$15,3,FALSE))</f>
        <v/>
      </c>
      <c r="H86" s="145"/>
      <c r="I86" s="499" t="str">
        <f>IFERROR(VLOOKUP(H86,'G-1 All Habitats'!$Z$2:$AA$9,2,FALSE),"")</f>
        <v/>
      </c>
      <c r="J86" s="145"/>
      <c r="K86" s="520" t="str">
        <f>IF(J86="","",IF(VLOOKUP(J86,'G-3 Multipliers'!$L$3:$N$6,2,FALSE)=0,"Spatial Data Missing ⚠",VLOOKUP(J86,'G-3 Multipliers'!$L$3:$N$6,2,FALSE)))</f>
        <v/>
      </c>
      <c r="L86" s="505" t="str">
        <f>IF(J86="","",IF(VLOOKUP(J86,'G-3 Multipliers'!$L$3:$N$6,3,FALSE)=0,"Spatial Data Missing ⚠",VLOOKUP(J86,'G-3 Multipliers'!$L$3:$N$6,3,FALSE)))</f>
        <v/>
      </c>
      <c r="M86" s="498" t="str">
        <f>IF(OR(D86="",H86=""),"",(INDEX('G-6 Hedgerow Data'!$E$3:$I$15,MATCH(D86,'G-6 Hedgerow Data'!$B$3:$B$15,0),MATCH(H86,'G-6 Hedgerow Data'!$E$2:$I$2,0))))</f>
        <v/>
      </c>
      <c r="N86" s="195"/>
      <c r="O86" s="195"/>
      <c r="P86" s="507" t="str">
        <f t="shared" si="7"/>
        <v/>
      </c>
      <c r="Q86" s="521" t="str">
        <f t="shared" si="8"/>
        <v/>
      </c>
      <c r="R86" s="522" t="str">
        <f t="shared" si="6"/>
        <v/>
      </c>
      <c r="S86" s="537" t="str">
        <f>IF(D86="","",VLOOKUP(D86,'G-6 Hedgerow Data'!$B$3:$AG$15,31,FALSE))</f>
        <v/>
      </c>
      <c r="T86" s="507" t="str">
        <f t="shared" si="9"/>
        <v/>
      </c>
      <c r="U86" s="507" t="str">
        <f t="shared" si="10"/>
        <v/>
      </c>
      <c r="V86" s="524" t="str">
        <f>IF(D86="","",VLOOKUP(S86,'G-3 Multipliers'!$P$3:$Q$6,2,FALSE))</f>
        <v/>
      </c>
      <c r="W86" s="529" t="str">
        <f t="shared" si="11"/>
        <v/>
      </c>
      <c r="X86" s="149"/>
      <c r="Y86" s="150"/>
      <c r="AG86" s="31" t="str">
        <f>IFERROR(INDEX('G-6 Hedgerow Data'!$BJ$3:$BJ$15,MATCH(D86,'G-6 Hedgerow Data'!$B$3:$B$15,0)),"")</f>
        <v/>
      </c>
    </row>
    <row r="87" spans="2:33" ht="13.8" x14ac:dyDescent="0.25">
      <c r="B87" s="141">
        <v>76</v>
      </c>
      <c r="C87" s="205"/>
      <c r="D87" s="195"/>
      <c r="E87" s="172"/>
      <c r="F87" s="553" t="str">
        <f>IF(D87="","",VLOOKUP(D87,'G-6 Hedgerow Data'!$B$2:$AG$15,2,FALSE))</f>
        <v/>
      </c>
      <c r="G87" s="499" t="str">
        <f>IF(D87="","",VLOOKUP(D87,'G-6 Hedgerow Data'!$B$2:$AG$15,3,FALSE))</f>
        <v/>
      </c>
      <c r="H87" s="145"/>
      <c r="I87" s="499" t="str">
        <f>IFERROR(VLOOKUP(H87,'G-1 All Habitats'!$Z$2:$AA$9,2,FALSE),"")</f>
        <v/>
      </c>
      <c r="J87" s="145"/>
      <c r="K87" s="520" t="str">
        <f>IF(J87="","",IF(VLOOKUP(J87,'G-3 Multipliers'!$L$3:$N$6,2,FALSE)=0,"Spatial Data Missing ⚠",VLOOKUP(J87,'G-3 Multipliers'!$L$3:$N$6,2,FALSE)))</f>
        <v/>
      </c>
      <c r="L87" s="505" t="str">
        <f>IF(J87="","",IF(VLOOKUP(J87,'G-3 Multipliers'!$L$3:$N$6,3,FALSE)=0,"Spatial Data Missing ⚠",VLOOKUP(J87,'G-3 Multipliers'!$L$3:$N$6,3,FALSE)))</f>
        <v/>
      </c>
      <c r="M87" s="498" t="str">
        <f>IF(OR(D87="",H87=""),"",(INDEX('G-6 Hedgerow Data'!$E$3:$I$15,MATCH(D87,'G-6 Hedgerow Data'!$B$3:$B$15,0),MATCH(H87,'G-6 Hedgerow Data'!$E$2:$I$2,0))))</f>
        <v/>
      </c>
      <c r="N87" s="195"/>
      <c r="O87" s="195"/>
      <c r="P87" s="507" t="str">
        <f t="shared" si="7"/>
        <v/>
      </c>
      <c r="Q87" s="521" t="str">
        <f t="shared" si="8"/>
        <v/>
      </c>
      <c r="R87" s="522" t="str">
        <f t="shared" si="6"/>
        <v/>
      </c>
      <c r="S87" s="537" t="str">
        <f>IF(D87="","",VLOOKUP(D87,'G-6 Hedgerow Data'!$B$3:$AG$15,31,FALSE))</f>
        <v/>
      </c>
      <c r="T87" s="507" t="str">
        <f t="shared" si="9"/>
        <v/>
      </c>
      <c r="U87" s="507" t="str">
        <f t="shared" si="10"/>
        <v/>
      </c>
      <c r="V87" s="524" t="str">
        <f>IF(D87="","",VLOOKUP(S87,'G-3 Multipliers'!$P$3:$Q$6,2,FALSE))</f>
        <v/>
      </c>
      <c r="W87" s="529" t="str">
        <f t="shared" si="11"/>
        <v/>
      </c>
      <c r="X87" s="149"/>
      <c r="Y87" s="150"/>
      <c r="AG87" s="31" t="str">
        <f>IFERROR(INDEX('G-6 Hedgerow Data'!$BJ$3:$BJ$15,MATCH(D87,'G-6 Hedgerow Data'!$B$3:$B$15,0)),"")</f>
        <v/>
      </c>
    </row>
    <row r="88" spans="2:33" ht="13.8" x14ac:dyDescent="0.25">
      <c r="B88" s="141">
        <v>77</v>
      </c>
      <c r="C88" s="205"/>
      <c r="D88" s="195"/>
      <c r="E88" s="172"/>
      <c r="F88" s="553" t="str">
        <f>IF(D88="","",VLOOKUP(D88,'G-6 Hedgerow Data'!$B$2:$AG$15,2,FALSE))</f>
        <v/>
      </c>
      <c r="G88" s="499" t="str">
        <f>IF(D88="","",VLOOKUP(D88,'G-6 Hedgerow Data'!$B$2:$AG$15,3,FALSE))</f>
        <v/>
      </c>
      <c r="H88" s="145"/>
      <c r="I88" s="499" t="str">
        <f>IFERROR(VLOOKUP(H88,'G-1 All Habitats'!$Z$2:$AA$9,2,FALSE),"")</f>
        <v/>
      </c>
      <c r="J88" s="145"/>
      <c r="K88" s="520" t="str">
        <f>IF(J88="","",IF(VLOOKUP(J88,'G-3 Multipliers'!$L$3:$N$6,2,FALSE)=0,"Spatial Data Missing ⚠",VLOOKUP(J88,'G-3 Multipliers'!$L$3:$N$6,2,FALSE)))</f>
        <v/>
      </c>
      <c r="L88" s="505" t="str">
        <f>IF(J88="","",IF(VLOOKUP(J88,'G-3 Multipliers'!$L$3:$N$6,3,FALSE)=0,"Spatial Data Missing ⚠",VLOOKUP(J88,'G-3 Multipliers'!$L$3:$N$6,3,FALSE)))</f>
        <v/>
      </c>
      <c r="M88" s="498" t="str">
        <f>IF(OR(D88="",H88=""),"",(INDEX('G-6 Hedgerow Data'!$E$3:$I$15,MATCH(D88,'G-6 Hedgerow Data'!$B$3:$B$15,0),MATCH(H88,'G-6 Hedgerow Data'!$E$2:$I$2,0))))</f>
        <v/>
      </c>
      <c r="N88" s="195"/>
      <c r="O88" s="195"/>
      <c r="P88" s="507" t="str">
        <f t="shared" si="7"/>
        <v/>
      </c>
      <c r="Q88" s="521" t="str">
        <f t="shared" si="8"/>
        <v/>
      </c>
      <c r="R88" s="522" t="str">
        <f t="shared" si="6"/>
        <v/>
      </c>
      <c r="S88" s="537" t="str">
        <f>IF(D88="","",VLOOKUP(D88,'G-6 Hedgerow Data'!$B$3:$AG$15,31,FALSE))</f>
        <v/>
      </c>
      <c r="T88" s="507" t="str">
        <f t="shared" si="9"/>
        <v/>
      </c>
      <c r="U88" s="507" t="str">
        <f t="shared" si="10"/>
        <v/>
      </c>
      <c r="V88" s="524" t="str">
        <f>IF(D88="","",VLOOKUP(S88,'G-3 Multipliers'!$P$3:$Q$6,2,FALSE))</f>
        <v/>
      </c>
      <c r="W88" s="529" t="str">
        <f t="shared" si="11"/>
        <v/>
      </c>
      <c r="X88" s="149"/>
      <c r="Y88" s="150"/>
      <c r="AG88" s="31" t="str">
        <f>IFERROR(INDEX('G-6 Hedgerow Data'!$BJ$3:$BJ$15,MATCH(D88,'G-6 Hedgerow Data'!$B$3:$B$15,0)),"")</f>
        <v/>
      </c>
    </row>
    <row r="89" spans="2:33" ht="13.8" x14ac:dyDescent="0.25">
      <c r="B89" s="141">
        <v>78</v>
      </c>
      <c r="C89" s="205"/>
      <c r="D89" s="195"/>
      <c r="E89" s="172"/>
      <c r="F89" s="553" t="str">
        <f>IF(D89="","",VLOOKUP(D89,'G-6 Hedgerow Data'!$B$2:$AG$15,2,FALSE))</f>
        <v/>
      </c>
      <c r="G89" s="499" t="str">
        <f>IF(D89="","",VLOOKUP(D89,'G-6 Hedgerow Data'!$B$2:$AG$15,3,FALSE))</f>
        <v/>
      </c>
      <c r="H89" s="145"/>
      <c r="I89" s="499" t="str">
        <f>IFERROR(VLOOKUP(H89,'G-1 All Habitats'!$Z$2:$AA$9,2,FALSE),"")</f>
        <v/>
      </c>
      <c r="J89" s="145"/>
      <c r="K89" s="520" t="str">
        <f>IF(J89="","",IF(VLOOKUP(J89,'G-3 Multipliers'!$L$3:$N$6,2,FALSE)=0,"Spatial Data Missing ⚠",VLOOKUP(J89,'G-3 Multipliers'!$L$3:$N$6,2,FALSE)))</f>
        <v/>
      </c>
      <c r="L89" s="505" t="str">
        <f>IF(J89="","",IF(VLOOKUP(J89,'G-3 Multipliers'!$L$3:$N$6,3,FALSE)=0,"Spatial Data Missing ⚠",VLOOKUP(J89,'G-3 Multipliers'!$L$3:$N$6,3,FALSE)))</f>
        <v/>
      </c>
      <c r="M89" s="498" t="str">
        <f>IF(OR(D89="",H89=""),"",(INDEX('G-6 Hedgerow Data'!$E$3:$I$15,MATCH(D89,'G-6 Hedgerow Data'!$B$3:$B$15,0),MATCH(H89,'G-6 Hedgerow Data'!$E$2:$I$2,0))))</f>
        <v/>
      </c>
      <c r="N89" s="195"/>
      <c r="O89" s="195"/>
      <c r="P89" s="507" t="str">
        <f t="shared" si="7"/>
        <v/>
      </c>
      <c r="Q89" s="521" t="str">
        <f t="shared" si="8"/>
        <v/>
      </c>
      <c r="R89" s="522" t="str">
        <f t="shared" si="6"/>
        <v/>
      </c>
      <c r="S89" s="537" t="str">
        <f>IF(D89="","",VLOOKUP(D89,'G-6 Hedgerow Data'!$B$3:$AG$15,31,FALSE))</f>
        <v/>
      </c>
      <c r="T89" s="507" t="str">
        <f t="shared" si="9"/>
        <v/>
      </c>
      <c r="U89" s="507" t="str">
        <f t="shared" si="10"/>
        <v/>
      </c>
      <c r="V89" s="524" t="str">
        <f>IF(D89="","",VLOOKUP(S89,'G-3 Multipliers'!$P$3:$Q$6,2,FALSE))</f>
        <v/>
      </c>
      <c r="W89" s="529" t="str">
        <f t="shared" si="11"/>
        <v/>
      </c>
      <c r="X89" s="149"/>
      <c r="Y89" s="150"/>
      <c r="AG89" s="31" t="str">
        <f>IFERROR(INDEX('G-6 Hedgerow Data'!$BJ$3:$BJ$15,MATCH(D89,'G-6 Hedgerow Data'!$B$3:$B$15,0)),"")</f>
        <v/>
      </c>
    </row>
    <row r="90" spans="2:33" ht="13.8" x14ac:dyDescent="0.25">
      <c r="B90" s="141">
        <v>79</v>
      </c>
      <c r="C90" s="205"/>
      <c r="D90" s="195"/>
      <c r="E90" s="172"/>
      <c r="F90" s="553" t="str">
        <f>IF(D90="","",VLOOKUP(D90,'G-6 Hedgerow Data'!$B$2:$AG$15,2,FALSE))</f>
        <v/>
      </c>
      <c r="G90" s="499" t="str">
        <f>IF(D90="","",VLOOKUP(D90,'G-6 Hedgerow Data'!$B$2:$AG$15,3,FALSE))</f>
        <v/>
      </c>
      <c r="H90" s="145"/>
      <c r="I90" s="499" t="str">
        <f>IFERROR(VLOOKUP(H90,'G-1 All Habitats'!$Z$2:$AA$9,2,FALSE),"")</f>
        <v/>
      </c>
      <c r="J90" s="145"/>
      <c r="K90" s="520" t="str">
        <f>IF(J90="","",IF(VLOOKUP(J90,'G-3 Multipliers'!$L$3:$N$6,2,FALSE)=0,"Spatial Data Missing ⚠",VLOOKUP(J90,'G-3 Multipliers'!$L$3:$N$6,2,FALSE)))</f>
        <v/>
      </c>
      <c r="L90" s="505" t="str">
        <f>IF(J90="","",IF(VLOOKUP(J90,'G-3 Multipliers'!$L$3:$N$6,3,FALSE)=0,"Spatial Data Missing ⚠",VLOOKUP(J90,'G-3 Multipliers'!$L$3:$N$6,3,FALSE)))</f>
        <v/>
      </c>
      <c r="M90" s="498" t="str">
        <f>IF(OR(D90="",H90=""),"",(INDEX('G-6 Hedgerow Data'!$E$3:$I$15,MATCH(D90,'G-6 Hedgerow Data'!$B$3:$B$15,0),MATCH(H90,'G-6 Hedgerow Data'!$E$2:$I$2,0))))</f>
        <v/>
      </c>
      <c r="N90" s="195"/>
      <c r="O90" s="195"/>
      <c r="P90" s="507" t="str">
        <f t="shared" si="7"/>
        <v/>
      </c>
      <c r="Q90" s="521" t="str">
        <f t="shared" si="8"/>
        <v/>
      </c>
      <c r="R90" s="522" t="str">
        <f t="shared" si="6"/>
        <v/>
      </c>
      <c r="S90" s="537" t="str">
        <f>IF(D90="","",VLOOKUP(D90,'G-6 Hedgerow Data'!$B$3:$AG$15,31,FALSE))</f>
        <v/>
      </c>
      <c r="T90" s="507" t="str">
        <f t="shared" si="9"/>
        <v/>
      </c>
      <c r="U90" s="507" t="str">
        <f t="shared" si="10"/>
        <v/>
      </c>
      <c r="V90" s="524" t="str">
        <f>IF(D90="","",VLOOKUP(S90,'G-3 Multipliers'!$P$3:$Q$6,2,FALSE))</f>
        <v/>
      </c>
      <c r="W90" s="529" t="str">
        <f t="shared" si="11"/>
        <v/>
      </c>
      <c r="X90" s="149"/>
      <c r="Y90" s="150"/>
      <c r="AG90" s="31" t="str">
        <f>IFERROR(INDEX('G-6 Hedgerow Data'!$BJ$3:$BJ$15,MATCH(D90,'G-6 Hedgerow Data'!$B$3:$B$15,0)),"")</f>
        <v/>
      </c>
    </row>
    <row r="91" spans="2:33" ht="13.8" x14ac:dyDescent="0.25">
      <c r="B91" s="141">
        <v>80</v>
      </c>
      <c r="C91" s="205"/>
      <c r="D91" s="195"/>
      <c r="E91" s="172"/>
      <c r="F91" s="553" t="str">
        <f>IF(D91="","",VLOOKUP(D91,'G-6 Hedgerow Data'!$B$2:$AG$15,2,FALSE))</f>
        <v/>
      </c>
      <c r="G91" s="499" t="str">
        <f>IF(D91="","",VLOOKUP(D91,'G-6 Hedgerow Data'!$B$2:$AG$15,3,FALSE))</f>
        <v/>
      </c>
      <c r="H91" s="145"/>
      <c r="I91" s="499" t="str">
        <f>IFERROR(VLOOKUP(H91,'G-1 All Habitats'!$Z$2:$AA$9,2,FALSE),"")</f>
        <v/>
      </c>
      <c r="J91" s="145"/>
      <c r="K91" s="520" t="str">
        <f>IF(J91="","",IF(VLOOKUP(J91,'G-3 Multipliers'!$L$3:$N$6,2,FALSE)=0,"Spatial Data Missing ⚠",VLOOKUP(J91,'G-3 Multipliers'!$L$3:$N$6,2,FALSE)))</f>
        <v/>
      </c>
      <c r="L91" s="505" t="str">
        <f>IF(J91="","",IF(VLOOKUP(J91,'G-3 Multipliers'!$L$3:$N$6,3,FALSE)=0,"Spatial Data Missing ⚠",VLOOKUP(J91,'G-3 Multipliers'!$L$3:$N$6,3,FALSE)))</f>
        <v/>
      </c>
      <c r="M91" s="498" t="str">
        <f>IF(OR(D91="",H91=""),"",(INDEX('G-6 Hedgerow Data'!$E$3:$I$15,MATCH(D91,'G-6 Hedgerow Data'!$B$3:$B$15,0),MATCH(H91,'G-6 Hedgerow Data'!$E$2:$I$2,0))))</f>
        <v/>
      </c>
      <c r="N91" s="195"/>
      <c r="O91" s="195"/>
      <c r="P91" s="507" t="str">
        <f t="shared" si="7"/>
        <v/>
      </c>
      <c r="Q91" s="521" t="str">
        <f t="shared" si="8"/>
        <v/>
      </c>
      <c r="R91" s="522" t="str">
        <f t="shared" si="6"/>
        <v/>
      </c>
      <c r="S91" s="537" t="str">
        <f>IF(D91="","",VLOOKUP(D91,'G-6 Hedgerow Data'!$B$3:$AG$15,31,FALSE))</f>
        <v/>
      </c>
      <c r="T91" s="507" t="str">
        <f t="shared" si="9"/>
        <v/>
      </c>
      <c r="U91" s="507" t="str">
        <f t="shared" si="10"/>
        <v/>
      </c>
      <c r="V91" s="524" t="str">
        <f>IF(D91="","",VLOOKUP(S91,'G-3 Multipliers'!$P$3:$Q$6,2,FALSE))</f>
        <v/>
      </c>
      <c r="W91" s="529" t="str">
        <f t="shared" si="11"/>
        <v/>
      </c>
      <c r="X91" s="149"/>
      <c r="Y91" s="150"/>
      <c r="AG91" s="31" t="str">
        <f>IFERROR(INDEX('G-6 Hedgerow Data'!$BJ$3:$BJ$15,MATCH(D91,'G-6 Hedgerow Data'!$B$3:$B$15,0)),"")</f>
        <v/>
      </c>
    </row>
    <row r="92" spans="2:33" ht="13.8" x14ac:dyDescent="0.25">
      <c r="B92" s="141">
        <v>81</v>
      </c>
      <c r="C92" s="205"/>
      <c r="D92" s="195"/>
      <c r="E92" s="172"/>
      <c r="F92" s="553" t="str">
        <f>IF(D92="","",VLOOKUP(D92,'G-6 Hedgerow Data'!$B$2:$AG$15,2,FALSE))</f>
        <v/>
      </c>
      <c r="G92" s="499" t="str">
        <f>IF(D92="","",VLOOKUP(D92,'G-6 Hedgerow Data'!$B$2:$AG$15,3,FALSE))</f>
        <v/>
      </c>
      <c r="H92" s="145"/>
      <c r="I92" s="499" t="str">
        <f>IFERROR(VLOOKUP(H92,'G-1 All Habitats'!$Z$2:$AA$9,2,FALSE),"")</f>
        <v/>
      </c>
      <c r="J92" s="145"/>
      <c r="K92" s="520" t="str">
        <f>IF(J92="","",IF(VLOOKUP(J92,'G-3 Multipliers'!$L$3:$N$6,2,FALSE)=0,"Spatial Data Missing ⚠",VLOOKUP(J92,'G-3 Multipliers'!$L$3:$N$6,2,FALSE)))</f>
        <v/>
      </c>
      <c r="L92" s="505" t="str">
        <f>IF(J92="","",IF(VLOOKUP(J92,'G-3 Multipliers'!$L$3:$N$6,3,FALSE)=0,"Spatial Data Missing ⚠",VLOOKUP(J92,'G-3 Multipliers'!$L$3:$N$6,3,FALSE)))</f>
        <v/>
      </c>
      <c r="M92" s="498" t="str">
        <f>IF(OR(D92="",H92=""),"",(INDEX('G-6 Hedgerow Data'!$E$3:$I$15,MATCH(D92,'G-6 Hedgerow Data'!$B$3:$B$15,0),MATCH(H92,'G-6 Hedgerow Data'!$E$2:$I$2,0))))</f>
        <v/>
      </c>
      <c r="N92" s="195"/>
      <c r="O92" s="195"/>
      <c r="P92" s="507" t="str">
        <f t="shared" si="7"/>
        <v/>
      </c>
      <c r="Q92" s="521" t="str">
        <f t="shared" si="8"/>
        <v/>
      </c>
      <c r="R92" s="522" t="str">
        <f t="shared" si="6"/>
        <v/>
      </c>
      <c r="S92" s="537" t="str">
        <f>IF(D92="","",VLOOKUP(D92,'G-6 Hedgerow Data'!$B$3:$AG$15,31,FALSE))</f>
        <v/>
      </c>
      <c r="T92" s="507" t="str">
        <f t="shared" si="9"/>
        <v/>
      </c>
      <c r="U92" s="507" t="str">
        <f t="shared" si="10"/>
        <v/>
      </c>
      <c r="V92" s="524" t="str">
        <f>IF(D92="","",VLOOKUP(S92,'G-3 Multipliers'!$P$3:$Q$6,2,FALSE))</f>
        <v/>
      </c>
      <c r="W92" s="529" t="str">
        <f t="shared" si="11"/>
        <v/>
      </c>
      <c r="X92" s="149"/>
      <c r="Y92" s="150"/>
      <c r="AG92" s="31" t="str">
        <f>IFERROR(INDEX('G-6 Hedgerow Data'!$BJ$3:$BJ$15,MATCH(D92,'G-6 Hedgerow Data'!$B$3:$B$15,0)),"")</f>
        <v/>
      </c>
    </row>
    <row r="93" spans="2:33" ht="13.8" x14ac:dyDescent="0.25">
      <c r="B93" s="141">
        <v>82</v>
      </c>
      <c r="C93" s="205"/>
      <c r="D93" s="195"/>
      <c r="E93" s="172"/>
      <c r="F93" s="553" t="str">
        <f>IF(D93="","",VLOOKUP(D93,'G-6 Hedgerow Data'!$B$2:$AG$15,2,FALSE))</f>
        <v/>
      </c>
      <c r="G93" s="499" t="str">
        <f>IF(D93="","",VLOOKUP(D93,'G-6 Hedgerow Data'!$B$2:$AG$15,3,FALSE))</f>
        <v/>
      </c>
      <c r="H93" s="145"/>
      <c r="I93" s="499" t="str">
        <f>IFERROR(VLOOKUP(H93,'G-1 All Habitats'!$Z$2:$AA$9,2,FALSE),"")</f>
        <v/>
      </c>
      <c r="J93" s="145"/>
      <c r="K93" s="520" t="str">
        <f>IF(J93="","",IF(VLOOKUP(J93,'G-3 Multipliers'!$L$3:$N$6,2,FALSE)=0,"Spatial Data Missing ⚠",VLOOKUP(J93,'G-3 Multipliers'!$L$3:$N$6,2,FALSE)))</f>
        <v/>
      </c>
      <c r="L93" s="505" t="str">
        <f>IF(J93="","",IF(VLOOKUP(J93,'G-3 Multipliers'!$L$3:$N$6,3,FALSE)=0,"Spatial Data Missing ⚠",VLOOKUP(J93,'G-3 Multipliers'!$L$3:$N$6,3,FALSE)))</f>
        <v/>
      </c>
      <c r="M93" s="498" t="str">
        <f>IF(OR(D93="",H93=""),"",(INDEX('G-6 Hedgerow Data'!$E$3:$I$15,MATCH(D93,'G-6 Hedgerow Data'!$B$3:$B$15,0),MATCH(H93,'G-6 Hedgerow Data'!$E$2:$I$2,0))))</f>
        <v/>
      </c>
      <c r="N93" s="195"/>
      <c r="O93" s="195"/>
      <c r="P93" s="507" t="str">
        <f t="shared" si="7"/>
        <v/>
      </c>
      <c r="Q93" s="521" t="str">
        <f t="shared" si="8"/>
        <v/>
      </c>
      <c r="R93" s="522" t="str">
        <f t="shared" si="6"/>
        <v/>
      </c>
      <c r="S93" s="537" t="str">
        <f>IF(D93="","",VLOOKUP(D93,'G-6 Hedgerow Data'!$B$3:$AG$15,31,FALSE))</f>
        <v/>
      </c>
      <c r="T93" s="507" t="str">
        <f t="shared" si="9"/>
        <v/>
      </c>
      <c r="U93" s="507" t="str">
        <f t="shared" si="10"/>
        <v/>
      </c>
      <c r="V93" s="524" t="str">
        <f>IF(D93="","",VLOOKUP(S93,'G-3 Multipliers'!$P$3:$Q$6,2,FALSE))</f>
        <v/>
      </c>
      <c r="W93" s="529" t="str">
        <f t="shared" si="11"/>
        <v/>
      </c>
      <c r="X93" s="149"/>
      <c r="Y93" s="150"/>
      <c r="AG93" s="31" t="str">
        <f>IFERROR(INDEX('G-6 Hedgerow Data'!$BJ$3:$BJ$15,MATCH(D93,'G-6 Hedgerow Data'!$B$3:$B$15,0)),"")</f>
        <v/>
      </c>
    </row>
    <row r="94" spans="2:33" ht="13.8" x14ac:dyDescent="0.25">
      <c r="B94" s="141">
        <v>83</v>
      </c>
      <c r="C94" s="205"/>
      <c r="D94" s="195"/>
      <c r="E94" s="172"/>
      <c r="F94" s="553" t="str">
        <f>IF(D94="","",VLOOKUP(D94,'G-6 Hedgerow Data'!$B$2:$AG$15,2,FALSE))</f>
        <v/>
      </c>
      <c r="G94" s="499" t="str">
        <f>IF(D94="","",VLOOKUP(D94,'G-6 Hedgerow Data'!$B$2:$AG$15,3,FALSE))</f>
        <v/>
      </c>
      <c r="H94" s="145"/>
      <c r="I94" s="499" t="str">
        <f>IFERROR(VLOOKUP(H94,'G-1 All Habitats'!$Z$2:$AA$9,2,FALSE),"")</f>
        <v/>
      </c>
      <c r="J94" s="145"/>
      <c r="K94" s="520" t="str">
        <f>IF(J94="","",IF(VLOOKUP(J94,'G-3 Multipliers'!$L$3:$N$6,2,FALSE)=0,"Spatial Data Missing ⚠",VLOOKUP(J94,'G-3 Multipliers'!$L$3:$N$6,2,FALSE)))</f>
        <v/>
      </c>
      <c r="L94" s="505" t="str">
        <f>IF(J94="","",IF(VLOOKUP(J94,'G-3 Multipliers'!$L$3:$N$6,3,FALSE)=0,"Spatial Data Missing ⚠",VLOOKUP(J94,'G-3 Multipliers'!$L$3:$N$6,3,FALSE)))</f>
        <v/>
      </c>
      <c r="M94" s="498" t="str">
        <f>IF(OR(D94="",H94=""),"",(INDEX('G-6 Hedgerow Data'!$E$3:$I$15,MATCH(D94,'G-6 Hedgerow Data'!$B$3:$B$15,0),MATCH(H94,'G-6 Hedgerow Data'!$E$2:$I$2,0))))</f>
        <v/>
      </c>
      <c r="N94" s="195"/>
      <c r="O94" s="195"/>
      <c r="P94" s="507" t="str">
        <f t="shared" si="7"/>
        <v/>
      </c>
      <c r="Q94" s="521" t="str">
        <f t="shared" si="8"/>
        <v/>
      </c>
      <c r="R94" s="522" t="str">
        <f t="shared" si="6"/>
        <v/>
      </c>
      <c r="S94" s="537" t="str">
        <f>IF(D94="","",VLOOKUP(D94,'G-6 Hedgerow Data'!$B$3:$AG$15,31,FALSE))</f>
        <v/>
      </c>
      <c r="T94" s="507" t="str">
        <f t="shared" si="9"/>
        <v/>
      </c>
      <c r="U94" s="507" t="str">
        <f t="shared" si="10"/>
        <v/>
      </c>
      <c r="V94" s="524" t="str">
        <f>IF(D94="","",VLOOKUP(S94,'G-3 Multipliers'!$P$3:$Q$6,2,FALSE))</f>
        <v/>
      </c>
      <c r="W94" s="529" t="str">
        <f t="shared" si="11"/>
        <v/>
      </c>
      <c r="X94" s="149"/>
      <c r="Y94" s="150"/>
      <c r="AG94" s="31" t="str">
        <f>IFERROR(INDEX('G-6 Hedgerow Data'!$BJ$3:$BJ$15,MATCH(D94,'G-6 Hedgerow Data'!$B$3:$B$15,0)),"")</f>
        <v/>
      </c>
    </row>
    <row r="95" spans="2:33" ht="13.8" x14ac:dyDescent="0.25">
      <c r="B95" s="141">
        <v>84</v>
      </c>
      <c r="C95" s="205"/>
      <c r="D95" s="195"/>
      <c r="E95" s="172"/>
      <c r="F95" s="553" t="str">
        <f>IF(D95="","",VLOOKUP(D95,'G-6 Hedgerow Data'!$B$2:$AG$15,2,FALSE))</f>
        <v/>
      </c>
      <c r="G95" s="499" t="str">
        <f>IF(D95="","",VLOOKUP(D95,'G-6 Hedgerow Data'!$B$2:$AG$15,3,FALSE))</f>
        <v/>
      </c>
      <c r="H95" s="145"/>
      <c r="I95" s="499" t="str">
        <f>IFERROR(VLOOKUP(H95,'G-1 All Habitats'!$Z$2:$AA$9,2,FALSE),"")</f>
        <v/>
      </c>
      <c r="J95" s="145"/>
      <c r="K95" s="520" t="str">
        <f>IF(J95="","",IF(VLOOKUP(J95,'G-3 Multipliers'!$L$3:$N$6,2,FALSE)=0,"Spatial Data Missing ⚠",VLOOKUP(J95,'G-3 Multipliers'!$L$3:$N$6,2,FALSE)))</f>
        <v/>
      </c>
      <c r="L95" s="505" t="str">
        <f>IF(J95="","",IF(VLOOKUP(J95,'G-3 Multipliers'!$L$3:$N$6,3,FALSE)=0,"Spatial Data Missing ⚠",VLOOKUP(J95,'G-3 Multipliers'!$L$3:$N$6,3,FALSE)))</f>
        <v/>
      </c>
      <c r="M95" s="498" t="str">
        <f>IF(OR(D95="",H95=""),"",(INDEX('G-6 Hedgerow Data'!$E$3:$I$15,MATCH(D95,'G-6 Hedgerow Data'!$B$3:$B$15,0),MATCH(H95,'G-6 Hedgerow Data'!$E$2:$I$2,0))))</f>
        <v/>
      </c>
      <c r="N95" s="195"/>
      <c r="O95" s="195"/>
      <c r="P95" s="507" t="str">
        <f t="shared" si="7"/>
        <v/>
      </c>
      <c r="Q95" s="521" t="str">
        <f t="shared" si="8"/>
        <v/>
      </c>
      <c r="R95" s="522" t="str">
        <f t="shared" si="6"/>
        <v/>
      </c>
      <c r="S95" s="537" t="str">
        <f>IF(D95="","",VLOOKUP(D95,'G-6 Hedgerow Data'!$B$3:$AG$15,31,FALSE))</f>
        <v/>
      </c>
      <c r="T95" s="507" t="str">
        <f t="shared" si="9"/>
        <v/>
      </c>
      <c r="U95" s="507" t="str">
        <f t="shared" si="10"/>
        <v/>
      </c>
      <c r="V95" s="524" t="str">
        <f>IF(D95="","",VLOOKUP(S95,'G-3 Multipliers'!$P$3:$Q$6,2,FALSE))</f>
        <v/>
      </c>
      <c r="W95" s="529" t="str">
        <f t="shared" si="11"/>
        <v/>
      </c>
      <c r="X95" s="149"/>
      <c r="Y95" s="150"/>
      <c r="AG95" s="31" t="str">
        <f>IFERROR(INDEX('G-6 Hedgerow Data'!$BJ$3:$BJ$15,MATCH(D95,'G-6 Hedgerow Data'!$B$3:$B$15,0)),"")</f>
        <v/>
      </c>
    </row>
    <row r="96" spans="2:33" ht="13.8" x14ac:dyDescent="0.25">
      <c r="B96" s="141">
        <v>85</v>
      </c>
      <c r="C96" s="205"/>
      <c r="D96" s="195"/>
      <c r="E96" s="172"/>
      <c r="F96" s="553" t="str">
        <f>IF(D96="","",VLOOKUP(D96,'G-6 Hedgerow Data'!$B$2:$AG$15,2,FALSE))</f>
        <v/>
      </c>
      <c r="G96" s="499" t="str">
        <f>IF(D96="","",VLOOKUP(D96,'G-6 Hedgerow Data'!$B$2:$AG$15,3,FALSE))</f>
        <v/>
      </c>
      <c r="H96" s="145"/>
      <c r="I96" s="499" t="str">
        <f>IFERROR(VLOOKUP(H96,'G-1 All Habitats'!$Z$2:$AA$9,2,FALSE),"")</f>
        <v/>
      </c>
      <c r="J96" s="145"/>
      <c r="K96" s="520" t="str">
        <f>IF(J96="","",IF(VLOOKUP(J96,'G-3 Multipliers'!$L$3:$N$6,2,FALSE)=0,"Spatial Data Missing ⚠",VLOOKUP(J96,'G-3 Multipliers'!$L$3:$N$6,2,FALSE)))</f>
        <v/>
      </c>
      <c r="L96" s="505" t="str">
        <f>IF(J96="","",IF(VLOOKUP(J96,'G-3 Multipliers'!$L$3:$N$6,3,FALSE)=0,"Spatial Data Missing ⚠",VLOOKUP(J96,'G-3 Multipliers'!$L$3:$N$6,3,FALSE)))</f>
        <v/>
      </c>
      <c r="M96" s="498" t="str">
        <f>IF(OR(D96="",H96=""),"",(INDEX('G-6 Hedgerow Data'!$E$3:$I$15,MATCH(D96,'G-6 Hedgerow Data'!$B$3:$B$15,0),MATCH(H96,'G-6 Hedgerow Data'!$E$2:$I$2,0))))</f>
        <v/>
      </c>
      <c r="N96" s="195"/>
      <c r="O96" s="195"/>
      <c r="P96" s="507" t="str">
        <f t="shared" si="7"/>
        <v/>
      </c>
      <c r="Q96" s="521" t="str">
        <f t="shared" si="8"/>
        <v/>
      </c>
      <c r="R96" s="522" t="str">
        <f t="shared" si="6"/>
        <v/>
      </c>
      <c r="S96" s="537" t="str">
        <f>IF(D96="","",VLOOKUP(D96,'G-6 Hedgerow Data'!$B$3:$AG$15,31,FALSE))</f>
        <v/>
      </c>
      <c r="T96" s="507" t="str">
        <f t="shared" si="9"/>
        <v/>
      </c>
      <c r="U96" s="507" t="str">
        <f t="shared" si="10"/>
        <v/>
      </c>
      <c r="V96" s="524" t="str">
        <f>IF(D96="","",VLOOKUP(S96,'G-3 Multipliers'!$P$3:$Q$6,2,FALSE))</f>
        <v/>
      </c>
      <c r="W96" s="529" t="str">
        <f t="shared" si="11"/>
        <v/>
      </c>
      <c r="X96" s="149"/>
      <c r="Y96" s="150"/>
      <c r="AG96" s="31" t="str">
        <f>IFERROR(INDEX('G-6 Hedgerow Data'!$BJ$3:$BJ$15,MATCH(D96,'G-6 Hedgerow Data'!$B$3:$B$15,0)),"")</f>
        <v/>
      </c>
    </row>
    <row r="97" spans="2:33" ht="13.8" x14ac:dyDescent="0.25">
      <c r="B97" s="141">
        <v>86</v>
      </c>
      <c r="C97" s="205"/>
      <c r="D97" s="195"/>
      <c r="E97" s="172"/>
      <c r="F97" s="553" t="str">
        <f>IF(D97="","",VLOOKUP(D97,'G-6 Hedgerow Data'!$B$2:$AG$15,2,FALSE))</f>
        <v/>
      </c>
      <c r="G97" s="499" t="str">
        <f>IF(D97="","",VLOOKUP(D97,'G-6 Hedgerow Data'!$B$2:$AG$15,3,FALSE))</f>
        <v/>
      </c>
      <c r="H97" s="145"/>
      <c r="I97" s="499" t="str">
        <f>IFERROR(VLOOKUP(H97,'G-1 All Habitats'!$Z$2:$AA$9,2,FALSE),"")</f>
        <v/>
      </c>
      <c r="J97" s="145"/>
      <c r="K97" s="520" t="str">
        <f>IF(J97="","",IF(VLOOKUP(J97,'G-3 Multipliers'!$L$3:$N$6,2,FALSE)=0,"Spatial Data Missing ⚠",VLOOKUP(J97,'G-3 Multipliers'!$L$3:$N$6,2,FALSE)))</f>
        <v/>
      </c>
      <c r="L97" s="505" t="str">
        <f>IF(J97="","",IF(VLOOKUP(J97,'G-3 Multipliers'!$L$3:$N$6,3,FALSE)=0,"Spatial Data Missing ⚠",VLOOKUP(J97,'G-3 Multipliers'!$L$3:$N$6,3,FALSE)))</f>
        <v/>
      </c>
      <c r="M97" s="498" t="str">
        <f>IF(OR(D97="",H97=""),"",(INDEX('G-6 Hedgerow Data'!$E$3:$I$15,MATCH(D97,'G-6 Hedgerow Data'!$B$3:$B$15,0),MATCH(H97,'G-6 Hedgerow Data'!$E$2:$I$2,0))))</f>
        <v/>
      </c>
      <c r="N97" s="195"/>
      <c r="O97" s="195"/>
      <c r="P97" s="507" t="str">
        <f t="shared" si="7"/>
        <v/>
      </c>
      <c r="Q97" s="521" t="str">
        <f t="shared" si="8"/>
        <v/>
      </c>
      <c r="R97" s="522" t="str">
        <f t="shared" si="6"/>
        <v/>
      </c>
      <c r="S97" s="537" t="str">
        <f>IF(D97="","",VLOOKUP(D97,'G-6 Hedgerow Data'!$B$3:$AG$15,31,FALSE))</f>
        <v/>
      </c>
      <c r="T97" s="507" t="str">
        <f t="shared" si="9"/>
        <v/>
      </c>
      <c r="U97" s="507" t="str">
        <f t="shared" si="10"/>
        <v/>
      </c>
      <c r="V97" s="524" t="str">
        <f>IF(D97="","",VLOOKUP(S97,'G-3 Multipliers'!$P$3:$Q$6,2,FALSE))</f>
        <v/>
      </c>
      <c r="W97" s="529" t="str">
        <f t="shared" si="11"/>
        <v/>
      </c>
      <c r="X97" s="149"/>
      <c r="Y97" s="150"/>
      <c r="AG97" s="31" t="str">
        <f>IFERROR(INDEX('G-6 Hedgerow Data'!$BJ$3:$BJ$15,MATCH(D97,'G-6 Hedgerow Data'!$B$3:$B$15,0)),"")</f>
        <v/>
      </c>
    </row>
    <row r="98" spans="2:33" ht="13.8" x14ac:dyDescent="0.25">
      <c r="B98" s="141">
        <v>87</v>
      </c>
      <c r="C98" s="205"/>
      <c r="D98" s="195"/>
      <c r="E98" s="172"/>
      <c r="F98" s="553" t="str">
        <f>IF(D98="","",VLOOKUP(D98,'G-6 Hedgerow Data'!$B$2:$AG$15,2,FALSE))</f>
        <v/>
      </c>
      <c r="G98" s="499" t="str">
        <f>IF(D98="","",VLOOKUP(D98,'G-6 Hedgerow Data'!$B$2:$AG$15,3,FALSE))</f>
        <v/>
      </c>
      <c r="H98" s="145"/>
      <c r="I98" s="499" t="str">
        <f>IFERROR(VLOOKUP(H98,'G-1 All Habitats'!$Z$2:$AA$9,2,FALSE),"")</f>
        <v/>
      </c>
      <c r="J98" s="145"/>
      <c r="K98" s="520" t="str">
        <f>IF(J98="","",IF(VLOOKUP(J98,'G-3 Multipliers'!$L$3:$N$6,2,FALSE)=0,"Spatial Data Missing ⚠",VLOOKUP(J98,'G-3 Multipliers'!$L$3:$N$6,2,FALSE)))</f>
        <v/>
      </c>
      <c r="L98" s="505" t="str">
        <f>IF(J98="","",IF(VLOOKUP(J98,'G-3 Multipliers'!$L$3:$N$6,3,FALSE)=0,"Spatial Data Missing ⚠",VLOOKUP(J98,'G-3 Multipliers'!$L$3:$N$6,3,FALSE)))</f>
        <v/>
      </c>
      <c r="M98" s="498" t="str">
        <f>IF(OR(D98="",H98=""),"",(INDEX('G-6 Hedgerow Data'!$E$3:$I$15,MATCH(D98,'G-6 Hedgerow Data'!$B$3:$B$15,0),MATCH(H98,'G-6 Hedgerow Data'!$E$2:$I$2,0))))</f>
        <v/>
      </c>
      <c r="N98" s="195"/>
      <c r="O98" s="195"/>
      <c r="P98" s="507" t="str">
        <f t="shared" si="7"/>
        <v/>
      </c>
      <c r="Q98" s="521" t="str">
        <f t="shared" si="8"/>
        <v/>
      </c>
      <c r="R98" s="522" t="str">
        <f t="shared" si="6"/>
        <v/>
      </c>
      <c r="S98" s="537" t="str">
        <f>IF(D98="","",VLOOKUP(D98,'G-6 Hedgerow Data'!$B$3:$AG$15,31,FALSE))</f>
        <v/>
      </c>
      <c r="T98" s="507" t="str">
        <f t="shared" si="9"/>
        <v/>
      </c>
      <c r="U98" s="507" t="str">
        <f t="shared" si="10"/>
        <v/>
      </c>
      <c r="V98" s="524" t="str">
        <f>IF(D98="","",VLOOKUP(S98,'G-3 Multipliers'!$P$3:$Q$6,2,FALSE))</f>
        <v/>
      </c>
      <c r="W98" s="529" t="str">
        <f t="shared" si="11"/>
        <v/>
      </c>
      <c r="X98" s="149"/>
      <c r="Y98" s="150"/>
      <c r="AG98" s="31" t="str">
        <f>IFERROR(INDEX('G-6 Hedgerow Data'!$BJ$3:$BJ$15,MATCH(D98,'G-6 Hedgerow Data'!$B$3:$B$15,0)),"")</f>
        <v/>
      </c>
    </row>
    <row r="99" spans="2:33" ht="13.8" x14ac:dyDescent="0.25">
      <c r="B99" s="141">
        <v>88</v>
      </c>
      <c r="C99" s="205"/>
      <c r="D99" s="195"/>
      <c r="E99" s="172"/>
      <c r="F99" s="553" t="str">
        <f>IF(D99="","",VLOOKUP(D99,'G-6 Hedgerow Data'!$B$2:$AG$15,2,FALSE))</f>
        <v/>
      </c>
      <c r="G99" s="499" t="str">
        <f>IF(D99="","",VLOOKUP(D99,'G-6 Hedgerow Data'!$B$2:$AG$15,3,FALSE))</f>
        <v/>
      </c>
      <c r="H99" s="145"/>
      <c r="I99" s="499" t="str">
        <f>IFERROR(VLOOKUP(H99,'G-1 All Habitats'!$Z$2:$AA$9,2,FALSE),"")</f>
        <v/>
      </c>
      <c r="J99" s="145"/>
      <c r="K99" s="520" t="str">
        <f>IF(J99="","",IF(VLOOKUP(J99,'G-3 Multipliers'!$L$3:$N$6,2,FALSE)=0,"Spatial Data Missing ⚠",VLOOKUP(J99,'G-3 Multipliers'!$L$3:$N$6,2,FALSE)))</f>
        <v/>
      </c>
      <c r="L99" s="505" t="str">
        <f>IF(J99="","",IF(VLOOKUP(J99,'G-3 Multipliers'!$L$3:$N$6,3,FALSE)=0,"Spatial Data Missing ⚠",VLOOKUP(J99,'G-3 Multipliers'!$L$3:$N$6,3,FALSE)))</f>
        <v/>
      </c>
      <c r="M99" s="498" t="str">
        <f>IF(OR(D99="",H99=""),"",(INDEX('G-6 Hedgerow Data'!$E$3:$I$15,MATCH(D99,'G-6 Hedgerow Data'!$B$3:$B$15,0),MATCH(H99,'G-6 Hedgerow Data'!$E$2:$I$2,0))))</f>
        <v/>
      </c>
      <c r="N99" s="195"/>
      <c r="O99" s="195"/>
      <c r="P99" s="507" t="str">
        <f t="shared" si="7"/>
        <v/>
      </c>
      <c r="Q99" s="521" t="str">
        <f t="shared" si="8"/>
        <v/>
      </c>
      <c r="R99" s="522" t="str">
        <f t="shared" si="6"/>
        <v/>
      </c>
      <c r="S99" s="537" t="str">
        <f>IF(D99="","",VLOOKUP(D99,'G-6 Hedgerow Data'!$B$3:$AG$15,31,FALSE))</f>
        <v/>
      </c>
      <c r="T99" s="507" t="str">
        <f t="shared" si="9"/>
        <v/>
      </c>
      <c r="U99" s="507" t="str">
        <f t="shared" si="10"/>
        <v/>
      </c>
      <c r="V99" s="524" t="str">
        <f>IF(D99="","",VLOOKUP(S99,'G-3 Multipliers'!$P$3:$Q$6,2,FALSE))</f>
        <v/>
      </c>
      <c r="W99" s="529" t="str">
        <f t="shared" si="11"/>
        <v/>
      </c>
      <c r="X99" s="149"/>
      <c r="Y99" s="150"/>
      <c r="AG99" s="31" t="str">
        <f>IFERROR(INDEX('G-6 Hedgerow Data'!$BJ$3:$BJ$15,MATCH(D99,'G-6 Hedgerow Data'!$B$3:$B$15,0)),"")</f>
        <v/>
      </c>
    </row>
    <row r="100" spans="2:33" ht="13.8" x14ac:dyDescent="0.25">
      <c r="B100" s="141">
        <v>89</v>
      </c>
      <c r="C100" s="205"/>
      <c r="D100" s="195"/>
      <c r="E100" s="172"/>
      <c r="F100" s="553" t="str">
        <f>IF(D100="","",VLOOKUP(D100,'G-6 Hedgerow Data'!$B$2:$AG$15,2,FALSE))</f>
        <v/>
      </c>
      <c r="G100" s="499" t="str">
        <f>IF(D100="","",VLOOKUP(D100,'G-6 Hedgerow Data'!$B$2:$AG$15,3,FALSE))</f>
        <v/>
      </c>
      <c r="H100" s="145"/>
      <c r="I100" s="499" t="str">
        <f>IFERROR(VLOOKUP(H100,'G-1 All Habitats'!$Z$2:$AA$9,2,FALSE),"")</f>
        <v/>
      </c>
      <c r="J100" s="145"/>
      <c r="K100" s="520" t="str">
        <f>IF(J100="","",IF(VLOOKUP(J100,'G-3 Multipliers'!$L$3:$N$6,2,FALSE)=0,"Spatial Data Missing ⚠",VLOOKUP(J100,'G-3 Multipliers'!$L$3:$N$6,2,FALSE)))</f>
        <v/>
      </c>
      <c r="L100" s="505" t="str">
        <f>IF(J100="","",IF(VLOOKUP(J100,'G-3 Multipliers'!$L$3:$N$6,3,FALSE)=0,"Spatial Data Missing ⚠",VLOOKUP(J100,'G-3 Multipliers'!$L$3:$N$6,3,FALSE)))</f>
        <v/>
      </c>
      <c r="M100" s="498" t="str">
        <f>IF(OR(D100="",H100=""),"",(INDEX('G-6 Hedgerow Data'!$E$3:$I$15,MATCH(D100,'G-6 Hedgerow Data'!$B$3:$B$15,0),MATCH(H100,'G-6 Hedgerow Data'!$E$2:$I$2,0))))</f>
        <v/>
      </c>
      <c r="N100" s="195"/>
      <c r="O100" s="195"/>
      <c r="P100" s="507" t="str">
        <f t="shared" si="7"/>
        <v/>
      </c>
      <c r="Q100" s="521" t="str">
        <f t="shared" si="8"/>
        <v/>
      </c>
      <c r="R100" s="522" t="str">
        <f t="shared" si="6"/>
        <v/>
      </c>
      <c r="S100" s="537" t="str">
        <f>IF(D100="","",VLOOKUP(D100,'G-6 Hedgerow Data'!$B$3:$AG$15,31,FALSE))</f>
        <v/>
      </c>
      <c r="T100" s="507" t="str">
        <f t="shared" si="9"/>
        <v/>
      </c>
      <c r="U100" s="507" t="str">
        <f t="shared" si="10"/>
        <v/>
      </c>
      <c r="V100" s="524" t="str">
        <f>IF(D100="","",VLOOKUP(S100,'G-3 Multipliers'!$P$3:$Q$6,2,FALSE))</f>
        <v/>
      </c>
      <c r="W100" s="529" t="str">
        <f t="shared" si="11"/>
        <v/>
      </c>
      <c r="X100" s="149"/>
      <c r="Y100" s="150"/>
      <c r="AG100" s="31" t="str">
        <f>IFERROR(INDEX('G-6 Hedgerow Data'!$BJ$3:$BJ$15,MATCH(D100,'G-6 Hedgerow Data'!$B$3:$B$15,0)),"")</f>
        <v/>
      </c>
    </row>
    <row r="101" spans="2:33" ht="13.8" x14ac:dyDescent="0.25">
      <c r="B101" s="141">
        <v>90</v>
      </c>
      <c r="C101" s="205"/>
      <c r="D101" s="195"/>
      <c r="E101" s="172"/>
      <c r="F101" s="553" t="str">
        <f>IF(D101="","",VLOOKUP(D101,'G-6 Hedgerow Data'!$B$2:$AG$15,2,FALSE))</f>
        <v/>
      </c>
      <c r="G101" s="499" t="str">
        <f>IF(D101="","",VLOOKUP(D101,'G-6 Hedgerow Data'!$B$2:$AG$15,3,FALSE))</f>
        <v/>
      </c>
      <c r="H101" s="145"/>
      <c r="I101" s="499" t="str">
        <f>IFERROR(VLOOKUP(H101,'G-1 All Habitats'!$Z$2:$AA$9,2,FALSE),"")</f>
        <v/>
      </c>
      <c r="J101" s="145"/>
      <c r="K101" s="520" t="str">
        <f>IF(J101="","",IF(VLOOKUP(J101,'G-3 Multipliers'!$L$3:$N$6,2,FALSE)=0,"Spatial Data Missing ⚠",VLOOKUP(J101,'G-3 Multipliers'!$L$3:$N$6,2,FALSE)))</f>
        <v/>
      </c>
      <c r="L101" s="505" t="str">
        <f>IF(J101="","",IF(VLOOKUP(J101,'G-3 Multipliers'!$L$3:$N$6,3,FALSE)=0,"Spatial Data Missing ⚠",VLOOKUP(J101,'G-3 Multipliers'!$L$3:$N$6,3,FALSE)))</f>
        <v/>
      </c>
      <c r="M101" s="498" t="str">
        <f>IF(OR(D101="",H101=""),"",(INDEX('G-6 Hedgerow Data'!$E$3:$I$15,MATCH(D101,'G-6 Hedgerow Data'!$B$3:$B$15,0),MATCH(H101,'G-6 Hedgerow Data'!$E$2:$I$2,0))))</f>
        <v/>
      </c>
      <c r="N101" s="195"/>
      <c r="O101" s="195"/>
      <c r="P101" s="507" t="str">
        <f t="shared" si="7"/>
        <v/>
      </c>
      <c r="Q101" s="521" t="str">
        <f t="shared" si="8"/>
        <v/>
      </c>
      <c r="R101" s="522" t="str">
        <f t="shared" si="6"/>
        <v/>
      </c>
      <c r="S101" s="537" t="str">
        <f>IF(D101="","",VLOOKUP(D101,'G-6 Hedgerow Data'!$B$3:$AG$15,31,FALSE))</f>
        <v/>
      </c>
      <c r="T101" s="507" t="str">
        <f t="shared" si="9"/>
        <v/>
      </c>
      <c r="U101" s="507" t="str">
        <f t="shared" si="10"/>
        <v/>
      </c>
      <c r="V101" s="524" t="str">
        <f>IF(D101="","",VLOOKUP(S101,'G-3 Multipliers'!$P$3:$Q$6,2,FALSE))</f>
        <v/>
      </c>
      <c r="W101" s="529" t="str">
        <f t="shared" si="11"/>
        <v/>
      </c>
      <c r="X101" s="149"/>
      <c r="Y101" s="150"/>
      <c r="AG101" s="31" t="str">
        <f>IFERROR(INDEX('G-6 Hedgerow Data'!$BJ$3:$BJ$15,MATCH(D101,'G-6 Hedgerow Data'!$B$3:$B$15,0)),"")</f>
        <v/>
      </c>
    </row>
    <row r="102" spans="2:33" ht="13.8" x14ac:dyDescent="0.25">
      <c r="B102" s="141">
        <v>91</v>
      </c>
      <c r="C102" s="205"/>
      <c r="D102" s="195"/>
      <c r="E102" s="172"/>
      <c r="F102" s="553" t="str">
        <f>IF(D102="","",VLOOKUP(D102,'G-6 Hedgerow Data'!$B$2:$AG$15,2,FALSE))</f>
        <v/>
      </c>
      <c r="G102" s="499" t="str">
        <f>IF(D102="","",VLOOKUP(D102,'G-6 Hedgerow Data'!$B$2:$AG$15,3,FALSE))</f>
        <v/>
      </c>
      <c r="H102" s="145"/>
      <c r="I102" s="499" t="str">
        <f>IFERROR(VLOOKUP(H102,'G-1 All Habitats'!$Z$2:$AA$9,2,FALSE),"")</f>
        <v/>
      </c>
      <c r="J102" s="145"/>
      <c r="K102" s="520" t="str">
        <f>IF(J102="","",IF(VLOOKUP(J102,'G-3 Multipliers'!$L$3:$N$6,2,FALSE)=0,"Spatial Data Missing ⚠",VLOOKUP(J102,'G-3 Multipliers'!$L$3:$N$6,2,FALSE)))</f>
        <v/>
      </c>
      <c r="L102" s="505" t="str">
        <f>IF(J102="","",IF(VLOOKUP(J102,'G-3 Multipliers'!$L$3:$N$6,3,FALSE)=0,"Spatial Data Missing ⚠",VLOOKUP(J102,'G-3 Multipliers'!$L$3:$N$6,3,FALSE)))</f>
        <v/>
      </c>
      <c r="M102" s="498" t="str">
        <f>IF(OR(D102="",H102=""),"",(INDEX('G-6 Hedgerow Data'!$E$3:$I$15,MATCH(D102,'G-6 Hedgerow Data'!$B$3:$B$15,0),MATCH(H102,'G-6 Hedgerow Data'!$E$2:$I$2,0))))</f>
        <v/>
      </c>
      <c r="N102" s="195"/>
      <c r="O102" s="195"/>
      <c r="P102" s="507" t="str">
        <f t="shared" si="7"/>
        <v/>
      </c>
      <c r="Q102" s="521" t="str">
        <f t="shared" si="8"/>
        <v/>
      </c>
      <c r="R102" s="522" t="str">
        <f t="shared" si="6"/>
        <v/>
      </c>
      <c r="S102" s="537" t="str">
        <f>IF(D102="","",VLOOKUP(D102,'G-6 Hedgerow Data'!$B$3:$AG$15,31,FALSE))</f>
        <v/>
      </c>
      <c r="T102" s="507" t="str">
        <f t="shared" si="9"/>
        <v/>
      </c>
      <c r="U102" s="507" t="str">
        <f t="shared" si="10"/>
        <v/>
      </c>
      <c r="V102" s="524" t="str">
        <f>IF(D102="","",VLOOKUP(S102,'G-3 Multipliers'!$P$3:$Q$6,2,FALSE))</f>
        <v/>
      </c>
      <c r="W102" s="529" t="str">
        <f t="shared" si="11"/>
        <v/>
      </c>
      <c r="X102" s="149"/>
      <c r="Y102" s="150"/>
      <c r="AG102" s="31" t="str">
        <f>IFERROR(INDEX('G-6 Hedgerow Data'!$BJ$3:$BJ$15,MATCH(D102,'G-6 Hedgerow Data'!$B$3:$B$15,0)),"")</f>
        <v/>
      </c>
    </row>
    <row r="103" spans="2:33" ht="13.8" x14ac:dyDescent="0.25">
      <c r="B103" s="141">
        <v>92</v>
      </c>
      <c r="C103" s="205"/>
      <c r="D103" s="195"/>
      <c r="E103" s="172"/>
      <c r="F103" s="553" t="str">
        <f>IF(D103="","",VLOOKUP(D103,'G-6 Hedgerow Data'!$B$2:$AG$15,2,FALSE))</f>
        <v/>
      </c>
      <c r="G103" s="499" t="str">
        <f>IF(D103="","",VLOOKUP(D103,'G-6 Hedgerow Data'!$B$2:$AG$15,3,FALSE))</f>
        <v/>
      </c>
      <c r="H103" s="145"/>
      <c r="I103" s="499" t="str">
        <f>IFERROR(VLOOKUP(H103,'G-1 All Habitats'!$Z$2:$AA$9,2,FALSE),"")</f>
        <v/>
      </c>
      <c r="J103" s="145"/>
      <c r="K103" s="520" t="str">
        <f>IF(J103="","",IF(VLOOKUP(J103,'G-3 Multipliers'!$L$3:$N$6,2,FALSE)=0,"Spatial Data Missing ⚠",VLOOKUP(J103,'G-3 Multipliers'!$L$3:$N$6,2,FALSE)))</f>
        <v/>
      </c>
      <c r="L103" s="505" t="str">
        <f>IF(J103="","",IF(VLOOKUP(J103,'G-3 Multipliers'!$L$3:$N$6,3,FALSE)=0,"Spatial Data Missing ⚠",VLOOKUP(J103,'G-3 Multipliers'!$L$3:$N$6,3,FALSE)))</f>
        <v/>
      </c>
      <c r="M103" s="498" t="str">
        <f>IF(OR(D103="",H103=""),"",(INDEX('G-6 Hedgerow Data'!$E$3:$I$15,MATCH(D103,'G-6 Hedgerow Data'!$B$3:$B$15,0),MATCH(H103,'G-6 Hedgerow Data'!$E$2:$I$2,0))))</f>
        <v/>
      </c>
      <c r="N103" s="195"/>
      <c r="O103" s="195"/>
      <c r="P103" s="507" t="str">
        <f t="shared" si="7"/>
        <v/>
      </c>
      <c r="Q103" s="521" t="str">
        <f t="shared" si="8"/>
        <v/>
      </c>
      <c r="R103" s="522" t="str">
        <f t="shared" si="6"/>
        <v/>
      </c>
      <c r="S103" s="537" t="str">
        <f>IF(D103="","",VLOOKUP(D103,'G-6 Hedgerow Data'!$B$3:$AG$15,31,FALSE))</f>
        <v/>
      </c>
      <c r="T103" s="507" t="str">
        <f t="shared" si="9"/>
        <v/>
      </c>
      <c r="U103" s="507" t="str">
        <f t="shared" si="10"/>
        <v/>
      </c>
      <c r="V103" s="524" t="str">
        <f>IF(D103="","",VLOOKUP(S103,'G-3 Multipliers'!$P$3:$Q$6,2,FALSE))</f>
        <v/>
      </c>
      <c r="W103" s="529" t="str">
        <f t="shared" si="11"/>
        <v/>
      </c>
      <c r="X103" s="149"/>
      <c r="Y103" s="150"/>
      <c r="AG103" s="31" t="str">
        <f>IFERROR(INDEX('G-6 Hedgerow Data'!$BJ$3:$BJ$15,MATCH(D103,'G-6 Hedgerow Data'!$B$3:$B$15,0)),"")</f>
        <v/>
      </c>
    </row>
    <row r="104" spans="2:33" ht="13.8" x14ac:dyDescent="0.25">
      <c r="B104" s="141">
        <v>93</v>
      </c>
      <c r="C104" s="205"/>
      <c r="D104" s="195"/>
      <c r="E104" s="172"/>
      <c r="F104" s="553" t="str">
        <f>IF(D104="","",VLOOKUP(D104,'G-6 Hedgerow Data'!$B$2:$AG$15,2,FALSE))</f>
        <v/>
      </c>
      <c r="G104" s="499" t="str">
        <f>IF(D104="","",VLOOKUP(D104,'G-6 Hedgerow Data'!$B$2:$AG$15,3,FALSE))</f>
        <v/>
      </c>
      <c r="H104" s="145"/>
      <c r="I104" s="499" t="str">
        <f>IFERROR(VLOOKUP(H104,'G-1 All Habitats'!$Z$2:$AA$9,2,FALSE),"")</f>
        <v/>
      </c>
      <c r="J104" s="145"/>
      <c r="K104" s="520" t="str">
        <f>IF(J104="","",IF(VLOOKUP(J104,'G-3 Multipliers'!$L$3:$N$6,2,FALSE)=0,"Spatial Data Missing ⚠",VLOOKUP(J104,'G-3 Multipliers'!$L$3:$N$6,2,FALSE)))</f>
        <v/>
      </c>
      <c r="L104" s="505" t="str">
        <f>IF(J104="","",IF(VLOOKUP(J104,'G-3 Multipliers'!$L$3:$N$6,3,FALSE)=0,"Spatial Data Missing ⚠",VLOOKUP(J104,'G-3 Multipliers'!$L$3:$N$6,3,FALSE)))</f>
        <v/>
      </c>
      <c r="M104" s="498" t="str">
        <f>IF(OR(D104="",H104=""),"",(INDEX('G-6 Hedgerow Data'!$E$3:$I$15,MATCH(D104,'G-6 Hedgerow Data'!$B$3:$B$15,0),MATCH(H104,'G-6 Hedgerow Data'!$E$2:$I$2,0))))</f>
        <v/>
      </c>
      <c r="N104" s="195"/>
      <c r="O104" s="195"/>
      <c r="P104" s="507" t="str">
        <f t="shared" si="7"/>
        <v/>
      </c>
      <c r="Q104" s="521" t="str">
        <f t="shared" si="8"/>
        <v/>
      </c>
      <c r="R104" s="522" t="str">
        <f t="shared" si="6"/>
        <v/>
      </c>
      <c r="S104" s="537" t="str">
        <f>IF(D104="","",VLOOKUP(D104,'G-6 Hedgerow Data'!$B$3:$AG$15,31,FALSE))</f>
        <v/>
      </c>
      <c r="T104" s="507" t="str">
        <f t="shared" si="9"/>
        <v/>
      </c>
      <c r="U104" s="507" t="str">
        <f t="shared" si="10"/>
        <v/>
      </c>
      <c r="V104" s="524" t="str">
        <f>IF(D104="","",VLOOKUP(S104,'G-3 Multipliers'!$P$3:$Q$6,2,FALSE))</f>
        <v/>
      </c>
      <c r="W104" s="529" t="str">
        <f t="shared" si="11"/>
        <v/>
      </c>
      <c r="X104" s="149"/>
      <c r="Y104" s="150"/>
      <c r="AG104" s="31" t="str">
        <f>IFERROR(INDEX('G-6 Hedgerow Data'!$BJ$3:$BJ$15,MATCH(D104,'G-6 Hedgerow Data'!$B$3:$B$15,0)),"")</f>
        <v/>
      </c>
    </row>
    <row r="105" spans="2:33" ht="13.8" x14ac:dyDescent="0.25">
      <c r="B105" s="141">
        <v>94</v>
      </c>
      <c r="C105" s="205"/>
      <c r="D105" s="195"/>
      <c r="E105" s="172"/>
      <c r="F105" s="553" t="str">
        <f>IF(D105="","",VLOOKUP(D105,'G-6 Hedgerow Data'!$B$2:$AG$15,2,FALSE))</f>
        <v/>
      </c>
      <c r="G105" s="499" t="str">
        <f>IF(D105="","",VLOOKUP(D105,'G-6 Hedgerow Data'!$B$2:$AG$15,3,FALSE))</f>
        <v/>
      </c>
      <c r="H105" s="145"/>
      <c r="I105" s="499" t="str">
        <f>IFERROR(VLOOKUP(H105,'G-1 All Habitats'!$Z$2:$AA$9,2,FALSE),"")</f>
        <v/>
      </c>
      <c r="J105" s="145"/>
      <c r="K105" s="520" t="str">
        <f>IF(J105="","",IF(VLOOKUP(J105,'G-3 Multipliers'!$L$3:$N$6,2,FALSE)=0,"Spatial Data Missing ⚠",VLOOKUP(J105,'G-3 Multipliers'!$L$3:$N$6,2,FALSE)))</f>
        <v/>
      </c>
      <c r="L105" s="505" t="str">
        <f>IF(J105="","",IF(VLOOKUP(J105,'G-3 Multipliers'!$L$3:$N$6,3,FALSE)=0,"Spatial Data Missing ⚠",VLOOKUP(J105,'G-3 Multipliers'!$L$3:$N$6,3,FALSE)))</f>
        <v/>
      </c>
      <c r="M105" s="498" t="str">
        <f>IF(OR(D105="",H105=""),"",(INDEX('G-6 Hedgerow Data'!$E$3:$I$15,MATCH(D105,'G-6 Hedgerow Data'!$B$3:$B$15,0),MATCH(H105,'G-6 Hedgerow Data'!$E$2:$I$2,0))))</f>
        <v/>
      </c>
      <c r="N105" s="195"/>
      <c r="O105" s="195"/>
      <c r="P105" s="507" t="str">
        <f t="shared" si="7"/>
        <v/>
      </c>
      <c r="Q105" s="521" t="str">
        <f t="shared" si="8"/>
        <v/>
      </c>
      <c r="R105" s="522" t="str">
        <f t="shared" si="6"/>
        <v/>
      </c>
      <c r="S105" s="537" t="str">
        <f>IF(D105="","",VLOOKUP(D105,'G-6 Hedgerow Data'!$B$3:$AG$15,31,FALSE))</f>
        <v/>
      </c>
      <c r="T105" s="507" t="str">
        <f t="shared" si="9"/>
        <v/>
      </c>
      <c r="U105" s="507" t="str">
        <f t="shared" si="10"/>
        <v/>
      </c>
      <c r="V105" s="524" t="str">
        <f>IF(D105="","",VLOOKUP(S105,'G-3 Multipliers'!$P$3:$Q$6,2,FALSE))</f>
        <v/>
      </c>
      <c r="W105" s="529" t="str">
        <f t="shared" si="11"/>
        <v/>
      </c>
      <c r="X105" s="149"/>
      <c r="Y105" s="150"/>
      <c r="AG105" s="31" t="str">
        <f>IFERROR(INDEX('G-6 Hedgerow Data'!$BJ$3:$BJ$15,MATCH(D105,'G-6 Hedgerow Data'!$B$3:$B$15,0)),"")</f>
        <v/>
      </c>
    </row>
    <row r="106" spans="2:33" ht="13.8" x14ac:dyDescent="0.25">
      <c r="B106" s="141">
        <v>95</v>
      </c>
      <c r="C106" s="205"/>
      <c r="D106" s="195"/>
      <c r="E106" s="172"/>
      <c r="F106" s="553" t="str">
        <f>IF(D106="","",VLOOKUP(D106,'G-6 Hedgerow Data'!$B$2:$AG$15,2,FALSE))</f>
        <v/>
      </c>
      <c r="G106" s="499" t="str">
        <f>IF(D106="","",VLOOKUP(D106,'G-6 Hedgerow Data'!$B$2:$AG$15,3,FALSE))</f>
        <v/>
      </c>
      <c r="H106" s="145"/>
      <c r="I106" s="499" t="str">
        <f>IFERROR(VLOOKUP(H106,'G-1 All Habitats'!$Z$2:$AA$9,2,FALSE),"")</f>
        <v/>
      </c>
      <c r="J106" s="145"/>
      <c r="K106" s="520" t="str">
        <f>IF(J106="","",IF(VLOOKUP(J106,'G-3 Multipliers'!$L$3:$N$6,2,FALSE)=0,"Spatial Data Missing ⚠",VLOOKUP(J106,'G-3 Multipliers'!$L$3:$N$6,2,FALSE)))</f>
        <v/>
      </c>
      <c r="L106" s="505" t="str">
        <f>IF(J106="","",IF(VLOOKUP(J106,'G-3 Multipliers'!$L$3:$N$6,3,FALSE)=0,"Spatial Data Missing ⚠",VLOOKUP(J106,'G-3 Multipliers'!$L$3:$N$6,3,FALSE)))</f>
        <v/>
      </c>
      <c r="M106" s="498" t="str">
        <f>IF(OR(D106="",H106=""),"",(INDEX('G-6 Hedgerow Data'!$E$3:$I$15,MATCH(D106,'G-6 Hedgerow Data'!$B$3:$B$15,0),MATCH(H106,'G-6 Hedgerow Data'!$E$2:$I$2,0))))</f>
        <v/>
      </c>
      <c r="N106" s="195"/>
      <c r="O106" s="195"/>
      <c r="P106" s="507" t="str">
        <f t="shared" si="7"/>
        <v/>
      </c>
      <c r="Q106" s="521" t="str">
        <f t="shared" si="8"/>
        <v/>
      </c>
      <c r="R106" s="522" t="str">
        <f t="shared" si="6"/>
        <v/>
      </c>
      <c r="S106" s="537" t="str">
        <f>IF(D106="","",VLOOKUP(D106,'G-6 Hedgerow Data'!$B$3:$AG$15,31,FALSE))</f>
        <v/>
      </c>
      <c r="T106" s="507" t="str">
        <f t="shared" si="9"/>
        <v/>
      </c>
      <c r="U106" s="507" t="str">
        <f t="shared" si="10"/>
        <v/>
      </c>
      <c r="V106" s="524" t="str">
        <f>IF(D106="","",VLOOKUP(S106,'G-3 Multipliers'!$P$3:$Q$6,2,FALSE))</f>
        <v/>
      </c>
      <c r="W106" s="529" t="str">
        <f t="shared" si="11"/>
        <v/>
      </c>
      <c r="X106" s="149"/>
      <c r="Y106" s="150"/>
      <c r="AG106" s="31" t="str">
        <f>IFERROR(INDEX('G-6 Hedgerow Data'!$BJ$3:$BJ$15,MATCH(D106,'G-6 Hedgerow Data'!$B$3:$B$15,0)),"")</f>
        <v/>
      </c>
    </row>
    <row r="107" spans="2:33" ht="13.8" x14ac:dyDescent="0.25">
      <c r="B107" s="141">
        <v>96</v>
      </c>
      <c r="C107" s="205"/>
      <c r="D107" s="195"/>
      <c r="E107" s="172"/>
      <c r="F107" s="553" t="str">
        <f>IF(D107="","",VLOOKUP(D107,'G-6 Hedgerow Data'!$B$2:$AG$15,2,FALSE))</f>
        <v/>
      </c>
      <c r="G107" s="499" t="str">
        <f>IF(D107="","",VLOOKUP(D107,'G-6 Hedgerow Data'!$B$2:$AG$15,3,FALSE))</f>
        <v/>
      </c>
      <c r="H107" s="145"/>
      <c r="I107" s="499" t="str">
        <f>IFERROR(VLOOKUP(H107,'G-1 All Habitats'!$Z$2:$AA$9,2,FALSE),"")</f>
        <v/>
      </c>
      <c r="J107" s="145"/>
      <c r="K107" s="520" t="str">
        <f>IF(J107="","",IF(VLOOKUP(J107,'G-3 Multipliers'!$L$3:$N$6,2,FALSE)=0,"Spatial Data Missing ⚠",VLOOKUP(J107,'G-3 Multipliers'!$L$3:$N$6,2,FALSE)))</f>
        <v/>
      </c>
      <c r="L107" s="505" t="str">
        <f>IF(J107="","",IF(VLOOKUP(J107,'G-3 Multipliers'!$L$3:$N$6,3,FALSE)=0,"Spatial Data Missing ⚠",VLOOKUP(J107,'G-3 Multipliers'!$L$3:$N$6,3,FALSE)))</f>
        <v/>
      </c>
      <c r="M107" s="498" t="str">
        <f>IF(OR(D107="",H107=""),"",(INDEX('G-6 Hedgerow Data'!$E$3:$I$15,MATCH(D107,'G-6 Hedgerow Data'!$B$3:$B$15,0),MATCH(H107,'G-6 Hedgerow Data'!$E$2:$I$2,0))))</f>
        <v/>
      </c>
      <c r="N107" s="195"/>
      <c r="O107" s="195"/>
      <c r="P107" s="507" t="str">
        <f t="shared" si="7"/>
        <v/>
      </c>
      <c r="Q107" s="521" t="str">
        <f t="shared" si="8"/>
        <v/>
      </c>
      <c r="R107" s="522" t="str">
        <f t="shared" si="6"/>
        <v/>
      </c>
      <c r="S107" s="537" t="str">
        <f>IF(D107="","",VLOOKUP(D107,'G-6 Hedgerow Data'!$B$3:$AG$15,31,FALSE))</f>
        <v/>
      </c>
      <c r="T107" s="507" t="str">
        <f t="shared" si="9"/>
        <v/>
      </c>
      <c r="U107" s="507" t="str">
        <f t="shared" si="10"/>
        <v/>
      </c>
      <c r="V107" s="524" t="str">
        <f>IF(D107="","",VLOOKUP(S107,'G-3 Multipliers'!$P$3:$Q$6,2,FALSE))</f>
        <v/>
      </c>
      <c r="W107" s="529" t="str">
        <f t="shared" si="11"/>
        <v/>
      </c>
      <c r="X107" s="149"/>
      <c r="Y107" s="150"/>
      <c r="AG107" s="31" t="str">
        <f>IFERROR(INDEX('G-6 Hedgerow Data'!$BJ$3:$BJ$15,MATCH(D107,'G-6 Hedgerow Data'!$B$3:$B$15,0)),"")</f>
        <v/>
      </c>
    </row>
    <row r="108" spans="2:33" ht="13.8" x14ac:dyDescent="0.25">
      <c r="B108" s="141">
        <v>97</v>
      </c>
      <c r="C108" s="205"/>
      <c r="D108" s="195"/>
      <c r="E108" s="172"/>
      <c r="F108" s="553" t="str">
        <f>IF(D108="","",VLOOKUP(D108,'G-6 Hedgerow Data'!$B$2:$AG$15,2,FALSE))</f>
        <v/>
      </c>
      <c r="G108" s="499" t="str">
        <f>IF(D108="","",VLOOKUP(D108,'G-6 Hedgerow Data'!$B$2:$AG$15,3,FALSE))</f>
        <v/>
      </c>
      <c r="H108" s="145"/>
      <c r="I108" s="499" t="str">
        <f>IFERROR(VLOOKUP(H108,'G-1 All Habitats'!$Z$2:$AA$9,2,FALSE),"")</f>
        <v/>
      </c>
      <c r="J108" s="145"/>
      <c r="K108" s="520" t="str">
        <f>IF(J108="","",IF(VLOOKUP(J108,'G-3 Multipliers'!$L$3:$N$6,2,FALSE)=0,"Spatial Data Missing ⚠",VLOOKUP(J108,'G-3 Multipliers'!$L$3:$N$6,2,FALSE)))</f>
        <v/>
      </c>
      <c r="L108" s="505" t="str">
        <f>IF(J108="","",IF(VLOOKUP(J108,'G-3 Multipliers'!$L$3:$N$6,3,FALSE)=0,"Spatial Data Missing ⚠",VLOOKUP(J108,'G-3 Multipliers'!$L$3:$N$6,3,FALSE)))</f>
        <v/>
      </c>
      <c r="M108" s="498" t="str">
        <f>IF(OR(D108="",H108=""),"",(INDEX('G-6 Hedgerow Data'!$E$3:$I$15,MATCH(D108,'G-6 Hedgerow Data'!$B$3:$B$15,0),MATCH(H108,'G-6 Hedgerow Data'!$E$2:$I$2,0))))</f>
        <v/>
      </c>
      <c r="N108" s="195"/>
      <c r="O108" s="195"/>
      <c r="P108" s="507" t="str">
        <f t="shared" si="7"/>
        <v/>
      </c>
      <c r="Q108" s="521" t="str">
        <f t="shared" si="8"/>
        <v/>
      </c>
      <c r="R108" s="522" t="str">
        <f t="shared" si="6"/>
        <v/>
      </c>
      <c r="S108" s="537" t="str">
        <f>IF(D108="","",VLOOKUP(D108,'G-6 Hedgerow Data'!$B$3:$AG$15,31,FALSE))</f>
        <v/>
      </c>
      <c r="T108" s="507" t="str">
        <f t="shared" si="9"/>
        <v/>
      </c>
      <c r="U108" s="507" t="str">
        <f t="shared" si="10"/>
        <v/>
      </c>
      <c r="V108" s="524" t="str">
        <f>IF(D108="","",VLOOKUP(S108,'G-3 Multipliers'!$P$3:$Q$6,2,FALSE))</f>
        <v/>
      </c>
      <c r="W108" s="529" t="str">
        <f t="shared" si="11"/>
        <v/>
      </c>
      <c r="X108" s="149"/>
      <c r="Y108" s="150"/>
      <c r="AG108" s="31" t="str">
        <f>IFERROR(INDEX('G-6 Hedgerow Data'!$BJ$3:$BJ$15,MATCH(D108,'G-6 Hedgerow Data'!$B$3:$B$15,0)),"")</f>
        <v/>
      </c>
    </row>
    <row r="109" spans="2:33" ht="13.8" x14ac:dyDescent="0.25">
      <c r="B109" s="141">
        <v>98</v>
      </c>
      <c r="C109" s="205"/>
      <c r="D109" s="195"/>
      <c r="E109" s="172"/>
      <c r="F109" s="553" t="str">
        <f>IF(D109="","",VLOOKUP(D109,'G-6 Hedgerow Data'!$B$2:$AG$15,2,FALSE))</f>
        <v/>
      </c>
      <c r="G109" s="499" t="str">
        <f>IF(D109="","",VLOOKUP(D109,'G-6 Hedgerow Data'!$B$2:$AG$15,3,FALSE))</f>
        <v/>
      </c>
      <c r="H109" s="145"/>
      <c r="I109" s="499" t="str">
        <f>IFERROR(VLOOKUP(H109,'G-1 All Habitats'!$Z$2:$AA$9,2,FALSE),"")</f>
        <v/>
      </c>
      <c r="J109" s="145"/>
      <c r="K109" s="520" t="str">
        <f>IF(J109="","",IF(VLOOKUP(J109,'G-3 Multipliers'!$L$3:$N$6,2,FALSE)=0,"Spatial Data Missing ⚠",VLOOKUP(J109,'G-3 Multipliers'!$L$3:$N$6,2,FALSE)))</f>
        <v/>
      </c>
      <c r="L109" s="505" t="str">
        <f>IF(J109="","",IF(VLOOKUP(J109,'G-3 Multipliers'!$L$3:$N$6,3,FALSE)=0,"Spatial Data Missing ⚠",VLOOKUP(J109,'G-3 Multipliers'!$L$3:$N$6,3,FALSE)))</f>
        <v/>
      </c>
      <c r="M109" s="498" t="str">
        <f>IF(OR(D109="",H109=""),"",(INDEX('G-6 Hedgerow Data'!$E$3:$I$15,MATCH(D109,'G-6 Hedgerow Data'!$B$3:$B$15,0),MATCH(H109,'G-6 Hedgerow Data'!$E$2:$I$2,0))))</f>
        <v/>
      </c>
      <c r="N109" s="195"/>
      <c r="O109" s="195"/>
      <c r="P109" s="507" t="str">
        <f t="shared" si="7"/>
        <v/>
      </c>
      <c r="Q109" s="521" t="str">
        <f t="shared" si="8"/>
        <v/>
      </c>
      <c r="R109" s="522" t="str">
        <f t="shared" si="6"/>
        <v/>
      </c>
      <c r="S109" s="537" t="str">
        <f>IF(D109="","",VLOOKUP(D109,'G-6 Hedgerow Data'!$B$3:$AG$15,31,FALSE))</f>
        <v/>
      </c>
      <c r="T109" s="507" t="str">
        <f t="shared" si="9"/>
        <v/>
      </c>
      <c r="U109" s="507" t="str">
        <f t="shared" si="10"/>
        <v/>
      </c>
      <c r="V109" s="524" t="str">
        <f>IF(D109="","",VLOOKUP(S109,'G-3 Multipliers'!$P$3:$Q$6,2,FALSE))</f>
        <v/>
      </c>
      <c r="W109" s="529" t="str">
        <f t="shared" si="11"/>
        <v/>
      </c>
      <c r="X109" s="149"/>
      <c r="Y109" s="150"/>
      <c r="AG109" s="31" t="str">
        <f>IFERROR(INDEX('G-6 Hedgerow Data'!$BJ$3:$BJ$15,MATCH(D109,'G-6 Hedgerow Data'!$B$3:$B$15,0)),"")</f>
        <v/>
      </c>
    </row>
    <row r="110" spans="2:33" ht="13.8" x14ac:dyDescent="0.25">
      <c r="B110" s="141">
        <v>99</v>
      </c>
      <c r="C110" s="205"/>
      <c r="D110" s="195"/>
      <c r="E110" s="172"/>
      <c r="F110" s="553" t="str">
        <f>IF(D110="","",VLOOKUP(D110,'G-6 Hedgerow Data'!$B$2:$AG$15,2,FALSE))</f>
        <v/>
      </c>
      <c r="G110" s="499" t="str">
        <f>IF(D110="","",VLOOKUP(D110,'G-6 Hedgerow Data'!$B$2:$AG$15,3,FALSE))</f>
        <v/>
      </c>
      <c r="H110" s="145"/>
      <c r="I110" s="499" t="str">
        <f>IFERROR(VLOOKUP(H110,'G-1 All Habitats'!$Z$2:$AA$9,2,FALSE),"")</f>
        <v/>
      </c>
      <c r="J110" s="145"/>
      <c r="K110" s="520" t="str">
        <f>IF(J110="","",IF(VLOOKUP(J110,'G-3 Multipliers'!$L$3:$N$6,2,FALSE)=0,"Spatial Data Missing ⚠",VLOOKUP(J110,'G-3 Multipliers'!$L$3:$N$6,2,FALSE)))</f>
        <v/>
      </c>
      <c r="L110" s="505" t="str">
        <f>IF(J110="","",IF(VLOOKUP(J110,'G-3 Multipliers'!$L$3:$N$6,3,FALSE)=0,"Spatial Data Missing ⚠",VLOOKUP(J110,'G-3 Multipliers'!$L$3:$N$6,3,FALSE)))</f>
        <v/>
      </c>
      <c r="M110" s="498" t="str">
        <f>IF(OR(D110="",H110=""),"",(INDEX('G-6 Hedgerow Data'!$E$3:$I$15,MATCH(D110,'G-6 Hedgerow Data'!$B$3:$B$15,0),MATCH(H110,'G-6 Hedgerow Data'!$E$2:$I$2,0))))</f>
        <v/>
      </c>
      <c r="N110" s="195"/>
      <c r="O110" s="195"/>
      <c r="P110" s="507" t="str">
        <f t="shared" si="7"/>
        <v/>
      </c>
      <c r="Q110" s="521" t="str">
        <f t="shared" si="8"/>
        <v/>
      </c>
      <c r="R110" s="522" t="str">
        <f t="shared" si="6"/>
        <v/>
      </c>
      <c r="S110" s="537" t="str">
        <f>IF(D110="","",VLOOKUP(D110,'G-6 Hedgerow Data'!$B$3:$AG$15,31,FALSE))</f>
        <v/>
      </c>
      <c r="T110" s="507" t="str">
        <f t="shared" si="9"/>
        <v/>
      </c>
      <c r="U110" s="507" t="str">
        <f t="shared" si="10"/>
        <v/>
      </c>
      <c r="V110" s="524" t="str">
        <f>IF(D110="","",VLOOKUP(S110,'G-3 Multipliers'!$P$3:$Q$6,2,FALSE))</f>
        <v/>
      </c>
      <c r="W110" s="529" t="str">
        <f t="shared" si="11"/>
        <v/>
      </c>
      <c r="X110" s="149"/>
      <c r="Y110" s="150"/>
      <c r="AG110" s="31" t="str">
        <f>IFERROR(INDEX('G-6 Hedgerow Data'!$BJ$3:$BJ$15,MATCH(D110,'G-6 Hedgerow Data'!$B$3:$B$15,0)),"")</f>
        <v/>
      </c>
    </row>
    <row r="111" spans="2:33" ht="13.8" x14ac:dyDescent="0.25">
      <c r="B111" s="141">
        <v>100</v>
      </c>
      <c r="C111" s="205"/>
      <c r="D111" s="195"/>
      <c r="E111" s="172"/>
      <c r="F111" s="553" t="str">
        <f>IF(D111="","",VLOOKUP(D111,'G-6 Hedgerow Data'!$B$2:$AG$15,2,FALSE))</f>
        <v/>
      </c>
      <c r="G111" s="499" t="str">
        <f>IF(D111="","",VLOOKUP(D111,'G-6 Hedgerow Data'!$B$2:$AG$15,3,FALSE))</f>
        <v/>
      </c>
      <c r="H111" s="145"/>
      <c r="I111" s="499" t="str">
        <f>IFERROR(VLOOKUP(H111,'G-1 All Habitats'!$Z$2:$AA$9,2,FALSE),"")</f>
        <v/>
      </c>
      <c r="J111" s="145"/>
      <c r="K111" s="520" t="str">
        <f>IF(J111="","",IF(VLOOKUP(J111,'G-3 Multipliers'!$L$3:$N$6,2,FALSE)=0,"Spatial Data Missing ⚠",VLOOKUP(J111,'G-3 Multipliers'!$L$3:$N$6,2,FALSE)))</f>
        <v/>
      </c>
      <c r="L111" s="505" t="str">
        <f>IF(J111="","",IF(VLOOKUP(J111,'G-3 Multipliers'!$L$3:$N$6,3,FALSE)=0,"Spatial Data Missing ⚠",VLOOKUP(J111,'G-3 Multipliers'!$L$3:$N$6,3,FALSE)))</f>
        <v/>
      </c>
      <c r="M111" s="498" t="str">
        <f>IF(OR(D111="",H111=""),"",(INDEX('G-6 Hedgerow Data'!$E$3:$I$15,MATCH(D111,'G-6 Hedgerow Data'!$B$3:$B$15,0),MATCH(H111,'G-6 Hedgerow Data'!$E$2:$I$2,0))))</f>
        <v/>
      </c>
      <c r="N111" s="195"/>
      <c r="O111" s="195"/>
      <c r="P111" s="507" t="str">
        <f t="shared" si="7"/>
        <v/>
      </c>
      <c r="Q111" s="521" t="str">
        <f t="shared" si="8"/>
        <v/>
      </c>
      <c r="R111" s="522" t="str">
        <f t="shared" si="6"/>
        <v/>
      </c>
      <c r="S111" s="537" t="str">
        <f>IF(D111="","",VLOOKUP(D111,'G-6 Hedgerow Data'!$B$3:$AG$15,31,FALSE))</f>
        <v/>
      </c>
      <c r="T111" s="507" t="str">
        <f t="shared" si="9"/>
        <v/>
      </c>
      <c r="U111" s="507" t="str">
        <f t="shared" si="10"/>
        <v/>
      </c>
      <c r="V111" s="524" t="str">
        <f>IF(D111="","",VLOOKUP(S111,'G-3 Multipliers'!$P$3:$Q$6,2,FALSE))</f>
        <v/>
      </c>
      <c r="W111" s="529" t="str">
        <f t="shared" si="11"/>
        <v/>
      </c>
      <c r="X111" s="149"/>
      <c r="Y111" s="150"/>
      <c r="AG111" s="31" t="str">
        <f>IFERROR(INDEX('G-6 Hedgerow Data'!$BJ$3:$BJ$15,MATCH(D111,'G-6 Hedgerow Data'!$B$3:$B$15,0)),"")</f>
        <v/>
      </c>
    </row>
    <row r="112" spans="2:33" ht="13.8" x14ac:dyDescent="0.25">
      <c r="B112" s="141">
        <v>101</v>
      </c>
      <c r="C112" s="205"/>
      <c r="D112" s="195"/>
      <c r="E112" s="172"/>
      <c r="F112" s="553" t="str">
        <f>IF(D112="","",VLOOKUP(D112,'G-6 Hedgerow Data'!$B$2:$AG$15,2,FALSE))</f>
        <v/>
      </c>
      <c r="G112" s="499" t="str">
        <f>IF(D112="","",VLOOKUP(D112,'G-6 Hedgerow Data'!$B$2:$AG$15,3,FALSE))</f>
        <v/>
      </c>
      <c r="H112" s="145"/>
      <c r="I112" s="499" t="str">
        <f>IFERROR(VLOOKUP(H112,'G-1 All Habitats'!$Z$2:$AA$9,2,FALSE),"")</f>
        <v/>
      </c>
      <c r="J112" s="145"/>
      <c r="K112" s="520" t="str">
        <f>IF(J112="","",IF(VLOOKUP(J112,'G-3 Multipliers'!$L$3:$N$6,2,FALSE)=0,"Spatial Data Missing ⚠",VLOOKUP(J112,'G-3 Multipliers'!$L$3:$N$6,2,FALSE)))</f>
        <v/>
      </c>
      <c r="L112" s="505" t="str">
        <f>IF(J112="","",IF(VLOOKUP(J112,'G-3 Multipliers'!$L$3:$N$6,3,FALSE)=0,"Spatial Data Missing ⚠",VLOOKUP(J112,'G-3 Multipliers'!$L$3:$N$6,3,FALSE)))</f>
        <v/>
      </c>
      <c r="M112" s="498" t="str">
        <f>IF(OR(D112="",H112=""),"",(INDEX('G-6 Hedgerow Data'!$E$3:$I$15,MATCH(D112,'G-6 Hedgerow Data'!$B$3:$B$15,0),MATCH(H112,'G-6 Hedgerow Data'!$E$2:$I$2,0))))</f>
        <v/>
      </c>
      <c r="N112" s="195"/>
      <c r="O112" s="195"/>
      <c r="P112" s="507" t="str">
        <f t="shared" si="7"/>
        <v/>
      </c>
      <c r="Q112" s="521" t="str">
        <f t="shared" si="8"/>
        <v/>
      </c>
      <c r="R112" s="522" t="str">
        <f t="shared" si="6"/>
        <v/>
      </c>
      <c r="S112" s="537" t="str">
        <f>IF(D112="","",VLOOKUP(D112,'G-6 Hedgerow Data'!$B$3:$AG$15,31,FALSE))</f>
        <v/>
      </c>
      <c r="T112" s="507" t="str">
        <f t="shared" si="9"/>
        <v/>
      </c>
      <c r="U112" s="507" t="str">
        <f t="shared" si="10"/>
        <v/>
      </c>
      <c r="V112" s="524" t="str">
        <f>IF(D112="","",VLOOKUP(S112,'G-3 Multipliers'!$P$3:$Q$6,2,FALSE))</f>
        <v/>
      </c>
      <c r="W112" s="529" t="str">
        <f t="shared" si="11"/>
        <v/>
      </c>
      <c r="X112" s="149"/>
      <c r="Y112" s="150"/>
      <c r="AG112" s="31" t="str">
        <f>IFERROR(INDEX('G-6 Hedgerow Data'!$BJ$3:$BJ$15,MATCH(D112,'G-6 Hedgerow Data'!$B$3:$B$15,0)),"")</f>
        <v/>
      </c>
    </row>
    <row r="113" spans="2:33" ht="13.8" x14ac:dyDescent="0.25">
      <c r="B113" s="141">
        <v>102</v>
      </c>
      <c r="C113" s="205"/>
      <c r="D113" s="195"/>
      <c r="E113" s="172"/>
      <c r="F113" s="553" t="str">
        <f>IF(D113="","",VLOOKUP(D113,'G-6 Hedgerow Data'!$B$2:$AG$15,2,FALSE))</f>
        <v/>
      </c>
      <c r="G113" s="499" t="str">
        <f>IF(D113="","",VLOOKUP(D113,'G-6 Hedgerow Data'!$B$2:$AG$15,3,FALSE))</f>
        <v/>
      </c>
      <c r="H113" s="145"/>
      <c r="I113" s="499" t="str">
        <f>IFERROR(VLOOKUP(H113,'G-1 All Habitats'!$Z$2:$AA$9,2,FALSE),"")</f>
        <v/>
      </c>
      <c r="J113" s="145"/>
      <c r="K113" s="520" t="str">
        <f>IF(J113="","",IF(VLOOKUP(J113,'G-3 Multipliers'!$L$3:$N$6,2,FALSE)=0,"Spatial Data Missing ⚠",VLOOKUP(J113,'G-3 Multipliers'!$L$3:$N$6,2,FALSE)))</f>
        <v/>
      </c>
      <c r="L113" s="505" t="str">
        <f>IF(J113="","",IF(VLOOKUP(J113,'G-3 Multipliers'!$L$3:$N$6,3,FALSE)=0,"Spatial Data Missing ⚠",VLOOKUP(J113,'G-3 Multipliers'!$L$3:$N$6,3,FALSE)))</f>
        <v/>
      </c>
      <c r="M113" s="498" t="str">
        <f>IF(OR(D113="",H113=""),"",(INDEX('G-6 Hedgerow Data'!$E$3:$I$15,MATCH(D113,'G-6 Hedgerow Data'!$B$3:$B$15,0),MATCH(H113,'G-6 Hedgerow Data'!$E$2:$I$2,0))))</f>
        <v/>
      </c>
      <c r="N113" s="195"/>
      <c r="O113" s="195"/>
      <c r="P113" s="507" t="str">
        <f t="shared" si="7"/>
        <v/>
      </c>
      <c r="Q113" s="521" t="str">
        <f t="shared" si="8"/>
        <v/>
      </c>
      <c r="R113" s="522" t="str">
        <f t="shared" si="6"/>
        <v/>
      </c>
      <c r="S113" s="537" t="str">
        <f>IF(D113="","",VLOOKUP(D113,'G-6 Hedgerow Data'!$B$3:$AG$15,31,FALSE))</f>
        <v/>
      </c>
      <c r="T113" s="507" t="str">
        <f t="shared" si="9"/>
        <v/>
      </c>
      <c r="U113" s="507" t="str">
        <f t="shared" si="10"/>
        <v/>
      </c>
      <c r="V113" s="524" t="str">
        <f>IF(D113="","",VLOOKUP(S113,'G-3 Multipliers'!$P$3:$Q$6,2,FALSE))</f>
        <v/>
      </c>
      <c r="W113" s="529" t="str">
        <f t="shared" si="11"/>
        <v/>
      </c>
      <c r="X113" s="149"/>
      <c r="Y113" s="150"/>
      <c r="AG113" s="31" t="str">
        <f>IFERROR(INDEX('G-6 Hedgerow Data'!$BJ$3:$BJ$15,MATCH(D113,'G-6 Hedgerow Data'!$B$3:$B$15,0)),"")</f>
        <v/>
      </c>
    </row>
    <row r="114" spans="2:33" ht="13.8" x14ac:dyDescent="0.25">
      <c r="B114" s="141">
        <v>103</v>
      </c>
      <c r="C114" s="205"/>
      <c r="D114" s="195"/>
      <c r="E114" s="172"/>
      <c r="F114" s="553" t="str">
        <f>IF(D114="","",VLOOKUP(D114,'G-6 Hedgerow Data'!$B$2:$AG$15,2,FALSE))</f>
        <v/>
      </c>
      <c r="G114" s="499" t="str">
        <f>IF(D114="","",VLOOKUP(D114,'G-6 Hedgerow Data'!$B$2:$AG$15,3,FALSE))</f>
        <v/>
      </c>
      <c r="H114" s="145"/>
      <c r="I114" s="499" t="str">
        <f>IFERROR(VLOOKUP(H114,'G-1 All Habitats'!$Z$2:$AA$9,2,FALSE),"")</f>
        <v/>
      </c>
      <c r="J114" s="145"/>
      <c r="K114" s="520" t="str">
        <f>IF(J114="","",IF(VLOOKUP(J114,'G-3 Multipliers'!$L$3:$N$6,2,FALSE)=0,"Spatial Data Missing ⚠",VLOOKUP(J114,'G-3 Multipliers'!$L$3:$N$6,2,FALSE)))</f>
        <v/>
      </c>
      <c r="L114" s="505" t="str">
        <f>IF(J114="","",IF(VLOOKUP(J114,'G-3 Multipliers'!$L$3:$N$6,3,FALSE)=0,"Spatial Data Missing ⚠",VLOOKUP(J114,'G-3 Multipliers'!$L$3:$N$6,3,FALSE)))</f>
        <v/>
      </c>
      <c r="M114" s="498" t="str">
        <f>IF(OR(D114="",H114=""),"",(INDEX('G-6 Hedgerow Data'!$E$3:$I$15,MATCH(D114,'G-6 Hedgerow Data'!$B$3:$B$15,0),MATCH(H114,'G-6 Hedgerow Data'!$E$2:$I$2,0))))</f>
        <v/>
      </c>
      <c r="N114" s="195"/>
      <c r="O114" s="195"/>
      <c r="P114" s="507" t="str">
        <f t="shared" si="7"/>
        <v/>
      </c>
      <c r="Q114" s="521" t="str">
        <f t="shared" si="8"/>
        <v/>
      </c>
      <c r="R114" s="522" t="str">
        <f t="shared" si="6"/>
        <v/>
      </c>
      <c r="S114" s="537" t="str">
        <f>IF(D114="","",VLOOKUP(D114,'G-6 Hedgerow Data'!$B$3:$AG$15,31,FALSE))</f>
        <v/>
      </c>
      <c r="T114" s="507" t="str">
        <f t="shared" si="9"/>
        <v/>
      </c>
      <c r="U114" s="507" t="str">
        <f t="shared" si="10"/>
        <v/>
      </c>
      <c r="V114" s="524" t="str">
        <f>IF(D114="","",VLOOKUP(S114,'G-3 Multipliers'!$P$3:$Q$6,2,FALSE))</f>
        <v/>
      </c>
      <c r="W114" s="529" t="str">
        <f t="shared" si="11"/>
        <v/>
      </c>
      <c r="X114" s="149"/>
      <c r="Y114" s="150"/>
      <c r="AG114" s="31" t="str">
        <f>IFERROR(INDEX('G-6 Hedgerow Data'!$BJ$3:$BJ$15,MATCH(D114,'G-6 Hedgerow Data'!$B$3:$B$15,0)),"")</f>
        <v/>
      </c>
    </row>
    <row r="115" spans="2:33" ht="13.8" x14ac:dyDescent="0.25">
      <c r="B115" s="141">
        <v>104</v>
      </c>
      <c r="C115" s="205"/>
      <c r="D115" s="195"/>
      <c r="E115" s="172"/>
      <c r="F115" s="553" t="str">
        <f>IF(D115="","",VLOOKUP(D115,'G-6 Hedgerow Data'!$B$2:$AG$15,2,FALSE))</f>
        <v/>
      </c>
      <c r="G115" s="499" t="str">
        <f>IF(D115="","",VLOOKUP(D115,'G-6 Hedgerow Data'!$B$2:$AG$15,3,FALSE))</f>
        <v/>
      </c>
      <c r="H115" s="145"/>
      <c r="I115" s="499" t="str">
        <f>IFERROR(VLOOKUP(H115,'G-1 All Habitats'!$Z$2:$AA$9,2,FALSE),"")</f>
        <v/>
      </c>
      <c r="J115" s="145"/>
      <c r="K115" s="520" t="str">
        <f>IF(J115="","",IF(VLOOKUP(J115,'G-3 Multipliers'!$L$3:$N$6,2,FALSE)=0,"Spatial Data Missing ⚠",VLOOKUP(J115,'G-3 Multipliers'!$L$3:$N$6,2,FALSE)))</f>
        <v/>
      </c>
      <c r="L115" s="505" t="str">
        <f>IF(J115="","",IF(VLOOKUP(J115,'G-3 Multipliers'!$L$3:$N$6,3,FALSE)=0,"Spatial Data Missing ⚠",VLOOKUP(J115,'G-3 Multipliers'!$L$3:$N$6,3,FALSE)))</f>
        <v/>
      </c>
      <c r="M115" s="498" t="str">
        <f>IF(OR(D115="",H115=""),"",(INDEX('G-6 Hedgerow Data'!$E$3:$I$15,MATCH(D115,'G-6 Hedgerow Data'!$B$3:$B$15,0),MATCH(H115,'G-6 Hedgerow Data'!$E$2:$I$2,0))))</f>
        <v/>
      </c>
      <c r="N115" s="195"/>
      <c r="O115" s="195"/>
      <c r="P115" s="507" t="str">
        <f t="shared" si="7"/>
        <v/>
      </c>
      <c r="Q115" s="521" t="str">
        <f t="shared" si="8"/>
        <v/>
      </c>
      <c r="R115" s="522" t="str">
        <f t="shared" si="6"/>
        <v/>
      </c>
      <c r="S115" s="537" t="str">
        <f>IF(D115="","",VLOOKUP(D115,'G-6 Hedgerow Data'!$B$3:$AG$15,31,FALSE))</f>
        <v/>
      </c>
      <c r="T115" s="507" t="str">
        <f t="shared" si="9"/>
        <v/>
      </c>
      <c r="U115" s="507" t="str">
        <f t="shared" si="10"/>
        <v/>
      </c>
      <c r="V115" s="524" t="str">
        <f>IF(D115="","",VLOOKUP(S115,'G-3 Multipliers'!$P$3:$Q$6,2,FALSE))</f>
        <v/>
      </c>
      <c r="W115" s="529" t="str">
        <f t="shared" si="11"/>
        <v/>
      </c>
      <c r="X115" s="149"/>
      <c r="Y115" s="150"/>
      <c r="AG115" s="31" t="str">
        <f>IFERROR(INDEX('G-6 Hedgerow Data'!$BJ$3:$BJ$15,MATCH(D115,'G-6 Hedgerow Data'!$B$3:$B$15,0)),"")</f>
        <v/>
      </c>
    </row>
    <row r="116" spans="2:33" ht="13.8" x14ac:dyDescent="0.25">
      <c r="B116" s="141">
        <v>105</v>
      </c>
      <c r="C116" s="205"/>
      <c r="D116" s="195"/>
      <c r="E116" s="172"/>
      <c r="F116" s="553" t="str">
        <f>IF(D116="","",VLOOKUP(D116,'G-6 Hedgerow Data'!$B$2:$AG$15,2,FALSE))</f>
        <v/>
      </c>
      <c r="G116" s="499" t="str">
        <f>IF(D116="","",VLOOKUP(D116,'G-6 Hedgerow Data'!$B$2:$AG$15,3,FALSE))</f>
        <v/>
      </c>
      <c r="H116" s="145"/>
      <c r="I116" s="499" t="str">
        <f>IFERROR(VLOOKUP(H116,'G-1 All Habitats'!$Z$2:$AA$9,2,FALSE),"")</f>
        <v/>
      </c>
      <c r="J116" s="145"/>
      <c r="K116" s="520" t="str">
        <f>IF(J116="","",IF(VLOOKUP(J116,'G-3 Multipliers'!$L$3:$N$6,2,FALSE)=0,"Spatial Data Missing ⚠",VLOOKUP(J116,'G-3 Multipliers'!$L$3:$N$6,2,FALSE)))</f>
        <v/>
      </c>
      <c r="L116" s="505" t="str">
        <f>IF(J116="","",IF(VLOOKUP(J116,'G-3 Multipliers'!$L$3:$N$6,3,FALSE)=0,"Spatial Data Missing ⚠",VLOOKUP(J116,'G-3 Multipliers'!$L$3:$N$6,3,FALSE)))</f>
        <v/>
      </c>
      <c r="M116" s="498" t="str">
        <f>IF(OR(D116="",H116=""),"",(INDEX('G-6 Hedgerow Data'!$E$3:$I$15,MATCH(D116,'G-6 Hedgerow Data'!$B$3:$B$15,0),MATCH(H116,'G-6 Hedgerow Data'!$E$2:$I$2,0))))</f>
        <v/>
      </c>
      <c r="N116" s="195"/>
      <c r="O116" s="195"/>
      <c r="P116" s="507" t="str">
        <f t="shared" si="7"/>
        <v/>
      </c>
      <c r="Q116" s="521" t="str">
        <f t="shared" si="8"/>
        <v/>
      </c>
      <c r="R116" s="522" t="str">
        <f t="shared" si="6"/>
        <v/>
      </c>
      <c r="S116" s="537" t="str">
        <f>IF(D116="","",VLOOKUP(D116,'G-6 Hedgerow Data'!$B$3:$AG$15,31,FALSE))</f>
        <v/>
      </c>
      <c r="T116" s="507" t="str">
        <f t="shared" si="9"/>
        <v/>
      </c>
      <c r="U116" s="507" t="str">
        <f t="shared" si="10"/>
        <v/>
      </c>
      <c r="V116" s="524" t="str">
        <f>IF(D116="","",VLOOKUP(S116,'G-3 Multipliers'!$P$3:$Q$6,2,FALSE))</f>
        <v/>
      </c>
      <c r="W116" s="529" t="str">
        <f t="shared" si="11"/>
        <v/>
      </c>
      <c r="X116" s="149"/>
      <c r="Y116" s="150"/>
      <c r="AG116" s="31" t="str">
        <f>IFERROR(INDEX('G-6 Hedgerow Data'!$BJ$3:$BJ$15,MATCH(D116,'G-6 Hedgerow Data'!$B$3:$B$15,0)),"")</f>
        <v/>
      </c>
    </row>
    <row r="117" spans="2:33" ht="13.8" x14ac:dyDescent="0.25">
      <c r="B117" s="141">
        <v>106</v>
      </c>
      <c r="C117" s="205"/>
      <c r="D117" s="195"/>
      <c r="E117" s="172"/>
      <c r="F117" s="553" t="str">
        <f>IF(D117="","",VLOOKUP(D117,'G-6 Hedgerow Data'!$B$2:$AG$15,2,FALSE))</f>
        <v/>
      </c>
      <c r="G117" s="499" t="str">
        <f>IF(D117="","",VLOOKUP(D117,'G-6 Hedgerow Data'!$B$2:$AG$15,3,FALSE))</f>
        <v/>
      </c>
      <c r="H117" s="145"/>
      <c r="I117" s="499" t="str">
        <f>IFERROR(VLOOKUP(H117,'G-1 All Habitats'!$Z$2:$AA$9,2,FALSE),"")</f>
        <v/>
      </c>
      <c r="J117" s="145"/>
      <c r="K117" s="520" t="str">
        <f>IF(J117="","",IF(VLOOKUP(J117,'G-3 Multipliers'!$L$3:$N$6,2,FALSE)=0,"Spatial Data Missing ⚠",VLOOKUP(J117,'G-3 Multipliers'!$L$3:$N$6,2,FALSE)))</f>
        <v/>
      </c>
      <c r="L117" s="505" t="str">
        <f>IF(J117="","",IF(VLOOKUP(J117,'G-3 Multipliers'!$L$3:$N$6,3,FALSE)=0,"Spatial Data Missing ⚠",VLOOKUP(J117,'G-3 Multipliers'!$L$3:$N$6,3,FALSE)))</f>
        <v/>
      </c>
      <c r="M117" s="498" t="str">
        <f>IF(OR(D117="",H117=""),"",(INDEX('G-6 Hedgerow Data'!$E$3:$I$15,MATCH(D117,'G-6 Hedgerow Data'!$B$3:$B$15,0),MATCH(H117,'G-6 Hedgerow Data'!$E$2:$I$2,0))))</f>
        <v/>
      </c>
      <c r="N117" s="195"/>
      <c r="O117" s="195"/>
      <c r="P117" s="507" t="str">
        <f t="shared" si="7"/>
        <v/>
      </c>
      <c r="Q117" s="521" t="str">
        <f t="shared" si="8"/>
        <v/>
      </c>
      <c r="R117" s="522" t="str">
        <f t="shared" si="6"/>
        <v/>
      </c>
      <c r="S117" s="537" t="str">
        <f>IF(D117="","",VLOOKUP(D117,'G-6 Hedgerow Data'!$B$3:$AG$15,31,FALSE))</f>
        <v/>
      </c>
      <c r="T117" s="507" t="str">
        <f t="shared" si="9"/>
        <v/>
      </c>
      <c r="U117" s="507" t="str">
        <f t="shared" si="10"/>
        <v/>
      </c>
      <c r="V117" s="524" t="str">
        <f>IF(D117="","",VLOOKUP(S117,'G-3 Multipliers'!$P$3:$Q$6,2,FALSE))</f>
        <v/>
      </c>
      <c r="W117" s="529" t="str">
        <f t="shared" si="11"/>
        <v/>
      </c>
      <c r="X117" s="149"/>
      <c r="Y117" s="150"/>
      <c r="AG117" s="31" t="str">
        <f>IFERROR(INDEX('G-6 Hedgerow Data'!$BJ$3:$BJ$15,MATCH(D117,'G-6 Hedgerow Data'!$B$3:$B$15,0)),"")</f>
        <v/>
      </c>
    </row>
    <row r="118" spans="2:33" ht="13.8" x14ac:dyDescent="0.25">
      <c r="B118" s="141">
        <v>107</v>
      </c>
      <c r="C118" s="205"/>
      <c r="D118" s="195"/>
      <c r="E118" s="172"/>
      <c r="F118" s="553" t="str">
        <f>IF(D118="","",VLOOKUP(D118,'G-6 Hedgerow Data'!$B$2:$AG$15,2,FALSE))</f>
        <v/>
      </c>
      <c r="G118" s="499" t="str">
        <f>IF(D118="","",VLOOKUP(D118,'G-6 Hedgerow Data'!$B$2:$AG$15,3,FALSE))</f>
        <v/>
      </c>
      <c r="H118" s="145"/>
      <c r="I118" s="499" t="str">
        <f>IFERROR(VLOOKUP(H118,'G-1 All Habitats'!$Z$2:$AA$9,2,FALSE),"")</f>
        <v/>
      </c>
      <c r="J118" s="145"/>
      <c r="K118" s="520" t="str">
        <f>IF(J118="","",IF(VLOOKUP(J118,'G-3 Multipliers'!$L$3:$N$6,2,FALSE)=0,"Spatial Data Missing ⚠",VLOOKUP(J118,'G-3 Multipliers'!$L$3:$N$6,2,FALSE)))</f>
        <v/>
      </c>
      <c r="L118" s="505" t="str">
        <f>IF(J118="","",IF(VLOOKUP(J118,'G-3 Multipliers'!$L$3:$N$6,3,FALSE)=0,"Spatial Data Missing ⚠",VLOOKUP(J118,'G-3 Multipliers'!$L$3:$N$6,3,FALSE)))</f>
        <v/>
      </c>
      <c r="M118" s="498" t="str">
        <f>IF(OR(D118="",H118=""),"",(INDEX('G-6 Hedgerow Data'!$E$3:$I$15,MATCH(D118,'G-6 Hedgerow Data'!$B$3:$B$15,0),MATCH(H118,'G-6 Hedgerow Data'!$E$2:$I$2,0))))</f>
        <v/>
      </c>
      <c r="N118" s="195"/>
      <c r="O118" s="195"/>
      <c r="P118" s="507" t="str">
        <f t="shared" si="7"/>
        <v/>
      </c>
      <c r="Q118" s="521" t="str">
        <f t="shared" si="8"/>
        <v/>
      </c>
      <c r="R118" s="522" t="str">
        <f t="shared" si="6"/>
        <v/>
      </c>
      <c r="S118" s="537" t="str">
        <f>IF(D118="","",VLOOKUP(D118,'G-6 Hedgerow Data'!$B$3:$AG$15,31,FALSE))</f>
        <v/>
      </c>
      <c r="T118" s="507" t="str">
        <f t="shared" si="9"/>
        <v/>
      </c>
      <c r="U118" s="507" t="str">
        <f t="shared" si="10"/>
        <v/>
      </c>
      <c r="V118" s="524" t="str">
        <f>IF(D118="","",VLOOKUP(S118,'G-3 Multipliers'!$P$3:$Q$6,2,FALSE))</f>
        <v/>
      </c>
      <c r="W118" s="529" t="str">
        <f t="shared" si="11"/>
        <v/>
      </c>
      <c r="X118" s="149"/>
      <c r="Y118" s="150"/>
      <c r="AG118" s="31" t="str">
        <f>IFERROR(INDEX('G-6 Hedgerow Data'!$BJ$3:$BJ$15,MATCH(D118,'G-6 Hedgerow Data'!$B$3:$B$15,0)),"")</f>
        <v/>
      </c>
    </row>
    <row r="119" spans="2:33" ht="13.8" x14ac:dyDescent="0.25">
      <c r="B119" s="141">
        <v>108</v>
      </c>
      <c r="C119" s="205"/>
      <c r="D119" s="195"/>
      <c r="E119" s="172"/>
      <c r="F119" s="553" t="str">
        <f>IF(D119="","",VLOOKUP(D119,'G-6 Hedgerow Data'!$B$2:$AG$15,2,FALSE))</f>
        <v/>
      </c>
      <c r="G119" s="499" t="str">
        <f>IF(D119="","",VLOOKUP(D119,'G-6 Hedgerow Data'!$B$2:$AG$15,3,FALSE))</f>
        <v/>
      </c>
      <c r="H119" s="145"/>
      <c r="I119" s="499" t="str">
        <f>IFERROR(VLOOKUP(H119,'G-1 All Habitats'!$Z$2:$AA$9,2,FALSE),"")</f>
        <v/>
      </c>
      <c r="J119" s="145"/>
      <c r="K119" s="520" t="str">
        <f>IF(J119="","",IF(VLOOKUP(J119,'G-3 Multipliers'!$L$3:$N$6,2,FALSE)=0,"Spatial Data Missing ⚠",VLOOKUP(J119,'G-3 Multipliers'!$L$3:$N$6,2,FALSE)))</f>
        <v/>
      </c>
      <c r="L119" s="505" t="str">
        <f>IF(J119="","",IF(VLOOKUP(J119,'G-3 Multipliers'!$L$3:$N$6,3,FALSE)=0,"Spatial Data Missing ⚠",VLOOKUP(J119,'G-3 Multipliers'!$L$3:$N$6,3,FALSE)))</f>
        <v/>
      </c>
      <c r="M119" s="498" t="str">
        <f>IF(OR(D119="",H119=""),"",(INDEX('G-6 Hedgerow Data'!$E$3:$I$15,MATCH(D119,'G-6 Hedgerow Data'!$B$3:$B$15,0),MATCH(H119,'G-6 Hedgerow Data'!$E$2:$I$2,0))))</f>
        <v/>
      </c>
      <c r="N119" s="195"/>
      <c r="O119" s="195"/>
      <c r="P119" s="507" t="str">
        <f t="shared" si="7"/>
        <v/>
      </c>
      <c r="Q119" s="521" t="str">
        <f t="shared" si="8"/>
        <v/>
      </c>
      <c r="R119" s="522" t="str">
        <f t="shared" si="6"/>
        <v/>
      </c>
      <c r="S119" s="537" t="str">
        <f>IF(D119="","",VLOOKUP(D119,'G-6 Hedgerow Data'!$B$3:$AG$15,31,FALSE))</f>
        <v/>
      </c>
      <c r="T119" s="507" t="str">
        <f t="shared" si="9"/>
        <v/>
      </c>
      <c r="U119" s="507" t="str">
        <f t="shared" si="10"/>
        <v/>
      </c>
      <c r="V119" s="524" t="str">
        <f>IF(D119="","",VLOOKUP(S119,'G-3 Multipliers'!$P$3:$Q$6,2,FALSE))</f>
        <v/>
      </c>
      <c r="W119" s="529" t="str">
        <f t="shared" si="11"/>
        <v/>
      </c>
      <c r="X119" s="149"/>
      <c r="Y119" s="150"/>
      <c r="AG119" s="31" t="str">
        <f>IFERROR(INDEX('G-6 Hedgerow Data'!$BJ$3:$BJ$15,MATCH(D119,'G-6 Hedgerow Data'!$B$3:$B$15,0)),"")</f>
        <v/>
      </c>
    </row>
    <row r="120" spans="2:33" ht="13.8" x14ac:dyDescent="0.25">
      <c r="B120" s="141">
        <v>109</v>
      </c>
      <c r="C120" s="205"/>
      <c r="D120" s="195"/>
      <c r="E120" s="172"/>
      <c r="F120" s="553" t="str">
        <f>IF(D120="","",VLOOKUP(D120,'G-6 Hedgerow Data'!$B$2:$AG$15,2,FALSE))</f>
        <v/>
      </c>
      <c r="G120" s="499" t="str">
        <f>IF(D120="","",VLOOKUP(D120,'G-6 Hedgerow Data'!$B$2:$AG$15,3,FALSE))</f>
        <v/>
      </c>
      <c r="H120" s="145"/>
      <c r="I120" s="499" t="str">
        <f>IFERROR(VLOOKUP(H120,'G-1 All Habitats'!$Z$2:$AA$9,2,FALSE),"")</f>
        <v/>
      </c>
      <c r="J120" s="145"/>
      <c r="K120" s="520" t="str">
        <f>IF(J120="","",IF(VLOOKUP(J120,'G-3 Multipliers'!$L$3:$N$6,2,FALSE)=0,"Spatial Data Missing ⚠",VLOOKUP(J120,'G-3 Multipliers'!$L$3:$N$6,2,FALSE)))</f>
        <v/>
      </c>
      <c r="L120" s="505" t="str">
        <f>IF(J120="","",IF(VLOOKUP(J120,'G-3 Multipliers'!$L$3:$N$6,3,FALSE)=0,"Spatial Data Missing ⚠",VLOOKUP(J120,'G-3 Multipliers'!$L$3:$N$6,3,FALSE)))</f>
        <v/>
      </c>
      <c r="M120" s="498" t="str">
        <f>IF(OR(D120="",H120=""),"",(INDEX('G-6 Hedgerow Data'!$E$3:$I$15,MATCH(D120,'G-6 Hedgerow Data'!$B$3:$B$15,0),MATCH(H120,'G-6 Hedgerow Data'!$E$2:$I$2,0))))</f>
        <v/>
      </c>
      <c r="N120" s="195"/>
      <c r="O120" s="195"/>
      <c r="P120" s="507" t="str">
        <f t="shared" si="7"/>
        <v/>
      </c>
      <c r="Q120" s="521" t="str">
        <f t="shared" si="8"/>
        <v/>
      </c>
      <c r="R120" s="522" t="str">
        <f t="shared" si="6"/>
        <v/>
      </c>
      <c r="S120" s="537" t="str">
        <f>IF(D120="","",VLOOKUP(D120,'G-6 Hedgerow Data'!$B$3:$AG$15,31,FALSE))</f>
        <v/>
      </c>
      <c r="T120" s="507" t="str">
        <f t="shared" si="9"/>
        <v/>
      </c>
      <c r="U120" s="507" t="str">
        <f t="shared" si="10"/>
        <v/>
      </c>
      <c r="V120" s="524" t="str">
        <f>IF(D120="","",VLOOKUP(S120,'G-3 Multipliers'!$P$3:$Q$6,2,FALSE))</f>
        <v/>
      </c>
      <c r="W120" s="529" t="str">
        <f t="shared" si="11"/>
        <v/>
      </c>
      <c r="X120" s="149"/>
      <c r="Y120" s="150"/>
      <c r="AG120" s="31" t="str">
        <f>IFERROR(INDEX('G-6 Hedgerow Data'!$BJ$3:$BJ$15,MATCH(D120,'G-6 Hedgerow Data'!$B$3:$B$15,0)),"")</f>
        <v/>
      </c>
    </row>
    <row r="121" spans="2:33" ht="13.8" x14ac:dyDescent="0.25">
      <c r="B121" s="141">
        <v>110</v>
      </c>
      <c r="C121" s="205"/>
      <c r="D121" s="195"/>
      <c r="E121" s="172"/>
      <c r="F121" s="553" t="str">
        <f>IF(D121="","",VLOOKUP(D121,'G-6 Hedgerow Data'!$B$2:$AG$15,2,FALSE))</f>
        <v/>
      </c>
      <c r="G121" s="499" t="str">
        <f>IF(D121="","",VLOOKUP(D121,'G-6 Hedgerow Data'!$B$2:$AG$15,3,FALSE))</f>
        <v/>
      </c>
      <c r="H121" s="145"/>
      <c r="I121" s="499" t="str">
        <f>IFERROR(VLOOKUP(H121,'G-1 All Habitats'!$Z$2:$AA$9,2,FALSE),"")</f>
        <v/>
      </c>
      <c r="J121" s="145"/>
      <c r="K121" s="520" t="str">
        <f>IF(J121="","",IF(VLOOKUP(J121,'G-3 Multipliers'!$L$3:$N$6,2,FALSE)=0,"Spatial Data Missing ⚠",VLOOKUP(J121,'G-3 Multipliers'!$L$3:$N$6,2,FALSE)))</f>
        <v/>
      </c>
      <c r="L121" s="505" t="str">
        <f>IF(J121="","",IF(VLOOKUP(J121,'G-3 Multipliers'!$L$3:$N$6,3,FALSE)=0,"Spatial Data Missing ⚠",VLOOKUP(J121,'G-3 Multipliers'!$L$3:$N$6,3,FALSE)))</f>
        <v/>
      </c>
      <c r="M121" s="498" t="str">
        <f>IF(OR(D121="",H121=""),"",(INDEX('G-6 Hedgerow Data'!$E$3:$I$15,MATCH(D121,'G-6 Hedgerow Data'!$B$3:$B$15,0),MATCH(H121,'G-6 Hedgerow Data'!$E$2:$I$2,0))))</f>
        <v/>
      </c>
      <c r="N121" s="195"/>
      <c r="O121" s="195"/>
      <c r="P121" s="507" t="str">
        <f t="shared" si="7"/>
        <v/>
      </c>
      <c r="Q121" s="521" t="str">
        <f t="shared" si="8"/>
        <v/>
      </c>
      <c r="R121" s="522" t="str">
        <f t="shared" si="6"/>
        <v/>
      </c>
      <c r="S121" s="537" t="str">
        <f>IF(D121="","",VLOOKUP(D121,'G-6 Hedgerow Data'!$B$3:$AG$15,31,FALSE))</f>
        <v/>
      </c>
      <c r="T121" s="507" t="str">
        <f t="shared" si="9"/>
        <v/>
      </c>
      <c r="U121" s="507" t="str">
        <f t="shared" si="10"/>
        <v/>
      </c>
      <c r="V121" s="524" t="str">
        <f>IF(D121="","",VLOOKUP(S121,'G-3 Multipliers'!$P$3:$Q$6,2,FALSE))</f>
        <v/>
      </c>
      <c r="W121" s="529" t="str">
        <f t="shared" si="11"/>
        <v/>
      </c>
      <c r="X121" s="149"/>
      <c r="Y121" s="150"/>
      <c r="AG121" s="31" t="str">
        <f>IFERROR(INDEX('G-6 Hedgerow Data'!$BJ$3:$BJ$15,MATCH(D121,'G-6 Hedgerow Data'!$B$3:$B$15,0)),"")</f>
        <v/>
      </c>
    </row>
    <row r="122" spans="2:33" ht="13.8" x14ac:dyDescent="0.25">
      <c r="B122" s="141">
        <v>111</v>
      </c>
      <c r="C122" s="205"/>
      <c r="D122" s="195"/>
      <c r="E122" s="172"/>
      <c r="F122" s="553" t="str">
        <f>IF(D122="","",VLOOKUP(D122,'G-6 Hedgerow Data'!$B$2:$AG$15,2,FALSE))</f>
        <v/>
      </c>
      <c r="G122" s="499" t="str">
        <f>IF(D122="","",VLOOKUP(D122,'G-6 Hedgerow Data'!$B$2:$AG$15,3,FALSE))</f>
        <v/>
      </c>
      <c r="H122" s="145"/>
      <c r="I122" s="499" t="str">
        <f>IFERROR(VLOOKUP(H122,'G-1 All Habitats'!$Z$2:$AA$9,2,FALSE),"")</f>
        <v/>
      </c>
      <c r="J122" s="145"/>
      <c r="K122" s="520" t="str">
        <f>IF(J122="","",IF(VLOOKUP(J122,'G-3 Multipliers'!$L$3:$N$6,2,FALSE)=0,"Spatial Data Missing ⚠",VLOOKUP(J122,'G-3 Multipliers'!$L$3:$N$6,2,FALSE)))</f>
        <v/>
      </c>
      <c r="L122" s="505" t="str">
        <f>IF(J122="","",IF(VLOOKUP(J122,'G-3 Multipliers'!$L$3:$N$6,3,FALSE)=0,"Spatial Data Missing ⚠",VLOOKUP(J122,'G-3 Multipliers'!$L$3:$N$6,3,FALSE)))</f>
        <v/>
      </c>
      <c r="M122" s="498" t="str">
        <f>IF(OR(D122="",H122=""),"",(INDEX('G-6 Hedgerow Data'!$E$3:$I$15,MATCH(D122,'G-6 Hedgerow Data'!$B$3:$B$15,0),MATCH(H122,'G-6 Hedgerow Data'!$E$2:$I$2,0))))</f>
        <v/>
      </c>
      <c r="N122" s="195"/>
      <c r="O122" s="195"/>
      <c r="P122" s="507" t="str">
        <f t="shared" si="7"/>
        <v/>
      </c>
      <c r="Q122" s="521" t="str">
        <f t="shared" si="8"/>
        <v/>
      </c>
      <c r="R122" s="522" t="str">
        <f t="shared" si="6"/>
        <v/>
      </c>
      <c r="S122" s="537" t="str">
        <f>IF(D122="","",VLOOKUP(D122,'G-6 Hedgerow Data'!$B$3:$AG$15,31,FALSE))</f>
        <v/>
      </c>
      <c r="T122" s="507" t="str">
        <f t="shared" si="9"/>
        <v/>
      </c>
      <c r="U122" s="507" t="str">
        <f t="shared" si="10"/>
        <v/>
      </c>
      <c r="V122" s="524" t="str">
        <f>IF(D122="","",VLOOKUP(S122,'G-3 Multipliers'!$P$3:$Q$6,2,FALSE))</f>
        <v/>
      </c>
      <c r="W122" s="529" t="str">
        <f t="shared" si="11"/>
        <v/>
      </c>
      <c r="X122" s="149"/>
      <c r="Y122" s="150"/>
      <c r="AG122" s="31" t="str">
        <f>IFERROR(INDEX('G-6 Hedgerow Data'!$BJ$3:$BJ$15,MATCH(D122,'G-6 Hedgerow Data'!$B$3:$B$15,0)),"")</f>
        <v/>
      </c>
    </row>
    <row r="123" spans="2:33" ht="13.8" x14ac:dyDescent="0.25">
      <c r="B123" s="141">
        <v>112</v>
      </c>
      <c r="C123" s="205"/>
      <c r="D123" s="195"/>
      <c r="E123" s="172"/>
      <c r="F123" s="553" t="str">
        <f>IF(D123="","",VLOOKUP(D123,'G-6 Hedgerow Data'!$B$2:$AG$15,2,FALSE))</f>
        <v/>
      </c>
      <c r="G123" s="499" t="str">
        <f>IF(D123="","",VLOOKUP(D123,'G-6 Hedgerow Data'!$B$2:$AG$15,3,FALSE))</f>
        <v/>
      </c>
      <c r="H123" s="145"/>
      <c r="I123" s="499" t="str">
        <f>IFERROR(VLOOKUP(H123,'G-1 All Habitats'!$Z$2:$AA$9,2,FALSE),"")</f>
        <v/>
      </c>
      <c r="J123" s="145"/>
      <c r="K123" s="520" t="str">
        <f>IF(J123="","",IF(VLOOKUP(J123,'G-3 Multipliers'!$L$3:$N$6,2,FALSE)=0,"Spatial Data Missing ⚠",VLOOKUP(J123,'G-3 Multipliers'!$L$3:$N$6,2,FALSE)))</f>
        <v/>
      </c>
      <c r="L123" s="505" t="str">
        <f>IF(J123="","",IF(VLOOKUP(J123,'G-3 Multipliers'!$L$3:$N$6,3,FALSE)=0,"Spatial Data Missing ⚠",VLOOKUP(J123,'G-3 Multipliers'!$L$3:$N$6,3,FALSE)))</f>
        <v/>
      </c>
      <c r="M123" s="498" t="str">
        <f>IF(OR(D123="",H123=""),"",(INDEX('G-6 Hedgerow Data'!$E$3:$I$15,MATCH(D123,'G-6 Hedgerow Data'!$B$3:$B$15,0),MATCH(H123,'G-6 Hedgerow Data'!$E$2:$I$2,0))))</f>
        <v/>
      </c>
      <c r="N123" s="195"/>
      <c r="O123" s="195"/>
      <c r="P123" s="507" t="str">
        <f t="shared" si="7"/>
        <v/>
      </c>
      <c r="Q123" s="521" t="str">
        <f t="shared" si="8"/>
        <v/>
      </c>
      <c r="R123" s="522" t="str">
        <f t="shared" si="6"/>
        <v/>
      </c>
      <c r="S123" s="537" t="str">
        <f>IF(D123="","",VLOOKUP(D123,'G-6 Hedgerow Data'!$B$3:$AG$15,31,FALSE))</f>
        <v/>
      </c>
      <c r="T123" s="507" t="str">
        <f t="shared" si="9"/>
        <v/>
      </c>
      <c r="U123" s="507" t="str">
        <f t="shared" si="10"/>
        <v/>
      </c>
      <c r="V123" s="524" t="str">
        <f>IF(D123="","",VLOOKUP(S123,'G-3 Multipliers'!$P$3:$Q$6,2,FALSE))</f>
        <v/>
      </c>
      <c r="W123" s="529" t="str">
        <f t="shared" si="11"/>
        <v/>
      </c>
      <c r="X123" s="149"/>
      <c r="Y123" s="150"/>
      <c r="AG123" s="31" t="str">
        <f>IFERROR(INDEX('G-6 Hedgerow Data'!$BJ$3:$BJ$15,MATCH(D123,'G-6 Hedgerow Data'!$B$3:$B$15,0)),"")</f>
        <v/>
      </c>
    </row>
    <row r="124" spans="2:33" ht="13.8" x14ac:dyDescent="0.25">
      <c r="B124" s="141">
        <v>113</v>
      </c>
      <c r="C124" s="205"/>
      <c r="D124" s="195"/>
      <c r="E124" s="172"/>
      <c r="F124" s="553" t="str">
        <f>IF(D124="","",VLOOKUP(D124,'G-6 Hedgerow Data'!$B$2:$AG$15,2,FALSE))</f>
        <v/>
      </c>
      <c r="G124" s="499" t="str">
        <f>IF(D124="","",VLOOKUP(D124,'G-6 Hedgerow Data'!$B$2:$AG$15,3,FALSE))</f>
        <v/>
      </c>
      <c r="H124" s="145"/>
      <c r="I124" s="499" t="str">
        <f>IFERROR(VLOOKUP(H124,'G-1 All Habitats'!$Z$2:$AA$9,2,FALSE),"")</f>
        <v/>
      </c>
      <c r="J124" s="145"/>
      <c r="K124" s="520" t="str">
        <f>IF(J124="","",IF(VLOOKUP(J124,'G-3 Multipliers'!$L$3:$N$6,2,FALSE)=0,"Spatial Data Missing ⚠",VLOOKUP(J124,'G-3 Multipliers'!$L$3:$N$6,2,FALSE)))</f>
        <v/>
      </c>
      <c r="L124" s="505" t="str">
        <f>IF(J124="","",IF(VLOOKUP(J124,'G-3 Multipliers'!$L$3:$N$6,3,FALSE)=0,"Spatial Data Missing ⚠",VLOOKUP(J124,'G-3 Multipliers'!$L$3:$N$6,3,FALSE)))</f>
        <v/>
      </c>
      <c r="M124" s="498" t="str">
        <f>IF(OR(D124="",H124=""),"",(INDEX('G-6 Hedgerow Data'!$E$3:$I$15,MATCH(D124,'G-6 Hedgerow Data'!$B$3:$B$15,0),MATCH(H124,'G-6 Hedgerow Data'!$E$2:$I$2,0))))</f>
        <v/>
      </c>
      <c r="N124" s="195"/>
      <c r="O124" s="195"/>
      <c r="P124" s="507" t="str">
        <f t="shared" si="7"/>
        <v/>
      </c>
      <c r="Q124" s="521" t="str">
        <f t="shared" si="8"/>
        <v/>
      </c>
      <c r="R124" s="522" t="str">
        <f t="shared" si="6"/>
        <v/>
      </c>
      <c r="S124" s="537" t="str">
        <f>IF(D124="","",VLOOKUP(D124,'G-6 Hedgerow Data'!$B$3:$AG$15,31,FALSE))</f>
        <v/>
      </c>
      <c r="T124" s="507" t="str">
        <f t="shared" si="9"/>
        <v/>
      </c>
      <c r="U124" s="507" t="str">
        <f t="shared" si="10"/>
        <v/>
      </c>
      <c r="V124" s="524" t="str">
        <f>IF(D124="","",VLOOKUP(S124,'G-3 Multipliers'!$P$3:$Q$6,2,FALSE))</f>
        <v/>
      </c>
      <c r="W124" s="529" t="str">
        <f t="shared" si="11"/>
        <v/>
      </c>
      <c r="X124" s="149"/>
      <c r="Y124" s="150"/>
      <c r="AG124" s="31" t="str">
        <f>IFERROR(INDEX('G-6 Hedgerow Data'!$BJ$3:$BJ$15,MATCH(D124,'G-6 Hedgerow Data'!$B$3:$B$15,0)),"")</f>
        <v/>
      </c>
    </row>
    <row r="125" spans="2:33" ht="13.8" x14ac:dyDescent="0.25">
      <c r="B125" s="141">
        <v>114</v>
      </c>
      <c r="C125" s="205"/>
      <c r="D125" s="195"/>
      <c r="E125" s="172"/>
      <c r="F125" s="553" t="str">
        <f>IF(D125="","",VLOOKUP(D125,'G-6 Hedgerow Data'!$B$2:$AG$15,2,FALSE))</f>
        <v/>
      </c>
      <c r="G125" s="499" t="str">
        <f>IF(D125="","",VLOOKUP(D125,'G-6 Hedgerow Data'!$B$2:$AG$15,3,FALSE))</f>
        <v/>
      </c>
      <c r="H125" s="145"/>
      <c r="I125" s="499" t="str">
        <f>IFERROR(VLOOKUP(H125,'G-1 All Habitats'!$Z$2:$AA$9,2,FALSE),"")</f>
        <v/>
      </c>
      <c r="J125" s="145"/>
      <c r="K125" s="520" t="str">
        <f>IF(J125="","",IF(VLOOKUP(J125,'G-3 Multipliers'!$L$3:$N$6,2,FALSE)=0,"Spatial Data Missing ⚠",VLOOKUP(J125,'G-3 Multipliers'!$L$3:$N$6,2,FALSE)))</f>
        <v/>
      </c>
      <c r="L125" s="505" t="str">
        <f>IF(J125="","",IF(VLOOKUP(J125,'G-3 Multipliers'!$L$3:$N$6,3,FALSE)=0,"Spatial Data Missing ⚠",VLOOKUP(J125,'G-3 Multipliers'!$L$3:$N$6,3,FALSE)))</f>
        <v/>
      </c>
      <c r="M125" s="498" t="str">
        <f>IF(OR(D125="",H125=""),"",(INDEX('G-6 Hedgerow Data'!$E$3:$I$15,MATCH(D125,'G-6 Hedgerow Data'!$B$3:$B$15,0),MATCH(H125,'G-6 Hedgerow Data'!$E$2:$I$2,0))))</f>
        <v/>
      </c>
      <c r="N125" s="195"/>
      <c r="O125" s="195"/>
      <c r="P125" s="507" t="str">
        <f t="shared" si="7"/>
        <v/>
      </c>
      <c r="Q125" s="521" t="str">
        <f t="shared" si="8"/>
        <v/>
      </c>
      <c r="R125" s="522" t="str">
        <f t="shared" si="6"/>
        <v/>
      </c>
      <c r="S125" s="537" t="str">
        <f>IF(D125="","",VLOOKUP(D125,'G-6 Hedgerow Data'!$B$3:$AG$15,31,FALSE))</f>
        <v/>
      </c>
      <c r="T125" s="507" t="str">
        <f t="shared" si="9"/>
        <v/>
      </c>
      <c r="U125" s="507" t="str">
        <f t="shared" si="10"/>
        <v/>
      </c>
      <c r="V125" s="524" t="str">
        <f>IF(D125="","",VLOOKUP(S125,'G-3 Multipliers'!$P$3:$Q$6,2,FALSE))</f>
        <v/>
      </c>
      <c r="W125" s="529" t="str">
        <f t="shared" si="11"/>
        <v/>
      </c>
      <c r="X125" s="149"/>
      <c r="Y125" s="150"/>
      <c r="AG125" s="31" t="str">
        <f>IFERROR(INDEX('G-6 Hedgerow Data'!$BJ$3:$BJ$15,MATCH(D125,'G-6 Hedgerow Data'!$B$3:$B$15,0)),"")</f>
        <v/>
      </c>
    </row>
    <row r="126" spans="2:33" ht="13.8" x14ac:dyDescent="0.25">
      <c r="B126" s="141">
        <v>115</v>
      </c>
      <c r="C126" s="205"/>
      <c r="D126" s="195"/>
      <c r="E126" s="172"/>
      <c r="F126" s="553" t="str">
        <f>IF(D126="","",VLOOKUP(D126,'G-6 Hedgerow Data'!$B$2:$AG$15,2,FALSE))</f>
        <v/>
      </c>
      <c r="G126" s="499" t="str">
        <f>IF(D126="","",VLOOKUP(D126,'G-6 Hedgerow Data'!$B$2:$AG$15,3,FALSE))</f>
        <v/>
      </c>
      <c r="H126" s="145"/>
      <c r="I126" s="499" t="str">
        <f>IFERROR(VLOOKUP(H126,'G-1 All Habitats'!$Z$2:$AA$9,2,FALSE),"")</f>
        <v/>
      </c>
      <c r="J126" s="145"/>
      <c r="K126" s="520" t="str">
        <f>IF(J126="","",IF(VLOOKUP(J126,'G-3 Multipliers'!$L$3:$N$6,2,FALSE)=0,"Spatial Data Missing ⚠",VLOOKUP(J126,'G-3 Multipliers'!$L$3:$N$6,2,FALSE)))</f>
        <v/>
      </c>
      <c r="L126" s="505" t="str">
        <f>IF(J126="","",IF(VLOOKUP(J126,'G-3 Multipliers'!$L$3:$N$6,3,FALSE)=0,"Spatial Data Missing ⚠",VLOOKUP(J126,'G-3 Multipliers'!$L$3:$N$6,3,FALSE)))</f>
        <v/>
      </c>
      <c r="M126" s="498" t="str">
        <f>IF(OR(D126="",H126=""),"",(INDEX('G-6 Hedgerow Data'!$E$3:$I$15,MATCH(D126,'G-6 Hedgerow Data'!$B$3:$B$15,0),MATCH(H126,'G-6 Hedgerow Data'!$E$2:$I$2,0))))</f>
        <v/>
      </c>
      <c r="N126" s="195"/>
      <c r="O126" s="195"/>
      <c r="P126" s="507" t="str">
        <f t="shared" si="7"/>
        <v/>
      </c>
      <c r="Q126" s="521" t="str">
        <f t="shared" si="8"/>
        <v/>
      </c>
      <c r="R126" s="522" t="str">
        <f t="shared" si="6"/>
        <v/>
      </c>
      <c r="S126" s="537" t="str">
        <f>IF(D126="","",VLOOKUP(D126,'G-6 Hedgerow Data'!$B$3:$AG$15,31,FALSE))</f>
        <v/>
      </c>
      <c r="T126" s="507" t="str">
        <f t="shared" si="9"/>
        <v/>
      </c>
      <c r="U126" s="507" t="str">
        <f t="shared" si="10"/>
        <v/>
      </c>
      <c r="V126" s="524" t="str">
        <f>IF(D126="","",VLOOKUP(S126,'G-3 Multipliers'!$P$3:$Q$6,2,FALSE))</f>
        <v/>
      </c>
      <c r="W126" s="529" t="str">
        <f t="shared" si="11"/>
        <v/>
      </c>
      <c r="X126" s="149"/>
      <c r="Y126" s="150"/>
      <c r="AG126" s="31" t="str">
        <f>IFERROR(INDEX('G-6 Hedgerow Data'!$BJ$3:$BJ$15,MATCH(D126,'G-6 Hedgerow Data'!$B$3:$B$15,0)),"")</f>
        <v/>
      </c>
    </row>
    <row r="127" spans="2:33" ht="13.8" x14ac:dyDescent="0.25">
      <c r="B127" s="141">
        <v>116</v>
      </c>
      <c r="C127" s="205"/>
      <c r="D127" s="195"/>
      <c r="E127" s="172"/>
      <c r="F127" s="553" t="str">
        <f>IF(D127="","",VLOOKUP(D127,'G-6 Hedgerow Data'!$B$2:$AG$15,2,FALSE))</f>
        <v/>
      </c>
      <c r="G127" s="499" t="str">
        <f>IF(D127="","",VLOOKUP(D127,'G-6 Hedgerow Data'!$B$2:$AG$15,3,FALSE))</f>
        <v/>
      </c>
      <c r="H127" s="145"/>
      <c r="I127" s="499" t="str">
        <f>IFERROR(VLOOKUP(H127,'G-1 All Habitats'!$Z$2:$AA$9,2,FALSE),"")</f>
        <v/>
      </c>
      <c r="J127" s="145"/>
      <c r="K127" s="520" t="str">
        <f>IF(J127="","",IF(VLOOKUP(J127,'G-3 Multipliers'!$L$3:$N$6,2,FALSE)=0,"Spatial Data Missing ⚠",VLOOKUP(J127,'G-3 Multipliers'!$L$3:$N$6,2,FALSE)))</f>
        <v/>
      </c>
      <c r="L127" s="505" t="str">
        <f>IF(J127="","",IF(VLOOKUP(J127,'G-3 Multipliers'!$L$3:$N$6,3,FALSE)=0,"Spatial Data Missing ⚠",VLOOKUP(J127,'G-3 Multipliers'!$L$3:$N$6,3,FALSE)))</f>
        <v/>
      </c>
      <c r="M127" s="498" t="str">
        <f>IF(OR(D127="",H127=""),"",(INDEX('G-6 Hedgerow Data'!$E$3:$I$15,MATCH(D127,'G-6 Hedgerow Data'!$B$3:$B$15,0),MATCH(H127,'G-6 Hedgerow Data'!$E$2:$I$2,0))))</f>
        <v/>
      </c>
      <c r="N127" s="195"/>
      <c r="O127" s="195"/>
      <c r="P127" s="507" t="str">
        <f t="shared" si="7"/>
        <v/>
      </c>
      <c r="Q127" s="521" t="str">
        <f t="shared" si="8"/>
        <v/>
      </c>
      <c r="R127" s="522" t="str">
        <f t="shared" si="6"/>
        <v/>
      </c>
      <c r="S127" s="537" t="str">
        <f>IF(D127="","",VLOOKUP(D127,'G-6 Hedgerow Data'!$B$3:$AG$15,31,FALSE))</f>
        <v/>
      </c>
      <c r="T127" s="507" t="str">
        <f t="shared" si="9"/>
        <v/>
      </c>
      <c r="U127" s="507" t="str">
        <f t="shared" si="10"/>
        <v/>
      </c>
      <c r="V127" s="524" t="str">
        <f>IF(D127="","",VLOOKUP(S127,'G-3 Multipliers'!$P$3:$Q$6,2,FALSE))</f>
        <v/>
      </c>
      <c r="W127" s="529" t="str">
        <f t="shared" si="11"/>
        <v/>
      </c>
      <c r="X127" s="149"/>
      <c r="Y127" s="150"/>
      <c r="AG127" s="31" t="str">
        <f>IFERROR(INDEX('G-6 Hedgerow Data'!$BJ$3:$BJ$15,MATCH(D127,'G-6 Hedgerow Data'!$B$3:$B$15,0)),"")</f>
        <v/>
      </c>
    </row>
    <row r="128" spans="2:33" ht="13.8" x14ac:dyDescent="0.25">
      <c r="B128" s="141">
        <v>117</v>
      </c>
      <c r="C128" s="205"/>
      <c r="D128" s="195"/>
      <c r="E128" s="172"/>
      <c r="F128" s="553" t="str">
        <f>IF(D128="","",VLOOKUP(D128,'G-6 Hedgerow Data'!$B$2:$AG$15,2,FALSE))</f>
        <v/>
      </c>
      <c r="G128" s="499" t="str">
        <f>IF(D128="","",VLOOKUP(D128,'G-6 Hedgerow Data'!$B$2:$AG$15,3,FALSE))</f>
        <v/>
      </c>
      <c r="H128" s="145"/>
      <c r="I128" s="499" t="str">
        <f>IFERROR(VLOOKUP(H128,'G-1 All Habitats'!$Z$2:$AA$9,2,FALSE),"")</f>
        <v/>
      </c>
      <c r="J128" s="145"/>
      <c r="K128" s="520" t="str">
        <f>IF(J128="","",IF(VLOOKUP(J128,'G-3 Multipliers'!$L$3:$N$6,2,FALSE)=0,"Spatial Data Missing ⚠",VLOOKUP(J128,'G-3 Multipliers'!$L$3:$N$6,2,FALSE)))</f>
        <v/>
      </c>
      <c r="L128" s="505" t="str">
        <f>IF(J128="","",IF(VLOOKUP(J128,'G-3 Multipliers'!$L$3:$N$6,3,FALSE)=0,"Spatial Data Missing ⚠",VLOOKUP(J128,'G-3 Multipliers'!$L$3:$N$6,3,FALSE)))</f>
        <v/>
      </c>
      <c r="M128" s="498" t="str">
        <f>IF(OR(D128="",H128=""),"",(INDEX('G-6 Hedgerow Data'!$E$3:$I$15,MATCH(D128,'G-6 Hedgerow Data'!$B$3:$B$15,0),MATCH(H128,'G-6 Hedgerow Data'!$E$2:$I$2,0))))</f>
        <v/>
      </c>
      <c r="N128" s="195"/>
      <c r="O128" s="195"/>
      <c r="P128" s="507" t="str">
        <f t="shared" si="7"/>
        <v/>
      </c>
      <c r="Q128" s="521" t="str">
        <f t="shared" si="8"/>
        <v/>
      </c>
      <c r="R128" s="522" t="str">
        <f t="shared" si="6"/>
        <v/>
      </c>
      <c r="S128" s="537" t="str">
        <f>IF(D128="","",VLOOKUP(D128,'G-6 Hedgerow Data'!$B$3:$AG$15,31,FALSE))</f>
        <v/>
      </c>
      <c r="T128" s="507" t="str">
        <f t="shared" si="9"/>
        <v/>
      </c>
      <c r="U128" s="507" t="str">
        <f t="shared" si="10"/>
        <v/>
      </c>
      <c r="V128" s="524" t="str">
        <f>IF(D128="","",VLOOKUP(S128,'G-3 Multipliers'!$P$3:$Q$6,2,FALSE))</f>
        <v/>
      </c>
      <c r="W128" s="529" t="str">
        <f t="shared" si="11"/>
        <v/>
      </c>
      <c r="X128" s="149"/>
      <c r="Y128" s="150"/>
      <c r="AG128" s="31" t="str">
        <f>IFERROR(INDEX('G-6 Hedgerow Data'!$BJ$3:$BJ$15,MATCH(D128,'G-6 Hedgerow Data'!$B$3:$B$15,0)),"")</f>
        <v/>
      </c>
    </row>
    <row r="129" spans="2:33" ht="13.8" x14ac:dyDescent="0.25">
      <c r="B129" s="141">
        <v>118</v>
      </c>
      <c r="C129" s="205"/>
      <c r="D129" s="195"/>
      <c r="E129" s="172"/>
      <c r="F129" s="553" t="str">
        <f>IF(D129="","",VLOOKUP(D129,'G-6 Hedgerow Data'!$B$2:$AG$15,2,FALSE))</f>
        <v/>
      </c>
      <c r="G129" s="499" t="str">
        <f>IF(D129="","",VLOOKUP(D129,'G-6 Hedgerow Data'!$B$2:$AG$15,3,FALSE))</f>
        <v/>
      </c>
      <c r="H129" s="145"/>
      <c r="I129" s="499" t="str">
        <f>IFERROR(VLOOKUP(H129,'G-1 All Habitats'!$Z$2:$AA$9,2,FALSE),"")</f>
        <v/>
      </c>
      <c r="J129" s="145"/>
      <c r="K129" s="520" t="str">
        <f>IF(J129="","",IF(VLOOKUP(J129,'G-3 Multipliers'!$L$3:$N$6,2,FALSE)=0,"Spatial Data Missing ⚠",VLOOKUP(J129,'G-3 Multipliers'!$L$3:$N$6,2,FALSE)))</f>
        <v/>
      </c>
      <c r="L129" s="505" t="str">
        <f>IF(J129="","",IF(VLOOKUP(J129,'G-3 Multipliers'!$L$3:$N$6,3,FALSE)=0,"Spatial Data Missing ⚠",VLOOKUP(J129,'G-3 Multipliers'!$L$3:$N$6,3,FALSE)))</f>
        <v/>
      </c>
      <c r="M129" s="498" t="str">
        <f>IF(OR(D129="",H129=""),"",(INDEX('G-6 Hedgerow Data'!$E$3:$I$15,MATCH(D129,'G-6 Hedgerow Data'!$B$3:$B$15,0),MATCH(H129,'G-6 Hedgerow Data'!$E$2:$I$2,0))))</f>
        <v/>
      </c>
      <c r="N129" s="195"/>
      <c r="O129" s="195"/>
      <c r="P129" s="507" t="str">
        <f t="shared" si="7"/>
        <v/>
      </c>
      <c r="Q129" s="521" t="str">
        <f t="shared" si="8"/>
        <v/>
      </c>
      <c r="R129" s="522" t="str">
        <f t="shared" si="6"/>
        <v/>
      </c>
      <c r="S129" s="537" t="str">
        <f>IF(D129="","",VLOOKUP(D129,'G-6 Hedgerow Data'!$B$3:$AG$15,31,FALSE))</f>
        <v/>
      </c>
      <c r="T129" s="507" t="str">
        <f t="shared" si="9"/>
        <v/>
      </c>
      <c r="U129" s="507" t="str">
        <f t="shared" si="10"/>
        <v/>
      </c>
      <c r="V129" s="524" t="str">
        <f>IF(D129="","",VLOOKUP(S129,'G-3 Multipliers'!$P$3:$Q$6,2,FALSE))</f>
        <v/>
      </c>
      <c r="W129" s="529" t="str">
        <f t="shared" si="11"/>
        <v/>
      </c>
      <c r="X129" s="149"/>
      <c r="Y129" s="150"/>
      <c r="AG129" s="31" t="str">
        <f>IFERROR(INDEX('G-6 Hedgerow Data'!$BJ$3:$BJ$15,MATCH(D129,'G-6 Hedgerow Data'!$B$3:$B$15,0)),"")</f>
        <v/>
      </c>
    </row>
    <row r="130" spans="2:33" ht="13.8" x14ac:dyDescent="0.25">
      <c r="B130" s="141">
        <v>119</v>
      </c>
      <c r="C130" s="205"/>
      <c r="D130" s="195"/>
      <c r="E130" s="172"/>
      <c r="F130" s="553" t="str">
        <f>IF(D130="","",VLOOKUP(D130,'G-6 Hedgerow Data'!$B$2:$AG$15,2,FALSE))</f>
        <v/>
      </c>
      <c r="G130" s="499" t="str">
        <f>IF(D130="","",VLOOKUP(D130,'G-6 Hedgerow Data'!$B$2:$AG$15,3,FALSE))</f>
        <v/>
      </c>
      <c r="H130" s="145"/>
      <c r="I130" s="499" t="str">
        <f>IFERROR(VLOOKUP(H130,'G-1 All Habitats'!$Z$2:$AA$9,2,FALSE),"")</f>
        <v/>
      </c>
      <c r="J130" s="145"/>
      <c r="K130" s="520" t="str">
        <f>IF(J130="","",IF(VLOOKUP(J130,'G-3 Multipliers'!$L$3:$N$6,2,FALSE)=0,"Spatial Data Missing ⚠",VLOOKUP(J130,'G-3 Multipliers'!$L$3:$N$6,2,FALSE)))</f>
        <v/>
      </c>
      <c r="L130" s="505" t="str">
        <f>IF(J130="","",IF(VLOOKUP(J130,'G-3 Multipliers'!$L$3:$N$6,3,FALSE)=0,"Spatial Data Missing ⚠",VLOOKUP(J130,'G-3 Multipliers'!$L$3:$N$6,3,FALSE)))</f>
        <v/>
      </c>
      <c r="M130" s="498" t="str">
        <f>IF(OR(D130="",H130=""),"",(INDEX('G-6 Hedgerow Data'!$E$3:$I$15,MATCH(D130,'G-6 Hedgerow Data'!$B$3:$B$15,0),MATCH(H130,'G-6 Hedgerow Data'!$E$2:$I$2,0))))</f>
        <v/>
      </c>
      <c r="N130" s="195"/>
      <c r="O130" s="195"/>
      <c r="P130" s="507" t="str">
        <f t="shared" si="7"/>
        <v/>
      </c>
      <c r="Q130" s="521" t="str">
        <f t="shared" si="8"/>
        <v/>
      </c>
      <c r="R130" s="522" t="str">
        <f t="shared" si="6"/>
        <v/>
      </c>
      <c r="S130" s="537" t="str">
        <f>IF(D130="","",VLOOKUP(D130,'G-6 Hedgerow Data'!$B$3:$AG$15,31,FALSE))</f>
        <v/>
      </c>
      <c r="T130" s="507" t="str">
        <f t="shared" si="9"/>
        <v/>
      </c>
      <c r="U130" s="507" t="str">
        <f t="shared" si="10"/>
        <v/>
      </c>
      <c r="V130" s="524" t="str">
        <f>IF(D130="","",VLOOKUP(S130,'G-3 Multipliers'!$P$3:$Q$6,2,FALSE))</f>
        <v/>
      </c>
      <c r="W130" s="529" t="str">
        <f t="shared" si="11"/>
        <v/>
      </c>
      <c r="X130" s="149"/>
      <c r="Y130" s="150"/>
      <c r="AG130" s="31" t="str">
        <f>IFERROR(INDEX('G-6 Hedgerow Data'!$BJ$3:$BJ$15,MATCH(D130,'G-6 Hedgerow Data'!$B$3:$B$15,0)),"")</f>
        <v/>
      </c>
    </row>
    <row r="131" spans="2:33" ht="13.8" x14ac:dyDescent="0.25">
      <c r="B131" s="141">
        <v>120</v>
      </c>
      <c r="C131" s="205"/>
      <c r="D131" s="195"/>
      <c r="E131" s="172"/>
      <c r="F131" s="553" t="str">
        <f>IF(D131="","",VLOOKUP(D131,'G-6 Hedgerow Data'!$B$2:$AG$15,2,FALSE))</f>
        <v/>
      </c>
      <c r="G131" s="499" t="str">
        <f>IF(D131="","",VLOOKUP(D131,'G-6 Hedgerow Data'!$B$2:$AG$15,3,FALSE))</f>
        <v/>
      </c>
      <c r="H131" s="145"/>
      <c r="I131" s="499" t="str">
        <f>IFERROR(VLOOKUP(H131,'G-1 All Habitats'!$Z$2:$AA$9,2,FALSE),"")</f>
        <v/>
      </c>
      <c r="J131" s="145"/>
      <c r="K131" s="520" t="str">
        <f>IF(J131="","",IF(VLOOKUP(J131,'G-3 Multipliers'!$L$3:$N$6,2,FALSE)=0,"Spatial Data Missing ⚠",VLOOKUP(J131,'G-3 Multipliers'!$L$3:$N$6,2,FALSE)))</f>
        <v/>
      </c>
      <c r="L131" s="505" t="str">
        <f>IF(J131="","",IF(VLOOKUP(J131,'G-3 Multipliers'!$L$3:$N$6,3,FALSE)=0,"Spatial Data Missing ⚠",VLOOKUP(J131,'G-3 Multipliers'!$L$3:$N$6,3,FALSE)))</f>
        <v/>
      </c>
      <c r="M131" s="498" t="str">
        <f>IF(OR(D131="",H131=""),"",(INDEX('G-6 Hedgerow Data'!$E$3:$I$15,MATCH(D131,'G-6 Hedgerow Data'!$B$3:$B$15,0),MATCH(H131,'G-6 Hedgerow Data'!$E$2:$I$2,0))))</f>
        <v/>
      </c>
      <c r="N131" s="195"/>
      <c r="O131" s="195"/>
      <c r="P131" s="507" t="str">
        <f t="shared" si="7"/>
        <v/>
      </c>
      <c r="Q131" s="521" t="str">
        <f t="shared" si="8"/>
        <v/>
      </c>
      <c r="R131" s="522" t="str">
        <f t="shared" si="6"/>
        <v/>
      </c>
      <c r="S131" s="537" t="str">
        <f>IF(D131="","",VLOOKUP(D131,'G-6 Hedgerow Data'!$B$3:$AG$15,31,FALSE))</f>
        <v/>
      </c>
      <c r="T131" s="507" t="str">
        <f t="shared" si="9"/>
        <v/>
      </c>
      <c r="U131" s="507" t="str">
        <f t="shared" si="10"/>
        <v/>
      </c>
      <c r="V131" s="524" t="str">
        <f>IF(D131="","",VLOOKUP(S131,'G-3 Multipliers'!$P$3:$Q$6,2,FALSE))</f>
        <v/>
      </c>
      <c r="W131" s="529" t="str">
        <f t="shared" si="11"/>
        <v/>
      </c>
      <c r="X131" s="149"/>
      <c r="Y131" s="150"/>
      <c r="AG131" s="31" t="str">
        <f>IFERROR(INDEX('G-6 Hedgerow Data'!$BJ$3:$BJ$15,MATCH(D131,'G-6 Hedgerow Data'!$B$3:$B$15,0)),"")</f>
        <v/>
      </c>
    </row>
    <row r="132" spans="2:33" ht="13.8" x14ac:dyDescent="0.25">
      <c r="B132" s="141">
        <v>121</v>
      </c>
      <c r="C132" s="205"/>
      <c r="D132" s="195"/>
      <c r="E132" s="172"/>
      <c r="F132" s="553" t="str">
        <f>IF(D132="","",VLOOKUP(D132,'G-6 Hedgerow Data'!$B$2:$AG$15,2,FALSE))</f>
        <v/>
      </c>
      <c r="G132" s="499" t="str">
        <f>IF(D132="","",VLOOKUP(D132,'G-6 Hedgerow Data'!$B$2:$AG$15,3,FALSE))</f>
        <v/>
      </c>
      <c r="H132" s="145"/>
      <c r="I132" s="499" t="str">
        <f>IFERROR(VLOOKUP(H132,'G-1 All Habitats'!$Z$2:$AA$9,2,FALSE),"")</f>
        <v/>
      </c>
      <c r="J132" s="145"/>
      <c r="K132" s="520" t="str">
        <f>IF(J132="","",IF(VLOOKUP(J132,'G-3 Multipliers'!$L$3:$N$6,2,FALSE)=0,"Spatial Data Missing ⚠",VLOOKUP(J132,'G-3 Multipliers'!$L$3:$N$6,2,FALSE)))</f>
        <v/>
      </c>
      <c r="L132" s="505" t="str">
        <f>IF(J132="","",IF(VLOOKUP(J132,'G-3 Multipliers'!$L$3:$N$6,3,FALSE)=0,"Spatial Data Missing ⚠",VLOOKUP(J132,'G-3 Multipliers'!$L$3:$N$6,3,FALSE)))</f>
        <v/>
      </c>
      <c r="M132" s="498" t="str">
        <f>IF(OR(D132="",H132=""),"",(INDEX('G-6 Hedgerow Data'!$E$3:$I$15,MATCH(D132,'G-6 Hedgerow Data'!$B$3:$B$15,0),MATCH(H132,'G-6 Hedgerow Data'!$E$2:$I$2,0))))</f>
        <v/>
      </c>
      <c r="N132" s="195"/>
      <c r="O132" s="195"/>
      <c r="P132" s="507" t="str">
        <f t="shared" si="7"/>
        <v/>
      </c>
      <c r="Q132" s="521" t="str">
        <f t="shared" si="8"/>
        <v/>
      </c>
      <c r="R132" s="522" t="str">
        <f t="shared" si="6"/>
        <v/>
      </c>
      <c r="S132" s="537" t="str">
        <f>IF(D132="","",VLOOKUP(D132,'G-6 Hedgerow Data'!$B$3:$AG$15,31,FALSE))</f>
        <v/>
      </c>
      <c r="T132" s="507" t="str">
        <f t="shared" si="9"/>
        <v/>
      </c>
      <c r="U132" s="507" t="str">
        <f t="shared" si="10"/>
        <v/>
      </c>
      <c r="V132" s="524" t="str">
        <f>IF(D132="","",VLOOKUP(S132,'G-3 Multipliers'!$P$3:$Q$6,2,FALSE))</f>
        <v/>
      </c>
      <c r="W132" s="529" t="str">
        <f t="shared" si="11"/>
        <v/>
      </c>
      <c r="X132" s="149"/>
      <c r="Y132" s="150"/>
      <c r="AG132" s="31" t="str">
        <f>IFERROR(INDEX('G-6 Hedgerow Data'!$BJ$3:$BJ$15,MATCH(D132,'G-6 Hedgerow Data'!$B$3:$B$15,0)),"")</f>
        <v/>
      </c>
    </row>
    <row r="133" spans="2:33" ht="13.8" x14ac:dyDescent="0.25">
      <c r="B133" s="141">
        <v>122</v>
      </c>
      <c r="C133" s="205"/>
      <c r="D133" s="195"/>
      <c r="E133" s="172"/>
      <c r="F133" s="553" t="str">
        <f>IF(D133="","",VLOOKUP(D133,'G-6 Hedgerow Data'!$B$2:$AG$15,2,FALSE))</f>
        <v/>
      </c>
      <c r="G133" s="499" t="str">
        <f>IF(D133="","",VLOOKUP(D133,'G-6 Hedgerow Data'!$B$2:$AG$15,3,FALSE))</f>
        <v/>
      </c>
      <c r="H133" s="145"/>
      <c r="I133" s="499" t="str">
        <f>IFERROR(VLOOKUP(H133,'G-1 All Habitats'!$Z$2:$AA$9,2,FALSE),"")</f>
        <v/>
      </c>
      <c r="J133" s="145"/>
      <c r="K133" s="520" t="str">
        <f>IF(J133="","",IF(VLOOKUP(J133,'G-3 Multipliers'!$L$3:$N$6,2,FALSE)=0,"Spatial Data Missing ⚠",VLOOKUP(J133,'G-3 Multipliers'!$L$3:$N$6,2,FALSE)))</f>
        <v/>
      </c>
      <c r="L133" s="505" t="str">
        <f>IF(J133="","",IF(VLOOKUP(J133,'G-3 Multipliers'!$L$3:$N$6,3,FALSE)=0,"Spatial Data Missing ⚠",VLOOKUP(J133,'G-3 Multipliers'!$L$3:$N$6,3,FALSE)))</f>
        <v/>
      </c>
      <c r="M133" s="498" t="str">
        <f>IF(OR(D133="",H133=""),"",(INDEX('G-6 Hedgerow Data'!$E$3:$I$15,MATCH(D133,'G-6 Hedgerow Data'!$B$3:$B$15,0),MATCH(H133,'G-6 Hedgerow Data'!$E$2:$I$2,0))))</f>
        <v/>
      </c>
      <c r="N133" s="195"/>
      <c r="O133" s="195"/>
      <c r="P133" s="507" t="str">
        <f t="shared" si="7"/>
        <v/>
      </c>
      <c r="Q133" s="521" t="str">
        <f t="shared" si="8"/>
        <v/>
      </c>
      <c r="R133" s="522" t="str">
        <f t="shared" si="6"/>
        <v/>
      </c>
      <c r="S133" s="537" t="str">
        <f>IF(D133="","",VLOOKUP(D133,'G-6 Hedgerow Data'!$B$3:$AG$15,31,FALSE))</f>
        <v/>
      </c>
      <c r="T133" s="507" t="str">
        <f t="shared" si="9"/>
        <v/>
      </c>
      <c r="U133" s="507" t="str">
        <f t="shared" si="10"/>
        <v/>
      </c>
      <c r="V133" s="524" t="str">
        <f>IF(D133="","",VLOOKUP(S133,'G-3 Multipliers'!$P$3:$Q$6,2,FALSE))</f>
        <v/>
      </c>
      <c r="W133" s="529" t="str">
        <f t="shared" si="11"/>
        <v/>
      </c>
      <c r="X133" s="149"/>
      <c r="Y133" s="150"/>
      <c r="AG133" s="31" t="str">
        <f>IFERROR(INDEX('G-6 Hedgerow Data'!$BJ$3:$BJ$15,MATCH(D133,'G-6 Hedgerow Data'!$B$3:$B$15,0)),"")</f>
        <v/>
      </c>
    </row>
    <row r="134" spans="2:33" ht="13.8" x14ac:dyDescent="0.25">
      <c r="B134" s="141">
        <v>123</v>
      </c>
      <c r="C134" s="205"/>
      <c r="D134" s="195"/>
      <c r="E134" s="172"/>
      <c r="F134" s="553" t="str">
        <f>IF(D134="","",VLOOKUP(D134,'G-6 Hedgerow Data'!$B$2:$AG$15,2,FALSE))</f>
        <v/>
      </c>
      <c r="G134" s="499" t="str">
        <f>IF(D134="","",VLOOKUP(D134,'G-6 Hedgerow Data'!$B$2:$AG$15,3,FALSE))</f>
        <v/>
      </c>
      <c r="H134" s="145"/>
      <c r="I134" s="499" t="str">
        <f>IFERROR(VLOOKUP(H134,'G-1 All Habitats'!$Z$2:$AA$9,2,FALSE),"")</f>
        <v/>
      </c>
      <c r="J134" s="145"/>
      <c r="K134" s="520" t="str">
        <f>IF(J134="","",IF(VLOOKUP(J134,'G-3 Multipliers'!$L$3:$N$6,2,FALSE)=0,"Spatial Data Missing ⚠",VLOOKUP(J134,'G-3 Multipliers'!$L$3:$N$6,2,FALSE)))</f>
        <v/>
      </c>
      <c r="L134" s="505" t="str">
        <f>IF(J134="","",IF(VLOOKUP(J134,'G-3 Multipliers'!$L$3:$N$6,3,FALSE)=0,"Spatial Data Missing ⚠",VLOOKUP(J134,'G-3 Multipliers'!$L$3:$N$6,3,FALSE)))</f>
        <v/>
      </c>
      <c r="M134" s="498" t="str">
        <f>IF(OR(D134="",H134=""),"",(INDEX('G-6 Hedgerow Data'!$E$3:$I$15,MATCH(D134,'G-6 Hedgerow Data'!$B$3:$B$15,0),MATCH(H134,'G-6 Hedgerow Data'!$E$2:$I$2,0))))</f>
        <v/>
      </c>
      <c r="N134" s="195"/>
      <c r="O134" s="195"/>
      <c r="P134" s="507" t="str">
        <f t="shared" si="7"/>
        <v/>
      </c>
      <c r="Q134" s="521" t="str">
        <f t="shared" si="8"/>
        <v/>
      </c>
      <c r="R134" s="522" t="str">
        <f t="shared" si="6"/>
        <v/>
      </c>
      <c r="S134" s="537" t="str">
        <f>IF(D134="","",VLOOKUP(D134,'G-6 Hedgerow Data'!$B$3:$AG$15,31,FALSE))</f>
        <v/>
      </c>
      <c r="T134" s="507" t="str">
        <f t="shared" si="9"/>
        <v/>
      </c>
      <c r="U134" s="507" t="str">
        <f t="shared" si="10"/>
        <v/>
      </c>
      <c r="V134" s="524" t="str">
        <f>IF(D134="","",VLOOKUP(S134,'G-3 Multipliers'!$P$3:$Q$6,2,FALSE))</f>
        <v/>
      </c>
      <c r="W134" s="529" t="str">
        <f t="shared" si="11"/>
        <v/>
      </c>
      <c r="X134" s="149"/>
      <c r="Y134" s="150"/>
      <c r="AG134" s="31" t="str">
        <f>IFERROR(INDEX('G-6 Hedgerow Data'!$BJ$3:$BJ$15,MATCH(D134,'G-6 Hedgerow Data'!$B$3:$B$15,0)),"")</f>
        <v/>
      </c>
    </row>
    <row r="135" spans="2:33" ht="13.8" x14ac:dyDescent="0.25">
      <c r="B135" s="141">
        <v>124</v>
      </c>
      <c r="C135" s="205"/>
      <c r="D135" s="195"/>
      <c r="E135" s="172"/>
      <c r="F135" s="553" t="str">
        <f>IF(D135="","",VLOOKUP(D135,'G-6 Hedgerow Data'!$B$2:$AG$15,2,FALSE))</f>
        <v/>
      </c>
      <c r="G135" s="499" t="str">
        <f>IF(D135="","",VLOOKUP(D135,'G-6 Hedgerow Data'!$B$2:$AG$15,3,FALSE))</f>
        <v/>
      </c>
      <c r="H135" s="145"/>
      <c r="I135" s="499" t="str">
        <f>IFERROR(VLOOKUP(H135,'G-1 All Habitats'!$Z$2:$AA$9,2,FALSE),"")</f>
        <v/>
      </c>
      <c r="J135" s="145"/>
      <c r="K135" s="520" t="str">
        <f>IF(J135="","",IF(VLOOKUP(J135,'G-3 Multipliers'!$L$3:$N$6,2,FALSE)=0,"Spatial Data Missing ⚠",VLOOKUP(J135,'G-3 Multipliers'!$L$3:$N$6,2,FALSE)))</f>
        <v/>
      </c>
      <c r="L135" s="505" t="str">
        <f>IF(J135="","",IF(VLOOKUP(J135,'G-3 Multipliers'!$L$3:$N$6,3,FALSE)=0,"Spatial Data Missing ⚠",VLOOKUP(J135,'G-3 Multipliers'!$L$3:$N$6,3,FALSE)))</f>
        <v/>
      </c>
      <c r="M135" s="498" t="str">
        <f>IF(OR(D135="",H135=""),"",(INDEX('G-6 Hedgerow Data'!$E$3:$I$15,MATCH(D135,'G-6 Hedgerow Data'!$B$3:$B$15,0),MATCH(H135,'G-6 Hedgerow Data'!$E$2:$I$2,0))))</f>
        <v/>
      </c>
      <c r="N135" s="195"/>
      <c r="O135" s="195"/>
      <c r="P135" s="507" t="str">
        <f t="shared" si="7"/>
        <v/>
      </c>
      <c r="Q135" s="521" t="str">
        <f t="shared" si="8"/>
        <v/>
      </c>
      <c r="R135" s="522" t="str">
        <f t="shared" si="6"/>
        <v/>
      </c>
      <c r="S135" s="537" t="str">
        <f>IF(D135="","",VLOOKUP(D135,'G-6 Hedgerow Data'!$B$3:$AG$15,31,FALSE))</f>
        <v/>
      </c>
      <c r="T135" s="507" t="str">
        <f t="shared" si="9"/>
        <v/>
      </c>
      <c r="U135" s="507" t="str">
        <f t="shared" si="10"/>
        <v/>
      </c>
      <c r="V135" s="524" t="str">
        <f>IF(D135="","",VLOOKUP(S135,'G-3 Multipliers'!$P$3:$Q$6,2,FALSE))</f>
        <v/>
      </c>
      <c r="W135" s="529" t="str">
        <f t="shared" si="11"/>
        <v/>
      </c>
      <c r="X135" s="149"/>
      <c r="Y135" s="150"/>
      <c r="AG135" s="31" t="str">
        <f>IFERROR(INDEX('G-6 Hedgerow Data'!$BJ$3:$BJ$15,MATCH(D135,'G-6 Hedgerow Data'!$B$3:$B$15,0)),"")</f>
        <v/>
      </c>
    </row>
    <row r="136" spans="2:33" ht="13.8" x14ac:dyDescent="0.25">
      <c r="B136" s="141">
        <v>125</v>
      </c>
      <c r="C136" s="205"/>
      <c r="D136" s="195"/>
      <c r="E136" s="172"/>
      <c r="F136" s="553" t="str">
        <f>IF(D136="","",VLOOKUP(D136,'G-6 Hedgerow Data'!$B$2:$AG$15,2,FALSE))</f>
        <v/>
      </c>
      <c r="G136" s="499" t="str">
        <f>IF(D136="","",VLOOKUP(D136,'G-6 Hedgerow Data'!$B$2:$AG$15,3,FALSE))</f>
        <v/>
      </c>
      <c r="H136" s="145"/>
      <c r="I136" s="499" t="str">
        <f>IFERROR(VLOOKUP(H136,'G-1 All Habitats'!$Z$2:$AA$9,2,FALSE),"")</f>
        <v/>
      </c>
      <c r="J136" s="145"/>
      <c r="K136" s="520" t="str">
        <f>IF(J136="","",IF(VLOOKUP(J136,'G-3 Multipliers'!$L$3:$N$6,2,FALSE)=0,"Spatial Data Missing ⚠",VLOOKUP(J136,'G-3 Multipliers'!$L$3:$N$6,2,FALSE)))</f>
        <v/>
      </c>
      <c r="L136" s="505" t="str">
        <f>IF(J136="","",IF(VLOOKUP(J136,'G-3 Multipliers'!$L$3:$N$6,3,FALSE)=0,"Spatial Data Missing ⚠",VLOOKUP(J136,'G-3 Multipliers'!$L$3:$N$6,3,FALSE)))</f>
        <v/>
      </c>
      <c r="M136" s="498" t="str">
        <f>IF(OR(D136="",H136=""),"",(INDEX('G-6 Hedgerow Data'!$E$3:$I$15,MATCH(D136,'G-6 Hedgerow Data'!$B$3:$B$15,0),MATCH(H136,'G-6 Hedgerow Data'!$E$2:$I$2,0))))</f>
        <v/>
      </c>
      <c r="N136" s="195"/>
      <c r="O136" s="195"/>
      <c r="P136" s="507" t="str">
        <f t="shared" si="7"/>
        <v/>
      </c>
      <c r="Q136" s="521" t="str">
        <f t="shared" si="8"/>
        <v/>
      </c>
      <c r="R136" s="522" t="str">
        <f t="shared" si="6"/>
        <v/>
      </c>
      <c r="S136" s="537" t="str">
        <f>IF(D136="","",VLOOKUP(D136,'G-6 Hedgerow Data'!$B$3:$AG$15,31,FALSE))</f>
        <v/>
      </c>
      <c r="T136" s="507" t="str">
        <f t="shared" si="9"/>
        <v/>
      </c>
      <c r="U136" s="507" t="str">
        <f t="shared" si="10"/>
        <v/>
      </c>
      <c r="V136" s="524" t="str">
        <f>IF(D136="","",VLOOKUP(S136,'G-3 Multipliers'!$P$3:$Q$6,2,FALSE))</f>
        <v/>
      </c>
      <c r="W136" s="529" t="str">
        <f t="shared" si="11"/>
        <v/>
      </c>
      <c r="X136" s="149"/>
      <c r="Y136" s="150"/>
      <c r="AG136" s="31" t="str">
        <f>IFERROR(INDEX('G-6 Hedgerow Data'!$BJ$3:$BJ$15,MATCH(D136,'G-6 Hedgerow Data'!$B$3:$B$15,0)),"")</f>
        <v/>
      </c>
    </row>
    <row r="137" spans="2:33" ht="13.8" x14ac:dyDescent="0.25">
      <c r="B137" s="141">
        <v>126</v>
      </c>
      <c r="C137" s="205"/>
      <c r="D137" s="195"/>
      <c r="E137" s="172"/>
      <c r="F137" s="553" t="str">
        <f>IF(D137="","",VLOOKUP(D137,'G-6 Hedgerow Data'!$B$2:$AG$15,2,FALSE))</f>
        <v/>
      </c>
      <c r="G137" s="499" t="str">
        <f>IF(D137="","",VLOOKUP(D137,'G-6 Hedgerow Data'!$B$2:$AG$15,3,FALSE))</f>
        <v/>
      </c>
      <c r="H137" s="145"/>
      <c r="I137" s="499" t="str">
        <f>IFERROR(VLOOKUP(H137,'G-1 All Habitats'!$Z$2:$AA$9,2,FALSE),"")</f>
        <v/>
      </c>
      <c r="J137" s="145"/>
      <c r="K137" s="520" t="str">
        <f>IF(J137="","",IF(VLOOKUP(J137,'G-3 Multipliers'!$L$3:$N$6,2,FALSE)=0,"Spatial Data Missing ⚠",VLOOKUP(J137,'G-3 Multipliers'!$L$3:$N$6,2,FALSE)))</f>
        <v/>
      </c>
      <c r="L137" s="505" t="str">
        <f>IF(J137="","",IF(VLOOKUP(J137,'G-3 Multipliers'!$L$3:$N$6,3,FALSE)=0,"Spatial Data Missing ⚠",VLOOKUP(J137,'G-3 Multipliers'!$L$3:$N$6,3,FALSE)))</f>
        <v/>
      </c>
      <c r="M137" s="498" t="str">
        <f>IF(OR(D137="",H137=""),"",(INDEX('G-6 Hedgerow Data'!$E$3:$I$15,MATCH(D137,'G-6 Hedgerow Data'!$B$3:$B$15,0),MATCH(H137,'G-6 Hedgerow Data'!$E$2:$I$2,0))))</f>
        <v/>
      </c>
      <c r="N137" s="195"/>
      <c r="O137" s="195"/>
      <c r="P137" s="507" t="str">
        <f t="shared" si="7"/>
        <v/>
      </c>
      <c r="Q137" s="521" t="str">
        <f t="shared" si="8"/>
        <v/>
      </c>
      <c r="R137" s="522" t="str">
        <f t="shared" si="6"/>
        <v/>
      </c>
      <c r="S137" s="537" t="str">
        <f>IF(D137="","",VLOOKUP(D137,'G-6 Hedgerow Data'!$B$3:$AG$15,31,FALSE))</f>
        <v/>
      </c>
      <c r="T137" s="507" t="str">
        <f t="shared" si="9"/>
        <v/>
      </c>
      <c r="U137" s="507" t="str">
        <f t="shared" si="10"/>
        <v/>
      </c>
      <c r="V137" s="524" t="str">
        <f>IF(D137="","",VLOOKUP(S137,'G-3 Multipliers'!$P$3:$Q$6,2,FALSE))</f>
        <v/>
      </c>
      <c r="W137" s="529" t="str">
        <f t="shared" si="11"/>
        <v/>
      </c>
      <c r="X137" s="149"/>
      <c r="Y137" s="150"/>
      <c r="AG137" s="31" t="str">
        <f>IFERROR(INDEX('G-6 Hedgerow Data'!$BJ$3:$BJ$15,MATCH(D137,'G-6 Hedgerow Data'!$B$3:$B$15,0)),"")</f>
        <v/>
      </c>
    </row>
    <row r="138" spans="2:33" ht="13.8" x14ac:dyDescent="0.25">
      <c r="B138" s="141">
        <v>127</v>
      </c>
      <c r="C138" s="205"/>
      <c r="D138" s="195"/>
      <c r="E138" s="172"/>
      <c r="F138" s="553" t="str">
        <f>IF(D138="","",VLOOKUP(D138,'G-6 Hedgerow Data'!$B$2:$AG$15,2,FALSE))</f>
        <v/>
      </c>
      <c r="G138" s="499" t="str">
        <f>IF(D138="","",VLOOKUP(D138,'G-6 Hedgerow Data'!$B$2:$AG$15,3,FALSE))</f>
        <v/>
      </c>
      <c r="H138" s="145"/>
      <c r="I138" s="499" t="str">
        <f>IFERROR(VLOOKUP(H138,'G-1 All Habitats'!$Z$2:$AA$9,2,FALSE),"")</f>
        <v/>
      </c>
      <c r="J138" s="145"/>
      <c r="K138" s="520" t="str">
        <f>IF(J138="","",IF(VLOOKUP(J138,'G-3 Multipliers'!$L$3:$N$6,2,FALSE)=0,"Spatial Data Missing ⚠",VLOOKUP(J138,'G-3 Multipliers'!$L$3:$N$6,2,FALSE)))</f>
        <v/>
      </c>
      <c r="L138" s="505" t="str">
        <f>IF(J138="","",IF(VLOOKUP(J138,'G-3 Multipliers'!$L$3:$N$6,3,FALSE)=0,"Spatial Data Missing ⚠",VLOOKUP(J138,'G-3 Multipliers'!$L$3:$N$6,3,FALSE)))</f>
        <v/>
      </c>
      <c r="M138" s="498" t="str">
        <f>IF(OR(D138="",H138=""),"",(INDEX('G-6 Hedgerow Data'!$E$3:$I$15,MATCH(D138,'G-6 Hedgerow Data'!$B$3:$B$15,0),MATCH(H138,'G-6 Hedgerow Data'!$E$2:$I$2,0))))</f>
        <v/>
      </c>
      <c r="N138" s="195"/>
      <c r="O138" s="195"/>
      <c r="P138" s="507" t="str">
        <f t="shared" si="7"/>
        <v/>
      </c>
      <c r="Q138" s="521" t="str">
        <f t="shared" si="8"/>
        <v/>
      </c>
      <c r="R138" s="522" t="str">
        <f t="shared" si="6"/>
        <v/>
      </c>
      <c r="S138" s="537" t="str">
        <f>IF(D138="","",VLOOKUP(D138,'G-6 Hedgerow Data'!$B$3:$AG$15,31,FALSE))</f>
        <v/>
      </c>
      <c r="T138" s="507" t="str">
        <f t="shared" si="9"/>
        <v/>
      </c>
      <c r="U138" s="507" t="str">
        <f t="shared" si="10"/>
        <v/>
      </c>
      <c r="V138" s="524" t="str">
        <f>IF(D138="","",VLOOKUP(S138,'G-3 Multipliers'!$P$3:$Q$6,2,FALSE))</f>
        <v/>
      </c>
      <c r="W138" s="529" t="str">
        <f t="shared" si="11"/>
        <v/>
      </c>
      <c r="X138" s="149"/>
      <c r="Y138" s="150"/>
      <c r="AG138" s="31" t="str">
        <f>IFERROR(INDEX('G-6 Hedgerow Data'!$BJ$3:$BJ$15,MATCH(D138,'G-6 Hedgerow Data'!$B$3:$B$15,0)),"")</f>
        <v/>
      </c>
    </row>
    <row r="139" spans="2:33" ht="13.8" x14ac:dyDescent="0.25">
      <c r="B139" s="141">
        <v>128</v>
      </c>
      <c r="C139" s="205"/>
      <c r="D139" s="195"/>
      <c r="E139" s="172"/>
      <c r="F139" s="553" t="str">
        <f>IF(D139="","",VLOOKUP(D139,'G-6 Hedgerow Data'!$B$2:$AG$15,2,FALSE))</f>
        <v/>
      </c>
      <c r="G139" s="499" t="str">
        <f>IF(D139="","",VLOOKUP(D139,'G-6 Hedgerow Data'!$B$2:$AG$15,3,FALSE))</f>
        <v/>
      </c>
      <c r="H139" s="145"/>
      <c r="I139" s="499" t="str">
        <f>IFERROR(VLOOKUP(H139,'G-1 All Habitats'!$Z$2:$AA$9,2,FALSE),"")</f>
        <v/>
      </c>
      <c r="J139" s="145"/>
      <c r="K139" s="520" t="str">
        <f>IF(J139="","",IF(VLOOKUP(J139,'G-3 Multipliers'!$L$3:$N$6,2,FALSE)=0,"Spatial Data Missing ⚠",VLOOKUP(J139,'G-3 Multipliers'!$L$3:$N$6,2,FALSE)))</f>
        <v/>
      </c>
      <c r="L139" s="505" t="str">
        <f>IF(J139="","",IF(VLOOKUP(J139,'G-3 Multipliers'!$L$3:$N$6,3,FALSE)=0,"Spatial Data Missing ⚠",VLOOKUP(J139,'G-3 Multipliers'!$L$3:$N$6,3,FALSE)))</f>
        <v/>
      </c>
      <c r="M139" s="498" t="str">
        <f>IF(OR(D139="",H139=""),"",(INDEX('G-6 Hedgerow Data'!$E$3:$I$15,MATCH(D139,'G-6 Hedgerow Data'!$B$3:$B$15,0),MATCH(H139,'G-6 Hedgerow Data'!$E$2:$I$2,0))))</f>
        <v/>
      </c>
      <c r="N139" s="195"/>
      <c r="O139" s="195"/>
      <c r="P139" s="507" t="str">
        <f t="shared" si="7"/>
        <v/>
      </c>
      <c r="Q139" s="521" t="str">
        <f t="shared" si="8"/>
        <v/>
      </c>
      <c r="R139" s="522" t="str">
        <f t="shared" si="6"/>
        <v/>
      </c>
      <c r="S139" s="537" t="str">
        <f>IF(D139="","",VLOOKUP(D139,'G-6 Hedgerow Data'!$B$3:$AG$15,31,FALSE))</f>
        <v/>
      </c>
      <c r="T139" s="507" t="str">
        <f t="shared" si="9"/>
        <v/>
      </c>
      <c r="U139" s="507" t="str">
        <f t="shared" si="10"/>
        <v/>
      </c>
      <c r="V139" s="524" t="str">
        <f>IF(D139="","",VLOOKUP(S139,'G-3 Multipliers'!$P$3:$Q$6,2,FALSE))</f>
        <v/>
      </c>
      <c r="W139" s="529" t="str">
        <f t="shared" si="11"/>
        <v/>
      </c>
      <c r="X139" s="149"/>
      <c r="Y139" s="150"/>
      <c r="AG139" s="31" t="str">
        <f>IFERROR(INDEX('G-6 Hedgerow Data'!$BJ$3:$BJ$15,MATCH(D139,'G-6 Hedgerow Data'!$B$3:$B$15,0)),"")</f>
        <v/>
      </c>
    </row>
    <row r="140" spans="2:33" ht="13.8" x14ac:dyDescent="0.25">
      <c r="B140" s="141">
        <v>129</v>
      </c>
      <c r="C140" s="205"/>
      <c r="D140" s="195"/>
      <c r="E140" s="172"/>
      <c r="F140" s="553" t="str">
        <f>IF(D140="","",VLOOKUP(D140,'G-6 Hedgerow Data'!$B$2:$AG$15,2,FALSE))</f>
        <v/>
      </c>
      <c r="G140" s="499" t="str">
        <f>IF(D140="","",VLOOKUP(D140,'G-6 Hedgerow Data'!$B$2:$AG$15,3,FALSE))</f>
        <v/>
      </c>
      <c r="H140" s="145"/>
      <c r="I140" s="499" t="str">
        <f>IFERROR(VLOOKUP(H140,'G-1 All Habitats'!$Z$2:$AA$9,2,FALSE),"")</f>
        <v/>
      </c>
      <c r="J140" s="145"/>
      <c r="K140" s="520" t="str">
        <f>IF(J140="","",IF(VLOOKUP(J140,'G-3 Multipliers'!$L$3:$N$6,2,FALSE)=0,"Spatial Data Missing ⚠",VLOOKUP(J140,'G-3 Multipliers'!$L$3:$N$6,2,FALSE)))</f>
        <v/>
      </c>
      <c r="L140" s="505" t="str">
        <f>IF(J140="","",IF(VLOOKUP(J140,'G-3 Multipliers'!$L$3:$N$6,3,FALSE)=0,"Spatial Data Missing ⚠",VLOOKUP(J140,'G-3 Multipliers'!$L$3:$N$6,3,FALSE)))</f>
        <v/>
      </c>
      <c r="M140" s="498" t="str">
        <f>IF(OR(D140="",H140=""),"",(INDEX('G-6 Hedgerow Data'!$E$3:$I$15,MATCH(D140,'G-6 Hedgerow Data'!$B$3:$B$15,0),MATCH(H140,'G-6 Hedgerow Data'!$E$2:$I$2,0))))</f>
        <v/>
      </c>
      <c r="N140" s="195"/>
      <c r="O140" s="195"/>
      <c r="P140" s="507" t="str">
        <f t="shared" si="7"/>
        <v/>
      </c>
      <c r="Q140" s="521" t="str">
        <f t="shared" si="8"/>
        <v/>
      </c>
      <c r="R140" s="522" t="str">
        <f t="shared" ref="R140:R203" si="12">IF(M140="","",IF(LEFT(P140,5)="Error ▲","Check Data ⚠",VLOOKUP(Q140,TemporalMultipliers,3,FALSE)))</f>
        <v/>
      </c>
      <c r="S140" s="537" t="str">
        <f>IF(D140="","",VLOOKUP(D140,'G-6 Hedgerow Data'!$B$3:$AG$15,31,FALSE))</f>
        <v/>
      </c>
      <c r="T140" s="507" t="str">
        <f t="shared" si="9"/>
        <v/>
      </c>
      <c r="U140" s="507" t="str">
        <f t="shared" si="10"/>
        <v/>
      </c>
      <c r="V140" s="524" t="str">
        <f>IF(D140="","",VLOOKUP(S140,'G-3 Multipliers'!$P$3:$Q$6,2,FALSE))</f>
        <v/>
      </c>
      <c r="W140" s="529" t="str">
        <f t="shared" si="11"/>
        <v/>
      </c>
      <c r="X140" s="149"/>
      <c r="Y140" s="150"/>
      <c r="AG140" s="31" t="str">
        <f>IFERROR(INDEX('G-6 Hedgerow Data'!$BJ$3:$BJ$15,MATCH(D140,'G-6 Hedgerow Data'!$B$3:$B$15,0)),"")</f>
        <v/>
      </c>
    </row>
    <row r="141" spans="2:33" ht="13.8" x14ac:dyDescent="0.25">
      <c r="B141" s="141">
        <v>130</v>
      </c>
      <c r="C141" s="205"/>
      <c r="D141" s="195"/>
      <c r="E141" s="172"/>
      <c r="F141" s="553" t="str">
        <f>IF(D141="","",VLOOKUP(D141,'G-6 Hedgerow Data'!$B$2:$AG$15,2,FALSE))</f>
        <v/>
      </c>
      <c r="G141" s="499" t="str">
        <f>IF(D141="","",VLOOKUP(D141,'G-6 Hedgerow Data'!$B$2:$AG$15,3,FALSE))</f>
        <v/>
      </c>
      <c r="H141" s="145"/>
      <c r="I141" s="499" t="str">
        <f>IFERROR(VLOOKUP(H141,'G-1 All Habitats'!$Z$2:$AA$9,2,FALSE),"")</f>
        <v/>
      </c>
      <c r="J141" s="145"/>
      <c r="K141" s="520" t="str">
        <f>IF(J141="","",IF(VLOOKUP(J141,'G-3 Multipliers'!$L$3:$N$6,2,FALSE)=0,"Spatial Data Missing ⚠",VLOOKUP(J141,'G-3 Multipliers'!$L$3:$N$6,2,FALSE)))</f>
        <v/>
      </c>
      <c r="L141" s="505" t="str">
        <f>IF(J141="","",IF(VLOOKUP(J141,'G-3 Multipliers'!$L$3:$N$6,3,FALSE)=0,"Spatial Data Missing ⚠",VLOOKUP(J141,'G-3 Multipliers'!$L$3:$N$6,3,FALSE)))</f>
        <v/>
      </c>
      <c r="M141" s="498" t="str">
        <f>IF(OR(D141="",H141=""),"",(INDEX('G-6 Hedgerow Data'!$E$3:$I$15,MATCH(D141,'G-6 Hedgerow Data'!$B$3:$B$15,0),MATCH(H141,'G-6 Hedgerow Data'!$E$2:$I$2,0))))</f>
        <v/>
      </c>
      <c r="N141" s="195"/>
      <c r="O141" s="195"/>
      <c r="P141" s="507"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1" t="str">
        <f t="shared" ref="Q141:Q204" si="14">IF(M141="","",IF(LEFT(P141,5)="Error ▲","Check Data ⚠",IF(OR(N141="30+",N141="Habitat already in target condition"),0,IF(O141="30+","30+ ⚠",IF(AND(M141="30+ ⚠",OR(N141="",N141=0)),"30+ ⚠",IF(AND(M141="30+ ⚠",N141&gt;0),32-N141,IF(M141+O141&gt;30,"30+ ⚠",IF(M141+O141-N141&gt;0,M141+O141-N141,IF(M141-N141&lt;0,0,M141+O141-N141)))))))))</f>
        <v/>
      </c>
      <c r="R141" s="522" t="str">
        <f t="shared" si="12"/>
        <v/>
      </c>
      <c r="S141" s="537" t="str">
        <f>IF(D141="","",VLOOKUP(D141,'G-6 Hedgerow Data'!$B$3:$AG$15,31,FALSE))</f>
        <v/>
      </c>
      <c r="T141" s="507" t="str">
        <f t="shared" ref="T141:T204" si="15">IF(D141="","",IF(Q141="Check Data ⚠","Check Data ⚠",IF(H141="","",IF($P141="Check details - Is there evidence that habitat has reached target condition? ⚠","Low Difficulty - only applicable if all habitat created before losses ⚠","Standard difficulty applied"))))</f>
        <v/>
      </c>
      <c r="U141" s="507" t="str">
        <f t="shared" ref="U141:U204" si="16">(IF(AND(T141="Standard difficulty applied",M141&gt;N141),S141,IF(AND(T141="Low Difficulty - only applicable if all habitat created before losses ⚠",Q141&lt;=0),"Low",S141)))</f>
        <v/>
      </c>
      <c r="V141" s="524" t="str">
        <f>IF(D141="","",VLOOKUP(S141,'G-3 Multipliers'!$P$3:$Q$6,2,FALSE))</f>
        <v/>
      </c>
      <c r="W141" s="529" t="str">
        <f t="shared" ref="W141:W204" si="17">IFERROR(E141*G141*I141*L141*R141*V141,"")</f>
        <v/>
      </c>
      <c r="X141" s="149"/>
      <c r="Y141" s="150"/>
      <c r="AG141" s="31" t="str">
        <f>IFERROR(INDEX('G-6 Hedgerow Data'!$BJ$3:$BJ$15,MATCH(D141,'G-6 Hedgerow Data'!$B$3:$B$15,0)),"")</f>
        <v/>
      </c>
    </row>
    <row r="142" spans="2:33" ht="13.8" x14ac:dyDescent="0.25">
      <c r="B142" s="141">
        <v>131</v>
      </c>
      <c r="C142" s="205"/>
      <c r="D142" s="195"/>
      <c r="E142" s="172"/>
      <c r="F142" s="553" t="str">
        <f>IF(D142="","",VLOOKUP(D142,'G-6 Hedgerow Data'!$B$2:$AG$15,2,FALSE))</f>
        <v/>
      </c>
      <c r="G142" s="499" t="str">
        <f>IF(D142="","",VLOOKUP(D142,'G-6 Hedgerow Data'!$B$2:$AG$15,3,FALSE))</f>
        <v/>
      </c>
      <c r="H142" s="145"/>
      <c r="I142" s="499" t="str">
        <f>IFERROR(VLOOKUP(H142,'G-1 All Habitats'!$Z$2:$AA$9,2,FALSE),"")</f>
        <v/>
      </c>
      <c r="J142" s="145"/>
      <c r="K142" s="520" t="str">
        <f>IF(J142="","",IF(VLOOKUP(J142,'G-3 Multipliers'!$L$3:$N$6,2,FALSE)=0,"Spatial Data Missing ⚠",VLOOKUP(J142,'G-3 Multipliers'!$L$3:$N$6,2,FALSE)))</f>
        <v/>
      </c>
      <c r="L142" s="505" t="str">
        <f>IF(J142="","",IF(VLOOKUP(J142,'G-3 Multipliers'!$L$3:$N$6,3,FALSE)=0,"Spatial Data Missing ⚠",VLOOKUP(J142,'G-3 Multipliers'!$L$3:$N$6,3,FALSE)))</f>
        <v/>
      </c>
      <c r="M142" s="498" t="str">
        <f>IF(OR(D142="",H142=""),"",(INDEX('G-6 Hedgerow Data'!$E$3:$I$15,MATCH(D142,'G-6 Hedgerow Data'!$B$3:$B$15,0),MATCH(H142,'G-6 Hedgerow Data'!$E$2:$I$2,0))))</f>
        <v/>
      </c>
      <c r="N142" s="195"/>
      <c r="O142" s="195"/>
      <c r="P142" s="507" t="str">
        <f t="shared" si="13"/>
        <v/>
      </c>
      <c r="Q142" s="521" t="str">
        <f t="shared" si="14"/>
        <v/>
      </c>
      <c r="R142" s="522" t="str">
        <f t="shared" si="12"/>
        <v/>
      </c>
      <c r="S142" s="537" t="str">
        <f>IF(D142="","",VLOOKUP(D142,'G-6 Hedgerow Data'!$B$3:$AG$15,31,FALSE))</f>
        <v/>
      </c>
      <c r="T142" s="507" t="str">
        <f t="shared" si="15"/>
        <v/>
      </c>
      <c r="U142" s="507" t="str">
        <f t="shared" si="16"/>
        <v/>
      </c>
      <c r="V142" s="524" t="str">
        <f>IF(D142="","",VLOOKUP(S142,'G-3 Multipliers'!$P$3:$Q$6,2,FALSE))</f>
        <v/>
      </c>
      <c r="W142" s="529" t="str">
        <f t="shared" si="17"/>
        <v/>
      </c>
      <c r="X142" s="149"/>
      <c r="Y142" s="150"/>
      <c r="AG142" s="31" t="str">
        <f>IFERROR(INDEX('G-6 Hedgerow Data'!$BJ$3:$BJ$15,MATCH(D142,'G-6 Hedgerow Data'!$B$3:$B$15,0)),"")</f>
        <v/>
      </c>
    </row>
    <row r="143" spans="2:33" ht="13.8" x14ac:dyDescent="0.25">
      <c r="B143" s="141">
        <v>132</v>
      </c>
      <c r="C143" s="205"/>
      <c r="D143" s="195"/>
      <c r="E143" s="172"/>
      <c r="F143" s="553" t="str">
        <f>IF(D143="","",VLOOKUP(D143,'G-6 Hedgerow Data'!$B$2:$AG$15,2,FALSE))</f>
        <v/>
      </c>
      <c r="G143" s="499" t="str">
        <f>IF(D143="","",VLOOKUP(D143,'G-6 Hedgerow Data'!$B$2:$AG$15,3,FALSE))</f>
        <v/>
      </c>
      <c r="H143" s="145"/>
      <c r="I143" s="499" t="str">
        <f>IFERROR(VLOOKUP(H143,'G-1 All Habitats'!$Z$2:$AA$9,2,FALSE),"")</f>
        <v/>
      </c>
      <c r="J143" s="145"/>
      <c r="K143" s="520" t="str">
        <f>IF(J143="","",IF(VLOOKUP(J143,'G-3 Multipliers'!$L$3:$N$6,2,FALSE)=0,"Spatial Data Missing ⚠",VLOOKUP(J143,'G-3 Multipliers'!$L$3:$N$6,2,FALSE)))</f>
        <v/>
      </c>
      <c r="L143" s="505" t="str">
        <f>IF(J143="","",IF(VLOOKUP(J143,'G-3 Multipliers'!$L$3:$N$6,3,FALSE)=0,"Spatial Data Missing ⚠",VLOOKUP(J143,'G-3 Multipliers'!$L$3:$N$6,3,FALSE)))</f>
        <v/>
      </c>
      <c r="M143" s="498" t="str">
        <f>IF(OR(D143="",H143=""),"",(INDEX('G-6 Hedgerow Data'!$E$3:$I$15,MATCH(D143,'G-6 Hedgerow Data'!$B$3:$B$15,0),MATCH(H143,'G-6 Hedgerow Data'!$E$2:$I$2,0))))</f>
        <v/>
      </c>
      <c r="N143" s="195"/>
      <c r="O143" s="195"/>
      <c r="P143" s="507" t="str">
        <f t="shared" si="13"/>
        <v/>
      </c>
      <c r="Q143" s="521" t="str">
        <f t="shared" si="14"/>
        <v/>
      </c>
      <c r="R143" s="522" t="str">
        <f t="shared" si="12"/>
        <v/>
      </c>
      <c r="S143" s="537" t="str">
        <f>IF(D143="","",VLOOKUP(D143,'G-6 Hedgerow Data'!$B$3:$AG$15,31,FALSE))</f>
        <v/>
      </c>
      <c r="T143" s="507" t="str">
        <f t="shared" si="15"/>
        <v/>
      </c>
      <c r="U143" s="507" t="str">
        <f t="shared" si="16"/>
        <v/>
      </c>
      <c r="V143" s="524" t="str">
        <f>IF(D143="","",VLOOKUP(S143,'G-3 Multipliers'!$P$3:$Q$6,2,FALSE))</f>
        <v/>
      </c>
      <c r="W143" s="529" t="str">
        <f t="shared" si="17"/>
        <v/>
      </c>
      <c r="X143" s="149"/>
      <c r="Y143" s="150"/>
      <c r="AG143" s="31" t="str">
        <f>IFERROR(INDEX('G-6 Hedgerow Data'!$BJ$3:$BJ$15,MATCH(D143,'G-6 Hedgerow Data'!$B$3:$B$15,0)),"")</f>
        <v/>
      </c>
    </row>
    <row r="144" spans="2:33" ht="13.8" x14ac:dyDescent="0.25">
      <c r="B144" s="141">
        <v>133</v>
      </c>
      <c r="C144" s="205"/>
      <c r="D144" s="195"/>
      <c r="E144" s="172"/>
      <c r="F144" s="553" t="str">
        <f>IF(D144="","",VLOOKUP(D144,'G-6 Hedgerow Data'!$B$2:$AG$15,2,FALSE))</f>
        <v/>
      </c>
      <c r="G144" s="499" t="str">
        <f>IF(D144="","",VLOOKUP(D144,'G-6 Hedgerow Data'!$B$2:$AG$15,3,FALSE))</f>
        <v/>
      </c>
      <c r="H144" s="145"/>
      <c r="I144" s="499" t="str">
        <f>IFERROR(VLOOKUP(H144,'G-1 All Habitats'!$Z$2:$AA$9,2,FALSE),"")</f>
        <v/>
      </c>
      <c r="J144" s="145"/>
      <c r="K144" s="520" t="str">
        <f>IF(J144="","",IF(VLOOKUP(J144,'G-3 Multipliers'!$L$3:$N$6,2,FALSE)=0,"Spatial Data Missing ⚠",VLOOKUP(J144,'G-3 Multipliers'!$L$3:$N$6,2,FALSE)))</f>
        <v/>
      </c>
      <c r="L144" s="505" t="str">
        <f>IF(J144="","",IF(VLOOKUP(J144,'G-3 Multipliers'!$L$3:$N$6,3,FALSE)=0,"Spatial Data Missing ⚠",VLOOKUP(J144,'G-3 Multipliers'!$L$3:$N$6,3,FALSE)))</f>
        <v/>
      </c>
      <c r="M144" s="498" t="str">
        <f>IF(OR(D144="",H144=""),"",(INDEX('G-6 Hedgerow Data'!$E$3:$I$15,MATCH(D144,'G-6 Hedgerow Data'!$B$3:$B$15,0),MATCH(H144,'G-6 Hedgerow Data'!$E$2:$I$2,0))))</f>
        <v/>
      </c>
      <c r="N144" s="195"/>
      <c r="O144" s="195"/>
      <c r="P144" s="507" t="str">
        <f t="shared" si="13"/>
        <v/>
      </c>
      <c r="Q144" s="521" t="str">
        <f t="shared" si="14"/>
        <v/>
      </c>
      <c r="R144" s="522" t="str">
        <f t="shared" si="12"/>
        <v/>
      </c>
      <c r="S144" s="537" t="str">
        <f>IF(D144="","",VLOOKUP(D144,'G-6 Hedgerow Data'!$B$3:$AG$15,31,FALSE))</f>
        <v/>
      </c>
      <c r="T144" s="507" t="str">
        <f t="shared" si="15"/>
        <v/>
      </c>
      <c r="U144" s="507" t="str">
        <f t="shared" si="16"/>
        <v/>
      </c>
      <c r="V144" s="524" t="str">
        <f>IF(D144="","",VLOOKUP(S144,'G-3 Multipliers'!$P$3:$Q$6,2,FALSE))</f>
        <v/>
      </c>
      <c r="W144" s="529" t="str">
        <f t="shared" si="17"/>
        <v/>
      </c>
      <c r="X144" s="149"/>
      <c r="Y144" s="150"/>
      <c r="AG144" s="31" t="str">
        <f>IFERROR(INDEX('G-6 Hedgerow Data'!$BJ$3:$BJ$15,MATCH(D144,'G-6 Hedgerow Data'!$B$3:$B$15,0)),"")</f>
        <v/>
      </c>
    </row>
    <row r="145" spans="2:33" ht="13.8" x14ac:dyDescent="0.25">
      <c r="B145" s="141">
        <v>134</v>
      </c>
      <c r="C145" s="205"/>
      <c r="D145" s="195"/>
      <c r="E145" s="172"/>
      <c r="F145" s="553" t="str">
        <f>IF(D145="","",VLOOKUP(D145,'G-6 Hedgerow Data'!$B$2:$AG$15,2,FALSE))</f>
        <v/>
      </c>
      <c r="G145" s="499" t="str">
        <f>IF(D145="","",VLOOKUP(D145,'G-6 Hedgerow Data'!$B$2:$AG$15,3,FALSE))</f>
        <v/>
      </c>
      <c r="H145" s="145"/>
      <c r="I145" s="499" t="str">
        <f>IFERROR(VLOOKUP(H145,'G-1 All Habitats'!$Z$2:$AA$9,2,FALSE),"")</f>
        <v/>
      </c>
      <c r="J145" s="145"/>
      <c r="K145" s="520" t="str">
        <f>IF(J145="","",IF(VLOOKUP(J145,'G-3 Multipliers'!$L$3:$N$6,2,FALSE)=0,"Spatial Data Missing ⚠",VLOOKUP(J145,'G-3 Multipliers'!$L$3:$N$6,2,FALSE)))</f>
        <v/>
      </c>
      <c r="L145" s="505" t="str">
        <f>IF(J145="","",IF(VLOOKUP(J145,'G-3 Multipliers'!$L$3:$N$6,3,FALSE)=0,"Spatial Data Missing ⚠",VLOOKUP(J145,'G-3 Multipliers'!$L$3:$N$6,3,FALSE)))</f>
        <v/>
      </c>
      <c r="M145" s="498" t="str">
        <f>IF(OR(D145="",H145=""),"",(INDEX('G-6 Hedgerow Data'!$E$3:$I$15,MATCH(D145,'G-6 Hedgerow Data'!$B$3:$B$15,0),MATCH(H145,'G-6 Hedgerow Data'!$E$2:$I$2,0))))</f>
        <v/>
      </c>
      <c r="N145" s="195"/>
      <c r="O145" s="195"/>
      <c r="P145" s="507" t="str">
        <f t="shared" si="13"/>
        <v/>
      </c>
      <c r="Q145" s="521" t="str">
        <f t="shared" si="14"/>
        <v/>
      </c>
      <c r="R145" s="522" t="str">
        <f t="shared" si="12"/>
        <v/>
      </c>
      <c r="S145" s="537" t="str">
        <f>IF(D145="","",VLOOKUP(D145,'G-6 Hedgerow Data'!$B$3:$AG$15,31,FALSE))</f>
        <v/>
      </c>
      <c r="T145" s="507" t="str">
        <f t="shared" si="15"/>
        <v/>
      </c>
      <c r="U145" s="507" t="str">
        <f t="shared" si="16"/>
        <v/>
      </c>
      <c r="V145" s="524" t="str">
        <f>IF(D145="","",VLOOKUP(S145,'G-3 Multipliers'!$P$3:$Q$6,2,FALSE))</f>
        <v/>
      </c>
      <c r="W145" s="529" t="str">
        <f t="shared" si="17"/>
        <v/>
      </c>
      <c r="X145" s="149"/>
      <c r="Y145" s="150"/>
      <c r="AG145" s="31" t="str">
        <f>IFERROR(INDEX('G-6 Hedgerow Data'!$BJ$3:$BJ$15,MATCH(D145,'G-6 Hedgerow Data'!$B$3:$B$15,0)),"")</f>
        <v/>
      </c>
    </row>
    <row r="146" spans="2:33" ht="13.8" x14ac:dyDescent="0.25">
      <c r="B146" s="141">
        <v>135</v>
      </c>
      <c r="C146" s="205"/>
      <c r="D146" s="195"/>
      <c r="E146" s="172"/>
      <c r="F146" s="553" t="str">
        <f>IF(D146="","",VLOOKUP(D146,'G-6 Hedgerow Data'!$B$2:$AG$15,2,FALSE))</f>
        <v/>
      </c>
      <c r="G146" s="499" t="str">
        <f>IF(D146="","",VLOOKUP(D146,'G-6 Hedgerow Data'!$B$2:$AG$15,3,FALSE))</f>
        <v/>
      </c>
      <c r="H146" s="145"/>
      <c r="I146" s="499" t="str">
        <f>IFERROR(VLOOKUP(H146,'G-1 All Habitats'!$Z$2:$AA$9,2,FALSE),"")</f>
        <v/>
      </c>
      <c r="J146" s="145"/>
      <c r="K146" s="520" t="str">
        <f>IF(J146="","",IF(VLOOKUP(J146,'G-3 Multipliers'!$L$3:$N$6,2,FALSE)=0,"Spatial Data Missing ⚠",VLOOKUP(J146,'G-3 Multipliers'!$L$3:$N$6,2,FALSE)))</f>
        <v/>
      </c>
      <c r="L146" s="505" t="str">
        <f>IF(J146="","",IF(VLOOKUP(J146,'G-3 Multipliers'!$L$3:$N$6,3,FALSE)=0,"Spatial Data Missing ⚠",VLOOKUP(J146,'G-3 Multipliers'!$L$3:$N$6,3,FALSE)))</f>
        <v/>
      </c>
      <c r="M146" s="498" t="str">
        <f>IF(OR(D146="",H146=""),"",(INDEX('G-6 Hedgerow Data'!$E$3:$I$15,MATCH(D146,'G-6 Hedgerow Data'!$B$3:$B$15,0),MATCH(H146,'G-6 Hedgerow Data'!$E$2:$I$2,0))))</f>
        <v/>
      </c>
      <c r="N146" s="195"/>
      <c r="O146" s="195"/>
      <c r="P146" s="507" t="str">
        <f t="shared" si="13"/>
        <v/>
      </c>
      <c r="Q146" s="521" t="str">
        <f t="shared" si="14"/>
        <v/>
      </c>
      <c r="R146" s="522" t="str">
        <f t="shared" si="12"/>
        <v/>
      </c>
      <c r="S146" s="537" t="str">
        <f>IF(D146="","",VLOOKUP(D146,'G-6 Hedgerow Data'!$B$3:$AG$15,31,FALSE))</f>
        <v/>
      </c>
      <c r="T146" s="507" t="str">
        <f t="shared" si="15"/>
        <v/>
      </c>
      <c r="U146" s="507" t="str">
        <f t="shared" si="16"/>
        <v/>
      </c>
      <c r="V146" s="524" t="str">
        <f>IF(D146="","",VLOOKUP(S146,'G-3 Multipliers'!$P$3:$Q$6,2,FALSE))</f>
        <v/>
      </c>
      <c r="W146" s="529" t="str">
        <f t="shared" si="17"/>
        <v/>
      </c>
      <c r="X146" s="149"/>
      <c r="Y146" s="150"/>
      <c r="AG146" s="31" t="str">
        <f>IFERROR(INDEX('G-6 Hedgerow Data'!$BJ$3:$BJ$15,MATCH(D146,'G-6 Hedgerow Data'!$B$3:$B$15,0)),"")</f>
        <v/>
      </c>
    </row>
    <row r="147" spans="2:33" ht="13.8" x14ac:dyDescent="0.25">
      <c r="B147" s="141">
        <v>136</v>
      </c>
      <c r="C147" s="205"/>
      <c r="D147" s="195"/>
      <c r="E147" s="172"/>
      <c r="F147" s="553" t="str">
        <f>IF(D147="","",VLOOKUP(D147,'G-6 Hedgerow Data'!$B$2:$AG$15,2,FALSE))</f>
        <v/>
      </c>
      <c r="G147" s="499" t="str">
        <f>IF(D147="","",VLOOKUP(D147,'G-6 Hedgerow Data'!$B$2:$AG$15,3,FALSE))</f>
        <v/>
      </c>
      <c r="H147" s="145"/>
      <c r="I147" s="499" t="str">
        <f>IFERROR(VLOOKUP(H147,'G-1 All Habitats'!$Z$2:$AA$9,2,FALSE),"")</f>
        <v/>
      </c>
      <c r="J147" s="145"/>
      <c r="K147" s="520" t="str">
        <f>IF(J147="","",IF(VLOOKUP(J147,'G-3 Multipliers'!$L$3:$N$6,2,FALSE)=0,"Spatial Data Missing ⚠",VLOOKUP(J147,'G-3 Multipliers'!$L$3:$N$6,2,FALSE)))</f>
        <v/>
      </c>
      <c r="L147" s="505" t="str">
        <f>IF(J147="","",IF(VLOOKUP(J147,'G-3 Multipliers'!$L$3:$N$6,3,FALSE)=0,"Spatial Data Missing ⚠",VLOOKUP(J147,'G-3 Multipliers'!$L$3:$N$6,3,FALSE)))</f>
        <v/>
      </c>
      <c r="M147" s="498" t="str">
        <f>IF(OR(D147="",H147=""),"",(INDEX('G-6 Hedgerow Data'!$E$3:$I$15,MATCH(D147,'G-6 Hedgerow Data'!$B$3:$B$15,0),MATCH(H147,'G-6 Hedgerow Data'!$E$2:$I$2,0))))</f>
        <v/>
      </c>
      <c r="N147" s="195"/>
      <c r="O147" s="195"/>
      <c r="P147" s="507" t="str">
        <f t="shared" si="13"/>
        <v/>
      </c>
      <c r="Q147" s="521" t="str">
        <f t="shared" si="14"/>
        <v/>
      </c>
      <c r="R147" s="522" t="str">
        <f t="shared" si="12"/>
        <v/>
      </c>
      <c r="S147" s="537" t="str">
        <f>IF(D147="","",VLOOKUP(D147,'G-6 Hedgerow Data'!$B$3:$AG$15,31,FALSE))</f>
        <v/>
      </c>
      <c r="T147" s="507" t="str">
        <f t="shared" si="15"/>
        <v/>
      </c>
      <c r="U147" s="507" t="str">
        <f t="shared" si="16"/>
        <v/>
      </c>
      <c r="V147" s="524" t="str">
        <f>IF(D147="","",VLOOKUP(S147,'G-3 Multipliers'!$P$3:$Q$6,2,FALSE))</f>
        <v/>
      </c>
      <c r="W147" s="529" t="str">
        <f t="shared" si="17"/>
        <v/>
      </c>
      <c r="X147" s="149"/>
      <c r="Y147" s="150"/>
      <c r="AG147" s="31" t="str">
        <f>IFERROR(INDEX('G-6 Hedgerow Data'!$BJ$3:$BJ$15,MATCH(D147,'G-6 Hedgerow Data'!$B$3:$B$15,0)),"")</f>
        <v/>
      </c>
    </row>
    <row r="148" spans="2:33" ht="13.8" x14ac:dyDescent="0.25">
      <c r="B148" s="141">
        <v>137</v>
      </c>
      <c r="C148" s="205"/>
      <c r="D148" s="195"/>
      <c r="E148" s="172"/>
      <c r="F148" s="553" t="str">
        <f>IF(D148="","",VLOOKUP(D148,'G-6 Hedgerow Data'!$B$2:$AG$15,2,FALSE))</f>
        <v/>
      </c>
      <c r="G148" s="499" t="str">
        <f>IF(D148="","",VLOOKUP(D148,'G-6 Hedgerow Data'!$B$2:$AG$15,3,FALSE))</f>
        <v/>
      </c>
      <c r="H148" s="145"/>
      <c r="I148" s="499" t="str">
        <f>IFERROR(VLOOKUP(H148,'G-1 All Habitats'!$Z$2:$AA$9,2,FALSE),"")</f>
        <v/>
      </c>
      <c r="J148" s="145"/>
      <c r="K148" s="520" t="str">
        <f>IF(J148="","",IF(VLOOKUP(J148,'G-3 Multipliers'!$L$3:$N$6,2,FALSE)=0,"Spatial Data Missing ⚠",VLOOKUP(J148,'G-3 Multipliers'!$L$3:$N$6,2,FALSE)))</f>
        <v/>
      </c>
      <c r="L148" s="505" t="str">
        <f>IF(J148="","",IF(VLOOKUP(J148,'G-3 Multipliers'!$L$3:$N$6,3,FALSE)=0,"Spatial Data Missing ⚠",VLOOKUP(J148,'G-3 Multipliers'!$L$3:$N$6,3,FALSE)))</f>
        <v/>
      </c>
      <c r="M148" s="498" t="str">
        <f>IF(OR(D148="",H148=""),"",(INDEX('G-6 Hedgerow Data'!$E$3:$I$15,MATCH(D148,'G-6 Hedgerow Data'!$B$3:$B$15,0),MATCH(H148,'G-6 Hedgerow Data'!$E$2:$I$2,0))))</f>
        <v/>
      </c>
      <c r="N148" s="195"/>
      <c r="O148" s="195"/>
      <c r="P148" s="507" t="str">
        <f t="shared" si="13"/>
        <v/>
      </c>
      <c r="Q148" s="521" t="str">
        <f t="shared" si="14"/>
        <v/>
      </c>
      <c r="R148" s="522" t="str">
        <f t="shared" si="12"/>
        <v/>
      </c>
      <c r="S148" s="537" t="str">
        <f>IF(D148="","",VLOOKUP(D148,'G-6 Hedgerow Data'!$B$3:$AG$15,31,FALSE))</f>
        <v/>
      </c>
      <c r="T148" s="507" t="str">
        <f t="shared" si="15"/>
        <v/>
      </c>
      <c r="U148" s="507" t="str">
        <f t="shared" si="16"/>
        <v/>
      </c>
      <c r="V148" s="524" t="str">
        <f>IF(D148="","",VLOOKUP(S148,'G-3 Multipliers'!$P$3:$Q$6,2,FALSE))</f>
        <v/>
      </c>
      <c r="W148" s="529" t="str">
        <f t="shared" si="17"/>
        <v/>
      </c>
      <c r="X148" s="149"/>
      <c r="Y148" s="150"/>
      <c r="AG148" s="31" t="str">
        <f>IFERROR(INDEX('G-6 Hedgerow Data'!$BJ$3:$BJ$15,MATCH(D148,'G-6 Hedgerow Data'!$B$3:$B$15,0)),"")</f>
        <v/>
      </c>
    </row>
    <row r="149" spans="2:33" ht="13.8" x14ac:dyDescent="0.25">
      <c r="B149" s="141">
        <v>138</v>
      </c>
      <c r="C149" s="205"/>
      <c r="D149" s="195"/>
      <c r="E149" s="172"/>
      <c r="F149" s="553" t="str">
        <f>IF(D149="","",VLOOKUP(D149,'G-6 Hedgerow Data'!$B$2:$AG$15,2,FALSE))</f>
        <v/>
      </c>
      <c r="G149" s="499" t="str">
        <f>IF(D149="","",VLOOKUP(D149,'G-6 Hedgerow Data'!$B$2:$AG$15,3,FALSE))</f>
        <v/>
      </c>
      <c r="H149" s="145"/>
      <c r="I149" s="499" t="str">
        <f>IFERROR(VLOOKUP(H149,'G-1 All Habitats'!$Z$2:$AA$9,2,FALSE),"")</f>
        <v/>
      </c>
      <c r="J149" s="145"/>
      <c r="K149" s="520" t="str">
        <f>IF(J149="","",IF(VLOOKUP(J149,'G-3 Multipliers'!$L$3:$N$6,2,FALSE)=0,"Spatial Data Missing ⚠",VLOOKUP(J149,'G-3 Multipliers'!$L$3:$N$6,2,FALSE)))</f>
        <v/>
      </c>
      <c r="L149" s="505" t="str">
        <f>IF(J149="","",IF(VLOOKUP(J149,'G-3 Multipliers'!$L$3:$N$6,3,FALSE)=0,"Spatial Data Missing ⚠",VLOOKUP(J149,'G-3 Multipliers'!$L$3:$N$6,3,FALSE)))</f>
        <v/>
      </c>
      <c r="M149" s="498" t="str">
        <f>IF(OR(D149="",H149=""),"",(INDEX('G-6 Hedgerow Data'!$E$3:$I$15,MATCH(D149,'G-6 Hedgerow Data'!$B$3:$B$15,0),MATCH(H149,'G-6 Hedgerow Data'!$E$2:$I$2,0))))</f>
        <v/>
      </c>
      <c r="N149" s="195"/>
      <c r="O149" s="195"/>
      <c r="P149" s="507" t="str">
        <f t="shared" si="13"/>
        <v/>
      </c>
      <c r="Q149" s="521" t="str">
        <f t="shared" si="14"/>
        <v/>
      </c>
      <c r="R149" s="522" t="str">
        <f t="shared" si="12"/>
        <v/>
      </c>
      <c r="S149" s="537" t="str">
        <f>IF(D149="","",VLOOKUP(D149,'G-6 Hedgerow Data'!$B$3:$AG$15,31,FALSE))</f>
        <v/>
      </c>
      <c r="T149" s="507" t="str">
        <f t="shared" si="15"/>
        <v/>
      </c>
      <c r="U149" s="507" t="str">
        <f t="shared" si="16"/>
        <v/>
      </c>
      <c r="V149" s="524" t="str">
        <f>IF(D149="","",VLOOKUP(S149,'G-3 Multipliers'!$P$3:$Q$6,2,FALSE))</f>
        <v/>
      </c>
      <c r="W149" s="529" t="str">
        <f t="shared" si="17"/>
        <v/>
      </c>
      <c r="X149" s="149"/>
      <c r="Y149" s="150"/>
      <c r="AG149" s="31" t="str">
        <f>IFERROR(INDEX('G-6 Hedgerow Data'!$BJ$3:$BJ$15,MATCH(D149,'G-6 Hedgerow Data'!$B$3:$B$15,0)),"")</f>
        <v/>
      </c>
    </row>
    <row r="150" spans="2:33" ht="13.8" x14ac:dyDescent="0.25">
      <c r="B150" s="141">
        <v>139</v>
      </c>
      <c r="C150" s="205"/>
      <c r="D150" s="195"/>
      <c r="E150" s="172"/>
      <c r="F150" s="553" t="str">
        <f>IF(D150="","",VLOOKUP(D150,'G-6 Hedgerow Data'!$B$2:$AG$15,2,FALSE))</f>
        <v/>
      </c>
      <c r="G150" s="499" t="str">
        <f>IF(D150="","",VLOOKUP(D150,'G-6 Hedgerow Data'!$B$2:$AG$15,3,FALSE))</f>
        <v/>
      </c>
      <c r="H150" s="145"/>
      <c r="I150" s="499" t="str">
        <f>IFERROR(VLOOKUP(H150,'G-1 All Habitats'!$Z$2:$AA$9,2,FALSE),"")</f>
        <v/>
      </c>
      <c r="J150" s="145"/>
      <c r="K150" s="520" t="str">
        <f>IF(J150="","",IF(VLOOKUP(J150,'G-3 Multipliers'!$L$3:$N$6,2,FALSE)=0,"Spatial Data Missing ⚠",VLOOKUP(J150,'G-3 Multipliers'!$L$3:$N$6,2,FALSE)))</f>
        <v/>
      </c>
      <c r="L150" s="505" t="str">
        <f>IF(J150="","",IF(VLOOKUP(J150,'G-3 Multipliers'!$L$3:$N$6,3,FALSE)=0,"Spatial Data Missing ⚠",VLOOKUP(J150,'G-3 Multipliers'!$L$3:$N$6,3,FALSE)))</f>
        <v/>
      </c>
      <c r="M150" s="498" t="str">
        <f>IF(OR(D150="",H150=""),"",(INDEX('G-6 Hedgerow Data'!$E$3:$I$15,MATCH(D150,'G-6 Hedgerow Data'!$B$3:$B$15,0),MATCH(H150,'G-6 Hedgerow Data'!$E$2:$I$2,0))))</f>
        <v/>
      </c>
      <c r="N150" s="195"/>
      <c r="O150" s="195"/>
      <c r="P150" s="507" t="str">
        <f t="shared" si="13"/>
        <v/>
      </c>
      <c r="Q150" s="521" t="str">
        <f t="shared" si="14"/>
        <v/>
      </c>
      <c r="R150" s="522" t="str">
        <f t="shared" si="12"/>
        <v/>
      </c>
      <c r="S150" s="537" t="str">
        <f>IF(D150="","",VLOOKUP(D150,'G-6 Hedgerow Data'!$B$3:$AG$15,31,FALSE))</f>
        <v/>
      </c>
      <c r="T150" s="507" t="str">
        <f t="shared" si="15"/>
        <v/>
      </c>
      <c r="U150" s="507" t="str">
        <f t="shared" si="16"/>
        <v/>
      </c>
      <c r="V150" s="524" t="str">
        <f>IF(D150="","",VLOOKUP(S150,'G-3 Multipliers'!$P$3:$Q$6,2,FALSE))</f>
        <v/>
      </c>
      <c r="W150" s="529" t="str">
        <f t="shared" si="17"/>
        <v/>
      </c>
      <c r="X150" s="149"/>
      <c r="Y150" s="150"/>
      <c r="AG150" s="31" t="str">
        <f>IFERROR(INDEX('G-6 Hedgerow Data'!$BJ$3:$BJ$15,MATCH(D150,'G-6 Hedgerow Data'!$B$3:$B$15,0)),"")</f>
        <v/>
      </c>
    </row>
    <row r="151" spans="2:33" ht="13.8" x14ac:dyDescent="0.25">
      <c r="B151" s="141">
        <v>140</v>
      </c>
      <c r="C151" s="205"/>
      <c r="D151" s="195"/>
      <c r="E151" s="172"/>
      <c r="F151" s="553" t="str">
        <f>IF(D151="","",VLOOKUP(D151,'G-6 Hedgerow Data'!$B$2:$AG$15,2,FALSE))</f>
        <v/>
      </c>
      <c r="G151" s="499" t="str">
        <f>IF(D151="","",VLOOKUP(D151,'G-6 Hedgerow Data'!$B$2:$AG$15,3,FALSE))</f>
        <v/>
      </c>
      <c r="H151" s="145"/>
      <c r="I151" s="499" t="str">
        <f>IFERROR(VLOOKUP(H151,'G-1 All Habitats'!$Z$2:$AA$9,2,FALSE),"")</f>
        <v/>
      </c>
      <c r="J151" s="145"/>
      <c r="K151" s="520" t="str">
        <f>IF(J151="","",IF(VLOOKUP(J151,'G-3 Multipliers'!$L$3:$N$6,2,FALSE)=0,"Spatial Data Missing ⚠",VLOOKUP(J151,'G-3 Multipliers'!$L$3:$N$6,2,FALSE)))</f>
        <v/>
      </c>
      <c r="L151" s="505" t="str">
        <f>IF(J151="","",IF(VLOOKUP(J151,'G-3 Multipliers'!$L$3:$N$6,3,FALSE)=0,"Spatial Data Missing ⚠",VLOOKUP(J151,'G-3 Multipliers'!$L$3:$N$6,3,FALSE)))</f>
        <v/>
      </c>
      <c r="M151" s="498" t="str">
        <f>IF(OR(D151="",H151=""),"",(INDEX('G-6 Hedgerow Data'!$E$3:$I$15,MATCH(D151,'G-6 Hedgerow Data'!$B$3:$B$15,0),MATCH(H151,'G-6 Hedgerow Data'!$E$2:$I$2,0))))</f>
        <v/>
      </c>
      <c r="N151" s="195"/>
      <c r="O151" s="195"/>
      <c r="P151" s="507" t="str">
        <f t="shared" si="13"/>
        <v/>
      </c>
      <c r="Q151" s="521" t="str">
        <f t="shared" si="14"/>
        <v/>
      </c>
      <c r="R151" s="522" t="str">
        <f t="shared" si="12"/>
        <v/>
      </c>
      <c r="S151" s="537" t="str">
        <f>IF(D151="","",VLOOKUP(D151,'G-6 Hedgerow Data'!$B$3:$AG$15,31,FALSE))</f>
        <v/>
      </c>
      <c r="T151" s="507" t="str">
        <f t="shared" si="15"/>
        <v/>
      </c>
      <c r="U151" s="507" t="str">
        <f t="shared" si="16"/>
        <v/>
      </c>
      <c r="V151" s="524" t="str">
        <f>IF(D151="","",VLOOKUP(S151,'G-3 Multipliers'!$P$3:$Q$6,2,FALSE))</f>
        <v/>
      </c>
      <c r="W151" s="529" t="str">
        <f t="shared" si="17"/>
        <v/>
      </c>
      <c r="X151" s="149"/>
      <c r="Y151" s="150"/>
      <c r="AG151" s="31" t="str">
        <f>IFERROR(INDEX('G-6 Hedgerow Data'!$BJ$3:$BJ$15,MATCH(D151,'G-6 Hedgerow Data'!$B$3:$B$15,0)),"")</f>
        <v/>
      </c>
    </row>
    <row r="152" spans="2:33" ht="13.8" x14ac:dyDescent="0.25">
      <c r="B152" s="141">
        <v>141</v>
      </c>
      <c r="C152" s="205"/>
      <c r="D152" s="195"/>
      <c r="E152" s="172"/>
      <c r="F152" s="553" t="str">
        <f>IF(D152="","",VLOOKUP(D152,'G-6 Hedgerow Data'!$B$2:$AG$15,2,FALSE))</f>
        <v/>
      </c>
      <c r="G152" s="499" t="str">
        <f>IF(D152="","",VLOOKUP(D152,'G-6 Hedgerow Data'!$B$2:$AG$15,3,FALSE))</f>
        <v/>
      </c>
      <c r="H152" s="145"/>
      <c r="I152" s="499" t="str">
        <f>IFERROR(VLOOKUP(H152,'G-1 All Habitats'!$Z$2:$AA$9,2,FALSE),"")</f>
        <v/>
      </c>
      <c r="J152" s="145"/>
      <c r="K152" s="520" t="str">
        <f>IF(J152="","",IF(VLOOKUP(J152,'G-3 Multipliers'!$L$3:$N$6,2,FALSE)=0,"Spatial Data Missing ⚠",VLOOKUP(J152,'G-3 Multipliers'!$L$3:$N$6,2,FALSE)))</f>
        <v/>
      </c>
      <c r="L152" s="505" t="str">
        <f>IF(J152="","",IF(VLOOKUP(J152,'G-3 Multipliers'!$L$3:$N$6,3,FALSE)=0,"Spatial Data Missing ⚠",VLOOKUP(J152,'G-3 Multipliers'!$L$3:$N$6,3,FALSE)))</f>
        <v/>
      </c>
      <c r="M152" s="498" t="str">
        <f>IF(OR(D152="",H152=""),"",(INDEX('G-6 Hedgerow Data'!$E$3:$I$15,MATCH(D152,'G-6 Hedgerow Data'!$B$3:$B$15,0),MATCH(H152,'G-6 Hedgerow Data'!$E$2:$I$2,0))))</f>
        <v/>
      </c>
      <c r="N152" s="195"/>
      <c r="O152" s="195"/>
      <c r="P152" s="507" t="str">
        <f t="shared" si="13"/>
        <v/>
      </c>
      <c r="Q152" s="521" t="str">
        <f t="shared" si="14"/>
        <v/>
      </c>
      <c r="R152" s="522" t="str">
        <f t="shared" si="12"/>
        <v/>
      </c>
      <c r="S152" s="537" t="str">
        <f>IF(D152="","",VLOOKUP(D152,'G-6 Hedgerow Data'!$B$3:$AG$15,31,FALSE))</f>
        <v/>
      </c>
      <c r="T152" s="507" t="str">
        <f t="shared" si="15"/>
        <v/>
      </c>
      <c r="U152" s="507" t="str">
        <f t="shared" si="16"/>
        <v/>
      </c>
      <c r="V152" s="524" t="str">
        <f>IF(D152="","",VLOOKUP(S152,'G-3 Multipliers'!$P$3:$Q$6,2,FALSE))</f>
        <v/>
      </c>
      <c r="W152" s="529" t="str">
        <f t="shared" si="17"/>
        <v/>
      </c>
      <c r="X152" s="149"/>
      <c r="Y152" s="150"/>
      <c r="AG152" s="31" t="str">
        <f>IFERROR(INDEX('G-6 Hedgerow Data'!$BJ$3:$BJ$15,MATCH(D152,'G-6 Hedgerow Data'!$B$3:$B$15,0)),"")</f>
        <v/>
      </c>
    </row>
    <row r="153" spans="2:33" ht="13.8" x14ac:dyDescent="0.25">
      <c r="B153" s="141">
        <v>142</v>
      </c>
      <c r="C153" s="205"/>
      <c r="D153" s="195"/>
      <c r="E153" s="172"/>
      <c r="F153" s="553" t="str">
        <f>IF(D153="","",VLOOKUP(D153,'G-6 Hedgerow Data'!$B$2:$AG$15,2,FALSE))</f>
        <v/>
      </c>
      <c r="G153" s="499" t="str">
        <f>IF(D153="","",VLOOKUP(D153,'G-6 Hedgerow Data'!$B$2:$AG$15,3,FALSE))</f>
        <v/>
      </c>
      <c r="H153" s="145"/>
      <c r="I153" s="499" t="str">
        <f>IFERROR(VLOOKUP(H153,'G-1 All Habitats'!$Z$2:$AA$9,2,FALSE),"")</f>
        <v/>
      </c>
      <c r="J153" s="145"/>
      <c r="K153" s="520" t="str">
        <f>IF(J153="","",IF(VLOOKUP(J153,'G-3 Multipliers'!$L$3:$N$6,2,FALSE)=0,"Spatial Data Missing ⚠",VLOOKUP(J153,'G-3 Multipliers'!$L$3:$N$6,2,FALSE)))</f>
        <v/>
      </c>
      <c r="L153" s="505" t="str">
        <f>IF(J153="","",IF(VLOOKUP(J153,'G-3 Multipliers'!$L$3:$N$6,3,FALSE)=0,"Spatial Data Missing ⚠",VLOOKUP(J153,'G-3 Multipliers'!$L$3:$N$6,3,FALSE)))</f>
        <v/>
      </c>
      <c r="M153" s="498" t="str">
        <f>IF(OR(D153="",H153=""),"",(INDEX('G-6 Hedgerow Data'!$E$3:$I$15,MATCH(D153,'G-6 Hedgerow Data'!$B$3:$B$15,0),MATCH(H153,'G-6 Hedgerow Data'!$E$2:$I$2,0))))</f>
        <v/>
      </c>
      <c r="N153" s="195"/>
      <c r="O153" s="195"/>
      <c r="P153" s="507" t="str">
        <f t="shared" si="13"/>
        <v/>
      </c>
      <c r="Q153" s="521" t="str">
        <f t="shared" si="14"/>
        <v/>
      </c>
      <c r="R153" s="522" t="str">
        <f t="shared" si="12"/>
        <v/>
      </c>
      <c r="S153" s="537" t="str">
        <f>IF(D153="","",VLOOKUP(D153,'G-6 Hedgerow Data'!$B$3:$AG$15,31,FALSE))</f>
        <v/>
      </c>
      <c r="T153" s="507" t="str">
        <f t="shared" si="15"/>
        <v/>
      </c>
      <c r="U153" s="507" t="str">
        <f t="shared" si="16"/>
        <v/>
      </c>
      <c r="V153" s="524" t="str">
        <f>IF(D153="","",VLOOKUP(S153,'G-3 Multipliers'!$P$3:$Q$6,2,FALSE))</f>
        <v/>
      </c>
      <c r="W153" s="529" t="str">
        <f t="shared" si="17"/>
        <v/>
      </c>
      <c r="X153" s="149"/>
      <c r="Y153" s="150"/>
      <c r="AG153" s="31" t="str">
        <f>IFERROR(INDEX('G-6 Hedgerow Data'!$BJ$3:$BJ$15,MATCH(D153,'G-6 Hedgerow Data'!$B$3:$B$15,0)),"")</f>
        <v/>
      </c>
    </row>
    <row r="154" spans="2:33" ht="13.8" x14ac:dyDescent="0.25">
      <c r="B154" s="141">
        <v>143</v>
      </c>
      <c r="C154" s="205"/>
      <c r="D154" s="195"/>
      <c r="E154" s="172"/>
      <c r="F154" s="553" t="str">
        <f>IF(D154="","",VLOOKUP(D154,'G-6 Hedgerow Data'!$B$2:$AG$15,2,FALSE))</f>
        <v/>
      </c>
      <c r="G154" s="499" t="str">
        <f>IF(D154="","",VLOOKUP(D154,'G-6 Hedgerow Data'!$B$2:$AG$15,3,FALSE))</f>
        <v/>
      </c>
      <c r="H154" s="145"/>
      <c r="I154" s="499" t="str">
        <f>IFERROR(VLOOKUP(H154,'G-1 All Habitats'!$Z$2:$AA$9,2,FALSE),"")</f>
        <v/>
      </c>
      <c r="J154" s="145"/>
      <c r="K154" s="520" t="str">
        <f>IF(J154="","",IF(VLOOKUP(J154,'G-3 Multipliers'!$L$3:$N$6,2,FALSE)=0,"Spatial Data Missing ⚠",VLOOKUP(J154,'G-3 Multipliers'!$L$3:$N$6,2,FALSE)))</f>
        <v/>
      </c>
      <c r="L154" s="505" t="str">
        <f>IF(J154="","",IF(VLOOKUP(J154,'G-3 Multipliers'!$L$3:$N$6,3,FALSE)=0,"Spatial Data Missing ⚠",VLOOKUP(J154,'G-3 Multipliers'!$L$3:$N$6,3,FALSE)))</f>
        <v/>
      </c>
      <c r="M154" s="498" t="str">
        <f>IF(OR(D154="",H154=""),"",(INDEX('G-6 Hedgerow Data'!$E$3:$I$15,MATCH(D154,'G-6 Hedgerow Data'!$B$3:$B$15,0),MATCH(H154,'G-6 Hedgerow Data'!$E$2:$I$2,0))))</f>
        <v/>
      </c>
      <c r="N154" s="195"/>
      <c r="O154" s="195"/>
      <c r="P154" s="507" t="str">
        <f t="shared" si="13"/>
        <v/>
      </c>
      <c r="Q154" s="521" t="str">
        <f t="shared" si="14"/>
        <v/>
      </c>
      <c r="R154" s="522" t="str">
        <f t="shared" si="12"/>
        <v/>
      </c>
      <c r="S154" s="537" t="str">
        <f>IF(D154="","",VLOOKUP(D154,'G-6 Hedgerow Data'!$B$3:$AG$15,31,FALSE))</f>
        <v/>
      </c>
      <c r="T154" s="507" t="str">
        <f t="shared" si="15"/>
        <v/>
      </c>
      <c r="U154" s="507" t="str">
        <f t="shared" si="16"/>
        <v/>
      </c>
      <c r="V154" s="524" t="str">
        <f>IF(D154="","",VLOOKUP(S154,'G-3 Multipliers'!$P$3:$Q$6,2,FALSE))</f>
        <v/>
      </c>
      <c r="W154" s="529" t="str">
        <f t="shared" si="17"/>
        <v/>
      </c>
      <c r="X154" s="149"/>
      <c r="Y154" s="150"/>
      <c r="AG154" s="31" t="str">
        <f>IFERROR(INDEX('G-6 Hedgerow Data'!$BJ$3:$BJ$15,MATCH(D154,'G-6 Hedgerow Data'!$B$3:$B$15,0)),"")</f>
        <v/>
      </c>
    </row>
    <row r="155" spans="2:33" ht="13.8" x14ac:dyDescent="0.25">
      <c r="B155" s="141">
        <v>144</v>
      </c>
      <c r="C155" s="205"/>
      <c r="D155" s="195"/>
      <c r="E155" s="172"/>
      <c r="F155" s="553" t="str">
        <f>IF(D155="","",VLOOKUP(D155,'G-6 Hedgerow Data'!$B$2:$AG$15,2,FALSE))</f>
        <v/>
      </c>
      <c r="G155" s="499" t="str">
        <f>IF(D155="","",VLOOKUP(D155,'G-6 Hedgerow Data'!$B$2:$AG$15,3,FALSE))</f>
        <v/>
      </c>
      <c r="H155" s="145"/>
      <c r="I155" s="499" t="str">
        <f>IFERROR(VLOOKUP(H155,'G-1 All Habitats'!$Z$2:$AA$9,2,FALSE),"")</f>
        <v/>
      </c>
      <c r="J155" s="145"/>
      <c r="K155" s="520" t="str">
        <f>IF(J155="","",IF(VLOOKUP(J155,'G-3 Multipliers'!$L$3:$N$6,2,FALSE)=0,"Spatial Data Missing ⚠",VLOOKUP(J155,'G-3 Multipliers'!$L$3:$N$6,2,FALSE)))</f>
        <v/>
      </c>
      <c r="L155" s="505" t="str">
        <f>IF(J155="","",IF(VLOOKUP(J155,'G-3 Multipliers'!$L$3:$N$6,3,FALSE)=0,"Spatial Data Missing ⚠",VLOOKUP(J155,'G-3 Multipliers'!$L$3:$N$6,3,FALSE)))</f>
        <v/>
      </c>
      <c r="M155" s="498" t="str">
        <f>IF(OR(D155="",H155=""),"",(INDEX('G-6 Hedgerow Data'!$E$3:$I$15,MATCH(D155,'G-6 Hedgerow Data'!$B$3:$B$15,0),MATCH(H155,'G-6 Hedgerow Data'!$E$2:$I$2,0))))</f>
        <v/>
      </c>
      <c r="N155" s="195"/>
      <c r="O155" s="195"/>
      <c r="P155" s="507" t="str">
        <f t="shared" si="13"/>
        <v/>
      </c>
      <c r="Q155" s="521" t="str">
        <f t="shared" si="14"/>
        <v/>
      </c>
      <c r="R155" s="522" t="str">
        <f t="shared" si="12"/>
        <v/>
      </c>
      <c r="S155" s="537" t="str">
        <f>IF(D155="","",VLOOKUP(D155,'G-6 Hedgerow Data'!$B$3:$AG$15,31,FALSE))</f>
        <v/>
      </c>
      <c r="T155" s="507" t="str">
        <f t="shared" si="15"/>
        <v/>
      </c>
      <c r="U155" s="507" t="str">
        <f t="shared" si="16"/>
        <v/>
      </c>
      <c r="V155" s="524" t="str">
        <f>IF(D155="","",VLOOKUP(S155,'G-3 Multipliers'!$P$3:$Q$6,2,FALSE))</f>
        <v/>
      </c>
      <c r="W155" s="529" t="str">
        <f t="shared" si="17"/>
        <v/>
      </c>
      <c r="X155" s="149"/>
      <c r="Y155" s="150"/>
      <c r="AG155" s="31" t="str">
        <f>IFERROR(INDEX('G-6 Hedgerow Data'!$BJ$3:$BJ$15,MATCH(D155,'G-6 Hedgerow Data'!$B$3:$B$15,0)),"")</f>
        <v/>
      </c>
    </row>
    <row r="156" spans="2:33" ht="13.8" x14ac:dyDescent="0.25">
      <c r="B156" s="141">
        <v>145</v>
      </c>
      <c r="C156" s="205"/>
      <c r="D156" s="195"/>
      <c r="E156" s="172"/>
      <c r="F156" s="553" t="str">
        <f>IF(D156="","",VLOOKUP(D156,'G-6 Hedgerow Data'!$B$2:$AG$15,2,FALSE))</f>
        <v/>
      </c>
      <c r="G156" s="499" t="str">
        <f>IF(D156="","",VLOOKUP(D156,'G-6 Hedgerow Data'!$B$2:$AG$15,3,FALSE))</f>
        <v/>
      </c>
      <c r="H156" s="145"/>
      <c r="I156" s="499" t="str">
        <f>IFERROR(VLOOKUP(H156,'G-1 All Habitats'!$Z$2:$AA$9,2,FALSE),"")</f>
        <v/>
      </c>
      <c r="J156" s="145"/>
      <c r="K156" s="520" t="str">
        <f>IF(J156="","",IF(VLOOKUP(J156,'G-3 Multipliers'!$L$3:$N$6,2,FALSE)=0,"Spatial Data Missing ⚠",VLOOKUP(J156,'G-3 Multipliers'!$L$3:$N$6,2,FALSE)))</f>
        <v/>
      </c>
      <c r="L156" s="505" t="str">
        <f>IF(J156="","",IF(VLOOKUP(J156,'G-3 Multipliers'!$L$3:$N$6,3,FALSE)=0,"Spatial Data Missing ⚠",VLOOKUP(J156,'G-3 Multipliers'!$L$3:$N$6,3,FALSE)))</f>
        <v/>
      </c>
      <c r="M156" s="498" t="str">
        <f>IF(OR(D156="",H156=""),"",(INDEX('G-6 Hedgerow Data'!$E$3:$I$15,MATCH(D156,'G-6 Hedgerow Data'!$B$3:$B$15,0),MATCH(H156,'G-6 Hedgerow Data'!$E$2:$I$2,0))))</f>
        <v/>
      </c>
      <c r="N156" s="195"/>
      <c r="O156" s="195"/>
      <c r="P156" s="507" t="str">
        <f t="shared" si="13"/>
        <v/>
      </c>
      <c r="Q156" s="521" t="str">
        <f t="shared" si="14"/>
        <v/>
      </c>
      <c r="R156" s="522" t="str">
        <f t="shared" si="12"/>
        <v/>
      </c>
      <c r="S156" s="537" t="str">
        <f>IF(D156="","",VLOOKUP(D156,'G-6 Hedgerow Data'!$B$3:$AG$15,31,FALSE))</f>
        <v/>
      </c>
      <c r="T156" s="507" t="str">
        <f t="shared" si="15"/>
        <v/>
      </c>
      <c r="U156" s="507" t="str">
        <f t="shared" si="16"/>
        <v/>
      </c>
      <c r="V156" s="524" t="str">
        <f>IF(D156="","",VLOOKUP(S156,'G-3 Multipliers'!$P$3:$Q$6,2,FALSE))</f>
        <v/>
      </c>
      <c r="W156" s="529" t="str">
        <f t="shared" si="17"/>
        <v/>
      </c>
      <c r="X156" s="149"/>
      <c r="Y156" s="150"/>
      <c r="AG156" s="31" t="str">
        <f>IFERROR(INDEX('G-6 Hedgerow Data'!$BJ$3:$BJ$15,MATCH(D156,'G-6 Hedgerow Data'!$B$3:$B$15,0)),"")</f>
        <v/>
      </c>
    </row>
    <row r="157" spans="2:33" ht="13.8" x14ac:dyDescent="0.25">
      <c r="B157" s="141">
        <v>146</v>
      </c>
      <c r="C157" s="205"/>
      <c r="D157" s="195"/>
      <c r="E157" s="172"/>
      <c r="F157" s="553" t="str">
        <f>IF(D157="","",VLOOKUP(D157,'G-6 Hedgerow Data'!$B$2:$AG$15,2,FALSE))</f>
        <v/>
      </c>
      <c r="G157" s="499" t="str">
        <f>IF(D157="","",VLOOKUP(D157,'G-6 Hedgerow Data'!$B$2:$AG$15,3,FALSE))</f>
        <v/>
      </c>
      <c r="H157" s="145"/>
      <c r="I157" s="499" t="str">
        <f>IFERROR(VLOOKUP(H157,'G-1 All Habitats'!$Z$2:$AA$9,2,FALSE),"")</f>
        <v/>
      </c>
      <c r="J157" s="145"/>
      <c r="K157" s="520" t="str">
        <f>IF(J157="","",IF(VLOOKUP(J157,'G-3 Multipliers'!$L$3:$N$6,2,FALSE)=0,"Spatial Data Missing ⚠",VLOOKUP(J157,'G-3 Multipliers'!$L$3:$N$6,2,FALSE)))</f>
        <v/>
      </c>
      <c r="L157" s="505" t="str">
        <f>IF(J157="","",IF(VLOOKUP(J157,'G-3 Multipliers'!$L$3:$N$6,3,FALSE)=0,"Spatial Data Missing ⚠",VLOOKUP(J157,'G-3 Multipliers'!$L$3:$N$6,3,FALSE)))</f>
        <v/>
      </c>
      <c r="M157" s="498" t="str">
        <f>IF(OR(D157="",H157=""),"",(INDEX('G-6 Hedgerow Data'!$E$3:$I$15,MATCH(D157,'G-6 Hedgerow Data'!$B$3:$B$15,0),MATCH(H157,'G-6 Hedgerow Data'!$E$2:$I$2,0))))</f>
        <v/>
      </c>
      <c r="N157" s="195"/>
      <c r="O157" s="195"/>
      <c r="P157" s="507" t="str">
        <f t="shared" si="13"/>
        <v/>
      </c>
      <c r="Q157" s="521" t="str">
        <f t="shared" si="14"/>
        <v/>
      </c>
      <c r="R157" s="522" t="str">
        <f t="shared" si="12"/>
        <v/>
      </c>
      <c r="S157" s="537" t="str">
        <f>IF(D157="","",VLOOKUP(D157,'G-6 Hedgerow Data'!$B$3:$AG$15,31,FALSE))</f>
        <v/>
      </c>
      <c r="T157" s="507" t="str">
        <f t="shared" si="15"/>
        <v/>
      </c>
      <c r="U157" s="507" t="str">
        <f t="shared" si="16"/>
        <v/>
      </c>
      <c r="V157" s="524" t="str">
        <f>IF(D157="","",VLOOKUP(S157,'G-3 Multipliers'!$P$3:$Q$6,2,FALSE))</f>
        <v/>
      </c>
      <c r="W157" s="529" t="str">
        <f t="shared" si="17"/>
        <v/>
      </c>
      <c r="X157" s="149"/>
      <c r="Y157" s="150"/>
      <c r="AG157" s="31" t="str">
        <f>IFERROR(INDEX('G-6 Hedgerow Data'!$BJ$3:$BJ$15,MATCH(D157,'G-6 Hedgerow Data'!$B$3:$B$15,0)),"")</f>
        <v/>
      </c>
    </row>
    <row r="158" spans="2:33" ht="13.8" x14ac:dyDescent="0.25">
      <c r="B158" s="141">
        <v>147</v>
      </c>
      <c r="C158" s="205"/>
      <c r="D158" s="195"/>
      <c r="E158" s="172"/>
      <c r="F158" s="553" t="str">
        <f>IF(D158="","",VLOOKUP(D158,'G-6 Hedgerow Data'!$B$2:$AG$15,2,FALSE))</f>
        <v/>
      </c>
      <c r="G158" s="499" t="str">
        <f>IF(D158="","",VLOOKUP(D158,'G-6 Hedgerow Data'!$B$2:$AG$15,3,FALSE))</f>
        <v/>
      </c>
      <c r="H158" s="145"/>
      <c r="I158" s="499" t="str">
        <f>IFERROR(VLOOKUP(H158,'G-1 All Habitats'!$Z$2:$AA$9,2,FALSE),"")</f>
        <v/>
      </c>
      <c r="J158" s="145"/>
      <c r="K158" s="520" t="str">
        <f>IF(J158="","",IF(VLOOKUP(J158,'G-3 Multipliers'!$L$3:$N$6,2,FALSE)=0,"Spatial Data Missing ⚠",VLOOKUP(J158,'G-3 Multipliers'!$L$3:$N$6,2,FALSE)))</f>
        <v/>
      </c>
      <c r="L158" s="505" t="str">
        <f>IF(J158="","",IF(VLOOKUP(J158,'G-3 Multipliers'!$L$3:$N$6,3,FALSE)=0,"Spatial Data Missing ⚠",VLOOKUP(J158,'G-3 Multipliers'!$L$3:$N$6,3,FALSE)))</f>
        <v/>
      </c>
      <c r="M158" s="498" t="str">
        <f>IF(OR(D158="",H158=""),"",(INDEX('G-6 Hedgerow Data'!$E$3:$I$15,MATCH(D158,'G-6 Hedgerow Data'!$B$3:$B$15,0),MATCH(H158,'G-6 Hedgerow Data'!$E$2:$I$2,0))))</f>
        <v/>
      </c>
      <c r="N158" s="195"/>
      <c r="O158" s="195"/>
      <c r="P158" s="507" t="str">
        <f t="shared" si="13"/>
        <v/>
      </c>
      <c r="Q158" s="521" t="str">
        <f t="shared" si="14"/>
        <v/>
      </c>
      <c r="R158" s="522" t="str">
        <f t="shared" si="12"/>
        <v/>
      </c>
      <c r="S158" s="537" t="str">
        <f>IF(D158="","",VLOOKUP(D158,'G-6 Hedgerow Data'!$B$3:$AG$15,31,FALSE))</f>
        <v/>
      </c>
      <c r="T158" s="507" t="str">
        <f t="shared" si="15"/>
        <v/>
      </c>
      <c r="U158" s="507" t="str">
        <f t="shared" si="16"/>
        <v/>
      </c>
      <c r="V158" s="524" t="str">
        <f>IF(D158="","",VLOOKUP(S158,'G-3 Multipliers'!$P$3:$Q$6,2,FALSE))</f>
        <v/>
      </c>
      <c r="W158" s="529" t="str">
        <f t="shared" si="17"/>
        <v/>
      </c>
      <c r="X158" s="149"/>
      <c r="Y158" s="150"/>
      <c r="AG158" s="31" t="str">
        <f>IFERROR(INDEX('G-6 Hedgerow Data'!$BJ$3:$BJ$15,MATCH(D158,'G-6 Hedgerow Data'!$B$3:$B$15,0)),"")</f>
        <v/>
      </c>
    </row>
    <row r="159" spans="2:33" ht="13.8" x14ac:dyDescent="0.25">
      <c r="B159" s="141">
        <v>148</v>
      </c>
      <c r="C159" s="205"/>
      <c r="D159" s="195"/>
      <c r="E159" s="172"/>
      <c r="F159" s="553" t="str">
        <f>IF(D159="","",VLOOKUP(D159,'G-6 Hedgerow Data'!$B$2:$AG$15,2,FALSE))</f>
        <v/>
      </c>
      <c r="G159" s="499" t="str">
        <f>IF(D159="","",VLOOKUP(D159,'G-6 Hedgerow Data'!$B$2:$AG$15,3,FALSE))</f>
        <v/>
      </c>
      <c r="H159" s="145"/>
      <c r="I159" s="499" t="str">
        <f>IFERROR(VLOOKUP(H159,'G-1 All Habitats'!$Z$2:$AA$9,2,FALSE),"")</f>
        <v/>
      </c>
      <c r="J159" s="145"/>
      <c r="K159" s="520" t="str">
        <f>IF(J159="","",IF(VLOOKUP(J159,'G-3 Multipliers'!$L$3:$N$6,2,FALSE)=0,"Spatial Data Missing ⚠",VLOOKUP(J159,'G-3 Multipliers'!$L$3:$N$6,2,FALSE)))</f>
        <v/>
      </c>
      <c r="L159" s="505" t="str">
        <f>IF(J159="","",IF(VLOOKUP(J159,'G-3 Multipliers'!$L$3:$N$6,3,FALSE)=0,"Spatial Data Missing ⚠",VLOOKUP(J159,'G-3 Multipliers'!$L$3:$N$6,3,FALSE)))</f>
        <v/>
      </c>
      <c r="M159" s="498" t="str">
        <f>IF(OR(D159="",H159=""),"",(INDEX('G-6 Hedgerow Data'!$E$3:$I$15,MATCH(D159,'G-6 Hedgerow Data'!$B$3:$B$15,0),MATCH(H159,'G-6 Hedgerow Data'!$E$2:$I$2,0))))</f>
        <v/>
      </c>
      <c r="N159" s="195"/>
      <c r="O159" s="195"/>
      <c r="P159" s="507" t="str">
        <f t="shared" si="13"/>
        <v/>
      </c>
      <c r="Q159" s="521" t="str">
        <f t="shared" si="14"/>
        <v/>
      </c>
      <c r="R159" s="522" t="str">
        <f t="shared" si="12"/>
        <v/>
      </c>
      <c r="S159" s="537" t="str">
        <f>IF(D159="","",VLOOKUP(D159,'G-6 Hedgerow Data'!$B$3:$AG$15,31,FALSE))</f>
        <v/>
      </c>
      <c r="T159" s="507" t="str">
        <f t="shared" si="15"/>
        <v/>
      </c>
      <c r="U159" s="507" t="str">
        <f t="shared" si="16"/>
        <v/>
      </c>
      <c r="V159" s="524" t="str">
        <f>IF(D159="","",VLOOKUP(S159,'G-3 Multipliers'!$P$3:$Q$6,2,FALSE))</f>
        <v/>
      </c>
      <c r="W159" s="529" t="str">
        <f t="shared" si="17"/>
        <v/>
      </c>
      <c r="X159" s="149"/>
      <c r="Y159" s="150"/>
      <c r="AG159" s="31" t="str">
        <f>IFERROR(INDEX('G-6 Hedgerow Data'!$BJ$3:$BJ$15,MATCH(D159,'G-6 Hedgerow Data'!$B$3:$B$15,0)),"")</f>
        <v/>
      </c>
    </row>
    <row r="160" spans="2:33" ht="13.8" x14ac:dyDescent="0.25">
      <c r="B160" s="141">
        <v>149</v>
      </c>
      <c r="C160" s="205"/>
      <c r="D160" s="195"/>
      <c r="E160" s="172"/>
      <c r="F160" s="553" t="str">
        <f>IF(D160="","",VLOOKUP(D160,'G-6 Hedgerow Data'!$B$2:$AG$15,2,FALSE))</f>
        <v/>
      </c>
      <c r="G160" s="499" t="str">
        <f>IF(D160="","",VLOOKUP(D160,'G-6 Hedgerow Data'!$B$2:$AG$15,3,FALSE))</f>
        <v/>
      </c>
      <c r="H160" s="145"/>
      <c r="I160" s="499" t="str">
        <f>IFERROR(VLOOKUP(H160,'G-1 All Habitats'!$Z$2:$AA$9,2,FALSE),"")</f>
        <v/>
      </c>
      <c r="J160" s="145"/>
      <c r="K160" s="520" t="str">
        <f>IF(J160="","",IF(VLOOKUP(J160,'G-3 Multipliers'!$L$3:$N$6,2,FALSE)=0,"Spatial Data Missing ⚠",VLOOKUP(J160,'G-3 Multipliers'!$L$3:$N$6,2,FALSE)))</f>
        <v/>
      </c>
      <c r="L160" s="505" t="str">
        <f>IF(J160="","",IF(VLOOKUP(J160,'G-3 Multipliers'!$L$3:$N$6,3,FALSE)=0,"Spatial Data Missing ⚠",VLOOKUP(J160,'G-3 Multipliers'!$L$3:$N$6,3,FALSE)))</f>
        <v/>
      </c>
      <c r="M160" s="498" t="str">
        <f>IF(OR(D160="",H160=""),"",(INDEX('G-6 Hedgerow Data'!$E$3:$I$15,MATCH(D160,'G-6 Hedgerow Data'!$B$3:$B$15,0),MATCH(H160,'G-6 Hedgerow Data'!$E$2:$I$2,0))))</f>
        <v/>
      </c>
      <c r="N160" s="195"/>
      <c r="O160" s="195"/>
      <c r="P160" s="507" t="str">
        <f t="shared" si="13"/>
        <v/>
      </c>
      <c r="Q160" s="521" t="str">
        <f t="shared" si="14"/>
        <v/>
      </c>
      <c r="R160" s="522" t="str">
        <f t="shared" si="12"/>
        <v/>
      </c>
      <c r="S160" s="537" t="str">
        <f>IF(D160="","",VLOOKUP(D160,'G-6 Hedgerow Data'!$B$3:$AG$15,31,FALSE))</f>
        <v/>
      </c>
      <c r="T160" s="507" t="str">
        <f t="shared" si="15"/>
        <v/>
      </c>
      <c r="U160" s="507" t="str">
        <f t="shared" si="16"/>
        <v/>
      </c>
      <c r="V160" s="524" t="str">
        <f>IF(D160="","",VLOOKUP(S160,'G-3 Multipliers'!$P$3:$Q$6,2,FALSE))</f>
        <v/>
      </c>
      <c r="W160" s="529" t="str">
        <f t="shared" si="17"/>
        <v/>
      </c>
      <c r="X160" s="149"/>
      <c r="Y160" s="150"/>
      <c r="AG160" s="31" t="str">
        <f>IFERROR(INDEX('G-6 Hedgerow Data'!$BJ$3:$BJ$15,MATCH(D160,'G-6 Hedgerow Data'!$B$3:$B$15,0)),"")</f>
        <v/>
      </c>
    </row>
    <row r="161" spans="2:33" ht="13.8" x14ac:dyDescent="0.25">
      <c r="B161" s="141">
        <v>150</v>
      </c>
      <c r="C161" s="205"/>
      <c r="D161" s="195"/>
      <c r="E161" s="172"/>
      <c r="F161" s="553" t="str">
        <f>IF(D161="","",VLOOKUP(D161,'G-6 Hedgerow Data'!$B$2:$AG$15,2,FALSE))</f>
        <v/>
      </c>
      <c r="G161" s="499" t="str">
        <f>IF(D161="","",VLOOKUP(D161,'G-6 Hedgerow Data'!$B$2:$AG$15,3,FALSE))</f>
        <v/>
      </c>
      <c r="H161" s="145"/>
      <c r="I161" s="499" t="str">
        <f>IFERROR(VLOOKUP(H161,'G-1 All Habitats'!$Z$2:$AA$9,2,FALSE),"")</f>
        <v/>
      </c>
      <c r="J161" s="145"/>
      <c r="K161" s="520" t="str">
        <f>IF(J161="","",IF(VLOOKUP(J161,'G-3 Multipliers'!$L$3:$N$6,2,FALSE)=0,"Spatial Data Missing ⚠",VLOOKUP(J161,'G-3 Multipliers'!$L$3:$N$6,2,FALSE)))</f>
        <v/>
      </c>
      <c r="L161" s="505" t="str">
        <f>IF(J161="","",IF(VLOOKUP(J161,'G-3 Multipliers'!$L$3:$N$6,3,FALSE)=0,"Spatial Data Missing ⚠",VLOOKUP(J161,'G-3 Multipliers'!$L$3:$N$6,3,FALSE)))</f>
        <v/>
      </c>
      <c r="M161" s="498" t="str">
        <f>IF(OR(D161="",H161=""),"",(INDEX('G-6 Hedgerow Data'!$E$3:$I$15,MATCH(D161,'G-6 Hedgerow Data'!$B$3:$B$15,0),MATCH(H161,'G-6 Hedgerow Data'!$E$2:$I$2,0))))</f>
        <v/>
      </c>
      <c r="N161" s="195"/>
      <c r="O161" s="195"/>
      <c r="P161" s="507" t="str">
        <f t="shared" si="13"/>
        <v/>
      </c>
      <c r="Q161" s="521" t="str">
        <f t="shared" si="14"/>
        <v/>
      </c>
      <c r="R161" s="522" t="str">
        <f t="shared" si="12"/>
        <v/>
      </c>
      <c r="S161" s="537" t="str">
        <f>IF(D161="","",VLOOKUP(D161,'G-6 Hedgerow Data'!$B$3:$AG$15,31,FALSE))</f>
        <v/>
      </c>
      <c r="T161" s="507" t="str">
        <f t="shared" si="15"/>
        <v/>
      </c>
      <c r="U161" s="507" t="str">
        <f t="shared" si="16"/>
        <v/>
      </c>
      <c r="V161" s="524" t="str">
        <f>IF(D161="","",VLOOKUP(S161,'G-3 Multipliers'!$P$3:$Q$6,2,FALSE))</f>
        <v/>
      </c>
      <c r="W161" s="529" t="str">
        <f t="shared" si="17"/>
        <v/>
      </c>
      <c r="X161" s="149"/>
      <c r="Y161" s="150"/>
      <c r="AG161" s="31" t="str">
        <f>IFERROR(INDEX('G-6 Hedgerow Data'!$BJ$3:$BJ$15,MATCH(D161,'G-6 Hedgerow Data'!$B$3:$B$15,0)),"")</f>
        <v/>
      </c>
    </row>
    <row r="162" spans="2:33" ht="13.8" x14ac:dyDescent="0.25">
      <c r="B162" s="141">
        <v>151</v>
      </c>
      <c r="C162" s="205"/>
      <c r="D162" s="195"/>
      <c r="E162" s="172"/>
      <c r="F162" s="553" t="str">
        <f>IF(D162="","",VLOOKUP(D162,'G-6 Hedgerow Data'!$B$2:$AG$15,2,FALSE))</f>
        <v/>
      </c>
      <c r="G162" s="499" t="str">
        <f>IF(D162="","",VLOOKUP(D162,'G-6 Hedgerow Data'!$B$2:$AG$15,3,FALSE))</f>
        <v/>
      </c>
      <c r="H162" s="145"/>
      <c r="I162" s="499" t="str">
        <f>IFERROR(VLOOKUP(H162,'G-1 All Habitats'!$Z$2:$AA$9,2,FALSE),"")</f>
        <v/>
      </c>
      <c r="J162" s="145"/>
      <c r="K162" s="520" t="str">
        <f>IF(J162="","",IF(VLOOKUP(J162,'G-3 Multipliers'!$L$3:$N$6,2,FALSE)=0,"Spatial Data Missing ⚠",VLOOKUP(J162,'G-3 Multipliers'!$L$3:$N$6,2,FALSE)))</f>
        <v/>
      </c>
      <c r="L162" s="505" t="str">
        <f>IF(J162="","",IF(VLOOKUP(J162,'G-3 Multipliers'!$L$3:$N$6,3,FALSE)=0,"Spatial Data Missing ⚠",VLOOKUP(J162,'G-3 Multipliers'!$L$3:$N$6,3,FALSE)))</f>
        <v/>
      </c>
      <c r="M162" s="498" t="str">
        <f>IF(OR(D162="",H162=""),"",(INDEX('G-6 Hedgerow Data'!$E$3:$I$15,MATCH(D162,'G-6 Hedgerow Data'!$B$3:$B$15,0),MATCH(H162,'G-6 Hedgerow Data'!$E$2:$I$2,0))))</f>
        <v/>
      </c>
      <c r="N162" s="195"/>
      <c r="O162" s="195"/>
      <c r="P162" s="507" t="str">
        <f t="shared" si="13"/>
        <v/>
      </c>
      <c r="Q162" s="521" t="str">
        <f t="shared" si="14"/>
        <v/>
      </c>
      <c r="R162" s="522" t="str">
        <f t="shared" si="12"/>
        <v/>
      </c>
      <c r="S162" s="537" t="str">
        <f>IF(D162="","",VLOOKUP(D162,'G-6 Hedgerow Data'!$B$3:$AG$15,31,FALSE))</f>
        <v/>
      </c>
      <c r="T162" s="507" t="str">
        <f t="shared" si="15"/>
        <v/>
      </c>
      <c r="U162" s="507" t="str">
        <f t="shared" si="16"/>
        <v/>
      </c>
      <c r="V162" s="524" t="str">
        <f>IF(D162="","",VLOOKUP(S162,'G-3 Multipliers'!$P$3:$Q$6,2,FALSE))</f>
        <v/>
      </c>
      <c r="W162" s="529" t="str">
        <f t="shared" si="17"/>
        <v/>
      </c>
      <c r="X162" s="149"/>
      <c r="Y162" s="150"/>
      <c r="AG162" s="31" t="str">
        <f>IFERROR(INDEX('G-6 Hedgerow Data'!$BJ$3:$BJ$15,MATCH(D162,'G-6 Hedgerow Data'!$B$3:$B$15,0)),"")</f>
        <v/>
      </c>
    </row>
    <row r="163" spans="2:33" ht="13.8" x14ac:dyDescent="0.25">
      <c r="B163" s="141">
        <v>152</v>
      </c>
      <c r="C163" s="205"/>
      <c r="D163" s="195"/>
      <c r="E163" s="172"/>
      <c r="F163" s="553" t="str">
        <f>IF(D163="","",VLOOKUP(D163,'G-6 Hedgerow Data'!$B$2:$AG$15,2,FALSE))</f>
        <v/>
      </c>
      <c r="G163" s="499" t="str">
        <f>IF(D163="","",VLOOKUP(D163,'G-6 Hedgerow Data'!$B$2:$AG$15,3,FALSE))</f>
        <v/>
      </c>
      <c r="H163" s="145"/>
      <c r="I163" s="499" t="str">
        <f>IFERROR(VLOOKUP(H163,'G-1 All Habitats'!$Z$2:$AA$9,2,FALSE),"")</f>
        <v/>
      </c>
      <c r="J163" s="145"/>
      <c r="K163" s="520" t="str">
        <f>IF(J163="","",IF(VLOOKUP(J163,'G-3 Multipliers'!$L$3:$N$6,2,FALSE)=0,"Spatial Data Missing ⚠",VLOOKUP(J163,'G-3 Multipliers'!$L$3:$N$6,2,FALSE)))</f>
        <v/>
      </c>
      <c r="L163" s="505" t="str">
        <f>IF(J163="","",IF(VLOOKUP(J163,'G-3 Multipliers'!$L$3:$N$6,3,FALSE)=0,"Spatial Data Missing ⚠",VLOOKUP(J163,'G-3 Multipliers'!$L$3:$N$6,3,FALSE)))</f>
        <v/>
      </c>
      <c r="M163" s="498" t="str">
        <f>IF(OR(D163="",H163=""),"",(INDEX('G-6 Hedgerow Data'!$E$3:$I$15,MATCH(D163,'G-6 Hedgerow Data'!$B$3:$B$15,0),MATCH(H163,'G-6 Hedgerow Data'!$E$2:$I$2,0))))</f>
        <v/>
      </c>
      <c r="N163" s="195"/>
      <c r="O163" s="195"/>
      <c r="P163" s="507" t="str">
        <f t="shared" si="13"/>
        <v/>
      </c>
      <c r="Q163" s="521" t="str">
        <f t="shared" si="14"/>
        <v/>
      </c>
      <c r="R163" s="522" t="str">
        <f t="shared" si="12"/>
        <v/>
      </c>
      <c r="S163" s="537" t="str">
        <f>IF(D163="","",VLOOKUP(D163,'G-6 Hedgerow Data'!$B$3:$AG$15,31,FALSE))</f>
        <v/>
      </c>
      <c r="T163" s="507" t="str">
        <f t="shared" si="15"/>
        <v/>
      </c>
      <c r="U163" s="507" t="str">
        <f t="shared" si="16"/>
        <v/>
      </c>
      <c r="V163" s="524" t="str">
        <f>IF(D163="","",VLOOKUP(S163,'G-3 Multipliers'!$P$3:$Q$6,2,FALSE))</f>
        <v/>
      </c>
      <c r="W163" s="529" t="str">
        <f t="shared" si="17"/>
        <v/>
      </c>
      <c r="X163" s="149"/>
      <c r="Y163" s="150"/>
      <c r="AG163" s="31" t="str">
        <f>IFERROR(INDEX('G-6 Hedgerow Data'!$BJ$3:$BJ$15,MATCH(D163,'G-6 Hedgerow Data'!$B$3:$B$15,0)),"")</f>
        <v/>
      </c>
    </row>
    <row r="164" spans="2:33" ht="13.8" x14ac:dyDescent="0.25">
      <c r="B164" s="141">
        <v>153</v>
      </c>
      <c r="C164" s="205"/>
      <c r="D164" s="195"/>
      <c r="E164" s="172"/>
      <c r="F164" s="553" t="str">
        <f>IF(D164="","",VLOOKUP(D164,'G-6 Hedgerow Data'!$B$2:$AG$15,2,FALSE))</f>
        <v/>
      </c>
      <c r="G164" s="499" t="str">
        <f>IF(D164="","",VLOOKUP(D164,'G-6 Hedgerow Data'!$B$2:$AG$15,3,FALSE))</f>
        <v/>
      </c>
      <c r="H164" s="145"/>
      <c r="I164" s="499" t="str">
        <f>IFERROR(VLOOKUP(H164,'G-1 All Habitats'!$Z$2:$AA$9,2,FALSE),"")</f>
        <v/>
      </c>
      <c r="J164" s="145"/>
      <c r="K164" s="520" t="str">
        <f>IF(J164="","",IF(VLOOKUP(J164,'G-3 Multipliers'!$L$3:$N$6,2,FALSE)=0,"Spatial Data Missing ⚠",VLOOKUP(J164,'G-3 Multipliers'!$L$3:$N$6,2,FALSE)))</f>
        <v/>
      </c>
      <c r="L164" s="505" t="str">
        <f>IF(J164="","",IF(VLOOKUP(J164,'G-3 Multipliers'!$L$3:$N$6,3,FALSE)=0,"Spatial Data Missing ⚠",VLOOKUP(J164,'G-3 Multipliers'!$L$3:$N$6,3,FALSE)))</f>
        <v/>
      </c>
      <c r="M164" s="498" t="str">
        <f>IF(OR(D164="",H164=""),"",(INDEX('G-6 Hedgerow Data'!$E$3:$I$15,MATCH(D164,'G-6 Hedgerow Data'!$B$3:$B$15,0),MATCH(H164,'G-6 Hedgerow Data'!$E$2:$I$2,0))))</f>
        <v/>
      </c>
      <c r="N164" s="195"/>
      <c r="O164" s="195"/>
      <c r="P164" s="507" t="str">
        <f t="shared" si="13"/>
        <v/>
      </c>
      <c r="Q164" s="521" t="str">
        <f t="shared" si="14"/>
        <v/>
      </c>
      <c r="R164" s="522" t="str">
        <f t="shared" si="12"/>
        <v/>
      </c>
      <c r="S164" s="537" t="str">
        <f>IF(D164="","",VLOOKUP(D164,'G-6 Hedgerow Data'!$B$3:$AG$15,31,FALSE))</f>
        <v/>
      </c>
      <c r="T164" s="507" t="str">
        <f t="shared" si="15"/>
        <v/>
      </c>
      <c r="U164" s="507" t="str">
        <f t="shared" si="16"/>
        <v/>
      </c>
      <c r="V164" s="524" t="str">
        <f>IF(D164="","",VLOOKUP(S164,'G-3 Multipliers'!$P$3:$Q$6,2,FALSE))</f>
        <v/>
      </c>
      <c r="W164" s="529" t="str">
        <f t="shared" si="17"/>
        <v/>
      </c>
      <c r="X164" s="149"/>
      <c r="Y164" s="150"/>
      <c r="AG164" s="31" t="str">
        <f>IFERROR(INDEX('G-6 Hedgerow Data'!$BJ$3:$BJ$15,MATCH(D164,'G-6 Hedgerow Data'!$B$3:$B$15,0)),"")</f>
        <v/>
      </c>
    </row>
    <row r="165" spans="2:33" ht="13.8" x14ac:dyDescent="0.25">
      <c r="B165" s="141">
        <v>154</v>
      </c>
      <c r="C165" s="205"/>
      <c r="D165" s="195"/>
      <c r="E165" s="172"/>
      <c r="F165" s="553" t="str">
        <f>IF(D165="","",VLOOKUP(D165,'G-6 Hedgerow Data'!$B$2:$AG$15,2,FALSE))</f>
        <v/>
      </c>
      <c r="G165" s="499" t="str">
        <f>IF(D165="","",VLOOKUP(D165,'G-6 Hedgerow Data'!$B$2:$AG$15,3,FALSE))</f>
        <v/>
      </c>
      <c r="H165" s="145"/>
      <c r="I165" s="499" t="str">
        <f>IFERROR(VLOOKUP(H165,'G-1 All Habitats'!$Z$2:$AA$9,2,FALSE),"")</f>
        <v/>
      </c>
      <c r="J165" s="145"/>
      <c r="K165" s="520" t="str">
        <f>IF(J165="","",IF(VLOOKUP(J165,'G-3 Multipliers'!$L$3:$N$6,2,FALSE)=0,"Spatial Data Missing ⚠",VLOOKUP(J165,'G-3 Multipliers'!$L$3:$N$6,2,FALSE)))</f>
        <v/>
      </c>
      <c r="L165" s="505" t="str">
        <f>IF(J165="","",IF(VLOOKUP(J165,'G-3 Multipliers'!$L$3:$N$6,3,FALSE)=0,"Spatial Data Missing ⚠",VLOOKUP(J165,'G-3 Multipliers'!$L$3:$N$6,3,FALSE)))</f>
        <v/>
      </c>
      <c r="M165" s="498" t="str">
        <f>IF(OR(D165="",H165=""),"",(INDEX('G-6 Hedgerow Data'!$E$3:$I$15,MATCH(D165,'G-6 Hedgerow Data'!$B$3:$B$15,0),MATCH(H165,'G-6 Hedgerow Data'!$E$2:$I$2,0))))</f>
        <v/>
      </c>
      <c r="N165" s="195"/>
      <c r="O165" s="195"/>
      <c r="P165" s="507" t="str">
        <f t="shared" si="13"/>
        <v/>
      </c>
      <c r="Q165" s="521" t="str">
        <f t="shared" si="14"/>
        <v/>
      </c>
      <c r="R165" s="522" t="str">
        <f t="shared" si="12"/>
        <v/>
      </c>
      <c r="S165" s="537" t="str">
        <f>IF(D165="","",VLOOKUP(D165,'G-6 Hedgerow Data'!$B$3:$AG$15,31,FALSE))</f>
        <v/>
      </c>
      <c r="T165" s="507" t="str">
        <f t="shared" si="15"/>
        <v/>
      </c>
      <c r="U165" s="507" t="str">
        <f t="shared" si="16"/>
        <v/>
      </c>
      <c r="V165" s="524" t="str">
        <f>IF(D165="","",VLOOKUP(S165,'G-3 Multipliers'!$P$3:$Q$6,2,FALSE))</f>
        <v/>
      </c>
      <c r="W165" s="529" t="str">
        <f t="shared" si="17"/>
        <v/>
      </c>
      <c r="X165" s="149"/>
      <c r="Y165" s="150"/>
      <c r="AG165" s="31" t="str">
        <f>IFERROR(INDEX('G-6 Hedgerow Data'!$BJ$3:$BJ$15,MATCH(D165,'G-6 Hedgerow Data'!$B$3:$B$15,0)),"")</f>
        <v/>
      </c>
    </row>
    <row r="166" spans="2:33" ht="13.8" x14ac:dyDescent="0.25">
      <c r="B166" s="141">
        <v>155</v>
      </c>
      <c r="C166" s="205"/>
      <c r="D166" s="195"/>
      <c r="E166" s="172"/>
      <c r="F166" s="553" t="str">
        <f>IF(D166="","",VLOOKUP(D166,'G-6 Hedgerow Data'!$B$2:$AG$15,2,FALSE))</f>
        <v/>
      </c>
      <c r="G166" s="499" t="str">
        <f>IF(D166="","",VLOOKUP(D166,'G-6 Hedgerow Data'!$B$2:$AG$15,3,FALSE))</f>
        <v/>
      </c>
      <c r="H166" s="145"/>
      <c r="I166" s="499" t="str">
        <f>IFERROR(VLOOKUP(H166,'G-1 All Habitats'!$Z$2:$AA$9,2,FALSE),"")</f>
        <v/>
      </c>
      <c r="J166" s="145"/>
      <c r="K166" s="520" t="str">
        <f>IF(J166="","",IF(VLOOKUP(J166,'G-3 Multipliers'!$L$3:$N$6,2,FALSE)=0,"Spatial Data Missing ⚠",VLOOKUP(J166,'G-3 Multipliers'!$L$3:$N$6,2,FALSE)))</f>
        <v/>
      </c>
      <c r="L166" s="505" t="str">
        <f>IF(J166="","",IF(VLOOKUP(J166,'G-3 Multipliers'!$L$3:$N$6,3,FALSE)=0,"Spatial Data Missing ⚠",VLOOKUP(J166,'G-3 Multipliers'!$L$3:$N$6,3,FALSE)))</f>
        <v/>
      </c>
      <c r="M166" s="498" t="str">
        <f>IF(OR(D166="",H166=""),"",(INDEX('G-6 Hedgerow Data'!$E$3:$I$15,MATCH(D166,'G-6 Hedgerow Data'!$B$3:$B$15,0),MATCH(H166,'G-6 Hedgerow Data'!$E$2:$I$2,0))))</f>
        <v/>
      </c>
      <c r="N166" s="195"/>
      <c r="O166" s="195"/>
      <c r="P166" s="507" t="str">
        <f t="shared" si="13"/>
        <v/>
      </c>
      <c r="Q166" s="521" t="str">
        <f t="shared" si="14"/>
        <v/>
      </c>
      <c r="R166" s="522" t="str">
        <f t="shared" si="12"/>
        <v/>
      </c>
      <c r="S166" s="537" t="str">
        <f>IF(D166="","",VLOOKUP(D166,'G-6 Hedgerow Data'!$B$3:$AG$15,31,FALSE))</f>
        <v/>
      </c>
      <c r="T166" s="507" t="str">
        <f t="shared" si="15"/>
        <v/>
      </c>
      <c r="U166" s="507" t="str">
        <f t="shared" si="16"/>
        <v/>
      </c>
      <c r="V166" s="524" t="str">
        <f>IF(D166="","",VLOOKUP(S166,'G-3 Multipliers'!$P$3:$Q$6,2,FALSE))</f>
        <v/>
      </c>
      <c r="W166" s="529" t="str">
        <f t="shared" si="17"/>
        <v/>
      </c>
      <c r="X166" s="149"/>
      <c r="Y166" s="150"/>
      <c r="AG166" s="31" t="str">
        <f>IFERROR(INDEX('G-6 Hedgerow Data'!$BJ$3:$BJ$15,MATCH(D166,'G-6 Hedgerow Data'!$B$3:$B$15,0)),"")</f>
        <v/>
      </c>
    </row>
    <row r="167" spans="2:33" ht="13.8" x14ac:dyDescent="0.25">
      <c r="B167" s="141">
        <v>156</v>
      </c>
      <c r="C167" s="205"/>
      <c r="D167" s="195"/>
      <c r="E167" s="172"/>
      <c r="F167" s="553" t="str">
        <f>IF(D167="","",VLOOKUP(D167,'G-6 Hedgerow Data'!$B$2:$AG$15,2,FALSE))</f>
        <v/>
      </c>
      <c r="G167" s="499" t="str">
        <f>IF(D167="","",VLOOKUP(D167,'G-6 Hedgerow Data'!$B$2:$AG$15,3,FALSE))</f>
        <v/>
      </c>
      <c r="H167" s="145"/>
      <c r="I167" s="499" t="str">
        <f>IFERROR(VLOOKUP(H167,'G-1 All Habitats'!$Z$2:$AA$9,2,FALSE),"")</f>
        <v/>
      </c>
      <c r="J167" s="145"/>
      <c r="K167" s="520" t="str">
        <f>IF(J167="","",IF(VLOOKUP(J167,'G-3 Multipliers'!$L$3:$N$6,2,FALSE)=0,"Spatial Data Missing ⚠",VLOOKUP(J167,'G-3 Multipliers'!$L$3:$N$6,2,FALSE)))</f>
        <v/>
      </c>
      <c r="L167" s="505" t="str">
        <f>IF(J167="","",IF(VLOOKUP(J167,'G-3 Multipliers'!$L$3:$N$6,3,FALSE)=0,"Spatial Data Missing ⚠",VLOOKUP(J167,'G-3 Multipliers'!$L$3:$N$6,3,FALSE)))</f>
        <v/>
      </c>
      <c r="M167" s="498" t="str">
        <f>IF(OR(D167="",H167=""),"",(INDEX('G-6 Hedgerow Data'!$E$3:$I$15,MATCH(D167,'G-6 Hedgerow Data'!$B$3:$B$15,0),MATCH(H167,'G-6 Hedgerow Data'!$E$2:$I$2,0))))</f>
        <v/>
      </c>
      <c r="N167" s="195"/>
      <c r="O167" s="195"/>
      <c r="P167" s="507" t="str">
        <f t="shared" si="13"/>
        <v/>
      </c>
      <c r="Q167" s="521" t="str">
        <f t="shared" si="14"/>
        <v/>
      </c>
      <c r="R167" s="522" t="str">
        <f t="shared" si="12"/>
        <v/>
      </c>
      <c r="S167" s="537" t="str">
        <f>IF(D167="","",VLOOKUP(D167,'G-6 Hedgerow Data'!$B$3:$AG$15,31,FALSE))</f>
        <v/>
      </c>
      <c r="T167" s="507" t="str">
        <f t="shared" si="15"/>
        <v/>
      </c>
      <c r="U167" s="507" t="str">
        <f t="shared" si="16"/>
        <v/>
      </c>
      <c r="V167" s="524" t="str">
        <f>IF(D167="","",VLOOKUP(S167,'G-3 Multipliers'!$P$3:$Q$6,2,FALSE))</f>
        <v/>
      </c>
      <c r="W167" s="529" t="str">
        <f t="shared" si="17"/>
        <v/>
      </c>
      <c r="X167" s="149"/>
      <c r="Y167" s="150"/>
      <c r="AG167" s="31" t="str">
        <f>IFERROR(INDEX('G-6 Hedgerow Data'!$BJ$3:$BJ$15,MATCH(D167,'G-6 Hedgerow Data'!$B$3:$B$15,0)),"")</f>
        <v/>
      </c>
    </row>
    <row r="168" spans="2:33" ht="13.8" x14ac:dyDescent="0.25">
      <c r="B168" s="141">
        <v>157</v>
      </c>
      <c r="C168" s="205"/>
      <c r="D168" s="195"/>
      <c r="E168" s="172"/>
      <c r="F168" s="553" t="str">
        <f>IF(D168="","",VLOOKUP(D168,'G-6 Hedgerow Data'!$B$2:$AG$15,2,FALSE))</f>
        <v/>
      </c>
      <c r="G168" s="499" t="str">
        <f>IF(D168="","",VLOOKUP(D168,'G-6 Hedgerow Data'!$B$2:$AG$15,3,FALSE))</f>
        <v/>
      </c>
      <c r="H168" s="145"/>
      <c r="I168" s="499" t="str">
        <f>IFERROR(VLOOKUP(H168,'G-1 All Habitats'!$Z$2:$AA$9,2,FALSE),"")</f>
        <v/>
      </c>
      <c r="J168" s="145"/>
      <c r="K168" s="520" t="str">
        <f>IF(J168="","",IF(VLOOKUP(J168,'G-3 Multipliers'!$L$3:$N$6,2,FALSE)=0,"Spatial Data Missing ⚠",VLOOKUP(J168,'G-3 Multipliers'!$L$3:$N$6,2,FALSE)))</f>
        <v/>
      </c>
      <c r="L168" s="505" t="str">
        <f>IF(J168="","",IF(VLOOKUP(J168,'G-3 Multipliers'!$L$3:$N$6,3,FALSE)=0,"Spatial Data Missing ⚠",VLOOKUP(J168,'G-3 Multipliers'!$L$3:$N$6,3,FALSE)))</f>
        <v/>
      </c>
      <c r="M168" s="498" t="str">
        <f>IF(OR(D168="",H168=""),"",(INDEX('G-6 Hedgerow Data'!$E$3:$I$15,MATCH(D168,'G-6 Hedgerow Data'!$B$3:$B$15,0),MATCH(H168,'G-6 Hedgerow Data'!$E$2:$I$2,0))))</f>
        <v/>
      </c>
      <c r="N168" s="195"/>
      <c r="O168" s="195"/>
      <c r="P168" s="507" t="str">
        <f t="shared" si="13"/>
        <v/>
      </c>
      <c r="Q168" s="521" t="str">
        <f t="shared" si="14"/>
        <v/>
      </c>
      <c r="R168" s="522" t="str">
        <f t="shared" si="12"/>
        <v/>
      </c>
      <c r="S168" s="537" t="str">
        <f>IF(D168="","",VLOOKUP(D168,'G-6 Hedgerow Data'!$B$3:$AG$15,31,FALSE))</f>
        <v/>
      </c>
      <c r="T168" s="507" t="str">
        <f t="shared" si="15"/>
        <v/>
      </c>
      <c r="U168" s="507" t="str">
        <f t="shared" si="16"/>
        <v/>
      </c>
      <c r="V168" s="524" t="str">
        <f>IF(D168="","",VLOOKUP(S168,'G-3 Multipliers'!$P$3:$Q$6,2,FALSE))</f>
        <v/>
      </c>
      <c r="W168" s="529" t="str">
        <f t="shared" si="17"/>
        <v/>
      </c>
      <c r="X168" s="149"/>
      <c r="Y168" s="150"/>
      <c r="AG168" s="31" t="str">
        <f>IFERROR(INDEX('G-6 Hedgerow Data'!$BJ$3:$BJ$15,MATCH(D168,'G-6 Hedgerow Data'!$B$3:$B$15,0)),"")</f>
        <v/>
      </c>
    </row>
    <row r="169" spans="2:33" ht="13.8" x14ac:dyDescent="0.25">
      <c r="B169" s="141">
        <v>158</v>
      </c>
      <c r="C169" s="205"/>
      <c r="D169" s="195"/>
      <c r="E169" s="172"/>
      <c r="F169" s="553" t="str">
        <f>IF(D169="","",VLOOKUP(D169,'G-6 Hedgerow Data'!$B$2:$AG$15,2,FALSE))</f>
        <v/>
      </c>
      <c r="G169" s="499" t="str">
        <f>IF(D169="","",VLOOKUP(D169,'G-6 Hedgerow Data'!$B$2:$AG$15,3,FALSE))</f>
        <v/>
      </c>
      <c r="H169" s="145"/>
      <c r="I169" s="499" t="str">
        <f>IFERROR(VLOOKUP(H169,'G-1 All Habitats'!$Z$2:$AA$9,2,FALSE),"")</f>
        <v/>
      </c>
      <c r="J169" s="145"/>
      <c r="K169" s="520" t="str">
        <f>IF(J169="","",IF(VLOOKUP(J169,'G-3 Multipliers'!$L$3:$N$6,2,FALSE)=0,"Spatial Data Missing ⚠",VLOOKUP(J169,'G-3 Multipliers'!$L$3:$N$6,2,FALSE)))</f>
        <v/>
      </c>
      <c r="L169" s="505" t="str">
        <f>IF(J169="","",IF(VLOOKUP(J169,'G-3 Multipliers'!$L$3:$N$6,3,FALSE)=0,"Spatial Data Missing ⚠",VLOOKUP(J169,'G-3 Multipliers'!$L$3:$N$6,3,FALSE)))</f>
        <v/>
      </c>
      <c r="M169" s="498" t="str">
        <f>IF(OR(D169="",H169=""),"",(INDEX('G-6 Hedgerow Data'!$E$3:$I$15,MATCH(D169,'G-6 Hedgerow Data'!$B$3:$B$15,0),MATCH(H169,'G-6 Hedgerow Data'!$E$2:$I$2,0))))</f>
        <v/>
      </c>
      <c r="N169" s="195"/>
      <c r="O169" s="195"/>
      <c r="P169" s="507" t="str">
        <f t="shared" si="13"/>
        <v/>
      </c>
      <c r="Q169" s="521" t="str">
        <f t="shared" si="14"/>
        <v/>
      </c>
      <c r="R169" s="522" t="str">
        <f t="shared" si="12"/>
        <v/>
      </c>
      <c r="S169" s="537" t="str">
        <f>IF(D169="","",VLOOKUP(D169,'G-6 Hedgerow Data'!$B$3:$AG$15,31,FALSE))</f>
        <v/>
      </c>
      <c r="T169" s="507" t="str">
        <f t="shared" si="15"/>
        <v/>
      </c>
      <c r="U169" s="507" t="str">
        <f t="shared" si="16"/>
        <v/>
      </c>
      <c r="V169" s="524" t="str">
        <f>IF(D169="","",VLOOKUP(S169,'G-3 Multipliers'!$P$3:$Q$6,2,FALSE))</f>
        <v/>
      </c>
      <c r="W169" s="529" t="str">
        <f t="shared" si="17"/>
        <v/>
      </c>
      <c r="X169" s="149"/>
      <c r="Y169" s="150"/>
      <c r="AG169" s="31" t="str">
        <f>IFERROR(INDEX('G-6 Hedgerow Data'!$BJ$3:$BJ$15,MATCH(D169,'G-6 Hedgerow Data'!$B$3:$B$15,0)),"")</f>
        <v/>
      </c>
    </row>
    <row r="170" spans="2:33" ht="13.8" x14ac:dyDescent="0.25">
      <c r="B170" s="141">
        <v>159</v>
      </c>
      <c r="C170" s="205"/>
      <c r="D170" s="195"/>
      <c r="E170" s="172"/>
      <c r="F170" s="553" t="str">
        <f>IF(D170="","",VLOOKUP(D170,'G-6 Hedgerow Data'!$B$2:$AG$15,2,FALSE))</f>
        <v/>
      </c>
      <c r="G170" s="499" t="str">
        <f>IF(D170="","",VLOOKUP(D170,'G-6 Hedgerow Data'!$B$2:$AG$15,3,FALSE))</f>
        <v/>
      </c>
      <c r="H170" s="145"/>
      <c r="I170" s="499" t="str">
        <f>IFERROR(VLOOKUP(H170,'G-1 All Habitats'!$Z$2:$AA$9,2,FALSE),"")</f>
        <v/>
      </c>
      <c r="J170" s="145"/>
      <c r="K170" s="520" t="str">
        <f>IF(J170="","",IF(VLOOKUP(J170,'G-3 Multipliers'!$L$3:$N$6,2,FALSE)=0,"Spatial Data Missing ⚠",VLOOKUP(J170,'G-3 Multipliers'!$L$3:$N$6,2,FALSE)))</f>
        <v/>
      </c>
      <c r="L170" s="505" t="str">
        <f>IF(J170="","",IF(VLOOKUP(J170,'G-3 Multipliers'!$L$3:$N$6,3,FALSE)=0,"Spatial Data Missing ⚠",VLOOKUP(J170,'G-3 Multipliers'!$L$3:$N$6,3,FALSE)))</f>
        <v/>
      </c>
      <c r="M170" s="498" t="str">
        <f>IF(OR(D170="",H170=""),"",(INDEX('G-6 Hedgerow Data'!$E$3:$I$15,MATCH(D170,'G-6 Hedgerow Data'!$B$3:$B$15,0),MATCH(H170,'G-6 Hedgerow Data'!$E$2:$I$2,0))))</f>
        <v/>
      </c>
      <c r="N170" s="195"/>
      <c r="O170" s="195"/>
      <c r="P170" s="507" t="str">
        <f t="shared" si="13"/>
        <v/>
      </c>
      <c r="Q170" s="521" t="str">
        <f t="shared" si="14"/>
        <v/>
      </c>
      <c r="R170" s="522" t="str">
        <f t="shared" si="12"/>
        <v/>
      </c>
      <c r="S170" s="537" t="str">
        <f>IF(D170="","",VLOOKUP(D170,'G-6 Hedgerow Data'!$B$3:$AG$15,31,FALSE))</f>
        <v/>
      </c>
      <c r="T170" s="507" t="str">
        <f t="shared" si="15"/>
        <v/>
      </c>
      <c r="U170" s="507" t="str">
        <f t="shared" si="16"/>
        <v/>
      </c>
      <c r="V170" s="524" t="str">
        <f>IF(D170="","",VLOOKUP(S170,'G-3 Multipliers'!$P$3:$Q$6,2,FALSE))</f>
        <v/>
      </c>
      <c r="W170" s="529" t="str">
        <f t="shared" si="17"/>
        <v/>
      </c>
      <c r="X170" s="149"/>
      <c r="Y170" s="150"/>
      <c r="AG170" s="31" t="str">
        <f>IFERROR(INDEX('G-6 Hedgerow Data'!$BJ$3:$BJ$15,MATCH(D170,'G-6 Hedgerow Data'!$B$3:$B$15,0)),"")</f>
        <v/>
      </c>
    </row>
    <row r="171" spans="2:33" ht="13.8" x14ac:dyDescent="0.25">
      <c r="B171" s="141">
        <v>160</v>
      </c>
      <c r="C171" s="205"/>
      <c r="D171" s="195"/>
      <c r="E171" s="172"/>
      <c r="F171" s="553" t="str">
        <f>IF(D171="","",VLOOKUP(D171,'G-6 Hedgerow Data'!$B$2:$AG$15,2,FALSE))</f>
        <v/>
      </c>
      <c r="G171" s="499" t="str">
        <f>IF(D171="","",VLOOKUP(D171,'G-6 Hedgerow Data'!$B$2:$AG$15,3,FALSE))</f>
        <v/>
      </c>
      <c r="H171" s="145"/>
      <c r="I171" s="499" t="str">
        <f>IFERROR(VLOOKUP(H171,'G-1 All Habitats'!$Z$2:$AA$9,2,FALSE),"")</f>
        <v/>
      </c>
      <c r="J171" s="145"/>
      <c r="K171" s="520" t="str">
        <f>IF(J171="","",IF(VLOOKUP(J171,'G-3 Multipliers'!$L$3:$N$6,2,FALSE)=0,"Spatial Data Missing ⚠",VLOOKUP(J171,'G-3 Multipliers'!$L$3:$N$6,2,FALSE)))</f>
        <v/>
      </c>
      <c r="L171" s="505" t="str">
        <f>IF(J171="","",IF(VLOOKUP(J171,'G-3 Multipliers'!$L$3:$N$6,3,FALSE)=0,"Spatial Data Missing ⚠",VLOOKUP(J171,'G-3 Multipliers'!$L$3:$N$6,3,FALSE)))</f>
        <v/>
      </c>
      <c r="M171" s="498" t="str">
        <f>IF(OR(D171="",H171=""),"",(INDEX('G-6 Hedgerow Data'!$E$3:$I$15,MATCH(D171,'G-6 Hedgerow Data'!$B$3:$B$15,0),MATCH(H171,'G-6 Hedgerow Data'!$E$2:$I$2,0))))</f>
        <v/>
      </c>
      <c r="N171" s="195"/>
      <c r="O171" s="195"/>
      <c r="P171" s="507" t="str">
        <f t="shared" si="13"/>
        <v/>
      </c>
      <c r="Q171" s="521" t="str">
        <f t="shared" si="14"/>
        <v/>
      </c>
      <c r="R171" s="522" t="str">
        <f t="shared" si="12"/>
        <v/>
      </c>
      <c r="S171" s="537" t="str">
        <f>IF(D171="","",VLOOKUP(D171,'G-6 Hedgerow Data'!$B$3:$AG$15,31,FALSE))</f>
        <v/>
      </c>
      <c r="T171" s="507" t="str">
        <f t="shared" si="15"/>
        <v/>
      </c>
      <c r="U171" s="507" t="str">
        <f t="shared" si="16"/>
        <v/>
      </c>
      <c r="V171" s="524" t="str">
        <f>IF(D171="","",VLOOKUP(S171,'G-3 Multipliers'!$P$3:$Q$6,2,FALSE))</f>
        <v/>
      </c>
      <c r="W171" s="529" t="str">
        <f t="shared" si="17"/>
        <v/>
      </c>
      <c r="X171" s="149"/>
      <c r="Y171" s="150"/>
      <c r="AG171" s="31" t="str">
        <f>IFERROR(INDEX('G-6 Hedgerow Data'!$BJ$3:$BJ$15,MATCH(D171,'G-6 Hedgerow Data'!$B$3:$B$15,0)),"")</f>
        <v/>
      </c>
    </row>
    <row r="172" spans="2:33" ht="13.8" x14ac:dyDescent="0.25">
      <c r="B172" s="141">
        <v>161</v>
      </c>
      <c r="C172" s="205"/>
      <c r="D172" s="195"/>
      <c r="E172" s="172"/>
      <c r="F172" s="553" t="str">
        <f>IF(D172="","",VLOOKUP(D172,'G-6 Hedgerow Data'!$B$2:$AG$15,2,FALSE))</f>
        <v/>
      </c>
      <c r="G172" s="499" t="str">
        <f>IF(D172="","",VLOOKUP(D172,'G-6 Hedgerow Data'!$B$2:$AG$15,3,FALSE))</f>
        <v/>
      </c>
      <c r="H172" s="145"/>
      <c r="I172" s="499" t="str">
        <f>IFERROR(VLOOKUP(H172,'G-1 All Habitats'!$Z$2:$AA$9,2,FALSE),"")</f>
        <v/>
      </c>
      <c r="J172" s="145"/>
      <c r="K172" s="520" t="str">
        <f>IF(J172="","",IF(VLOOKUP(J172,'G-3 Multipliers'!$L$3:$N$6,2,FALSE)=0,"Spatial Data Missing ⚠",VLOOKUP(J172,'G-3 Multipliers'!$L$3:$N$6,2,FALSE)))</f>
        <v/>
      </c>
      <c r="L172" s="505" t="str">
        <f>IF(J172="","",IF(VLOOKUP(J172,'G-3 Multipliers'!$L$3:$N$6,3,FALSE)=0,"Spatial Data Missing ⚠",VLOOKUP(J172,'G-3 Multipliers'!$L$3:$N$6,3,FALSE)))</f>
        <v/>
      </c>
      <c r="M172" s="498" t="str">
        <f>IF(OR(D172="",H172=""),"",(INDEX('G-6 Hedgerow Data'!$E$3:$I$15,MATCH(D172,'G-6 Hedgerow Data'!$B$3:$B$15,0),MATCH(H172,'G-6 Hedgerow Data'!$E$2:$I$2,0))))</f>
        <v/>
      </c>
      <c r="N172" s="195"/>
      <c r="O172" s="195"/>
      <c r="P172" s="507" t="str">
        <f t="shared" si="13"/>
        <v/>
      </c>
      <c r="Q172" s="521" t="str">
        <f t="shared" si="14"/>
        <v/>
      </c>
      <c r="R172" s="522" t="str">
        <f t="shared" si="12"/>
        <v/>
      </c>
      <c r="S172" s="537" t="str">
        <f>IF(D172="","",VLOOKUP(D172,'G-6 Hedgerow Data'!$B$3:$AG$15,31,FALSE))</f>
        <v/>
      </c>
      <c r="T172" s="507" t="str">
        <f t="shared" si="15"/>
        <v/>
      </c>
      <c r="U172" s="507" t="str">
        <f t="shared" si="16"/>
        <v/>
      </c>
      <c r="V172" s="524" t="str">
        <f>IF(D172="","",VLOOKUP(S172,'G-3 Multipliers'!$P$3:$Q$6,2,FALSE))</f>
        <v/>
      </c>
      <c r="W172" s="529" t="str">
        <f t="shared" si="17"/>
        <v/>
      </c>
      <c r="X172" s="149"/>
      <c r="Y172" s="150"/>
      <c r="AG172" s="31" t="str">
        <f>IFERROR(INDEX('G-6 Hedgerow Data'!$BJ$3:$BJ$15,MATCH(D172,'G-6 Hedgerow Data'!$B$3:$B$15,0)),"")</f>
        <v/>
      </c>
    </row>
    <row r="173" spans="2:33" ht="13.8" x14ac:dyDescent="0.25">
      <c r="B173" s="141">
        <v>162</v>
      </c>
      <c r="C173" s="205"/>
      <c r="D173" s="195"/>
      <c r="E173" s="172"/>
      <c r="F173" s="553" t="str">
        <f>IF(D173="","",VLOOKUP(D173,'G-6 Hedgerow Data'!$B$2:$AG$15,2,FALSE))</f>
        <v/>
      </c>
      <c r="G173" s="499" t="str">
        <f>IF(D173="","",VLOOKUP(D173,'G-6 Hedgerow Data'!$B$2:$AG$15,3,FALSE))</f>
        <v/>
      </c>
      <c r="H173" s="145"/>
      <c r="I173" s="499" t="str">
        <f>IFERROR(VLOOKUP(H173,'G-1 All Habitats'!$Z$2:$AA$9,2,FALSE),"")</f>
        <v/>
      </c>
      <c r="J173" s="145"/>
      <c r="K173" s="520" t="str">
        <f>IF(J173="","",IF(VLOOKUP(J173,'G-3 Multipliers'!$L$3:$N$6,2,FALSE)=0,"Spatial Data Missing ⚠",VLOOKUP(J173,'G-3 Multipliers'!$L$3:$N$6,2,FALSE)))</f>
        <v/>
      </c>
      <c r="L173" s="505" t="str">
        <f>IF(J173="","",IF(VLOOKUP(J173,'G-3 Multipliers'!$L$3:$N$6,3,FALSE)=0,"Spatial Data Missing ⚠",VLOOKUP(J173,'G-3 Multipliers'!$L$3:$N$6,3,FALSE)))</f>
        <v/>
      </c>
      <c r="M173" s="498" t="str">
        <f>IF(OR(D173="",H173=""),"",(INDEX('G-6 Hedgerow Data'!$E$3:$I$15,MATCH(D173,'G-6 Hedgerow Data'!$B$3:$B$15,0),MATCH(H173,'G-6 Hedgerow Data'!$E$2:$I$2,0))))</f>
        <v/>
      </c>
      <c r="N173" s="195"/>
      <c r="O173" s="195"/>
      <c r="P173" s="507" t="str">
        <f t="shared" si="13"/>
        <v/>
      </c>
      <c r="Q173" s="521" t="str">
        <f t="shared" si="14"/>
        <v/>
      </c>
      <c r="R173" s="522" t="str">
        <f t="shared" si="12"/>
        <v/>
      </c>
      <c r="S173" s="537" t="str">
        <f>IF(D173="","",VLOOKUP(D173,'G-6 Hedgerow Data'!$B$3:$AG$15,31,FALSE))</f>
        <v/>
      </c>
      <c r="T173" s="507" t="str">
        <f t="shared" si="15"/>
        <v/>
      </c>
      <c r="U173" s="507" t="str">
        <f t="shared" si="16"/>
        <v/>
      </c>
      <c r="V173" s="524" t="str">
        <f>IF(D173="","",VLOOKUP(S173,'G-3 Multipliers'!$P$3:$Q$6,2,FALSE))</f>
        <v/>
      </c>
      <c r="W173" s="529" t="str">
        <f t="shared" si="17"/>
        <v/>
      </c>
      <c r="X173" s="149"/>
      <c r="Y173" s="150"/>
      <c r="AG173" s="31" t="str">
        <f>IFERROR(INDEX('G-6 Hedgerow Data'!$BJ$3:$BJ$15,MATCH(D173,'G-6 Hedgerow Data'!$B$3:$B$15,0)),"")</f>
        <v/>
      </c>
    </row>
    <row r="174" spans="2:33" ht="13.8" x14ac:dyDescent="0.25">
      <c r="B174" s="141">
        <v>163</v>
      </c>
      <c r="C174" s="205"/>
      <c r="D174" s="195"/>
      <c r="E174" s="172"/>
      <c r="F174" s="553" t="str">
        <f>IF(D174="","",VLOOKUP(D174,'G-6 Hedgerow Data'!$B$2:$AG$15,2,FALSE))</f>
        <v/>
      </c>
      <c r="G174" s="499" t="str">
        <f>IF(D174="","",VLOOKUP(D174,'G-6 Hedgerow Data'!$B$2:$AG$15,3,FALSE))</f>
        <v/>
      </c>
      <c r="H174" s="145"/>
      <c r="I174" s="499" t="str">
        <f>IFERROR(VLOOKUP(H174,'G-1 All Habitats'!$Z$2:$AA$9,2,FALSE),"")</f>
        <v/>
      </c>
      <c r="J174" s="145"/>
      <c r="K174" s="520" t="str">
        <f>IF(J174="","",IF(VLOOKUP(J174,'G-3 Multipliers'!$L$3:$N$6,2,FALSE)=0,"Spatial Data Missing ⚠",VLOOKUP(J174,'G-3 Multipliers'!$L$3:$N$6,2,FALSE)))</f>
        <v/>
      </c>
      <c r="L174" s="505" t="str">
        <f>IF(J174="","",IF(VLOOKUP(J174,'G-3 Multipliers'!$L$3:$N$6,3,FALSE)=0,"Spatial Data Missing ⚠",VLOOKUP(J174,'G-3 Multipliers'!$L$3:$N$6,3,FALSE)))</f>
        <v/>
      </c>
      <c r="M174" s="498" t="str">
        <f>IF(OR(D174="",H174=""),"",(INDEX('G-6 Hedgerow Data'!$E$3:$I$15,MATCH(D174,'G-6 Hedgerow Data'!$B$3:$B$15,0),MATCH(H174,'G-6 Hedgerow Data'!$E$2:$I$2,0))))</f>
        <v/>
      </c>
      <c r="N174" s="195"/>
      <c r="O174" s="195"/>
      <c r="P174" s="507" t="str">
        <f t="shared" si="13"/>
        <v/>
      </c>
      <c r="Q174" s="521" t="str">
        <f t="shared" si="14"/>
        <v/>
      </c>
      <c r="R174" s="522" t="str">
        <f t="shared" si="12"/>
        <v/>
      </c>
      <c r="S174" s="537" t="str">
        <f>IF(D174="","",VLOOKUP(D174,'G-6 Hedgerow Data'!$B$3:$AG$15,31,FALSE))</f>
        <v/>
      </c>
      <c r="T174" s="507" t="str">
        <f t="shared" si="15"/>
        <v/>
      </c>
      <c r="U174" s="507" t="str">
        <f t="shared" si="16"/>
        <v/>
      </c>
      <c r="V174" s="524" t="str">
        <f>IF(D174="","",VLOOKUP(S174,'G-3 Multipliers'!$P$3:$Q$6,2,FALSE))</f>
        <v/>
      </c>
      <c r="W174" s="529" t="str">
        <f t="shared" si="17"/>
        <v/>
      </c>
      <c r="X174" s="149"/>
      <c r="Y174" s="150"/>
      <c r="AG174" s="31" t="str">
        <f>IFERROR(INDEX('G-6 Hedgerow Data'!$BJ$3:$BJ$15,MATCH(D174,'G-6 Hedgerow Data'!$B$3:$B$15,0)),"")</f>
        <v/>
      </c>
    </row>
    <row r="175" spans="2:33" ht="13.8" x14ac:dyDescent="0.25">
      <c r="B175" s="141">
        <v>164</v>
      </c>
      <c r="C175" s="205"/>
      <c r="D175" s="195"/>
      <c r="E175" s="172"/>
      <c r="F175" s="553" t="str">
        <f>IF(D175="","",VLOOKUP(D175,'G-6 Hedgerow Data'!$B$2:$AG$15,2,FALSE))</f>
        <v/>
      </c>
      <c r="G175" s="499" t="str">
        <f>IF(D175="","",VLOOKUP(D175,'G-6 Hedgerow Data'!$B$2:$AG$15,3,FALSE))</f>
        <v/>
      </c>
      <c r="H175" s="145"/>
      <c r="I175" s="499" t="str">
        <f>IFERROR(VLOOKUP(H175,'G-1 All Habitats'!$Z$2:$AA$9,2,FALSE),"")</f>
        <v/>
      </c>
      <c r="J175" s="145"/>
      <c r="K175" s="520" t="str">
        <f>IF(J175="","",IF(VLOOKUP(J175,'G-3 Multipliers'!$L$3:$N$6,2,FALSE)=0,"Spatial Data Missing ⚠",VLOOKUP(J175,'G-3 Multipliers'!$L$3:$N$6,2,FALSE)))</f>
        <v/>
      </c>
      <c r="L175" s="505" t="str">
        <f>IF(J175="","",IF(VLOOKUP(J175,'G-3 Multipliers'!$L$3:$N$6,3,FALSE)=0,"Spatial Data Missing ⚠",VLOOKUP(J175,'G-3 Multipliers'!$L$3:$N$6,3,FALSE)))</f>
        <v/>
      </c>
      <c r="M175" s="498" t="str">
        <f>IF(OR(D175="",H175=""),"",(INDEX('G-6 Hedgerow Data'!$E$3:$I$15,MATCH(D175,'G-6 Hedgerow Data'!$B$3:$B$15,0),MATCH(H175,'G-6 Hedgerow Data'!$E$2:$I$2,0))))</f>
        <v/>
      </c>
      <c r="N175" s="195"/>
      <c r="O175" s="195"/>
      <c r="P175" s="507" t="str">
        <f t="shared" si="13"/>
        <v/>
      </c>
      <c r="Q175" s="521" t="str">
        <f t="shared" si="14"/>
        <v/>
      </c>
      <c r="R175" s="522" t="str">
        <f t="shared" si="12"/>
        <v/>
      </c>
      <c r="S175" s="537" t="str">
        <f>IF(D175="","",VLOOKUP(D175,'G-6 Hedgerow Data'!$B$3:$AG$15,31,FALSE))</f>
        <v/>
      </c>
      <c r="T175" s="507" t="str">
        <f t="shared" si="15"/>
        <v/>
      </c>
      <c r="U175" s="507" t="str">
        <f t="shared" si="16"/>
        <v/>
      </c>
      <c r="V175" s="524" t="str">
        <f>IF(D175="","",VLOOKUP(S175,'G-3 Multipliers'!$P$3:$Q$6,2,FALSE))</f>
        <v/>
      </c>
      <c r="W175" s="529" t="str">
        <f t="shared" si="17"/>
        <v/>
      </c>
      <c r="X175" s="149"/>
      <c r="Y175" s="150"/>
      <c r="AG175" s="31" t="str">
        <f>IFERROR(INDEX('G-6 Hedgerow Data'!$BJ$3:$BJ$15,MATCH(D175,'G-6 Hedgerow Data'!$B$3:$B$15,0)),"")</f>
        <v/>
      </c>
    </row>
    <row r="176" spans="2:33" ht="13.8" x14ac:dyDescent="0.25">
      <c r="B176" s="141">
        <v>165</v>
      </c>
      <c r="C176" s="205"/>
      <c r="D176" s="195"/>
      <c r="E176" s="172"/>
      <c r="F176" s="553" t="str">
        <f>IF(D176="","",VLOOKUP(D176,'G-6 Hedgerow Data'!$B$2:$AG$15,2,FALSE))</f>
        <v/>
      </c>
      <c r="G176" s="499" t="str">
        <f>IF(D176="","",VLOOKUP(D176,'G-6 Hedgerow Data'!$B$2:$AG$15,3,FALSE))</f>
        <v/>
      </c>
      <c r="H176" s="145"/>
      <c r="I176" s="499" t="str">
        <f>IFERROR(VLOOKUP(H176,'G-1 All Habitats'!$Z$2:$AA$9,2,FALSE),"")</f>
        <v/>
      </c>
      <c r="J176" s="145"/>
      <c r="K176" s="520" t="str">
        <f>IF(J176="","",IF(VLOOKUP(J176,'G-3 Multipliers'!$L$3:$N$6,2,FALSE)=0,"Spatial Data Missing ⚠",VLOOKUP(J176,'G-3 Multipliers'!$L$3:$N$6,2,FALSE)))</f>
        <v/>
      </c>
      <c r="L176" s="505" t="str">
        <f>IF(J176="","",IF(VLOOKUP(J176,'G-3 Multipliers'!$L$3:$N$6,3,FALSE)=0,"Spatial Data Missing ⚠",VLOOKUP(J176,'G-3 Multipliers'!$L$3:$N$6,3,FALSE)))</f>
        <v/>
      </c>
      <c r="M176" s="498" t="str">
        <f>IF(OR(D176="",H176=""),"",(INDEX('G-6 Hedgerow Data'!$E$3:$I$15,MATCH(D176,'G-6 Hedgerow Data'!$B$3:$B$15,0),MATCH(H176,'G-6 Hedgerow Data'!$E$2:$I$2,0))))</f>
        <v/>
      </c>
      <c r="N176" s="195"/>
      <c r="O176" s="195"/>
      <c r="P176" s="507" t="str">
        <f t="shared" si="13"/>
        <v/>
      </c>
      <c r="Q176" s="521" t="str">
        <f t="shared" si="14"/>
        <v/>
      </c>
      <c r="R176" s="522" t="str">
        <f t="shared" si="12"/>
        <v/>
      </c>
      <c r="S176" s="537" t="str">
        <f>IF(D176="","",VLOOKUP(D176,'G-6 Hedgerow Data'!$B$3:$AG$15,31,FALSE))</f>
        <v/>
      </c>
      <c r="T176" s="507" t="str">
        <f t="shared" si="15"/>
        <v/>
      </c>
      <c r="U176" s="507" t="str">
        <f t="shared" si="16"/>
        <v/>
      </c>
      <c r="V176" s="524" t="str">
        <f>IF(D176="","",VLOOKUP(S176,'G-3 Multipliers'!$P$3:$Q$6,2,FALSE))</f>
        <v/>
      </c>
      <c r="W176" s="529" t="str">
        <f t="shared" si="17"/>
        <v/>
      </c>
      <c r="X176" s="149"/>
      <c r="Y176" s="150"/>
      <c r="AG176" s="31" t="str">
        <f>IFERROR(INDEX('G-6 Hedgerow Data'!$BJ$3:$BJ$15,MATCH(D176,'G-6 Hedgerow Data'!$B$3:$B$15,0)),"")</f>
        <v/>
      </c>
    </row>
    <row r="177" spans="2:33" ht="13.8" x14ac:dyDescent="0.25">
      <c r="B177" s="141">
        <v>166</v>
      </c>
      <c r="C177" s="205"/>
      <c r="D177" s="195"/>
      <c r="E177" s="172"/>
      <c r="F177" s="553" t="str">
        <f>IF(D177="","",VLOOKUP(D177,'G-6 Hedgerow Data'!$B$2:$AG$15,2,FALSE))</f>
        <v/>
      </c>
      <c r="G177" s="499" t="str">
        <f>IF(D177="","",VLOOKUP(D177,'G-6 Hedgerow Data'!$B$2:$AG$15,3,FALSE))</f>
        <v/>
      </c>
      <c r="H177" s="145"/>
      <c r="I177" s="499" t="str">
        <f>IFERROR(VLOOKUP(H177,'G-1 All Habitats'!$Z$2:$AA$9,2,FALSE),"")</f>
        <v/>
      </c>
      <c r="J177" s="145"/>
      <c r="K177" s="520" t="str">
        <f>IF(J177="","",IF(VLOOKUP(J177,'G-3 Multipliers'!$L$3:$N$6,2,FALSE)=0,"Spatial Data Missing ⚠",VLOOKUP(J177,'G-3 Multipliers'!$L$3:$N$6,2,FALSE)))</f>
        <v/>
      </c>
      <c r="L177" s="505" t="str">
        <f>IF(J177="","",IF(VLOOKUP(J177,'G-3 Multipliers'!$L$3:$N$6,3,FALSE)=0,"Spatial Data Missing ⚠",VLOOKUP(J177,'G-3 Multipliers'!$L$3:$N$6,3,FALSE)))</f>
        <v/>
      </c>
      <c r="M177" s="498" t="str">
        <f>IF(OR(D177="",H177=""),"",(INDEX('G-6 Hedgerow Data'!$E$3:$I$15,MATCH(D177,'G-6 Hedgerow Data'!$B$3:$B$15,0),MATCH(H177,'G-6 Hedgerow Data'!$E$2:$I$2,0))))</f>
        <v/>
      </c>
      <c r="N177" s="195"/>
      <c r="O177" s="195"/>
      <c r="P177" s="507" t="str">
        <f t="shared" si="13"/>
        <v/>
      </c>
      <c r="Q177" s="521" t="str">
        <f t="shared" si="14"/>
        <v/>
      </c>
      <c r="R177" s="522" t="str">
        <f t="shared" si="12"/>
        <v/>
      </c>
      <c r="S177" s="537" t="str">
        <f>IF(D177="","",VLOOKUP(D177,'G-6 Hedgerow Data'!$B$3:$AG$15,31,FALSE))</f>
        <v/>
      </c>
      <c r="T177" s="507" t="str">
        <f t="shared" si="15"/>
        <v/>
      </c>
      <c r="U177" s="507" t="str">
        <f t="shared" si="16"/>
        <v/>
      </c>
      <c r="V177" s="524" t="str">
        <f>IF(D177="","",VLOOKUP(S177,'G-3 Multipliers'!$P$3:$Q$6,2,FALSE))</f>
        <v/>
      </c>
      <c r="W177" s="529" t="str">
        <f t="shared" si="17"/>
        <v/>
      </c>
      <c r="X177" s="149"/>
      <c r="Y177" s="150"/>
      <c r="AG177" s="31" t="str">
        <f>IFERROR(INDEX('G-6 Hedgerow Data'!$BJ$3:$BJ$15,MATCH(D177,'G-6 Hedgerow Data'!$B$3:$B$15,0)),"")</f>
        <v/>
      </c>
    </row>
    <row r="178" spans="2:33" ht="13.8" x14ac:dyDescent="0.25">
      <c r="B178" s="141">
        <v>167</v>
      </c>
      <c r="C178" s="205"/>
      <c r="D178" s="195"/>
      <c r="E178" s="172"/>
      <c r="F178" s="553" t="str">
        <f>IF(D178="","",VLOOKUP(D178,'G-6 Hedgerow Data'!$B$2:$AG$15,2,FALSE))</f>
        <v/>
      </c>
      <c r="G178" s="499" t="str">
        <f>IF(D178="","",VLOOKUP(D178,'G-6 Hedgerow Data'!$B$2:$AG$15,3,FALSE))</f>
        <v/>
      </c>
      <c r="H178" s="145"/>
      <c r="I178" s="499" t="str">
        <f>IFERROR(VLOOKUP(H178,'G-1 All Habitats'!$Z$2:$AA$9,2,FALSE),"")</f>
        <v/>
      </c>
      <c r="J178" s="145"/>
      <c r="K178" s="520" t="str">
        <f>IF(J178="","",IF(VLOOKUP(J178,'G-3 Multipliers'!$L$3:$N$6,2,FALSE)=0,"Spatial Data Missing ⚠",VLOOKUP(J178,'G-3 Multipliers'!$L$3:$N$6,2,FALSE)))</f>
        <v/>
      </c>
      <c r="L178" s="505" t="str">
        <f>IF(J178="","",IF(VLOOKUP(J178,'G-3 Multipliers'!$L$3:$N$6,3,FALSE)=0,"Spatial Data Missing ⚠",VLOOKUP(J178,'G-3 Multipliers'!$L$3:$N$6,3,FALSE)))</f>
        <v/>
      </c>
      <c r="M178" s="498" t="str">
        <f>IF(OR(D178="",H178=""),"",(INDEX('G-6 Hedgerow Data'!$E$3:$I$15,MATCH(D178,'G-6 Hedgerow Data'!$B$3:$B$15,0),MATCH(H178,'G-6 Hedgerow Data'!$E$2:$I$2,0))))</f>
        <v/>
      </c>
      <c r="N178" s="195"/>
      <c r="O178" s="195"/>
      <c r="P178" s="507" t="str">
        <f t="shared" si="13"/>
        <v/>
      </c>
      <c r="Q178" s="521" t="str">
        <f t="shared" si="14"/>
        <v/>
      </c>
      <c r="R178" s="522" t="str">
        <f t="shared" si="12"/>
        <v/>
      </c>
      <c r="S178" s="537" t="str">
        <f>IF(D178="","",VLOOKUP(D178,'G-6 Hedgerow Data'!$B$3:$AG$15,31,FALSE))</f>
        <v/>
      </c>
      <c r="T178" s="507" t="str">
        <f t="shared" si="15"/>
        <v/>
      </c>
      <c r="U178" s="507" t="str">
        <f t="shared" si="16"/>
        <v/>
      </c>
      <c r="V178" s="524" t="str">
        <f>IF(D178="","",VLOOKUP(S178,'G-3 Multipliers'!$P$3:$Q$6,2,FALSE))</f>
        <v/>
      </c>
      <c r="W178" s="529" t="str">
        <f t="shared" si="17"/>
        <v/>
      </c>
      <c r="X178" s="149"/>
      <c r="Y178" s="150"/>
      <c r="AG178" s="31" t="str">
        <f>IFERROR(INDEX('G-6 Hedgerow Data'!$BJ$3:$BJ$15,MATCH(D178,'G-6 Hedgerow Data'!$B$3:$B$15,0)),"")</f>
        <v/>
      </c>
    </row>
    <row r="179" spans="2:33" ht="13.8" x14ac:dyDescent="0.25">
      <c r="B179" s="141">
        <v>168</v>
      </c>
      <c r="C179" s="205"/>
      <c r="D179" s="195"/>
      <c r="E179" s="172"/>
      <c r="F179" s="553" t="str">
        <f>IF(D179="","",VLOOKUP(D179,'G-6 Hedgerow Data'!$B$2:$AG$15,2,FALSE))</f>
        <v/>
      </c>
      <c r="G179" s="499" t="str">
        <f>IF(D179="","",VLOOKUP(D179,'G-6 Hedgerow Data'!$B$2:$AG$15,3,FALSE))</f>
        <v/>
      </c>
      <c r="H179" s="145"/>
      <c r="I179" s="499" t="str">
        <f>IFERROR(VLOOKUP(H179,'G-1 All Habitats'!$Z$2:$AA$9,2,FALSE),"")</f>
        <v/>
      </c>
      <c r="J179" s="145"/>
      <c r="K179" s="520" t="str">
        <f>IF(J179="","",IF(VLOOKUP(J179,'G-3 Multipliers'!$L$3:$N$6,2,FALSE)=0,"Spatial Data Missing ⚠",VLOOKUP(J179,'G-3 Multipliers'!$L$3:$N$6,2,FALSE)))</f>
        <v/>
      </c>
      <c r="L179" s="505" t="str">
        <f>IF(J179="","",IF(VLOOKUP(J179,'G-3 Multipliers'!$L$3:$N$6,3,FALSE)=0,"Spatial Data Missing ⚠",VLOOKUP(J179,'G-3 Multipliers'!$L$3:$N$6,3,FALSE)))</f>
        <v/>
      </c>
      <c r="M179" s="498" t="str">
        <f>IF(OR(D179="",H179=""),"",(INDEX('G-6 Hedgerow Data'!$E$3:$I$15,MATCH(D179,'G-6 Hedgerow Data'!$B$3:$B$15,0),MATCH(H179,'G-6 Hedgerow Data'!$E$2:$I$2,0))))</f>
        <v/>
      </c>
      <c r="N179" s="195"/>
      <c r="O179" s="195"/>
      <c r="P179" s="507" t="str">
        <f t="shared" si="13"/>
        <v/>
      </c>
      <c r="Q179" s="521" t="str">
        <f t="shared" si="14"/>
        <v/>
      </c>
      <c r="R179" s="522" t="str">
        <f t="shared" si="12"/>
        <v/>
      </c>
      <c r="S179" s="537" t="str">
        <f>IF(D179="","",VLOOKUP(D179,'G-6 Hedgerow Data'!$B$3:$AG$15,31,FALSE))</f>
        <v/>
      </c>
      <c r="T179" s="507" t="str">
        <f t="shared" si="15"/>
        <v/>
      </c>
      <c r="U179" s="507" t="str">
        <f t="shared" si="16"/>
        <v/>
      </c>
      <c r="V179" s="524" t="str">
        <f>IF(D179="","",VLOOKUP(S179,'G-3 Multipliers'!$P$3:$Q$6,2,FALSE))</f>
        <v/>
      </c>
      <c r="W179" s="529" t="str">
        <f t="shared" si="17"/>
        <v/>
      </c>
      <c r="X179" s="149"/>
      <c r="Y179" s="150"/>
      <c r="AG179" s="31" t="str">
        <f>IFERROR(INDEX('G-6 Hedgerow Data'!$BJ$3:$BJ$15,MATCH(D179,'G-6 Hedgerow Data'!$B$3:$B$15,0)),"")</f>
        <v/>
      </c>
    </row>
    <row r="180" spans="2:33" ht="13.8" x14ac:dyDescent="0.25">
      <c r="B180" s="141">
        <v>169</v>
      </c>
      <c r="C180" s="205"/>
      <c r="D180" s="195"/>
      <c r="E180" s="172"/>
      <c r="F180" s="553" t="str">
        <f>IF(D180="","",VLOOKUP(D180,'G-6 Hedgerow Data'!$B$2:$AG$15,2,FALSE))</f>
        <v/>
      </c>
      <c r="G180" s="499" t="str">
        <f>IF(D180="","",VLOOKUP(D180,'G-6 Hedgerow Data'!$B$2:$AG$15,3,FALSE))</f>
        <v/>
      </c>
      <c r="H180" s="145"/>
      <c r="I180" s="499" t="str">
        <f>IFERROR(VLOOKUP(H180,'G-1 All Habitats'!$Z$2:$AA$9,2,FALSE),"")</f>
        <v/>
      </c>
      <c r="J180" s="145"/>
      <c r="K180" s="520" t="str">
        <f>IF(J180="","",IF(VLOOKUP(J180,'G-3 Multipliers'!$L$3:$N$6,2,FALSE)=0,"Spatial Data Missing ⚠",VLOOKUP(J180,'G-3 Multipliers'!$L$3:$N$6,2,FALSE)))</f>
        <v/>
      </c>
      <c r="L180" s="505" t="str">
        <f>IF(J180="","",IF(VLOOKUP(J180,'G-3 Multipliers'!$L$3:$N$6,3,FALSE)=0,"Spatial Data Missing ⚠",VLOOKUP(J180,'G-3 Multipliers'!$L$3:$N$6,3,FALSE)))</f>
        <v/>
      </c>
      <c r="M180" s="498" t="str">
        <f>IF(OR(D180="",H180=""),"",(INDEX('G-6 Hedgerow Data'!$E$3:$I$15,MATCH(D180,'G-6 Hedgerow Data'!$B$3:$B$15,0),MATCH(H180,'G-6 Hedgerow Data'!$E$2:$I$2,0))))</f>
        <v/>
      </c>
      <c r="N180" s="195"/>
      <c r="O180" s="195"/>
      <c r="P180" s="507" t="str">
        <f t="shared" si="13"/>
        <v/>
      </c>
      <c r="Q180" s="521" t="str">
        <f t="shared" si="14"/>
        <v/>
      </c>
      <c r="R180" s="522" t="str">
        <f t="shared" si="12"/>
        <v/>
      </c>
      <c r="S180" s="537" t="str">
        <f>IF(D180="","",VLOOKUP(D180,'G-6 Hedgerow Data'!$B$3:$AG$15,31,FALSE))</f>
        <v/>
      </c>
      <c r="T180" s="507" t="str">
        <f t="shared" si="15"/>
        <v/>
      </c>
      <c r="U180" s="507" t="str">
        <f t="shared" si="16"/>
        <v/>
      </c>
      <c r="V180" s="524" t="str">
        <f>IF(D180="","",VLOOKUP(S180,'G-3 Multipliers'!$P$3:$Q$6,2,FALSE))</f>
        <v/>
      </c>
      <c r="W180" s="529" t="str">
        <f t="shared" si="17"/>
        <v/>
      </c>
      <c r="X180" s="149"/>
      <c r="Y180" s="150"/>
      <c r="AG180" s="31" t="str">
        <f>IFERROR(INDEX('G-6 Hedgerow Data'!$BJ$3:$BJ$15,MATCH(D180,'G-6 Hedgerow Data'!$B$3:$B$15,0)),"")</f>
        <v/>
      </c>
    </row>
    <row r="181" spans="2:33" ht="13.8" x14ac:dyDescent="0.25">
      <c r="B181" s="141">
        <v>170</v>
      </c>
      <c r="C181" s="205"/>
      <c r="D181" s="195"/>
      <c r="E181" s="172"/>
      <c r="F181" s="553" t="str">
        <f>IF(D181="","",VLOOKUP(D181,'G-6 Hedgerow Data'!$B$2:$AG$15,2,FALSE))</f>
        <v/>
      </c>
      <c r="G181" s="499" t="str">
        <f>IF(D181="","",VLOOKUP(D181,'G-6 Hedgerow Data'!$B$2:$AG$15,3,FALSE))</f>
        <v/>
      </c>
      <c r="H181" s="145"/>
      <c r="I181" s="499" t="str">
        <f>IFERROR(VLOOKUP(H181,'G-1 All Habitats'!$Z$2:$AA$9,2,FALSE),"")</f>
        <v/>
      </c>
      <c r="J181" s="145"/>
      <c r="K181" s="520" t="str">
        <f>IF(J181="","",IF(VLOOKUP(J181,'G-3 Multipliers'!$L$3:$N$6,2,FALSE)=0,"Spatial Data Missing ⚠",VLOOKUP(J181,'G-3 Multipliers'!$L$3:$N$6,2,FALSE)))</f>
        <v/>
      </c>
      <c r="L181" s="505" t="str">
        <f>IF(J181="","",IF(VLOOKUP(J181,'G-3 Multipliers'!$L$3:$N$6,3,FALSE)=0,"Spatial Data Missing ⚠",VLOOKUP(J181,'G-3 Multipliers'!$L$3:$N$6,3,FALSE)))</f>
        <v/>
      </c>
      <c r="M181" s="498" t="str">
        <f>IF(OR(D181="",H181=""),"",(INDEX('G-6 Hedgerow Data'!$E$3:$I$15,MATCH(D181,'G-6 Hedgerow Data'!$B$3:$B$15,0),MATCH(H181,'G-6 Hedgerow Data'!$E$2:$I$2,0))))</f>
        <v/>
      </c>
      <c r="N181" s="195"/>
      <c r="O181" s="195"/>
      <c r="P181" s="507" t="str">
        <f t="shared" si="13"/>
        <v/>
      </c>
      <c r="Q181" s="521" t="str">
        <f t="shared" si="14"/>
        <v/>
      </c>
      <c r="R181" s="522" t="str">
        <f t="shared" si="12"/>
        <v/>
      </c>
      <c r="S181" s="537" t="str">
        <f>IF(D181="","",VLOOKUP(D181,'G-6 Hedgerow Data'!$B$3:$AG$15,31,FALSE))</f>
        <v/>
      </c>
      <c r="T181" s="507" t="str">
        <f t="shared" si="15"/>
        <v/>
      </c>
      <c r="U181" s="507" t="str">
        <f t="shared" si="16"/>
        <v/>
      </c>
      <c r="V181" s="524" t="str">
        <f>IF(D181="","",VLOOKUP(S181,'G-3 Multipliers'!$P$3:$Q$6,2,FALSE))</f>
        <v/>
      </c>
      <c r="W181" s="529" t="str">
        <f t="shared" si="17"/>
        <v/>
      </c>
      <c r="X181" s="149"/>
      <c r="Y181" s="150"/>
      <c r="AG181" s="31" t="str">
        <f>IFERROR(INDEX('G-6 Hedgerow Data'!$BJ$3:$BJ$15,MATCH(D181,'G-6 Hedgerow Data'!$B$3:$B$15,0)),"")</f>
        <v/>
      </c>
    </row>
    <row r="182" spans="2:33" ht="13.8" x14ac:dyDescent="0.25">
      <c r="B182" s="141">
        <v>171</v>
      </c>
      <c r="C182" s="205"/>
      <c r="D182" s="195"/>
      <c r="E182" s="172"/>
      <c r="F182" s="553" t="str">
        <f>IF(D182="","",VLOOKUP(D182,'G-6 Hedgerow Data'!$B$2:$AG$15,2,FALSE))</f>
        <v/>
      </c>
      <c r="G182" s="499" t="str">
        <f>IF(D182="","",VLOOKUP(D182,'G-6 Hedgerow Data'!$B$2:$AG$15,3,FALSE))</f>
        <v/>
      </c>
      <c r="H182" s="145"/>
      <c r="I182" s="499" t="str">
        <f>IFERROR(VLOOKUP(H182,'G-1 All Habitats'!$Z$2:$AA$9,2,FALSE),"")</f>
        <v/>
      </c>
      <c r="J182" s="145"/>
      <c r="K182" s="520" t="str">
        <f>IF(J182="","",IF(VLOOKUP(J182,'G-3 Multipliers'!$L$3:$N$6,2,FALSE)=0,"Spatial Data Missing ⚠",VLOOKUP(J182,'G-3 Multipliers'!$L$3:$N$6,2,FALSE)))</f>
        <v/>
      </c>
      <c r="L182" s="505" t="str">
        <f>IF(J182="","",IF(VLOOKUP(J182,'G-3 Multipliers'!$L$3:$N$6,3,FALSE)=0,"Spatial Data Missing ⚠",VLOOKUP(J182,'G-3 Multipliers'!$L$3:$N$6,3,FALSE)))</f>
        <v/>
      </c>
      <c r="M182" s="498" t="str">
        <f>IF(OR(D182="",H182=""),"",(INDEX('G-6 Hedgerow Data'!$E$3:$I$15,MATCH(D182,'G-6 Hedgerow Data'!$B$3:$B$15,0),MATCH(H182,'G-6 Hedgerow Data'!$E$2:$I$2,0))))</f>
        <v/>
      </c>
      <c r="N182" s="195"/>
      <c r="O182" s="195"/>
      <c r="P182" s="507" t="str">
        <f t="shared" si="13"/>
        <v/>
      </c>
      <c r="Q182" s="521" t="str">
        <f t="shared" si="14"/>
        <v/>
      </c>
      <c r="R182" s="522" t="str">
        <f t="shared" si="12"/>
        <v/>
      </c>
      <c r="S182" s="537" t="str">
        <f>IF(D182="","",VLOOKUP(D182,'G-6 Hedgerow Data'!$B$3:$AG$15,31,FALSE))</f>
        <v/>
      </c>
      <c r="T182" s="507" t="str">
        <f t="shared" si="15"/>
        <v/>
      </c>
      <c r="U182" s="507" t="str">
        <f t="shared" si="16"/>
        <v/>
      </c>
      <c r="V182" s="524" t="str">
        <f>IF(D182="","",VLOOKUP(S182,'G-3 Multipliers'!$P$3:$Q$6,2,FALSE))</f>
        <v/>
      </c>
      <c r="W182" s="529" t="str">
        <f t="shared" si="17"/>
        <v/>
      </c>
      <c r="X182" s="149"/>
      <c r="Y182" s="150"/>
      <c r="AG182" s="31" t="str">
        <f>IFERROR(INDEX('G-6 Hedgerow Data'!$BJ$3:$BJ$15,MATCH(D182,'G-6 Hedgerow Data'!$B$3:$B$15,0)),"")</f>
        <v/>
      </c>
    </row>
    <row r="183" spans="2:33" ht="13.8" x14ac:dyDescent="0.25">
      <c r="B183" s="141">
        <v>172</v>
      </c>
      <c r="C183" s="205"/>
      <c r="D183" s="195"/>
      <c r="E183" s="172"/>
      <c r="F183" s="553" t="str">
        <f>IF(D183="","",VLOOKUP(D183,'G-6 Hedgerow Data'!$B$2:$AG$15,2,FALSE))</f>
        <v/>
      </c>
      <c r="G183" s="499" t="str">
        <f>IF(D183="","",VLOOKUP(D183,'G-6 Hedgerow Data'!$B$2:$AG$15,3,FALSE))</f>
        <v/>
      </c>
      <c r="H183" s="145"/>
      <c r="I183" s="499" t="str">
        <f>IFERROR(VLOOKUP(H183,'G-1 All Habitats'!$Z$2:$AA$9,2,FALSE),"")</f>
        <v/>
      </c>
      <c r="J183" s="145"/>
      <c r="K183" s="520" t="str">
        <f>IF(J183="","",IF(VLOOKUP(J183,'G-3 Multipliers'!$L$3:$N$6,2,FALSE)=0,"Spatial Data Missing ⚠",VLOOKUP(J183,'G-3 Multipliers'!$L$3:$N$6,2,FALSE)))</f>
        <v/>
      </c>
      <c r="L183" s="505" t="str">
        <f>IF(J183="","",IF(VLOOKUP(J183,'G-3 Multipliers'!$L$3:$N$6,3,FALSE)=0,"Spatial Data Missing ⚠",VLOOKUP(J183,'G-3 Multipliers'!$L$3:$N$6,3,FALSE)))</f>
        <v/>
      </c>
      <c r="M183" s="498" t="str">
        <f>IF(OR(D183="",H183=""),"",(INDEX('G-6 Hedgerow Data'!$E$3:$I$15,MATCH(D183,'G-6 Hedgerow Data'!$B$3:$B$15,0),MATCH(H183,'G-6 Hedgerow Data'!$E$2:$I$2,0))))</f>
        <v/>
      </c>
      <c r="N183" s="195"/>
      <c r="O183" s="195"/>
      <c r="P183" s="507" t="str">
        <f t="shared" si="13"/>
        <v/>
      </c>
      <c r="Q183" s="521" t="str">
        <f t="shared" si="14"/>
        <v/>
      </c>
      <c r="R183" s="522" t="str">
        <f t="shared" si="12"/>
        <v/>
      </c>
      <c r="S183" s="537" t="str">
        <f>IF(D183="","",VLOOKUP(D183,'G-6 Hedgerow Data'!$B$3:$AG$15,31,FALSE))</f>
        <v/>
      </c>
      <c r="T183" s="507" t="str">
        <f t="shared" si="15"/>
        <v/>
      </c>
      <c r="U183" s="507" t="str">
        <f t="shared" si="16"/>
        <v/>
      </c>
      <c r="V183" s="524" t="str">
        <f>IF(D183="","",VLOOKUP(S183,'G-3 Multipliers'!$P$3:$Q$6,2,FALSE))</f>
        <v/>
      </c>
      <c r="W183" s="529" t="str">
        <f t="shared" si="17"/>
        <v/>
      </c>
      <c r="X183" s="149"/>
      <c r="Y183" s="150"/>
      <c r="AG183" s="31" t="str">
        <f>IFERROR(INDEX('G-6 Hedgerow Data'!$BJ$3:$BJ$15,MATCH(D183,'G-6 Hedgerow Data'!$B$3:$B$15,0)),"")</f>
        <v/>
      </c>
    </row>
    <row r="184" spans="2:33" ht="13.8" x14ac:dyDescent="0.25">
      <c r="B184" s="141">
        <v>173</v>
      </c>
      <c r="C184" s="205"/>
      <c r="D184" s="195"/>
      <c r="E184" s="172"/>
      <c r="F184" s="553" t="str">
        <f>IF(D184="","",VLOOKUP(D184,'G-6 Hedgerow Data'!$B$2:$AG$15,2,FALSE))</f>
        <v/>
      </c>
      <c r="G184" s="499" t="str">
        <f>IF(D184="","",VLOOKUP(D184,'G-6 Hedgerow Data'!$B$2:$AG$15,3,FALSE))</f>
        <v/>
      </c>
      <c r="H184" s="145"/>
      <c r="I184" s="499" t="str">
        <f>IFERROR(VLOOKUP(H184,'G-1 All Habitats'!$Z$2:$AA$9,2,FALSE),"")</f>
        <v/>
      </c>
      <c r="J184" s="145"/>
      <c r="K184" s="520" t="str">
        <f>IF(J184="","",IF(VLOOKUP(J184,'G-3 Multipliers'!$L$3:$N$6,2,FALSE)=0,"Spatial Data Missing ⚠",VLOOKUP(J184,'G-3 Multipliers'!$L$3:$N$6,2,FALSE)))</f>
        <v/>
      </c>
      <c r="L184" s="505" t="str">
        <f>IF(J184="","",IF(VLOOKUP(J184,'G-3 Multipliers'!$L$3:$N$6,3,FALSE)=0,"Spatial Data Missing ⚠",VLOOKUP(J184,'G-3 Multipliers'!$L$3:$N$6,3,FALSE)))</f>
        <v/>
      </c>
      <c r="M184" s="498" t="str">
        <f>IF(OR(D184="",H184=""),"",(INDEX('G-6 Hedgerow Data'!$E$3:$I$15,MATCH(D184,'G-6 Hedgerow Data'!$B$3:$B$15,0),MATCH(H184,'G-6 Hedgerow Data'!$E$2:$I$2,0))))</f>
        <v/>
      </c>
      <c r="N184" s="195"/>
      <c r="O184" s="195"/>
      <c r="P184" s="507" t="str">
        <f t="shared" si="13"/>
        <v/>
      </c>
      <c r="Q184" s="521" t="str">
        <f t="shared" si="14"/>
        <v/>
      </c>
      <c r="R184" s="522" t="str">
        <f t="shared" si="12"/>
        <v/>
      </c>
      <c r="S184" s="537" t="str">
        <f>IF(D184="","",VLOOKUP(D184,'G-6 Hedgerow Data'!$B$3:$AG$15,31,FALSE))</f>
        <v/>
      </c>
      <c r="T184" s="507" t="str">
        <f t="shared" si="15"/>
        <v/>
      </c>
      <c r="U184" s="507" t="str">
        <f t="shared" si="16"/>
        <v/>
      </c>
      <c r="V184" s="524" t="str">
        <f>IF(D184="","",VLOOKUP(S184,'G-3 Multipliers'!$P$3:$Q$6,2,FALSE))</f>
        <v/>
      </c>
      <c r="W184" s="529" t="str">
        <f t="shared" si="17"/>
        <v/>
      </c>
      <c r="X184" s="149"/>
      <c r="Y184" s="150"/>
      <c r="AG184" s="31" t="str">
        <f>IFERROR(INDEX('G-6 Hedgerow Data'!$BJ$3:$BJ$15,MATCH(D184,'G-6 Hedgerow Data'!$B$3:$B$15,0)),"")</f>
        <v/>
      </c>
    </row>
    <row r="185" spans="2:33" ht="13.8" x14ac:dyDescent="0.25">
      <c r="B185" s="141">
        <v>174</v>
      </c>
      <c r="C185" s="205"/>
      <c r="D185" s="195"/>
      <c r="E185" s="172"/>
      <c r="F185" s="553" t="str">
        <f>IF(D185="","",VLOOKUP(D185,'G-6 Hedgerow Data'!$B$2:$AG$15,2,FALSE))</f>
        <v/>
      </c>
      <c r="G185" s="499" t="str">
        <f>IF(D185="","",VLOOKUP(D185,'G-6 Hedgerow Data'!$B$2:$AG$15,3,FALSE))</f>
        <v/>
      </c>
      <c r="H185" s="145"/>
      <c r="I185" s="499" t="str">
        <f>IFERROR(VLOOKUP(H185,'G-1 All Habitats'!$Z$2:$AA$9,2,FALSE),"")</f>
        <v/>
      </c>
      <c r="J185" s="145"/>
      <c r="K185" s="520" t="str">
        <f>IF(J185="","",IF(VLOOKUP(J185,'G-3 Multipliers'!$L$3:$N$6,2,FALSE)=0,"Spatial Data Missing ⚠",VLOOKUP(J185,'G-3 Multipliers'!$L$3:$N$6,2,FALSE)))</f>
        <v/>
      </c>
      <c r="L185" s="505" t="str">
        <f>IF(J185="","",IF(VLOOKUP(J185,'G-3 Multipliers'!$L$3:$N$6,3,FALSE)=0,"Spatial Data Missing ⚠",VLOOKUP(J185,'G-3 Multipliers'!$L$3:$N$6,3,FALSE)))</f>
        <v/>
      </c>
      <c r="M185" s="498" t="str">
        <f>IF(OR(D185="",H185=""),"",(INDEX('G-6 Hedgerow Data'!$E$3:$I$15,MATCH(D185,'G-6 Hedgerow Data'!$B$3:$B$15,0),MATCH(H185,'G-6 Hedgerow Data'!$E$2:$I$2,0))))</f>
        <v/>
      </c>
      <c r="N185" s="195"/>
      <c r="O185" s="195"/>
      <c r="P185" s="507" t="str">
        <f t="shared" si="13"/>
        <v/>
      </c>
      <c r="Q185" s="521" t="str">
        <f t="shared" si="14"/>
        <v/>
      </c>
      <c r="R185" s="522" t="str">
        <f t="shared" si="12"/>
        <v/>
      </c>
      <c r="S185" s="537" t="str">
        <f>IF(D185="","",VLOOKUP(D185,'G-6 Hedgerow Data'!$B$3:$AG$15,31,FALSE))</f>
        <v/>
      </c>
      <c r="T185" s="507" t="str">
        <f t="shared" si="15"/>
        <v/>
      </c>
      <c r="U185" s="507" t="str">
        <f t="shared" si="16"/>
        <v/>
      </c>
      <c r="V185" s="524" t="str">
        <f>IF(D185="","",VLOOKUP(S185,'G-3 Multipliers'!$P$3:$Q$6,2,FALSE))</f>
        <v/>
      </c>
      <c r="W185" s="529" t="str">
        <f t="shared" si="17"/>
        <v/>
      </c>
      <c r="X185" s="149"/>
      <c r="Y185" s="150"/>
      <c r="AG185" s="31" t="str">
        <f>IFERROR(INDEX('G-6 Hedgerow Data'!$BJ$3:$BJ$15,MATCH(D185,'G-6 Hedgerow Data'!$B$3:$B$15,0)),"")</f>
        <v/>
      </c>
    </row>
    <row r="186" spans="2:33" ht="13.8" x14ac:dyDescent="0.25">
      <c r="B186" s="141">
        <v>175</v>
      </c>
      <c r="C186" s="205"/>
      <c r="D186" s="195"/>
      <c r="E186" s="172"/>
      <c r="F186" s="553" t="str">
        <f>IF(D186="","",VLOOKUP(D186,'G-6 Hedgerow Data'!$B$2:$AG$15,2,FALSE))</f>
        <v/>
      </c>
      <c r="G186" s="499" t="str">
        <f>IF(D186="","",VLOOKUP(D186,'G-6 Hedgerow Data'!$B$2:$AG$15,3,FALSE))</f>
        <v/>
      </c>
      <c r="H186" s="145"/>
      <c r="I186" s="499" t="str">
        <f>IFERROR(VLOOKUP(H186,'G-1 All Habitats'!$Z$2:$AA$9,2,FALSE),"")</f>
        <v/>
      </c>
      <c r="J186" s="145"/>
      <c r="K186" s="520" t="str">
        <f>IF(J186="","",IF(VLOOKUP(J186,'G-3 Multipliers'!$L$3:$N$6,2,FALSE)=0,"Spatial Data Missing ⚠",VLOOKUP(J186,'G-3 Multipliers'!$L$3:$N$6,2,FALSE)))</f>
        <v/>
      </c>
      <c r="L186" s="505" t="str">
        <f>IF(J186="","",IF(VLOOKUP(J186,'G-3 Multipliers'!$L$3:$N$6,3,FALSE)=0,"Spatial Data Missing ⚠",VLOOKUP(J186,'G-3 Multipliers'!$L$3:$N$6,3,FALSE)))</f>
        <v/>
      </c>
      <c r="M186" s="498" t="str">
        <f>IF(OR(D186="",H186=""),"",(INDEX('G-6 Hedgerow Data'!$E$3:$I$15,MATCH(D186,'G-6 Hedgerow Data'!$B$3:$B$15,0),MATCH(H186,'G-6 Hedgerow Data'!$E$2:$I$2,0))))</f>
        <v/>
      </c>
      <c r="N186" s="195"/>
      <c r="O186" s="195"/>
      <c r="P186" s="507" t="str">
        <f t="shared" si="13"/>
        <v/>
      </c>
      <c r="Q186" s="521" t="str">
        <f t="shared" si="14"/>
        <v/>
      </c>
      <c r="R186" s="522" t="str">
        <f t="shared" si="12"/>
        <v/>
      </c>
      <c r="S186" s="537" t="str">
        <f>IF(D186="","",VLOOKUP(D186,'G-6 Hedgerow Data'!$B$3:$AG$15,31,FALSE))</f>
        <v/>
      </c>
      <c r="T186" s="507" t="str">
        <f t="shared" si="15"/>
        <v/>
      </c>
      <c r="U186" s="507" t="str">
        <f t="shared" si="16"/>
        <v/>
      </c>
      <c r="V186" s="524" t="str">
        <f>IF(D186="","",VLOOKUP(S186,'G-3 Multipliers'!$P$3:$Q$6,2,FALSE))</f>
        <v/>
      </c>
      <c r="W186" s="529" t="str">
        <f t="shared" si="17"/>
        <v/>
      </c>
      <c r="X186" s="149"/>
      <c r="Y186" s="150"/>
      <c r="AG186" s="31" t="str">
        <f>IFERROR(INDEX('G-6 Hedgerow Data'!$BJ$3:$BJ$15,MATCH(D186,'G-6 Hedgerow Data'!$B$3:$B$15,0)),"")</f>
        <v/>
      </c>
    </row>
    <row r="187" spans="2:33" ht="13.8" x14ac:dyDescent="0.25">
      <c r="B187" s="141">
        <v>176</v>
      </c>
      <c r="C187" s="205"/>
      <c r="D187" s="195"/>
      <c r="E187" s="172"/>
      <c r="F187" s="553" t="str">
        <f>IF(D187="","",VLOOKUP(D187,'G-6 Hedgerow Data'!$B$2:$AG$15,2,FALSE))</f>
        <v/>
      </c>
      <c r="G187" s="499" t="str">
        <f>IF(D187="","",VLOOKUP(D187,'G-6 Hedgerow Data'!$B$2:$AG$15,3,FALSE))</f>
        <v/>
      </c>
      <c r="H187" s="145"/>
      <c r="I187" s="499" t="str">
        <f>IFERROR(VLOOKUP(H187,'G-1 All Habitats'!$Z$2:$AA$9,2,FALSE),"")</f>
        <v/>
      </c>
      <c r="J187" s="145"/>
      <c r="K187" s="520" t="str">
        <f>IF(J187="","",IF(VLOOKUP(J187,'G-3 Multipliers'!$L$3:$N$6,2,FALSE)=0,"Spatial Data Missing ⚠",VLOOKUP(J187,'G-3 Multipliers'!$L$3:$N$6,2,FALSE)))</f>
        <v/>
      </c>
      <c r="L187" s="505" t="str">
        <f>IF(J187="","",IF(VLOOKUP(J187,'G-3 Multipliers'!$L$3:$N$6,3,FALSE)=0,"Spatial Data Missing ⚠",VLOOKUP(J187,'G-3 Multipliers'!$L$3:$N$6,3,FALSE)))</f>
        <v/>
      </c>
      <c r="M187" s="498" t="str">
        <f>IF(OR(D187="",H187=""),"",(INDEX('G-6 Hedgerow Data'!$E$3:$I$15,MATCH(D187,'G-6 Hedgerow Data'!$B$3:$B$15,0),MATCH(H187,'G-6 Hedgerow Data'!$E$2:$I$2,0))))</f>
        <v/>
      </c>
      <c r="N187" s="195"/>
      <c r="O187" s="195"/>
      <c r="P187" s="507" t="str">
        <f t="shared" si="13"/>
        <v/>
      </c>
      <c r="Q187" s="521" t="str">
        <f t="shared" si="14"/>
        <v/>
      </c>
      <c r="R187" s="522" t="str">
        <f t="shared" si="12"/>
        <v/>
      </c>
      <c r="S187" s="537" t="str">
        <f>IF(D187="","",VLOOKUP(D187,'G-6 Hedgerow Data'!$B$3:$AG$15,31,FALSE))</f>
        <v/>
      </c>
      <c r="T187" s="507" t="str">
        <f t="shared" si="15"/>
        <v/>
      </c>
      <c r="U187" s="507" t="str">
        <f t="shared" si="16"/>
        <v/>
      </c>
      <c r="V187" s="524" t="str">
        <f>IF(D187="","",VLOOKUP(S187,'G-3 Multipliers'!$P$3:$Q$6,2,FALSE))</f>
        <v/>
      </c>
      <c r="W187" s="529" t="str">
        <f t="shared" si="17"/>
        <v/>
      </c>
      <c r="X187" s="149"/>
      <c r="Y187" s="150"/>
      <c r="AG187" s="31" t="str">
        <f>IFERROR(INDEX('G-6 Hedgerow Data'!$BJ$3:$BJ$15,MATCH(D187,'G-6 Hedgerow Data'!$B$3:$B$15,0)),"")</f>
        <v/>
      </c>
    </row>
    <row r="188" spans="2:33" ht="13.8" x14ac:dyDescent="0.25">
      <c r="B188" s="141">
        <v>177</v>
      </c>
      <c r="C188" s="205"/>
      <c r="D188" s="195"/>
      <c r="E188" s="172"/>
      <c r="F188" s="553" t="str">
        <f>IF(D188="","",VLOOKUP(D188,'G-6 Hedgerow Data'!$B$2:$AG$15,2,FALSE))</f>
        <v/>
      </c>
      <c r="G188" s="499" t="str">
        <f>IF(D188="","",VLOOKUP(D188,'G-6 Hedgerow Data'!$B$2:$AG$15,3,FALSE))</f>
        <v/>
      </c>
      <c r="H188" s="145"/>
      <c r="I188" s="499" t="str">
        <f>IFERROR(VLOOKUP(H188,'G-1 All Habitats'!$Z$2:$AA$9,2,FALSE),"")</f>
        <v/>
      </c>
      <c r="J188" s="145"/>
      <c r="K188" s="520" t="str">
        <f>IF(J188="","",IF(VLOOKUP(J188,'G-3 Multipliers'!$L$3:$N$6,2,FALSE)=0,"Spatial Data Missing ⚠",VLOOKUP(J188,'G-3 Multipliers'!$L$3:$N$6,2,FALSE)))</f>
        <v/>
      </c>
      <c r="L188" s="505" t="str">
        <f>IF(J188="","",IF(VLOOKUP(J188,'G-3 Multipliers'!$L$3:$N$6,3,FALSE)=0,"Spatial Data Missing ⚠",VLOOKUP(J188,'G-3 Multipliers'!$L$3:$N$6,3,FALSE)))</f>
        <v/>
      </c>
      <c r="M188" s="498" t="str">
        <f>IF(OR(D188="",H188=""),"",(INDEX('G-6 Hedgerow Data'!$E$3:$I$15,MATCH(D188,'G-6 Hedgerow Data'!$B$3:$B$15,0),MATCH(H188,'G-6 Hedgerow Data'!$E$2:$I$2,0))))</f>
        <v/>
      </c>
      <c r="N188" s="195"/>
      <c r="O188" s="195"/>
      <c r="P188" s="507" t="str">
        <f t="shared" si="13"/>
        <v/>
      </c>
      <c r="Q188" s="521" t="str">
        <f t="shared" si="14"/>
        <v/>
      </c>
      <c r="R188" s="522" t="str">
        <f t="shared" si="12"/>
        <v/>
      </c>
      <c r="S188" s="537" t="str">
        <f>IF(D188="","",VLOOKUP(D188,'G-6 Hedgerow Data'!$B$3:$AG$15,31,FALSE))</f>
        <v/>
      </c>
      <c r="T188" s="507" t="str">
        <f t="shared" si="15"/>
        <v/>
      </c>
      <c r="U188" s="507" t="str">
        <f t="shared" si="16"/>
        <v/>
      </c>
      <c r="V188" s="524" t="str">
        <f>IF(D188="","",VLOOKUP(S188,'G-3 Multipliers'!$P$3:$Q$6,2,FALSE))</f>
        <v/>
      </c>
      <c r="W188" s="529" t="str">
        <f t="shared" si="17"/>
        <v/>
      </c>
      <c r="X188" s="149"/>
      <c r="Y188" s="150"/>
      <c r="AG188" s="31" t="str">
        <f>IFERROR(INDEX('G-6 Hedgerow Data'!$BJ$3:$BJ$15,MATCH(D188,'G-6 Hedgerow Data'!$B$3:$B$15,0)),"")</f>
        <v/>
      </c>
    </row>
    <row r="189" spans="2:33" ht="13.8" x14ac:dyDescent="0.25">
      <c r="B189" s="141">
        <v>178</v>
      </c>
      <c r="C189" s="205"/>
      <c r="D189" s="195"/>
      <c r="E189" s="172"/>
      <c r="F189" s="553" t="str">
        <f>IF(D189="","",VLOOKUP(D189,'G-6 Hedgerow Data'!$B$2:$AG$15,2,FALSE))</f>
        <v/>
      </c>
      <c r="G189" s="499" t="str">
        <f>IF(D189="","",VLOOKUP(D189,'G-6 Hedgerow Data'!$B$2:$AG$15,3,FALSE))</f>
        <v/>
      </c>
      <c r="H189" s="145"/>
      <c r="I189" s="499" t="str">
        <f>IFERROR(VLOOKUP(H189,'G-1 All Habitats'!$Z$2:$AA$9,2,FALSE),"")</f>
        <v/>
      </c>
      <c r="J189" s="145"/>
      <c r="K189" s="520" t="str">
        <f>IF(J189="","",IF(VLOOKUP(J189,'G-3 Multipliers'!$L$3:$N$6,2,FALSE)=0,"Spatial Data Missing ⚠",VLOOKUP(J189,'G-3 Multipliers'!$L$3:$N$6,2,FALSE)))</f>
        <v/>
      </c>
      <c r="L189" s="505" t="str">
        <f>IF(J189="","",IF(VLOOKUP(J189,'G-3 Multipliers'!$L$3:$N$6,3,FALSE)=0,"Spatial Data Missing ⚠",VLOOKUP(J189,'G-3 Multipliers'!$L$3:$N$6,3,FALSE)))</f>
        <v/>
      </c>
      <c r="M189" s="498" t="str">
        <f>IF(OR(D189="",H189=""),"",(INDEX('G-6 Hedgerow Data'!$E$3:$I$15,MATCH(D189,'G-6 Hedgerow Data'!$B$3:$B$15,0),MATCH(H189,'G-6 Hedgerow Data'!$E$2:$I$2,0))))</f>
        <v/>
      </c>
      <c r="N189" s="195"/>
      <c r="O189" s="195"/>
      <c r="P189" s="507" t="str">
        <f t="shared" si="13"/>
        <v/>
      </c>
      <c r="Q189" s="521" t="str">
        <f t="shared" si="14"/>
        <v/>
      </c>
      <c r="R189" s="522" t="str">
        <f t="shared" si="12"/>
        <v/>
      </c>
      <c r="S189" s="537" t="str">
        <f>IF(D189="","",VLOOKUP(D189,'G-6 Hedgerow Data'!$B$3:$AG$15,31,FALSE))</f>
        <v/>
      </c>
      <c r="T189" s="507" t="str">
        <f t="shared" si="15"/>
        <v/>
      </c>
      <c r="U189" s="507" t="str">
        <f t="shared" si="16"/>
        <v/>
      </c>
      <c r="V189" s="524" t="str">
        <f>IF(D189="","",VLOOKUP(S189,'G-3 Multipliers'!$P$3:$Q$6,2,FALSE))</f>
        <v/>
      </c>
      <c r="W189" s="529" t="str">
        <f t="shared" si="17"/>
        <v/>
      </c>
      <c r="X189" s="149"/>
      <c r="Y189" s="150"/>
      <c r="AG189" s="31" t="str">
        <f>IFERROR(INDEX('G-6 Hedgerow Data'!$BJ$3:$BJ$15,MATCH(D189,'G-6 Hedgerow Data'!$B$3:$B$15,0)),"")</f>
        <v/>
      </c>
    </row>
    <row r="190" spans="2:33" ht="13.8" x14ac:dyDescent="0.25">
      <c r="B190" s="141">
        <v>179</v>
      </c>
      <c r="C190" s="205"/>
      <c r="D190" s="195"/>
      <c r="E190" s="172"/>
      <c r="F190" s="553" t="str">
        <f>IF(D190="","",VLOOKUP(D190,'G-6 Hedgerow Data'!$B$2:$AG$15,2,FALSE))</f>
        <v/>
      </c>
      <c r="G190" s="499" t="str">
        <f>IF(D190="","",VLOOKUP(D190,'G-6 Hedgerow Data'!$B$2:$AG$15,3,FALSE))</f>
        <v/>
      </c>
      <c r="H190" s="145"/>
      <c r="I190" s="499" t="str">
        <f>IFERROR(VLOOKUP(H190,'G-1 All Habitats'!$Z$2:$AA$9,2,FALSE),"")</f>
        <v/>
      </c>
      <c r="J190" s="145"/>
      <c r="K190" s="520" t="str">
        <f>IF(J190="","",IF(VLOOKUP(J190,'G-3 Multipliers'!$L$3:$N$6,2,FALSE)=0,"Spatial Data Missing ⚠",VLOOKUP(J190,'G-3 Multipliers'!$L$3:$N$6,2,FALSE)))</f>
        <v/>
      </c>
      <c r="L190" s="505" t="str">
        <f>IF(J190="","",IF(VLOOKUP(J190,'G-3 Multipliers'!$L$3:$N$6,3,FALSE)=0,"Spatial Data Missing ⚠",VLOOKUP(J190,'G-3 Multipliers'!$L$3:$N$6,3,FALSE)))</f>
        <v/>
      </c>
      <c r="M190" s="498" t="str">
        <f>IF(OR(D190="",H190=""),"",(INDEX('G-6 Hedgerow Data'!$E$3:$I$15,MATCH(D190,'G-6 Hedgerow Data'!$B$3:$B$15,0),MATCH(H190,'G-6 Hedgerow Data'!$E$2:$I$2,0))))</f>
        <v/>
      </c>
      <c r="N190" s="195"/>
      <c r="O190" s="195"/>
      <c r="P190" s="507" t="str">
        <f t="shared" si="13"/>
        <v/>
      </c>
      <c r="Q190" s="521" t="str">
        <f t="shared" si="14"/>
        <v/>
      </c>
      <c r="R190" s="522" t="str">
        <f t="shared" si="12"/>
        <v/>
      </c>
      <c r="S190" s="537" t="str">
        <f>IF(D190="","",VLOOKUP(D190,'G-6 Hedgerow Data'!$B$3:$AG$15,31,FALSE))</f>
        <v/>
      </c>
      <c r="T190" s="507" t="str">
        <f t="shared" si="15"/>
        <v/>
      </c>
      <c r="U190" s="507" t="str">
        <f t="shared" si="16"/>
        <v/>
      </c>
      <c r="V190" s="524" t="str">
        <f>IF(D190="","",VLOOKUP(S190,'G-3 Multipliers'!$P$3:$Q$6,2,FALSE))</f>
        <v/>
      </c>
      <c r="W190" s="529" t="str">
        <f t="shared" si="17"/>
        <v/>
      </c>
      <c r="X190" s="149"/>
      <c r="Y190" s="150"/>
      <c r="AG190" s="31" t="str">
        <f>IFERROR(INDEX('G-6 Hedgerow Data'!$BJ$3:$BJ$15,MATCH(D190,'G-6 Hedgerow Data'!$B$3:$B$15,0)),"")</f>
        <v/>
      </c>
    </row>
    <row r="191" spans="2:33" ht="13.8" x14ac:dyDescent="0.25">
      <c r="B191" s="141">
        <v>180</v>
      </c>
      <c r="C191" s="205"/>
      <c r="D191" s="195"/>
      <c r="E191" s="172"/>
      <c r="F191" s="553" t="str">
        <f>IF(D191="","",VLOOKUP(D191,'G-6 Hedgerow Data'!$B$2:$AG$15,2,FALSE))</f>
        <v/>
      </c>
      <c r="G191" s="499" t="str">
        <f>IF(D191="","",VLOOKUP(D191,'G-6 Hedgerow Data'!$B$2:$AG$15,3,FALSE))</f>
        <v/>
      </c>
      <c r="H191" s="145"/>
      <c r="I191" s="499" t="str">
        <f>IFERROR(VLOOKUP(H191,'G-1 All Habitats'!$Z$2:$AA$9,2,FALSE),"")</f>
        <v/>
      </c>
      <c r="J191" s="145"/>
      <c r="K191" s="520" t="str">
        <f>IF(J191="","",IF(VLOOKUP(J191,'G-3 Multipliers'!$L$3:$N$6,2,FALSE)=0,"Spatial Data Missing ⚠",VLOOKUP(J191,'G-3 Multipliers'!$L$3:$N$6,2,FALSE)))</f>
        <v/>
      </c>
      <c r="L191" s="505" t="str">
        <f>IF(J191="","",IF(VLOOKUP(J191,'G-3 Multipliers'!$L$3:$N$6,3,FALSE)=0,"Spatial Data Missing ⚠",VLOOKUP(J191,'G-3 Multipliers'!$L$3:$N$6,3,FALSE)))</f>
        <v/>
      </c>
      <c r="M191" s="498" t="str">
        <f>IF(OR(D191="",H191=""),"",(INDEX('G-6 Hedgerow Data'!$E$3:$I$15,MATCH(D191,'G-6 Hedgerow Data'!$B$3:$B$15,0),MATCH(H191,'G-6 Hedgerow Data'!$E$2:$I$2,0))))</f>
        <v/>
      </c>
      <c r="N191" s="195"/>
      <c r="O191" s="195"/>
      <c r="P191" s="507" t="str">
        <f t="shared" si="13"/>
        <v/>
      </c>
      <c r="Q191" s="521" t="str">
        <f t="shared" si="14"/>
        <v/>
      </c>
      <c r="R191" s="522" t="str">
        <f t="shared" si="12"/>
        <v/>
      </c>
      <c r="S191" s="537" t="str">
        <f>IF(D191="","",VLOOKUP(D191,'G-6 Hedgerow Data'!$B$3:$AG$15,31,FALSE))</f>
        <v/>
      </c>
      <c r="T191" s="507" t="str">
        <f t="shared" si="15"/>
        <v/>
      </c>
      <c r="U191" s="507" t="str">
        <f t="shared" si="16"/>
        <v/>
      </c>
      <c r="V191" s="524" t="str">
        <f>IF(D191="","",VLOOKUP(S191,'G-3 Multipliers'!$P$3:$Q$6,2,FALSE))</f>
        <v/>
      </c>
      <c r="W191" s="529" t="str">
        <f t="shared" si="17"/>
        <v/>
      </c>
      <c r="X191" s="149"/>
      <c r="Y191" s="150"/>
      <c r="AG191" s="31" t="str">
        <f>IFERROR(INDEX('G-6 Hedgerow Data'!$BJ$3:$BJ$15,MATCH(D191,'G-6 Hedgerow Data'!$B$3:$B$15,0)),"")</f>
        <v/>
      </c>
    </row>
    <row r="192" spans="2:33" ht="13.8" x14ac:dyDescent="0.25">
      <c r="B192" s="141">
        <v>181</v>
      </c>
      <c r="C192" s="205"/>
      <c r="D192" s="195"/>
      <c r="E192" s="172"/>
      <c r="F192" s="553" t="str">
        <f>IF(D192="","",VLOOKUP(D192,'G-6 Hedgerow Data'!$B$2:$AG$15,2,FALSE))</f>
        <v/>
      </c>
      <c r="G192" s="499" t="str">
        <f>IF(D192="","",VLOOKUP(D192,'G-6 Hedgerow Data'!$B$2:$AG$15,3,FALSE))</f>
        <v/>
      </c>
      <c r="H192" s="145"/>
      <c r="I192" s="499" t="str">
        <f>IFERROR(VLOOKUP(H192,'G-1 All Habitats'!$Z$2:$AA$9,2,FALSE),"")</f>
        <v/>
      </c>
      <c r="J192" s="145"/>
      <c r="K192" s="520" t="str">
        <f>IF(J192="","",IF(VLOOKUP(J192,'G-3 Multipliers'!$L$3:$N$6,2,FALSE)=0,"Spatial Data Missing ⚠",VLOOKUP(J192,'G-3 Multipliers'!$L$3:$N$6,2,FALSE)))</f>
        <v/>
      </c>
      <c r="L192" s="505" t="str">
        <f>IF(J192="","",IF(VLOOKUP(J192,'G-3 Multipliers'!$L$3:$N$6,3,FALSE)=0,"Spatial Data Missing ⚠",VLOOKUP(J192,'G-3 Multipliers'!$L$3:$N$6,3,FALSE)))</f>
        <v/>
      </c>
      <c r="M192" s="498" t="str">
        <f>IF(OR(D192="",H192=""),"",(INDEX('G-6 Hedgerow Data'!$E$3:$I$15,MATCH(D192,'G-6 Hedgerow Data'!$B$3:$B$15,0),MATCH(H192,'G-6 Hedgerow Data'!$E$2:$I$2,0))))</f>
        <v/>
      </c>
      <c r="N192" s="195"/>
      <c r="O192" s="195"/>
      <c r="P192" s="507" t="str">
        <f t="shared" si="13"/>
        <v/>
      </c>
      <c r="Q192" s="521" t="str">
        <f t="shared" si="14"/>
        <v/>
      </c>
      <c r="R192" s="522" t="str">
        <f t="shared" si="12"/>
        <v/>
      </c>
      <c r="S192" s="537" t="str">
        <f>IF(D192="","",VLOOKUP(D192,'G-6 Hedgerow Data'!$B$3:$AG$15,31,FALSE))</f>
        <v/>
      </c>
      <c r="T192" s="507" t="str">
        <f t="shared" si="15"/>
        <v/>
      </c>
      <c r="U192" s="507" t="str">
        <f t="shared" si="16"/>
        <v/>
      </c>
      <c r="V192" s="524" t="str">
        <f>IF(D192="","",VLOOKUP(S192,'G-3 Multipliers'!$P$3:$Q$6,2,FALSE))</f>
        <v/>
      </c>
      <c r="W192" s="529" t="str">
        <f t="shared" si="17"/>
        <v/>
      </c>
      <c r="X192" s="149"/>
      <c r="Y192" s="150"/>
      <c r="AG192" s="31" t="str">
        <f>IFERROR(INDEX('G-6 Hedgerow Data'!$BJ$3:$BJ$15,MATCH(D192,'G-6 Hedgerow Data'!$B$3:$B$15,0)),"")</f>
        <v/>
      </c>
    </row>
    <row r="193" spans="2:33" ht="13.8" x14ac:dyDescent="0.25">
      <c r="B193" s="141">
        <v>182</v>
      </c>
      <c r="C193" s="205"/>
      <c r="D193" s="195"/>
      <c r="E193" s="172"/>
      <c r="F193" s="553" t="str">
        <f>IF(D193="","",VLOOKUP(D193,'G-6 Hedgerow Data'!$B$2:$AG$15,2,FALSE))</f>
        <v/>
      </c>
      <c r="G193" s="499" t="str">
        <f>IF(D193="","",VLOOKUP(D193,'G-6 Hedgerow Data'!$B$2:$AG$15,3,FALSE))</f>
        <v/>
      </c>
      <c r="H193" s="145"/>
      <c r="I193" s="499" t="str">
        <f>IFERROR(VLOOKUP(H193,'G-1 All Habitats'!$Z$2:$AA$9,2,FALSE),"")</f>
        <v/>
      </c>
      <c r="J193" s="145"/>
      <c r="K193" s="520" t="str">
        <f>IF(J193="","",IF(VLOOKUP(J193,'G-3 Multipliers'!$L$3:$N$6,2,FALSE)=0,"Spatial Data Missing ⚠",VLOOKUP(J193,'G-3 Multipliers'!$L$3:$N$6,2,FALSE)))</f>
        <v/>
      </c>
      <c r="L193" s="505" t="str">
        <f>IF(J193="","",IF(VLOOKUP(J193,'G-3 Multipliers'!$L$3:$N$6,3,FALSE)=0,"Spatial Data Missing ⚠",VLOOKUP(J193,'G-3 Multipliers'!$L$3:$N$6,3,FALSE)))</f>
        <v/>
      </c>
      <c r="M193" s="498" t="str">
        <f>IF(OR(D193="",H193=""),"",(INDEX('G-6 Hedgerow Data'!$E$3:$I$15,MATCH(D193,'G-6 Hedgerow Data'!$B$3:$B$15,0),MATCH(H193,'G-6 Hedgerow Data'!$E$2:$I$2,0))))</f>
        <v/>
      </c>
      <c r="N193" s="195"/>
      <c r="O193" s="195"/>
      <c r="P193" s="507" t="str">
        <f t="shared" si="13"/>
        <v/>
      </c>
      <c r="Q193" s="521" t="str">
        <f t="shared" si="14"/>
        <v/>
      </c>
      <c r="R193" s="522" t="str">
        <f t="shared" si="12"/>
        <v/>
      </c>
      <c r="S193" s="537" t="str">
        <f>IF(D193="","",VLOOKUP(D193,'G-6 Hedgerow Data'!$B$3:$AG$15,31,FALSE))</f>
        <v/>
      </c>
      <c r="T193" s="507" t="str">
        <f t="shared" si="15"/>
        <v/>
      </c>
      <c r="U193" s="507" t="str">
        <f t="shared" si="16"/>
        <v/>
      </c>
      <c r="V193" s="524" t="str">
        <f>IF(D193="","",VLOOKUP(S193,'G-3 Multipliers'!$P$3:$Q$6,2,FALSE))</f>
        <v/>
      </c>
      <c r="W193" s="529" t="str">
        <f t="shared" si="17"/>
        <v/>
      </c>
      <c r="X193" s="149"/>
      <c r="Y193" s="150"/>
      <c r="AG193" s="31" t="str">
        <f>IFERROR(INDEX('G-6 Hedgerow Data'!$BJ$3:$BJ$15,MATCH(D193,'G-6 Hedgerow Data'!$B$3:$B$15,0)),"")</f>
        <v/>
      </c>
    </row>
    <row r="194" spans="2:33" ht="13.8" x14ac:dyDescent="0.25">
      <c r="B194" s="141">
        <v>183</v>
      </c>
      <c r="C194" s="205"/>
      <c r="D194" s="195"/>
      <c r="E194" s="172"/>
      <c r="F194" s="553" t="str">
        <f>IF(D194="","",VLOOKUP(D194,'G-6 Hedgerow Data'!$B$2:$AG$15,2,FALSE))</f>
        <v/>
      </c>
      <c r="G194" s="499" t="str">
        <f>IF(D194="","",VLOOKUP(D194,'G-6 Hedgerow Data'!$B$2:$AG$15,3,FALSE))</f>
        <v/>
      </c>
      <c r="H194" s="145"/>
      <c r="I194" s="499" t="str">
        <f>IFERROR(VLOOKUP(H194,'G-1 All Habitats'!$Z$2:$AA$9,2,FALSE),"")</f>
        <v/>
      </c>
      <c r="J194" s="145"/>
      <c r="K194" s="520" t="str">
        <f>IF(J194="","",IF(VLOOKUP(J194,'G-3 Multipliers'!$L$3:$N$6,2,FALSE)=0,"Spatial Data Missing ⚠",VLOOKUP(J194,'G-3 Multipliers'!$L$3:$N$6,2,FALSE)))</f>
        <v/>
      </c>
      <c r="L194" s="505" t="str">
        <f>IF(J194="","",IF(VLOOKUP(J194,'G-3 Multipliers'!$L$3:$N$6,3,FALSE)=0,"Spatial Data Missing ⚠",VLOOKUP(J194,'G-3 Multipliers'!$L$3:$N$6,3,FALSE)))</f>
        <v/>
      </c>
      <c r="M194" s="498" t="str">
        <f>IF(OR(D194="",H194=""),"",(INDEX('G-6 Hedgerow Data'!$E$3:$I$15,MATCH(D194,'G-6 Hedgerow Data'!$B$3:$B$15,0),MATCH(H194,'G-6 Hedgerow Data'!$E$2:$I$2,0))))</f>
        <v/>
      </c>
      <c r="N194" s="195"/>
      <c r="O194" s="195"/>
      <c r="P194" s="507" t="str">
        <f t="shared" si="13"/>
        <v/>
      </c>
      <c r="Q194" s="521" t="str">
        <f t="shared" si="14"/>
        <v/>
      </c>
      <c r="R194" s="522" t="str">
        <f t="shared" si="12"/>
        <v/>
      </c>
      <c r="S194" s="537" t="str">
        <f>IF(D194="","",VLOOKUP(D194,'G-6 Hedgerow Data'!$B$3:$AG$15,31,FALSE))</f>
        <v/>
      </c>
      <c r="T194" s="507" t="str">
        <f t="shared" si="15"/>
        <v/>
      </c>
      <c r="U194" s="507" t="str">
        <f t="shared" si="16"/>
        <v/>
      </c>
      <c r="V194" s="524" t="str">
        <f>IF(D194="","",VLOOKUP(S194,'G-3 Multipliers'!$P$3:$Q$6,2,FALSE))</f>
        <v/>
      </c>
      <c r="W194" s="529" t="str">
        <f t="shared" si="17"/>
        <v/>
      </c>
      <c r="X194" s="149"/>
      <c r="Y194" s="150"/>
      <c r="AG194" s="31" t="str">
        <f>IFERROR(INDEX('G-6 Hedgerow Data'!$BJ$3:$BJ$15,MATCH(D194,'G-6 Hedgerow Data'!$B$3:$B$15,0)),"")</f>
        <v/>
      </c>
    </row>
    <row r="195" spans="2:33" ht="13.8" x14ac:dyDescent="0.25">
      <c r="B195" s="141">
        <v>184</v>
      </c>
      <c r="C195" s="205"/>
      <c r="D195" s="195"/>
      <c r="E195" s="172"/>
      <c r="F195" s="553" t="str">
        <f>IF(D195="","",VLOOKUP(D195,'G-6 Hedgerow Data'!$B$2:$AG$15,2,FALSE))</f>
        <v/>
      </c>
      <c r="G195" s="499" t="str">
        <f>IF(D195="","",VLOOKUP(D195,'G-6 Hedgerow Data'!$B$2:$AG$15,3,FALSE))</f>
        <v/>
      </c>
      <c r="H195" s="145"/>
      <c r="I195" s="499" t="str">
        <f>IFERROR(VLOOKUP(H195,'G-1 All Habitats'!$Z$2:$AA$9,2,FALSE),"")</f>
        <v/>
      </c>
      <c r="J195" s="145"/>
      <c r="K195" s="520" t="str">
        <f>IF(J195="","",IF(VLOOKUP(J195,'G-3 Multipliers'!$L$3:$N$6,2,FALSE)=0,"Spatial Data Missing ⚠",VLOOKUP(J195,'G-3 Multipliers'!$L$3:$N$6,2,FALSE)))</f>
        <v/>
      </c>
      <c r="L195" s="505" t="str">
        <f>IF(J195="","",IF(VLOOKUP(J195,'G-3 Multipliers'!$L$3:$N$6,3,FALSE)=0,"Spatial Data Missing ⚠",VLOOKUP(J195,'G-3 Multipliers'!$L$3:$N$6,3,FALSE)))</f>
        <v/>
      </c>
      <c r="M195" s="498" t="str">
        <f>IF(OR(D195="",H195=""),"",(INDEX('G-6 Hedgerow Data'!$E$3:$I$15,MATCH(D195,'G-6 Hedgerow Data'!$B$3:$B$15,0),MATCH(H195,'G-6 Hedgerow Data'!$E$2:$I$2,0))))</f>
        <v/>
      </c>
      <c r="N195" s="195"/>
      <c r="O195" s="195"/>
      <c r="P195" s="507" t="str">
        <f t="shared" si="13"/>
        <v/>
      </c>
      <c r="Q195" s="521" t="str">
        <f t="shared" si="14"/>
        <v/>
      </c>
      <c r="R195" s="522" t="str">
        <f t="shared" si="12"/>
        <v/>
      </c>
      <c r="S195" s="537" t="str">
        <f>IF(D195="","",VLOOKUP(D195,'G-6 Hedgerow Data'!$B$3:$AG$15,31,FALSE))</f>
        <v/>
      </c>
      <c r="T195" s="507" t="str">
        <f t="shared" si="15"/>
        <v/>
      </c>
      <c r="U195" s="507" t="str">
        <f t="shared" si="16"/>
        <v/>
      </c>
      <c r="V195" s="524" t="str">
        <f>IF(D195="","",VLOOKUP(S195,'G-3 Multipliers'!$P$3:$Q$6,2,FALSE))</f>
        <v/>
      </c>
      <c r="W195" s="529" t="str">
        <f t="shared" si="17"/>
        <v/>
      </c>
      <c r="X195" s="149"/>
      <c r="Y195" s="150"/>
      <c r="AG195" s="31" t="str">
        <f>IFERROR(INDEX('G-6 Hedgerow Data'!$BJ$3:$BJ$15,MATCH(D195,'G-6 Hedgerow Data'!$B$3:$B$15,0)),"")</f>
        <v/>
      </c>
    </row>
    <row r="196" spans="2:33" ht="13.8" x14ac:dyDescent="0.25">
      <c r="B196" s="141">
        <v>185</v>
      </c>
      <c r="C196" s="205"/>
      <c r="D196" s="195"/>
      <c r="E196" s="172"/>
      <c r="F196" s="553" t="str">
        <f>IF(D196="","",VLOOKUP(D196,'G-6 Hedgerow Data'!$B$2:$AG$15,2,FALSE))</f>
        <v/>
      </c>
      <c r="G196" s="499" t="str">
        <f>IF(D196="","",VLOOKUP(D196,'G-6 Hedgerow Data'!$B$2:$AG$15,3,FALSE))</f>
        <v/>
      </c>
      <c r="H196" s="145"/>
      <c r="I196" s="499" t="str">
        <f>IFERROR(VLOOKUP(H196,'G-1 All Habitats'!$Z$2:$AA$9,2,FALSE),"")</f>
        <v/>
      </c>
      <c r="J196" s="145"/>
      <c r="K196" s="520" t="str">
        <f>IF(J196="","",IF(VLOOKUP(J196,'G-3 Multipliers'!$L$3:$N$6,2,FALSE)=0,"Spatial Data Missing ⚠",VLOOKUP(J196,'G-3 Multipliers'!$L$3:$N$6,2,FALSE)))</f>
        <v/>
      </c>
      <c r="L196" s="505" t="str">
        <f>IF(J196="","",IF(VLOOKUP(J196,'G-3 Multipliers'!$L$3:$N$6,3,FALSE)=0,"Spatial Data Missing ⚠",VLOOKUP(J196,'G-3 Multipliers'!$L$3:$N$6,3,FALSE)))</f>
        <v/>
      </c>
      <c r="M196" s="498" t="str">
        <f>IF(OR(D196="",H196=""),"",(INDEX('G-6 Hedgerow Data'!$E$3:$I$15,MATCH(D196,'G-6 Hedgerow Data'!$B$3:$B$15,0),MATCH(H196,'G-6 Hedgerow Data'!$E$2:$I$2,0))))</f>
        <v/>
      </c>
      <c r="N196" s="195"/>
      <c r="O196" s="195"/>
      <c r="P196" s="507" t="str">
        <f t="shared" si="13"/>
        <v/>
      </c>
      <c r="Q196" s="521" t="str">
        <f t="shared" si="14"/>
        <v/>
      </c>
      <c r="R196" s="522" t="str">
        <f t="shared" si="12"/>
        <v/>
      </c>
      <c r="S196" s="537" t="str">
        <f>IF(D196="","",VLOOKUP(D196,'G-6 Hedgerow Data'!$B$3:$AG$15,31,FALSE))</f>
        <v/>
      </c>
      <c r="T196" s="507" t="str">
        <f t="shared" si="15"/>
        <v/>
      </c>
      <c r="U196" s="507" t="str">
        <f t="shared" si="16"/>
        <v/>
      </c>
      <c r="V196" s="524" t="str">
        <f>IF(D196="","",VLOOKUP(S196,'G-3 Multipliers'!$P$3:$Q$6,2,FALSE))</f>
        <v/>
      </c>
      <c r="W196" s="529" t="str">
        <f t="shared" si="17"/>
        <v/>
      </c>
      <c r="X196" s="149"/>
      <c r="Y196" s="150"/>
      <c r="AG196" s="31" t="str">
        <f>IFERROR(INDEX('G-6 Hedgerow Data'!$BJ$3:$BJ$15,MATCH(D196,'G-6 Hedgerow Data'!$B$3:$B$15,0)),"")</f>
        <v/>
      </c>
    </row>
    <row r="197" spans="2:33" ht="13.8" x14ac:dyDescent="0.25">
      <c r="B197" s="141">
        <v>186</v>
      </c>
      <c r="C197" s="205"/>
      <c r="D197" s="195"/>
      <c r="E197" s="172"/>
      <c r="F197" s="553" t="str">
        <f>IF(D197="","",VLOOKUP(D197,'G-6 Hedgerow Data'!$B$2:$AG$15,2,FALSE))</f>
        <v/>
      </c>
      <c r="G197" s="499" t="str">
        <f>IF(D197="","",VLOOKUP(D197,'G-6 Hedgerow Data'!$B$2:$AG$15,3,FALSE))</f>
        <v/>
      </c>
      <c r="H197" s="145"/>
      <c r="I197" s="499" t="str">
        <f>IFERROR(VLOOKUP(H197,'G-1 All Habitats'!$Z$2:$AA$9,2,FALSE),"")</f>
        <v/>
      </c>
      <c r="J197" s="145"/>
      <c r="K197" s="520" t="str">
        <f>IF(J197="","",IF(VLOOKUP(J197,'G-3 Multipliers'!$L$3:$N$6,2,FALSE)=0,"Spatial Data Missing ⚠",VLOOKUP(J197,'G-3 Multipliers'!$L$3:$N$6,2,FALSE)))</f>
        <v/>
      </c>
      <c r="L197" s="505" t="str">
        <f>IF(J197="","",IF(VLOOKUP(J197,'G-3 Multipliers'!$L$3:$N$6,3,FALSE)=0,"Spatial Data Missing ⚠",VLOOKUP(J197,'G-3 Multipliers'!$L$3:$N$6,3,FALSE)))</f>
        <v/>
      </c>
      <c r="M197" s="498" t="str">
        <f>IF(OR(D197="",H197=""),"",(INDEX('G-6 Hedgerow Data'!$E$3:$I$15,MATCH(D197,'G-6 Hedgerow Data'!$B$3:$B$15,0),MATCH(H197,'G-6 Hedgerow Data'!$E$2:$I$2,0))))</f>
        <v/>
      </c>
      <c r="N197" s="195"/>
      <c r="O197" s="195"/>
      <c r="P197" s="507" t="str">
        <f t="shared" si="13"/>
        <v/>
      </c>
      <c r="Q197" s="521" t="str">
        <f t="shared" si="14"/>
        <v/>
      </c>
      <c r="R197" s="522" t="str">
        <f t="shared" si="12"/>
        <v/>
      </c>
      <c r="S197" s="537" t="str">
        <f>IF(D197="","",VLOOKUP(D197,'G-6 Hedgerow Data'!$B$3:$AG$15,31,FALSE))</f>
        <v/>
      </c>
      <c r="T197" s="507" t="str">
        <f t="shared" si="15"/>
        <v/>
      </c>
      <c r="U197" s="507" t="str">
        <f t="shared" si="16"/>
        <v/>
      </c>
      <c r="V197" s="524" t="str">
        <f>IF(D197="","",VLOOKUP(S197,'G-3 Multipliers'!$P$3:$Q$6,2,FALSE))</f>
        <v/>
      </c>
      <c r="W197" s="529" t="str">
        <f t="shared" si="17"/>
        <v/>
      </c>
      <c r="X197" s="149"/>
      <c r="Y197" s="150"/>
      <c r="AG197" s="31" t="str">
        <f>IFERROR(INDEX('G-6 Hedgerow Data'!$BJ$3:$BJ$15,MATCH(D197,'G-6 Hedgerow Data'!$B$3:$B$15,0)),"")</f>
        <v/>
      </c>
    </row>
    <row r="198" spans="2:33" ht="13.8" x14ac:dyDescent="0.25">
      <c r="B198" s="141">
        <v>187</v>
      </c>
      <c r="C198" s="205"/>
      <c r="D198" s="195"/>
      <c r="E198" s="172"/>
      <c r="F198" s="553" t="str">
        <f>IF(D198="","",VLOOKUP(D198,'G-6 Hedgerow Data'!$B$2:$AG$15,2,FALSE))</f>
        <v/>
      </c>
      <c r="G198" s="499" t="str">
        <f>IF(D198="","",VLOOKUP(D198,'G-6 Hedgerow Data'!$B$2:$AG$15,3,FALSE))</f>
        <v/>
      </c>
      <c r="H198" s="145"/>
      <c r="I198" s="499" t="str">
        <f>IFERROR(VLOOKUP(H198,'G-1 All Habitats'!$Z$2:$AA$9,2,FALSE),"")</f>
        <v/>
      </c>
      <c r="J198" s="145"/>
      <c r="K198" s="520" t="str">
        <f>IF(J198="","",IF(VLOOKUP(J198,'G-3 Multipliers'!$L$3:$N$6,2,FALSE)=0,"Spatial Data Missing ⚠",VLOOKUP(J198,'G-3 Multipliers'!$L$3:$N$6,2,FALSE)))</f>
        <v/>
      </c>
      <c r="L198" s="505" t="str">
        <f>IF(J198="","",IF(VLOOKUP(J198,'G-3 Multipliers'!$L$3:$N$6,3,FALSE)=0,"Spatial Data Missing ⚠",VLOOKUP(J198,'G-3 Multipliers'!$L$3:$N$6,3,FALSE)))</f>
        <v/>
      </c>
      <c r="M198" s="498" t="str">
        <f>IF(OR(D198="",H198=""),"",(INDEX('G-6 Hedgerow Data'!$E$3:$I$15,MATCH(D198,'G-6 Hedgerow Data'!$B$3:$B$15,0),MATCH(H198,'G-6 Hedgerow Data'!$E$2:$I$2,0))))</f>
        <v/>
      </c>
      <c r="N198" s="195"/>
      <c r="O198" s="195"/>
      <c r="P198" s="507" t="str">
        <f t="shared" si="13"/>
        <v/>
      </c>
      <c r="Q198" s="521" t="str">
        <f t="shared" si="14"/>
        <v/>
      </c>
      <c r="R198" s="522" t="str">
        <f t="shared" si="12"/>
        <v/>
      </c>
      <c r="S198" s="537" t="str">
        <f>IF(D198="","",VLOOKUP(D198,'G-6 Hedgerow Data'!$B$3:$AG$15,31,FALSE))</f>
        <v/>
      </c>
      <c r="T198" s="507" t="str">
        <f t="shared" si="15"/>
        <v/>
      </c>
      <c r="U198" s="507" t="str">
        <f t="shared" si="16"/>
        <v/>
      </c>
      <c r="V198" s="524" t="str">
        <f>IF(D198="","",VLOOKUP(S198,'G-3 Multipliers'!$P$3:$Q$6,2,FALSE))</f>
        <v/>
      </c>
      <c r="W198" s="529" t="str">
        <f t="shared" si="17"/>
        <v/>
      </c>
      <c r="X198" s="149"/>
      <c r="Y198" s="150"/>
      <c r="AG198" s="31" t="str">
        <f>IFERROR(INDEX('G-6 Hedgerow Data'!$BJ$3:$BJ$15,MATCH(D198,'G-6 Hedgerow Data'!$B$3:$B$15,0)),"")</f>
        <v/>
      </c>
    </row>
    <row r="199" spans="2:33" ht="13.8" x14ac:dyDescent="0.25">
      <c r="B199" s="141">
        <v>188</v>
      </c>
      <c r="C199" s="205"/>
      <c r="D199" s="195"/>
      <c r="E199" s="172"/>
      <c r="F199" s="553" t="str">
        <f>IF(D199="","",VLOOKUP(D199,'G-6 Hedgerow Data'!$B$2:$AG$15,2,FALSE))</f>
        <v/>
      </c>
      <c r="G199" s="499" t="str">
        <f>IF(D199="","",VLOOKUP(D199,'G-6 Hedgerow Data'!$B$2:$AG$15,3,FALSE))</f>
        <v/>
      </c>
      <c r="H199" s="145"/>
      <c r="I199" s="499" t="str">
        <f>IFERROR(VLOOKUP(H199,'G-1 All Habitats'!$Z$2:$AA$9,2,FALSE),"")</f>
        <v/>
      </c>
      <c r="J199" s="145"/>
      <c r="K199" s="520" t="str">
        <f>IF(J199="","",IF(VLOOKUP(J199,'G-3 Multipliers'!$L$3:$N$6,2,FALSE)=0,"Spatial Data Missing ⚠",VLOOKUP(J199,'G-3 Multipliers'!$L$3:$N$6,2,FALSE)))</f>
        <v/>
      </c>
      <c r="L199" s="505" t="str">
        <f>IF(J199="","",IF(VLOOKUP(J199,'G-3 Multipliers'!$L$3:$N$6,3,FALSE)=0,"Spatial Data Missing ⚠",VLOOKUP(J199,'G-3 Multipliers'!$L$3:$N$6,3,FALSE)))</f>
        <v/>
      </c>
      <c r="M199" s="498" t="str">
        <f>IF(OR(D199="",H199=""),"",(INDEX('G-6 Hedgerow Data'!$E$3:$I$15,MATCH(D199,'G-6 Hedgerow Data'!$B$3:$B$15,0),MATCH(H199,'G-6 Hedgerow Data'!$E$2:$I$2,0))))</f>
        <v/>
      </c>
      <c r="N199" s="195"/>
      <c r="O199" s="195"/>
      <c r="P199" s="507" t="str">
        <f t="shared" si="13"/>
        <v/>
      </c>
      <c r="Q199" s="521" t="str">
        <f t="shared" si="14"/>
        <v/>
      </c>
      <c r="R199" s="522" t="str">
        <f t="shared" si="12"/>
        <v/>
      </c>
      <c r="S199" s="537" t="str">
        <f>IF(D199="","",VLOOKUP(D199,'G-6 Hedgerow Data'!$B$3:$AG$15,31,FALSE))</f>
        <v/>
      </c>
      <c r="T199" s="507" t="str">
        <f t="shared" si="15"/>
        <v/>
      </c>
      <c r="U199" s="507" t="str">
        <f t="shared" si="16"/>
        <v/>
      </c>
      <c r="V199" s="524" t="str">
        <f>IF(D199="","",VLOOKUP(S199,'G-3 Multipliers'!$P$3:$Q$6,2,FALSE))</f>
        <v/>
      </c>
      <c r="W199" s="529" t="str">
        <f t="shared" si="17"/>
        <v/>
      </c>
      <c r="X199" s="149"/>
      <c r="Y199" s="150"/>
      <c r="AG199" s="31" t="str">
        <f>IFERROR(INDEX('G-6 Hedgerow Data'!$BJ$3:$BJ$15,MATCH(D199,'G-6 Hedgerow Data'!$B$3:$B$15,0)),"")</f>
        <v/>
      </c>
    </row>
    <row r="200" spans="2:33" ht="13.8" x14ac:dyDescent="0.25">
      <c r="B200" s="141">
        <v>189</v>
      </c>
      <c r="C200" s="205"/>
      <c r="D200" s="195"/>
      <c r="E200" s="172"/>
      <c r="F200" s="553" t="str">
        <f>IF(D200="","",VLOOKUP(D200,'G-6 Hedgerow Data'!$B$2:$AG$15,2,FALSE))</f>
        <v/>
      </c>
      <c r="G200" s="499" t="str">
        <f>IF(D200="","",VLOOKUP(D200,'G-6 Hedgerow Data'!$B$2:$AG$15,3,FALSE))</f>
        <v/>
      </c>
      <c r="H200" s="145"/>
      <c r="I200" s="499" t="str">
        <f>IFERROR(VLOOKUP(H200,'G-1 All Habitats'!$Z$2:$AA$9,2,FALSE),"")</f>
        <v/>
      </c>
      <c r="J200" s="145"/>
      <c r="K200" s="520" t="str">
        <f>IF(J200="","",IF(VLOOKUP(J200,'G-3 Multipliers'!$L$3:$N$6,2,FALSE)=0,"Spatial Data Missing ⚠",VLOOKUP(J200,'G-3 Multipliers'!$L$3:$N$6,2,FALSE)))</f>
        <v/>
      </c>
      <c r="L200" s="505" t="str">
        <f>IF(J200="","",IF(VLOOKUP(J200,'G-3 Multipliers'!$L$3:$N$6,3,FALSE)=0,"Spatial Data Missing ⚠",VLOOKUP(J200,'G-3 Multipliers'!$L$3:$N$6,3,FALSE)))</f>
        <v/>
      </c>
      <c r="M200" s="498" t="str">
        <f>IF(OR(D200="",H200=""),"",(INDEX('G-6 Hedgerow Data'!$E$3:$I$15,MATCH(D200,'G-6 Hedgerow Data'!$B$3:$B$15,0),MATCH(H200,'G-6 Hedgerow Data'!$E$2:$I$2,0))))</f>
        <v/>
      </c>
      <c r="N200" s="195"/>
      <c r="O200" s="195"/>
      <c r="P200" s="507" t="str">
        <f t="shared" si="13"/>
        <v/>
      </c>
      <c r="Q200" s="521" t="str">
        <f t="shared" si="14"/>
        <v/>
      </c>
      <c r="R200" s="522" t="str">
        <f t="shared" si="12"/>
        <v/>
      </c>
      <c r="S200" s="537" t="str">
        <f>IF(D200="","",VLOOKUP(D200,'G-6 Hedgerow Data'!$B$3:$AG$15,31,FALSE))</f>
        <v/>
      </c>
      <c r="T200" s="507" t="str">
        <f t="shared" si="15"/>
        <v/>
      </c>
      <c r="U200" s="507" t="str">
        <f t="shared" si="16"/>
        <v/>
      </c>
      <c r="V200" s="524" t="str">
        <f>IF(D200="","",VLOOKUP(S200,'G-3 Multipliers'!$P$3:$Q$6,2,FALSE))</f>
        <v/>
      </c>
      <c r="W200" s="529" t="str">
        <f t="shared" si="17"/>
        <v/>
      </c>
      <c r="X200" s="149"/>
      <c r="Y200" s="150"/>
      <c r="AG200" s="31" t="str">
        <f>IFERROR(INDEX('G-6 Hedgerow Data'!$BJ$3:$BJ$15,MATCH(D200,'G-6 Hedgerow Data'!$B$3:$B$15,0)),"")</f>
        <v/>
      </c>
    </row>
    <row r="201" spans="2:33" ht="13.8" x14ac:dyDescent="0.25">
      <c r="B201" s="141">
        <v>190</v>
      </c>
      <c r="C201" s="205"/>
      <c r="D201" s="195"/>
      <c r="E201" s="172"/>
      <c r="F201" s="553" t="str">
        <f>IF(D201="","",VLOOKUP(D201,'G-6 Hedgerow Data'!$B$2:$AG$15,2,FALSE))</f>
        <v/>
      </c>
      <c r="G201" s="499" t="str">
        <f>IF(D201="","",VLOOKUP(D201,'G-6 Hedgerow Data'!$B$2:$AG$15,3,FALSE))</f>
        <v/>
      </c>
      <c r="H201" s="145"/>
      <c r="I201" s="499" t="str">
        <f>IFERROR(VLOOKUP(H201,'G-1 All Habitats'!$Z$2:$AA$9,2,FALSE),"")</f>
        <v/>
      </c>
      <c r="J201" s="145"/>
      <c r="K201" s="520" t="str">
        <f>IF(J201="","",IF(VLOOKUP(J201,'G-3 Multipliers'!$L$3:$N$6,2,FALSE)=0,"Spatial Data Missing ⚠",VLOOKUP(J201,'G-3 Multipliers'!$L$3:$N$6,2,FALSE)))</f>
        <v/>
      </c>
      <c r="L201" s="505" t="str">
        <f>IF(J201="","",IF(VLOOKUP(J201,'G-3 Multipliers'!$L$3:$N$6,3,FALSE)=0,"Spatial Data Missing ⚠",VLOOKUP(J201,'G-3 Multipliers'!$L$3:$N$6,3,FALSE)))</f>
        <v/>
      </c>
      <c r="M201" s="498" t="str">
        <f>IF(OR(D201="",H201=""),"",(INDEX('G-6 Hedgerow Data'!$E$3:$I$15,MATCH(D201,'G-6 Hedgerow Data'!$B$3:$B$15,0),MATCH(H201,'G-6 Hedgerow Data'!$E$2:$I$2,0))))</f>
        <v/>
      </c>
      <c r="N201" s="195"/>
      <c r="O201" s="195"/>
      <c r="P201" s="507" t="str">
        <f t="shared" si="13"/>
        <v/>
      </c>
      <c r="Q201" s="521" t="str">
        <f t="shared" si="14"/>
        <v/>
      </c>
      <c r="R201" s="522" t="str">
        <f t="shared" si="12"/>
        <v/>
      </c>
      <c r="S201" s="537" t="str">
        <f>IF(D201="","",VLOOKUP(D201,'G-6 Hedgerow Data'!$B$3:$AG$15,31,FALSE))</f>
        <v/>
      </c>
      <c r="T201" s="507" t="str">
        <f t="shared" si="15"/>
        <v/>
      </c>
      <c r="U201" s="507" t="str">
        <f t="shared" si="16"/>
        <v/>
      </c>
      <c r="V201" s="524" t="str">
        <f>IF(D201="","",VLOOKUP(S201,'G-3 Multipliers'!$P$3:$Q$6,2,FALSE))</f>
        <v/>
      </c>
      <c r="W201" s="529" t="str">
        <f t="shared" si="17"/>
        <v/>
      </c>
      <c r="X201" s="149"/>
      <c r="Y201" s="150"/>
      <c r="AG201" s="31" t="str">
        <f>IFERROR(INDEX('G-6 Hedgerow Data'!$BJ$3:$BJ$15,MATCH(D201,'G-6 Hedgerow Data'!$B$3:$B$15,0)),"")</f>
        <v/>
      </c>
    </row>
    <row r="202" spans="2:33" ht="13.8" x14ac:dyDescent="0.25">
      <c r="B202" s="141">
        <v>191</v>
      </c>
      <c r="C202" s="205"/>
      <c r="D202" s="195"/>
      <c r="E202" s="172"/>
      <c r="F202" s="553" t="str">
        <f>IF(D202="","",VLOOKUP(D202,'G-6 Hedgerow Data'!$B$2:$AG$15,2,FALSE))</f>
        <v/>
      </c>
      <c r="G202" s="499" t="str">
        <f>IF(D202="","",VLOOKUP(D202,'G-6 Hedgerow Data'!$B$2:$AG$15,3,FALSE))</f>
        <v/>
      </c>
      <c r="H202" s="145"/>
      <c r="I202" s="499" t="str">
        <f>IFERROR(VLOOKUP(H202,'G-1 All Habitats'!$Z$2:$AA$9,2,FALSE),"")</f>
        <v/>
      </c>
      <c r="J202" s="145"/>
      <c r="K202" s="520" t="str">
        <f>IF(J202="","",IF(VLOOKUP(J202,'G-3 Multipliers'!$L$3:$N$6,2,FALSE)=0,"Spatial Data Missing ⚠",VLOOKUP(J202,'G-3 Multipliers'!$L$3:$N$6,2,FALSE)))</f>
        <v/>
      </c>
      <c r="L202" s="505" t="str">
        <f>IF(J202="","",IF(VLOOKUP(J202,'G-3 Multipliers'!$L$3:$N$6,3,FALSE)=0,"Spatial Data Missing ⚠",VLOOKUP(J202,'G-3 Multipliers'!$L$3:$N$6,3,FALSE)))</f>
        <v/>
      </c>
      <c r="M202" s="498" t="str">
        <f>IF(OR(D202="",H202=""),"",(INDEX('G-6 Hedgerow Data'!$E$3:$I$15,MATCH(D202,'G-6 Hedgerow Data'!$B$3:$B$15,0),MATCH(H202,'G-6 Hedgerow Data'!$E$2:$I$2,0))))</f>
        <v/>
      </c>
      <c r="N202" s="195"/>
      <c r="O202" s="195"/>
      <c r="P202" s="507" t="str">
        <f t="shared" si="13"/>
        <v/>
      </c>
      <c r="Q202" s="521" t="str">
        <f t="shared" si="14"/>
        <v/>
      </c>
      <c r="R202" s="522" t="str">
        <f t="shared" si="12"/>
        <v/>
      </c>
      <c r="S202" s="537" t="str">
        <f>IF(D202="","",VLOOKUP(D202,'G-6 Hedgerow Data'!$B$3:$AG$15,31,FALSE))</f>
        <v/>
      </c>
      <c r="T202" s="507" t="str">
        <f t="shared" si="15"/>
        <v/>
      </c>
      <c r="U202" s="507" t="str">
        <f t="shared" si="16"/>
        <v/>
      </c>
      <c r="V202" s="524" t="str">
        <f>IF(D202="","",VLOOKUP(S202,'G-3 Multipliers'!$P$3:$Q$6,2,FALSE))</f>
        <v/>
      </c>
      <c r="W202" s="529" t="str">
        <f t="shared" si="17"/>
        <v/>
      </c>
      <c r="X202" s="149"/>
      <c r="Y202" s="150"/>
      <c r="AG202" s="31" t="str">
        <f>IFERROR(INDEX('G-6 Hedgerow Data'!$BJ$3:$BJ$15,MATCH(D202,'G-6 Hedgerow Data'!$B$3:$B$15,0)),"")</f>
        <v/>
      </c>
    </row>
    <row r="203" spans="2:33" ht="13.8" x14ac:dyDescent="0.25">
      <c r="B203" s="141">
        <v>192</v>
      </c>
      <c r="C203" s="205"/>
      <c r="D203" s="195"/>
      <c r="E203" s="172"/>
      <c r="F203" s="553" t="str">
        <f>IF(D203="","",VLOOKUP(D203,'G-6 Hedgerow Data'!$B$2:$AG$15,2,FALSE))</f>
        <v/>
      </c>
      <c r="G203" s="499" t="str">
        <f>IF(D203="","",VLOOKUP(D203,'G-6 Hedgerow Data'!$B$2:$AG$15,3,FALSE))</f>
        <v/>
      </c>
      <c r="H203" s="145"/>
      <c r="I203" s="499" t="str">
        <f>IFERROR(VLOOKUP(H203,'G-1 All Habitats'!$Z$2:$AA$9,2,FALSE),"")</f>
        <v/>
      </c>
      <c r="J203" s="145"/>
      <c r="K203" s="520" t="str">
        <f>IF(J203="","",IF(VLOOKUP(J203,'G-3 Multipliers'!$L$3:$N$6,2,FALSE)=0,"Spatial Data Missing ⚠",VLOOKUP(J203,'G-3 Multipliers'!$L$3:$N$6,2,FALSE)))</f>
        <v/>
      </c>
      <c r="L203" s="505" t="str">
        <f>IF(J203="","",IF(VLOOKUP(J203,'G-3 Multipliers'!$L$3:$N$6,3,FALSE)=0,"Spatial Data Missing ⚠",VLOOKUP(J203,'G-3 Multipliers'!$L$3:$N$6,3,FALSE)))</f>
        <v/>
      </c>
      <c r="M203" s="498" t="str">
        <f>IF(OR(D203="",H203=""),"",(INDEX('G-6 Hedgerow Data'!$E$3:$I$15,MATCH(D203,'G-6 Hedgerow Data'!$B$3:$B$15,0),MATCH(H203,'G-6 Hedgerow Data'!$E$2:$I$2,0))))</f>
        <v/>
      </c>
      <c r="N203" s="195"/>
      <c r="O203" s="195"/>
      <c r="P203" s="507" t="str">
        <f t="shared" si="13"/>
        <v/>
      </c>
      <c r="Q203" s="521" t="str">
        <f t="shared" si="14"/>
        <v/>
      </c>
      <c r="R203" s="522" t="str">
        <f t="shared" si="12"/>
        <v/>
      </c>
      <c r="S203" s="537" t="str">
        <f>IF(D203="","",VLOOKUP(D203,'G-6 Hedgerow Data'!$B$3:$AG$15,31,FALSE))</f>
        <v/>
      </c>
      <c r="T203" s="507" t="str">
        <f t="shared" si="15"/>
        <v/>
      </c>
      <c r="U203" s="507" t="str">
        <f t="shared" si="16"/>
        <v/>
      </c>
      <c r="V203" s="524" t="str">
        <f>IF(D203="","",VLOOKUP(S203,'G-3 Multipliers'!$P$3:$Q$6,2,FALSE))</f>
        <v/>
      </c>
      <c r="W203" s="529" t="str">
        <f t="shared" si="17"/>
        <v/>
      </c>
      <c r="X203" s="149"/>
      <c r="Y203" s="150"/>
      <c r="AG203" s="31" t="str">
        <f>IFERROR(INDEX('G-6 Hedgerow Data'!$BJ$3:$BJ$15,MATCH(D203,'G-6 Hedgerow Data'!$B$3:$B$15,0)),"")</f>
        <v/>
      </c>
    </row>
    <row r="204" spans="2:33" ht="13.8" x14ac:dyDescent="0.25">
      <c r="B204" s="141">
        <v>193</v>
      </c>
      <c r="C204" s="205"/>
      <c r="D204" s="195"/>
      <c r="E204" s="172"/>
      <c r="F204" s="553" t="str">
        <f>IF(D204="","",VLOOKUP(D204,'G-6 Hedgerow Data'!$B$2:$AG$15,2,FALSE))</f>
        <v/>
      </c>
      <c r="G204" s="499" t="str">
        <f>IF(D204="","",VLOOKUP(D204,'G-6 Hedgerow Data'!$B$2:$AG$15,3,FALSE))</f>
        <v/>
      </c>
      <c r="H204" s="145"/>
      <c r="I204" s="499" t="str">
        <f>IFERROR(VLOOKUP(H204,'G-1 All Habitats'!$Z$2:$AA$9,2,FALSE),"")</f>
        <v/>
      </c>
      <c r="J204" s="145"/>
      <c r="K204" s="520" t="str">
        <f>IF(J204="","",IF(VLOOKUP(J204,'G-3 Multipliers'!$L$3:$N$6,2,FALSE)=0,"Spatial Data Missing ⚠",VLOOKUP(J204,'G-3 Multipliers'!$L$3:$N$6,2,FALSE)))</f>
        <v/>
      </c>
      <c r="L204" s="505" t="str">
        <f>IF(J204="","",IF(VLOOKUP(J204,'G-3 Multipliers'!$L$3:$N$6,3,FALSE)=0,"Spatial Data Missing ⚠",VLOOKUP(J204,'G-3 Multipliers'!$L$3:$N$6,3,FALSE)))</f>
        <v/>
      </c>
      <c r="M204" s="498" t="str">
        <f>IF(OR(D204="",H204=""),"",(INDEX('G-6 Hedgerow Data'!$E$3:$I$15,MATCH(D204,'G-6 Hedgerow Data'!$B$3:$B$15,0),MATCH(H204,'G-6 Hedgerow Data'!$E$2:$I$2,0))))</f>
        <v/>
      </c>
      <c r="N204" s="195"/>
      <c r="O204" s="195"/>
      <c r="P204" s="507" t="str">
        <f t="shared" si="13"/>
        <v/>
      </c>
      <c r="Q204" s="521" t="str">
        <f t="shared" si="14"/>
        <v/>
      </c>
      <c r="R204" s="522" t="str">
        <f t="shared" ref="R204:R259" si="18">IF(M204="","",IF(LEFT(P204,5)="Error ▲","Check Data ⚠",VLOOKUP(Q204,TemporalMultipliers,3,FALSE)))</f>
        <v/>
      </c>
      <c r="S204" s="537" t="str">
        <f>IF(D204="","",VLOOKUP(D204,'G-6 Hedgerow Data'!$B$3:$AG$15,31,FALSE))</f>
        <v/>
      </c>
      <c r="T204" s="507" t="str">
        <f t="shared" si="15"/>
        <v/>
      </c>
      <c r="U204" s="507" t="str">
        <f t="shared" si="16"/>
        <v/>
      </c>
      <c r="V204" s="524" t="str">
        <f>IF(D204="","",VLOOKUP(S204,'G-3 Multipliers'!$P$3:$Q$6,2,FALSE))</f>
        <v/>
      </c>
      <c r="W204" s="529" t="str">
        <f t="shared" si="17"/>
        <v/>
      </c>
      <c r="X204" s="149"/>
      <c r="Y204" s="150"/>
      <c r="AG204" s="31" t="str">
        <f>IFERROR(INDEX('G-6 Hedgerow Data'!$BJ$3:$BJ$15,MATCH(D204,'G-6 Hedgerow Data'!$B$3:$B$15,0)),"")</f>
        <v/>
      </c>
    </row>
    <row r="205" spans="2:33" ht="13.8" x14ac:dyDescent="0.25">
      <c r="B205" s="141">
        <v>194</v>
      </c>
      <c r="C205" s="205"/>
      <c r="D205" s="195"/>
      <c r="E205" s="172"/>
      <c r="F205" s="553" t="str">
        <f>IF(D205="","",VLOOKUP(D205,'G-6 Hedgerow Data'!$B$2:$AG$15,2,FALSE))</f>
        <v/>
      </c>
      <c r="G205" s="499" t="str">
        <f>IF(D205="","",VLOOKUP(D205,'G-6 Hedgerow Data'!$B$2:$AG$15,3,FALSE))</f>
        <v/>
      </c>
      <c r="H205" s="145"/>
      <c r="I205" s="499" t="str">
        <f>IFERROR(VLOOKUP(H205,'G-1 All Habitats'!$Z$2:$AA$9,2,FALSE),"")</f>
        <v/>
      </c>
      <c r="J205" s="145"/>
      <c r="K205" s="520" t="str">
        <f>IF(J205="","",IF(VLOOKUP(J205,'G-3 Multipliers'!$L$3:$N$6,2,FALSE)=0,"Spatial Data Missing ⚠",VLOOKUP(J205,'G-3 Multipliers'!$L$3:$N$6,2,FALSE)))</f>
        <v/>
      </c>
      <c r="L205" s="505" t="str">
        <f>IF(J205="","",IF(VLOOKUP(J205,'G-3 Multipliers'!$L$3:$N$6,3,FALSE)=0,"Spatial Data Missing ⚠",VLOOKUP(J205,'G-3 Multipliers'!$L$3:$N$6,3,FALSE)))</f>
        <v/>
      </c>
      <c r="M205" s="498" t="str">
        <f>IF(OR(D205="",H205=""),"",(INDEX('G-6 Hedgerow Data'!$E$3:$I$15,MATCH(D205,'G-6 Hedgerow Data'!$B$3:$B$15,0),MATCH(H205,'G-6 Hedgerow Data'!$E$2:$I$2,0))))</f>
        <v/>
      </c>
      <c r="N205" s="195"/>
      <c r="O205" s="195"/>
      <c r="P205" s="507"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1" t="str">
        <f t="shared" ref="Q205:Q259" si="20">IF(M205="","",IF(LEFT(P205,5)="Error ▲","Check Data ⚠",IF(OR(N205="30+",N205="Habitat already in target condition"),0,IF(O205="30+","30+ ⚠",IF(AND(M205="30+ ⚠",OR(N205="",N205=0)),"30+ ⚠",IF(AND(M205="30+ ⚠",N205&gt;0),32-N205,IF(M205+O205&gt;30,"30+ ⚠",IF(M205+O205-N205&gt;0,M205+O205-N205,IF(M205-N205&lt;0,0,M205+O205-N205)))))))))</f>
        <v/>
      </c>
      <c r="R205" s="522" t="str">
        <f t="shared" si="18"/>
        <v/>
      </c>
      <c r="S205" s="537" t="str">
        <f>IF(D205="","",VLOOKUP(D205,'G-6 Hedgerow Data'!$B$3:$AG$15,31,FALSE))</f>
        <v/>
      </c>
      <c r="T205" s="507" t="str">
        <f t="shared" ref="T205:T259" si="21">IF(D205="","",IF(Q205="Check Data ⚠","Check Data ⚠",IF(H205="","",IF($P205="Check details - Is there evidence that habitat has reached target condition? ⚠","Low Difficulty - only applicable if all habitat created before losses ⚠","Standard difficulty applied"))))</f>
        <v/>
      </c>
      <c r="U205" s="507" t="str">
        <f t="shared" ref="U205:U259" si="22">(IF(AND(T205="Standard difficulty applied",M205&gt;N205),S205,IF(AND(T205="Low Difficulty - only applicable if all habitat created before losses ⚠",Q205&lt;=0),"Low",S205)))</f>
        <v/>
      </c>
      <c r="V205" s="524" t="str">
        <f>IF(D205="","",VLOOKUP(S205,'G-3 Multipliers'!$P$3:$Q$6,2,FALSE))</f>
        <v/>
      </c>
      <c r="W205" s="529" t="str">
        <f t="shared" ref="W205:W259" si="23">IFERROR(E205*G205*I205*L205*R205*V205,"")</f>
        <v/>
      </c>
      <c r="X205" s="149"/>
      <c r="Y205" s="150"/>
      <c r="AG205" s="31" t="str">
        <f>IFERROR(INDEX('G-6 Hedgerow Data'!$BJ$3:$BJ$15,MATCH(D205,'G-6 Hedgerow Data'!$B$3:$B$15,0)),"")</f>
        <v/>
      </c>
    </row>
    <row r="206" spans="2:33" ht="13.8" x14ac:dyDescent="0.25">
      <c r="B206" s="141">
        <v>195</v>
      </c>
      <c r="C206" s="205"/>
      <c r="D206" s="195"/>
      <c r="E206" s="172"/>
      <c r="F206" s="553" t="str">
        <f>IF(D206="","",VLOOKUP(D206,'G-6 Hedgerow Data'!$B$2:$AG$15,2,FALSE))</f>
        <v/>
      </c>
      <c r="G206" s="499" t="str">
        <f>IF(D206="","",VLOOKUP(D206,'G-6 Hedgerow Data'!$B$2:$AG$15,3,FALSE))</f>
        <v/>
      </c>
      <c r="H206" s="145"/>
      <c r="I206" s="499" t="str">
        <f>IFERROR(VLOOKUP(H206,'G-1 All Habitats'!$Z$2:$AA$9,2,FALSE),"")</f>
        <v/>
      </c>
      <c r="J206" s="145"/>
      <c r="K206" s="520" t="str">
        <f>IF(J206="","",IF(VLOOKUP(J206,'G-3 Multipliers'!$L$3:$N$6,2,FALSE)=0,"Spatial Data Missing ⚠",VLOOKUP(J206,'G-3 Multipliers'!$L$3:$N$6,2,FALSE)))</f>
        <v/>
      </c>
      <c r="L206" s="505" t="str">
        <f>IF(J206="","",IF(VLOOKUP(J206,'G-3 Multipliers'!$L$3:$N$6,3,FALSE)=0,"Spatial Data Missing ⚠",VLOOKUP(J206,'G-3 Multipliers'!$L$3:$N$6,3,FALSE)))</f>
        <v/>
      </c>
      <c r="M206" s="498" t="str">
        <f>IF(OR(D206="",H206=""),"",(INDEX('G-6 Hedgerow Data'!$E$3:$I$15,MATCH(D206,'G-6 Hedgerow Data'!$B$3:$B$15,0),MATCH(H206,'G-6 Hedgerow Data'!$E$2:$I$2,0))))</f>
        <v/>
      </c>
      <c r="N206" s="195"/>
      <c r="O206" s="195"/>
      <c r="P206" s="507" t="str">
        <f t="shared" si="19"/>
        <v/>
      </c>
      <c r="Q206" s="521" t="str">
        <f t="shared" si="20"/>
        <v/>
      </c>
      <c r="R206" s="522" t="str">
        <f t="shared" si="18"/>
        <v/>
      </c>
      <c r="S206" s="537" t="str">
        <f>IF(D206="","",VLOOKUP(D206,'G-6 Hedgerow Data'!$B$3:$AG$15,31,FALSE))</f>
        <v/>
      </c>
      <c r="T206" s="507" t="str">
        <f t="shared" si="21"/>
        <v/>
      </c>
      <c r="U206" s="507" t="str">
        <f t="shared" si="22"/>
        <v/>
      </c>
      <c r="V206" s="524" t="str">
        <f>IF(D206="","",VLOOKUP(S206,'G-3 Multipliers'!$P$3:$Q$6,2,FALSE))</f>
        <v/>
      </c>
      <c r="W206" s="529" t="str">
        <f t="shared" si="23"/>
        <v/>
      </c>
      <c r="X206" s="149"/>
      <c r="Y206" s="150"/>
      <c r="AG206" s="31" t="str">
        <f>IFERROR(INDEX('G-6 Hedgerow Data'!$BJ$3:$BJ$15,MATCH(D206,'G-6 Hedgerow Data'!$B$3:$B$15,0)),"")</f>
        <v/>
      </c>
    </row>
    <row r="207" spans="2:33" ht="13.8" x14ac:dyDescent="0.25">
      <c r="B207" s="141">
        <v>196</v>
      </c>
      <c r="C207" s="205"/>
      <c r="D207" s="195"/>
      <c r="E207" s="172"/>
      <c r="F207" s="553" t="str">
        <f>IF(D207="","",VLOOKUP(D207,'G-6 Hedgerow Data'!$B$2:$AG$15,2,FALSE))</f>
        <v/>
      </c>
      <c r="G207" s="499" t="str">
        <f>IF(D207="","",VLOOKUP(D207,'G-6 Hedgerow Data'!$B$2:$AG$15,3,FALSE))</f>
        <v/>
      </c>
      <c r="H207" s="145"/>
      <c r="I207" s="499" t="str">
        <f>IFERROR(VLOOKUP(H207,'G-1 All Habitats'!$Z$2:$AA$9,2,FALSE),"")</f>
        <v/>
      </c>
      <c r="J207" s="145"/>
      <c r="K207" s="520" t="str">
        <f>IF(J207="","",IF(VLOOKUP(J207,'G-3 Multipliers'!$L$3:$N$6,2,FALSE)=0,"Spatial Data Missing ⚠",VLOOKUP(J207,'G-3 Multipliers'!$L$3:$N$6,2,FALSE)))</f>
        <v/>
      </c>
      <c r="L207" s="505" t="str">
        <f>IF(J207="","",IF(VLOOKUP(J207,'G-3 Multipliers'!$L$3:$N$6,3,FALSE)=0,"Spatial Data Missing ⚠",VLOOKUP(J207,'G-3 Multipliers'!$L$3:$N$6,3,FALSE)))</f>
        <v/>
      </c>
      <c r="M207" s="498" t="str">
        <f>IF(OR(D207="",H207=""),"",(INDEX('G-6 Hedgerow Data'!$E$3:$I$15,MATCH(D207,'G-6 Hedgerow Data'!$B$3:$B$15,0),MATCH(H207,'G-6 Hedgerow Data'!$E$2:$I$2,0))))</f>
        <v/>
      </c>
      <c r="N207" s="195"/>
      <c r="O207" s="195"/>
      <c r="P207" s="507" t="str">
        <f t="shared" si="19"/>
        <v/>
      </c>
      <c r="Q207" s="521" t="str">
        <f t="shared" si="20"/>
        <v/>
      </c>
      <c r="R207" s="522" t="str">
        <f t="shared" si="18"/>
        <v/>
      </c>
      <c r="S207" s="537" t="str">
        <f>IF(D207="","",VLOOKUP(D207,'G-6 Hedgerow Data'!$B$3:$AG$15,31,FALSE))</f>
        <v/>
      </c>
      <c r="T207" s="507" t="str">
        <f t="shared" si="21"/>
        <v/>
      </c>
      <c r="U207" s="507" t="str">
        <f t="shared" si="22"/>
        <v/>
      </c>
      <c r="V207" s="524" t="str">
        <f>IF(D207="","",VLOOKUP(S207,'G-3 Multipliers'!$P$3:$Q$6,2,FALSE))</f>
        <v/>
      </c>
      <c r="W207" s="529" t="str">
        <f t="shared" si="23"/>
        <v/>
      </c>
      <c r="X207" s="149"/>
      <c r="Y207" s="150"/>
      <c r="AG207" s="31" t="str">
        <f>IFERROR(INDEX('G-6 Hedgerow Data'!$BJ$3:$BJ$15,MATCH(D207,'G-6 Hedgerow Data'!$B$3:$B$15,0)),"")</f>
        <v/>
      </c>
    </row>
    <row r="208" spans="2:33" ht="13.8" x14ac:dyDescent="0.25">
      <c r="B208" s="141">
        <v>197</v>
      </c>
      <c r="C208" s="205"/>
      <c r="D208" s="195"/>
      <c r="E208" s="172"/>
      <c r="F208" s="553" t="str">
        <f>IF(D208="","",VLOOKUP(D208,'G-6 Hedgerow Data'!$B$2:$AG$15,2,FALSE))</f>
        <v/>
      </c>
      <c r="G208" s="499" t="str">
        <f>IF(D208="","",VLOOKUP(D208,'G-6 Hedgerow Data'!$B$2:$AG$15,3,FALSE))</f>
        <v/>
      </c>
      <c r="H208" s="145"/>
      <c r="I208" s="499" t="str">
        <f>IFERROR(VLOOKUP(H208,'G-1 All Habitats'!$Z$2:$AA$9,2,FALSE),"")</f>
        <v/>
      </c>
      <c r="J208" s="145"/>
      <c r="K208" s="520" t="str">
        <f>IF(J208="","",IF(VLOOKUP(J208,'G-3 Multipliers'!$L$3:$N$6,2,FALSE)=0,"Spatial Data Missing ⚠",VLOOKUP(J208,'G-3 Multipliers'!$L$3:$N$6,2,FALSE)))</f>
        <v/>
      </c>
      <c r="L208" s="505" t="str">
        <f>IF(J208="","",IF(VLOOKUP(J208,'G-3 Multipliers'!$L$3:$N$6,3,FALSE)=0,"Spatial Data Missing ⚠",VLOOKUP(J208,'G-3 Multipliers'!$L$3:$N$6,3,FALSE)))</f>
        <v/>
      </c>
      <c r="M208" s="498" t="str">
        <f>IF(OR(D208="",H208=""),"",(INDEX('G-6 Hedgerow Data'!$E$3:$I$15,MATCH(D208,'G-6 Hedgerow Data'!$B$3:$B$15,0),MATCH(H208,'G-6 Hedgerow Data'!$E$2:$I$2,0))))</f>
        <v/>
      </c>
      <c r="N208" s="195"/>
      <c r="O208" s="195"/>
      <c r="P208" s="507" t="str">
        <f t="shared" si="19"/>
        <v/>
      </c>
      <c r="Q208" s="521" t="str">
        <f t="shared" si="20"/>
        <v/>
      </c>
      <c r="R208" s="522" t="str">
        <f t="shared" si="18"/>
        <v/>
      </c>
      <c r="S208" s="537" t="str">
        <f>IF(D208="","",VLOOKUP(D208,'G-6 Hedgerow Data'!$B$3:$AG$15,31,FALSE))</f>
        <v/>
      </c>
      <c r="T208" s="507" t="str">
        <f t="shared" si="21"/>
        <v/>
      </c>
      <c r="U208" s="507" t="str">
        <f t="shared" si="22"/>
        <v/>
      </c>
      <c r="V208" s="524" t="str">
        <f>IF(D208="","",VLOOKUP(S208,'G-3 Multipliers'!$P$3:$Q$6,2,FALSE))</f>
        <v/>
      </c>
      <c r="W208" s="529" t="str">
        <f t="shared" si="23"/>
        <v/>
      </c>
      <c r="X208" s="149"/>
      <c r="Y208" s="150"/>
      <c r="AG208" s="31" t="str">
        <f>IFERROR(INDEX('G-6 Hedgerow Data'!$BJ$3:$BJ$15,MATCH(D208,'G-6 Hedgerow Data'!$B$3:$B$15,0)),"")</f>
        <v/>
      </c>
    </row>
    <row r="209" spans="2:33" ht="13.8" x14ac:dyDescent="0.25">
      <c r="B209" s="141">
        <v>198</v>
      </c>
      <c r="C209" s="205"/>
      <c r="D209" s="195"/>
      <c r="E209" s="172"/>
      <c r="F209" s="553" t="str">
        <f>IF(D209="","",VLOOKUP(D209,'G-6 Hedgerow Data'!$B$2:$AG$15,2,FALSE))</f>
        <v/>
      </c>
      <c r="G209" s="499" t="str">
        <f>IF(D209="","",VLOOKUP(D209,'G-6 Hedgerow Data'!$B$2:$AG$15,3,FALSE))</f>
        <v/>
      </c>
      <c r="H209" s="145"/>
      <c r="I209" s="499" t="str">
        <f>IFERROR(VLOOKUP(H209,'G-1 All Habitats'!$Z$2:$AA$9,2,FALSE),"")</f>
        <v/>
      </c>
      <c r="J209" s="145"/>
      <c r="K209" s="520" t="str">
        <f>IF(J209="","",IF(VLOOKUP(J209,'G-3 Multipliers'!$L$3:$N$6,2,FALSE)=0,"Spatial Data Missing ⚠",VLOOKUP(J209,'G-3 Multipliers'!$L$3:$N$6,2,FALSE)))</f>
        <v/>
      </c>
      <c r="L209" s="505" t="str">
        <f>IF(J209="","",IF(VLOOKUP(J209,'G-3 Multipliers'!$L$3:$N$6,3,FALSE)=0,"Spatial Data Missing ⚠",VLOOKUP(J209,'G-3 Multipliers'!$L$3:$N$6,3,FALSE)))</f>
        <v/>
      </c>
      <c r="M209" s="498" t="str">
        <f>IF(OR(D209="",H209=""),"",(INDEX('G-6 Hedgerow Data'!$E$3:$I$15,MATCH(D209,'G-6 Hedgerow Data'!$B$3:$B$15,0),MATCH(H209,'G-6 Hedgerow Data'!$E$2:$I$2,0))))</f>
        <v/>
      </c>
      <c r="N209" s="195"/>
      <c r="O209" s="195"/>
      <c r="P209" s="507" t="str">
        <f t="shared" si="19"/>
        <v/>
      </c>
      <c r="Q209" s="521" t="str">
        <f t="shared" si="20"/>
        <v/>
      </c>
      <c r="R209" s="522" t="str">
        <f t="shared" si="18"/>
        <v/>
      </c>
      <c r="S209" s="537" t="str">
        <f>IF(D209="","",VLOOKUP(D209,'G-6 Hedgerow Data'!$B$3:$AG$15,31,FALSE))</f>
        <v/>
      </c>
      <c r="T209" s="507" t="str">
        <f t="shared" si="21"/>
        <v/>
      </c>
      <c r="U209" s="507" t="str">
        <f t="shared" si="22"/>
        <v/>
      </c>
      <c r="V209" s="524" t="str">
        <f>IF(D209="","",VLOOKUP(S209,'G-3 Multipliers'!$P$3:$Q$6,2,FALSE))</f>
        <v/>
      </c>
      <c r="W209" s="529" t="str">
        <f t="shared" si="23"/>
        <v/>
      </c>
      <c r="X209" s="149"/>
      <c r="Y209" s="150"/>
      <c r="AG209" s="31" t="str">
        <f>IFERROR(INDEX('G-6 Hedgerow Data'!$BJ$3:$BJ$15,MATCH(D209,'G-6 Hedgerow Data'!$B$3:$B$15,0)),"")</f>
        <v/>
      </c>
    </row>
    <row r="210" spans="2:33" ht="13.8" x14ac:dyDescent="0.25">
      <c r="B210" s="141">
        <v>199</v>
      </c>
      <c r="C210" s="205"/>
      <c r="D210" s="195"/>
      <c r="E210" s="172"/>
      <c r="F210" s="553" t="str">
        <f>IF(D210="","",VLOOKUP(D210,'G-6 Hedgerow Data'!$B$2:$AG$15,2,FALSE))</f>
        <v/>
      </c>
      <c r="G210" s="499" t="str">
        <f>IF(D210="","",VLOOKUP(D210,'G-6 Hedgerow Data'!$B$2:$AG$15,3,FALSE))</f>
        <v/>
      </c>
      <c r="H210" s="145"/>
      <c r="I210" s="499" t="str">
        <f>IFERROR(VLOOKUP(H210,'G-1 All Habitats'!$Z$2:$AA$9,2,FALSE),"")</f>
        <v/>
      </c>
      <c r="J210" s="145"/>
      <c r="K210" s="520" t="str">
        <f>IF(J210="","",IF(VLOOKUP(J210,'G-3 Multipliers'!$L$3:$N$6,2,FALSE)=0,"Spatial Data Missing ⚠",VLOOKUP(J210,'G-3 Multipliers'!$L$3:$N$6,2,FALSE)))</f>
        <v/>
      </c>
      <c r="L210" s="505" t="str">
        <f>IF(J210="","",IF(VLOOKUP(J210,'G-3 Multipliers'!$L$3:$N$6,3,FALSE)=0,"Spatial Data Missing ⚠",VLOOKUP(J210,'G-3 Multipliers'!$L$3:$N$6,3,FALSE)))</f>
        <v/>
      </c>
      <c r="M210" s="498" t="str">
        <f>IF(OR(D210="",H210=""),"",(INDEX('G-6 Hedgerow Data'!$E$3:$I$15,MATCH(D210,'G-6 Hedgerow Data'!$B$3:$B$15,0),MATCH(H210,'G-6 Hedgerow Data'!$E$2:$I$2,0))))</f>
        <v/>
      </c>
      <c r="N210" s="195"/>
      <c r="O210" s="195"/>
      <c r="P210" s="507" t="str">
        <f t="shared" si="19"/>
        <v/>
      </c>
      <c r="Q210" s="521" t="str">
        <f t="shared" si="20"/>
        <v/>
      </c>
      <c r="R210" s="522" t="str">
        <f t="shared" si="18"/>
        <v/>
      </c>
      <c r="S210" s="537" t="str">
        <f>IF(D210="","",VLOOKUP(D210,'G-6 Hedgerow Data'!$B$3:$AG$15,31,FALSE))</f>
        <v/>
      </c>
      <c r="T210" s="507" t="str">
        <f t="shared" si="21"/>
        <v/>
      </c>
      <c r="U210" s="507" t="str">
        <f t="shared" si="22"/>
        <v/>
      </c>
      <c r="V210" s="524" t="str">
        <f>IF(D210="","",VLOOKUP(S210,'G-3 Multipliers'!$P$3:$Q$6,2,FALSE))</f>
        <v/>
      </c>
      <c r="W210" s="529" t="str">
        <f t="shared" si="23"/>
        <v/>
      </c>
      <c r="X210" s="149"/>
      <c r="Y210" s="150"/>
      <c r="AG210" s="31" t="str">
        <f>IFERROR(INDEX('G-6 Hedgerow Data'!$BJ$3:$BJ$15,MATCH(D210,'G-6 Hedgerow Data'!$B$3:$B$15,0)),"")</f>
        <v/>
      </c>
    </row>
    <row r="211" spans="2:33" ht="13.8" x14ac:dyDescent="0.25">
      <c r="B211" s="141">
        <v>200</v>
      </c>
      <c r="C211" s="205"/>
      <c r="D211" s="195"/>
      <c r="E211" s="172"/>
      <c r="F211" s="553" t="str">
        <f>IF(D211="","",VLOOKUP(D211,'G-6 Hedgerow Data'!$B$2:$AG$15,2,FALSE))</f>
        <v/>
      </c>
      <c r="G211" s="499" t="str">
        <f>IF(D211="","",VLOOKUP(D211,'G-6 Hedgerow Data'!$B$2:$AG$15,3,FALSE))</f>
        <v/>
      </c>
      <c r="H211" s="145"/>
      <c r="I211" s="499" t="str">
        <f>IFERROR(VLOOKUP(H211,'G-1 All Habitats'!$Z$2:$AA$9,2,FALSE),"")</f>
        <v/>
      </c>
      <c r="J211" s="145"/>
      <c r="K211" s="520" t="str">
        <f>IF(J211="","",IF(VLOOKUP(J211,'G-3 Multipliers'!$L$3:$N$6,2,FALSE)=0,"Spatial Data Missing ⚠",VLOOKUP(J211,'G-3 Multipliers'!$L$3:$N$6,2,FALSE)))</f>
        <v/>
      </c>
      <c r="L211" s="505" t="str">
        <f>IF(J211="","",IF(VLOOKUP(J211,'G-3 Multipliers'!$L$3:$N$6,3,FALSE)=0,"Spatial Data Missing ⚠",VLOOKUP(J211,'G-3 Multipliers'!$L$3:$N$6,3,FALSE)))</f>
        <v/>
      </c>
      <c r="M211" s="498" t="str">
        <f>IF(OR(D211="",H211=""),"",(INDEX('G-6 Hedgerow Data'!$E$3:$I$15,MATCH(D211,'G-6 Hedgerow Data'!$B$3:$B$15,0),MATCH(H211,'G-6 Hedgerow Data'!$E$2:$I$2,0))))</f>
        <v/>
      </c>
      <c r="N211" s="195"/>
      <c r="O211" s="195"/>
      <c r="P211" s="507" t="str">
        <f t="shared" si="19"/>
        <v/>
      </c>
      <c r="Q211" s="521" t="str">
        <f t="shared" si="20"/>
        <v/>
      </c>
      <c r="R211" s="522" t="str">
        <f t="shared" si="18"/>
        <v/>
      </c>
      <c r="S211" s="537" t="str">
        <f>IF(D211="","",VLOOKUP(D211,'G-6 Hedgerow Data'!$B$3:$AG$15,31,FALSE))</f>
        <v/>
      </c>
      <c r="T211" s="507" t="str">
        <f t="shared" si="21"/>
        <v/>
      </c>
      <c r="U211" s="507" t="str">
        <f t="shared" si="22"/>
        <v/>
      </c>
      <c r="V211" s="524" t="str">
        <f>IF(D211="","",VLOOKUP(S211,'G-3 Multipliers'!$P$3:$Q$6,2,FALSE))</f>
        <v/>
      </c>
      <c r="W211" s="529" t="str">
        <f t="shared" si="23"/>
        <v/>
      </c>
      <c r="X211" s="149"/>
      <c r="Y211" s="150"/>
      <c r="AG211" s="31" t="str">
        <f>IFERROR(INDEX('G-6 Hedgerow Data'!$BJ$3:$BJ$15,MATCH(D211,'G-6 Hedgerow Data'!$B$3:$B$15,0)),"")</f>
        <v/>
      </c>
    </row>
    <row r="212" spans="2:33" ht="13.8" x14ac:dyDescent="0.25">
      <c r="B212" s="141">
        <v>201</v>
      </c>
      <c r="C212" s="205"/>
      <c r="D212" s="195"/>
      <c r="E212" s="172"/>
      <c r="F212" s="553" t="str">
        <f>IF(D212="","",VLOOKUP(D212,'G-6 Hedgerow Data'!$B$2:$AG$15,2,FALSE))</f>
        <v/>
      </c>
      <c r="G212" s="499" t="str">
        <f>IF(D212="","",VLOOKUP(D212,'G-6 Hedgerow Data'!$B$2:$AG$15,3,FALSE))</f>
        <v/>
      </c>
      <c r="H212" s="145"/>
      <c r="I212" s="499" t="str">
        <f>IFERROR(VLOOKUP(H212,'G-1 All Habitats'!$Z$2:$AA$9,2,FALSE),"")</f>
        <v/>
      </c>
      <c r="J212" s="145"/>
      <c r="K212" s="520" t="str">
        <f>IF(J212="","",IF(VLOOKUP(J212,'G-3 Multipliers'!$L$3:$N$6,2,FALSE)=0,"Spatial Data Missing ⚠",VLOOKUP(J212,'G-3 Multipliers'!$L$3:$N$6,2,FALSE)))</f>
        <v/>
      </c>
      <c r="L212" s="505" t="str">
        <f>IF(J212="","",IF(VLOOKUP(J212,'G-3 Multipliers'!$L$3:$N$6,3,FALSE)=0,"Spatial Data Missing ⚠",VLOOKUP(J212,'G-3 Multipliers'!$L$3:$N$6,3,FALSE)))</f>
        <v/>
      </c>
      <c r="M212" s="498" t="str">
        <f>IF(OR(D212="",H212=""),"",(INDEX('G-6 Hedgerow Data'!$E$3:$I$15,MATCH(D212,'G-6 Hedgerow Data'!$B$3:$B$15,0),MATCH(H212,'G-6 Hedgerow Data'!$E$2:$I$2,0))))</f>
        <v/>
      </c>
      <c r="N212" s="195"/>
      <c r="O212" s="195"/>
      <c r="P212" s="507" t="str">
        <f t="shared" si="19"/>
        <v/>
      </c>
      <c r="Q212" s="521" t="str">
        <f t="shared" si="20"/>
        <v/>
      </c>
      <c r="R212" s="522" t="str">
        <f t="shared" si="18"/>
        <v/>
      </c>
      <c r="S212" s="537" t="str">
        <f>IF(D212="","",VLOOKUP(D212,'G-6 Hedgerow Data'!$B$3:$AG$15,31,FALSE))</f>
        <v/>
      </c>
      <c r="T212" s="507" t="str">
        <f t="shared" si="21"/>
        <v/>
      </c>
      <c r="U212" s="507" t="str">
        <f t="shared" si="22"/>
        <v/>
      </c>
      <c r="V212" s="524" t="str">
        <f>IF(D212="","",VLOOKUP(S212,'G-3 Multipliers'!$P$3:$Q$6,2,FALSE))</f>
        <v/>
      </c>
      <c r="W212" s="529" t="str">
        <f t="shared" si="23"/>
        <v/>
      </c>
      <c r="X212" s="149"/>
      <c r="Y212" s="150"/>
      <c r="AG212" s="31" t="str">
        <f>IFERROR(INDEX('G-6 Hedgerow Data'!$BJ$3:$BJ$15,MATCH(D212,'G-6 Hedgerow Data'!$B$3:$B$15,0)),"")</f>
        <v/>
      </c>
    </row>
    <row r="213" spans="2:33" ht="13.8" x14ac:dyDescent="0.25">
      <c r="B213" s="141">
        <v>202</v>
      </c>
      <c r="C213" s="205"/>
      <c r="D213" s="195"/>
      <c r="E213" s="172"/>
      <c r="F213" s="553" t="str">
        <f>IF(D213="","",VLOOKUP(D213,'G-6 Hedgerow Data'!$B$2:$AG$15,2,FALSE))</f>
        <v/>
      </c>
      <c r="G213" s="499" t="str">
        <f>IF(D213="","",VLOOKUP(D213,'G-6 Hedgerow Data'!$B$2:$AG$15,3,FALSE))</f>
        <v/>
      </c>
      <c r="H213" s="145"/>
      <c r="I213" s="499" t="str">
        <f>IFERROR(VLOOKUP(H213,'G-1 All Habitats'!$Z$2:$AA$9,2,FALSE),"")</f>
        <v/>
      </c>
      <c r="J213" s="145"/>
      <c r="K213" s="520" t="str">
        <f>IF(J213="","",IF(VLOOKUP(J213,'G-3 Multipliers'!$L$3:$N$6,2,FALSE)=0,"Spatial Data Missing ⚠",VLOOKUP(J213,'G-3 Multipliers'!$L$3:$N$6,2,FALSE)))</f>
        <v/>
      </c>
      <c r="L213" s="505" t="str">
        <f>IF(J213="","",IF(VLOOKUP(J213,'G-3 Multipliers'!$L$3:$N$6,3,FALSE)=0,"Spatial Data Missing ⚠",VLOOKUP(J213,'G-3 Multipliers'!$L$3:$N$6,3,FALSE)))</f>
        <v/>
      </c>
      <c r="M213" s="498" t="str">
        <f>IF(OR(D213="",H213=""),"",(INDEX('G-6 Hedgerow Data'!$E$3:$I$15,MATCH(D213,'G-6 Hedgerow Data'!$B$3:$B$15,0),MATCH(H213,'G-6 Hedgerow Data'!$E$2:$I$2,0))))</f>
        <v/>
      </c>
      <c r="N213" s="195"/>
      <c r="O213" s="195"/>
      <c r="P213" s="507" t="str">
        <f t="shared" si="19"/>
        <v/>
      </c>
      <c r="Q213" s="521" t="str">
        <f t="shared" si="20"/>
        <v/>
      </c>
      <c r="R213" s="522" t="str">
        <f t="shared" si="18"/>
        <v/>
      </c>
      <c r="S213" s="537" t="str">
        <f>IF(D213="","",VLOOKUP(D213,'G-6 Hedgerow Data'!$B$3:$AG$15,31,FALSE))</f>
        <v/>
      </c>
      <c r="T213" s="507" t="str">
        <f t="shared" si="21"/>
        <v/>
      </c>
      <c r="U213" s="507" t="str">
        <f t="shared" si="22"/>
        <v/>
      </c>
      <c r="V213" s="524" t="str">
        <f>IF(D213="","",VLOOKUP(S213,'G-3 Multipliers'!$P$3:$Q$6,2,FALSE))</f>
        <v/>
      </c>
      <c r="W213" s="529" t="str">
        <f t="shared" si="23"/>
        <v/>
      </c>
      <c r="X213" s="149"/>
      <c r="Y213" s="150"/>
      <c r="AG213" s="31" t="str">
        <f>IFERROR(INDEX('G-6 Hedgerow Data'!$BJ$3:$BJ$15,MATCH(D213,'G-6 Hedgerow Data'!$B$3:$B$15,0)),"")</f>
        <v/>
      </c>
    </row>
    <row r="214" spans="2:33" ht="13.8" x14ac:dyDescent="0.25">
      <c r="B214" s="141">
        <v>203</v>
      </c>
      <c r="C214" s="205"/>
      <c r="D214" s="195"/>
      <c r="E214" s="172"/>
      <c r="F214" s="553" t="str">
        <f>IF(D214="","",VLOOKUP(D214,'G-6 Hedgerow Data'!$B$2:$AG$15,2,FALSE))</f>
        <v/>
      </c>
      <c r="G214" s="499" t="str">
        <f>IF(D214="","",VLOOKUP(D214,'G-6 Hedgerow Data'!$B$2:$AG$15,3,FALSE))</f>
        <v/>
      </c>
      <c r="H214" s="145"/>
      <c r="I214" s="499" t="str">
        <f>IFERROR(VLOOKUP(H214,'G-1 All Habitats'!$Z$2:$AA$9,2,FALSE),"")</f>
        <v/>
      </c>
      <c r="J214" s="145"/>
      <c r="K214" s="520" t="str">
        <f>IF(J214="","",IF(VLOOKUP(J214,'G-3 Multipliers'!$L$3:$N$6,2,FALSE)=0,"Spatial Data Missing ⚠",VLOOKUP(J214,'G-3 Multipliers'!$L$3:$N$6,2,FALSE)))</f>
        <v/>
      </c>
      <c r="L214" s="505" t="str">
        <f>IF(J214="","",IF(VLOOKUP(J214,'G-3 Multipliers'!$L$3:$N$6,3,FALSE)=0,"Spatial Data Missing ⚠",VLOOKUP(J214,'G-3 Multipliers'!$L$3:$N$6,3,FALSE)))</f>
        <v/>
      </c>
      <c r="M214" s="498" t="str">
        <f>IF(OR(D214="",H214=""),"",(INDEX('G-6 Hedgerow Data'!$E$3:$I$15,MATCH(D214,'G-6 Hedgerow Data'!$B$3:$B$15,0),MATCH(H214,'G-6 Hedgerow Data'!$E$2:$I$2,0))))</f>
        <v/>
      </c>
      <c r="N214" s="195"/>
      <c r="O214" s="195"/>
      <c r="P214" s="507" t="str">
        <f t="shared" si="19"/>
        <v/>
      </c>
      <c r="Q214" s="521" t="str">
        <f t="shared" si="20"/>
        <v/>
      </c>
      <c r="R214" s="522" t="str">
        <f t="shared" si="18"/>
        <v/>
      </c>
      <c r="S214" s="537" t="str">
        <f>IF(D214="","",VLOOKUP(D214,'G-6 Hedgerow Data'!$B$3:$AG$15,31,FALSE))</f>
        <v/>
      </c>
      <c r="T214" s="507" t="str">
        <f t="shared" si="21"/>
        <v/>
      </c>
      <c r="U214" s="507" t="str">
        <f t="shared" si="22"/>
        <v/>
      </c>
      <c r="V214" s="524" t="str">
        <f>IF(D214="","",VLOOKUP(S214,'G-3 Multipliers'!$P$3:$Q$6,2,FALSE))</f>
        <v/>
      </c>
      <c r="W214" s="529" t="str">
        <f t="shared" si="23"/>
        <v/>
      </c>
      <c r="X214" s="149"/>
      <c r="Y214" s="150"/>
      <c r="AG214" s="31" t="str">
        <f>IFERROR(INDEX('G-6 Hedgerow Data'!$BJ$3:$BJ$15,MATCH(D214,'G-6 Hedgerow Data'!$B$3:$B$15,0)),"")</f>
        <v/>
      </c>
    </row>
    <row r="215" spans="2:33" ht="13.8" x14ac:dyDescent="0.25">
      <c r="B215" s="141">
        <v>204</v>
      </c>
      <c r="C215" s="205"/>
      <c r="D215" s="195"/>
      <c r="E215" s="172"/>
      <c r="F215" s="553" t="str">
        <f>IF(D215="","",VLOOKUP(D215,'G-6 Hedgerow Data'!$B$2:$AG$15,2,FALSE))</f>
        <v/>
      </c>
      <c r="G215" s="499" t="str">
        <f>IF(D215="","",VLOOKUP(D215,'G-6 Hedgerow Data'!$B$2:$AG$15,3,FALSE))</f>
        <v/>
      </c>
      <c r="H215" s="145"/>
      <c r="I215" s="499" t="str">
        <f>IFERROR(VLOOKUP(H215,'G-1 All Habitats'!$Z$2:$AA$9,2,FALSE),"")</f>
        <v/>
      </c>
      <c r="J215" s="145"/>
      <c r="K215" s="520" t="str">
        <f>IF(J215="","",IF(VLOOKUP(J215,'G-3 Multipliers'!$L$3:$N$6,2,FALSE)=0,"Spatial Data Missing ⚠",VLOOKUP(J215,'G-3 Multipliers'!$L$3:$N$6,2,FALSE)))</f>
        <v/>
      </c>
      <c r="L215" s="505" t="str">
        <f>IF(J215="","",IF(VLOOKUP(J215,'G-3 Multipliers'!$L$3:$N$6,3,FALSE)=0,"Spatial Data Missing ⚠",VLOOKUP(J215,'G-3 Multipliers'!$L$3:$N$6,3,FALSE)))</f>
        <v/>
      </c>
      <c r="M215" s="498" t="str">
        <f>IF(OR(D215="",H215=""),"",(INDEX('G-6 Hedgerow Data'!$E$3:$I$15,MATCH(D215,'G-6 Hedgerow Data'!$B$3:$B$15,0),MATCH(H215,'G-6 Hedgerow Data'!$E$2:$I$2,0))))</f>
        <v/>
      </c>
      <c r="N215" s="195"/>
      <c r="O215" s="195"/>
      <c r="P215" s="507" t="str">
        <f t="shared" si="19"/>
        <v/>
      </c>
      <c r="Q215" s="521" t="str">
        <f t="shared" si="20"/>
        <v/>
      </c>
      <c r="R215" s="522" t="str">
        <f t="shared" si="18"/>
        <v/>
      </c>
      <c r="S215" s="537" t="str">
        <f>IF(D215="","",VLOOKUP(D215,'G-6 Hedgerow Data'!$B$3:$AG$15,31,FALSE))</f>
        <v/>
      </c>
      <c r="T215" s="507" t="str">
        <f t="shared" si="21"/>
        <v/>
      </c>
      <c r="U215" s="507" t="str">
        <f t="shared" si="22"/>
        <v/>
      </c>
      <c r="V215" s="524" t="str">
        <f>IF(D215="","",VLOOKUP(S215,'G-3 Multipliers'!$P$3:$Q$6,2,FALSE))</f>
        <v/>
      </c>
      <c r="W215" s="529" t="str">
        <f t="shared" si="23"/>
        <v/>
      </c>
      <c r="X215" s="149"/>
      <c r="Y215" s="150"/>
      <c r="AG215" s="31" t="str">
        <f>IFERROR(INDEX('G-6 Hedgerow Data'!$BJ$3:$BJ$15,MATCH(D215,'G-6 Hedgerow Data'!$B$3:$B$15,0)),"")</f>
        <v/>
      </c>
    </row>
    <row r="216" spans="2:33" ht="13.8" x14ac:dyDescent="0.25">
      <c r="B216" s="141">
        <v>205</v>
      </c>
      <c r="C216" s="205"/>
      <c r="D216" s="195"/>
      <c r="E216" s="172"/>
      <c r="F216" s="553" t="str">
        <f>IF(D216="","",VLOOKUP(D216,'G-6 Hedgerow Data'!$B$2:$AG$15,2,FALSE))</f>
        <v/>
      </c>
      <c r="G216" s="499" t="str">
        <f>IF(D216="","",VLOOKUP(D216,'G-6 Hedgerow Data'!$B$2:$AG$15,3,FALSE))</f>
        <v/>
      </c>
      <c r="H216" s="145"/>
      <c r="I216" s="499" t="str">
        <f>IFERROR(VLOOKUP(H216,'G-1 All Habitats'!$Z$2:$AA$9,2,FALSE),"")</f>
        <v/>
      </c>
      <c r="J216" s="145"/>
      <c r="K216" s="520" t="str">
        <f>IF(J216="","",IF(VLOOKUP(J216,'G-3 Multipliers'!$L$3:$N$6,2,FALSE)=0,"Spatial Data Missing ⚠",VLOOKUP(J216,'G-3 Multipliers'!$L$3:$N$6,2,FALSE)))</f>
        <v/>
      </c>
      <c r="L216" s="505" t="str">
        <f>IF(J216="","",IF(VLOOKUP(J216,'G-3 Multipliers'!$L$3:$N$6,3,FALSE)=0,"Spatial Data Missing ⚠",VLOOKUP(J216,'G-3 Multipliers'!$L$3:$N$6,3,FALSE)))</f>
        <v/>
      </c>
      <c r="M216" s="498" t="str">
        <f>IF(OR(D216="",H216=""),"",(INDEX('G-6 Hedgerow Data'!$E$3:$I$15,MATCH(D216,'G-6 Hedgerow Data'!$B$3:$B$15,0),MATCH(H216,'G-6 Hedgerow Data'!$E$2:$I$2,0))))</f>
        <v/>
      </c>
      <c r="N216" s="195"/>
      <c r="O216" s="195"/>
      <c r="P216" s="507" t="str">
        <f t="shared" si="19"/>
        <v/>
      </c>
      <c r="Q216" s="521" t="str">
        <f t="shared" si="20"/>
        <v/>
      </c>
      <c r="R216" s="522" t="str">
        <f t="shared" si="18"/>
        <v/>
      </c>
      <c r="S216" s="537" t="str">
        <f>IF(D216="","",VLOOKUP(D216,'G-6 Hedgerow Data'!$B$3:$AG$15,31,FALSE))</f>
        <v/>
      </c>
      <c r="T216" s="507" t="str">
        <f t="shared" si="21"/>
        <v/>
      </c>
      <c r="U216" s="507" t="str">
        <f t="shared" si="22"/>
        <v/>
      </c>
      <c r="V216" s="524" t="str">
        <f>IF(D216="","",VLOOKUP(S216,'G-3 Multipliers'!$P$3:$Q$6,2,FALSE))</f>
        <v/>
      </c>
      <c r="W216" s="529" t="str">
        <f t="shared" si="23"/>
        <v/>
      </c>
      <c r="X216" s="149"/>
      <c r="Y216" s="150"/>
      <c r="AG216" s="31" t="str">
        <f>IFERROR(INDEX('G-6 Hedgerow Data'!$BJ$3:$BJ$15,MATCH(D216,'G-6 Hedgerow Data'!$B$3:$B$15,0)),"")</f>
        <v/>
      </c>
    </row>
    <row r="217" spans="2:33" ht="13.8" x14ac:dyDescent="0.25">
      <c r="B217" s="141">
        <v>206</v>
      </c>
      <c r="C217" s="205"/>
      <c r="D217" s="195"/>
      <c r="E217" s="172"/>
      <c r="F217" s="553" t="str">
        <f>IF(D217="","",VLOOKUP(D217,'G-6 Hedgerow Data'!$B$2:$AG$15,2,FALSE))</f>
        <v/>
      </c>
      <c r="G217" s="499" t="str">
        <f>IF(D217="","",VLOOKUP(D217,'G-6 Hedgerow Data'!$B$2:$AG$15,3,FALSE))</f>
        <v/>
      </c>
      <c r="H217" s="145"/>
      <c r="I217" s="499" t="str">
        <f>IFERROR(VLOOKUP(H217,'G-1 All Habitats'!$Z$2:$AA$9,2,FALSE),"")</f>
        <v/>
      </c>
      <c r="J217" s="145"/>
      <c r="K217" s="520" t="str">
        <f>IF(J217="","",IF(VLOOKUP(J217,'G-3 Multipliers'!$L$3:$N$6,2,FALSE)=0,"Spatial Data Missing ⚠",VLOOKUP(J217,'G-3 Multipliers'!$L$3:$N$6,2,FALSE)))</f>
        <v/>
      </c>
      <c r="L217" s="505" t="str">
        <f>IF(J217="","",IF(VLOOKUP(J217,'G-3 Multipliers'!$L$3:$N$6,3,FALSE)=0,"Spatial Data Missing ⚠",VLOOKUP(J217,'G-3 Multipliers'!$L$3:$N$6,3,FALSE)))</f>
        <v/>
      </c>
      <c r="M217" s="498" t="str">
        <f>IF(OR(D217="",H217=""),"",(INDEX('G-6 Hedgerow Data'!$E$3:$I$15,MATCH(D217,'G-6 Hedgerow Data'!$B$3:$B$15,0),MATCH(H217,'G-6 Hedgerow Data'!$E$2:$I$2,0))))</f>
        <v/>
      </c>
      <c r="N217" s="195"/>
      <c r="O217" s="195"/>
      <c r="P217" s="507" t="str">
        <f t="shared" si="19"/>
        <v/>
      </c>
      <c r="Q217" s="521" t="str">
        <f t="shared" si="20"/>
        <v/>
      </c>
      <c r="R217" s="522" t="str">
        <f t="shared" si="18"/>
        <v/>
      </c>
      <c r="S217" s="537" t="str">
        <f>IF(D217="","",VLOOKUP(D217,'G-6 Hedgerow Data'!$B$3:$AG$15,31,FALSE))</f>
        <v/>
      </c>
      <c r="T217" s="507" t="str">
        <f t="shared" si="21"/>
        <v/>
      </c>
      <c r="U217" s="507" t="str">
        <f t="shared" si="22"/>
        <v/>
      </c>
      <c r="V217" s="524" t="str">
        <f>IF(D217="","",VLOOKUP(S217,'G-3 Multipliers'!$P$3:$Q$6,2,FALSE))</f>
        <v/>
      </c>
      <c r="W217" s="529" t="str">
        <f t="shared" si="23"/>
        <v/>
      </c>
      <c r="X217" s="149"/>
      <c r="Y217" s="150"/>
      <c r="AG217" s="31" t="str">
        <f>IFERROR(INDEX('G-6 Hedgerow Data'!$BJ$3:$BJ$15,MATCH(D217,'G-6 Hedgerow Data'!$B$3:$B$15,0)),"")</f>
        <v/>
      </c>
    </row>
    <row r="218" spans="2:33" ht="13.8" x14ac:dyDescent="0.25">
      <c r="B218" s="141">
        <v>207</v>
      </c>
      <c r="C218" s="205"/>
      <c r="D218" s="195"/>
      <c r="E218" s="172"/>
      <c r="F218" s="553" t="str">
        <f>IF(D218="","",VLOOKUP(D218,'G-6 Hedgerow Data'!$B$2:$AG$15,2,FALSE))</f>
        <v/>
      </c>
      <c r="G218" s="499" t="str">
        <f>IF(D218="","",VLOOKUP(D218,'G-6 Hedgerow Data'!$B$2:$AG$15,3,FALSE))</f>
        <v/>
      </c>
      <c r="H218" s="145"/>
      <c r="I218" s="499" t="str">
        <f>IFERROR(VLOOKUP(H218,'G-1 All Habitats'!$Z$2:$AA$9,2,FALSE),"")</f>
        <v/>
      </c>
      <c r="J218" s="145"/>
      <c r="K218" s="520" t="str">
        <f>IF(J218="","",IF(VLOOKUP(J218,'G-3 Multipliers'!$L$3:$N$6,2,FALSE)=0,"Spatial Data Missing ⚠",VLOOKUP(J218,'G-3 Multipliers'!$L$3:$N$6,2,FALSE)))</f>
        <v/>
      </c>
      <c r="L218" s="505" t="str">
        <f>IF(J218="","",IF(VLOOKUP(J218,'G-3 Multipliers'!$L$3:$N$6,3,FALSE)=0,"Spatial Data Missing ⚠",VLOOKUP(J218,'G-3 Multipliers'!$L$3:$N$6,3,FALSE)))</f>
        <v/>
      </c>
      <c r="M218" s="498" t="str">
        <f>IF(OR(D218="",H218=""),"",(INDEX('G-6 Hedgerow Data'!$E$3:$I$15,MATCH(D218,'G-6 Hedgerow Data'!$B$3:$B$15,0),MATCH(H218,'G-6 Hedgerow Data'!$E$2:$I$2,0))))</f>
        <v/>
      </c>
      <c r="N218" s="195"/>
      <c r="O218" s="195"/>
      <c r="P218" s="507" t="str">
        <f t="shared" si="19"/>
        <v/>
      </c>
      <c r="Q218" s="521" t="str">
        <f t="shared" si="20"/>
        <v/>
      </c>
      <c r="R218" s="522" t="str">
        <f t="shared" si="18"/>
        <v/>
      </c>
      <c r="S218" s="537" t="str">
        <f>IF(D218="","",VLOOKUP(D218,'G-6 Hedgerow Data'!$B$3:$AG$15,31,FALSE))</f>
        <v/>
      </c>
      <c r="T218" s="507" t="str">
        <f t="shared" si="21"/>
        <v/>
      </c>
      <c r="U218" s="507" t="str">
        <f t="shared" si="22"/>
        <v/>
      </c>
      <c r="V218" s="524" t="str">
        <f>IF(D218="","",VLOOKUP(S218,'G-3 Multipliers'!$P$3:$Q$6,2,FALSE))</f>
        <v/>
      </c>
      <c r="W218" s="529" t="str">
        <f t="shared" si="23"/>
        <v/>
      </c>
      <c r="X218" s="149"/>
      <c r="Y218" s="150"/>
      <c r="AG218" s="31" t="str">
        <f>IFERROR(INDEX('G-6 Hedgerow Data'!$BJ$3:$BJ$15,MATCH(D218,'G-6 Hedgerow Data'!$B$3:$B$15,0)),"")</f>
        <v/>
      </c>
    </row>
    <row r="219" spans="2:33" ht="13.8" x14ac:dyDescent="0.25">
      <c r="B219" s="141">
        <v>208</v>
      </c>
      <c r="C219" s="205"/>
      <c r="D219" s="195"/>
      <c r="E219" s="172"/>
      <c r="F219" s="553" t="str">
        <f>IF(D219="","",VLOOKUP(D219,'G-6 Hedgerow Data'!$B$2:$AG$15,2,FALSE))</f>
        <v/>
      </c>
      <c r="G219" s="499" t="str">
        <f>IF(D219="","",VLOOKUP(D219,'G-6 Hedgerow Data'!$B$2:$AG$15,3,FALSE))</f>
        <v/>
      </c>
      <c r="H219" s="145"/>
      <c r="I219" s="499" t="str">
        <f>IFERROR(VLOOKUP(H219,'G-1 All Habitats'!$Z$2:$AA$9,2,FALSE),"")</f>
        <v/>
      </c>
      <c r="J219" s="145"/>
      <c r="K219" s="520" t="str">
        <f>IF(J219="","",IF(VLOOKUP(J219,'G-3 Multipliers'!$L$3:$N$6,2,FALSE)=0,"Spatial Data Missing ⚠",VLOOKUP(J219,'G-3 Multipliers'!$L$3:$N$6,2,FALSE)))</f>
        <v/>
      </c>
      <c r="L219" s="505" t="str">
        <f>IF(J219="","",IF(VLOOKUP(J219,'G-3 Multipliers'!$L$3:$N$6,3,FALSE)=0,"Spatial Data Missing ⚠",VLOOKUP(J219,'G-3 Multipliers'!$L$3:$N$6,3,FALSE)))</f>
        <v/>
      </c>
      <c r="M219" s="498" t="str">
        <f>IF(OR(D219="",H219=""),"",(INDEX('G-6 Hedgerow Data'!$E$3:$I$15,MATCH(D219,'G-6 Hedgerow Data'!$B$3:$B$15,0),MATCH(H219,'G-6 Hedgerow Data'!$E$2:$I$2,0))))</f>
        <v/>
      </c>
      <c r="N219" s="195"/>
      <c r="O219" s="195"/>
      <c r="P219" s="507" t="str">
        <f t="shared" si="19"/>
        <v/>
      </c>
      <c r="Q219" s="521" t="str">
        <f t="shared" si="20"/>
        <v/>
      </c>
      <c r="R219" s="522" t="str">
        <f t="shared" si="18"/>
        <v/>
      </c>
      <c r="S219" s="537" t="str">
        <f>IF(D219="","",VLOOKUP(D219,'G-6 Hedgerow Data'!$B$3:$AG$15,31,FALSE))</f>
        <v/>
      </c>
      <c r="T219" s="507" t="str">
        <f t="shared" si="21"/>
        <v/>
      </c>
      <c r="U219" s="507" t="str">
        <f t="shared" si="22"/>
        <v/>
      </c>
      <c r="V219" s="524" t="str">
        <f>IF(D219="","",VLOOKUP(S219,'G-3 Multipliers'!$P$3:$Q$6,2,FALSE))</f>
        <v/>
      </c>
      <c r="W219" s="529" t="str">
        <f t="shared" si="23"/>
        <v/>
      </c>
      <c r="X219" s="149"/>
      <c r="Y219" s="150"/>
      <c r="AG219" s="31" t="str">
        <f>IFERROR(INDEX('G-6 Hedgerow Data'!$BJ$3:$BJ$15,MATCH(D219,'G-6 Hedgerow Data'!$B$3:$B$15,0)),"")</f>
        <v/>
      </c>
    </row>
    <row r="220" spans="2:33" ht="13.8" x14ac:dyDescent="0.25">
      <c r="B220" s="141">
        <v>209</v>
      </c>
      <c r="C220" s="205"/>
      <c r="D220" s="195"/>
      <c r="E220" s="172"/>
      <c r="F220" s="553" t="str">
        <f>IF(D220="","",VLOOKUP(D220,'G-6 Hedgerow Data'!$B$2:$AG$15,2,FALSE))</f>
        <v/>
      </c>
      <c r="G220" s="499" t="str">
        <f>IF(D220="","",VLOOKUP(D220,'G-6 Hedgerow Data'!$B$2:$AG$15,3,FALSE))</f>
        <v/>
      </c>
      <c r="H220" s="145"/>
      <c r="I220" s="499" t="str">
        <f>IFERROR(VLOOKUP(H220,'G-1 All Habitats'!$Z$2:$AA$9,2,FALSE),"")</f>
        <v/>
      </c>
      <c r="J220" s="145"/>
      <c r="K220" s="520" t="str">
        <f>IF(J220="","",IF(VLOOKUP(J220,'G-3 Multipliers'!$L$3:$N$6,2,FALSE)=0,"Spatial Data Missing ⚠",VLOOKUP(J220,'G-3 Multipliers'!$L$3:$N$6,2,FALSE)))</f>
        <v/>
      </c>
      <c r="L220" s="505" t="str">
        <f>IF(J220="","",IF(VLOOKUP(J220,'G-3 Multipliers'!$L$3:$N$6,3,FALSE)=0,"Spatial Data Missing ⚠",VLOOKUP(J220,'G-3 Multipliers'!$L$3:$N$6,3,FALSE)))</f>
        <v/>
      </c>
      <c r="M220" s="498" t="str">
        <f>IF(OR(D220="",H220=""),"",(INDEX('G-6 Hedgerow Data'!$E$3:$I$15,MATCH(D220,'G-6 Hedgerow Data'!$B$3:$B$15,0),MATCH(H220,'G-6 Hedgerow Data'!$E$2:$I$2,0))))</f>
        <v/>
      </c>
      <c r="N220" s="195"/>
      <c r="O220" s="195"/>
      <c r="P220" s="507" t="str">
        <f t="shared" si="19"/>
        <v/>
      </c>
      <c r="Q220" s="521" t="str">
        <f t="shared" si="20"/>
        <v/>
      </c>
      <c r="R220" s="522" t="str">
        <f t="shared" si="18"/>
        <v/>
      </c>
      <c r="S220" s="537" t="str">
        <f>IF(D220="","",VLOOKUP(D220,'G-6 Hedgerow Data'!$B$3:$AG$15,31,FALSE))</f>
        <v/>
      </c>
      <c r="T220" s="507" t="str">
        <f t="shared" si="21"/>
        <v/>
      </c>
      <c r="U220" s="507" t="str">
        <f t="shared" si="22"/>
        <v/>
      </c>
      <c r="V220" s="524" t="str">
        <f>IF(D220="","",VLOOKUP(S220,'G-3 Multipliers'!$P$3:$Q$6,2,FALSE))</f>
        <v/>
      </c>
      <c r="W220" s="529" t="str">
        <f t="shared" si="23"/>
        <v/>
      </c>
      <c r="X220" s="149"/>
      <c r="Y220" s="150"/>
      <c r="AG220" s="31" t="str">
        <f>IFERROR(INDEX('G-6 Hedgerow Data'!$BJ$3:$BJ$15,MATCH(D220,'G-6 Hedgerow Data'!$B$3:$B$15,0)),"")</f>
        <v/>
      </c>
    </row>
    <row r="221" spans="2:33" ht="13.8" x14ac:dyDescent="0.25">
      <c r="B221" s="141">
        <v>210</v>
      </c>
      <c r="C221" s="205"/>
      <c r="D221" s="195"/>
      <c r="E221" s="172"/>
      <c r="F221" s="553" t="str">
        <f>IF(D221="","",VLOOKUP(D221,'G-6 Hedgerow Data'!$B$2:$AG$15,2,FALSE))</f>
        <v/>
      </c>
      <c r="G221" s="499" t="str">
        <f>IF(D221="","",VLOOKUP(D221,'G-6 Hedgerow Data'!$B$2:$AG$15,3,FALSE))</f>
        <v/>
      </c>
      <c r="H221" s="145"/>
      <c r="I221" s="499" t="str">
        <f>IFERROR(VLOOKUP(H221,'G-1 All Habitats'!$Z$2:$AA$9,2,FALSE),"")</f>
        <v/>
      </c>
      <c r="J221" s="145"/>
      <c r="K221" s="520" t="str">
        <f>IF(J221="","",IF(VLOOKUP(J221,'G-3 Multipliers'!$L$3:$N$6,2,FALSE)=0,"Spatial Data Missing ⚠",VLOOKUP(J221,'G-3 Multipliers'!$L$3:$N$6,2,FALSE)))</f>
        <v/>
      </c>
      <c r="L221" s="505" t="str">
        <f>IF(J221="","",IF(VLOOKUP(J221,'G-3 Multipliers'!$L$3:$N$6,3,FALSE)=0,"Spatial Data Missing ⚠",VLOOKUP(J221,'G-3 Multipliers'!$L$3:$N$6,3,FALSE)))</f>
        <v/>
      </c>
      <c r="M221" s="498" t="str">
        <f>IF(OR(D221="",H221=""),"",(INDEX('G-6 Hedgerow Data'!$E$3:$I$15,MATCH(D221,'G-6 Hedgerow Data'!$B$3:$B$15,0),MATCH(H221,'G-6 Hedgerow Data'!$E$2:$I$2,0))))</f>
        <v/>
      </c>
      <c r="N221" s="195"/>
      <c r="O221" s="195"/>
      <c r="P221" s="507" t="str">
        <f t="shared" si="19"/>
        <v/>
      </c>
      <c r="Q221" s="521" t="str">
        <f t="shared" si="20"/>
        <v/>
      </c>
      <c r="R221" s="522" t="str">
        <f t="shared" si="18"/>
        <v/>
      </c>
      <c r="S221" s="537" t="str">
        <f>IF(D221="","",VLOOKUP(D221,'G-6 Hedgerow Data'!$B$3:$AG$15,31,FALSE))</f>
        <v/>
      </c>
      <c r="T221" s="507" t="str">
        <f t="shared" si="21"/>
        <v/>
      </c>
      <c r="U221" s="507" t="str">
        <f t="shared" si="22"/>
        <v/>
      </c>
      <c r="V221" s="524" t="str">
        <f>IF(D221="","",VLOOKUP(S221,'G-3 Multipliers'!$P$3:$Q$6,2,FALSE))</f>
        <v/>
      </c>
      <c r="W221" s="529" t="str">
        <f t="shared" si="23"/>
        <v/>
      </c>
      <c r="X221" s="149"/>
      <c r="Y221" s="150"/>
      <c r="AG221" s="31" t="str">
        <f>IFERROR(INDEX('G-6 Hedgerow Data'!$BJ$3:$BJ$15,MATCH(D221,'G-6 Hedgerow Data'!$B$3:$B$15,0)),"")</f>
        <v/>
      </c>
    </row>
    <row r="222" spans="2:33" ht="13.8" x14ac:dyDescent="0.25">
      <c r="B222" s="141">
        <v>211</v>
      </c>
      <c r="C222" s="205"/>
      <c r="D222" s="195"/>
      <c r="E222" s="172"/>
      <c r="F222" s="553" t="str">
        <f>IF(D222="","",VLOOKUP(D222,'G-6 Hedgerow Data'!$B$2:$AG$15,2,FALSE))</f>
        <v/>
      </c>
      <c r="G222" s="499" t="str">
        <f>IF(D222="","",VLOOKUP(D222,'G-6 Hedgerow Data'!$B$2:$AG$15,3,FALSE))</f>
        <v/>
      </c>
      <c r="H222" s="145"/>
      <c r="I222" s="499" t="str">
        <f>IFERROR(VLOOKUP(H222,'G-1 All Habitats'!$Z$2:$AA$9,2,FALSE),"")</f>
        <v/>
      </c>
      <c r="J222" s="145"/>
      <c r="K222" s="520" t="str">
        <f>IF(J222="","",IF(VLOOKUP(J222,'G-3 Multipliers'!$L$3:$N$6,2,FALSE)=0,"Spatial Data Missing ⚠",VLOOKUP(J222,'G-3 Multipliers'!$L$3:$N$6,2,FALSE)))</f>
        <v/>
      </c>
      <c r="L222" s="505" t="str">
        <f>IF(J222="","",IF(VLOOKUP(J222,'G-3 Multipliers'!$L$3:$N$6,3,FALSE)=0,"Spatial Data Missing ⚠",VLOOKUP(J222,'G-3 Multipliers'!$L$3:$N$6,3,FALSE)))</f>
        <v/>
      </c>
      <c r="M222" s="498" t="str">
        <f>IF(OR(D222="",H222=""),"",(INDEX('G-6 Hedgerow Data'!$E$3:$I$15,MATCH(D222,'G-6 Hedgerow Data'!$B$3:$B$15,0),MATCH(H222,'G-6 Hedgerow Data'!$E$2:$I$2,0))))</f>
        <v/>
      </c>
      <c r="N222" s="195"/>
      <c r="O222" s="195"/>
      <c r="P222" s="507" t="str">
        <f t="shared" si="19"/>
        <v/>
      </c>
      <c r="Q222" s="521" t="str">
        <f t="shared" si="20"/>
        <v/>
      </c>
      <c r="R222" s="522" t="str">
        <f t="shared" si="18"/>
        <v/>
      </c>
      <c r="S222" s="537" t="str">
        <f>IF(D222="","",VLOOKUP(D222,'G-6 Hedgerow Data'!$B$3:$AG$15,31,FALSE))</f>
        <v/>
      </c>
      <c r="T222" s="507" t="str">
        <f t="shared" si="21"/>
        <v/>
      </c>
      <c r="U222" s="507" t="str">
        <f t="shared" si="22"/>
        <v/>
      </c>
      <c r="V222" s="524" t="str">
        <f>IF(D222="","",VLOOKUP(S222,'G-3 Multipliers'!$P$3:$Q$6,2,FALSE))</f>
        <v/>
      </c>
      <c r="W222" s="529" t="str">
        <f t="shared" si="23"/>
        <v/>
      </c>
      <c r="X222" s="149"/>
      <c r="Y222" s="150"/>
      <c r="AG222" s="31" t="str">
        <f>IFERROR(INDEX('G-6 Hedgerow Data'!$BJ$3:$BJ$15,MATCH(D222,'G-6 Hedgerow Data'!$B$3:$B$15,0)),"")</f>
        <v/>
      </c>
    </row>
    <row r="223" spans="2:33" ht="13.8" x14ac:dyDescent="0.25">
      <c r="B223" s="141">
        <v>212</v>
      </c>
      <c r="C223" s="205"/>
      <c r="D223" s="195"/>
      <c r="E223" s="172"/>
      <c r="F223" s="553" t="str">
        <f>IF(D223="","",VLOOKUP(D223,'G-6 Hedgerow Data'!$B$2:$AG$15,2,FALSE))</f>
        <v/>
      </c>
      <c r="G223" s="499" t="str">
        <f>IF(D223="","",VLOOKUP(D223,'G-6 Hedgerow Data'!$B$2:$AG$15,3,FALSE))</f>
        <v/>
      </c>
      <c r="H223" s="145"/>
      <c r="I223" s="499" t="str">
        <f>IFERROR(VLOOKUP(H223,'G-1 All Habitats'!$Z$2:$AA$9,2,FALSE),"")</f>
        <v/>
      </c>
      <c r="J223" s="145"/>
      <c r="K223" s="520" t="str">
        <f>IF(J223="","",IF(VLOOKUP(J223,'G-3 Multipliers'!$L$3:$N$6,2,FALSE)=0,"Spatial Data Missing ⚠",VLOOKUP(J223,'G-3 Multipliers'!$L$3:$N$6,2,FALSE)))</f>
        <v/>
      </c>
      <c r="L223" s="505" t="str">
        <f>IF(J223="","",IF(VLOOKUP(J223,'G-3 Multipliers'!$L$3:$N$6,3,FALSE)=0,"Spatial Data Missing ⚠",VLOOKUP(J223,'G-3 Multipliers'!$L$3:$N$6,3,FALSE)))</f>
        <v/>
      </c>
      <c r="M223" s="498" t="str">
        <f>IF(OR(D223="",H223=""),"",(INDEX('G-6 Hedgerow Data'!$E$3:$I$15,MATCH(D223,'G-6 Hedgerow Data'!$B$3:$B$15,0),MATCH(H223,'G-6 Hedgerow Data'!$E$2:$I$2,0))))</f>
        <v/>
      </c>
      <c r="N223" s="195"/>
      <c r="O223" s="195"/>
      <c r="P223" s="507" t="str">
        <f t="shared" si="19"/>
        <v/>
      </c>
      <c r="Q223" s="521" t="str">
        <f t="shared" si="20"/>
        <v/>
      </c>
      <c r="R223" s="522" t="str">
        <f t="shared" si="18"/>
        <v/>
      </c>
      <c r="S223" s="537" t="str">
        <f>IF(D223="","",VLOOKUP(D223,'G-6 Hedgerow Data'!$B$3:$AG$15,31,FALSE))</f>
        <v/>
      </c>
      <c r="T223" s="507" t="str">
        <f t="shared" si="21"/>
        <v/>
      </c>
      <c r="U223" s="507" t="str">
        <f t="shared" si="22"/>
        <v/>
      </c>
      <c r="V223" s="524" t="str">
        <f>IF(D223="","",VLOOKUP(S223,'G-3 Multipliers'!$P$3:$Q$6,2,FALSE))</f>
        <v/>
      </c>
      <c r="W223" s="529" t="str">
        <f t="shared" si="23"/>
        <v/>
      </c>
      <c r="X223" s="149"/>
      <c r="Y223" s="150"/>
      <c r="AG223" s="31" t="str">
        <f>IFERROR(INDEX('G-6 Hedgerow Data'!$BJ$3:$BJ$15,MATCH(D223,'G-6 Hedgerow Data'!$B$3:$B$15,0)),"")</f>
        <v/>
      </c>
    </row>
    <row r="224" spans="2:33" ht="13.8" x14ac:dyDescent="0.25">
      <c r="B224" s="141">
        <v>213</v>
      </c>
      <c r="C224" s="205"/>
      <c r="D224" s="195"/>
      <c r="E224" s="172"/>
      <c r="F224" s="553" t="str">
        <f>IF(D224="","",VLOOKUP(D224,'G-6 Hedgerow Data'!$B$2:$AG$15,2,FALSE))</f>
        <v/>
      </c>
      <c r="G224" s="499" t="str">
        <f>IF(D224="","",VLOOKUP(D224,'G-6 Hedgerow Data'!$B$2:$AG$15,3,FALSE))</f>
        <v/>
      </c>
      <c r="H224" s="145"/>
      <c r="I224" s="499" t="str">
        <f>IFERROR(VLOOKUP(H224,'G-1 All Habitats'!$Z$2:$AA$9,2,FALSE),"")</f>
        <v/>
      </c>
      <c r="J224" s="145"/>
      <c r="K224" s="520" t="str">
        <f>IF(J224="","",IF(VLOOKUP(J224,'G-3 Multipliers'!$L$3:$N$6,2,FALSE)=0,"Spatial Data Missing ⚠",VLOOKUP(J224,'G-3 Multipliers'!$L$3:$N$6,2,FALSE)))</f>
        <v/>
      </c>
      <c r="L224" s="505" t="str">
        <f>IF(J224="","",IF(VLOOKUP(J224,'G-3 Multipliers'!$L$3:$N$6,3,FALSE)=0,"Spatial Data Missing ⚠",VLOOKUP(J224,'G-3 Multipliers'!$L$3:$N$6,3,FALSE)))</f>
        <v/>
      </c>
      <c r="M224" s="498" t="str">
        <f>IF(OR(D224="",H224=""),"",(INDEX('G-6 Hedgerow Data'!$E$3:$I$15,MATCH(D224,'G-6 Hedgerow Data'!$B$3:$B$15,0),MATCH(H224,'G-6 Hedgerow Data'!$E$2:$I$2,0))))</f>
        <v/>
      </c>
      <c r="N224" s="195"/>
      <c r="O224" s="195"/>
      <c r="P224" s="507" t="str">
        <f t="shared" si="19"/>
        <v/>
      </c>
      <c r="Q224" s="521" t="str">
        <f t="shared" si="20"/>
        <v/>
      </c>
      <c r="R224" s="522" t="str">
        <f t="shared" si="18"/>
        <v/>
      </c>
      <c r="S224" s="537" t="str">
        <f>IF(D224="","",VLOOKUP(D224,'G-6 Hedgerow Data'!$B$3:$AG$15,31,FALSE))</f>
        <v/>
      </c>
      <c r="T224" s="507" t="str">
        <f t="shared" si="21"/>
        <v/>
      </c>
      <c r="U224" s="507" t="str">
        <f t="shared" si="22"/>
        <v/>
      </c>
      <c r="V224" s="524" t="str">
        <f>IF(D224="","",VLOOKUP(S224,'G-3 Multipliers'!$P$3:$Q$6,2,FALSE))</f>
        <v/>
      </c>
      <c r="W224" s="529" t="str">
        <f t="shared" si="23"/>
        <v/>
      </c>
      <c r="X224" s="149"/>
      <c r="Y224" s="150"/>
      <c r="AG224" s="31" t="str">
        <f>IFERROR(INDEX('G-6 Hedgerow Data'!$BJ$3:$BJ$15,MATCH(D224,'G-6 Hedgerow Data'!$B$3:$B$15,0)),"")</f>
        <v/>
      </c>
    </row>
    <row r="225" spans="2:33" ht="13.8" x14ac:dyDescent="0.25">
      <c r="B225" s="141">
        <v>214</v>
      </c>
      <c r="C225" s="205"/>
      <c r="D225" s="195"/>
      <c r="E225" s="172"/>
      <c r="F225" s="553" t="str">
        <f>IF(D225="","",VLOOKUP(D225,'G-6 Hedgerow Data'!$B$2:$AG$15,2,FALSE))</f>
        <v/>
      </c>
      <c r="G225" s="499" t="str">
        <f>IF(D225="","",VLOOKUP(D225,'G-6 Hedgerow Data'!$B$2:$AG$15,3,FALSE))</f>
        <v/>
      </c>
      <c r="H225" s="145"/>
      <c r="I225" s="499" t="str">
        <f>IFERROR(VLOOKUP(H225,'G-1 All Habitats'!$Z$2:$AA$9,2,FALSE),"")</f>
        <v/>
      </c>
      <c r="J225" s="145"/>
      <c r="K225" s="520" t="str">
        <f>IF(J225="","",IF(VLOOKUP(J225,'G-3 Multipliers'!$L$3:$N$6,2,FALSE)=0,"Spatial Data Missing ⚠",VLOOKUP(J225,'G-3 Multipliers'!$L$3:$N$6,2,FALSE)))</f>
        <v/>
      </c>
      <c r="L225" s="505" t="str">
        <f>IF(J225="","",IF(VLOOKUP(J225,'G-3 Multipliers'!$L$3:$N$6,3,FALSE)=0,"Spatial Data Missing ⚠",VLOOKUP(J225,'G-3 Multipliers'!$L$3:$N$6,3,FALSE)))</f>
        <v/>
      </c>
      <c r="M225" s="498" t="str">
        <f>IF(OR(D225="",H225=""),"",(INDEX('G-6 Hedgerow Data'!$E$3:$I$15,MATCH(D225,'G-6 Hedgerow Data'!$B$3:$B$15,0),MATCH(H225,'G-6 Hedgerow Data'!$E$2:$I$2,0))))</f>
        <v/>
      </c>
      <c r="N225" s="195"/>
      <c r="O225" s="195"/>
      <c r="P225" s="507" t="str">
        <f t="shared" si="19"/>
        <v/>
      </c>
      <c r="Q225" s="521" t="str">
        <f t="shared" si="20"/>
        <v/>
      </c>
      <c r="R225" s="522" t="str">
        <f t="shared" si="18"/>
        <v/>
      </c>
      <c r="S225" s="537" t="str">
        <f>IF(D225="","",VLOOKUP(D225,'G-6 Hedgerow Data'!$B$3:$AG$15,31,FALSE))</f>
        <v/>
      </c>
      <c r="T225" s="507" t="str">
        <f t="shared" si="21"/>
        <v/>
      </c>
      <c r="U225" s="507" t="str">
        <f t="shared" si="22"/>
        <v/>
      </c>
      <c r="V225" s="524" t="str">
        <f>IF(D225="","",VLOOKUP(S225,'G-3 Multipliers'!$P$3:$Q$6,2,FALSE))</f>
        <v/>
      </c>
      <c r="W225" s="529" t="str">
        <f t="shared" si="23"/>
        <v/>
      </c>
      <c r="X225" s="149"/>
      <c r="Y225" s="150"/>
      <c r="AG225" s="31" t="str">
        <f>IFERROR(INDEX('G-6 Hedgerow Data'!$BJ$3:$BJ$15,MATCH(D225,'G-6 Hedgerow Data'!$B$3:$B$15,0)),"")</f>
        <v/>
      </c>
    </row>
    <row r="226" spans="2:33" ht="13.8" x14ac:dyDescent="0.25">
      <c r="B226" s="141">
        <v>215</v>
      </c>
      <c r="C226" s="205"/>
      <c r="D226" s="195"/>
      <c r="E226" s="172"/>
      <c r="F226" s="553" t="str">
        <f>IF(D226="","",VLOOKUP(D226,'G-6 Hedgerow Data'!$B$2:$AG$15,2,FALSE))</f>
        <v/>
      </c>
      <c r="G226" s="499" t="str">
        <f>IF(D226="","",VLOOKUP(D226,'G-6 Hedgerow Data'!$B$2:$AG$15,3,FALSE))</f>
        <v/>
      </c>
      <c r="H226" s="145"/>
      <c r="I226" s="499" t="str">
        <f>IFERROR(VLOOKUP(H226,'G-1 All Habitats'!$Z$2:$AA$9,2,FALSE),"")</f>
        <v/>
      </c>
      <c r="J226" s="145"/>
      <c r="K226" s="520" t="str">
        <f>IF(J226="","",IF(VLOOKUP(J226,'G-3 Multipliers'!$L$3:$N$6,2,FALSE)=0,"Spatial Data Missing ⚠",VLOOKUP(J226,'G-3 Multipliers'!$L$3:$N$6,2,FALSE)))</f>
        <v/>
      </c>
      <c r="L226" s="505" t="str">
        <f>IF(J226="","",IF(VLOOKUP(J226,'G-3 Multipliers'!$L$3:$N$6,3,FALSE)=0,"Spatial Data Missing ⚠",VLOOKUP(J226,'G-3 Multipliers'!$L$3:$N$6,3,FALSE)))</f>
        <v/>
      </c>
      <c r="M226" s="498" t="str">
        <f>IF(OR(D226="",H226=""),"",(INDEX('G-6 Hedgerow Data'!$E$3:$I$15,MATCH(D226,'G-6 Hedgerow Data'!$B$3:$B$15,0),MATCH(H226,'G-6 Hedgerow Data'!$E$2:$I$2,0))))</f>
        <v/>
      </c>
      <c r="N226" s="195"/>
      <c r="O226" s="195"/>
      <c r="P226" s="507" t="str">
        <f t="shared" si="19"/>
        <v/>
      </c>
      <c r="Q226" s="521" t="str">
        <f t="shared" si="20"/>
        <v/>
      </c>
      <c r="R226" s="522" t="str">
        <f t="shared" si="18"/>
        <v/>
      </c>
      <c r="S226" s="537" t="str">
        <f>IF(D226="","",VLOOKUP(D226,'G-6 Hedgerow Data'!$B$3:$AG$15,31,FALSE))</f>
        <v/>
      </c>
      <c r="T226" s="507" t="str">
        <f t="shared" si="21"/>
        <v/>
      </c>
      <c r="U226" s="507" t="str">
        <f t="shared" si="22"/>
        <v/>
      </c>
      <c r="V226" s="524" t="str">
        <f>IF(D226="","",VLOOKUP(S226,'G-3 Multipliers'!$P$3:$Q$6,2,FALSE))</f>
        <v/>
      </c>
      <c r="W226" s="529" t="str">
        <f t="shared" si="23"/>
        <v/>
      </c>
      <c r="X226" s="149"/>
      <c r="Y226" s="150"/>
      <c r="AG226" s="31" t="str">
        <f>IFERROR(INDEX('G-6 Hedgerow Data'!$BJ$3:$BJ$15,MATCH(D226,'G-6 Hedgerow Data'!$B$3:$B$15,0)),"")</f>
        <v/>
      </c>
    </row>
    <row r="227" spans="2:33" ht="13.8" x14ac:dyDescent="0.25">
      <c r="B227" s="141">
        <v>216</v>
      </c>
      <c r="C227" s="205"/>
      <c r="D227" s="195"/>
      <c r="E227" s="172"/>
      <c r="F227" s="553" t="str">
        <f>IF(D227="","",VLOOKUP(D227,'G-6 Hedgerow Data'!$B$2:$AG$15,2,FALSE))</f>
        <v/>
      </c>
      <c r="G227" s="499" t="str">
        <f>IF(D227="","",VLOOKUP(D227,'G-6 Hedgerow Data'!$B$2:$AG$15,3,FALSE))</f>
        <v/>
      </c>
      <c r="H227" s="145"/>
      <c r="I227" s="499" t="str">
        <f>IFERROR(VLOOKUP(H227,'G-1 All Habitats'!$Z$2:$AA$9,2,FALSE),"")</f>
        <v/>
      </c>
      <c r="J227" s="145"/>
      <c r="K227" s="520" t="str">
        <f>IF(J227="","",IF(VLOOKUP(J227,'G-3 Multipliers'!$L$3:$N$6,2,FALSE)=0,"Spatial Data Missing ⚠",VLOOKUP(J227,'G-3 Multipliers'!$L$3:$N$6,2,FALSE)))</f>
        <v/>
      </c>
      <c r="L227" s="505" t="str">
        <f>IF(J227="","",IF(VLOOKUP(J227,'G-3 Multipliers'!$L$3:$N$6,3,FALSE)=0,"Spatial Data Missing ⚠",VLOOKUP(J227,'G-3 Multipliers'!$L$3:$N$6,3,FALSE)))</f>
        <v/>
      </c>
      <c r="M227" s="498" t="str">
        <f>IF(OR(D227="",H227=""),"",(INDEX('G-6 Hedgerow Data'!$E$3:$I$15,MATCH(D227,'G-6 Hedgerow Data'!$B$3:$B$15,0),MATCH(H227,'G-6 Hedgerow Data'!$E$2:$I$2,0))))</f>
        <v/>
      </c>
      <c r="N227" s="195"/>
      <c r="O227" s="195"/>
      <c r="P227" s="507" t="str">
        <f t="shared" si="19"/>
        <v/>
      </c>
      <c r="Q227" s="521" t="str">
        <f t="shared" si="20"/>
        <v/>
      </c>
      <c r="R227" s="522" t="str">
        <f t="shared" si="18"/>
        <v/>
      </c>
      <c r="S227" s="537" t="str">
        <f>IF(D227="","",VLOOKUP(D227,'G-6 Hedgerow Data'!$B$3:$AG$15,31,FALSE))</f>
        <v/>
      </c>
      <c r="T227" s="507" t="str">
        <f t="shared" si="21"/>
        <v/>
      </c>
      <c r="U227" s="507" t="str">
        <f t="shared" si="22"/>
        <v/>
      </c>
      <c r="V227" s="524" t="str">
        <f>IF(D227="","",VLOOKUP(S227,'G-3 Multipliers'!$P$3:$Q$6,2,FALSE))</f>
        <v/>
      </c>
      <c r="W227" s="529" t="str">
        <f t="shared" si="23"/>
        <v/>
      </c>
      <c r="X227" s="149"/>
      <c r="Y227" s="150"/>
      <c r="AG227" s="31" t="str">
        <f>IFERROR(INDEX('G-6 Hedgerow Data'!$BJ$3:$BJ$15,MATCH(D227,'G-6 Hedgerow Data'!$B$3:$B$15,0)),"")</f>
        <v/>
      </c>
    </row>
    <row r="228" spans="2:33" ht="13.8" x14ac:dyDescent="0.25">
      <c r="B228" s="141">
        <v>217</v>
      </c>
      <c r="C228" s="205"/>
      <c r="D228" s="195"/>
      <c r="E228" s="172"/>
      <c r="F228" s="553" t="str">
        <f>IF(D228="","",VLOOKUP(D228,'G-6 Hedgerow Data'!$B$2:$AG$15,2,FALSE))</f>
        <v/>
      </c>
      <c r="G228" s="499" t="str">
        <f>IF(D228="","",VLOOKUP(D228,'G-6 Hedgerow Data'!$B$2:$AG$15,3,FALSE))</f>
        <v/>
      </c>
      <c r="H228" s="145"/>
      <c r="I228" s="499" t="str">
        <f>IFERROR(VLOOKUP(H228,'G-1 All Habitats'!$Z$2:$AA$9,2,FALSE),"")</f>
        <v/>
      </c>
      <c r="J228" s="145"/>
      <c r="K228" s="520" t="str">
        <f>IF(J228="","",IF(VLOOKUP(J228,'G-3 Multipliers'!$L$3:$N$6,2,FALSE)=0,"Spatial Data Missing ⚠",VLOOKUP(J228,'G-3 Multipliers'!$L$3:$N$6,2,FALSE)))</f>
        <v/>
      </c>
      <c r="L228" s="505" t="str">
        <f>IF(J228="","",IF(VLOOKUP(J228,'G-3 Multipliers'!$L$3:$N$6,3,FALSE)=0,"Spatial Data Missing ⚠",VLOOKUP(J228,'G-3 Multipliers'!$L$3:$N$6,3,FALSE)))</f>
        <v/>
      </c>
      <c r="M228" s="498" t="str">
        <f>IF(OR(D228="",H228=""),"",(INDEX('G-6 Hedgerow Data'!$E$3:$I$15,MATCH(D228,'G-6 Hedgerow Data'!$B$3:$B$15,0),MATCH(H228,'G-6 Hedgerow Data'!$E$2:$I$2,0))))</f>
        <v/>
      </c>
      <c r="N228" s="195"/>
      <c r="O228" s="195"/>
      <c r="P228" s="507" t="str">
        <f t="shared" si="19"/>
        <v/>
      </c>
      <c r="Q228" s="521" t="str">
        <f t="shared" si="20"/>
        <v/>
      </c>
      <c r="R228" s="522" t="str">
        <f t="shared" si="18"/>
        <v/>
      </c>
      <c r="S228" s="537" t="str">
        <f>IF(D228="","",VLOOKUP(D228,'G-6 Hedgerow Data'!$B$3:$AG$15,31,FALSE))</f>
        <v/>
      </c>
      <c r="T228" s="507" t="str">
        <f t="shared" si="21"/>
        <v/>
      </c>
      <c r="U228" s="507" t="str">
        <f t="shared" si="22"/>
        <v/>
      </c>
      <c r="V228" s="524" t="str">
        <f>IF(D228="","",VLOOKUP(S228,'G-3 Multipliers'!$P$3:$Q$6,2,FALSE))</f>
        <v/>
      </c>
      <c r="W228" s="529" t="str">
        <f t="shared" si="23"/>
        <v/>
      </c>
      <c r="X228" s="149"/>
      <c r="Y228" s="150"/>
      <c r="AG228" s="31" t="str">
        <f>IFERROR(INDEX('G-6 Hedgerow Data'!$BJ$3:$BJ$15,MATCH(D228,'G-6 Hedgerow Data'!$B$3:$B$15,0)),"")</f>
        <v/>
      </c>
    </row>
    <row r="229" spans="2:33" ht="13.8" x14ac:dyDescent="0.25">
      <c r="B229" s="141">
        <v>218</v>
      </c>
      <c r="C229" s="205"/>
      <c r="D229" s="195"/>
      <c r="E229" s="172"/>
      <c r="F229" s="553" t="str">
        <f>IF(D229="","",VLOOKUP(D229,'G-6 Hedgerow Data'!$B$2:$AG$15,2,FALSE))</f>
        <v/>
      </c>
      <c r="G229" s="499" t="str">
        <f>IF(D229="","",VLOOKUP(D229,'G-6 Hedgerow Data'!$B$2:$AG$15,3,FALSE))</f>
        <v/>
      </c>
      <c r="H229" s="145"/>
      <c r="I229" s="499" t="str">
        <f>IFERROR(VLOOKUP(H229,'G-1 All Habitats'!$Z$2:$AA$9,2,FALSE),"")</f>
        <v/>
      </c>
      <c r="J229" s="145"/>
      <c r="K229" s="520" t="str">
        <f>IF(J229="","",IF(VLOOKUP(J229,'G-3 Multipliers'!$L$3:$N$6,2,FALSE)=0,"Spatial Data Missing ⚠",VLOOKUP(J229,'G-3 Multipliers'!$L$3:$N$6,2,FALSE)))</f>
        <v/>
      </c>
      <c r="L229" s="505" t="str">
        <f>IF(J229="","",IF(VLOOKUP(J229,'G-3 Multipliers'!$L$3:$N$6,3,FALSE)=0,"Spatial Data Missing ⚠",VLOOKUP(J229,'G-3 Multipliers'!$L$3:$N$6,3,FALSE)))</f>
        <v/>
      </c>
      <c r="M229" s="498" t="str">
        <f>IF(OR(D229="",H229=""),"",(INDEX('G-6 Hedgerow Data'!$E$3:$I$15,MATCH(D229,'G-6 Hedgerow Data'!$B$3:$B$15,0),MATCH(H229,'G-6 Hedgerow Data'!$E$2:$I$2,0))))</f>
        <v/>
      </c>
      <c r="N229" s="195"/>
      <c r="O229" s="195"/>
      <c r="P229" s="507" t="str">
        <f t="shared" si="19"/>
        <v/>
      </c>
      <c r="Q229" s="521" t="str">
        <f t="shared" si="20"/>
        <v/>
      </c>
      <c r="R229" s="522" t="str">
        <f t="shared" si="18"/>
        <v/>
      </c>
      <c r="S229" s="537" t="str">
        <f>IF(D229="","",VLOOKUP(D229,'G-6 Hedgerow Data'!$B$3:$AG$15,31,FALSE))</f>
        <v/>
      </c>
      <c r="T229" s="507" t="str">
        <f t="shared" si="21"/>
        <v/>
      </c>
      <c r="U229" s="507" t="str">
        <f t="shared" si="22"/>
        <v/>
      </c>
      <c r="V229" s="524" t="str">
        <f>IF(D229="","",VLOOKUP(S229,'G-3 Multipliers'!$P$3:$Q$6,2,FALSE))</f>
        <v/>
      </c>
      <c r="W229" s="529" t="str">
        <f t="shared" si="23"/>
        <v/>
      </c>
      <c r="X229" s="149"/>
      <c r="Y229" s="150"/>
      <c r="AG229" s="31" t="str">
        <f>IFERROR(INDEX('G-6 Hedgerow Data'!$BJ$3:$BJ$15,MATCH(D229,'G-6 Hedgerow Data'!$B$3:$B$15,0)),"")</f>
        <v/>
      </c>
    </row>
    <row r="230" spans="2:33" ht="13.8" x14ac:dyDescent="0.25">
      <c r="B230" s="141">
        <v>219</v>
      </c>
      <c r="C230" s="205"/>
      <c r="D230" s="195"/>
      <c r="E230" s="172"/>
      <c r="F230" s="553" t="str">
        <f>IF(D230="","",VLOOKUP(D230,'G-6 Hedgerow Data'!$B$2:$AG$15,2,FALSE))</f>
        <v/>
      </c>
      <c r="G230" s="499" t="str">
        <f>IF(D230="","",VLOOKUP(D230,'G-6 Hedgerow Data'!$B$2:$AG$15,3,FALSE))</f>
        <v/>
      </c>
      <c r="H230" s="145"/>
      <c r="I230" s="499" t="str">
        <f>IFERROR(VLOOKUP(H230,'G-1 All Habitats'!$Z$2:$AA$9,2,FALSE),"")</f>
        <v/>
      </c>
      <c r="J230" s="145"/>
      <c r="K230" s="520" t="str">
        <f>IF(J230="","",IF(VLOOKUP(J230,'G-3 Multipliers'!$L$3:$N$6,2,FALSE)=0,"Spatial Data Missing ⚠",VLOOKUP(J230,'G-3 Multipliers'!$L$3:$N$6,2,FALSE)))</f>
        <v/>
      </c>
      <c r="L230" s="505" t="str">
        <f>IF(J230="","",IF(VLOOKUP(J230,'G-3 Multipliers'!$L$3:$N$6,3,FALSE)=0,"Spatial Data Missing ⚠",VLOOKUP(J230,'G-3 Multipliers'!$L$3:$N$6,3,FALSE)))</f>
        <v/>
      </c>
      <c r="M230" s="498" t="str">
        <f>IF(OR(D230="",H230=""),"",(INDEX('G-6 Hedgerow Data'!$E$3:$I$15,MATCH(D230,'G-6 Hedgerow Data'!$B$3:$B$15,0),MATCH(H230,'G-6 Hedgerow Data'!$E$2:$I$2,0))))</f>
        <v/>
      </c>
      <c r="N230" s="195"/>
      <c r="O230" s="195"/>
      <c r="P230" s="507" t="str">
        <f t="shared" si="19"/>
        <v/>
      </c>
      <c r="Q230" s="521" t="str">
        <f t="shared" si="20"/>
        <v/>
      </c>
      <c r="R230" s="522" t="str">
        <f t="shared" si="18"/>
        <v/>
      </c>
      <c r="S230" s="537" t="str">
        <f>IF(D230="","",VLOOKUP(D230,'G-6 Hedgerow Data'!$B$3:$AG$15,31,FALSE))</f>
        <v/>
      </c>
      <c r="T230" s="507" t="str">
        <f t="shared" si="21"/>
        <v/>
      </c>
      <c r="U230" s="507" t="str">
        <f t="shared" si="22"/>
        <v/>
      </c>
      <c r="V230" s="524" t="str">
        <f>IF(D230="","",VLOOKUP(S230,'G-3 Multipliers'!$P$3:$Q$6,2,FALSE))</f>
        <v/>
      </c>
      <c r="W230" s="529" t="str">
        <f t="shared" si="23"/>
        <v/>
      </c>
      <c r="X230" s="149"/>
      <c r="Y230" s="150"/>
      <c r="AG230" s="31" t="str">
        <f>IFERROR(INDEX('G-6 Hedgerow Data'!$BJ$3:$BJ$15,MATCH(D230,'G-6 Hedgerow Data'!$B$3:$B$15,0)),"")</f>
        <v/>
      </c>
    </row>
    <row r="231" spans="2:33" ht="13.8" x14ac:dyDescent="0.25">
      <c r="B231" s="141">
        <v>220</v>
      </c>
      <c r="C231" s="205"/>
      <c r="D231" s="195"/>
      <c r="E231" s="172"/>
      <c r="F231" s="553" t="str">
        <f>IF(D231="","",VLOOKUP(D231,'G-6 Hedgerow Data'!$B$2:$AG$15,2,FALSE))</f>
        <v/>
      </c>
      <c r="G231" s="499" t="str">
        <f>IF(D231="","",VLOOKUP(D231,'G-6 Hedgerow Data'!$B$2:$AG$15,3,FALSE))</f>
        <v/>
      </c>
      <c r="H231" s="145"/>
      <c r="I231" s="499" t="str">
        <f>IFERROR(VLOOKUP(H231,'G-1 All Habitats'!$Z$2:$AA$9,2,FALSE),"")</f>
        <v/>
      </c>
      <c r="J231" s="145"/>
      <c r="K231" s="520" t="str">
        <f>IF(J231="","",IF(VLOOKUP(J231,'G-3 Multipliers'!$L$3:$N$6,2,FALSE)=0,"Spatial Data Missing ⚠",VLOOKUP(J231,'G-3 Multipliers'!$L$3:$N$6,2,FALSE)))</f>
        <v/>
      </c>
      <c r="L231" s="505" t="str">
        <f>IF(J231="","",IF(VLOOKUP(J231,'G-3 Multipliers'!$L$3:$N$6,3,FALSE)=0,"Spatial Data Missing ⚠",VLOOKUP(J231,'G-3 Multipliers'!$L$3:$N$6,3,FALSE)))</f>
        <v/>
      </c>
      <c r="M231" s="498" t="str">
        <f>IF(OR(D231="",H231=""),"",(INDEX('G-6 Hedgerow Data'!$E$3:$I$15,MATCH(D231,'G-6 Hedgerow Data'!$B$3:$B$15,0),MATCH(H231,'G-6 Hedgerow Data'!$E$2:$I$2,0))))</f>
        <v/>
      </c>
      <c r="N231" s="195"/>
      <c r="O231" s="195"/>
      <c r="P231" s="507" t="str">
        <f t="shared" si="19"/>
        <v/>
      </c>
      <c r="Q231" s="521" t="str">
        <f t="shared" si="20"/>
        <v/>
      </c>
      <c r="R231" s="522" t="str">
        <f t="shared" si="18"/>
        <v/>
      </c>
      <c r="S231" s="537" t="str">
        <f>IF(D231="","",VLOOKUP(D231,'G-6 Hedgerow Data'!$B$3:$AG$15,31,FALSE))</f>
        <v/>
      </c>
      <c r="T231" s="507" t="str">
        <f t="shared" si="21"/>
        <v/>
      </c>
      <c r="U231" s="507" t="str">
        <f t="shared" si="22"/>
        <v/>
      </c>
      <c r="V231" s="524" t="str">
        <f>IF(D231="","",VLOOKUP(S231,'G-3 Multipliers'!$P$3:$Q$6,2,FALSE))</f>
        <v/>
      </c>
      <c r="W231" s="529" t="str">
        <f t="shared" si="23"/>
        <v/>
      </c>
      <c r="X231" s="149"/>
      <c r="Y231" s="150"/>
      <c r="AG231" s="31" t="str">
        <f>IFERROR(INDEX('G-6 Hedgerow Data'!$BJ$3:$BJ$15,MATCH(D231,'G-6 Hedgerow Data'!$B$3:$B$15,0)),"")</f>
        <v/>
      </c>
    </row>
    <row r="232" spans="2:33" ht="13.8" x14ac:dyDescent="0.25">
      <c r="B232" s="141">
        <v>221</v>
      </c>
      <c r="C232" s="205"/>
      <c r="D232" s="195"/>
      <c r="E232" s="172"/>
      <c r="F232" s="553" t="str">
        <f>IF(D232="","",VLOOKUP(D232,'G-6 Hedgerow Data'!$B$2:$AG$15,2,FALSE))</f>
        <v/>
      </c>
      <c r="G232" s="499" t="str">
        <f>IF(D232="","",VLOOKUP(D232,'G-6 Hedgerow Data'!$B$2:$AG$15,3,FALSE))</f>
        <v/>
      </c>
      <c r="H232" s="145"/>
      <c r="I232" s="499" t="str">
        <f>IFERROR(VLOOKUP(H232,'G-1 All Habitats'!$Z$2:$AA$9,2,FALSE),"")</f>
        <v/>
      </c>
      <c r="J232" s="145"/>
      <c r="K232" s="520" t="str">
        <f>IF(J232="","",IF(VLOOKUP(J232,'G-3 Multipliers'!$L$3:$N$6,2,FALSE)=0,"Spatial Data Missing ⚠",VLOOKUP(J232,'G-3 Multipliers'!$L$3:$N$6,2,FALSE)))</f>
        <v/>
      </c>
      <c r="L232" s="505" t="str">
        <f>IF(J232="","",IF(VLOOKUP(J232,'G-3 Multipliers'!$L$3:$N$6,3,FALSE)=0,"Spatial Data Missing ⚠",VLOOKUP(J232,'G-3 Multipliers'!$L$3:$N$6,3,FALSE)))</f>
        <v/>
      </c>
      <c r="M232" s="498" t="str">
        <f>IF(OR(D232="",H232=""),"",(INDEX('G-6 Hedgerow Data'!$E$3:$I$15,MATCH(D232,'G-6 Hedgerow Data'!$B$3:$B$15,0),MATCH(H232,'G-6 Hedgerow Data'!$E$2:$I$2,0))))</f>
        <v/>
      </c>
      <c r="N232" s="195"/>
      <c r="O232" s="195"/>
      <c r="P232" s="507" t="str">
        <f t="shared" si="19"/>
        <v/>
      </c>
      <c r="Q232" s="521" t="str">
        <f t="shared" si="20"/>
        <v/>
      </c>
      <c r="R232" s="522" t="str">
        <f t="shared" si="18"/>
        <v/>
      </c>
      <c r="S232" s="537" t="str">
        <f>IF(D232="","",VLOOKUP(D232,'G-6 Hedgerow Data'!$B$3:$AG$15,31,FALSE))</f>
        <v/>
      </c>
      <c r="T232" s="507" t="str">
        <f t="shared" si="21"/>
        <v/>
      </c>
      <c r="U232" s="507" t="str">
        <f t="shared" si="22"/>
        <v/>
      </c>
      <c r="V232" s="524" t="str">
        <f>IF(D232="","",VLOOKUP(S232,'G-3 Multipliers'!$P$3:$Q$6,2,FALSE))</f>
        <v/>
      </c>
      <c r="W232" s="529" t="str">
        <f t="shared" si="23"/>
        <v/>
      </c>
      <c r="X232" s="149"/>
      <c r="Y232" s="150"/>
      <c r="AG232" s="31" t="str">
        <f>IFERROR(INDEX('G-6 Hedgerow Data'!$BJ$3:$BJ$15,MATCH(D232,'G-6 Hedgerow Data'!$B$3:$B$15,0)),"")</f>
        <v/>
      </c>
    </row>
    <row r="233" spans="2:33" ht="13.8" x14ac:dyDescent="0.25">
      <c r="B233" s="141">
        <v>222</v>
      </c>
      <c r="C233" s="205"/>
      <c r="D233" s="195"/>
      <c r="E233" s="172"/>
      <c r="F233" s="553" t="str">
        <f>IF(D233="","",VLOOKUP(D233,'G-6 Hedgerow Data'!$B$2:$AG$15,2,FALSE))</f>
        <v/>
      </c>
      <c r="G233" s="499" t="str">
        <f>IF(D233="","",VLOOKUP(D233,'G-6 Hedgerow Data'!$B$2:$AG$15,3,FALSE))</f>
        <v/>
      </c>
      <c r="H233" s="145"/>
      <c r="I233" s="499" t="str">
        <f>IFERROR(VLOOKUP(H233,'G-1 All Habitats'!$Z$2:$AA$9,2,FALSE),"")</f>
        <v/>
      </c>
      <c r="J233" s="145"/>
      <c r="K233" s="520" t="str">
        <f>IF(J233="","",IF(VLOOKUP(J233,'G-3 Multipliers'!$L$3:$N$6,2,FALSE)=0,"Spatial Data Missing ⚠",VLOOKUP(J233,'G-3 Multipliers'!$L$3:$N$6,2,FALSE)))</f>
        <v/>
      </c>
      <c r="L233" s="505" t="str">
        <f>IF(J233="","",IF(VLOOKUP(J233,'G-3 Multipliers'!$L$3:$N$6,3,FALSE)=0,"Spatial Data Missing ⚠",VLOOKUP(J233,'G-3 Multipliers'!$L$3:$N$6,3,FALSE)))</f>
        <v/>
      </c>
      <c r="M233" s="498" t="str">
        <f>IF(OR(D233="",H233=""),"",(INDEX('G-6 Hedgerow Data'!$E$3:$I$15,MATCH(D233,'G-6 Hedgerow Data'!$B$3:$B$15,0),MATCH(H233,'G-6 Hedgerow Data'!$E$2:$I$2,0))))</f>
        <v/>
      </c>
      <c r="N233" s="195"/>
      <c r="O233" s="195"/>
      <c r="P233" s="507" t="str">
        <f t="shared" si="19"/>
        <v/>
      </c>
      <c r="Q233" s="521" t="str">
        <f t="shared" si="20"/>
        <v/>
      </c>
      <c r="R233" s="522" t="str">
        <f t="shared" si="18"/>
        <v/>
      </c>
      <c r="S233" s="537" t="str">
        <f>IF(D233="","",VLOOKUP(D233,'G-6 Hedgerow Data'!$B$3:$AG$15,31,FALSE))</f>
        <v/>
      </c>
      <c r="T233" s="507" t="str">
        <f t="shared" si="21"/>
        <v/>
      </c>
      <c r="U233" s="507" t="str">
        <f t="shared" si="22"/>
        <v/>
      </c>
      <c r="V233" s="524" t="str">
        <f>IF(D233="","",VLOOKUP(S233,'G-3 Multipliers'!$P$3:$Q$6,2,FALSE))</f>
        <v/>
      </c>
      <c r="W233" s="529" t="str">
        <f t="shared" si="23"/>
        <v/>
      </c>
      <c r="X233" s="149"/>
      <c r="Y233" s="150"/>
      <c r="AG233" s="31" t="str">
        <f>IFERROR(INDEX('G-6 Hedgerow Data'!$BJ$3:$BJ$15,MATCH(D233,'G-6 Hedgerow Data'!$B$3:$B$15,0)),"")</f>
        <v/>
      </c>
    </row>
    <row r="234" spans="2:33" ht="13.8" x14ac:dyDescent="0.25">
      <c r="B234" s="141">
        <v>223</v>
      </c>
      <c r="C234" s="205"/>
      <c r="D234" s="195"/>
      <c r="E234" s="172"/>
      <c r="F234" s="553" t="str">
        <f>IF(D234="","",VLOOKUP(D234,'G-6 Hedgerow Data'!$B$2:$AG$15,2,FALSE))</f>
        <v/>
      </c>
      <c r="G234" s="499" t="str">
        <f>IF(D234="","",VLOOKUP(D234,'G-6 Hedgerow Data'!$B$2:$AG$15,3,FALSE))</f>
        <v/>
      </c>
      <c r="H234" s="145"/>
      <c r="I234" s="499" t="str">
        <f>IFERROR(VLOOKUP(H234,'G-1 All Habitats'!$Z$2:$AA$9,2,FALSE),"")</f>
        <v/>
      </c>
      <c r="J234" s="145"/>
      <c r="K234" s="520" t="str">
        <f>IF(J234="","",IF(VLOOKUP(J234,'G-3 Multipliers'!$L$3:$N$6,2,FALSE)=0,"Spatial Data Missing ⚠",VLOOKUP(J234,'G-3 Multipliers'!$L$3:$N$6,2,FALSE)))</f>
        <v/>
      </c>
      <c r="L234" s="505" t="str">
        <f>IF(J234="","",IF(VLOOKUP(J234,'G-3 Multipliers'!$L$3:$N$6,3,FALSE)=0,"Spatial Data Missing ⚠",VLOOKUP(J234,'G-3 Multipliers'!$L$3:$N$6,3,FALSE)))</f>
        <v/>
      </c>
      <c r="M234" s="498" t="str">
        <f>IF(OR(D234="",H234=""),"",(INDEX('G-6 Hedgerow Data'!$E$3:$I$15,MATCH(D234,'G-6 Hedgerow Data'!$B$3:$B$15,0),MATCH(H234,'G-6 Hedgerow Data'!$E$2:$I$2,0))))</f>
        <v/>
      </c>
      <c r="N234" s="195"/>
      <c r="O234" s="195"/>
      <c r="P234" s="507" t="str">
        <f t="shared" si="19"/>
        <v/>
      </c>
      <c r="Q234" s="521" t="str">
        <f t="shared" si="20"/>
        <v/>
      </c>
      <c r="R234" s="522" t="str">
        <f t="shared" si="18"/>
        <v/>
      </c>
      <c r="S234" s="537" t="str">
        <f>IF(D234="","",VLOOKUP(D234,'G-6 Hedgerow Data'!$B$3:$AG$15,31,FALSE))</f>
        <v/>
      </c>
      <c r="T234" s="507" t="str">
        <f t="shared" si="21"/>
        <v/>
      </c>
      <c r="U234" s="507" t="str">
        <f t="shared" si="22"/>
        <v/>
      </c>
      <c r="V234" s="524" t="str">
        <f>IF(D234="","",VLOOKUP(S234,'G-3 Multipliers'!$P$3:$Q$6,2,FALSE))</f>
        <v/>
      </c>
      <c r="W234" s="529" t="str">
        <f t="shared" si="23"/>
        <v/>
      </c>
      <c r="X234" s="149"/>
      <c r="Y234" s="150"/>
      <c r="AG234" s="31" t="str">
        <f>IFERROR(INDEX('G-6 Hedgerow Data'!$BJ$3:$BJ$15,MATCH(D234,'G-6 Hedgerow Data'!$B$3:$B$15,0)),"")</f>
        <v/>
      </c>
    </row>
    <row r="235" spans="2:33" ht="13.8" x14ac:dyDescent="0.25">
      <c r="B235" s="141">
        <v>224</v>
      </c>
      <c r="C235" s="205"/>
      <c r="D235" s="195"/>
      <c r="E235" s="172"/>
      <c r="F235" s="553" t="str">
        <f>IF(D235="","",VLOOKUP(D235,'G-6 Hedgerow Data'!$B$2:$AG$15,2,FALSE))</f>
        <v/>
      </c>
      <c r="G235" s="499" t="str">
        <f>IF(D235="","",VLOOKUP(D235,'G-6 Hedgerow Data'!$B$2:$AG$15,3,FALSE))</f>
        <v/>
      </c>
      <c r="H235" s="145"/>
      <c r="I235" s="499" t="str">
        <f>IFERROR(VLOOKUP(H235,'G-1 All Habitats'!$Z$2:$AA$9,2,FALSE),"")</f>
        <v/>
      </c>
      <c r="J235" s="145"/>
      <c r="K235" s="520" t="str">
        <f>IF(J235="","",IF(VLOOKUP(J235,'G-3 Multipliers'!$L$3:$N$6,2,FALSE)=0,"Spatial Data Missing ⚠",VLOOKUP(J235,'G-3 Multipliers'!$L$3:$N$6,2,FALSE)))</f>
        <v/>
      </c>
      <c r="L235" s="505" t="str">
        <f>IF(J235="","",IF(VLOOKUP(J235,'G-3 Multipliers'!$L$3:$N$6,3,FALSE)=0,"Spatial Data Missing ⚠",VLOOKUP(J235,'G-3 Multipliers'!$L$3:$N$6,3,FALSE)))</f>
        <v/>
      </c>
      <c r="M235" s="498" t="str">
        <f>IF(OR(D235="",H235=""),"",(INDEX('G-6 Hedgerow Data'!$E$3:$I$15,MATCH(D235,'G-6 Hedgerow Data'!$B$3:$B$15,0),MATCH(H235,'G-6 Hedgerow Data'!$E$2:$I$2,0))))</f>
        <v/>
      </c>
      <c r="N235" s="195"/>
      <c r="O235" s="195"/>
      <c r="P235" s="507" t="str">
        <f t="shared" si="19"/>
        <v/>
      </c>
      <c r="Q235" s="521" t="str">
        <f t="shared" si="20"/>
        <v/>
      </c>
      <c r="R235" s="522" t="str">
        <f t="shared" si="18"/>
        <v/>
      </c>
      <c r="S235" s="537" t="str">
        <f>IF(D235="","",VLOOKUP(D235,'G-6 Hedgerow Data'!$B$3:$AG$15,31,FALSE))</f>
        <v/>
      </c>
      <c r="T235" s="507" t="str">
        <f t="shared" si="21"/>
        <v/>
      </c>
      <c r="U235" s="507" t="str">
        <f t="shared" si="22"/>
        <v/>
      </c>
      <c r="V235" s="524" t="str">
        <f>IF(D235="","",VLOOKUP(S235,'G-3 Multipliers'!$P$3:$Q$6,2,FALSE))</f>
        <v/>
      </c>
      <c r="W235" s="529" t="str">
        <f t="shared" si="23"/>
        <v/>
      </c>
      <c r="X235" s="149"/>
      <c r="Y235" s="150"/>
      <c r="AG235" s="31" t="str">
        <f>IFERROR(INDEX('G-6 Hedgerow Data'!$BJ$3:$BJ$15,MATCH(D235,'G-6 Hedgerow Data'!$B$3:$B$15,0)),"")</f>
        <v/>
      </c>
    </row>
    <row r="236" spans="2:33" ht="13.8" x14ac:dyDescent="0.25">
      <c r="B236" s="141">
        <v>225</v>
      </c>
      <c r="C236" s="205"/>
      <c r="D236" s="195"/>
      <c r="E236" s="172"/>
      <c r="F236" s="553" t="str">
        <f>IF(D236="","",VLOOKUP(D236,'G-6 Hedgerow Data'!$B$2:$AG$15,2,FALSE))</f>
        <v/>
      </c>
      <c r="G236" s="499" t="str">
        <f>IF(D236="","",VLOOKUP(D236,'G-6 Hedgerow Data'!$B$2:$AG$15,3,FALSE))</f>
        <v/>
      </c>
      <c r="H236" s="145"/>
      <c r="I236" s="499" t="str">
        <f>IFERROR(VLOOKUP(H236,'G-1 All Habitats'!$Z$2:$AA$9,2,FALSE),"")</f>
        <v/>
      </c>
      <c r="J236" s="145"/>
      <c r="K236" s="520" t="str">
        <f>IF(J236="","",IF(VLOOKUP(J236,'G-3 Multipliers'!$L$3:$N$6,2,FALSE)=0,"Spatial Data Missing ⚠",VLOOKUP(J236,'G-3 Multipliers'!$L$3:$N$6,2,FALSE)))</f>
        <v/>
      </c>
      <c r="L236" s="505" t="str">
        <f>IF(J236="","",IF(VLOOKUP(J236,'G-3 Multipliers'!$L$3:$N$6,3,FALSE)=0,"Spatial Data Missing ⚠",VLOOKUP(J236,'G-3 Multipliers'!$L$3:$N$6,3,FALSE)))</f>
        <v/>
      </c>
      <c r="M236" s="498" t="str">
        <f>IF(OR(D236="",H236=""),"",(INDEX('G-6 Hedgerow Data'!$E$3:$I$15,MATCH(D236,'G-6 Hedgerow Data'!$B$3:$B$15,0),MATCH(H236,'G-6 Hedgerow Data'!$E$2:$I$2,0))))</f>
        <v/>
      </c>
      <c r="N236" s="195"/>
      <c r="O236" s="195"/>
      <c r="P236" s="507" t="str">
        <f t="shared" si="19"/>
        <v/>
      </c>
      <c r="Q236" s="521" t="str">
        <f t="shared" si="20"/>
        <v/>
      </c>
      <c r="R236" s="522" t="str">
        <f t="shared" si="18"/>
        <v/>
      </c>
      <c r="S236" s="537" t="str">
        <f>IF(D236="","",VLOOKUP(D236,'G-6 Hedgerow Data'!$B$3:$AG$15,31,FALSE))</f>
        <v/>
      </c>
      <c r="T236" s="507" t="str">
        <f t="shared" si="21"/>
        <v/>
      </c>
      <c r="U236" s="507" t="str">
        <f t="shared" si="22"/>
        <v/>
      </c>
      <c r="V236" s="524" t="str">
        <f>IF(D236="","",VLOOKUP(S236,'G-3 Multipliers'!$P$3:$Q$6,2,FALSE))</f>
        <v/>
      </c>
      <c r="W236" s="529" t="str">
        <f t="shared" si="23"/>
        <v/>
      </c>
      <c r="X236" s="149"/>
      <c r="Y236" s="150"/>
      <c r="AG236" s="31" t="str">
        <f>IFERROR(INDEX('G-6 Hedgerow Data'!$BJ$3:$BJ$15,MATCH(D236,'G-6 Hedgerow Data'!$B$3:$B$15,0)),"")</f>
        <v/>
      </c>
    </row>
    <row r="237" spans="2:33" ht="13.8" x14ac:dyDescent="0.25">
      <c r="B237" s="141">
        <v>226</v>
      </c>
      <c r="C237" s="205"/>
      <c r="D237" s="195"/>
      <c r="E237" s="172"/>
      <c r="F237" s="553" t="str">
        <f>IF(D237="","",VLOOKUP(D237,'G-6 Hedgerow Data'!$B$2:$AG$15,2,FALSE))</f>
        <v/>
      </c>
      <c r="G237" s="499" t="str">
        <f>IF(D237="","",VLOOKUP(D237,'G-6 Hedgerow Data'!$B$2:$AG$15,3,FALSE))</f>
        <v/>
      </c>
      <c r="H237" s="145"/>
      <c r="I237" s="499" t="str">
        <f>IFERROR(VLOOKUP(H237,'G-1 All Habitats'!$Z$2:$AA$9,2,FALSE),"")</f>
        <v/>
      </c>
      <c r="J237" s="145"/>
      <c r="K237" s="520" t="str">
        <f>IF(J237="","",IF(VLOOKUP(J237,'G-3 Multipliers'!$L$3:$N$6,2,FALSE)=0,"Spatial Data Missing ⚠",VLOOKUP(J237,'G-3 Multipliers'!$L$3:$N$6,2,FALSE)))</f>
        <v/>
      </c>
      <c r="L237" s="505" t="str">
        <f>IF(J237="","",IF(VLOOKUP(J237,'G-3 Multipliers'!$L$3:$N$6,3,FALSE)=0,"Spatial Data Missing ⚠",VLOOKUP(J237,'G-3 Multipliers'!$L$3:$N$6,3,FALSE)))</f>
        <v/>
      </c>
      <c r="M237" s="498" t="str">
        <f>IF(OR(D237="",H237=""),"",(INDEX('G-6 Hedgerow Data'!$E$3:$I$15,MATCH(D237,'G-6 Hedgerow Data'!$B$3:$B$15,0),MATCH(H237,'G-6 Hedgerow Data'!$E$2:$I$2,0))))</f>
        <v/>
      </c>
      <c r="N237" s="195"/>
      <c r="O237" s="195"/>
      <c r="P237" s="507" t="str">
        <f t="shared" si="19"/>
        <v/>
      </c>
      <c r="Q237" s="521" t="str">
        <f t="shared" si="20"/>
        <v/>
      </c>
      <c r="R237" s="522" t="str">
        <f t="shared" si="18"/>
        <v/>
      </c>
      <c r="S237" s="537" t="str">
        <f>IF(D237="","",VLOOKUP(D237,'G-6 Hedgerow Data'!$B$3:$AG$15,31,FALSE))</f>
        <v/>
      </c>
      <c r="T237" s="507" t="str">
        <f t="shared" si="21"/>
        <v/>
      </c>
      <c r="U237" s="507" t="str">
        <f t="shared" si="22"/>
        <v/>
      </c>
      <c r="V237" s="524" t="str">
        <f>IF(D237="","",VLOOKUP(S237,'G-3 Multipliers'!$P$3:$Q$6,2,FALSE))</f>
        <v/>
      </c>
      <c r="W237" s="529" t="str">
        <f t="shared" si="23"/>
        <v/>
      </c>
      <c r="X237" s="149"/>
      <c r="Y237" s="150"/>
      <c r="AG237" s="31" t="str">
        <f>IFERROR(INDEX('G-6 Hedgerow Data'!$BJ$3:$BJ$15,MATCH(D237,'G-6 Hedgerow Data'!$B$3:$B$15,0)),"")</f>
        <v/>
      </c>
    </row>
    <row r="238" spans="2:33" ht="13.8" x14ac:dyDescent="0.25">
      <c r="B238" s="141">
        <v>227</v>
      </c>
      <c r="C238" s="205"/>
      <c r="D238" s="195"/>
      <c r="E238" s="172"/>
      <c r="F238" s="553" t="str">
        <f>IF(D238="","",VLOOKUP(D238,'G-6 Hedgerow Data'!$B$2:$AG$15,2,FALSE))</f>
        <v/>
      </c>
      <c r="G238" s="499" t="str">
        <f>IF(D238="","",VLOOKUP(D238,'G-6 Hedgerow Data'!$B$2:$AG$15,3,FALSE))</f>
        <v/>
      </c>
      <c r="H238" s="145"/>
      <c r="I238" s="499" t="str">
        <f>IFERROR(VLOOKUP(H238,'G-1 All Habitats'!$Z$2:$AA$9,2,FALSE),"")</f>
        <v/>
      </c>
      <c r="J238" s="145"/>
      <c r="K238" s="520" t="str">
        <f>IF(J238="","",IF(VLOOKUP(J238,'G-3 Multipliers'!$L$3:$N$6,2,FALSE)=0,"Spatial Data Missing ⚠",VLOOKUP(J238,'G-3 Multipliers'!$L$3:$N$6,2,FALSE)))</f>
        <v/>
      </c>
      <c r="L238" s="505" t="str">
        <f>IF(J238="","",IF(VLOOKUP(J238,'G-3 Multipliers'!$L$3:$N$6,3,FALSE)=0,"Spatial Data Missing ⚠",VLOOKUP(J238,'G-3 Multipliers'!$L$3:$N$6,3,FALSE)))</f>
        <v/>
      </c>
      <c r="M238" s="498" t="str">
        <f>IF(OR(D238="",H238=""),"",(INDEX('G-6 Hedgerow Data'!$E$3:$I$15,MATCH(D238,'G-6 Hedgerow Data'!$B$3:$B$15,0),MATCH(H238,'G-6 Hedgerow Data'!$E$2:$I$2,0))))</f>
        <v/>
      </c>
      <c r="N238" s="195"/>
      <c r="O238" s="195"/>
      <c r="P238" s="507" t="str">
        <f t="shared" si="19"/>
        <v/>
      </c>
      <c r="Q238" s="521" t="str">
        <f t="shared" si="20"/>
        <v/>
      </c>
      <c r="R238" s="522" t="str">
        <f t="shared" si="18"/>
        <v/>
      </c>
      <c r="S238" s="537" t="str">
        <f>IF(D238="","",VLOOKUP(D238,'G-6 Hedgerow Data'!$B$3:$AG$15,31,FALSE))</f>
        <v/>
      </c>
      <c r="T238" s="507" t="str">
        <f t="shared" si="21"/>
        <v/>
      </c>
      <c r="U238" s="507" t="str">
        <f t="shared" si="22"/>
        <v/>
      </c>
      <c r="V238" s="524" t="str">
        <f>IF(D238="","",VLOOKUP(S238,'G-3 Multipliers'!$P$3:$Q$6,2,FALSE))</f>
        <v/>
      </c>
      <c r="W238" s="529" t="str">
        <f t="shared" si="23"/>
        <v/>
      </c>
      <c r="X238" s="149"/>
      <c r="Y238" s="150"/>
      <c r="AG238" s="31" t="str">
        <f>IFERROR(INDEX('G-6 Hedgerow Data'!$BJ$3:$BJ$15,MATCH(D238,'G-6 Hedgerow Data'!$B$3:$B$15,0)),"")</f>
        <v/>
      </c>
    </row>
    <row r="239" spans="2:33" ht="13.8" x14ac:dyDescent="0.25">
      <c r="B239" s="141">
        <v>228</v>
      </c>
      <c r="C239" s="205"/>
      <c r="D239" s="195"/>
      <c r="E239" s="172"/>
      <c r="F239" s="553" t="str">
        <f>IF(D239="","",VLOOKUP(D239,'G-6 Hedgerow Data'!$B$2:$AG$15,2,FALSE))</f>
        <v/>
      </c>
      <c r="G239" s="499" t="str">
        <f>IF(D239="","",VLOOKUP(D239,'G-6 Hedgerow Data'!$B$2:$AG$15,3,FALSE))</f>
        <v/>
      </c>
      <c r="H239" s="145"/>
      <c r="I239" s="499" t="str">
        <f>IFERROR(VLOOKUP(H239,'G-1 All Habitats'!$Z$2:$AA$9,2,FALSE),"")</f>
        <v/>
      </c>
      <c r="J239" s="145"/>
      <c r="K239" s="520" t="str">
        <f>IF(J239="","",IF(VLOOKUP(J239,'G-3 Multipliers'!$L$3:$N$6,2,FALSE)=0,"Spatial Data Missing ⚠",VLOOKUP(J239,'G-3 Multipliers'!$L$3:$N$6,2,FALSE)))</f>
        <v/>
      </c>
      <c r="L239" s="505" t="str">
        <f>IF(J239="","",IF(VLOOKUP(J239,'G-3 Multipliers'!$L$3:$N$6,3,FALSE)=0,"Spatial Data Missing ⚠",VLOOKUP(J239,'G-3 Multipliers'!$L$3:$N$6,3,FALSE)))</f>
        <v/>
      </c>
      <c r="M239" s="498" t="str">
        <f>IF(OR(D239="",H239=""),"",(INDEX('G-6 Hedgerow Data'!$E$3:$I$15,MATCH(D239,'G-6 Hedgerow Data'!$B$3:$B$15,0),MATCH(H239,'G-6 Hedgerow Data'!$E$2:$I$2,0))))</f>
        <v/>
      </c>
      <c r="N239" s="195"/>
      <c r="O239" s="195"/>
      <c r="P239" s="507" t="str">
        <f t="shared" si="19"/>
        <v/>
      </c>
      <c r="Q239" s="521" t="str">
        <f t="shared" si="20"/>
        <v/>
      </c>
      <c r="R239" s="522" t="str">
        <f t="shared" si="18"/>
        <v/>
      </c>
      <c r="S239" s="537" t="str">
        <f>IF(D239="","",VLOOKUP(D239,'G-6 Hedgerow Data'!$B$3:$AG$15,31,FALSE))</f>
        <v/>
      </c>
      <c r="T239" s="507" t="str">
        <f t="shared" si="21"/>
        <v/>
      </c>
      <c r="U239" s="507" t="str">
        <f t="shared" si="22"/>
        <v/>
      </c>
      <c r="V239" s="524" t="str">
        <f>IF(D239="","",VLOOKUP(S239,'G-3 Multipliers'!$P$3:$Q$6,2,FALSE))</f>
        <v/>
      </c>
      <c r="W239" s="529" t="str">
        <f t="shared" si="23"/>
        <v/>
      </c>
      <c r="X239" s="149"/>
      <c r="Y239" s="150"/>
      <c r="AG239" s="31" t="str">
        <f>IFERROR(INDEX('G-6 Hedgerow Data'!$BJ$3:$BJ$15,MATCH(D239,'G-6 Hedgerow Data'!$B$3:$B$15,0)),"")</f>
        <v/>
      </c>
    </row>
    <row r="240" spans="2:33" ht="13.8" x14ac:dyDescent="0.25">
      <c r="B240" s="141">
        <v>229</v>
      </c>
      <c r="C240" s="205"/>
      <c r="D240" s="195"/>
      <c r="E240" s="172"/>
      <c r="F240" s="553" t="str">
        <f>IF(D240="","",VLOOKUP(D240,'G-6 Hedgerow Data'!$B$2:$AG$15,2,FALSE))</f>
        <v/>
      </c>
      <c r="G240" s="499" t="str">
        <f>IF(D240="","",VLOOKUP(D240,'G-6 Hedgerow Data'!$B$2:$AG$15,3,FALSE))</f>
        <v/>
      </c>
      <c r="H240" s="145"/>
      <c r="I240" s="499" t="str">
        <f>IFERROR(VLOOKUP(H240,'G-1 All Habitats'!$Z$2:$AA$9,2,FALSE),"")</f>
        <v/>
      </c>
      <c r="J240" s="145"/>
      <c r="K240" s="520" t="str">
        <f>IF(J240="","",IF(VLOOKUP(J240,'G-3 Multipliers'!$L$3:$N$6,2,FALSE)=0,"Spatial Data Missing ⚠",VLOOKUP(J240,'G-3 Multipliers'!$L$3:$N$6,2,FALSE)))</f>
        <v/>
      </c>
      <c r="L240" s="505" t="str">
        <f>IF(J240="","",IF(VLOOKUP(J240,'G-3 Multipliers'!$L$3:$N$6,3,FALSE)=0,"Spatial Data Missing ⚠",VLOOKUP(J240,'G-3 Multipliers'!$L$3:$N$6,3,FALSE)))</f>
        <v/>
      </c>
      <c r="M240" s="498" t="str">
        <f>IF(OR(D240="",H240=""),"",(INDEX('G-6 Hedgerow Data'!$E$3:$I$15,MATCH(D240,'G-6 Hedgerow Data'!$B$3:$B$15,0),MATCH(H240,'G-6 Hedgerow Data'!$E$2:$I$2,0))))</f>
        <v/>
      </c>
      <c r="N240" s="195"/>
      <c r="O240" s="195"/>
      <c r="P240" s="507" t="str">
        <f t="shared" si="19"/>
        <v/>
      </c>
      <c r="Q240" s="521" t="str">
        <f t="shared" si="20"/>
        <v/>
      </c>
      <c r="R240" s="522" t="str">
        <f t="shared" si="18"/>
        <v/>
      </c>
      <c r="S240" s="537" t="str">
        <f>IF(D240="","",VLOOKUP(D240,'G-6 Hedgerow Data'!$B$3:$AG$15,31,FALSE))</f>
        <v/>
      </c>
      <c r="T240" s="507" t="str">
        <f t="shared" si="21"/>
        <v/>
      </c>
      <c r="U240" s="507" t="str">
        <f t="shared" si="22"/>
        <v/>
      </c>
      <c r="V240" s="524" t="str">
        <f>IF(D240="","",VLOOKUP(S240,'G-3 Multipliers'!$P$3:$Q$6,2,FALSE))</f>
        <v/>
      </c>
      <c r="W240" s="529" t="str">
        <f t="shared" si="23"/>
        <v/>
      </c>
      <c r="X240" s="149"/>
      <c r="Y240" s="150"/>
      <c r="AG240" s="31" t="str">
        <f>IFERROR(INDEX('G-6 Hedgerow Data'!$BJ$3:$BJ$15,MATCH(D240,'G-6 Hedgerow Data'!$B$3:$B$15,0)),"")</f>
        <v/>
      </c>
    </row>
    <row r="241" spans="2:33" ht="13.8" x14ac:dyDescent="0.25">
      <c r="B241" s="141">
        <v>230</v>
      </c>
      <c r="C241" s="205"/>
      <c r="D241" s="195"/>
      <c r="E241" s="172"/>
      <c r="F241" s="553" t="str">
        <f>IF(D241="","",VLOOKUP(D241,'G-6 Hedgerow Data'!$B$2:$AG$15,2,FALSE))</f>
        <v/>
      </c>
      <c r="G241" s="499" t="str">
        <f>IF(D241="","",VLOOKUP(D241,'G-6 Hedgerow Data'!$B$2:$AG$15,3,FALSE))</f>
        <v/>
      </c>
      <c r="H241" s="145"/>
      <c r="I241" s="499" t="str">
        <f>IFERROR(VLOOKUP(H241,'G-1 All Habitats'!$Z$2:$AA$9,2,FALSE),"")</f>
        <v/>
      </c>
      <c r="J241" s="145"/>
      <c r="K241" s="520" t="str">
        <f>IF(J241="","",IF(VLOOKUP(J241,'G-3 Multipliers'!$L$3:$N$6,2,FALSE)=0,"Spatial Data Missing ⚠",VLOOKUP(J241,'G-3 Multipliers'!$L$3:$N$6,2,FALSE)))</f>
        <v/>
      </c>
      <c r="L241" s="505" t="str">
        <f>IF(J241="","",IF(VLOOKUP(J241,'G-3 Multipliers'!$L$3:$N$6,3,FALSE)=0,"Spatial Data Missing ⚠",VLOOKUP(J241,'G-3 Multipliers'!$L$3:$N$6,3,FALSE)))</f>
        <v/>
      </c>
      <c r="M241" s="498" t="str">
        <f>IF(OR(D241="",H241=""),"",(INDEX('G-6 Hedgerow Data'!$E$3:$I$15,MATCH(D241,'G-6 Hedgerow Data'!$B$3:$B$15,0),MATCH(H241,'G-6 Hedgerow Data'!$E$2:$I$2,0))))</f>
        <v/>
      </c>
      <c r="N241" s="195"/>
      <c r="O241" s="195"/>
      <c r="P241" s="507" t="str">
        <f t="shared" si="19"/>
        <v/>
      </c>
      <c r="Q241" s="521" t="str">
        <f t="shared" si="20"/>
        <v/>
      </c>
      <c r="R241" s="522" t="str">
        <f t="shared" si="18"/>
        <v/>
      </c>
      <c r="S241" s="537" t="str">
        <f>IF(D241="","",VLOOKUP(D241,'G-6 Hedgerow Data'!$B$3:$AG$15,31,FALSE))</f>
        <v/>
      </c>
      <c r="T241" s="507" t="str">
        <f t="shared" si="21"/>
        <v/>
      </c>
      <c r="U241" s="507" t="str">
        <f t="shared" si="22"/>
        <v/>
      </c>
      <c r="V241" s="524" t="str">
        <f>IF(D241="","",VLOOKUP(S241,'G-3 Multipliers'!$P$3:$Q$6,2,FALSE))</f>
        <v/>
      </c>
      <c r="W241" s="529" t="str">
        <f t="shared" si="23"/>
        <v/>
      </c>
      <c r="X241" s="149"/>
      <c r="Y241" s="150"/>
      <c r="AG241" s="31" t="str">
        <f>IFERROR(INDEX('G-6 Hedgerow Data'!$BJ$3:$BJ$15,MATCH(D241,'G-6 Hedgerow Data'!$B$3:$B$15,0)),"")</f>
        <v/>
      </c>
    </row>
    <row r="242" spans="2:33" ht="13.8" x14ac:dyDescent="0.25">
      <c r="B242" s="141">
        <v>231</v>
      </c>
      <c r="C242" s="205"/>
      <c r="D242" s="195"/>
      <c r="E242" s="172"/>
      <c r="F242" s="553" t="str">
        <f>IF(D242="","",VLOOKUP(D242,'G-6 Hedgerow Data'!$B$2:$AG$15,2,FALSE))</f>
        <v/>
      </c>
      <c r="G242" s="499" t="str">
        <f>IF(D242="","",VLOOKUP(D242,'G-6 Hedgerow Data'!$B$2:$AG$15,3,FALSE))</f>
        <v/>
      </c>
      <c r="H242" s="145"/>
      <c r="I242" s="499" t="str">
        <f>IFERROR(VLOOKUP(H242,'G-1 All Habitats'!$Z$2:$AA$9,2,FALSE),"")</f>
        <v/>
      </c>
      <c r="J242" s="145"/>
      <c r="K242" s="520" t="str">
        <f>IF(J242="","",IF(VLOOKUP(J242,'G-3 Multipliers'!$L$3:$N$6,2,FALSE)=0,"Spatial Data Missing ⚠",VLOOKUP(J242,'G-3 Multipliers'!$L$3:$N$6,2,FALSE)))</f>
        <v/>
      </c>
      <c r="L242" s="505" t="str">
        <f>IF(J242="","",IF(VLOOKUP(J242,'G-3 Multipliers'!$L$3:$N$6,3,FALSE)=0,"Spatial Data Missing ⚠",VLOOKUP(J242,'G-3 Multipliers'!$L$3:$N$6,3,FALSE)))</f>
        <v/>
      </c>
      <c r="M242" s="498" t="str">
        <f>IF(OR(D242="",H242=""),"",(INDEX('G-6 Hedgerow Data'!$E$3:$I$15,MATCH(D242,'G-6 Hedgerow Data'!$B$3:$B$15,0),MATCH(H242,'G-6 Hedgerow Data'!$E$2:$I$2,0))))</f>
        <v/>
      </c>
      <c r="N242" s="195"/>
      <c r="O242" s="195"/>
      <c r="P242" s="507" t="str">
        <f t="shared" si="19"/>
        <v/>
      </c>
      <c r="Q242" s="521" t="str">
        <f t="shared" si="20"/>
        <v/>
      </c>
      <c r="R242" s="522" t="str">
        <f t="shared" si="18"/>
        <v/>
      </c>
      <c r="S242" s="537" t="str">
        <f>IF(D242="","",VLOOKUP(D242,'G-6 Hedgerow Data'!$B$3:$AG$15,31,FALSE))</f>
        <v/>
      </c>
      <c r="T242" s="507" t="str">
        <f t="shared" si="21"/>
        <v/>
      </c>
      <c r="U242" s="507" t="str">
        <f t="shared" si="22"/>
        <v/>
      </c>
      <c r="V242" s="524" t="str">
        <f>IF(D242="","",VLOOKUP(S242,'G-3 Multipliers'!$P$3:$Q$6,2,FALSE))</f>
        <v/>
      </c>
      <c r="W242" s="529" t="str">
        <f t="shared" si="23"/>
        <v/>
      </c>
      <c r="X242" s="149"/>
      <c r="Y242" s="150"/>
      <c r="AG242" s="31" t="str">
        <f>IFERROR(INDEX('G-6 Hedgerow Data'!$BJ$3:$BJ$15,MATCH(D242,'G-6 Hedgerow Data'!$B$3:$B$15,0)),"")</f>
        <v/>
      </c>
    </row>
    <row r="243" spans="2:33" ht="13.8" x14ac:dyDescent="0.25">
      <c r="B243" s="141">
        <v>232</v>
      </c>
      <c r="C243" s="205"/>
      <c r="D243" s="195"/>
      <c r="E243" s="172"/>
      <c r="F243" s="553" t="str">
        <f>IF(D243="","",VLOOKUP(D243,'G-6 Hedgerow Data'!$B$2:$AG$15,2,FALSE))</f>
        <v/>
      </c>
      <c r="G243" s="499" t="str">
        <f>IF(D243="","",VLOOKUP(D243,'G-6 Hedgerow Data'!$B$2:$AG$15,3,FALSE))</f>
        <v/>
      </c>
      <c r="H243" s="145"/>
      <c r="I243" s="499" t="str">
        <f>IFERROR(VLOOKUP(H243,'G-1 All Habitats'!$Z$2:$AA$9,2,FALSE),"")</f>
        <v/>
      </c>
      <c r="J243" s="145"/>
      <c r="K243" s="520" t="str">
        <f>IF(J243="","",IF(VLOOKUP(J243,'G-3 Multipliers'!$L$3:$N$6,2,FALSE)=0,"Spatial Data Missing ⚠",VLOOKUP(J243,'G-3 Multipliers'!$L$3:$N$6,2,FALSE)))</f>
        <v/>
      </c>
      <c r="L243" s="505" t="str">
        <f>IF(J243="","",IF(VLOOKUP(J243,'G-3 Multipliers'!$L$3:$N$6,3,FALSE)=0,"Spatial Data Missing ⚠",VLOOKUP(J243,'G-3 Multipliers'!$L$3:$N$6,3,FALSE)))</f>
        <v/>
      </c>
      <c r="M243" s="498" t="str">
        <f>IF(OR(D243="",H243=""),"",(INDEX('G-6 Hedgerow Data'!$E$3:$I$15,MATCH(D243,'G-6 Hedgerow Data'!$B$3:$B$15,0),MATCH(H243,'G-6 Hedgerow Data'!$E$2:$I$2,0))))</f>
        <v/>
      </c>
      <c r="N243" s="195"/>
      <c r="O243" s="195"/>
      <c r="P243" s="507" t="str">
        <f t="shared" si="19"/>
        <v/>
      </c>
      <c r="Q243" s="521" t="str">
        <f t="shared" si="20"/>
        <v/>
      </c>
      <c r="R243" s="522" t="str">
        <f t="shared" si="18"/>
        <v/>
      </c>
      <c r="S243" s="537" t="str">
        <f>IF(D243="","",VLOOKUP(D243,'G-6 Hedgerow Data'!$B$3:$AG$15,31,FALSE))</f>
        <v/>
      </c>
      <c r="T243" s="507" t="str">
        <f t="shared" si="21"/>
        <v/>
      </c>
      <c r="U243" s="507" t="str">
        <f t="shared" si="22"/>
        <v/>
      </c>
      <c r="V243" s="524" t="str">
        <f>IF(D243="","",VLOOKUP(S243,'G-3 Multipliers'!$P$3:$Q$6,2,FALSE))</f>
        <v/>
      </c>
      <c r="W243" s="529" t="str">
        <f t="shared" si="23"/>
        <v/>
      </c>
      <c r="X243" s="149"/>
      <c r="Y243" s="150"/>
      <c r="AG243" s="31" t="str">
        <f>IFERROR(INDEX('G-6 Hedgerow Data'!$BJ$3:$BJ$15,MATCH(D243,'G-6 Hedgerow Data'!$B$3:$B$15,0)),"")</f>
        <v/>
      </c>
    </row>
    <row r="244" spans="2:33" ht="13.8" x14ac:dyDescent="0.25">
      <c r="B244" s="141">
        <v>233</v>
      </c>
      <c r="C244" s="205"/>
      <c r="D244" s="195"/>
      <c r="E244" s="172"/>
      <c r="F244" s="553" t="str">
        <f>IF(D244="","",VLOOKUP(D244,'G-6 Hedgerow Data'!$B$2:$AG$15,2,FALSE))</f>
        <v/>
      </c>
      <c r="G244" s="499" t="str">
        <f>IF(D244="","",VLOOKUP(D244,'G-6 Hedgerow Data'!$B$2:$AG$15,3,FALSE))</f>
        <v/>
      </c>
      <c r="H244" s="145"/>
      <c r="I244" s="499" t="str">
        <f>IFERROR(VLOOKUP(H244,'G-1 All Habitats'!$Z$2:$AA$9,2,FALSE),"")</f>
        <v/>
      </c>
      <c r="J244" s="145"/>
      <c r="K244" s="520" t="str">
        <f>IF(J244="","",IF(VLOOKUP(J244,'G-3 Multipliers'!$L$3:$N$6,2,FALSE)=0,"Spatial Data Missing ⚠",VLOOKUP(J244,'G-3 Multipliers'!$L$3:$N$6,2,FALSE)))</f>
        <v/>
      </c>
      <c r="L244" s="505" t="str">
        <f>IF(J244="","",IF(VLOOKUP(J244,'G-3 Multipliers'!$L$3:$N$6,3,FALSE)=0,"Spatial Data Missing ⚠",VLOOKUP(J244,'G-3 Multipliers'!$L$3:$N$6,3,FALSE)))</f>
        <v/>
      </c>
      <c r="M244" s="498" t="str">
        <f>IF(OR(D244="",H244=""),"",(INDEX('G-6 Hedgerow Data'!$E$3:$I$15,MATCH(D244,'G-6 Hedgerow Data'!$B$3:$B$15,0),MATCH(H244,'G-6 Hedgerow Data'!$E$2:$I$2,0))))</f>
        <v/>
      </c>
      <c r="N244" s="195"/>
      <c r="O244" s="195"/>
      <c r="P244" s="507" t="str">
        <f t="shared" si="19"/>
        <v/>
      </c>
      <c r="Q244" s="521" t="str">
        <f t="shared" si="20"/>
        <v/>
      </c>
      <c r="R244" s="522" t="str">
        <f t="shared" si="18"/>
        <v/>
      </c>
      <c r="S244" s="537" t="str">
        <f>IF(D244="","",VLOOKUP(D244,'G-6 Hedgerow Data'!$B$3:$AG$15,31,FALSE))</f>
        <v/>
      </c>
      <c r="T244" s="507" t="str">
        <f t="shared" si="21"/>
        <v/>
      </c>
      <c r="U244" s="507" t="str">
        <f t="shared" si="22"/>
        <v/>
      </c>
      <c r="V244" s="524" t="str">
        <f>IF(D244="","",VLOOKUP(S244,'G-3 Multipliers'!$P$3:$Q$6,2,FALSE))</f>
        <v/>
      </c>
      <c r="W244" s="529" t="str">
        <f t="shared" si="23"/>
        <v/>
      </c>
      <c r="X244" s="149"/>
      <c r="Y244" s="150"/>
      <c r="AG244" s="31" t="str">
        <f>IFERROR(INDEX('G-6 Hedgerow Data'!$BJ$3:$BJ$15,MATCH(D244,'G-6 Hedgerow Data'!$B$3:$B$15,0)),"")</f>
        <v/>
      </c>
    </row>
    <row r="245" spans="2:33" ht="13.8" x14ac:dyDescent="0.25">
      <c r="B245" s="141">
        <v>234</v>
      </c>
      <c r="C245" s="205"/>
      <c r="D245" s="195"/>
      <c r="E245" s="172"/>
      <c r="F245" s="553" t="str">
        <f>IF(D245="","",VLOOKUP(D245,'G-6 Hedgerow Data'!$B$2:$AG$15,2,FALSE))</f>
        <v/>
      </c>
      <c r="G245" s="499" t="str">
        <f>IF(D245="","",VLOOKUP(D245,'G-6 Hedgerow Data'!$B$2:$AG$15,3,FALSE))</f>
        <v/>
      </c>
      <c r="H245" s="145"/>
      <c r="I245" s="499" t="str">
        <f>IFERROR(VLOOKUP(H245,'G-1 All Habitats'!$Z$2:$AA$9,2,FALSE),"")</f>
        <v/>
      </c>
      <c r="J245" s="145"/>
      <c r="K245" s="520" t="str">
        <f>IF(J245="","",IF(VLOOKUP(J245,'G-3 Multipliers'!$L$3:$N$6,2,FALSE)=0,"Spatial Data Missing ⚠",VLOOKUP(J245,'G-3 Multipliers'!$L$3:$N$6,2,FALSE)))</f>
        <v/>
      </c>
      <c r="L245" s="505" t="str">
        <f>IF(J245="","",IF(VLOOKUP(J245,'G-3 Multipliers'!$L$3:$N$6,3,FALSE)=0,"Spatial Data Missing ⚠",VLOOKUP(J245,'G-3 Multipliers'!$L$3:$N$6,3,FALSE)))</f>
        <v/>
      </c>
      <c r="M245" s="498" t="str">
        <f>IF(OR(D245="",H245=""),"",(INDEX('G-6 Hedgerow Data'!$E$3:$I$15,MATCH(D245,'G-6 Hedgerow Data'!$B$3:$B$15,0),MATCH(H245,'G-6 Hedgerow Data'!$E$2:$I$2,0))))</f>
        <v/>
      </c>
      <c r="N245" s="195"/>
      <c r="O245" s="195"/>
      <c r="P245" s="507" t="str">
        <f t="shared" si="19"/>
        <v/>
      </c>
      <c r="Q245" s="521" t="str">
        <f t="shared" si="20"/>
        <v/>
      </c>
      <c r="R245" s="522" t="str">
        <f t="shared" si="18"/>
        <v/>
      </c>
      <c r="S245" s="537" t="str">
        <f>IF(D245="","",VLOOKUP(D245,'G-6 Hedgerow Data'!$B$3:$AG$15,31,FALSE))</f>
        <v/>
      </c>
      <c r="T245" s="507" t="str">
        <f t="shared" si="21"/>
        <v/>
      </c>
      <c r="U245" s="507" t="str">
        <f t="shared" si="22"/>
        <v/>
      </c>
      <c r="V245" s="524" t="str">
        <f>IF(D245="","",VLOOKUP(S245,'G-3 Multipliers'!$P$3:$Q$6,2,FALSE))</f>
        <v/>
      </c>
      <c r="W245" s="529" t="str">
        <f t="shared" si="23"/>
        <v/>
      </c>
      <c r="X245" s="149"/>
      <c r="Y245" s="150"/>
      <c r="AG245" s="31" t="str">
        <f>IFERROR(INDEX('G-6 Hedgerow Data'!$BJ$3:$BJ$15,MATCH(D245,'G-6 Hedgerow Data'!$B$3:$B$15,0)),"")</f>
        <v/>
      </c>
    </row>
    <row r="246" spans="2:33" ht="13.8" x14ac:dyDescent="0.25">
      <c r="B246" s="141">
        <v>235</v>
      </c>
      <c r="C246" s="205"/>
      <c r="D246" s="195"/>
      <c r="E246" s="172"/>
      <c r="F246" s="553" t="str">
        <f>IF(D246="","",VLOOKUP(D246,'G-6 Hedgerow Data'!$B$2:$AG$15,2,FALSE))</f>
        <v/>
      </c>
      <c r="G246" s="499" t="str">
        <f>IF(D246="","",VLOOKUP(D246,'G-6 Hedgerow Data'!$B$2:$AG$15,3,FALSE))</f>
        <v/>
      </c>
      <c r="H246" s="145"/>
      <c r="I246" s="499" t="str">
        <f>IFERROR(VLOOKUP(H246,'G-1 All Habitats'!$Z$2:$AA$9,2,FALSE),"")</f>
        <v/>
      </c>
      <c r="J246" s="145"/>
      <c r="K246" s="520" t="str">
        <f>IF(J246="","",IF(VLOOKUP(J246,'G-3 Multipliers'!$L$3:$N$6,2,FALSE)=0,"Spatial Data Missing ⚠",VLOOKUP(J246,'G-3 Multipliers'!$L$3:$N$6,2,FALSE)))</f>
        <v/>
      </c>
      <c r="L246" s="505" t="str">
        <f>IF(J246="","",IF(VLOOKUP(J246,'G-3 Multipliers'!$L$3:$N$6,3,FALSE)=0,"Spatial Data Missing ⚠",VLOOKUP(J246,'G-3 Multipliers'!$L$3:$N$6,3,FALSE)))</f>
        <v/>
      </c>
      <c r="M246" s="498" t="str">
        <f>IF(OR(D246="",H246=""),"",(INDEX('G-6 Hedgerow Data'!$E$3:$I$15,MATCH(D246,'G-6 Hedgerow Data'!$B$3:$B$15,0),MATCH(H246,'G-6 Hedgerow Data'!$E$2:$I$2,0))))</f>
        <v/>
      </c>
      <c r="N246" s="195"/>
      <c r="O246" s="195"/>
      <c r="P246" s="507" t="str">
        <f t="shared" si="19"/>
        <v/>
      </c>
      <c r="Q246" s="521" t="str">
        <f t="shared" si="20"/>
        <v/>
      </c>
      <c r="R246" s="522" t="str">
        <f t="shared" si="18"/>
        <v/>
      </c>
      <c r="S246" s="537" t="str">
        <f>IF(D246="","",VLOOKUP(D246,'G-6 Hedgerow Data'!$B$3:$AG$15,31,FALSE))</f>
        <v/>
      </c>
      <c r="T246" s="507" t="str">
        <f t="shared" si="21"/>
        <v/>
      </c>
      <c r="U246" s="507" t="str">
        <f t="shared" si="22"/>
        <v/>
      </c>
      <c r="V246" s="524" t="str">
        <f>IF(D246="","",VLOOKUP(S246,'G-3 Multipliers'!$P$3:$Q$6,2,FALSE))</f>
        <v/>
      </c>
      <c r="W246" s="529" t="str">
        <f t="shared" si="23"/>
        <v/>
      </c>
      <c r="X246" s="149"/>
      <c r="Y246" s="150"/>
      <c r="AG246" s="31" t="str">
        <f>IFERROR(INDEX('G-6 Hedgerow Data'!$BJ$3:$BJ$15,MATCH(D246,'G-6 Hedgerow Data'!$B$3:$B$15,0)),"")</f>
        <v/>
      </c>
    </row>
    <row r="247" spans="2:33" ht="13.8" x14ac:dyDescent="0.25">
      <c r="B247" s="141">
        <v>236</v>
      </c>
      <c r="C247" s="205"/>
      <c r="D247" s="195"/>
      <c r="E247" s="172"/>
      <c r="F247" s="553" t="str">
        <f>IF(D247="","",VLOOKUP(D247,'G-6 Hedgerow Data'!$B$2:$AG$15,2,FALSE))</f>
        <v/>
      </c>
      <c r="G247" s="499" t="str">
        <f>IF(D247="","",VLOOKUP(D247,'G-6 Hedgerow Data'!$B$2:$AG$15,3,FALSE))</f>
        <v/>
      </c>
      <c r="H247" s="145"/>
      <c r="I247" s="499" t="str">
        <f>IFERROR(VLOOKUP(H247,'G-1 All Habitats'!$Z$2:$AA$9,2,FALSE),"")</f>
        <v/>
      </c>
      <c r="J247" s="145"/>
      <c r="K247" s="520" t="str">
        <f>IF(J247="","",IF(VLOOKUP(J247,'G-3 Multipliers'!$L$3:$N$6,2,FALSE)=0,"Spatial Data Missing ⚠",VLOOKUP(J247,'G-3 Multipliers'!$L$3:$N$6,2,FALSE)))</f>
        <v/>
      </c>
      <c r="L247" s="505" t="str">
        <f>IF(J247="","",IF(VLOOKUP(J247,'G-3 Multipliers'!$L$3:$N$6,3,FALSE)=0,"Spatial Data Missing ⚠",VLOOKUP(J247,'G-3 Multipliers'!$L$3:$N$6,3,FALSE)))</f>
        <v/>
      </c>
      <c r="M247" s="498" t="str">
        <f>IF(OR(D247="",H247=""),"",(INDEX('G-6 Hedgerow Data'!$E$3:$I$15,MATCH(D247,'G-6 Hedgerow Data'!$B$3:$B$15,0),MATCH(H247,'G-6 Hedgerow Data'!$E$2:$I$2,0))))</f>
        <v/>
      </c>
      <c r="N247" s="195"/>
      <c r="O247" s="195"/>
      <c r="P247" s="507" t="str">
        <f t="shared" si="19"/>
        <v/>
      </c>
      <c r="Q247" s="521" t="str">
        <f t="shared" si="20"/>
        <v/>
      </c>
      <c r="R247" s="522" t="str">
        <f t="shared" si="18"/>
        <v/>
      </c>
      <c r="S247" s="537" t="str">
        <f>IF(D247="","",VLOOKUP(D247,'G-6 Hedgerow Data'!$B$3:$AG$15,31,FALSE))</f>
        <v/>
      </c>
      <c r="T247" s="507" t="str">
        <f t="shared" si="21"/>
        <v/>
      </c>
      <c r="U247" s="507" t="str">
        <f t="shared" si="22"/>
        <v/>
      </c>
      <c r="V247" s="524" t="str">
        <f>IF(D247="","",VLOOKUP(S247,'G-3 Multipliers'!$P$3:$Q$6,2,FALSE))</f>
        <v/>
      </c>
      <c r="W247" s="529" t="str">
        <f t="shared" si="23"/>
        <v/>
      </c>
      <c r="X247" s="149"/>
      <c r="Y247" s="150"/>
      <c r="AG247" s="31" t="str">
        <f>IFERROR(INDEX('G-6 Hedgerow Data'!$BJ$3:$BJ$15,MATCH(D247,'G-6 Hedgerow Data'!$B$3:$B$15,0)),"")</f>
        <v/>
      </c>
    </row>
    <row r="248" spans="2:33" ht="13.8" x14ac:dyDescent="0.25">
      <c r="B248" s="141">
        <v>237</v>
      </c>
      <c r="C248" s="205"/>
      <c r="D248" s="195"/>
      <c r="E248" s="172"/>
      <c r="F248" s="553" t="str">
        <f>IF(D248="","",VLOOKUP(D248,'G-6 Hedgerow Data'!$B$2:$AG$15,2,FALSE))</f>
        <v/>
      </c>
      <c r="G248" s="499" t="str">
        <f>IF(D248="","",VLOOKUP(D248,'G-6 Hedgerow Data'!$B$2:$AG$15,3,FALSE))</f>
        <v/>
      </c>
      <c r="H248" s="145"/>
      <c r="I248" s="499" t="str">
        <f>IFERROR(VLOOKUP(H248,'G-1 All Habitats'!$Z$2:$AA$9,2,FALSE),"")</f>
        <v/>
      </c>
      <c r="J248" s="145"/>
      <c r="K248" s="520" t="str">
        <f>IF(J248="","",IF(VLOOKUP(J248,'G-3 Multipliers'!$L$3:$N$6,2,FALSE)=0,"Spatial Data Missing ⚠",VLOOKUP(J248,'G-3 Multipliers'!$L$3:$N$6,2,FALSE)))</f>
        <v/>
      </c>
      <c r="L248" s="505" t="str">
        <f>IF(J248="","",IF(VLOOKUP(J248,'G-3 Multipliers'!$L$3:$N$6,3,FALSE)=0,"Spatial Data Missing ⚠",VLOOKUP(J248,'G-3 Multipliers'!$L$3:$N$6,3,FALSE)))</f>
        <v/>
      </c>
      <c r="M248" s="498" t="str">
        <f>IF(OR(D248="",H248=""),"",(INDEX('G-6 Hedgerow Data'!$E$3:$I$15,MATCH(D248,'G-6 Hedgerow Data'!$B$3:$B$15,0),MATCH(H248,'G-6 Hedgerow Data'!$E$2:$I$2,0))))</f>
        <v/>
      </c>
      <c r="N248" s="195"/>
      <c r="O248" s="195"/>
      <c r="P248" s="507" t="str">
        <f t="shared" si="19"/>
        <v/>
      </c>
      <c r="Q248" s="521" t="str">
        <f t="shared" si="20"/>
        <v/>
      </c>
      <c r="R248" s="522" t="str">
        <f t="shared" si="18"/>
        <v/>
      </c>
      <c r="S248" s="537" t="str">
        <f>IF(D248="","",VLOOKUP(D248,'G-6 Hedgerow Data'!$B$3:$AG$15,31,FALSE))</f>
        <v/>
      </c>
      <c r="T248" s="507" t="str">
        <f t="shared" si="21"/>
        <v/>
      </c>
      <c r="U248" s="507" t="str">
        <f t="shared" si="22"/>
        <v/>
      </c>
      <c r="V248" s="524" t="str">
        <f>IF(D248="","",VLOOKUP(S248,'G-3 Multipliers'!$P$3:$Q$6,2,FALSE))</f>
        <v/>
      </c>
      <c r="W248" s="529" t="str">
        <f t="shared" si="23"/>
        <v/>
      </c>
      <c r="X248" s="149"/>
      <c r="Y248" s="150"/>
      <c r="AG248" s="31" t="str">
        <f>IFERROR(INDEX('G-6 Hedgerow Data'!$BJ$3:$BJ$15,MATCH(D248,'G-6 Hedgerow Data'!$B$3:$B$15,0)),"")</f>
        <v/>
      </c>
    </row>
    <row r="249" spans="2:33" ht="13.8" x14ac:dyDescent="0.25">
      <c r="B249" s="141">
        <v>238</v>
      </c>
      <c r="C249" s="205"/>
      <c r="D249" s="195"/>
      <c r="E249" s="172"/>
      <c r="F249" s="553" t="str">
        <f>IF(D249="","",VLOOKUP(D249,'G-6 Hedgerow Data'!$B$2:$AG$15,2,FALSE))</f>
        <v/>
      </c>
      <c r="G249" s="499" t="str">
        <f>IF(D249="","",VLOOKUP(D249,'G-6 Hedgerow Data'!$B$2:$AG$15,3,FALSE))</f>
        <v/>
      </c>
      <c r="H249" s="145"/>
      <c r="I249" s="499" t="str">
        <f>IFERROR(VLOOKUP(H249,'G-1 All Habitats'!$Z$2:$AA$9,2,FALSE),"")</f>
        <v/>
      </c>
      <c r="J249" s="145"/>
      <c r="K249" s="520" t="str">
        <f>IF(J249="","",IF(VLOOKUP(J249,'G-3 Multipliers'!$L$3:$N$6,2,FALSE)=0,"Spatial Data Missing ⚠",VLOOKUP(J249,'G-3 Multipliers'!$L$3:$N$6,2,FALSE)))</f>
        <v/>
      </c>
      <c r="L249" s="505" t="str">
        <f>IF(J249="","",IF(VLOOKUP(J249,'G-3 Multipliers'!$L$3:$N$6,3,FALSE)=0,"Spatial Data Missing ⚠",VLOOKUP(J249,'G-3 Multipliers'!$L$3:$N$6,3,FALSE)))</f>
        <v/>
      </c>
      <c r="M249" s="498" t="str">
        <f>IF(OR(D249="",H249=""),"",(INDEX('G-6 Hedgerow Data'!$E$3:$I$15,MATCH(D249,'G-6 Hedgerow Data'!$B$3:$B$15,0),MATCH(H249,'G-6 Hedgerow Data'!$E$2:$I$2,0))))</f>
        <v/>
      </c>
      <c r="N249" s="195"/>
      <c r="O249" s="195"/>
      <c r="P249" s="507" t="str">
        <f t="shared" si="19"/>
        <v/>
      </c>
      <c r="Q249" s="521" t="str">
        <f t="shared" si="20"/>
        <v/>
      </c>
      <c r="R249" s="522" t="str">
        <f t="shared" si="18"/>
        <v/>
      </c>
      <c r="S249" s="537" t="str">
        <f>IF(D249="","",VLOOKUP(D249,'G-6 Hedgerow Data'!$B$3:$AG$15,31,FALSE))</f>
        <v/>
      </c>
      <c r="T249" s="507" t="str">
        <f t="shared" si="21"/>
        <v/>
      </c>
      <c r="U249" s="507" t="str">
        <f t="shared" si="22"/>
        <v/>
      </c>
      <c r="V249" s="524" t="str">
        <f>IF(D249="","",VLOOKUP(S249,'G-3 Multipliers'!$P$3:$Q$6,2,FALSE))</f>
        <v/>
      </c>
      <c r="W249" s="529" t="str">
        <f t="shared" si="23"/>
        <v/>
      </c>
      <c r="X249" s="149"/>
      <c r="Y249" s="150"/>
      <c r="AG249" s="31" t="str">
        <f>IFERROR(INDEX('G-6 Hedgerow Data'!$BJ$3:$BJ$15,MATCH(D249,'G-6 Hedgerow Data'!$B$3:$B$15,0)),"")</f>
        <v/>
      </c>
    </row>
    <row r="250" spans="2:33" ht="13.8" x14ac:dyDescent="0.25">
      <c r="B250" s="141">
        <v>239</v>
      </c>
      <c r="C250" s="205"/>
      <c r="D250" s="195"/>
      <c r="E250" s="172"/>
      <c r="F250" s="553" t="str">
        <f>IF(D250="","",VLOOKUP(D250,'G-6 Hedgerow Data'!$B$2:$AG$15,2,FALSE))</f>
        <v/>
      </c>
      <c r="G250" s="499" t="str">
        <f>IF(D250="","",VLOOKUP(D250,'G-6 Hedgerow Data'!$B$2:$AG$15,3,FALSE))</f>
        <v/>
      </c>
      <c r="H250" s="145"/>
      <c r="I250" s="499" t="str">
        <f>IFERROR(VLOOKUP(H250,'G-1 All Habitats'!$Z$2:$AA$9,2,FALSE),"")</f>
        <v/>
      </c>
      <c r="J250" s="145"/>
      <c r="K250" s="520" t="str">
        <f>IF(J250="","",IF(VLOOKUP(J250,'G-3 Multipliers'!$L$3:$N$6,2,FALSE)=0,"Spatial Data Missing ⚠",VLOOKUP(J250,'G-3 Multipliers'!$L$3:$N$6,2,FALSE)))</f>
        <v/>
      </c>
      <c r="L250" s="505" t="str">
        <f>IF(J250="","",IF(VLOOKUP(J250,'G-3 Multipliers'!$L$3:$N$6,3,FALSE)=0,"Spatial Data Missing ⚠",VLOOKUP(J250,'G-3 Multipliers'!$L$3:$N$6,3,FALSE)))</f>
        <v/>
      </c>
      <c r="M250" s="498" t="str">
        <f>IF(OR(D250="",H250=""),"",(INDEX('G-6 Hedgerow Data'!$E$3:$I$15,MATCH(D250,'G-6 Hedgerow Data'!$B$3:$B$15,0),MATCH(H250,'G-6 Hedgerow Data'!$E$2:$I$2,0))))</f>
        <v/>
      </c>
      <c r="N250" s="195"/>
      <c r="O250" s="195"/>
      <c r="P250" s="507" t="str">
        <f t="shared" si="19"/>
        <v/>
      </c>
      <c r="Q250" s="521" t="str">
        <f t="shared" si="20"/>
        <v/>
      </c>
      <c r="R250" s="522" t="str">
        <f t="shared" si="18"/>
        <v/>
      </c>
      <c r="S250" s="537" t="str">
        <f>IF(D250="","",VLOOKUP(D250,'G-6 Hedgerow Data'!$B$3:$AG$15,31,FALSE))</f>
        <v/>
      </c>
      <c r="T250" s="507" t="str">
        <f t="shared" si="21"/>
        <v/>
      </c>
      <c r="U250" s="507" t="str">
        <f t="shared" si="22"/>
        <v/>
      </c>
      <c r="V250" s="524" t="str">
        <f>IF(D250="","",VLOOKUP(S250,'G-3 Multipliers'!$P$3:$Q$6,2,FALSE))</f>
        <v/>
      </c>
      <c r="W250" s="529" t="str">
        <f t="shared" si="23"/>
        <v/>
      </c>
      <c r="X250" s="149"/>
      <c r="Y250" s="150"/>
      <c r="AG250" s="31" t="str">
        <f>IFERROR(INDEX('G-6 Hedgerow Data'!$BJ$3:$BJ$15,MATCH(D250,'G-6 Hedgerow Data'!$B$3:$B$15,0)),"")</f>
        <v/>
      </c>
    </row>
    <row r="251" spans="2:33" ht="13.8" x14ac:dyDescent="0.25">
      <c r="B251" s="141">
        <v>240</v>
      </c>
      <c r="C251" s="205"/>
      <c r="D251" s="195"/>
      <c r="E251" s="172"/>
      <c r="F251" s="553" t="str">
        <f>IF(D251="","",VLOOKUP(D251,'G-6 Hedgerow Data'!$B$2:$AG$15,2,FALSE))</f>
        <v/>
      </c>
      <c r="G251" s="499" t="str">
        <f>IF(D251="","",VLOOKUP(D251,'G-6 Hedgerow Data'!$B$2:$AG$15,3,FALSE))</f>
        <v/>
      </c>
      <c r="H251" s="145"/>
      <c r="I251" s="499" t="str">
        <f>IFERROR(VLOOKUP(H251,'G-1 All Habitats'!$Z$2:$AA$9,2,FALSE),"")</f>
        <v/>
      </c>
      <c r="J251" s="145"/>
      <c r="K251" s="520" t="str">
        <f>IF(J251="","",IF(VLOOKUP(J251,'G-3 Multipliers'!$L$3:$N$6,2,FALSE)=0,"Spatial Data Missing ⚠",VLOOKUP(J251,'G-3 Multipliers'!$L$3:$N$6,2,FALSE)))</f>
        <v/>
      </c>
      <c r="L251" s="505" t="str">
        <f>IF(J251="","",IF(VLOOKUP(J251,'G-3 Multipliers'!$L$3:$N$6,3,FALSE)=0,"Spatial Data Missing ⚠",VLOOKUP(J251,'G-3 Multipliers'!$L$3:$N$6,3,FALSE)))</f>
        <v/>
      </c>
      <c r="M251" s="498" t="str">
        <f>IF(OR(D251="",H251=""),"",(INDEX('G-6 Hedgerow Data'!$E$3:$I$15,MATCH(D251,'G-6 Hedgerow Data'!$B$3:$B$15,0),MATCH(H251,'G-6 Hedgerow Data'!$E$2:$I$2,0))))</f>
        <v/>
      </c>
      <c r="N251" s="195"/>
      <c r="O251" s="195"/>
      <c r="P251" s="507" t="str">
        <f t="shared" si="19"/>
        <v/>
      </c>
      <c r="Q251" s="521" t="str">
        <f t="shared" si="20"/>
        <v/>
      </c>
      <c r="R251" s="522" t="str">
        <f t="shared" si="18"/>
        <v/>
      </c>
      <c r="S251" s="537" t="str">
        <f>IF(D251="","",VLOOKUP(D251,'G-6 Hedgerow Data'!$B$3:$AG$15,31,FALSE))</f>
        <v/>
      </c>
      <c r="T251" s="507" t="str">
        <f t="shared" si="21"/>
        <v/>
      </c>
      <c r="U251" s="507" t="str">
        <f t="shared" si="22"/>
        <v/>
      </c>
      <c r="V251" s="524" t="str">
        <f>IF(D251="","",VLOOKUP(S251,'G-3 Multipliers'!$P$3:$Q$6,2,FALSE))</f>
        <v/>
      </c>
      <c r="W251" s="529" t="str">
        <f t="shared" si="23"/>
        <v/>
      </c>
      <c r="X251" s="149"/>
      <c r="Y251" s="150"/>
      <c r="AG251" s="31" t="str">
        <f>IFERROR(INDEX('G-6 Hedgerow Data'!$BJ$3:$BJ$15,MATCH(D251,'G-6 Hedgerow Data'!$B$3:$B$15,0)),"")</f>
        <v/>
      </c>
    </row>
    <row r="252" spans="2:33" ht="13.8" x14ac:dyDescent="0.25">
      <c r="B252" s="141">
        <v>241</v>
      </c>
      <c r="C252" s="205"/>
      <c r="D252" s="195"/>
      <c r="E252" s="172"/>
      <c r="F252" s="553" t="str">
        <f>IF(D252="","",VLOOKUP(D252,'G-6 Hedgerow Data'!$B$2:$AG$15,2,FALSE))</f>
        <v/>
      </c>
      <c r="G252" s="499" t="str">
        <f>IF(D252="","",VLOOKUP(D252,'G-6 Hedgerow Data'!$B$2:$AG$15,3,FALSE))</f>
        <v/>
      </c>
      <c r="H252" s="145"/>
      <c r="I252" s="499" t="str">
        <f>IFERROR(VLOOKUP(H252,'G-1 All Habitats'!$Z$2:$AA$9,2,FALSE),"")</f>
        <v/>
      </c>
      <c r="J252" s="145"/>
      <c r="K252" s="520" t="str">
        <f>IF(J252="","",IF(VLOOKUP(J252,'G-3 Multipliers'!$L$3:$N$6,2,FALSE)=0,"Spatial Data Missing ⚠",VLOOKUP(J252,'G-3 Multipliers'!$L$3:$N$6,2,FALSE)))</f>
        <v/>
      </c>
      <c r="L252" s="505" t="str">
        <f>IF(J252="","",IF(VLOOKUP(J252,'G-3 Multipliers'!$L$3:$N$6,3,FALSE)=0,"Spatial Data Missing ⚠",VLOOKUP(J252,'G-3 Multipliers'!$L$3:$N$6,3,FALSE)))</f>
        <v/>
      </c>
      <c r="M252" s="498" t="str">
        <f>IF(OR(D252="",H252=""),"",(INDEX('G-6 Hedgerow Data'!$E$3:$I$15,MATCH(D252,'G-6 Hedgerow Data'!$B$3:$B$15,0),MATCH(H252,'G-6 Hedgerow Data'!$E$2:$I$2,0))))</f>
        <v/>
      </c>
      <c r="N252" s="195"/>
      <c r="O252" s="195"/>
      <c r="P252" s="507" t="str">
        <f t="shared" si="19"/>
        <v/>
      </c>
      <c r="Q252" s="521" t="str">
        <f t="shared" si="20"/>
        <v/>
      </c>
      <c r="R252" s="522" t="str">
        <f t="shared" si="18"/>
        <v/>
      </c>
      <c r="S252" s="537" t="str">
        <f>IF(D252="","",VLOOKUP(D252,'G-6 Hedgerow Data'!$B$3:$AG$15,31,FALSE))</f>
        <v/>
      </c>
      <c r="T252" s="507" t="str">
        <f t="shared" si="21"/>
        <v/>
      </c>
      <c r="U252" s="507" t="str">
        <f t="shared" si="22"/>
        <v/>
      </c>
      <c r="V252" s="524" t="str">
        <f>IF(D252="","",VLOOKUP(S252,'G-3 Multipliers'!$P$3:$Q$6,2,FALSE))</f>
        <v/>
      </c>
      <c r="W252" s="529" t="str">
        <f t="shared" si="23"/>
        <v/>
      </c>
      <c r="X252" s="149"/>
      <c r="Y252" s="150"/>
      <c r="AG252" s="31" t="str">
        <f>IFERROR(INDEX('G-6 Hedgerow Data'!$BJ$3:$BJ$15,MATCH(D252,'G-6 Hedgerow Data'!$B$3:$B$15,0)),"")</f>
        <v/>
      </c>
    </row>
    <row r="253" spans="2:33" ht="13.8" x14ac:dyDescent="0.25">
      <c r="B253" s="141">
        <v>242</v>
      </c>
      <c r="C253" s="205"/>
      <c r="D253" s="195"/>
      <c r="E253" s="172"/>
      <c r="F253" s="553" t="str">
        <f>IF(D253="","",VLOOKUP(D253,'G-6 Hedgerow Data'!$B$2:$AG$15,2,FALSE))</f>
        <v/>
      </c>
      <c r="G253" s="499" t="str">
        <f>IF(D253="","",VLOOKUP(D253,'G-6 Hedgerow Data'!$B$2:$AG$15,3,FALSE))</f>
        <v/>
      </c>
      <c r="H253" s="145"/>
      <c r="I253" s="499" t="str">
        <f>IFERROR(VLOOKUP(H253,'G-1 All Habitats'!$Z$2:$AA$9,2,FALSE),"")</f>
        <v/>
      </c>
      <c r="J253" s="145"/>
      <c r="K253" s="520" t="str">
        <f>IF(J253="","",IF(VLOOKUP(J253,'G-3 Multipliers'!$L$3:$N$6,2,FALSE)=0,"Spatial Data Missing ⚠",VLOOKUP(J253,'G-3 Multipliers'!$L$3:$N$6,2,FALSE)))</f>
        <v/>
      </c>
      <c r="L253" s="505" t="str">
        <f>IF(J253="","",IF(VLOOKUP(J253,'G-3 Multipliers'!$L$3:$N$6,3,FALSE)=0,"Spatial Data Missing ⚠",VLOOKUP(J253,'G-3 Multipliers'!$L$3:$N$6,3,FALSE)))</f>
        <v/>
      </c>
      <c r="M253" s="498" t="str">
        <f>IF(OR(D253="",H253=""),"",(INDEX('G-6 Hedgerow Data'!$E$3:$I$15,MATCH(D253,'G-6 Hedgerow Data'!$B$3:$B$15,0),MATCH(H253,'G-6 Hedgerow Data'!$E$2:$I$2,0))))</f>
        <v/>
      </c>
      <c r="N253" s="195"/>
      <c r="O253" s="195"/>
      <c r="P253" s="507" t="str">
        <f t="shared" si="19"/>
        <v/>
      </c>
      <c r="Q253" s="521" t="str">
        <f t="shared" si="20"/>
        <v/>
      </c>
      <c r="R253" s="522" t="str">
        <f t="shared" si="18"/>
        <v/>
      </c>
      <c r="S253" s="537" t="str">
        <f>IF(D253="","",VLOOKUP(D253,'G-6 Hedgerow Data'!$B$3:$AG$15,31,FALSE))</f>
        <v/>
      </c>
      <c r="T253" s="507" t="str">
        <f t="shared" si="21"/>
        <v/>
      </c>
      <c r="U253" s="507" t="str">
        <f t="shared" si="22"/>
        <v/>
      </c>
      <c r="V253" s="524" t="str">
        <f>IF(D253="","",VLOOKUP(S253,'G-3 Multipliers'!$P$3:$Q$6,2,FALSE))</f>
        <v/>
      </c>
      <c r="W253" s="529" t="str">
        <f t="shared" si="23"/>
        <v/>
      </c>
      <c r="X253" s="149"/>
      <c r="Y253" s="150"/>
      <c r="AG253" s="31" t="str">
        <f>IFERROR(INDEX('G-6 Hedgerow Data'!$BJ$3:$BJ$15,MATCH(D253,'G-6 Hedgerow Data'!$B$3:$B$15,0)),"")</f>
        <v/>
      </c>
    </row>
    <row r="254" spans="2:33" ht="13.8" x14ac:dyDescent="0.25">
      <c r="B254" s="141">
        <v>243</v>
      </c>
      <c r="C254" s="205"/>
      <c r="D254" s="195"/>
      <c r="E254" s="172"/>
      <c r="F254" s="553" t="str">
        <f>IF(D254="","",VLOOKUP(D254,'G-6 Hedgerow Data'!$B$2:$AG$15,2,FALSE))</f>
        <v/>
      </c>
      <c r="G254" s="499" t="str">
        <f>IF(D254="","",VLOOKUP(D254,'G-6 Hedgerow Data'!$B$2:$AG$15,3,FALSE))</f>
        <v/>
      </c>
      <c r="H254" s="145"/>
      <c r="I254" s="499" t="str">
        <f>IFERROR(VLOOKUP(H254,'G-1 All Habitats'!$Z$2:$AA$9,2,FALSE),"")</f>
        <v/>
      </c>
      <c r="J254" s="145"/>
      <c r="K254" s="520" t="str">
        <f>IF(J254="","",IF(VLOOKUP(J254,'G-3 Multipliers'!$L$3:$N$6,2,FALSE)=0,"Spatial Data Missing ⚠",VLOOKUP(J254,'G-3 Multipliers'!$L$3:$N$6,2,FALSE)))</f>
        <v/>
      </c>
      <c r="L254" s="505" t="str">
        <f>IF(J254="","",IF(VLOOKUP(J254,'G-3 Multipliers'!$L$3:$N$6,3,FALSE)=0,"Spatial Data Missing ⚠",VLOOKUP(J254,'G-3 Multipliers'!$L$3:$N$6,3,FALSE)))</f>
        <v/>
      </c>
      <c r="M254" s="498" t="str">
        <f>IF(OR(D254="",H254=""),"",(INDEX('G-6 Hedgerow Data'!$E$3:$I$15,MATCH(D254,'G-6 Hedgerow Data'!$B$3:$B$15,0),MATCH(H254,'G-6 Hedgerow Data'!$E$2:$I$2,0))))</f>
        <v/>
      </c>
      <c r="N254" s="195"/>
      <c r="O254" s="195"/>
      <c r="P254" s="507" t="str">
        <f t="shared" si="19"/>
        <v/>
      </c>
      <c r="Q254" s="521" t="str">
        <f t="shared" si="20"/>
        <v/>
      </c>
      <c r="R254" s="522" t="str">
        <f t="shared" si="18"/>
        <v/>
      </c>
      <c r="S254" s="537" t="str">
        <f>IF(D254="","",VLOOKUP(D254,'G-6 Hedgerow Data'!$B$3:$AG$15,31,FALSE))</f>
        <v/>
      </c>
      <c r="T254" s="507" t="str">
        <f t="shared" si="21"/>
        <v/>
      </c>
      <c r="U254" s="507" t="str">
        <f t="shared" si="22"/>
        <v/>
      </c>
      <c r="V254" s="524" t="str">
        <f>IF(D254="","",VLOOKUP(S254,'G-3 Multipliers'!$P$3:$Q$6,2,FALSE))</f>
        <v/>
      </c>
      <c r="W254" s="529" t="str">
        <f t="shared" si="23"/>
        <v/>
      </c>
      <c r="X254" s="149"/>
      <c r="Y254" s="150"/>
      <c r="AG254" s="31" t="str">
        <f>IFERROR(INDEX('G-6 Hedgerow Data'!$BJ$3:$BJ$15,MATCH(D254,'G-6 Hedgerow Data'!$B$3:$B$15,0)),"")</f>
        <v/>
      </c>
    </row>
    <row r="255" spans="2:33" ht="13.8" x14ac:dyDescent="0.25">
      <c r="B255" s="141">
        <v>244</v>
      </c>
      <c r="C255" s="205"/>
      <c r="D255" s="195"/>
      <c r="E255" s="172"/>
      <c r="F255" s="553" t="str">
        <f>IF(D255="","",VLOOKUP(D255,'G-6 Hedgerow Data'!$B$2:$AG$15,2,FALSE))</f>
        <v/>
      </c>
      <c r="G255" s="499" t="str">
        <f>IF(D255="","",VLOOKUP(D255,'G-6 Hedgerow Data'!$B$2:$AG$15,3,FALSE))</f>
        <v/>
      </c>
      <c r="H255" s="145"/>
      <c r="I255" s="499" t="str">
        <f>IFERROR(VLOOKUP(H255,'G-1 All Habitats'!$Z$2:$AA$9,2,FALSE),"")</f>
        <v/>
      </c>
      <c r="J255" s="145"/>
      <c r="K255" s="520" t="str">
        <f>IF(J255="","",IF(VLOOKUP(J255,'G-3 Multipliers'!$L$3:$N$6,2,FALSE)=0,"Spatial Data Missing ⚠",VLOOKUP(J255,'G-3 Multipliers'!$L$3:$N$6,2,FALSE)))</f>
        <v/>
      </c>
      <c r="L255" s="505" t="str">
        <f>IF(J255="","",IF(VLOOKUP(J255,'G-3 Multipliers'!$L$3:$N$6,3,FALSE)=0,"Spatial Data Missing ⚠",VLOOKUP(J255,'G-3 Multipliers'!$L$3:$N$6,3,FALSE)))</f>
        <v/>
      </c>
      <c r="M255" s="498" t="str">
        <f>IF(OR(D255="",H255=""),"",(INDEX('G-6 Hedgerow Data'!$E$3:$I$15,MATCH(D255,'G-6 Hedgerow Data'!$B$3:$B$15,0),MATCH(H255,'G-6 Hedgerow Data'!$E$2:$I$2,0))))</f>
        <v/>
      </c>
      <c r="N255" s="195"/>
      <c r="O255" s="195"/>
      <c r="P255" s="507" t="str">
        <f t="shared" si="19"/>
        <v/>
      </c>
      <c r="Q255" s="521" t="str">
        <f t="shared" si="20"/>
        <v/>
      </c>
      <c r="R255" s="522" t="str">
        <f t="shared" si="18"/>
        <v/>
      </c>
      <c r="S255" s="537" t="str">
        <f>IF(D255="","",VLOOKUP(D255,'G-6 Hedgerow Data'!$B$3:$AG$15,31,FALSE))</f>
        <v/>
      </c>
      <c r="T255" s="507" t="str">
        <f t="shared" si="21"/>
        <v/>
      </c>
      <c r="U255" s="507" t="str">
        <f t="shared" si="22"/>
        <v/>
      </c>
      <c r="V255" s="524" t="str">
        <f>IF(D255="","",VLOOKUP(S255,'G-3 Multipliers'!$P$3:$Q$6,2,FALSE))</f>
        <v/>
      </c>
      <c r="W255" s="529" t="str">
        <f t="shared" si="23"/>
        <v/>
      </c>
      <c r="X255" s="149"/>
      <c r="Y255" s="150"/>
      <c r="AG255" s="31" t="str">
        <f>IFERROR(INDEX('G-6 Hedgerow Data'!$BJ$3:$BJ$15,MATCH(D255,'G-6 Hedgerow Data'!$B$3:$B$15,0)),"")</f>
        <v/>
      </c>
    </row>
    <row r="256" spans="2:33" ht="13.8" x14ac:dyDescent="0.25">
      <c r="B256" s="141">
        <v>245</v>
      </c>
      <c r="C256" s="205"/>
      <c r="D256" s="195"/>
      <c r="E256" s="172"/>
      <c r="F256" s="553" t="str">
        <f>IF(D256="","",VLOOKUP(D256,'G-6 Hedgerow Data'!$B$2:$AG$15,2,FALSE))</f>
        <v/>
      </c>
      <c r="G256" s="499" t="str">
        <f>IF(D256="","",VLOOKUP(D256,'G-6 Hedgerow Data'!$B$2:$AG$15,3,FALSE))</f>
        <v/>
      </c>
      <c r="H256" s="145"/>
      <c r="I256" s="499" t="str">
        <f>IFERROR(VLOOKUP(H256,'G-1 All Habitats'!$Z$2:$AA$9,2,FALSE),"")</f>
        <v/>
      </c>
      <c r="J256" s="145"/>
      <c r="K256" s="520" t="str">
        <f>IF(J256="","",IF(VLOOKUP(J256,'G-3 Multipliers'!$L$3:$N$6,2,FALSE)=0,"Spatial Data Missing ⚠",VLOOKUP(J256,'G-3 Multipliers'!$L$3:$N$6,2,FALSE)))</f>
        <v/>
      </c>
      <c r="L256" s="505" t="str">
        <f>IF(J256="","",IF(VLOOKUP(J256,'G-3 Multipliers'!$L$3:$N$6,3,FALSE)=0,"Spatial Data Missing ⚠",VLOOKUP(J256,'G-3 Multipliers'!$L$3:$N$6,3,FALSE)))</f>
        <v/>
      </c>
      <c r="M256" s="498" t="str">
        <f>IF(OR(D256="",H256=""),"",(INDEX('G-6 Hedgerow Data'!$E$3:$I$15,MATCH(D256,'G-6 Hedgerow Data'!$B$3:$B$15,0),MATCH(H256,'G-6 Hedgerow Data'!$E$2:$I$2,0))))</f>
        <v/>
      </c>
      <c r="N256" s="195"/>
      <c r="O256" s="195"/>
      <c r="P256" s="507" t="str">
        <f t="shared" si="19"/>
        <v/>
      </c>
      <c r="Q256" s="521" t="str">
        <f t="shared" si="20"/>
        <v/>
      </c>
      <c r="R256" s="522" t="str">
        <f t="shared" si="18"/>
        <v/>
      </c>
      <c r="S256" s="537" t="str">
        <f>IF(D256="","",VLOOKUP(D256,'G-6 Hedgerow Data'!$B$3:$AG$15,31,FALSE))</f>
        <v/>
      </c>
      <c r="T256" s="507" t="str">
        <f t="shared" si="21"/>
        <v/>
      </c>
      <c r="U256" s="507" t="str">
        <f t="shared" si="22"/>
        <v/>
      </c>
      <c r="V256" s="524" t="str">
        <f>IF(D256="","",VLOOKUP(S256,'G-3 Multipliers'!$P$3:$Q$6,2,FALSE))</f>
        <v/>
      </c>
      <c r="W256" s="529" t="str">
        <f t="shared" si="23"/>
        <v/>
      </c>
      <c r="X256" s="149"/>
      <c r="Y256" s="150"/>
      <c r="AG256" s="31" t="str">
        <f>IFERROR(INDEX('G-6 Hedgerow Data'!$BJ$3:$BJ$15,MATCH(D256,'G-6 Hedgerow Data'!$B$3:$B$15,0)),"")</f>
        <v/>
      </c>
    </row>
    <row r="257" spans="2:33" ht="13.8" x14ac:dyDescent="0.25">
      <c r="B257" s="141">
        <v>246</v>
      </c>
      <c r="C257" s="205"/>
      <c r="D257" s="195"/>
      <c r="E257" s="172"/>
      <c r="F257" s="553" t="str">
        <f>IF(D257="","",VLOOKUP(D257,'G-6 Hedgerow Data'!$B$2:$AG$15,2,FALSE))</f>
        <v/>
      </c>
      <c r="G257" s="499" t="str">
        <f>IF(D257="","",VLOOKUP(D257,'G-6 Hedgerow Data'!$B$2:$AG$15,3,FALSE))</f>
        <v/>
      </c>
      <c r="H257" s="145"/>
      <c r="I257" s="499" t="str">
        <f>IFERROR(VLOOKUP(H257,'G-1 All Habitats'!$Z$2:$AA$9,2,FALSE),"")</f>
        <v/>
      </c>
      <c r="J257" s="145"/>
      <c r="K257" s="520" t="str">
        <f>IF(J257="","",IF(VLOOKUP(J257,'G-3 Multipliers'!$L$3:$N$6,2,FALSE)=0,"Spatial Data Missing ⚠",VLOOKUP(J257,'G-3 Multipliers'!$L$3:$N$6,2,FALSE)))</f>
        <v/>
      </c>
      <c r="L257" s="505" t="str">
        <f>IF(J257="","",IF(VLOOKUP(J257,'G-3 Multipliers'!$L$3:$N$6,3,FALSE)=0,"Spatial Data Missing ⚠",VLOOKUP(J257,'G-3 Multipliers'!$L$3:$N$6,3,FALSE)))</f>
        <v/>
      </c>
      <c r="M257" s="498" t="str">
        <f>IF(OR(D257="",H257=""),"",(INDEX('G-6 Hedgerow Data'!$E$3:$I$15,MATCH(D257,'G-6 Hedgerow Data'!$B$3:$B$15,0),MATCH(H257,'G-6 Hedgerow Data'!$E$2:$I$2,0))))</f>
        <v/>
      </c>
      <c r="N257" s="195"/>
      <c r="O257" s="195"/>
      <c r="P257" s="507" t="str">
        <f t="shared" si="19"/>
        <v/>
      </c>
      <c r="Q257" s="521" t="str">
        <f t="shared" si="20"/>
        <v/>
      </c>
      <c r="R257" s="522" t="str">
        <f t="shared" si="18"/>
        <v/>
      </c>
      <c r="S257" s="537" t="str">
        <f>IF(D257="","",VLOOKUP(D257,'G-6 Hedgerow Data'!$B$3:$AG$15,31,FALSE))</f>
        <v/>
      </c>
      <c r="T257" s="507" t="str">
        <f t="shared" si="21"/>
        <v/>
      </c>
      <c r="U257" s="507" t="str">
        <f t="shared" si="22"/>
        <v/>
      </c>
      <c r="V257" s="524" t="str">
        <f>IF(D257="","",VLOOKUP(S257,'G-3 Multipliers'!$P$3:$Q$6,2,FALSE))</f>
        <v/>
      </c>
      <c r="W257" s="529" t="str">
        <f t="shared" si="23"/>
        <v/>
      </c>
      <c r="X257" s="149"/>
      <c r="Y257" s="150"/>
      <c r="AG257" s="31" t="str">
        <f>IFERROR(INDEX('G-6 Hedgerow Data'!$BJ$3:$BJ$15,MATCH(D257,'G-6 Hedgerow Data'!$B$3:$B$15,0)),"")</f>
        <v/>
      </c>
    </row>
    <row r="258" spans="2:33" ht="13.8" x14ac:dyDescent="0.25">
      <c r="B258" s="141">
        <v>247</v>
      </c>
      <c r="C258" s="205"/>
      <c r="D258" s="195"/>
      <c r="E258" s="172"/>
      <c r="F258" s="553" t="str">
        <f>IF(D258="","",VLOOKUP(D258,'G-6 Hedgerow Data'!$B$2:$AG$15,2,FALSE))</f>
        <v/>
      </c>
      <c r="G258" s="499" t="str">
        <f>IF(D258="","",VLOOKUP(D258,'G-6 Hedgerow Data'!$B$2:$AG$15,3,FALSE))</f>
        <v/>
      </c>
      <c r="H258" s="145"/>
      <c r="I258" s="499" t="str">
        <f>IFERROR(VLOOKUP(H258,'G-1 All Habitats'!$Z$2:$AA$9,2,FALSE),"")</f>
        <v/>
      </c>
      <c r="J258" s="145"/>
      <c r="K258" s="520" t="str">
        <f>IF(J258="","",IF(VLOOKUP(J258,'G-3 Multipliers'!$L$3:$N$6,2,FALSE)=0,"Spatial Data Missing ⚠",VLOOKUP(J258,'G-3 Multipliers'!$L$3:$N$6,2,FALSE)))</f>
        <v/>
      </c>
      <c r="L258" s="505" t="str">
        <f>IF(J258="","",IF(VLOOKUP(J258,'G-3 Multipliers'!$L$3:$N$6,3,FALSE)=0,"Spatial Data Missing ⚠",VLOOKUP(J258,'G-3 Multipliers'!$L$3:$N$6,3,FALSE)))</f>
        <v/>
      </c>
      <c r="M258" s="498" t="str">
        <f>IF(OR(D258="",H258=""),"",(INDEX('G-6 Hedgerow Data'!$E$3:$I$15,MATCH(D258,'G-6 Hedgerow Data'!$B$3:$B$15,0),MATCH(H258,'G-6 Hedgerow Data'!$E$2:$I$2,0))))</f>
        <v/>
      </c>
      <c r="N258" s="195"/>
      <c r="O258" s="195"/>
      <c r="P258" s="507" t="str">
        <f t="shared" si="19"/>
        <v/>
      </c>
      <c r="Q258" s="521" t="str">
        <f t="shared" si="20"/>
        <v/>
      </c>
      <c r="R258" s="522" t="str">
        <f t="shared" si="18"/>
        <v/>
      </c>
      <c r="S258" s="537" t="str">
        <f>IF(D258="","",VLOOKUP(D258,'G-6 Hedgerow Data'!$B$3:$AG$15,31,FALSE))</f>
        <v/>
      </c>
      <c r="T258" s="507" t="str">
        <f t="shared" si="21"/>
        <v/>
      </c>
      <c r="U258" s="507" t="str">
        <f t="shared" si="22"/>
        <v/>
      </c>
      <c r="V258" s="524" t="str">
        <f>IF(D258="","",VLOOKUP(S258,'G-3 Multipliers'!$P$3:$Q$6,2,FALSE))</f>
        <v/>
      </c>
      <c r="W258" s="529" t="str">
        <f t="shared" si="23"/>
        <v/>
      </c>
      <c r="X258" s="149"/>
      <c r="Y258" s="150"/>
      <c r="AG258" s="31" t="str">
        <f>IFERROR(INDEX('G-6 Hedgerow Data'!$BJ$3:$BJ$15,MATCH(D258,'G-6 Hedgerow Data'!$B$3:$B$15,0)),"")</f>
        <v/>
      </c>
    </row>
    <row r="259" spans="2:33" ht="14.4" thickBot="1" x14ac:dyDescent="0.3">
      <c r="B259" s="158">
        <v>248</v>
      </c>
      <c r="C259" s="311"/>
      <c r="D259" s="206"/>
      <c r="E259" s="160"/>
      <c r="F259" s="528" t="str">
        <f>IF(D259="","",VLOOKUP(D259,'G-6 Hedgerow Data'!$B$2:$AG$15,2,FALSE))</f>
        <v/>
      </c>
      <c r="G259" s="499" t="str">
        <f>IF(D259="","",VLOOKUP(D259,'G-6 Hedgerow Data'!$B$2:$AG$15,3,FALSE))</f>
        <v/>
      </c>
      <c r="H259" s="161"/>
      <c r="I259" s="501" t="str">
        <f>IFERROR(VLOOKUP(H259,'G-1 All Habitats'!$Z$2:$AA$9,2,FALSE),"")</f>
        <v/>
      </c>
      <c r="J259" s="161"/>
      <c r="K259" s="508" t="str">
        <f>IF(J259="","",IF(VLOOKUP(J259,'G-3 Multipliers'!$L$3:$N$6,2,FALSE)=0,"Spatial Data Missing ⚠",VLOOKUP(J259,'G-3 Multipliers'!$L$3:$N$6,2,FALSE)))</f>
        <v/>
      </c>
      <c r="L259" s="509" t="str">
        <f>IF(J259="","",IF(VLOOKUP(J259,'G-3 Multipliers'!$L$3:$N$6,3,FALSE)=0,"Spatial Data Missing ⚠",VLOOKUP(J259,'G-3 Multipliers'!$L$3:$N$6,3,FALSE)))</f>
        <v/>
      </c>
      <c r="M259" s="500" t="str">
        <f>IF(OR(D259="",H259=""),"",(INDEX('G-6 Hedgerow Data'!$E$3:$I$15,MATCH(D259,'G-6 Hedgerow Data'!$B$3:$B$15,0),MATCH(H259,'G-6 Hedgerow Data'!$E$2:$I$2,0))))</f>
        <v/>
      </c>
      <c r="N259" s="195"/>
      <c r="O259" s="206"/>
      <c r="P259" s="507" t="str">
        <f t="shared" si="19"/>
        <v/>
      </c>
      <c r="Q259" s="521" t="str">
        <f t="shared" si="20"/>
        <v/>
      </c>
      <c r="R259" s="527" t="str">
        <f t="shared" si="18"/>
        <v/>
      </c>
      <c r="S259" s="500" t="str">
        <f>IF(D259="","",VLOOKUP(D259,'G-6 Hedgerow Data'!$B$3:$AG$15,31,FALSE))</f>
        <v/>
      </c>
      <c r="T259" s="507" t="str">
        <f t="shared" si="21"/>
        <v/>
      </c>
      <c r="U259" s="507" t="str">
        <f t="shared" si="22"/>
        <v/>
      </c>
      <c r="V259" s="501" t="str">
        <f>IF(D259="","",VLOOKUP(S259,'G-3 Multipliers'!$P$3:$Q$6,2,FALSE))</f>
        <v/>
      </c>
      <c r="W259" s="530" t="str">
        <f t="shared" si="23"/>
        <v/>
      </c>
      <c r="X259" s="163"/>
      <c r="Y259" s="164"/>
      <c r="AG259" s="31" t="str">
        <f>IFERROR(INDEX('G-6 Hedgerow Data'!$BJ$3:$BJ$15,MATCH(D259,'G-6 Hedgerow Data'!$B$3:$B$15,0)),"")</f>
        <v/>
      </c>
    </row>
    <row r="260" spans="2:33" ht="15.75" customHeight="1" thickBot="1" x14ac:dyDescent="0.3">
      <c r="B260" s="46"/>
      <c r="C260" s="46"/>
      <c r="D260" s="277"/>
      <c r="E260" s="503">
        <f>SUM(E12:E259)</f>
        <v>0.14399999999999999</v>
      </c>
      <c r="F260" s="46"/>
      <c r="G260" s="46"/>
      <c r="H260" s="46"/>
      <c r="I260" s="46"/>
      <c r="J260" s="46"/>
      <c r="K260" s="46"/>
      <c r="L260" s="46"/>
      <c r="M260" s="46"/>
      <c r="N260" s="46"/>
      <c r="O260" s="46"/>
      <c r="P260" s="46"/>
      <c r="Q260" s="46"/>
      <c r="R260" s="46"/>
      <c r="S260" s="46"/>
      <c r="T260" s="46"/>
      <c r="U260" s="983"/>
      <c r="V260" s="984"/>
      <c r="W260" s="503">
        <f>SUM(W12:W259)</f>
        <v>0.94390381141687985</v>
      </c>
      <c r="X260" s="46"/>
      <c r="Y260" s="46"/>
    </row>
    <row r="261" spans="2:33" ht="28.95" customHeight="1" x14ac:dyDescent="0.25">
      <c r="E261" s="981"/>
      <c r="F261" s="981"/>
      <c r="G261" s="981"/>
      <c r="H261" s="981"/>
      <c r="I261" s="981"/>
      <c r="J261" s="981"/>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B4/85q9Hcg51igq2vtp6l/Ztkm1N9X/1T9F3PtU4Pg9stXU8FnbJv4JUeNo0w2/VaJTN41+7ojBJyhDbBHu3vA==" saltValue="gilfv+GP3AvHxu7d0mRA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125" priority="12" operator="containsText" text="Existing Value Not Required">
      <formula>NOT(ISERROR(SEARCH("Existing Value Not Required",W12)))</formula>
    </cfRule>
    <cfRule type="containsText" dxfId="124" priority="13" operator="containsText" text="Existing Value Required">
      <formula>NOT(ISERROR(SEARCH("Existing Value Required",W12)))</formula>
    </cfRule>
  </conditionalFormatting>
  <conditionalFormatting sqref="K12:K259">
    <cfRule type="containsText" dxfId="123" priority="11" operator="containsText" text="Spatial">
      <formula>NOT(ISERROR(SEARCH("Spatial",K12)))</formula>
    </cfRule>
  </conditionalFormatting>
  <conditionalFormatting sqref="L12:L259">
    <cfRule type="containsText" dxfId="122" priority="10" operator="containsText" text="Spatial">
      <formula>NOT(ISERROR(SEARCH("Spatial",L12)))</formula>
    </cfRule>
  </conditionalFormatting>
  <conditionalFormatting sqref="M6:Q7 M3">
    <cfRule type="containsText" dxfId="121" priority="9" operator="containsText" text="Note">
      <formula>NOT(ISERROR(SEARCH("Note",M3)))</formula>
    </cfRule>
  </conditionalFormatting>
  <conditionalFormatting sqref="P12:P259">
    <cfRule type="containsText" dxfId="120" priority="7" operator="containsText" text="Check">
      <formula>NOT(ISERROR(SEARCH("Check",P12)))</formula>
    </cfRule>
    <cfRule type="containsText" dxfId="119" priority="8" operator="containsText" text="Error">
      <formula>NOT(ISERROR(SEARCH("Error",P12)))</formula>
    </cfRule>
  </conditionalFormatting>
  <conditionalFormatting sqref="Q12:Q259">
    <cfRule type="containsText" dxfId="118" priority="6" operator="containsText" text="Check">
      <formula>NOT(ISERROR(SEARCH("Check",Q12)))</formula>
    </cfRule>
  </conditionalFormatting>
  <conditionalFormatting sqref="R12:R259">
    <cfRule type="containsText" dxfId="117" priority="5" operator="containsText" text="Check">
      <formula>NOT(ISERROR(SEARCH("Check",R12)))</formula>
    </cfRule>
  </conditionalFormatting>
  <conditionalFormatting sqref="T12:T259">
    <cfRule type="containsText" dxfId="116" priority="3" operator="containsText" text="No - Low Difficulty">
      <formula>NOT(ISERROR(SEARCH("No - Low Difficulty",T12)))</formula>
    </cfRule>
    <cfRule type="containsText" dxfId="115" priority="4" operator="containsText" text="Check">
      <formula>NOT(ISERROR(SEARCH("Check",T12)))</formula>
    </cfRule>
  </conditionalFormatting>
  <conditionalFormatting sqref="E261:J261">
    <cfRule type="containsText" dxfId="114" priority="2" operator="containsText" text="Check">
      <formula>NOT(ISERROR(SEARCH("Check",E261)))</formula>
    </cfRule>
  </conditionalFormatting>
  <conditionalFormatting sqref="Q12:Q259">
    <cfRule type="containsText" dxfId="113"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tabSelected="1" zoomScaleNormal="100" workbookViewId="0">
      <pane ySplit="11" topLeftCell="A12" activePane="bottomLeft" state="frozen"/>
      <selection activeCell="S28" sqref="S28"/>
      <selection pane="bottomLeft" activeCell="B3" sqref="B3:D4"/>
    </sheetView>
  </sheetViews>
  <sheetFormatPr defaultColWidth="0" defaultRowHeight="0" customHeight="1" zeroHeight="1" x14ac:dyDescent="0.25"/>
  <cols>
    <col min="1" max="1" width="2.88671875" style="31" customWidth="1"/>
    <col min="2" max="2" width="10" style="31" customWidth="1"/>
    <col min="3" max="3" width="53.33203125" style="31" customWidth="1"/>
    <col min="4" max="4" width="9" style="31" customWidth="1"/>
    <col min="5" max="5" width="18.6640625" style="31" customWidth="1"/>
    <col min="6" max="6" width="17.5546875" style="31" customWidth="1"/>
    <col min="7" max="7" width="18.109375" style="31" customWidth="1"/>
    <col min="8" max="11" width="19.33203125" style="31" customWidth="1"/>
    <col min="12" max="12" width="33.44140625" style="31" customWidth="1"/>
    <col min="13" max="13" width="68.6640625" style="31" customWidth="1"/>
    <col min="14" max="15" width="34.33203125" style="31" customWidth="1"/>
    <col min="16" max="16" width="10.33203125" style="31" customWidth="1"/>
    <col min="17" max="17" width="17.5546875" style="31" customWidth="1"/>
    <col min="18" max="18" width="13.109375" style="31" customWidth="1"/>
    <col min="19" max="19" width="12.5546875" style="31" bestFit="1" customWidth="1"/>
    <col min="20" max="20" width="12.5546875" style="31" customWidth="1"/>
    <col min="21" max="21" width="41.6640625" style="31" customWidth="1"/>
    <col min="22" max="22" width="15.44140625" style="31" customWidth="1"/>
    <col min="23" max="23" width="12.33203125" style="31" customWidth="1"/>
    <col min="24" max="24" width="18.88671875" style="31" customWidth="1"/>
    <col min="25" max="25" width="21.6640625" style="31" customWidth="1"/>
    <col min="26" max="26" width="22.88671875" style="31" customWidth="1"/>
    <col min="27" max="27" width="33.5546875" style="31" customWidth="1"/>
    <col min="28" max="28" width="18.88671875" style="31" customWidth="1"/>
    <col min="29" max="29" width="15.33203125" style="31" customWidth="1"/>
    <col min="30" max="30" width="15.6640625" style="31" customWidth="1"/>
    <col min="31" max="31" width="24" style="31" customWidth="1"/>
    <col min="32" max="32" width="22.109375" style="31" customWidth="1"/>
    <col min="33" max="33" width="13.44140625" style="31" customWidth="1"/>
    <col min="34" max="34" width="12.6640625" style="31" customWidth="1"/>
    <col min="35" max="36" width="34.88671875" style="31" customWidth="1"/>
    <col min="37" max="45" width="8.88671875" style="31" customWidth="1"/>
    <col min="46" max="46" width="15.6640625" style="31" hidden="1" customWidth="1"/>
    <col min="47" max="16384" width="8.88671875" style="31" hidden="1"/>
  </cols>
  <sheetData>
    <row r="1" spans="2:46" ht="15.75" customHeight="1" thickBot="1" x14ac:dyDescent="0.3"/>
    <row r="2" spans="2:46" ht="19.95" customHeight="1" thickBot="1" x14ac:dyDescent="0.3">
      <c r="B2" s="987" t="str">
        <f>IF(Start!F12="","",Start!F12)</f>
        <v>Land at Doncaster Road, Goldthorpe, Rotherham</v>
      </c>
      <c r="C2" s="988"/>
      <c r="D2" s="989"/>
      <c r="O2" s="132"/>
      <c r="X2" s="909" t="str">
        <f>IF(OR(COUNTIF($X$12:X257,"*30+*")&gt;0,COUNTIF($AB$12:AB257,"*30+*")&gt;0),"Note; Habitat selected has a time to target condition greater than 30 years. Non standard agreement may be required.","")</f>
        <v/>
      </c>
      <c r="Y2" s="909"/>
      <c r="Z2" s="909"/>
      <c r="AA2" s="909"/>
      <c r="AB2" s="909"/>
      <c r="AC2" s="909"/>
    </row>
    <row r="3" spans="2:46" ht="21" customHeight="1" x14ac:dyDescent="0.25">
      <c r="B3" s="940" t="str">
        <f ca="1">MID(CELL("filename",A1),FIND("]",CELL("filename",A1))+1,256)</f>
        <v>B-3 Site Hedge Enhancement</v>
      </c>
      <c r="C3" s="941"/>
      <c r="D3" s="942"/>
      <c r="X3" s="909"/>
      <c r="Y3" s="909"/>
      <c r="Z3" s="909"/>
      <c r="AA3" s="909"/>
      <c r="AB3" s="909"/>
      <c r="AC3" s="909"/>
    </row>
    <row r="4" spans="2:46" ht="15.75" customHeight="1" thickBot="1" x14ac:dyDescent="0.35">
      <c r="B4" s="943"/>
      <c r="C4" s="944"/>
      <c r="D4" s="945"/>
      <c r="V4" s="33"/>
      <c r="W4" s="193"/>
      <c r="X4" s="909"/>
      <c r="Y4" s="909"/>
      <c r="Z4" s="909"/>
      <c r="AA4" s="909"/>
      <c r="AB4" s="909"/>
      <c r="AC4" s="909"/>
      <c r="AD4" s="193"/>
      <c r="AE4" s="193"/>
      <c r="AF4" s="193"/>
      <c r="AG4" s="193"/>
      <c r="AH4" s="193"/>
      <c r="AI4" s="193"/>
      <c r="AJ4" s="193"/>
    </row>
    <row r="5" spans="2:46" ht="15.75" customHeight="1" x14ac:dyDescent="0.25">
      <c r="X5" s="403"/>
      <c r="Y5" s="403"/>
      <c r="Z5" s="403"/>
      <c r="AA5" s="403"/>
      <c r="AB5" s="403"/>
    </row>
    <row r="6" spans="2:46" ht="15.75" customHeight="1" x14ac:dyDescent="0.25">
      <c r="X6" s="403"/>
      <c r="Y6" s="403"/>
      <c r="Z6" s="403"/>
      <c r="AA6" s="403"/>
      <c r="AB6" s="403"/>
    </row>
    <row r="7" spans="2:46" ht="13.8" x14ac:dyDescent="0.25">
      <c r="B7" s="132"/>
      <c r="C7" s="132"/>
      <c r="M7" s="131"/>
    </row>
    <row r="8" spans="2:46" ht="19.95" customHeight="1" thickBot="1" x14ac:dyDescent="0.3"/>
    <row r="9" spans="2:46" ht="14.4" thickBot="1" x14ac:dyDescent="0.3">
      <c r="C9" s="131"/>
      <c r="D9" s="131"/>
      <c r="E9" s="131"/>
      <c r="F9" s="131"/>
      <c r="G9" s="131"/>
      <c r="H9" s="131"/>
      <c r="I9" s="131"/>
      <c r="J9" s="131"/>
      <c r="K9" s="131"/>
      <c r="L9" s="131"/>
      <c r="M9" s="990" t="s">
        <v>225</v>
      </c>
      <c r="N9" s="991"/>
      <c r="O9" s="991"/>
      <c r="P9" s="991"/>
      <c r="Q9" s="991"/>
      <c r="R9" s="991"/>
      <c r="S9" s="991"/>
      <c r="T9" s="991"/>
      <c r="U9" s="991"/>
      <c r="V9" s="991"/>
      <c r="W9" s="991"/>
      <c r="X9" s="991"/>
      <c r="Y9" s="991"/>
      <c r="Z9" s="991"/>
      <c r="AA9" s="991"/>
      <c r="AB9" s="991"/>
      <c r="AC9" s="991"/>
      <c r="AD9" s="991"/>
      <c r="AE9" s="991"/>
      <c r="AF9" s="991"/>
      <c r="AG9" s="992"/>
    </row>
    <row r="10" spans="2:46" ht="28.2" customHeight="1" thickBot="1" x14ac:dyDescent="0.3">
      <c r="B10" s="198"/>
      <c r="C10" s="986" t="s">
        <v>306</v>
      </c>
      <c r="D10" s="986"/>
      <c r="E10" s="986"/>
      <c r="F10" s="986"/>
      <c r="G10" s="986"/>
      <c r="H10" s="986"/>
      <c r="I10" s="986"/>
      <c r="J10" s="986"/>
      <c r="K10" s="986"/>
      <c r="L10" s="986"/>
      <c r="M10" s="939" t="s">
        <v>307</v>
      </c>
      <c r="N10" s="993" t="s">
        <v>308</v>
      </c>
      <c r="O10" s="993"/>
      <c r="P10" s="939" t="s">
        <v>294</v>
      </c>
      <c r="Q10" s="872" t="s">
        <v>189</v>
      </c>
      <c r="R10" s="870"/>
      <c r="S10" s="955" t="s">
        <v>190</v>
      </c>
      <c r="T10" s="870"/>
      <c r="U10" s="957" t="s">
        <v>191</v>
      </c>
      <c r="V10" s="957"/>
      <c r="W10" s="957"/>
      <c r="X10" s="970" t="s">
        <v>228</v>
      </c>
      <c r="Y10" s="971"/>
      <c r="Z10" s="971"/>
      <c r="AA10" s="971"/>
      <c r="AB10" s="971"/>
      <c r="AC10" s="972"/>
      <c r="AD10" s="949" t="s">
        <v>252</v>
      </c>
      <c r="AE10" s="949"/>
      <c r="AF10" s="949"/>
      <c r="AG10" s="949"/>
      <c r="AH10" s="949" t="s">
        <v>302</v>
      </c>
      <c r="AI10" s="962" t="s">
        <v>196</v>
      </c>
      <c r="AJ10" s="957"/>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9"/>
      <c r="N11" s="368" t="s">
        <v>310</v>
      </c>
      <c r="O11" s="202" t="s">
        <v>311</v>
      </c>
      <c r="P11" s="949"/>
      <c r="Q11" s="141" t="s">
        <v>189</v>
      </c>
      <c r="R11" s="359" t="s">
        <v>206</v>
      </c>
      <c r="S11" s="369" t="s">
        <v>190</v>
      </c>
      <c r="T11" s="359" t="s">
        <v>206</v>
      </c>
      <c r="U11" s="368" t="s">
        <v>191</v>
      </c>
      <c r="V11" s="201" t="s">
        <v>191</v>
      </c>
      <c r="W11" s="202" t="s">
        <v>231</v>
      </c>
      <c r="X11" s="368" t="s">
        <v>304</v>
      </c>
      <c r="Y11" s="201" t="s">
        <v>268</v>
      </c>
      <c r="Z11" s="201" t="s">
        <v>269</v>
      </c>
      <c r="AA11" s="201" t="s">
        <v>235</v>
      </c>
      <c r="AB11" s="201" t="s">
        <v>236</v>
      </c>
      <c r="AC11" s="202" t="s">
        <v>312</v>
      </c>
      <c r="AD11" s="368" t="s">
        <v>313</v>
      </c>
      <c r="AE11" s="201" t="s">
        <v>305</v>
      </c>
      <c r="AF11" s="201" t="s">
        <v>314</v>
      </c>
      <c r="AG11" s="202" t="s">
        <v>241</v>
      </c>
      <c r="AH11" s="985"/>
      <c r="AI11" s="369" t="s">
        <v>215</v>
      </c>
      <c r="AJ11" s="359" t="s">
        <v>216</v>
      </c>
      <c r="AT11" s="131" t="s">
        <v>200</v>
      </c>
    </row>
    <row r="12" spans="2:46" ht="13.8" x14ac:dyDescent="0.25">
      <c r="B12" s="531" t="str">
        <f>'B-1 Site Hedge Baseline'!AK10</f>
        <v/>
      </c>
      <c r="C12" s="520" t="str">
        <f>IF(B12="","",IF(ISNA(VLOOKUP($B12,'B-1 Site Hedge Baseline'!$B$1:$L$257,3,FALSE)),"",(VLOOKUP($B12,'B-1 Site Hedge Baseline'!$B$1:$L$257,3,FALSE))))</f>
        <v/>
      </c>
      <c r="D12" s="520" t="str">
        <f>IF(B12="","",IF(ISNA(VLOOKUP($B12,'B-1 Site Hedge Baseline'!$B$1:$L$257,4,FALSE)),"",(VLOOKUP($B12,'B-1 Site Hedge Baseline'!$B$1:$L$257,4,FALSE))))</f>
        <v/>
      </c>
      <c r="E12" s="520" t="str">
        <f>IF(B12="","",IF(ISNA(VLOOKUP($B12,'B-1 Site Hedge Baseline'!$B$1:$L$257,5,FALSE)),"",(VLOOKUP($B12,'B-1 Site Hedge Baseline'!$B$1:$L$257,5,FALSE))))</f>
        <v/>
      </c>
      <c r="F12" s="520" t="str">
        <f>IF(B12="","",IF(ISNA(VLOOKUP($B12,'B-1 Site Hedge Baseline'!$B$1:$L$257,6,FALSE)),"",(VLOOKUP($B12,'B-1 Site Hedge Baseline'!$B$1:$L$257,6,FALSE))))</f>
        <v/>
      </c>
      <c r="G12" s="520" t="str">
        <f>IF(B12="","",IF(ISNA(VLOOKUP($B12,'B-1 Site Hedge Baseline'!$B$1:$L$257,7,FALSE)),"",(VLOOKUP($B12,'B-1 Site Hedge Baseline'!$B$1:$L$257,7,FALSE))))</f>
        <v/>
      </c>
      <c r="H12" s="520" t="str">
        <f>IF(B12="","",IF(ISNA(VLOOKUP($B12,'B-1 Site Hedge Baseline'!$B$1:$L$257,8,FALSE)),"",(VLOOKUP($B12,'B-1 Site Hedge Baseline'!$B$1:$L$257,8,FALSE))))</f>
        <v/>
      </c>
      <c r="I12" s="520" t="str">
        <f>IF(B12="","",IF(ISNA(VLOOKUP($B12,'B-1 Site Hedge Baseline'!$B$1:$L$257,10,FALSE)),"",(VLOOKUP($B12,'B-1 Site Hedge Baseline'!$B$1:$L$257,10,FALSE))))</f>
        <v/>
      </c>
      <c r="J12" s="520" t="str">
        <f>IF(B12="","",IF(ISNA(VLOOKUP($B12,'B-1 Site Hedge Baseline'!$B$1:$L$257,11,FALSE)),"",(VLOOKUP($B12,'B-1 Site Hedge Baseline'!$B$1:$L$257,11,FALSE))))</f>
        <v/>
      </c>
      <c r="K12" s="520" t="str">
        <f>IF(B12="","",IF(ISNA(VLOOKUP($B12,'B-1 Site Hedge Baseline'!$B$1:$U$257,13,FALSE)),"",(VLOOKUP($B12,'B-1 Site Hedge Baseline'!$B$1:$U$257,13,FALSE))))</f>
        <v/>
      </c>
      <c r="L12" s="524" t="str">
        <f>IF(B12="","",IF(ISNA(VLOOKUP($B12,'B-1 Site Hedge Baseline'!$B$1:$U$257,12,FALSE)),"",(VLOOKUP($B12,'B-1 Site Hedge Baseline'!$B$1:$U$257,12,FALSE))))</f>
        <v/>
      </c>
      <c r="M12" s="415" t="str">
        <f t="shared" ref="M12:M77" si="0">IF(B12="","",C12)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9" t="str">
        <f>IF(B12="","",VLOOKUP(B12,'B-1 Site Hedge Baseline'!$B$10:T257,16,FALSE))</f>
        <v/>
      </c>
      <c r="Q12" s="498" t="str">
        <f>IF(M12="","",VLOOKUP(M12,'G-6 Hedgerow Data'!$B$2:$AG$15,2,FALSE))</f>
        <v/>
      </c>
      <c r="R12" s="499" t="str">
        <f>IF(M12="","",VLOOKUP(M12,'G-6 Hedgerow Data'!$B$2:$AG$15,3,FALSE))</f>
        <v/>
      </c>
      <c r="S12" s="72"/>
      <c r="T12" s="540" t="str">
        <f>IFERROR(VLOOKUP(S12,'G-1 All Habitats'!$Z$2:$AA$9,2,FALSE),"")</f>
        <v/>
      </c>
      <c r="U12" s="146"/>
      <c r="V12" s="520" t="str">
        <f>IF(U12="","",IF(VLOOKUP(U12,'G-3 Multipliers'!$L$3:$N$6,2,FALSE)=0,"Spatial Data Missing ⚠",VLOOKUP(U12,'G-3 Multipliers'!$L$3:$N$6,2,FALSE)))</f>
        <v/>
      </c>
      <c r="W12" s="524"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⚠",IF(Y12="30+",0,IF(Z12="30+","30+ ⚠",IF(X12+Z12&gt;30,"30+ 'C-1 Site River Baseline'!",IF(LEFT(AA12,5)="Error ▲","Check Data ⚠",IF(X12+Z12-Y12&gt;0,X12+Z12-Y12,IF(X12-Y12&lt;=0,0,))))))))</f>
        <v/>
      </c>
      <c r="AC12" s="522" t="str">
        <f t="shared" ref="AC12:AC75" si="1">IF(OR(S12="",M12=""),"",IF(LEFT(AB12,5)="Error ▲","Check Data ⚠",IF(AB12="Check Data ⚠","Check Data ⚠",VLOOKUP(AB12,TemporalMultipliers,3,FALSE))))</f>
        <v/>
      </c>
      <c r="AD12" s="498" t="str">
        <f>IF(M12="","",VLOOKUP(M12,'G-6 Hedgerow Data'!$B$3:$AG$15,31,FALSE))</f>
        <v/>
      </c>
      <c r="AE12" s="507" t="str">
        <f>IF(M12="","",IF(OR(LEFT(AA12,5)="Error ▲",AA12="Check Data ⚠"),"Check Data ⚠",IF(X12="","",IF($AA12="Check details - Is there evidence that habitat has reached target condition? ⚠","Low Difficulty - only applicable if all habitat created before losses ⚠","Standard difficulty applied"))))</f>
        <v/>
      </c>
      <c r="AF12" s="507" t="str">
        <f>(IF(AND(AE12="Standard difficulty applied",X12&gt;Y12),AD12,IF(AND(AE12="Low Difficulty - only applicable if all habitat created before losses ⚠",Y12&gt;=X12),"Low",AD12)))</f>
        <v/>
      </c>
      <c r="AG12" s="499" t="str">
        <f>IFERROR(IF(O12="","",VLOOKUP(AD12,'G-3 Multipliers'!$P$3:$Q$6,2,FALSE)),"")</f>
        <v/>
      </c>
      <c r="AH12" s="513" t="str">
        <f>IFERROR(IF(OR(M12="",S12="",U12=""),"",(((((P12*R12*T12)-(P12*F12*H12))*(AG12*AC12))+(P12*F12*H12))*(W12))),"")</f>
        <v/>
      </c>
      <c r="AI12" s="419"/>
      <c r="AJ12" s="240"/>
      <c r="AT12" s="31" t="str">
        <f>IFERROR(INDEX('G-6 Hedgerow Data'!$BJ$3:$BJ$15,MATCH(M12,'G-6 Hedgerow Data'!$B$3:$B$15,0)),"")</f>
        <v/>
      </c>
    </row>
    <row r="13" spans="2:46" ht="13.8" x14ac:dyDescent="0.25">
      <c r="B13" s="531" t="str">
        <f>'B-1 Site Hedge Baseline'!AK11</f>
        <v/>
      </c>
      <c r="C13" s="520" t="str">
        <f>IF(B13="","",IF(ISNA(VLOOKUP($B13,'B-1 Site Hedge Baseline'!$B$1:$L$257,3,FALSE)),"",(VLOOKUP($B13,'B-1 Site Hedge Baseline'!$B$1:$L$257,3,FALSE))))</f>
        <v/>
      </c>
      <c r="D13" s="520" t="str">
        <f>IF(B13="","",IF(ISNA(VLOOKUP($B13,'B-1 Site Hedge Baseline'!$B$1:$L$257,4,FALSE)),"",(VLOOKUP($B13,'B-1 Site Hedge Baseline'!$B$1:$L$257,4,FALSE))))</f>
        <v/>
      </c>
      <c r="E13" s="520" t="str">
        <f>IF(B13="","",IF(ISNA(VLOOKUP($B13,'B-1 Site Hedge Baseline'!$B$1:$L$257,5,FALSE)),"",(VLOOKUP($B13,'B-1 Site Hedge Baseline'!$B$1:$L$257,5,FALSE))))</f>
        <v/>
      </c>
      <c r="F13" s="520" t="str">
        <f>IF(B13="","",IF(ISNA(VLOOKUP($B13,'B-1 Site Hedge Baseline'!$B$1:$L$257,6,FALSE)),"",(VLOOKUP($B13,'B-1 Site Hedge Baseline'!$B$1:$L$257,6,FALSE))))</f>
        <v/>
      </c>
      <c r="G13" s="520" t="str">
        <f>IF(B13="","",IF(ISNA(VLOOKUP($B13,'B-1 Site Hedge Baseline'!$B$1:$L$257,7,FALSE)),"",(VLOOKUP($B13,'B-1 Site Hedge Baseline'!$B$1:$L$257,7,FALSE))))</f>
        <v/>
      </c>
      <c r="H13" s="520" t="str">
        <f>IF(B13="","",IF(ISNA(VLOOKUP($B13,'B-1 Site Hedge Baseline'!$B$1:$L$257,8,FALSE)),"",(VLOOKUP($B13,'B-1 Site Hedge Baseline'!$B$1:$L$257,8,FALSE))))</f>
        <v/>
      </c>
      <c r="I13" s="520" t="str">
        <f>IF(B13="","",IF(ISNA(VLOOKUP($B13,'B-1 Site Hedge Baseline'!$B$1:$L$257,10,FALSE)),"",(VLOOKUP($B13,'B-1 Site Hedge Baseline'!$B$1:$L$257,10,FALSE))))</f>
        <v/>
      </c>
      <c r="J13" s="520" t="str">
        <f>IF(B13="","",IF(ISNA(VLOOKUP($B13,'B-1 Site Hedge Baseline'!$B$1:$L$257,11,FALSE)),"",(VLOOKUP($B13,'B-1 Site Hedge Baseline'!$B$1:$L$257,11,FALSE))))</f>
        <v/>
      </c>
      <c r="K13" s="520" t="str">
        <f>IF(B13="","",IF(ISNA(VLOOKUP($B13,'B-1 Site Hedge Baseline'!$B$1:$U$257,13,FALSE)),"",(VLOOKUP($B13,'B-1 Site Hedge Baseline'!$B$1:$U$257,13,FALSE))))</f>
        <v/>
      </c>
      <c r="L13" s="524" t="str">
        <f>IF(B13="","",IF(ISNA(VLOOKUP($B13,'B-1 Site Hedge Baseline'!$B$1:$U$257,12,FALSE)),"",(VLOOKUP($B13,'B-1 Site Hedge Baseline'!$B$1:$U$257,12,FALSE))))</f>
        <v/>
      </c>
      <c r="M13" s="415" t="str">
        <f>IF(B13="","",C13)</f>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9" t="str">
        <f>IF(B13="","",VLOOKUP(B13,'B-1 Site Hedge Baseline'!$B$10:T258,16,FALSE))</f>
        <v/>
      </c>
      <c r="Q13" s="498" t="str">
        <f>IF(M13="","",VLOOKUP(M13,'G-6 Hedgerow Data'!$B$2:$AG$15,2,FALSE))</f>
        <v/>
      </c>
      <c r="R13" s="499" t="str">
        <f>IF(M13="","",VLOOKUP(M13,'G-6 Hedgerow Data'!$B$2:$AG$15,3,FALSE))</f>
        <v/>
      </c>
      <c r="S13" s="72"/>
      <c r="T13" s="540" t="str">
        <f>IFERROR(VLOOKUP(S13,'G-1 All Habitats'!$Z$2:$AA$9,2,FALSE),"")</f>
        <v/>
      </c>
      <c r="U13" s="146"/>
      <c r="V13" s="520" t="str">
        <f>IF(U13="","",IF(VLOOKUP(U13,'G-3 Multipliers'!$L$3:$N$6,2,FALSE)=0,"Spatial Data Missing ⚠",VLOOKUP(U13,'G-3 Multipliers'!$L$3:$N$6,2,FALSE)))</f>
        <v/>
      </c>
      <c r="W13" s="524"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⚠",IF(Y13="30+",0,IF(Z13="30+","30+ ⚠",IF(X13+Z13&gt;30,"30+ ⚠",IF(LEFT(AA13,5)="Error ▲","Check Data ⚠",IF(X13+Z13-Y13&gt;0,X13+Z13-Y13,IF(X13-Y13&lt;=0,0,))))))))</f>
        <v/>
      </c>
      <c r="AC13" s="522" t="str">
        <f t="shared" si="1"/>
        <v/>
      </c>
      <c r="AD13" s="537" t="str">
        <f>IF(M13="","",VLOOKUP(M13,'G-6 Hedgerow Data'!$B$3:$AG$15,31,FALSE))</f>
        <v/>
      </c>
      <c r="AE13" s="507"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7" t="str">
        <f t="shared" ref="AF13:AF76" si="6">(IF(AND(AE13="Standard difficulty applied",X13&gt;Y13),AD13,IF(AND(AE13="Low Difficulty - only applicable if all habitat created before losses ⚠",Y13&gt;=X13),"Low",AD13)))</f>
        <v/>
      </c>
      <c r="AG13" s="524" t="str">
        <f>IFERROR(IF(O13="","",VLOOKUP(AD13,'G-3 Multipliers'!$P$3:$Q$6,2,FALSE)),"")</f>
        <v/>
      </c>
      <c r="AH13" s="513" t="str">
        <f t="shared" ref="AH13:AH75" si="7">IFERROR(IF(OR(M13="",S13="",U13=""),"",(((((P13*R13*T13)-(P13*F13*H13))*(AG13*AC13))+(P13*F13*H13))*(W13))),"")</f>
        <v/>
      </c>
      <c r="AI13" s="419"/>
      <c r="AJ13" s="240"/>
      <c r="AT13" s="31" t="str">
        <f>IFERROR(INDEX('G-6 Hedgerow Data'!$BJ$3:$BJ$15,MATCH(M13,'G-6 Hedgerow Data'!$B$3:$B$15,0)),"")</f>
        <v/>
      </c>
    </row>
    <row r="14" spans="2:46" ht="13.8" x14ac:dyDescent="0.25">
      <c r="B14" s="531" t="str">
        <f>'B-1 Site Hedge Baseline'!AK12</f>
        <v/>
      </c>
      <c r="C14" s="520" t="str">
        <f>IF(B14="","",IF(ISNA(VLOOKUP($B14,'B-1 Site Hedge Baseline'!$B$1:$L$257,3,FALSE)),"",(VLOOKUP($B14,'B-1 Site Hedge Baseline'!$B$1:$L$257,3,FALSE))))</f>
        <v/>
      </c>
      <c r="D14" s="520" t="str">
        <f>IF(B14="","",IF(ISNA(VLOOKUP($B14,'B-1 Site Hedge Baseline'!$B$1:$L$257,4,FALSE)),"",(VLOOKUP($B14,'B-1 Site Hedge Baseline'!$B$1:$L$257,4,FALSE))))</f>
        <v/>
      </c>
      <c r="E14" s="520" t="str">
        <f>IF(B14="","",IF(ISNA(VLOOKUP($B14,'B-1 Site Hedge Baseline'!$B$1:$L$257,5,FALSE)),"",(VLOOKUP($B14,'B-1 Site Hedge Baseline'!$B$1:$L$257,5,FALSE))))</f>
        <v/>
      </c>
      <c r="F14" s="520" t="str">
        <f>IF(B14="","",IF(ISNA(VLOOKUP($B14,'B-1 Site Hedge Baseline'!$B$1:$L$257,6,FALSE)),"",(VLOOKUP($B14,'B-1 Site Hedge Baseline'!$B$1:$L$257,6,FALSE))))</f>
        <v/>
      </c>
      <c r="G14" s="520" t="str">
        <f>IF(B14="","",IF(ISNA(VLOOKUP($B14,'B-1 Site Hedge Baseline'!$B$1:$L$257,7,FALSE)),"",(VLOOKUP($B14,'B-1 Site Hedge Baseline'!$B$1:$L$257,7,FALSE))))</f>
        <v/>
      </c>
      <c r="H14" s="520" t="str">
        <f>IF(B14="","",IF(ISNA(VLOOKUP($B14,'B-1 Site Hedge Baseline'!$B$1:$L$257,8,FALSE)),"",(VLOOKUP($B14,'B-1 Site Hedge Baseline'!$B$1:$L$257,8,FALSE))))</f>
        <v/>
      </c>
      <c r="I14" s="520" t="str">
        <f>IF(B14="","",IF(ISNA(VLOOKUP($B14,'B-1 Site Hedge Baseline'!$B$1:$L$257,10,FALSE)),"",(VLOOKUP($B14,'B-1 Site Hedge Baseline'!$B$1:$L$257,10,FALSE))))</f>
        <v/>
      </c>
      <c r="J14" s="520" t="str">
        <f>IF(B14="","",IF(ISNA(VLOOKUP($B14,'B-1 Site Hedge Baseline'!$B$1:$L$257,11,FALSE)),"",(VLOOKUP($B14,'B-1 Site Hedge Baseline'!$B$1:$L$257,11,FALSE))))</f>
        <v/>
      </c>
      <c r="K14" s="520" t="str">
        <f>IF(B14="","",IF(ISNA(VLOOKUP($B14,'B-1 Site Hedge Baseline'!$B$1:$U$257,13,FALSE)),"",(VLOOKUP($B14,'B-1 Site Hedge Baseline'!$B$1:$U$257,13,FALSE))))</f>
        <v/>
      </c>
      <c r="L14" s="524" t="str">
        <f>IF(B14="","",IF(ISNA(VLOOKUP($B14,'B-1 Site Hedge Baseline'!$B$1:$U$257,12,FALSE)),"",(VLOOKUP($B14,'B-1 Site Hedge Baseline'!$B$1:$U$257,12,FALSE))))</f>
        <v/>
      </c>
      <c r="M14" s="415" t="str">
        <f t="shared" si="0"/>
        <v/>
      </c>
      <c r="N14" s="498" t="str">
        <f>IFERROR(IF(B14="","",INDEX('G-6 Hedgerow Data'!$AN$3:$AZ$15,MATCH(C14,'G-6 Hedgerow Data'!$AM$3:$AM$15,0),MATCH(M14,'G-6 Hedgerow Data'!$AN$2:$AZ$2,0))),"")</f>
        <v/>
      </c>
      <c r="O14" s="499" t="str">
        <f t="shared" si="2"/>
        <v/>
      </c>
      <c r="P14" s="559" t="str">
        <f>IF(B14="","",VLOOKUP(B14,'B-1 Site Hedge Baseline'!$B$10:T259,16,FALSE))</f>
        <v/>
      </c>
      <c r="Q14" s="498" t="str">
        <f>IF(M14="","",VLOOKUP(M14,'G-6 Hedgerow Data'!$B$2:$AG$15,2,FALSE))</f>
        <v/>
      </c>
      <c r="R14" s="499" t="str">
        <f>IF(M14="","",VLOOKUP(M14,'G-6 Hedgerow Data'!$B$2:$AG$15,3,FALSE))</f>
        <v/>
      </c>
      <c r="S14" s="72"/>
      <c r="T14" s="540" t="str">
        <f>IFERROR(VLOOKUP(S14,'G-1 All Habitats'!$Z$2:$AA$9,2,FALSE),"")</f>
        <v/>
      </c>
      <c r="U14" s="146"/>
      <c r="V14" s="520" t="str">
        <f>IF(U14="","",IF(VLOOKUP(U14,'G-3 Multipliers'!$L$3:$N$6,2,FALSE)=0,"Spatial Data Missing ⚠",VLOOKUP(U14,'G-3 Multipliers'!$L$3:$N$6,2,FALSE)))</f>
        <v/>
      </c>
      <c r="W14" s="524"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07" t="str">
        <f t="shared" si="5"/>
        <v/>
      </c>
      <c r="AF14" s="507" t="str">
        <f t="shared" si="6"/>
        <v/>
      </c>
      <c r="AG14" s="524" t="str">
        <f>IFERROR(IF(O14="","",VLOOKUP(AD14,'G-3 Multipliers'!$P$3:$Q$6,2,FALSE)),"")</f>
        <v/>
      </c>
      <c r="AH14" s="513" t="str">
        <f t="shared" si="7"/>
        <v/>
      </c>
      <c r="AI14" s="419"/>
      <c r="AJ14" s="240"/>
      <c r="AT14" s="31" t="str">
        <f>IFERROR(INDEX('G-6 Hedgerow Data'!$BJ$3:$BJ$15,MATCH(M14,'G-6 Hedgerow Data'!$B$3:$B$15,0)),"")</f>
        <v/>
      </c>
    </row>
    <row r="15" spans="2:46" ht="13.8" x14ac:dyDescent="0.25">
      <c r="B15" s="531" t="str">
        <f>'B-1 Site Hedge Baseline'!AK13</f>
        <v/>
      </c>
      <c r="C15" s="520" t="str">
        <f>IF(B15="","",IF(ISNA(VLOOKUP($B15,'B-1 Site Hedge Baseline'!$B$1:$L$257,3,FALSE)),"",(VLOOKUP($B15,'B-1 Site Hedge Baseline'!$B$1:$L$257,3,FALSE))))</f>
        <v/>
      </c>
      <c r="D15" s="520" t="str">
        <f>IF(B15="","",IF(ISNA(VLOOKUP($B15,'B-1 Site Hedge Baseline'!$B$1:$L$257,4,FALSE)),"",(VLOOKUP($B15,'B-1 Site Hedge Baseline'!$B$1:$L$257,4,FALSE))))</f>
        <v/>
      </c>
      <c r="E15" s="520" t="str">
        <f>IF(B15="","",IF(ISNA(VLOOKUP($B15,'B-1 Site Hedge Baseline'!$B$1:$L$257,5,FALSE)),"",(VLOOKUP($B15,'B-1 Site Hedge Baseline'!$B$1:$L$257,5,FALSE))))</f>
        <v/>
      </c>
      <c r="F15" s="520" t="str">
        <f>IF(B15="","",IF(ISNA(VLOOKUP($B15,'B-1 Site Hedge Baseline'!$B$1:$L$257,6,FALSE)),"",(VLOOKUP($B15,'B-1 Site Hedge Baseline'!$B$1:$L$257,6,FALSE))))</f>
        <v/>
      </c>
      <c r="G15" s="520" t="str">
        <f>IF(B15="","",IF(ISNA(VLOOKUP($B15,'B-1 Site Hedge Baseline'!$B$1:$L$257,7,FALSE)),"",(VLOOKUP($B15,'B-1 Site Hedge Baseline'!$B$1:$L$257,7,FALSE))))</f>
        <v/>
      </c>
      <c r="H15" s="520" t="str">
        <f>IF(B15="","",IF(ISNA(VLOOKUP($B15,'B-1 Site Hedge Baseline'!$B$1:$L$257,8,FALSE)),"",(VLOOKUP($B15,'B-1 Site Hedge Baseline'!$B$1:$L$257,8,FALSE))))</f>
        <v/>
      </c>
      <c r="I15" s="520" t="str">
        <f>IF(B15="","",IF(ISNA(VLOOKUP($B15,'B-1 Site Hedge Baseline'!$B$1:$L$257,10,FALSE)),"",(VLOOKUP($B15,'B-1 Site Hedge Baseline'!$B$1:$L$257,10,FALSE))))</f>
        <v/>
      </c>
      <c r="J15" s="520" t="str">
        <f>IF(B15="","",IF(ISNA(VLOOKUP($B15,'B-1 Site Hedge Baseline'!$B$1:$L$257,11,FALSE)),"",(VLOOKUP($B15,'B-1 Site Hedge Baseline'!$B$1:$L$257,11,FALSE))))</f>
        <v/>
      </c>
      <c r="K15" s="520" t="str">
        <f>IF(B15="","",IF(ISNA(VLOOKUP($B15,'B-1 Site Hedge Baseline'!$B$1:$U$257,13,FALSE)),"",(VLOOKUP($B15,'B-1 Site Hedge Baseline'!$B$1:$U$257,13,FALSE))))</f>
        <v/>
      </c>
      <c r="L15" s="524" t="str">
        <f>IF(B15="","",IF(ISNA(VLOOKUP($B15,'B-1 Site Hedge Baseline'!$B$1:$U$257,12,FALSE)),"",(VLOOKUP($B15,'B-1 Site Hedge Baseline'!$B$1:$U$257,12,FALSE))))</f>
        <v/>
      </c>
      <c r="M15" s="415" t="str">
        <f t="shared" si="0"/>
        <v/>
      </c>
      <c r="N15" s="498" t="str">
        <f>IFERROR(IF(B15="","",INDEX('G-6 Hedgerow Data'!$AN$3:$AZ$15,MATCH(C15,'G-6 Hedgerow Data'!$AM$3:$AM$15,0),MATCH(M15,'G-6 Hedgerow Data'!$AN$2:$AZ$2,0))),"")</f>
        <v/>
      </c>
      <c r="O15" s="499" t="str">
        <f t="shared" si="2"/>
        <v/>
      </c>
      <c r="P15" s="559" t="str">
        <f>IF(B15="","",VLOOKUP(B15,'B-1 Site Hedge Baseline'!$B$10:T260,16,FALSE))</f>
        <v/>
      </c>
      <c r="Q15" s="498" t="str">
        <f>IF(M15="","",VLOOKUP(M15,'G-6 Hedgerow Data'!$B$2:$AG$15,2,FALSE))</f>
        <v/>
      </c>
      <c r="R15" s="499" t="str">
        <f>IF(M15="","",VLOOKUP(M15,'G-6 Hedgerow Data'!$B$2:$AG$15,3,FALSE))</f>
        <v/>
      </c>
      <c r="S15" s="72"/>
      <c r="T15" s="540" t="str">
        <f>IFERROR(VLOOKUP(S15,'G-1 All Habitats'!$Z$2:$AA$9,2,FALSE),"")</f>
        <v/>
      </c>
      <c r="U15" s="146"/>
      <c r="V15" s="520" t="str">
        <f>IF(U15="","",IF(VLOOKUP(U15,'G-3 Multipliers'!$L$3:$N$6,2,FALSE)=0,"Spatial Data Missing ⚠",VLOOKUP(U15,'G-3 Multipliers'!$L$3:$N$6,2,FALSE)))</f>
        <v/>
      </c>
      <c r="W15" s="524"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07" t="str">
        <f t="shared" si="5"/>
        <v/>
      </c>
      <c r="AF15" s="507" t="str">
        <f t="shared" si="6"/>
        <v/>
      </c>
      <c r="AG15" s="524" t="str">
        <f>IFERROR(IF(O15="","",VLOOKUP(AD15,'G-3 Multipliers'!$P$3:$Q$6,2,FALSE)),"")</f>
        <v/>
      </c>
      <c r="AH15" s="513" t="str">
        <f t="shared" si="7"/>
        <v/>
      </c>
      <c r="AI15" s="419"/>
      <c r="AJ15" s="240"/>
      <c r="AT15" s="31" t="str">
        <f>IFERROR(INDEX('G-6 Hedgerow Data'!$BJ$3:$BJ$15,MATCH(M15,'G-6 Hedgerow Data'!$B$3:$B$15,0)),"")</f>
        <v/>
      </c>
    </row>
    <row r="16" spans="2:46" ht="13.8" x14ac:dyDescent="0.25">
      <c r="B16" s="531" t="str">
        <f>'B-1 Site Hedge Baseline'!AK14</f>
        <v/>
      </c>
      <c r="C16" s="520" t="str">
        <f>IF(B16="","",IF(ISNA(VLOOKUP($B16,'B-1 Site Hedge Baseline'!$B$1:$L$257,3,FALSE)),"",(VLOOKUP($B16,'B-1 Site Hedge Baseline'!$B$1:$L$257,3,FALSE))))</f>
        <v/>
      </c>
      <c r="D16" s="520" t="str">
        <f>IF(B16="","",IF(ISNA(VLOOKUP($B16,'B-1 Site Hedge Baseline'!$B$1:$L$257,4,FALSE)),"",(VLOOKUP($B16,'B-1 Site Hedge Baseline'!$B$1:$L$257,4,FALSE))))</f>
        <v/>
      </c>
      <c r="E16" s="520" t="str">
        <f>IF(B16="","",IF(ISNA(VLOOKUP($B16,'B-1 Site Hedge Baseline'!$B$1:$L$257,5,FALSE)),"",(VLOOKUP($B16,'B-1 Site Hedge Baseline'!$B$1:$L$257,5,FALSE))))</f>
        <v/>
      </c>
      <c r="F16" s="520" t="str">
        <f>IF(B16="","",IF(ISNA(VLOOKUP($B16,'B-1 Site Hedge Baseline'!$B$1:$L$257,6,FALSE)),"",(VLOOKUP($B16,'B-1 Site Hedge Baseline'!$B$1:$L$257,6,FALSE))))</f>
        <v/>
      </c>
      <c r="G16" s="520" t="str">
        <f>IF(B16="","",IF(ISNA(VLOOKUP($B16,'B-1 Site Hedge Baseline'!$B$1:$L$257,7,FALSE)),"",(VLOOKUP($B16,'B-1 Site Hedge Baseline'!$B$1:$L$257,7,FALSE))))</f>
        <v/>
      </c>
      <c r="H16" s="520" t="str">
        <f>IF(B16="","",IF(ISNA(VLOOKUP($B16,'B-1 Site Hedge Baseline'!$B$1:$L$257,8,FALSE)),"",(VLOOKUP($B16,'B-1 Site Hedge Baseline'!$B$1:$L$257,8,FALSE))))</f>
        <v/>
      </c>
      <c r="I16" s="520" t="str">
        <f>IF(B16="","",IF(ISNA(VLOOKUP($B16,'B-1 Site Hedge Baseline'!$B$1:$L$257,10,FALSE)),"",(VLOOKUP($B16,'B-1 Site Hedge Baseline'!$B$1:$L$257,10,FALSE))))</f>
        <v/>
      </c>
      <c r="J16" s="520" t="str">
        <f>IF(B16="","",IF(ISNA(VLOOKUP($B16,'B-1 Site Hedge Baseline'!$B$1:$L$257,11,FALSE)),"",(VLOOKUP($B16,'B-1 Site Hedge Baseline'!$B$1:$L$257,11,FALSE))))</f>
        <v/>
      </c>
      <c r="K16" s="520" t="str">
        <f>IF(B16="","",IF(ISNA(VLOOKUP($B16,'B-1 Site Hedge Baseline'!$B$1:$U$257,13,FALSE)),"",(VLOOKUP($B16,'B-1 Site Hedge Baseline'!$B$1:$U$257,13,FALSE))))</f>
        <v/>
      </c>
      <c r="L16" s="524" t="str">
        <f>IF(B16="","",IF(ISNA(VLOOKUP($B16,'B-1 Site Hedge Baseline'!$B$1:$U$257,12,FALSE)),"",(VLOOKUP($B16,'B-1 Site Hedge Baseline'!$B$1:$U$257,12,FALSE))))</f>
        <v/>
      </c>
      <c r="M16" s="415" t="str">
        <f t="shared" si="0"/>
        <v/>
      </c>
      <c r="N16" s="498" t="str">
        <f>IFERROR(IF(B16="","",INDEX('G-6 Hedgerow Data'!$AN$3:$AZ$15,MATCH(C16,'G-6 Hedgerow Data'!$AM$3:$AM$15,0),MATCH(M16,'G-6 Hedgerow Data'!$AN$2:$AZ$2,0))),"")</f>
        <v/>
      </c>
      <c r="O16" s="499" t="str">
        <f t="shared" si="2"/>
        <v/>
      </c>
      <c r="P16" s="559" t="str">
        <f>IF(B16="","",VLOOKUP(B16,'B-1 Site Hedge Baseline'!$B$10:T261,16,FALSE))</f>
        <v/>
      </c>
      <c r="Q16" s="498" t="str">
        <f>IF(M16="","",VLOOKUP(M16,'G-6 Hedgerow Data'!$B$2:$AG$15,2,FALSE))</f>
        <v/>
      </c>
      <c r="R16" s="499" t="str">
        <f>IF(M16="","",VLOOKUP(M16,'G-6 Hedgerow Data'!$B$2:$AG$15,3,FALSE))</f>
        <v/>
      </c>
      <c r="S16" s="157"/>
      <c r="T16" s="540" t="str">
        <f>IFERROR(VLOOKUP(S16,'G-1 All Habitats'!$Z$2:$AA$9,2,FALSE),"")</f>
        <v/>
      </c>
      <c r="U16" s="146"/>
      <c r="V16" s="520" t="str">
        <f>IF(U16="","",IF(VLOOKUP(U16,'G-3 Multipliers'!$L$3:$N$6,2,FALSE)=0,"Spatial Data Missing ⚠",VLOOKUP(U16,'G-3 Multipliers'!$L$3:$N$6,2,FALSE)))</f>
        <v/>
      </c>
      <c r="W16" s="524"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07" t="str">
        <f t="shared" si="5"/>
        <v/>
      </c>
      <c r="AF16" s="507" t="str">
        <f t="shared" si="6"/>
        <v/>
      </c>
      <c r="AG16" s="524" t="str">
        <f>IFERROR(IF(O16="","",VLOOKUP(AD16,'G-3 Multipliers'!$P$3:$Q$6,2,FALSE)),"")</f>
        <v/>
      </c>
      <c r="AH16" s="513" t="str">
        <f>IFERROR(IF(OR(M16="",S16="",U16=""),"",(((((P16*R16*T16)-(P16*F16*H16))*(AG16*AC16))+(P16*F16*H16))*(W16))),"")</f>
        <v/>
      </c>
      <c r="AI16" s="231"/>
      <c r="AJ16" s="150"/>
      <c r="AT16" s="31" t="str">
        <f>IFERROR(INDEX('G-6 Hedgerow Data'!$BJ$3:$BJ$15,MATCH(M16,'G-6 Hedgerow Data'!$B$3:$B$15,0)),"")</f>
        <v/>
      </c>
    </row>
    <row r="17" spans="2:46" ht="13.8" x14ac:dyDescent="0.25">
      <c r="B17" s="531" t="str">
        <f>'B-1 Site Hedge Baseline'!AK15</f>
        <v/>
      </c>
      <c r="C17" s="520" t="str">
        <f>IF(B17="","",IF(ISNA(VLOOKUP($B17,'B-1 Site Hedge Baseline'!$B$1:$L$257,3,FALSE)),"",(VLOOKUP($B17,'B-1 Site Hedge Baseline'!$B$1:$L$257,3,FALSE))))</f>
        <v/>
      </c>
      <c r="D17" s="520" t="str">
        <f>IF(B17="","",IF(ISNA(VLOOKUP($B17,'B-1 Site Hedge Baseline'!$B$1:$L$257,4,FALSE)),"",(VLOOKUP($B17,'B-1 Site Hedge Baseline'!$B$1:$L$257,4,FALSE))))</f>
        <v/>
      </c>
      <c r="E17" s="520" t="str">
        <f>IF(B17="","",IF(ISNA(VLOOKUP($B17,'B-1 Site Hedge Baseline'!$B$1:$L$257,5,FALSE)),"",(VLOOKUP($B17,'B-1 Site Hedge Baseline'!$B$1:$L$257,5,FALSE))))</f>
        <v/>
      </c>
      <c r="F17" s="520" t="str">
        <f>IF(B17="","",IF(ISNA(VLOOKUP($B17,'B-1 Site Hedge Baseline'!$B$1:$L$257,6,FALSE)),"",(VLOOKUP($B17,'B-1 Site Hedge Baseline'!$B$1:$L$257,6,FALSE))))</f>
        <v/>
      </c>
      <c r="G17" s="520" t="str">
        <f>IF(B17="","",IF(ISNA(VLOOKUP($B17,'B-1 Site Hedge Baseline'!$B$1:$L$257,7,FALSE)),"",(VLOOKUP($B17,'B-1 Site Hedge Baseline'!$B$1:$L$257,7,FALSE))))</f>
        <v/>
      </c>
      <c r="H17" s="520" t="str">
        <f>IF(B17="","",IF(ISNA(VLOOKUP($B17,'B-1 Site Hedge Baseline'!$B$1:$L$257,8,FALSE)),"",(VLOOKUP($B17,'B-1 Site Hedge Baseline'!$B$1:$L$257,8,FALSE))))</f>
        <v/>
      </c>
      <c r="I17" s="520" t="str">
        <f>IF(B17="","",IF(ISNA(VLOOKUP($B17,'B-1 Site Hedge Baseline'!$B$1:$L$257,10,FALSE)),"",(VLOOKUP($B17,'B-1 Site Hedge Baseline'!$B$1:$L$257,10,FALSE))))</f>
        <v/>
      </c>
      <c r="J17" s="520" t="str">
        <f>IF(B17="","",IF(ISNA(VLOOKUP($B17,'B-1 Site Hedge Baseline'!$B$1:$L$257,11,FALSE)),"",(VLOOKUP($B17,'B-1 Site Hedge Baseline'!$B$1:$L$257,11,FALSE))))</f>
        <v/>
      </c>
      <c r="K17" s="520" t="str">
        <f>IF(B17="","",IF(ISNA(VLOOKUP($B17,'B-1 Site Hedge Baseline'!$B$1:$U$257,13,FALSE)),"",(VLOOKUP($B17,'B-1 Site Hedge Baseline'!$B$1:$U$257,13,FALSE))))</f>
        <v/>
      </c>
      <c r="L17" s="524" t="str">
        <f>IF(B17="","",IF(ISNA(VLOOKUP($B17,'B-1 Site Hedge Baseline'!$B$1:$U$257,12,FALSE)),"",(VLOOKUP($B17,'B-1 Site Hedge Baseline'!$B$1:$U$257,12,FALSE))))</f>
        <v/>
      </c>
      <c r="M17" s="416" t="str">
        <f t="shared" si="0"/>
        <v/>
      </c>
      <c r="N17" s="498" t="str">
        <f>IFERROR(IF(B17="","",INDEX('G-6 Hedgerow Data'!$AN$3:$AZ$15,MATCH(C17,'G-6 Hedgerow Data'!$AM$3:$AM$15,0),MATCH(M17,'G-6 Hedgerow Data'!$AN$2:$AZ$2,0))),"")</f>
        <v/>
      </c>
      <c r="O17" s="499" t="str">
        <f t="shared" si="2"/>
        <v/>
      </c>
      <c r="P17" s="559" t="str">
        <f>IF(B17="","",VLOOKUP(B17,'B-1 Site Hedge Baseline'!$B$10:T262,16,FALSE))</f>
        <v/>
      </c>
      <c r="Q17" s="498" t="str">
        <f>IF(M17="","",VLOOKUP(M17,'G-6 Hedgerow Data'!$B$2:$AG$15,2,FALSE))</f>
        <v/>
      </c>
      <c r="R17" s="499" t="str">
        <f>IF(M17="","",VLOOKUP(M17,'G-6 Hedgerow Data'!$B$2:$AG$15,3,FALSE))</f>
        <v/>
      </c>
      <c r="S17" s="157"/>
      <c r="T17" s="540" t="str">
        <f>IFERROR(VLOOKUP(S17,'G-1 All Habitats'!$Z$2:$AA$9,2,FALSE),"")</f>
        <v/>
      </c>
      <c r="U17" s="154"/>
      <c r="V17" s="520" t="str">
        <f>IF(U17="","",IF(VLOOKUP(U17,'G-3 Multipliers'!$L$3:$N$6,2,FALSE)=0,"Spatial Data Missing ⚠",VLOOKUP(U17,'G-3 Multipliers'!$L$3:$N$6,2,FALSE)))</f>
        <v/>
      </c>
      <c r="W17" s="524"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07" t="str">
        <f t="shared" si="5"/>
        <v/>
      </c>
      <c r="AF17" s="507" t="str">
        <f t="shared" si="6"/>
        <v/>
      </c>
      <c r="AG17" s="524" t="str">
        <f>IFERROR(IF(O17="","",VLOOKUP(AD17,'G-3 Multipliers'!$P$3:$Q$6,2,FALSE)),"")</f>
        <v/>
      </c>
      <c r="AH17" s="513" t="str">
        <f t="shared" si="7"/>
        <v/>
      </c>
      <c r="AI17" s="231"/>
      <c r="AJ17" s="150"/>
      <c r="AT17" s="31" t="str">
        <f>IFERROR(INDEX('G-6 Hedgerow Data'!$BJ$3:$BJ$15,MATCH(M17,'G-6 Hedgerow Data'!$B$3:$B$15,0)),"")</f>
        <v/>
      </c>
    </row>
    <row r="18" spans="2:46" ht="13.8" x14ac:dyDescent="0.25">
      <c r="B18" s="531" t="str">
        <f>'B-1 Site Hedge Baseline'!AK16</f>
        <v/>
      </c>
      <c r="C18" s="520" t="str">
        <f>IF(B18="","",IF(ISNA(VLOOKUP($B18,'B-1 Site Hedge Baseline'!$B$1:$L$257,3,FALSE)),"",(VLOOKUP($B18,'B-1 Site Hedge Baseline'!$B$1:$L$257,3,FALSE))))</f>
        <v/>
      </c>
      <c r="D18" s="520" t="str">
        <f>IF(B18="","",IF(ISNA(VLOOKUP($B18,'B-1 Site Hedge Baseline'!$B$1:$L$257,4,FALSE)),"",(VLOOKUP($B18,'B-1 Site Hedge Baseline'!$B$1:$L$257,4,FALSE))))</f>
        <v/>
      </c>
      <c r="E18" s="520" t="str">
        <f>IF(B18="","",IF(ISNA(VLOOKUP($B18,'B-1 Site Hedge Baseline'!$B$1:$L$257,5,FALSE)),"",(VLOOKUP($B18,'B-1 Site Hedge Baseline'!$B$1:$L$257,5,FALSE))))</f>
        <v/>
      </c>
      <c r="F18" s="520" t="str">
        <f>IF(B18="","",IF(ISNA(VLOOKUP($B18,'B-1 Site Hedge Baseline'!$B$1:$L$257,6,FALSE)),"",(VLOOKUP($B18,'B-1 Site Hedge Baseline'!$B$1:$L$257,6,FALSE))))</f>
        <v/>
      </c>
      <c r="G18" s="520" t="str">
        <f>IF(B18="","",IF(ISNA(VLOOKUP($B18,'B-1 Site Hedge Baseline'!$B$1:$L$257,7,FALSE)),"",(VLOOKUP($B18,'B-1 Site Hedge Baseline'!$B$1:$L$257,7,FALSE))))</f>
        <v/>
      </c>
      <c r="H18" s="520" t="str">
        <f>IF(B18="","",IF(ISNA(VLOOKUP($B18,'B-1 Site Hedge Baseline'!$B$1:$L$257,8,FALSE)),"",(VLOOKUP($B18,'B-1 Site Hedge Baseline'!$B$1:$L$257,8,FALSE))))</f>
        <v/>
      </c>
      <c r="I18" s="520" t="str">
        <f>IF(B18="","",IF(ISNA(VLOOKUP($B18,'B-1 Site Hedge Baseline'!$B$1:$L$257,10,FALSE)),"",(VLOOKUP($B18,'B-1 Site Hedge Baseline'!$B$1:$L$257,10,FALSE))))</f>
        <v/>
      </c>
      <c r="J18" s="520" t="str">
        <f>IF(B18="","",IF(ISNA(VLOOKUP($B18,'B-1 Site Hedge Baseline'!$B$1:$L$257,11,FALSE)),"",(VLOOKUP($B18,'B-1 Site Hedge Baseline'!$B$1:$L$257,11,FALSE))))</f>
        <v/>
      </c>
      <c r="K18" s="520" t="str">
        <f>IF(B18="","",IF(ISNA(VLOOKUP($B18,'B-1 Site Hedge Baseline'!$B$1:$U$257,13,FALSE)),"",(VLOOKUP($B18,'B-1 Site Hedge Baseline'!$B$1:$U$257,13,FALSE))))</f>
        <v/>
      </c>
      <c r="L18" s="524" t="str">
        <f>IF(B18="","",IF(ISNA(VLOOKUP($B18,'B-1 Site Hedge Baseline'!$B$1:$U$257,12,FALSE)),"",(VLOOKUP($B18,'B-1 Site Hedge Baseline'!$B$1:$U$257,12,FALSE))))</f>
        <v/>
      </c>
      <c r="M18" s="416" t="str">
        <f t="shared" si="0"/>
        <v/>
      </c>
      <c r="N18" s="498" t="str">
        <f>IFERROR(IF(B18="","",INDEX('G-6 Hedgerow Data'!$AN$3:$AZ$15,MATCH(C18,'G-6 Hedgerow Data'!$AM$3:$AM$15,0),MATCH(M18,'G-6 Hedgerow Data'!$AN$2:$AZ$2,0))),"")</f>
        <v/>
      </c>
      <c r="O18" s="499" t="str">
        <f t="shared" si="2"/>
        <v/>
      </c>
      <c r="P18" s="559" t="str">
        <f>IF(B18="","",VLOOKUP(B18,'B-1 Site Hedge Baseline'!$B$10:T263,16,FALSE))</f>
        <v/>
      </c>
      <c r="Q18" s="498" t="str">
        <f>IF(M18="","",VLOOKUP(M18,'G-6 Hedgerow Data'!$B$2:$AG$15,2,FALSE))</f>
        <v/>
      </c>
      <c r="R18" s="499" t="str">
        <f>IF(M18="","",VLOOKUP(M18,'G-6 Hedgerow Data'!$B$2:$AG$15,3,FALSE))</f>
        <v/>
      </c>
      <c r="S18" s="157"/>
      <c r="T18" s="540" t="str">
        <f>IFERROR(VLOOKUP(S18,'G-1 All Habitats'!$Z$2:$AA$9,2,FALSE),"")</f>
        <v/>
      </c>
      <c r="U18" s="154"/>
      <c r="V18" s="520" t="str">
        <f>IF(U18="","",IF(VLOOKUP(U18,'G-3 Multipliers'!$L$3:$N$6,2,FALSE)=0,"Spatial Data Missing ⚠",VLOOKUP(U18,'G-3 Multipliers'!$L$3:$N$6,2,FALSE)))</f>
        <v/>
      </c>
      <c r="W18" s="524"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07" t="str">
        <f t="shared" si="5"/>
        <v/>
      </c>
      <c r="AF18" s="507" t="str">
        <f t="shared" si="6"/>
        <v/>
      </c>
      <c r="AG18" s="524" t="str">
        <f>IFERROR(IF(O18="","",VLOOKUP(AD18,'G-3 Multipliers'!$P$3:$Q$6,2,FALSE)),"")</f>
        <v/>
      </c>
      <c r="AH18" s="513" t="str">
        <f t="shared" si="7"/>
        <v/>
      </c>
      <c r="AI18" s="231"/>
      <c r="AJ18" s="150"/>
      <c r="AT18" s="31" t="str">
        <f>IFERROR(INDEX('G-6 Hedgerow Data'!$BJ$3:$BJ$15,MATCH(M18,'G-6 Hedgerow Data'!$B$3:$B$15,0)),"")</f>
        <v/>
      </c>
    </row>
    <row r="19" spans="2:46" ht="13.8" x14ac:dyDescent="0.25">
      <c r="B19" s="531" t="str">
        <f>'B-1 Site Hedge Baseline'!AK17</f>
        <v/>
      </c>
      <c r="C19" s="520" t="str">
        <f>IF(B19="","",IF(ISNA(VLOOKUP($B19,'B-1 Site Hedge Baseline'!$B$1:$L$257,3,FALSE)),"",(VLOOKUP($B19,'B-1 Site Hedge Baseline'!$B$1:$L$257,3,FALSE))))</f>
        <v/>
      </c>
      <c r="D19" s="520" t="str">
        <f>IF(B19="","",IF(ISNA(VLOOKUP($B19,'B-1 Site Hedge Baseline'!$B$1:$L$257,4,FALSE)),"",(VLOOKUP($B19,'B-1 Site Hedge Baseline'!$B$1:$L$257,4,FALSE))))</f>
        <v/>
      </c>
      <c r="E19" s="520" t="str">
        <f>IF(B19="","",IF(ISNA(VLOOKUP($B19,'B-1 Site Hedge Baseline'!$B$1:$L$257,5,FALSE)),"",(VLOOKUP($B19,'B-1 Site Hedge Baseline'!$B$1:$L$257,5,FALSE))))</f>
        <v/>
      </c>
      <c r="F19" s="520" t="str">
        <f>IF(B19="","",IF(ISNA(VLOOKUP($B19,'B-1 Site Hedge Baseline'!$B$1:$L$257,6,FALSE)),"",(VLOOKUP($B19,'B-1 Site Hedge Baseline'!$B$1:$L$257,6,FALSE))))</f>
        <v/>
      </c>
      <c r="G19" s="520" t="str">
        <f>IF(B19="","",IF(ISNA(VLOOKUP($B19,'B-1 Site Hedge Baseline'!$B$1:$L$257,7,FALSE)),"",(VLOOKUP($B19,'B-1 Site Hedge Baseline'!$B$1:$L$257,7,FALSE))))</f>
        <v/>
      </c>
      <c r="H19" s="520" t="str">
        <f>IF(B19="","",IF(ISNA(VLOOKUP($B19,'B-1 Site Hedge Baseline'!$B$1:$L$257,8,FALSE)),"",(VLOOKUP($B19,'B-1 Site Hedge Baseline'!$B$1:$L$257,8,FALSE))))</f>
        <v/>
      </c>
      <c r="I19" s="520" t="str">
        <f>IF(B19="","",IF(ISNA(VLOOKUP($B19,'B-1 Site Hedge Baseline'!$B$1:$L$257,10,FALSE)),"",(VLOOKUP($B19,'B-1 Site Hedge Baseline'!$B$1:$L$257,10,FALSE))))</f>
        <v/>
      </c>
      <c r="J19" s="520" t="str">
        <f>IF(B19="","",IF(ISNA(VLOOKUP($B19,'B-1 Site Hedge Baseline'!$B$1:$L$257,11,FALSE)),"",(VLOOKUP($B19,'B-1 Site Hedge Baseline'!$B$1:$L$257,11,FALSE))))</f>
        <v/>
      </c>
      <c r="K19" s="520" t="str">
        <f>IF(B19="","",IF(ISNA(VLOOKUP($B19,'B-1 Site Hedge Baseline'!$B$1:$U$257,13,FALSE)),"",(VLOOKUP($B19,'B-1 Site Hedge Baseline'!$B$1:$U$257,13,FALSE))))</f>
        <v/>
      </c>
      <c r="L19" s="524" t="str">
        <f>IF(B19="","",IF(ISNA(VLOOKUP($B19,'B-1 Site Hedge Baseline'!$B$1:$U$257,12,FALSE)),"",(VLOOKUP($B19,'B-1 Site Hedge Baseline'!$B$1:$U$257,12,FALSE))))</f>
        <v/>
      </c>
      <c r="M19" s="416" t="str">
        <f t="shared" si="0"/>
        <v/>
      </c>
      <c r="N19" s="498" t="str">
        <f>IFERROR(IF(B19="","",INDEX('G-6 Hedgerow Data'!$AN$3:$AZ$15,MATCH(C19,'G-6 Hedgerow Data'!$AM$3:$AM$15,0),MATCH(M19,'G-6 Hedgerow Data'!$AN$2:$AZ$2,0))),"")</f>
        <v/>
      </c>
      <c r="O19" s="499" t="str">
        <f t="shared" si="2"/>
        <v/>
      </c>
      <c r="P19" s="559" t="str">
        <f>IF(B19="","",VLOOKUP(B19,'B-1 Site Hedge Baseline'!$B$10:T264,16,FALSE))</f>
        <v/>
      </c>
      <c r="Q19" s="498" t="str">
        <f>IF(M19="","",VLOOKUP(M19,'G-6 Hedgerow Data'!$B$2:$AG$15,2,FALSE))</f>
        <v/>
      </c>
      <c r="R19" s="499" t="str">
        <f>IF(M19="","",VLOOKUP(M19,'G-6 Hedgerow Data'!$B$2:$AG$15,3,FALSE))</f>
        <v/>
      </c>
      <c r="S19" s="157"/>
      <c r="T19" s="540" t="str">
        <f>IFERROR(VLOOKUP(S19,'G-1 All Habitats'!$Z$2:$AA$9,2,FALSE),"")</f>
        <v/>
      </c>
      <c r="U19" s="154"/>
      <c r="V19" s="520" t="str">
        <f>IF(U19="","",IF(VLOOKUP(U19,'G-3 Multipliers'!$L$3:$N$6,2,FALSE)=0,"Spatial Data Missing ⚠",VLOOKUP(U19,'G-3 Multipliers'!$L$3:$N$6,2,FALSE)))</f>
        <v/>
      </c>
      <c r="W19" s="524"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07" t="str">
        <f t="shared" si="5"/>
        <v/>
      </c>
      <c r="AF19" s="507" t="str">
        <f t="shared" si="6"/>
        <v/>
      </c>
      <c r="AG19" s="524" t="str">
        <f>IFERROR(IF(O19="","",VLOOKUP(AD19,'G-3 Multipliers'!$P$3:$Q$6,2,FALSE)),"")</f>
        <v/>
      </c>
      <c r="AH19" s="513" t="str">
        <f t="shared" si="7"/>
        <v/>
      </c>
      <c r="AI19" s="231"/>
      <c r="AJ19" s="150"/>
      <c r="AT19" s="31" t="str">
        <f>IFERROR(INDEX('G-6 Hedgerow Data'!$BJ$3:$BJ$15,MATCH(M19,'G-6 Hedgerow Data'!$B$3:$B$15,0)),"")</f>
        <v/>
      </c>
    </row>
    <row r="20" spans="2:46" ht="13.8" x14ac:dyDescent="0.25">
      <c r="B20" s="531" t="str">
        <f>'B-1 Site Hedge Baseline'!AK18</f>
        <v/>
      </c>
      <c r="C20" s="520" t="str">
        <f>IF(B20="","",IF(ISNA(VLOOKUP($B20,'B-1 Site Hedge Baseline'!$B$1:$L$257,3,FALSE)),"",(VLOOKUP($B20,'B-1 Site Hedge Baseline'!$B$1:$L$257,3,FALSE))))</f>
        <v/>
      </c>
      <c r="D20" s="520" t="str">
        <f>IF(B20="","",IF(ISNA(VLOOKUP($B20,'B-1 Site Hedge Baseline'!$B$1:$L$257,4,FALSE)),"",(VLOOKUP($B20,'B-1 Site Hedge Baseline'!$B$1:$L$257,4,FALSE))))</f>
        <v/>
      </c>
      <c r="E20" s="520" t="str">
        <f>IF(B20="","",IF(ISNA(VLOOKUP($B20,'B-1 Site Hedge Baseline'!$B$1:$L$257,5,FALSE)),"",(VLOOKUP($B20,'B-1 Site Hedge Baseline'!$B$1:$L$257,5,FALSE))))</f>
        <v/>
      </c>
      <c r="F20" s="520" t="str">
        <f>IF(B20="","",IF(ISNA(VLOOKUP($B20,'B-1 Site Hedge Baseline'!$B$1:$L$257,6,FALSE)),"",(VLOOKUP($B20,'B-1 Site Hedge Baseline'!$B$1:$L$257,6,FALSE))))</f>
        <v/>
      </c>
      <c r="G20" s="520" t="str">
        <f>IF(B20="","",IF(ISNA(VLOOKUP($B20,'B-1 Site Hedge Baseline'!$B$1:$L$257,7,FALSE)),"",(VLOOKUP($B20,'B-1 Site Hedge Baseline'!$B$1:$L$257,7,FALSE))))</f>
        <v/>
      </c>
      <c r="H20" s="520" t="str">
        <f>IF(B20="","",IF(ISNA(VLOOKUP($B20,'B-1 Site Hedge Baseline'!$B$1:$L$257,8,FALSE)),"",(VLOOKUP($B20,'B-1 Site Hedge Baseline'!$B$1:$L$257,8,FALSE))))</f>
        <v/>
      </c>
      <c r="I20" s="520" t="str">
        <f>IF(B20="","",IF(ISNA(VLOOKUP($B20,'B-1 Site Hedge Baseline'!$B$1:$L$257,10,FALSE)),"",(VLOOKUP($B20,'B-1 Site Hedge Baseline'!$B$1:$L$257,10,FALSE))))</f>
        <v/>
      </c>
      <c r="J20" s="520" t="str">
        <f>IF(B20="","",IF(ISNA(VLOOKUP($B20,'B-1 Site Hedge Baseline'!$B$1:$L$257,11,FALSE)),"",(VLOOKUP($B20,'B-1 Site Hedge Baseline'!$B$1:$L$257,11,FALSE))))</f>
        <v/>
      </c>
      <c r="K20" s="520" t="str">
        <f>IF(B20="","",IF(ISNA(VLOOKUP($B20,'B-1 Site Hedge Baseline'!$B$1:$U$257,13,FALSE)),"",(VLOOKUP($B20,'B-1 Site Hedge Baseline'!$B$1:$U$257,13,FALSE))))</f>
        <v/>
      </c>
      <c r="L20" s="524" t="str">
        <f>IF(B20="","",IF(ISNA(VLOOKUP($B20,'B-1 Site Hedge Baseline'!$B$1:$U$257,12,FALSE)),"",(VLOOKUP($B20,'B-1 Site Hedge Baseline'!$B$1:$U$257,12,FALSE))))</f>
        <v/>
      </c>
      <c r="M20" s="416" t="str">
        <f t="shared" si="0"/>
        <v/>
      </c>
      <c r="N20" s="498" t="str">
        <f>IFERROR(IF(B20="","",INDEX('G-6 Hedgerow Data'!$AN$3:$AZ$15,MATCH(C20,'G-6 Hedgerow Data'!$AM$3:$AM$15,0),MATCH(M20,'G-6 Hedgerow Data'!$AN$2:$AZ$2,0))),"")</f>
        <v/>
      </c>
      <c r="O20" s="499" t="str">
        <f t="shared" si="2"/>
        <v/>
      </c>
      <c r="P20" s="559" t="str">
        <f>IF(B20="","",VLOOKUP(B20,'B-1 Site Hedge Baseline'!$B$10:T265,16,FALSE))</f>
        <v/>
      </c>
      <c r="Q20" s="498" t="str">
        <f>IF(M20="","",VLOOKUP(M20,'G-6 Hedgerow Data'!$B$2:$AG$15,2,FALSE))</f>
        <v/>
      </c>
      <c r="R20" s="499" t="str">
        <f>IF(M20="","",VLOOKUP(M20,'G-6 Hedgerow Data'!$B$2:$AG$15,3,FALSE))</f>
        <v/>
      </c>
      <c r="S20" s="157"/>
      <c r="T20" s="540" t="str">
        <f>IFERROR(VLOOKUP(S20,'G-1 All Habitats'!$Z$2:$AA$9,2,FALSE),"")</f>
        <v/>
      </c>
      <c r="U20" s="154"/>
      <c r="V20" s="520" t="str">
        <f>IF(U20="","",IF(VLOOKUP(U20,'G-3 Multipliers'!$L$3:$N$6,2,FALSE)=0,"Spatial Data Missing ⚠",VLOOKUP(U20,'G-3 Multipliers'!$L$3:$N$6,2,FALSE)))</f>
        <v/>
      </c>
      <c r="W20" s="524"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07" t="str">
        <f t="shared" si="5"/>
        <v/>
      </c>
      <c r="AF20" s="507" t="str">
        <f t="shared" si="6"/>
        <v/>
      </c>
      <c r="AG20" s="524" t="str">
        <f>IFERROR(IF(O20="","",VLOOKUP(AD20,'G-3 Multipliers'!$P$3:$Q$6,2,FALSE)),"")</f>
        <v/>
      </c>
      <c r="AH20" s="513" t="str">
        <f t="shared" si="7"/>
        <v/>
      </c>
      <c r="AI20" s="231"/>
      <c r="AJ20" s="150"/>
      <c r="AT20" s="31" t="str">
        <f>IFERROR(INDEX('G-6 Hedgerow Data'!$BJ$3:$BJ$15,MATCH(M20,'G-6 Hedgerow Data'!$B$3:$B$15,0)),"")</f>
        <v/>
      </c>
    </row>
    <row r="21" spans="2:46" ht="13.8" x14ac:dyDescent="0.25">
      <c r="B21" s="531" t="str">
        <f>'B-1 Site Hedge Baseline'!AK19</f>
        <v/>
      </c>
      <c r="C21" s="520" t="str">
        <f>IF(B21="","",IF(ISNA(VLOOKUP($B21,'B-1 Site Hedge Baseline'!$B$1:$L$257,3,FALSE)),"",(VLOOKUP($B21,'B-1 Site Hedge Baseline'!$B$1:$L$257,3,FALSE))))</f>
        <v/>
      </c>
      <c r="D21" s="520" t="str">
        <f>IF(B21="","",IF(ISNA(VLOOKUP($B21,'B-1 Site Hedge Baseline'!$B$1:$L$257,4,FALSE)),"",(VLOOKUP($B21,'B-1 Site Hedge Baseline'!$B$1:$L$257,4,FALSE))))</f>
        <v/>
      </c>
      <c r="E21" s="520" t="str">
        <f>IF(B21="","",IF(ISNA(VLOOKUP($B21,'B-1 Site Hedge Baseline'!$B$1:$L$257,5,FALSE)),"",(VLOOKUP($B21,'B-1 Site Hedge Baseline'!$B$1:$L$257,5,FALSE))))</f>
        <v/>
      </c>
      <c r="F21" s="520" t="str">
        <f>IF(B21="","",IF(ISNA(VLOOKUP($B21,'B-1 Site Hedge Baseline'!$B$1:$L$257,6,FALSE)),"",(VLOOKUP($B21,'B-1 Site Hedge Baseline'!$B$1:$L$257,6,FALSE))))</f>
        <v/>
      </c>
      <c r="G21" s="520" t="str">
        <f>IF(B21="","",IF(ISNA(VLOOKUP($B21,'B-1 Site Hedge Baseline'!$B$1:$L$257,7,FALSE)),"",(VLOOKUP($B21,'B-1 Site Hedge Baseline'!$B$1:$L$257,7,FALSE))))</f>
        <v/>
      </c>
      <c r="H21" s="520" t="str">
        <f>IF(B21="","",IF(ISNA(VLOOKUP($B21,'B-1 Site Hedge Baseline'!$B$1:$L$257,8,FALSE)),"",(VLOOKUP($B21,'B-1 Site Hedge Baseline'!$B$1:$L$257,8,FALSE))))</f>
        <v/>
      </c>
      <c r="I21" s="520" t="str">
        <f>IF(B21="","",IF(ISNA(VLOOKUP($B21,'B-1 Site Hedge Baseline'!$B$1:$L$257,10,FALSE)),"",(VLOOKUP($B21,'B-1 Site Hedge Baseline'!$B$1:$L$257,10,FALSE))))</f>
        <v/>
      </c>
      <c r="J21" s="520" t="str">
        <f>IF(B21="","",IF(ISNA(VLOOKUP($B21,'B-1 Site Hedge Baseline'!$B$1:$L$257,11,FALSE)),"",(VLOOKUP($B21,'B-1 Site Hedge Baseline'!$B$1:$L$257,11,FALSE))))</f>
        <v/>
      </c>
      <c r="K21" s="520" t="str">
        <f>IF(B21="","",IF(ISNA(VLOOKUP($B21,'B-1 Site Hedge Baseline'!$B$1:$U$257,13,FALSE)),"",(VLOOKUP($B21,'B-1 Site Hedge Baseline'!$B$1:$U$257,13,FALSE))))</f>
        <v/>
      </c>
      <c r="L21" s="524" t="str">
        <f>IF(B21="","",IF(ISNA(VLOOKUP($B21,'B-1 Site Hedge Baseline'!$B$1:$U$257,12,FALSE)),"",(VLOOKUP($B21,'B-1 Site Hedge Baseline'!$B$1:$U$257,12,FALSE))))</f>
        <v/>
      </c>
      <c r="M21" s="416" t="str">
        <f t="shared" si="0"/>
        <v/>
      </c>
      <c r="N21" s="498" t="str">
        <f>IFERROR(IF(B21="","",INDEX('G-6 Hedgerow Data'!$AN$3:$AZ$15,MATCH(C21,'G-6 Hedgerow Data'!$AM$3:$AM$15,0),MATCH(M21,'G-6 Hedgerow Data'!$AN$2:$AZ$2,0))),"")</f>
        <v/>
      </c>
      <c r="O21" s="499" t="str">
        <f t="shared" si="2"/>
        <v/>
      </c>
      <c r="P21" s="559" t="str">
        <f>IF(B21="","",VLOOKUP(B21,'B-1 Site Hedge Baseline'!$B$10:T266,16,FALSE))</f>
        <v/>
      </c>
      <c r="Q21" s="498" t="str">
        <f>IF(M21="","",VLOOKUP(M21,'G-6 Hedgerow Data'!$B$2:$AG$15,2,FALSE))</f>
        <v/>
      </c>
      <c r="R21" s="499" t="str">
        <f>IF(M21="","",VLOOKUP(M21,'G-6 Hedgerow Data'!$B$2:$AG$15,3,FALSE))</f>
        <v/>
      </c>
      <c r="S21" s="157"/>
      <c r="T21" s="540" t="str">
        <f>IFERROR(VLOOKUP(S21,'G-1 All Habitats'!$Z$2:$AA$9,2,FALSE),"")</f>
        <v/>
      </c>
      <c r="U21" s="154"/>
      <c r="V21" s="520" t="str">
        <f>IF(U21="","",IF(VLOOKUP(U21,'G-3 Multipliers'!$L$3:$N$6,2,FALSE)=0,"Spatial Data Missing ⚠",VLOOKUP(U21,'G-3 Multipliers'!$L$3:$N$6,2,FALSE)))</f>
        <v/>
      </c>
      <c r="W21" s="524"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07" t="str">
        <f t="shared" si="5"/>
        <v/>
      </c>
      <c r="AF21" s="507" t="str">
        <f t="shared" si="6"/>
        <v/>
      </c>
      <c r="AG21" s="524" t="str">
        <f>IFERROR(IF(O21="","",VLOOKUP(AD21,'G-3 Multipliers'!$P$3:$Q$6,2,FALSE)),"")</f>
        <v/>
      </c>
      <c r="AH21" s="513" t="str">
        <f t="shared" si="7"/>
        <v/>
      </c>
      <c r="AI21" s="231"/>
      <c r="AJ21" s="150"/>
      <c r="AT21" s="31" t="str">
        <f>IFERROR(INDEX('G-6 Hedgerow Data'!$BJ$3:$BJ$15,MATCH(M21,'G-6 Hedgerow Data'!$B$3:$B$15,0)),"")</f>
        <v/>
      </c>
    </row>
    <row r="22" spans="2:46" ht="13.8" x14ac:dyDescent="0.25">
      <c r="B22" s="531" t="str">
        <f>'B-1 Site Hedge Baseline'!AK20</f>
        <v/>
      </c>
      <c r="C22" s="520" t="str">
        <f>IF(B22="","",IF(ISNA(VLOOKUP($B22,'B-1 Site Hedge Baseline'!$B$1:$L$257,3,FALSE)),"",(VLOOKUP($B22,'B-1 Site Hedge Baseline'!$B$1:$L$257,3,FALSE))))</f>
        <v/>
      </c>
      <c r="D22" s="520" t="str">
        <f>IF(B22="","",IF(ISNA(VLOOKUP($B22,'B-1 Site Hedge Baseline'!$B$1:$L$257,4,FALSE)),"",(VLOOKUP($B22,'B-1 Site Hedge Baseline'!$B$1:$L$257,4,FALSE))))</f>
        <v/>
      </c>
      <c r="E22" s="520" t="str">
        <f>IF(B22="","",IF(ISNA(VLOOKUP($B22,'B-1 Site Hedge Baseline'!$B$1:$L$257,5,FALSE)),"",(VLOOKUP($B22,'B-1 Site Hedge Baseline'!$B$1:$L$257,5,FALSE))))</f>
        <v/>
      </c>
      <c r="F22" s="520" t="str">
        <f>IF(B22="","",IF(ISNA(VLOOKUP($B22,'B-1 Site Hedge Baseline'!$B$1:$L$257,6,FALSE)),"",(VLOOKUP($B22,'B-1 Site Hedge Baseline'!$B$1:$L$257,6,FALSE))))</f>
        <v/>
      </c>
      <c r="G22" s="520" t="str">
        <f>IF(B22="","",IF(ISNA(VLOOKUP($B22,'B-1 Site Hedge Baseline'!$B$1:$L$257,7,FALSE)),"",(VLOOKUP($B22,'B-1 Site Hedge Baseline'!$B$1:$L$257,7,FALSE))))</f>
        <v/>
      </c>
      <c r="H22" s="520" t="str">
        <f>IF(B22="","",IF(ISNA(VLOOKUP($B22,'B-1 Site Hedge Baseline'!$B$1:$L$257,8,FALSE)),"",(VLOOKUP($B22,'B-1 Site Hedge Baseline'!$B$1:$L$257,8,FALSE))))</f>
        <v/>
      </c>
      <c r="I22" s="520" t="str">
        <f>IF(B22="","",IF(ISNA(VLOOKUP($B22,'B-1 Site Hedge Baseline'!$B$1:$L$257,10,FALSE)),"",(VLOOKUP($B22,'B-1 Site Hedge Baseline'!$B$1:$L$257,10,FALSE))))</f>
        <v/>
      </c>
      <c r="J22" s="520" t="str">
        <f>IF(B22="","",IF(ISNA(VLOOKUP($B22,'B-1 Site Hedge Baseline'!$B$1:$L$257,11,FALSE)),"",(VLOOKUP($B22,'B-1 Site Hedge Baseline'!$B$1:$L$257,11,FALSE))))</f>
        <v/>
      </c>
      <c r="K22" s="520" t="str">
        <f>IF(B22="","",IF(ISNA(VLOOKUP($B22,'B-1 Site Hedge Baseline'!$B$1:$U$257,13,FALSE)),"",(VLOOKUP($B22,'B-1 Site Hedge Baseline'!$B$1:$U$257,13,FALSE))))</f>
        <v/>
      </c>
      <c r="L22" s="524" t="str">
        <f>IF(B22="","",IF(ISNA(VLOOKUP($B22,'B-1 Site Hedge Baseline'!$B$1:$U$257,12,FALSE)),"",(VLOOKUP($B22,'B-1 Site Hedge Baseline'!$B$1:$U$257,12,FALSE))))</f>
        <v/>
      </c>
      <c r="M22" s="416" t="str">
        <f t="shared" si="0"/>
        <v/>
      </c>
      <c r="N22" s="498" t="str">
        <f>IFERROR(IF(B22="","",INDEX('G-6 Hedgerow Data'!$AN$3:$AZ$15,MATCH(C22,'G-6 Hedgerow Data'!$AM$3:$AM$15,0),MATCH(M22,'G-6 Hedgerow Data'!$AN$2:$AZ$2,0))),"")</f>
        <v/>
      </c>
      <c r="O22" s="499" t="str">
        <f t="shared" si="2"/>
        <v/>
      </c>
      <c r="P22" s="559" t="str">
        <f>IF(B22="","",VLOOKUP(B22,'B-1 Site Hedge Baseline'!$B$10:T267,16,FALSE))</f>
        <v/>
      </c>
      <c r="Q22" s="498" t="str">
        <f>IF(M22="","",VLOOKUP(M22,'G-6 Hedgerow Data'!$B$2:$AG$15,2,FALSE))</f>
        <v/>
      </c>
      <c r="R22" s="499" t="str">
        <f>IF(M22="","",VLOOKUP(M22,'G-6 Hedgerow Data'!$B$2:$AG$15,3,FALSE))</f>
        <v/>
      </c>
      <c r="S22" s="157"/>
      <c r="T22" s="540" t="str">
        <f>IFERROR(VLOOKUP(S22,'G-1 All Habitats'!$Z$2:$AA$9,2,FALSE),"")</f>
        <v/>
      </c>
      <c r="U22" s="154"/>
      <c r="V22" s="520" t="str">
        <f>IF(U22="","",IF(VLOOKUP(U22,'G-3 Multipliers'!$L$3:$N$6,2,FALSE)=0,"Spatial Data Missing ⚠",VLOOKUP(U22,'G-3 Multipliers'!$L$3:$N$6,2,FALSE)))</f>
        <v/>
      </c>
      <c r="W22" s="524"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07" t="str">
        <f t="shared" si="5"/>
        <v/>
      </c>
      <c r="AF22" s="507" t="str">
        <f t="shared" si="6"/>
        <v/>
      </c>
      <c r="AG22" s="524" t="str">
        <f>IFERROR(IF(O22="","",VLOOKUP(AD22,'G-3 Multipliers'!$P$3:$Q$6,2,FALSE)),"")</f>
        <v/>
      </c>
      <c r="AH22" s="513" t="str">
        <f t="shared" si="7"/>
        <v/>
      </c>
      <c r="AI22" s="231"/>
      <c r="AJ22" s="150"/>
      <c r="AT22" s="31" t="str">
        <f>IFERROR(INDEX('G-6 Hedgerow Data'!$BJ$3:$BJ$15,MATCH(M22,'G-6 Hedgerow Data'!$B$3:$B$15,0)),"")</f>
        <v/>
      </c>
    </row>
    <row r="23" spans="2:46" ht="13.8" x14ac:dyDescent="0.25">
      <c r="B23" s="531" t="str">
        <f>'B-1 Site Hedge Baseline'!AK21</f>
        <v/>
      </c>
      <c r="C23" s="520" t="str">
        <f>IF(B23="","",IF(ISNA(VLOOKUP($B23,'B-1 Site Hedge Baseline'!$B$1:$L$257,3,FALSE)),"",(VLOOKUP($B23,'B-1 Site Hedge Baseline'!$B$1:$L$257,3,FALSE))))</f>
        <v/>
      </c>
      <c r="D23" s="520" t="str">
        <f>IF(B23="","",IF(ISNA(VLOOKUP($B23,'B-1 Site Hedge Baseline'!$B$1:$L$257,4,FALSE)),"",(VLOOKUP($B23,'B-1 Site Hedge Baseline'!$B$1:$L$257,4,FALSE))))</f>
        <v/>
      </c>
      <c r="E23" s="520" t="str">
        <f>IF(B23="","",IF(ISNA(VLOOKUP($B23,'B-1 Site Hedge Baseline'!$B$1:$L$257,5,FALSE)),"",(VLOOKUP($B23,'B-1 Site Hedge Baseline'!$B$1:$L$257,5,FALSE))))</f>
        <v/>
      </c>
      <c r="F23" s="520" t="str">
        <f>IF(B23="","",IF(ISNA(VLOOKUP($B23,'B-1 Site Hedge Baseline'!$B$1:$L$257,6,FALSE)),"",(VLOOKUP($B23,'B-1 Site Hedge Baseline'!$B$1:$L$257,6,FALSE))))</f>
        <v/>
      </c>
      <c r="G23" s="520" t="str">
        <f>IF(B23="","",IF(ISNA(VLOOKUP($B23,'B-1 Site Hedge Baseline'!$B$1:$L$257,7,FALSE)),"",(VLOOKUP($B23,'B-1 Site Hedge Baseline'!$B$1:$L$257,7,FALSE))))</f>
        <v/>
      </c>
      <c r="H23" s="520" t="str">
        <f>IF(B23="","",IF(ISNA(VLOOKUP($B23,'B-1 Site Hedge Baseline'!$B$1:$L$257,8,FALSE)),"",(VLOOKUP($B23,'B-1 Site Hedge Baseline'!$B$1:$L$257,8,FALSE))))</f>
        <v/>
      </c>
      <c r="I23" s="520" t="str">
        <f>IF(B23="","",IF(ISNA(VLOOKUP($B23,'B-1 Site Hedge Baseline'!$B$1:$L$257,10,FALSE)),"",(VLOOKUP($B23,'B-1 Site Hedge Baseline'!$B$1:$L$257,10,FALSE))))</f>
        <v/>
      </c>
      <c r="J23" s="520" t="str">
        <f>IF(B23="","",IF(ISNA(VLOOKUP($B23,'B-1 Site Hedge Baseline'!$B$1:$L$257,11,FALSE)),"",(VLOOKUP($B23,'B-1 Site Hedge Baseline'!$B$1:$L$257,11,FALSE))))</f>
        <v/>
      </c>
      <c r="K23" s="520" t="str">
        <f>IF(B23="","",IF(ISNA(VLOOKUP($B23,'B-1 Site Hedge Baseline'!$B$1:$U$257,13,FALSE)),"",(VLOOKUP($B23,'B-1 Site Hedge Baseline'!$B$1:$U$257,13,FALSE))))</f>
        <v/>
      </c>
      <c r="L23" s="524" t="str">
        <f>IF(B23="","",IF(ISNA(VLOOKUP($B23,'B-1 Site Hedge Baseline'!$B$1:$U$257,12,FALSE)),"",(VLOOKUP($B23,'B-1 Site Hedge Baseline'!$B$1:$U$257,12,FALSE))))</f>
        <v/>
      </c>
      <c r="M23" s="416" t="str">
        <f t="shared" si="0"/>
        <v/>
      </c>
      <c r="N23" s="498" t="str">
        <f>IFERROR(IF(B23="","",INDEX('G-6 Hedgerow Data'!$AN$3:$AZ$15,MATCH(C23,'G-6 Hedgerow Data'!$AM$3:$AM$15,0),MATCH(M23,'G-6 Hedgerow Data'!$AN$2:$AZ$2,0))),"")</f>
        <v/>
      </c>
      <c r="O23" s="499" t="str">
        <f t="shared" si="2"/>
        <v/>
      </c>
      <c r="P23" s="559" t="str">
        <f>IF(B23="","",VLOOKUP(B23,'B-1 Site Hedge Baseline'!$B$10:T268,16,FALSE))</f>
        <v/>
      </c>
      <c r="Q23" s="498" t="str">
        <f>IF(M23="","",VLOOKUP(M23,'G-6 Hedgerow Data'!$B$2:$AG$15,2,FALSE))</f>
        <v/>
      </c>
      <c r="R23" s="499" t="str">
        <f>IF(M23="","",VLOOKUP(M23,'G-6 Hedgerow Data'!$B$2:$AG$15,3,FALSE))</f>
        <v/>
      </c>
      <c r="S23" s="157"/>
      <c r="T23" s="540" t="str">
        <f>IFERROR(VLOOKUP(S23,'G-1 All Habitats'!$Z$2:$AA$9,2,FALSE),"")</f>
        <v/>
      </c>
      <c r="U23" s="154"/>
      <c r="V23" s="520" t="str">
        <f>IF(U23="","",IF(VLOOKUP(U23,'G-3 Multipliers'!$L$3:$N$6,2,FALSE)=0,"Spatial Data Missing ⚠",VLOOKUP(U23,'G-3 Multipliers'!$L$3:$N$6,2,FALSE)))</f>
        <v/>
      </c>
      <c r="W23" s="524"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07" t="str">
        <f t="shared" si="5"/>
        <v/>
      </c>
      <c r="AF23" s="507" t="str">
        <f t="shared" si="6"/>
        <v/>
      </c>
      <c r="AG23" s="524" t="str">
        <f>IFERROR(IF(O23="","",VLOOKUP(AD23,'G-3 Multipliers'!$P$3:$Q$6,2,FALSE)),"")</f>
        <v/>
      </c>
      <c r="AH23" s="513" t="str">
        <f t="shared" si="7"/>
        <v/>
      </c>
      <c r="AI23" s="231"/>
      <c r="AJ23" s="150"/>
      <c r="AT23" s="31" t="str">
        <f>IFERROR(INDEX('G-6 Hedgerow Data'!$BJ$3:$BJ$15,MATCH(M23,'G-6 Hedgerow Data'!$B$3:$B$15,0)),"")</f>
        <v/>
      </c>
    </row>
    <row r="24" spans="2:46" ht="13.8" x14ac:dyDescent="0.25">
      <c r="B24" s="531" t="str">
        <f>'B-1 Site Hedge Baseline'!AK22</f>
        <v/>
      </c>
      <c r="C24" s="520" t="str">
        <f>IF(B24="","",IF(ISNA(VLOOKUP($B24,'B-1 Site Hedge Baseline'!$B$1:$L$257,3,FALSE)),"",(VLOOKUP($B24,'B-1 Site Hedge Baseline'!$B$1:$L$257,3,FALSE))))</f>
        <v/>
      </c>
      <c r="D24" s="520" t="str">
        <f>IF(B24="","",IF(ISNA(VLOOKUP($B24,'B-1 Site Hedge Baseline'!$B$1:$L$257,4,FALSE)),"",(VLOOKUP($B24,'B-1 Site Hedge Baseline'!$B$1:$L$257,4,FALSE))))</f>
        <v/>
      </c>
      <c r="E24" s="520" t="str">
        <f>IF(B24="","",IF(ISNA(VLOOKUP($B24,'B-1 Site Hedge Baseline'!$B$1:$L$257,5,FALSE)),"",(VLOOKUP($B24,'B-1 Site Hedge Baseline'!$B$1:$L$257,5,FALSE))))</f>
        <v/>
      </c>
      <c r="F24" s="520" t="str">
        <f>IF(B24="","",IF(ISNA(VLOOKUP($B24,'B-1 Site Hedge Baseline'!$B$1:$L$257,6,FALSE)),"",(VLOOKUP($B24,'B-1 Site Hedge Baseline'!$B$1:$L$257,6,FALSE))))</f>
        <v/>
      </c>
      <c r="G24" s="520" t="str">
        <f>IF(B24="","",IF(ISNA(VLOOKUP($B24,'B-1 Site Hedge Baseline'!$B$1:$L$257,7,FALSE)),"",(VLOOKUP($B24,'B-1 Site Hedge Baseline'!$B$1:$L$257,7,FALSE))))</f>
        <v/>
      </c>
      <c r="H24" s="520" t="str">
        <f>IF(B24="","",IF(ISNA(VLOOKUP($B24,'B-1 Site Hedge Baseline'!$B$1:$L$257,8,FALSE)),"",(VLOOKUP($B24,'B-1 Site Hedge Baseline'!$B$1:$L$257,8,FALSE))))</f>
        <v/>
      </c>
      <c r="I24" s="520" t="str">
        <f>IF(B24="","",IF(ISNA(VLOOKUP($B24,'B-1 Site Hedge Baseline'!$B$1:$L$257,10,FALSE)),"",(VLOOKUP($B24,'B-1 Site Hedge Baseline'!$B$1:$L$257,10,FALSE))))</f>
        <v/>
      </c>
      <c r="J24" s="520" t="str">
        <f>IF(B24="","",IF(ISNA(VLOOKUP($B24,'B-1 Site Hedge Baseline'!$B$1:$L$257,11,FALSE)),"",(VLOOKUP($B24,'B-1 Site Hedge Baseline'!$B$1:$L$257,11,FALSE))))</f>
        <v/>
      </c>
      <c r="K24" s="520" t="str">
        <f>IF(B24="","",IF(ISNA(VLOOKUP($B24,'B-1 Site Hedge Baseline'!$B$1:$U$257,13,FALSE)),"",(VLOOKUP($B24,'B-1 Site Hedge Baseline'!$B$1:$U$257,13,FALSE))))</f>
        <v/>
      </c>
      <c r="L24" s="524" t="str">
        <f>IF(B24="","",IF(ISNA(VLOOKUP($B24,'B-1 Site Hedge Baseline'!$B$1:$U$257,12,FALSE)),"",(VLOOKUP($B24,'B-1 Site Hedge Baseline'!$B$1:$U$257,12,FALSE))))</f>
        <v/>
      </c>
      <c r="M24" s="416" t="str">
        <f t="shared" si="0"/>
        <v/>
      </c>
      <c r="N24" s="498" t="str">
        <f>IFERROR(IF(B24="","",INDEX('G-6 Hedgerow Data'!$AN$3:$AZ$15,MATCH(C24,'G-6 Hedgerow Data'!$AM$3:$AM$15,0),MATCH(M24,'G-6 Hedgerow Data'!$AN$2:$AZ$2,0))),"")</f>
        <v/>
      </c>
      <c r="O24" s="499" t="str">
        <f t="shared" si="2"/>
        <v/>
      </c>
      <c r="P24" s="559" t="str">
        <f>IF(B24="","",VLOOKUP(B24,'B-1 Site Hedge Baseline'!$B$10:T269,16,FALSE))</f>
        <v/>
      </c>
      <c r="Q24" s="498" t="str">
        <f>IF(M24="","",VLOOKUP(M24,'G-6 Hedgerow Data'!$B$2:$AG$15,2,FALSE))</f>
        <v/>
      </c>
      <c r="R24" s="499" t="str">
        <f>IF(M24="","",VLOOKUP(M24,'G-6 Hedgerow Data'!$B$2:$AG$15,3,FALSE))</f>
        <v/>
      </c>
      <c r="S24" s="157"/>
      <c r="T24" s="540" t="str">
        <f>IFERROR(VLOOKUP(S24,'G-1 All Habitats'!$Z$2:$AA$9,2,FALSE),"")</f>
        <v/>
      </c>
      <c r="U24" s="154"/>
      <c r="V24" s="520" t="str">
        <f>IF(U24="","",IF(VLOOKUP(U24,'G-3 Multipliers'!$L$3:$N$6,2,FALSE)=0,"Spatial Data Missing ⚠",VLOOKUP(U24,'G-3 Multipliers'!$L$3:$N$6,2,FALSE)))</f>
        <v/>
      </c>
      <c r="W24" s="524"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07" t="str">
        <f t="shared" si="5"/>
        <v/>
      </c>
      <c r="AF24" s="507" t="str">
        <f t="shared" si="6"/>
        <v/>
      </c>
      <c r="AG24" s="524" t="str">
        <f>IFERROR(IF(O24="","",VLOOKUP(AD24,'G-3 Multipliers'!$P$3:$Q$6,2,FALSE)),"")</f>
        <v/>
      </c>
      <c r="AH24" s="513" t="str">
        <f t="shared" si="7"/>
        <v/>
      </c>
      <c r="AI24" s="231"/>
      <c r="AJ24" s="150"/>
      <c r="AT24" s="31" t="str">
        <f>IFERROR(INDEX('G-6 Hedgerow Data'!$BJ$3:$BJ$15,MATCH(M24,'G-6 Hedgerow Data'!$B$3:$B$15,0)),"")</f>
        <v/>
      </c>
    </row>
    <row r="25" spans="2:46" ht="13.8" x14ac:dyDescent="0.25">
      <c r="B25" s="531" t="str">
        <f>'B-1 Site Hedge Baseline'!AK23</f>
        <v/>
      </c>
      <c r="C25" s="520" t="str">
        <f>IF(B25="","",IF(ISNA(VLOOKUP($B25,'B-1 Site Hedge Baseline'!$B$1:$L$257,3,FALSE)),"",(VLOOKUP($B25,'B-1 Site Hedge Baseline'!$B$1:$L$257,3,FALSE))))</f>
        <v/>
      </c>
      <c r="D25" s="520" t="str">
        <f>IF(B25="","",IF(ISNA(VLOOKUP($B25,'B-1 Site Hedge Baseline'!$B$1:$L$257,4,FALSE)),"",(VLOOKUP($B25,'B-1 Site Hedge Baseline'!$B$1:$L$257,4,FALSE))))</f>
        <v/>
      </c>
      <c r="E25" s="520" t="str">
        <f>IF(B25="","",IF(ISNA(VLOOKUP($B25,'B-1 Site Hedge Baseline'!$B$1:$L$257,5,FALSE)),"",(VLOOKUP($B25,'B-1 Site Hedge Baseline'!$B$1:$L$257,5,FALSE))))</f>
        <v/>
      </c>
      <c r="F25" s="520" t="str">
        <f>IF(B25="","",IF(ISNA(VLOOKUP($B25,'B-1 Site Hedge Baseline'!$B$1:$L$257,6,FALSE)),"",(VLOOKUP($B25,'B-1 Site Hedge Baseline'!$B$1:$L$257,6,FALSE))))</f>
        <v/>
      </c>
      <c r="G25" s="520" t="str">
        <f>IF(B25="","",IF(ISNA(VLOOKUP($B25,'B-1 Site Hedge Baseline'!$B$1:$L$257,7,FALSE)),"",(VLOOKUP($B25,'B-1 Site Hedge Baseline'!$B$1:$L$257,7,FALSE))))</f>
        <v/>
      </c>
      <c r="H25" s="520" t="str">
        <f>IF(B25="","",IF(ISNA(VLOOKUP($B25,'B-1 Site Hedge Baseline'!$B$1:$L$257,8,FALSE)),"",(VLOOKUP($B25,'B-1 Site Hedge Baseline'!$B$1:$L$257,8,FALSE))))</f>
        <v/>
      </c>
      <c r="I25" s="520" t="str">
        <f>IF(B25="","",IF(ISNA(VLOOKUP($B25,'B-1 Site Hedge Baseline'!$B$1:$L$257,10,FALSE)),"",(VLOOKUP($B25,'B-1 Site Hedge Baseline'!$B$1:$L$257,10,FALSE))))</f>
        <v/>
      </c>
      <c r="J25" s="520" t="str">
        <f>IF(B25="","",IF(ISNA(VLOOKUP($B25,'B-1 Site Hedge Baseline'!$B$1:$L$257,11,FALSE)),"",(VLOOKUP($B25,'B-1 Site Hedge Baseline'!$B$1:$L$257,11,FALSE))))</f>
        <v/>
      </c>
      <c r="K25" s="520" t="str">
        <f>IF(B25="","",IF(ISNA(VLOOKUP($B25,'B-1 Site Hedge Baseline'!$B$1:$U$257,13,FALSE)),"",(VLOOKUP($B25,'B-1 Site Hedge Baseline'!$B$1:$U$257,13,FALSE))))</f>
        <v/>
      </c>
      <c r="L25" s="524" t="str">
        <f>IF(B25="","",IF(ISNA(VLOOKUP($B25,'B-1 Site Hedge Baseline'!$B$1:$U$257,12,FALSE)),"",(VLOOKUP($B25,'B-1 Site Hedge Baseline'!$B$1:$U$257,12,FALSE))))</f>
        <v/>
      </c>
      <c r="M25" s="416" t="str">
        <f t="shared" si="0"/>
        <v/>
      </c>
      <c r="N25" s="498" t="str">
        <f>IFERROR(IF(B25="","",INDEX('G-6 Hedgerow Data'!$AN$3:$AZ$15,MATCH(C25,'G-6 Hedgerow Data'!$AM$3:$AM$15,0),MATCH(M25,'G-6 Hedgerow Data'!$AN$2:$AZ$2,0))),"")</f>
        <v/>
      </c>
      <c r="O25" s="499" t="str">
        <f t="shared" si="2"/>
        <v/>
      </c>
      <c r="P25" s="559" t="str">
        <f>IF(B25="","",VLOOKUP(B25,'B-1 Site Hedge Baseline'!$B$10:T270,16,FALSE))</f>
        <v/>
      </c>
      <c r="Q25" s="498" t="str">
        <f>IF(M25="","",VLOOKUP(M25,'G-6 Hedgerow Data'!$B$2:$AG$15,2,FALSE))</f>
        <v/>
      </c>
      <c r="R25" s="499" t="str">
        <f>IF(M25="","",VLOOKUP(M25,'G-6 Hedgerow Data'!$B$2:$AG$15,3,FALSE))</f>
        <v/>
      </c>
      <c r="S25" s="157"/>
      <c r="T25" s="540" t="str">
        <f>IFERROR(VLOOKUP(S25,'G-1 All Habitats'!$Z$2:$AA$9,2,FALSE),"")</f>
        <v/>
      </c>
      <c r="U25" s="154"/>
      <c r="V25" s="520" t="str">
        <f>IF(U25="","",IF(VLOOKUP(U25,'G-3 Multipliers'!$L$3:$N$6,2,FALSE)=0,"Spatial Data Missing ⚠",VLOOKUP(U25,'G-3 Multipliers'!$L$3:$N$6,2,FALSE)))</f>
        <v/>
      </c>
      <c r="W25" s="524"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07" t="str">
        <f t="shared" si="5"/>
        <v/>
      </c>
      <c r="AF25" s="507" t="str">
        <f t="shared" si="6"/>
        <v/>
      </c>
      <c r="AG25" s="524" t="str">
        <f>IFERROR(IF(O25="","",VLOOKUP(AD25,'G-3 Multipliers'!$P$3:$Q$6,2,FALSE)),"")</f>
        <v/>
      </c>
      <c r="AH25" s="513" t="str">
        <f t="shared" si="7"/>
        <v/>
      </c>
      <c r="AI25" s="231"/>
      <c r="AJ25" s="150"/>
      <c r="AT25" s="31" t="str">
        <f>IFERROR(INDEX('G-6 Hedgerow Data'!$BJ$3:$BJ$15,MATCH(M25,'G-6 Hedgerow Data'!$B$3:$B$15,0)),"")</f>
        <v/>
      </c>
    </row>
    <row r="26" spans="2:46" ht="13.8" x14ac:dyDescent="0.25">
      <c r="B26" s="531" t="str">
        <f>'B-1 Site Hedge Baseline'!AK24</f>
        <v/>
      </c>
      <c r="C26" s="520" t="str">
        <f>IF(B26="","",IF(ISNA(VLOOKUP($B26,'B-1 Site Hedge Baseline'!$B$1:$L$257,3,FALSE)),"",(VLOOKUP($B26,'B-1 Site Hedge Baseline'!$B$1:$L$257,3,FALSE))))</f>
        <v/>
      </c>
      <c r="D26" s="520" t="str">
        <f>IF(B26="","",IF(ISNA(VLOOKUP($B26,'B-1 Site Hedge Baseline'!$B$1:$L$257,4,FALSE)),"",(VLOOKUP($B26,'B-1 Site Hedge Baseline'!$B$1:$L$257,4,FALSE))))</f>
        <v/>
      </c>
      <c r="E26" s="520" t="str">
        <f>IF(B26="","",IF(ISNA(VLOOKUP($B26,'B-1 Site Hedge Baseline'!$B$1:$L$257,5,FALSE)),"",(VLOOKUP($B26,'B-1 Site Hedge Baseline'!$B$1:$L$257,5,FALSE))))</f>
        <v/>
      </c>
      <c r="F26" s="520" t="str">
        <f>IF(B26="","",IF(ISNA(VLOOKUP($B26,'B-1 Site Hedge Baseline'!$B$1:$L$257,6,FALSE)),"",(VLOOKUP($B26,'B-1 Site Hedge Baseline'!$B$1:$L$257,6,FALSE))))</f>
        <v/>
      </c>
      <c r="G26" s="520" t="str">
        <f>IF(B26="","",IF(ISNA(VLOOKUP($B26,'B-1 Site Hedge Baseline'!$B$1:$L$257,7,FALSE)),"",(VLOOKUP($B26,'B-1 Site Hedge Baseline'!$B$1:$L$257,7,FALSE))))</f>
        <v/>
      </c>
      <c r="H26" s="520" t="str">
        <f>IF(B26="","",IF(ISNA(VLOOKUP($B26,'B-1 Site Hedge Baseline'!$B$1:$L$257,8,FALSE)),"",(VLOOKUP($B26,'B-1 Site Hedge Baseline'!$B$1:$L$257,8,FALSE))))</f>
        <v/>
      </c>
      <c r="I26" s="520" t="str">
        <f>IF(B26="","",IF(ISNA(VLOOKUP($B26,'B-1 Site Hedge Baseline'!$B$1:$L$257,10,FALSE)),"",(VLOOKUP($B26,'B-1 Site Hedge Baseline'!$B$1:$L$257,10,FALSE))))</f>
        <v/>
      </c>
      <c r="J26" s="520" t="str">
        <f>IF(B26="","",IF(ISNA(VLOOKUP($B26,'B-1 Site Hedge Baseline'!$B$1:$L$257,11,FALSE)),"",(VLOOKUP($B26,'B-1 Site Hedge Baseline'!$B$1:$L$257,11,FALSE))))</f>
        <v/>
      </c>
      <c r="K26" s="520" t="str">
        <f>IF(B26="","",IF(ISNA(VLOOKUP($B26,'B-1 Site Hedge Baseline'!$B$1:$U$257,13,FALSE)),"",(VLOOKUP($B26,'B-1 Site Hedge Baseline'!$B$1:$U$257,13,FALSE))))</f>
        <v/>
      </c>
      <c r="L26" s="524" t="str">
        <f>IF(B26="","",IF(ISNA(VLOOKUP($B26,'B-1 Site Hedge Baseline'!$B$1:$U$257,12,FALSE)),"",(VLOOKUP($B26,'B-1 Site Hedge Baseline'!$B$1:$U$257,12,FALSE))))</f>
        <v/>
      </c>
      <c r="M26" s="416" t="str">
        <f t="shared" si="0"/>
        <v/>
      </c>
      <c r="N26" s="498" t="str">
        <f>IFERROR(IF(B26="","",INDEX('G-6 Hedgerow Data'!$AN$3:$AZ$15,MATCH(C26,'G-6 Hedgerow Data'!$AM$3:$AM$15,0),MATCH(M26,'G-6 Hedgerow Data'!$AN$2:$AZ$2,0))),"")</f>
        <v/>
      </c>
      <c r="O26" s="499" t="str">
        <f t="shared" si="2"/>
        <v/>
      </c>
      <c r="P26" s="559" t="str">
        <f>IF(B26="","",VLOOKUP(B26,'B-1 Site Hedge Baseline'!$B$10:T271,16,FALSE))</f>
        <v/>
      </c>
      <c r="Q26" s="498" t="str">
        <f>IF(M26="","",VLOOKUP(M26,'G-6 Hedgerow Data'!$B$2:$AG$15,2,FALSE))</f>
        <v/>
      </c>
      <c r="R26" s="499" t="str">
        <f>IF(M26="","",VLOOKUP(M26,'G-6 Hedgerow Data'!$B$2:$AG$15,3,FALSE))</f>
        <v/>
      </c>
      <c r="S26" s="157"/>
      <c r="T26" s="540" t="str">
        <f>IFERROR(VLOOKUP(S26,'G-1 All Habitats'!$Z$2:$AA$9,2,FALSE),"")</f>
        <v/>
      </c>
      <c r="U26" s="154"/>
      <c r="V26" s="520" t="str">
        <f>IF(U26="","",IF(VLOOKUP(U26,'G-3 Multipliers'!$L$3:$N$6,2,FALSE)=0,"Spatial Data Missing ⚠",VLOOKUP(U26,'G-3 Multipliers'!$L$3:$N$6,2,FALSE)))</f>
        <v/>
      </c>
      <c r="W26" s="524"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07" t="str">
        <f t="shared" si="5"/>
        <v/>
      </c>
      <c r="AF26" s="507" t="str">
        <f t="shared" si="6"/>
        <v/>
      </c>
      <c r="AG26" s="524" t="str">
        <f>IFERROR(IF(O26="","",VLOOKUP(AD26,'G-3 Multipliers'!$P$3:$Q$6,2,FALSE)),"")</f>
        <v/>
      </c>
      <c r="AH26" s="513" t="str">
        <f t="shared" si="7"/>
        <v/>
      </c>
      <c r="AI26" s="231"/>
      <c r="AJ26" s="150"/>
      <c r="AT26" s="31" t="str">
        <f>IFERROR(INDEX('G-6 Hedgerow Data'!$BJ$3:$BJ$15,MATCH(M26,'G-6 Hedgerow Data'!$B$3:$B$15,0)),"")</f>
        <v/>
      </c>
    </row>
    <row r="27" spans="2:46" ht="13.8" x14ac:dyDescent="0.25">
      <c r="B27" s="531" t="str">
        <f>'B-1 Site Hedge Baseline'!AK25</f>
        <v/>
      </c>
      <c r="C27" s="520" t="str">
        <f>IF(B27="","",IF(ISNA(VLOOKUP($B27,'B-1 Site Hedge Baseline'!$B$1:$L$257,3,FALSE)),"",(VLOOKUP($B27,'B-1 Site Hedge Baseline'!$B$1:$L$257,3,FALSE))))</f>
        <v/>
      </c>
      <c r="D27" s="520" t="str">
        <f>IF(B27="","",IF(ISNA(VLOOKUP($B27,'B-1 Site Hedge Baseline'!$B$1:$L$257,4,FALSE)),"",(VLOOKUP($B27,'B-1 Site Hedge Baseline'!$B$1:$L$257,4,FALSE))))</f>
        <v/>
      </c>
      <c r="E27" s="520" t="str">
        <f>IF(B27="","",IF(ISNA(VLOOKUP($B27,'B-1 Site Hedge Baseline'!$B$1:$L$257,5,FALSE)),"",(VLOOKUP($B27,'B-1 Site Hedge Baseline'!$B$1:$L$257,5,FALSE))))</f>
        <v/>
      </c>
      <c r="F27" s="520" t="str">
        <f>IF(B27="","",IF(ISNA(VLOOKUP($B27,'B-1 Site Hedge Baseline'!$B$1:$L$257,6,FALSE)),"",(VLOOKUP($B27,'B-1 Site Hedge Baseline'!$B$1:$L$257,6,FALSE))))</f>
        <v/>
      </c>
      <c r="G27" s="520" t="str">
        <f>IF(B27="","",IF(ISNA(VLOOKUP($B27,'B-1 Site Hedge Baseline'!$B$1:$L$257,7,FALSE)),"",(VLOOKUP($B27,'B-1 Site Hedge Baseline'!$B$1:$L$257,7,FALSE))))</f>
        <v/>
      </c>
      <c r="H27" s="520" t="str">
        <f>IF(B27="","",IF(ISNA(VLOOKUP($B27,'B-1 Site Hedge Baseline'!$B$1:$L$257,8,FALSE)),"",(VLOOKUP($B27,'B-1 Site Hedge Baseline'!$B$1:$L$257,8,FALSE))))</f>
        <v/>
      </c>
      <c r="I27" s="520" t="str">
        <f>IF(B27="","",IF(ISNA(VLOOKUP($B27,'B-1 Site Hedge Baseline'!$B$1:$L$257,10,FALSE)),"",(VLOOKUP($B27,'B-1 Site Hedge Baseline'!$B$1:$L$257,10,FALSE))))</f>
        <v/>
      </c>
      <c r="J27" s="520" t="str">
        <f>IF(B27="","",IF(ISNA(VLOOKUP($B27,'B-1 Site Hedge Baseline'!$B$1:$L$257,11,FALSE)),"",(VLOOKUP($B27,'B-1 Site Hedge Baseline'!$B$1:$L$257,11,FALSE))))</f>
        <v/>
      </c>
      <c r="K27" s="520" t="str">
        <f>IF(B27="","",IF(ISNA(VLOOKUP($B27,'B-1 Site Hedge Baseline'!$B$1:$U$257,13,FALSE)),"",(VLOOKUP($B27,'B-1 Site Hedge Baseline'!$B$1:$U$257,13,FALSE))))</f>
        <v/>
      </c>
      <c r="L27" s="524" t="str">
        <f>IF(B27="","",IF(ISNA(VLOOKUP($B27,'B-1 Site Hedge Baseline'!$B$1:$U$257,12,FALSE)),"",(VLOOKUP($B27,'B-1 Site Hedge Baseline'!$B$1:$U$257,12,FALSE))))</f>
        <v/>
      </c>
      <c r="M27" s="416" t="str">
        <f t="shared" si="0"/>
        <v/>
      </c>
      <c r="N27" s="498" t="str">
        <f>IFERROR(IF(B27="","",INDEX('G-6 Hedgerow Data'!$AN$3:$AZ$15,MATCH(C27,'G-6 Hedgerow Data'!$AM$3:$AM$15,0),MATCH(M27,'G-6 Hedgerow Data'!$AN$2:$AZ$2,0))),"")</f>
        <v/>
      </c>
      <c r="O27" s="499" t="str">
        <f t="shared" si="2"/>
        <v/>
      </c>
      <c r="P27" s="559" t="str">
        <f>IF(B27="","",VLOOKUP(B27,'B-1 Site Hedge Baseline'!$B$10:T272,16,FALSE))</f>
        <v/>
      </c>
      <c r="Q27" s="498" t="str">
        <f>IF(M27="","",VLOOKUP(M27,'G-6 Hedgerow Data'!$B$2:$AG$15,2,FALSE))</f>
        <v/>
      </c>
      <c r="R27" s="499" t="str">
        <f>IF(M27="","",VLOOKUP(M27,'G-6 Hedgerow Data'!$B$2:$AG$15,3,FALSE))</f>
        <v/>
      </c>
      <c r="S27" s="157"/>
      <c r="T27" s="540" t="str">
        <f>IFERROR(VLOOKUP(S27,'G-1 All Habitats'!$Z$2:$AA$9,2,FALSE),"")</f>
        <v/>
      </c>
      <c r="U27" s="154"/>
      <c r="V27" s="520" t="str">
        <f>IF(U27="","",IF(VLOOKUP(U27,'G-3 Multipliers'!$L$3:$N$6,2,FALSE)=0,"Spatial Data Missing ⚠",VLOOKUP(U27,'G-3 Multipliers'!$L$3:$N$6,2,FALSE)))</f>
        <v/>
      </c>
      <c r="W27" s="524"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07" t="str">
        <f t="shared" si="5"/>
        <v/>
      </c>
      <c r="AF27" s="507" t="str">
        <f t="shared" si="6"/>
        <v/>
      </c>
      <c r="AG27" s="524" t="str">
        <f>IFERROR(IF(O27="","",VLOOKUP(AD27,'G-3 Multipliers'!$P$3:$Q$6,2,FALSE)),"")</f>
        <v/>
      </c>
      <c r="AH27" s="513" t="str">
        <f t="shared" si="7"/>
        <v/>
      </c>
      <c r="AI27" s="231"/>
      <c r="AJ27" s="150"/>
      <c r="AT27" s="31" t="str">
        <f>IFERROR(INDEX('G-6 Hedgerow Data'!$BJ$3:$BJ$15,MATCH(M27,'G-6 Hedgerow Data'!$B$3:$B$15,0)),"")</f>
        <v/>
      </c>
    </row>
    <row r="28" spans="2:46" ht="13.8" x14ac:dyDescent="0.25">
      <c r="B28" s="531" t="str">
        <f>'B-1 Site Hedge Baseline'!AK26</f>
        <v/>
      </c>
      <c r="C28" s="520" t="str">
        <f>IF(B28="","",IF(ISNA(VLOOKUP($B28,'B-1 Site Hedge Baseline'!$B$1:$L$257,3,FALSE)),"",(VLOOKUP($B28,'B-1 Site Hedge Baseline'!$B$1:$L$257,3,FALSE))))</f>
        <v/>
      </c>
      <c r="D28" s="520" t="str">
        <f>IF(B28="","",IF(ISNA(VLOOKUP($B28,'B-1 Site Hedge Baseline'!$B$1:$L$257,4,FALSE)),"",(VLOOKUP($B28,'B-1 Site Hedge Baseline'!$B$1:$L$257,4,FALSE))))</f>
        <v/>
      </c>
      <c r="E28" s="520" t="str">
        <f>IF(B28="","",IF(ISNA(VLOOKUP($B28,'B-1 Site Hedge Baseline'!$B$1:$L$257,5,FALSE)),"",(VLOOKUP($B28,'B-1 Site Hedge Baseline'!$B$1:$L$257,5,FALSE))))</f>
        <v/>
      </c>
      <c r="F28" s="520" t="str">
        <f>IF(B28="","",IF(ISNA(VLOOKUP($B28,'B-1 Site Hedge Baseline'!$B$1:$L$257,6,FALSE)),"",(VLOOKUP($B28,'B-1 Site Hedge Baseline'!$B$1:$L$257,6,FALSE))))</f>
        <v/>
      </c>
      <c r="G28" s="520" t="str">
        <f>IF(B28="","",IF(ISNA(VLOOKUP($B28,'B-1 Site Hedge Baseline'!$B$1:$L$257,7,FALSE)),"",(VLOOKUP($B28,'B-1 Site Hedge Baseline'!$B$1:$L$257,7,FALSE))))</f>
        <v/>
      </c>
      <c r="H28" s="520" t="str">
        <f>IF(B28="","",IF(ISNA(VLOOKUP($B28,'B-1 Site Hedge Baseline'!$B$1:$L$257,8,FALSE)),"",(VLOOKUP($B28,'B-1 Site Hedge Baseline'!$B$1:$L$257,8,FALSE))))</f>
        <v/>
      </c>
      <c r="I28" s="520" t="str">
        <f>IF(B28="","",IF(ISNA(VLOOKUP($B28,'B-1 Site Hedge Baseline'!$B$1:$L$257,10,FALSE)),"",(VLOOKUP($B28,'B-1 Site Hedge Baseline'!$B$1:$L$257,10,FALSE))))</f>
        <v/>
      </c>
      <c r="J28" s="520" t="str">
        <f>IF(B28="","",IF(ISNA(VLOOKUP($B28,'B-1 Site Hedge Baseline'!$B$1:$L$257,11,FALSE)),"",(VLOOKUP($B28,'B-1 Site Hedge Baseline'!$B$1:$L$257,11,FALSE))))</f>
        <v/>
      </c>
      <c r="K28" s="520" t="str">
        <f>IF(B28="","",IF(ISNA(VLOOKUP($B28,'B-1 Site Hedge Baseline'!$B$1:$U$257,13,FALSE)),"",(VLOOKUP($B28,'B-1 Site Hedge Baseline'!$B$1:$U$257,13,FALSE))))</f>
        <v/>
      </c>
      <c r="L28" s="524" t="str">
        <f>IF(B28="","",IF(ISNA(VLOOKUP($B28,'B-1 Site Hedge Baseline'!$B$1:$U$257,12,FALSE)),"",(VLOOKUP($B28,'B-1 Site Hedge Baseline'!$B$1:$U$257,12,FALSE))))</f>
        <v/>
      </c>
      <c r="M28" s="416" t="str">
        <f t="shared" si="0"/>
        <v/>
      </c>
      <c r="N28" s="498" t="str">
        <f>IFERROR(IF(B28="","",INDEX('G-6 Hedgerow Data'!$AN$3:$AZ$15,MATCH(C28,'G-6 Hedgerow Data'!$AM$3:$AM$15,0),MATCH(M28,'G-6 Hedgerow Data'!$AN$2:$AZ$2,0))),"")</f>
        <v/>
      </c>
      <c r="O28" s="499" t="str">
        <f t="shared" si="2"/>
        <v/>
      </c>
      <c r="P28" s="559" t="str">
        <f>IF(B28="","",VLOOKUP(B28,'B-1 Site Hedge Baseline'!$B$10:T273,16,FALSE))</f>
        <v/>
      </c>
      <c r="Q28" s="498" t="str">
        <f>IF(M28="","",VLOOKUP(M28,'G-6 Hedgerow Data'!$B$2:$AG$15,2,FALSE))</f>
        <v/>
      </c>
      <c r="R28" s="499" t="str">
        <f>IF(M28="","",VLOOKUP(M28,'G-6 Hedgerow Data'!$B$2:$AG$15,3,FALSE))</f>
        <v/>
      </c>
      <c r="S28" s="157"/>
      <c r="T28" s="540" t="str">
        <f>IFERROR(VLOOKUP(S28,'G-1 All Habitats'!$Z$2:$AA$9,2,FALSE),"")</f>
        <v/>
      </c>
      <c r="U28" s="154"/>
      <c r="V28" s="520" t="str">
        <f>IF(U28="","",IF(VLOOKUP(U28,'G-3 Multipliers'!$L$3:$N$6,2,FALSE)=0,"Spatial Data Missing ⚠",VLOOKUP(U28,'G-3 Multipliers'!$L$3:$N$6,2,FALSE)))</f>
        <v/>
      </c>
      <c r="W28" s="524"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07" t="str">
        <f t="shared" si="5"/>
        <v/>
      </c>
      <c r="AF28" s="507" t="str">
        <f t="shared" si="6"/>
        <v/>
      </c>
      <c r="AG28" s="524" t="str">
        <f>IFERROR(IF(O28="","",VLOOKUP(AD28,'G-3 Multipliers'!$P$3:$Q$6,2,FALSE)),"")</f>
        <v/>
      </c>
      <c r="AH28" s="513" t="str">
        <f t="shared" si="7"/>
        <v/>
      </c>
      <c r="AI28" s="231"/>
      <c r="AJ28" s="150"/>
      <c r="AT28" s="31" t="str">
        <f>IFERROR(INDEX('G-6 Hedgerow Data'!$BJ$3:$BJ$15,MATCH(M28,'G-6 Hedgerow Data'!$B$3:$B$15,0)),"")</f>
        <v/>
      </c>
    </row>
    <row r="29" spans="2:46" ht="13.8" x14ac:dyDescent="0.25">
      <c r="B29" s="531" t="str">
        <f>'B-1 Site Hedge Baseline'!AK27</f>
        <v/>
      </c>
      <c r="C29" s="520" t="str">
        <f>IF(B29="","",IF(ISNA(VLOOKUP($B29,'B-1 Site Hedge Baseline'!$B$1:$L$257,3,FALSE)),"",(VLOOKUP($B29,'B-1 Site Hedge Baseline'!$B$1:$L$257,3,FALSE))))</f>
        <v/>
      </c>
      <c r="D29" s="520" t="str">
        <f>IF(B29="","",IF(ISNA(VLOOKUP($B29,'B-1 Site Hedge Baseline'!$B$1:$L$257,4,FALSE)),"",(VLOOKUP($B29,'B-1 Site Hedge Baseline'!$B$1:$L$257,4,FALSE))))</f>
        <v/>
      </c>
      <c r="E29" s="520" t="str">
        <f>IF(B29="","",IF(ISNA(VLOOKUP($B29,'B-1 Site Hedge Baseline'!$B$1:$L$257,5,FALSE)),"",(VLOOKUP($B29,'B-1 Site Hedge Baseline'!$B$1:$L$257,5,FALSE))))</f>
        <v/>
      </c>
      <c r="F29" s="520" t="str">
        <f>IF(B29="","",IF(ISNA(VLOOKUP($B29,'B-1 Site Hedge Baseline'!$B$1:$L$257,6,FALSE)),"",(VLOOKUP($B29,'B-1 Site Hedge Baseline'!$B$1:$L$257,6,FALSE))))</f>
        <v/>
      </c>
      <c r="G29" s="520" t="str">
        <f>IF(B29="","",IF(ISNA(VLOOKUP($B29,'B-1 Site Hedge Baseline'!$B$1:$L$257,7,FALSE)),"",(VLOOKUP($B29,'B-1 Site Hedge Baseline'!$B$1:$L$257,7,FALSE))))</f>
        <v/>
      </c>
      <c r="H29" s="520" t="str">
        <f>IF(B29="","",IF(ISNA(VLOOKUP($B29,'B-1 Site Hedge Baseline'!$B$1:$L$257,8,FALSE)),"",(VLOOKUP($B29,'B-1 Site Hedge Baseline'!$B$1:$L$257,8,FALSE))))</f>
        <v/>
      </c>
      <c r="I29" s="520" t="str">
        <f>IF(B29="","",IF(ISNA(VLOOKUP($B29,'B-1 Site Hedge Baseline'!$B$1:$L$257,10,FALSE)),"",(VLOOKUP($B29,'B-1 Site Hedge Baseline'!$B$1:$L$257,10,FALSE))))</f>
        <v/>
      </c>
      <c r="J29" s="520" t="str">
        <f>IF(B29="","",IF(ISNA(VLOOKUP($B29,'B-1 Site Hedge Baseline'!$B$1:$L$257,11,FALSE)),"",(VLOOKUP($B29,'B-1 Site Hedge Baseline'!$B$1:$L$257,11,FALSE))))</f>
        <v/>
      </c>
      <c r="K29" s="520" t="str">
        <f>IF(B29="","",IF(ISNA(VLOOKUP($B29,'B-1 Site Hedge Baseline'!$B$1:$U$257,13,FALSE)),"",(VLOOKUP($B29,'B-1 Site Hedge Baseline'!$B$1:$U$257,13,FALSE))))</f>
        <v/>
      </c>
      <c r="L29" s="524" t="str">
        <f>IF(B29="","",IF(ISNA(VLOOKUP($B29,'B-1 Site Hedge Baseline'!$B$1:$U$257,12,FALSE)),"",(VLOOKUP($B29,'B-1 Site Hedge Baseline'!$B$1:$U$257,12,FALSE))))</f>
        <v/>
      </c>
      <c r="M29" s="416" t="str">
        <f t="shared" si="0"/>
        <v/>
      </c>
      <c r="N29" s="498" t="str">
        <f>IFERROR(IF(B29="","",INDEX('G-6 Hedgerow Data'!$AN$3:$AZ$15,MATCH(C29,'G-6 Hedgerow Data'!$AM$3:$AM$15,0),MATCH(M29,'G-6 Hedgerow Data'!$AN$2:$AZ$2,0))),"")</f>
        <v/>
      </c>
      <c r="O29" s="499" t="str">
        <f t="shared" si="2"/>
        <v/>
      </c>
      <c r="P29" s="559" t="str">
        <f>IF(B29="","",VLOOKUP(B29,'B-1 Site Hedge Baseline'!$B$10:T274,16,FALSE))</f>
        <v/>
      </c>
      <c r="Q29" s="498" t="str">
        <f>IF(M29="","",VLOOKUP(M29,'G-6 Hedgerow Data'!$B$2:$AG$15,2,FALSE))</f>
        <v/>
      </c>
      <c r="R29" s="499" t="str">
        <f>IF(M29="","",VLOOKUP(M29,'G-6 Hedgerow Data'!$B$2:$AG$15,3,FALSE))</f>
        <v/>
      </c>
      <c r="S29" s="157"/>
      <c r="T29" s="540" t="str">
        <f>IFERROR(VLOOKUP(S29,'G-1 All Habitats'!$Z$2:$AA$9,2,FALSE),"")</f>
        <v/>
      </c>
      <c r="U29" s="154"/>
      <c r="V29" s="520" t="str">
        <f>IF(U29="","",IF(VLOOKUP(U29,'G-3 Multipliers'!$L$3:$N$6,2,FALSE)=0,"Spatial Data Missing ⚠",VLOOKUP(U29,'G-3 Multipliers'!$L$3:$N$6,2,FALSE)))</f>
        <v/>
      </c>
      <c r="W29" s="524"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07" t="str">
        <f t="shared" si="5"/>
        <v/>
      </c>
      <c r="AF29" s="507" t="str">
        <f t="shared" si="6"/>
        <v/>
      </c>
      <c r="AG29" s="524" t="str">
        <f>IFERROR(IF(O29="","",VLOOKUP(AD29,'G-3 Multipliers'!$P$3:$Q$6,2,FALSE)),"")</f>
        <v/>
      </c>
      <c r="AH29" s="513" t="str">
        <f t="shared" si="7"/>
        <v/>
      </c>
      <c r="AI29" s="231"/>
      <c r="AJ29" s="150"/>
      <c r="AT29" s="31" t="str">
        <f>IFERROR(INDEX('G-6 Hedgerow Data'!$BJ$3:$BJ$15,MATCH(M29,'G-6 Hedgerow Data'!$B$3:$B$15,0)),"")</f>
        <v/>
      </c>
    </row>
    <row r="30" spans="2:46" ht="13.8" x14ac:dyDescent="0.25">
      <c r="B30" s="531" t="str">
        <f>'B-1 Site Hedge Baseline'!AK28</f>
        <v/>
      </c>
      <c r="C30" s="520" t="str">
        <f>IF(B30="","",IF(ISNA(VLOOKUP($B30,'B-1 Site Hedge Baseline'!$B$1:$L$257,3,FALSE)),"",(VLOOKUP($B30,'B-1 Site Hedge Baseline'!$B$1:$L$257,3,FALSE))))</f>
        <v/>
      </c>
      <c r="D30" s="520" t="str">
        <f>IF(B30="","",IF(ISNA(VLOOKUP($B30,'B-1 Site Hedge Baseline'!$B$1:$L$257,4,FALSE)),"",(VLOOKUP($B30,'B-1 Site Hedge Baseline'!$B$1:$L$257,4,FALSE))))</f>
        <v/>
      </c>
      <c r="E30" s="520" t="str">
        <f>IF(B30="","",IF(ISNA(VLOOKUP($B30,'B-1 Site Hedge Baseline'!$B$1:$L$257,5,FALSE)),"",(VLOOKUP($B30,'B-1 Site Hedge Baseline'!$B$1:$L$257,5,FALSE))))</f>
        <v/>
      </c>
      <c r="F30" s="520" t="str">
        <f>IF(B30="","",IF(ISNA(VLOOKUP($B30,'B-1 Site Hedge Baseline'!$B$1:$L$257,6,FALSE)),"",(VLOOKUP($B30,'B-1 Site Hedge Baseline'!$B$1:$L$257,6,FALSE))))</f>
        <v/>
      </c>
      <c r="G30" s="520" t="str">
        <f>IF(B30="","",IF(ISNA(VLOOKUP($B30,'B-1 Site Hedge Baseline'!$B$1:$L$257,7,FALSE)),"",(VLOOKUP($B30,'B-1 Site Hedge Baseline'!$B$1:$L$257,7,FALSE))))</f>
        <v/>
      </c>
      <c r="H30" s="520" t="str">
        <f>IF(B30="","",IF(ISNA(VLOOKUP($B30,'B-1 Site Hedge Baseline'!$B$1:$L$257,8,FALSE)),"",(VLOOKUP($B30,'B-1 Site Hedge Baseline'!$B$1:$L$257,8,FALSE))))</f>
        <v/>
      </c>
      <c r="I30" s="520" t="str">
        <f>IF(B30="","",IF(ISNA(VLOOKUP($B30,'B-1 Site Hedge Baseline'!$B$1:$L$257,10,FALSE)),"",(VLOOKUP($B30,'B-1 Site Hedge Baseline'!$B$1:$L$257,10,FALSE))))</f>
        <v/>
      </c>
      <c r="J30" s="520" t="str">
        <f>IF(B30="","",IF(ISNA(VLOOKUP($B30,'B-1 Site Hedge Baseline'!$B$1:$L$257,11,FALSE)),"",(VLOOKUP($B30,'B-1 Site Hedge Baseline'!$B$1:$L$257,11,FALSE))))</f>
        <v/>
      </c>
      <c r="K30" s="520" t="str">
        <f>IF(B30="","",IF(ISNA(VLOOKUP($B30,'B-1 Site Hedge Baseline'!$B$1:$U$257,13,FALSE)),"",(VLOOKUP($B30,'B-1 Site Hedge Baseline'!$B$1:$U$257,13,FALSE))))</f>
        <v/>
      </c>
      <c r="L30" s="524" t="str">
        <f>IF(B30="","",IF(ISNA(VLOOKUP($B30,'B-1 Site Hedge Baseline'!$B$1:$U$257,12,FALSE)),"",(VLOOKUP($B30,'B-1 Site Hedge Baseline'!$B$1:$U$257,12,FALSE))))</f>
        <v/>
      </c>
      <c r="M30" s="416" t="str">
        <f t="shared" si="0"/>
        <v/>
      </c>
      <c r="N30" s="498" t="str">
        <f>IFERROR(IF(B30="","",INDEX('G-6 Hedgerow Data'!$AN$3:$AZ$15,MATCH(C30,'G-6 Hedgerow Data'!$AM$3:$AM$15,0),MATCH(M30,'G-6 Hedgerow Data'!$AN$2:$AZ$2,0))),"")</f>
        <v/>
      </c>
      <c r="O30" s="499" t="str">
        <f t="shared" si="2"/>
        <v/>
      </c>
      <c r="P30" s="559" t="str">
        <f>IF(B30="","",VLOOKUP(B30,'B-1 Site Hedge Baseline'!$B$10:T275,16,FALSE))</f>
        <v/>
      </c>
      <c r="Q30" s="498" t="str">
        <f>IF(M30="","",VLOOKUP(M30,'G-6 Hedgerow Data'!$B$2:$AG$15,2,FALSE))</f>
        <v/>
      </c>
      <c r="R30" s="499" t="str">
        <f>IF(M30="","",VLOOKUP(M30,'G-6 Hedgerow Data'!$B$2:$AG$15,3,FALSE))</f>
        <v/>
      </c>
      <c r="S30" s="157"/>
      <c r="T30" s="540" t="str">
        <f>IFERROR(VLOOKUP(S30,'G-1 All Habitats'!$Z$2:$AA$9,2,FALSE),"")</f>
        <v/>
      </c>
      <c r="U30" s="154"/>
      <c r="V30" s="520" t="str">
        <f>IF(U30="","",IF(VLOOKUP(U30,'G-3 Multipliers'!$L$3:$N$6,2,FALSE)=0,"Spatial Data Missing ⚠",VLOOKUP(U30,'G-3 Multipliers'!$L$3:$N$6,2,FALSE)))</f>
        <v/>
      </c>
      <c r="W30" s="524"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07" t="str">
        <f t="shared" si="5"/>
        <v/>
      </c>
      <c r="AF30" s="507" t="str">
        <f t="shared" si="6"/>
        <v/>
      </c>
      <c r="AG30" s="524" t="str">
        <f>IFERROR(IF(O30="","",VLOOKUP(AD30,'G-3 Multipliers'!$P$3:$Q$6,2,FALSE)),"")</f>
        <v/>
      </c>
      <c r="AH30" s="513" t="str">
        <f t="shared" si="7"/>
        <v/>
      </c>
      <c r="AI30" s="231"/>
      <c r="AJ30" s="150"/>
      <c r="AT30" s="31" t="str">
        <f>IFERROR(INDEX('G-6 Hedgerow Data'!$BJ$3:$BJ$15,MATCH(M30,'G-6 Hedgerow Data'!$B$3:$B$15,0)),"")</f>
        <v/>
      </c>
    </row>
    <row r="31" spans="2:46" ht="13.8" x14ac:dyDescent="0.25">
      <c r="B31" s="531" t="str">
        <f>'B-1 Site Hedge Baseline'!AK29</f>
        <v/>
      </c>
      <c r="C31" s="520" t="str">
        <f>IF(B31="","",IF(ISNA(VLOOKUP($B31,'B-1 Site Hedge Baseline'!$B$1:$L$257,3,FALSE)),"",(VLOOKUP($B31,'B-1 Site Hedge Baseline'!$B$1:$L$257,3,FALSE))))</f>
        <v/>
      </c>
      <c r="D31" s="520" t="str">
        <f>IF(B31="","",IF(ISNA(VLOOKUP($B31,'B-1 Site Hedge Baseline'!$B$1:$L$257,4,FALSE)),"",(VLOOKUP($B31,'B-1 Site Hedge Baseline'!$B$1:$L$257,4,FALSE))))</f>
        <v/>
      </c>
      <c r="E31" s="520" t="str">
        <f>IF(B31="","",IF(ISNA(VLOOKUP($B31,'B-1 Site Hedge Baseline'!$B$1:$L$257,5,FALSE)),"",(VLOOKUP($B31,'B-1 Site Hedge Baseline'!$B$1:$L$257,5,FALSE))))</f>
        <v/>
      </c>
      <c r="F31" s="520" t="str">
        <f>IF(B31="","",IF(ISNA(VLOOKUP($B31,'B-1 Site Hedge Baseline'!$B$1:$L$257,6,FALSE)),"",(VLOOKUP($B31,'B-1 Site Hedge Baseline'!$B$1:$L$257,6,FALSE))))</f>
        <v/>
      </c>
      <c r="G31" s="520" t="str">
        <f>IF(B31="","",IF(ISNA(VLOOKUP($B31,'B-1 Site Hedge Baseline'!$B$1:$L$257,7,FALSE)),"",(VLOOKUP($B31,'B-1 Site Hedge Baseline'!$B$1:$L$257,7,FALSE))))</f>
        <v/>
      </c>
      <c r="H31" s="520" t="str">
        <f>IF(B31="","",IF(ISNA(VLOOKUP($B31,'B-1 Site Hedge Baseline'!$B$1:$L$257,8,FALSE)),"",(VLOOKUP($B31,'B-1 Site Hedge Baseline'!$B$1:$L$257,8,FALSE))))</f>
        <v/>
      </c>
      <c r="I31" s="520" t="str">
        <f>IF(B31="","",IF(ISNA(VLOOKUP($B31,'B-1 Site Hedge Baseline'!$B$1:$L$257,10,FALSE)),"",(VLOOKUP($B31,'B-1 Site Hedge Baseline'!$B$1:$L$257,10,FALSE))))</f>
        <v/>
      </c>
      <c r="J31" s="520" t="str">
        <f>IF(B31="","",IF(ISNA(VLOOKUP($B31,'B-1 Site Hedge Baseline'!$B$1:$L$257,11,FALSE)),"",(VLOOKUP($B31,'B-1 Site Hedge Baseline'!$B$1:$L$257,11,FALSE))))</f>
        <v/>
      </c>
      <c r="K31" s="520" t="str">
        <f>IF(B31="","",IF(ISNA(VLOOKUP($B31,'B-1 Site Hedge Baseline'!$B$1:$U$257,13,FALSE)),"",(VLOOKUP($B31,'B-1 Site Hedge Baseline'!$B$1:$U$257,13,FALSE))))</f>
        <v/>
      </c>
      <c r="L31" s="524" t="str">
        <f>IF(B31="","",IF(ISNA(VLOOKUP($B31,'B-1 Site Hedge Baseline'!$B$1:$U$257,12,FALSE)),"",(VLOOKUP($B31,'B-1 Site Hedge Baseline'!$B$1:$U$257,12,FALSE))))</f>
        <v/>
      </c>
      <c r="M31" s="416" t="str">
        <f t="shared" si="0"/>
        <v/>
      </c>
      <c r="N31" s="498" t="str">
        <f>IFERROR(IF(B31="","",INDEX('G-6 Hedgerow Data'!$AN$3:$AZ$15,MATCH(C31,'G-6 Hedgerow Data'!$AM$3:$AM$15,0),MATCH(M31,'G-6 Hedgerow Data'!$AN$2:$AZ$2,0))),"")</f>
        <v/>
      </c>
      <c r="O31" s="499" t="str">
        <f t="shared" si="2"/>
        <v/>
      </c>
      <c r="P31" s="559" t="str">
        <f>IF(B31="","",VLOOKUP(B31,'B-1 Site Hedge Baseline'!$B$10:T276,16,FALSE))</f>
        <v/>
      </c>
      <c r="Q31" s="498" t="str">
        <f>IF(M31="","",VLOOKUP(M31,'G-6 Hedgerow Data'!$B$2:$AG$15,2,FALSE))</f>
        <v/>
      </c>
      <c r="R31" s="499" t="str">
        <f>IF(M31="","",VLOOKUP(M31,'G-6 Hedgerow Data'!$B$2:$AG$15,3,FALSE))</f>
        <v/>
      </c>
      <c r="S31" s="157"/>
      <c r="T31" s="540" t="str">
        <f>IFERROR(VLOOKUP(S31,'G-1 All Habitats'!$Z$2:$AA$9,2,FALSE),"")</f>
        <v/>
      </c>
      <c r="U31" s="154"/>
      <c r="V31" s="520" t="str">
        <f>IF(U31="","",IF(VLOOKUP(U31,'G-3 Multipliers'!$L$3:$N$6,2,FALSE)=0,"Spatial Data Missing ⚠",VLOOKUP(U31,'G-3 Multipliers'!$L$3:$N$6,2,FALSE)))</f>
        <v/>
      </c>
      <c r="W31" s="524"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07" t="str">
        <f t="shared" si="5"/>
        <v/>
      </c>
      <c r="AF31" s="507" t="str">
        <f t="shared" si="6"/>
        <v/>
      </c>
      <c r="AG31" s="524" t="str">
        <f>IFERROR(IF(O31="","",VLOOKUP(AD31,'G-3 Multipliers'!$P$3:$Q$6,2,FALSE)),"")</f>
        <v/>
      </c>
      <c r="AH31" s="513" t="str">
        <f t="shared" si="7"/>
        <v/>
      </c>
      <c r="AI31" s="231"/>
      <c r="AJ31" s="150"/>
      <c r="AT31" s="31" t="str">
        <f>IFERROR(INDEX('G-6 Hedgerow Data'!$BJ$3:$BJ$15,MATCH(M31,'G-6 Hedgerow Data'!$B$3:$B$15,0)),"")</f>
        <v/>
      </c>
    </row>
    <row r="32" spans="2:46" ht="13.8" x14ac:dyDescent="0.25">
      <c r="B32" s="531" t="str">
        <f>'B-1 Site Hedge Baseline'!AK30</f>
        <v/>
      </c>
      <c r="C32" s="520" t="str">
        <f>IF(B32="","",IF(ISNA(VLOOKUP($B32,'B-1 Site Hedge Baseline'!$B$1:$L$257,3,FALSE)),"",(VLOOKUP($B32,'B-1 Site Hedge Baseline'!$B$1:$L$257,3,FALSE))))</f>
        <v/>
      </c>
      <c r="D32" s="520" t="str">
        <f>IF(B32="","",IF(ISNA(VLOOKUP($B32,'B-1 Site Hedge Baseline'!$B$1:$L$257,4,FALSE)),"",(VLOOKUP($B32,'B-1 Site Hedge Baseline'!$B$1:$L$257,4,FALSE))))</f>
        <v/>
      </c>
      <c r="E32" s="520" t="str">
        <f>IF(B32="","",IF(ISNA(VLOOKUP($B32,'B-1 Site Hedge Baseline'!$B$1:$L$257,5,FALSE)),"",(VLOOKUP($B32,'B-1 Site Hedge Baseline'!$B$1:$L$257,5,FALSE))))</f>
        <v/>
      </c>
      <c r="F32" s="520" t="str">
        <f>IF(B32="","",IF(ISNA(VLOOKUP($B32,'B-1 Site Hedge Baseline'!$B$1:$L$257,6,FALSE)),"",(VLOOKUP($B32,'B-1 Site Hedge Baseline'!$B$1:$L$257,6,FALSE))))</f>
        <v/>
      </c>
      <c r="G32" s="520" t="str">
        <f>IF(B32="","",IF(ISNA(VLOOKUP($B32,'B-1 Site Hedge Baseline'!$B$1:$L$257,7,FALSE)),"",(VLOOKUP($B32,'B-1 Site Hedge Baseline'!$B$1:$L$257,7,FALSE))))</f>
        <v/>
      </c>
      <c r="H32" s="520" t="str">
        <f>IF(B32="","",IF(ISNA(VLOOKUP($B32,'B-1 Site Hedge Baseline'!$B$1:$L$257,8,FALSE)),"",(VLOOKUP($B32,'B-1 Site Hedge Baseline'!$B$1:$L$257,8,FALSE))))</f>
        <v/>
      </c>
      <c r="I32" s="520" t="str">
        <f>IF(B32="","",IF(ISNA(VLOOKUP($B32,'B-1 Site Hedge Baseline'!$B$1:$L$257,10,FALSE)),"",(VLOOKUP($B32,'B-1 Site Hedge Baseline'!$B$1:$L$257,10,FALSE))))</f>
        <v/>
      </c>
      <c r="J32" s="520" t="str">
        <f>IF(B32="","",IF(ISNA(VLOOKUP($B32,'B-1 Site Hedge Baseline'!$B$1:$L$257,11,FALSE)),"",(VLOOKUP($B32,'B-1 Site Hedge Baseline'!$B$1:$L$257,11,FALSE))))</f>
        <v/>
      </c>
      <c r="K32" s="520" t="str">
        <f>IF(B32="","",IF(ISNA(VLOOKUP($B32,'B-1 Site Hedge Baseline'!$B$1:$U$257,13,FALSE)),"",(VLOOKUP($B32,'B-1 Site Hedge Baseline'!$B$1:$U$257,13,FALSE))))</f>
        <v/>
      </c>
      <c r="L32" s="524" t="str">
        <f>IF(B32="","",IF(ISNA(VLOOKUP($B32,'B-1 Site Hedge Baseline'!$B$1:$U$257,12,FALSE)),"",(VLOOKUP($B32,'B-1 Site Hedge Baseline'!$B$1:$U$257,12,FALSE))))</f>
        <v/>
      </c>
      <c r="M32" s="416" t="str">
        <f t="shared" si="0"/>
        <v/>
      </c>
      <c r="N32" s="498" t="str">
        <f>IFERROR(IF(B32="","",INDEX('G-6 Hedgerow Data'!$AN$3:$AZ$15,MATCH(C32,'G-6 Hedgerow Data'!$AM$3:$AM$15,0),MATCH(M32,'G-6 Hedgerow Data'!$AN$2:$AZ$2,0))),"")</f>
        <v/>
      </c>
      <c r="O32" s="499" t="str">
        <f t="shared" si="2"/>
        <v/>
      </c>
      <c r="P32" s="559" t="str">
        <f>IF(B32="","",VLOOKUP(B32,'B-1 Site Hedge Baseline'!$B$10:T277,16,FALSE))</f>
        <v/>
      </c>
      <c r="Q32" s="498" t="str">
        <f>IF(M32="","",VLOOKUP(M32,'G-6 Hedgerow Data'!$B$2:$AG$15,2,FALSE))</f>
        <v/>
      </c>
      <c r="R32" s="499" t="str">
        <f>IF(M32="","",VLOOKUP(M32,'G-6 Hedgerow Data'!$B$2:$AG$15,3,FALSE))</f>
        <v/>
      </c>
      <c r="S32" s="157"/>
      <c r="T32" s="540" t="str">
        <f>IFERROR(VLOOKUP(S32,'G-1 All Habitats'!$Z$2:$AA$9,2,FALSE),"")</f>
        <v/>
      </c>
      <c r="U32" s="154"/>
      <c r="V32" s="520" t="str">
        <f>IF(U32="","",IF(VLOOKUP(U32,'G-3 Multipliers'!$L$3:$N$6,2,FALSE)=0,"Spatial Data Missing ⚠",VLOOKUP(U32,'G-3 Multipliers'!$L$3:$N$6,2,FALSE)))</f>
        <v/>
      </c>
      <c r="W32" s="524"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07" t="str">
        <f t="shared" si="5"/>
        <v/>
      </c>
      <c r="AF32" s="507" t="str">
        <f t="shared" si="6"/>
        <v/>
      </c>
      <c r="AG32" s="524" t="str">
        <f>IFERROR(IF(O32="","",VLOOKUP(AD32,'G-3 Multipliers'!$P$3:$Q$6,2,FALSE)),"")</f>
        <v/>
      </c>
      <c r="AH32" s="513" t="str">
        <f t="shared" si="7"/>
        <v/>
      </c>
      <c r="AI32" s="231"/>
      <c r="AJ32" s="150"/>
      <c r="AT32" s="31" t="str">
        <f>IFERROR(INDEX('G-6 Hedgerow Data'!$BJ$3:$BJ$15,MATCH(M32,'G-6 Hedgerow Data'!$B$3:$B$15,0)),"")</f>
        <v/>
      </c>
    </row>
    <row r="33" spans="2:46" ht="13.8" x14ac:dyDescent="0.25">
      <c r="B33" s="531" t="str">
        <f>'B-1 Site Hedge Baseline'!AK31</f>
        <v/>
      </c>
      <c r="C33" s="520" t="str">
        <f>IF(B33="","",IF(ISNA(VLOOKUP($B33,'B-1 Site Hedge Baseline'!$B$1:$L$257,3,FALSE)),"",(VLOOKUP($B33,'B-1 Site Hedge Baseline'!$B$1:$L$257,3,FALSE))))</f>
        <v/>
      </c>
      <c r="D33" s="520" t="str">
        <f>IF(B33="","",IF(ISNA(VLOOKUP($B33,'B-1 Site Hedge Baseline'!$B$1:$L$257,4,FALSE)),"",(VLOOKUP($B33,'B-1 Site Hedge Baseline'!$B$1:$L$257,4,FALSE))))</f>
        <v/>
      </c>
      <c r="E33" s="520" t="str">
        <f>IF(B33="","",IF(ISNA(VLOOKUP($B33,'B-1 Site Hedge Baseline'!$B$1:$L$257,5,FALSE)),"",(VLOOKUP($B33,'B-1 Site Hedge Baseline'!$B$1:$L$257,5,FALSE))))</f>
        <v/>
      </c>
      <c r="F33" s="520" t="str">
        <f>IF(B33="","",IF(ISNA(VLOOKUP($B33,'B-1 Site Hedge Baseline'!$B$1:$L$257,6,FALSE)),"",(VLOOKUP($B33,'B-1 Site Hedge Baseline'!$B$1:$L$257,6,FALSE))))</f>
        <v/>
      </c>
      <c r="G33" s="520" t="str">
        <f>IF(B33="","",IF(ISNA(VLOOKUP($B33,'B-1 Site Hedge Baseline'!$B$1:$L$257,7,FALSE)),"",(VLOOKUP($B33,'B-1 Site Hedge Baseline'!$B$1:$L$257,7,FALSE))))</f>
        <v/>
      </c>
      <c r="H33" s="520" t="str">
        <f>IF(B33="","",IF(ISNA(VLOOKUP($B33,'B-1 Site Hedge Baseline'!$B$1:$L$257,8,FALSE)),"",(VLOOKUP($B33,'B-1 Site Hedge Baseline'!$B$1:$L$257,8,FALSE))))</f>
        <v/>
      </c>
      <c r="I33" s="520" t="str">
        <f>IF(B33="","",IF(ISNA(VLOOKUP($B33,'B-1 Site Hedge Baseline'!$B$1:$L$257,10,FALSE)),"",(VLOOKUP($B33,'B-1 Site Hedge Baseline'!$B$1:$L$257,10,FALSE))))</f>
        <v/>
      </c>
      <c r="J33" s="520" t="str">
        <f>IF(B33="","",IF(ISNA(VLOOKUP($B33,'B-1 Site Hedge Baseline'!$B$1:$L$257,11,FALSE)),"",(VLOOKUP($B33,'B-1 Site Hedge Baseline'!$B$1:$L$257,11,FALSE))))</f>
        <v/>
      </c>
      <c r="K33" s="520" t="str">
        <f>IF(B33="","",IF(ISNA(VLOOKUP($B33,'B-1 Site Hedge Baseline'!$B$1:$U$257,13,FALSE)),"",(VLOOKUP($B33,'B-1 Site Hedge Baseline'!$B$1:$U$257,13,FALSE))))</f>
        <v/>
      </c>
      <c r="L33" s="524" t="str">
        <f>IF(B33="","",IF(ISNA(VLOOKUP($B33,'B-1 Site Hedge Baseline'!$B$1:$U$257,12,FALSE)),"",(VLOOKUP($B33,'B-1 Site Hedge Baseline'!$B$1:$U$257,12,FALSE))))</f>
        <v/>
      </c>
      <c r="M33" s="416" t="str">
        <f t="shared" si="0"/>
        <v/>
      </c>
      <c r="N33" s="498" t="str">
        <f>IFERROR(IF(B33="","",INDEX('G-6 Hedgerow Data'!$AN$3:$AZ$15,MATCH(C33,'G-6 Hedgerow Data'!$AM$3:$AM$15,0),MATCH(M33,'G-6 Hedgerow Data'!$AN$2:$AZ$2,0))),"")</f>
        <v/>
      </c>
      <c r="O33" s="499" t="str">
        <f t="shared" si="2"/>
        <v/>
      </c>
      <c r="P33" s="559" t="str">
        <f>IF(B33="","",VLOOKUP(B33,'B-1 Site Hedge Baseline'!$B$10:T278,16,FALSE))</f>
        <v/>
      </c>
      <c r="Q33" s="498" t="str">
        <f>IF(M33="","",VLOOKUP(M33,'G-6 Hedgerow Data'!$B$2:$AG$15,2,FALSE))</f>
        <v/>
      </c>
      <c r="R33" s="499" t="str">
        <f>IF(M33="","",VLOOKUP(M33,'G-6 Hedgerow Data'!$B$2:$AG$15,3,FALSE))</f>
        <v/>
      </c>
      <c r="S33" s="157"/>
      <c r="T33" s="540" t="str">
        <f>IFERROR(VLOOKUP(S33,'G-1 All Habitats'!$Z$2:$AA$9,2,FALSE),"")</f>
        <v/>
      </c>
      <c r="U33" s="154"/>
      <c r="V33" s="520" t="str">
        <f>IF(U33="","",IF(VLOOKUP(U33,'G-3 Multipliers'!$L$3:$N$6,2,FALSE)=0,"Spatial Data Missing ⚠",VLOOKUP(U33,'G-3 Multipliers'!$L$3:$N$6,2,FALSE)))</f>
        <v/>
      </c>
      <c r="W33" s="524"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07" t="str">
        <f t="shared" si="5"/>
        <v/>
      </c>
      <c r="AF33" s="507" t="str">
        <f t="shared" si="6"/>
        <v/>
      </c>
      <c r="AG33" s="524" t="str">
        <f>IFERROR(IF(O33="","",VLOOKUP(AD33,'G-3 Multipliers'!$P$3:$Q$6,2,FALSE)),"")</f>
        <v/>
      </c>
      <c r="AH33" s="513" t="str">
        <f t="shared" si="7"/>
        <v/>
      </c>
      <c r="AI33" s="231"/>
      <c r="AJ33" s="150"/>
      <c r="AT33" s="31" t="str">
        <f>IFERROR(INDEX('G-6 Hedgerow Data'!$BJ$3:$BJ$15,MATCH(M33,'G-6 Hedgerow Data'!$B$3:$B$15,0)),"")</f>
        <v/>
      </c>
    </row>
    <row r="34" spans="2:46" ht="13.8" x14ac:dyDescent="0.25">
      <c r="B34" s="531" t="str">
        <f>'B-1 Site Hedge Baseline'!AK32</f>
        <v/>
      </c>
      <c r="C34" s="520" t="str">
        <f>IF(B34="","",IF(ISNA(VLOOKUP($B34,'B-1 Site Hedge Baseline'!$B$1:$L$257,3,FALSE)),"",(VLOOKUP($B34,'B-1 Site Hedge Baseline'!$B$1:$L$257,3,FALSE))))</f>
        <v/>
      </c>
      <c r="D34" s="520" t="str">
        <f>IF(B34="","",IF(ISNA(VLOOKUP($B34,'B-1 Site Hedge Baseline'!$B$1:$L$257,4,FALSE)),"",(VLOOKUP($B34,'B-1 Site Hedge Baseline'!$B$1:$L$257,4,FALSE))))</f>
        <v/>
      </c>
      <c r="E34" s="520" t="str">
        <f>IF(B34="","",IF(ISNA(VLOOKUP($B34,'B-1 Site Hedge Baseline'!$B$1:$L$257,5,FALSE)),"",(VLOOKUP($B34,'B-1 Site Hedge Baseline'!$B$1:$L$257,5,FALSE))))</f>
        <v/>
      </c>
      <c r="F34" s="520" t="str">
        <f>IF(B34="","",IF(ISNA(VLOOKUP($B34,'B-1 Site Hedge Baseline'!$B$1:$L$257,6,FALSE)),"",(VLOOKUP($B34,'B-1 Site Hedge Baseline'!$B$1:$L$257,6,FALSE))))</f>
        <v/>
      </c>
      <c r="G34" s="520" t="str">
        <f>IF(B34="","",IF(ISNA(VLOOKUP($B34,'B-1 Site Hedge Baseline'!$B$1:$L$257,7,FALSE)),"",(VLOOKUP($B34,'B-1 Site Hedge Baseline'!$B$1:$L$257,7,FALSE))))</f>
        <v/>
      </c>
      <c r="H34" s="520" t="str">
        <f>IF(B34="","",IF(ISNA(VLOOKUP($B34,'B-1 Site Hedge Baseline'!$B$1:$L$257,8,FALSE)),"",(VLOOKUP($B34,'B-1 Site Hedge Baseline'!$B$1:$L$257,8,FALSE))))</f>
        <v/>
      </c>
      <c r="I34" s="520" t="str">
        <f>IF(B34="","",IF(ISNA(VLOOKUP($B34,'B-1 Site Hedge Baseline'!$B$1:$L$257,10,FALSE)),"",(VLOOKUP($B34,'B-1 Site Hedge Baseline'!$B$1:$L$257,10,FALSE))))</f>
        <v/>
      </c>
      <c r="J34" s="520" t="str">
        <f>IF(B34="","",IF(ISNA(VLOOKUP($B34,'B-1 Site Hedge Baseline'!$B$1:$L$257,11,FALSE)),"",(VLOOKUP($B34,'B-1 Site Hedge Baseline'!$B$1:$L$257,11,FALSE))))</f>
        <v/>
      </c>
      <c r="K34" s="520" t="str">
        <f>IF(B34="","",IF(ISNA(VLOOKUP($B34,'B-1 Site Hedge Baseline'!$B$1:$U$257,13,FALSE)),"",(VLOOKUP($B34,'B-1 Site Hedge Baseline'!$B$1:$U$257,13,FALSE))))</f>
        <v/>
      </c>
      <c r="L34" s="524" t="str">
        <f>IF(B34="","",IF(ISNA(VLOOKUP($B34,'B-1 Site Hedge Baseline'!$B$1:$U$257,12,FALSE)),"",(VLOOKUP($B34,'B-1 Site Hedge Baseline'!$B$1:$U$257,12,FALSE))))</f>
        <v/>
      </c>
      <c r="M34" s="416" t="str">
        <f t="shared" si="0"/>
        <v/>
      </c>
      <c r="N34" s="498" t="str">
        <f>IFERROR(IF(B34="","",INDEX('G-6 Hedgerow Data'!$AN$3:$AZ$15,MATCH(C34,'G-6 Hedgerow Data'!$AM$3:$AM$15,0),MATCH(M34,'G-6 Hedgerow Data'!$AN$2:$AZ$2,0))),"")</f>
        <v/>
      </c>
      <c r="O34" s="499" t="str">
        <f t="shared" si="2"/>
        <v/>
      </c>
      <c r="P34" s="559" t="str">
        <f>IF(B34="","",VLOOKUP(B34,'B-1 Site Hedge Baseline'!$B$10:T279,16,FALSE))</f>
        <v/>
      </c>
      <c r="Q34" s="498" t="str">
        <f>IF(M34="","",VLOOKUP(M34,'G-6 Hedgerow Data'!$B$2:$AG$15,2,FALSE))</f>
        <v/>
      </c>
      <c r="R34" s="499" t="str">
        <f>IF(M34="","",VLOOKUP(M34,'G-6 Hedgerow Data'!$B$2:$AG$15,3,FALSE))</f>
        <v/>
      </c>
      <c r="S34" s="157"/>
      <c r="T34" s="540" t="str">
        <f>IFERROR(VLOOKUP(S34,'G-1 All Habitats'!$Z$2:$AA$9,2,FALSE),"")</f>
        <v/>
      </c>
      <c r="U34" s="154"/>
      <c r="V34" s="520" t="str">
        <f>IF(U34="","",IF(VLOOKUP(U34,'G-3 Multipliers'!$L$3:$N$6,2,FALSE)=0,"Spatial Data Missing ⚠",VLOOKUP(U34,'G-3 Multipliers'!$L$3:$N$6,2,FALSE)))</f>
        <v/>
      </c>
      <c r="W34" s="524"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07" t="str">
        <f t="shared" si="5"/>
        <v/>
      </c>
      <c r="AF34" s="507" t="str">
        <f t="shared" si="6"/>
        <v/>
      </c>
      <c r="AG34" s="524" t="str">
        <f>IFERROR(IF(O34="","",VLOOKUP(AD34,'G-3 Multipliers'!$P$3:$Q$6,2,FALSE)),"")</f>
        <v/>
      </c>
      <c r="AH34" s="513" t="str">
        <f t="shared" si="7"/>
        <v/>
      </c>
      <c r="AI34" s="231"/>
      <c r="AJ34" s="150"/>
      <c r="AT34" s="31" t="str">
        <f>IFERROR(INDEX('G-6 Hedgerow Data'!$BJ$3:$BJ$15,MATCH(M34,'G-6 Hedgerow Data'!$B$3:$B$15,0)),"")</f>
        <v/>
      </c>
    </row>
    <row r="35" spans="2:46" ht="13.8" x14ac:dyDescent="0.25">
      <c r="B35" s="531" t="str">
        <f>'B-1 Site Hedge Baseline'!AK33</f>
        <v/>
      </c>
      <c r="C35" s="520" t="str">
        <f>IF(B35="","",IF(ISNA(VLOOKUP($B35,'B-1 Site Hedge Baseline'!$B$1:$L$257,3,FALSE)),"",(VLOOKUP($B35,'B-1 Site Hedge Baseline'!$B$1:$L$257,3,FALSE))))</f>
        <v/>
      </c>
      <c r="D35" s="520" t="str">
        <f>IF(B35="","",IF(ISNA(VLOOKUP($B35,'B-1 Site Hedge Baseline'!$B$1:$L$257,4,FALSE)),"",(VLOOKUP($B35,'B-1 Site Hedge Baseline'!$B$1:$L$257,4,FALSE))))</f>
        <v/>
      </c>
      <c r="E35" s="520" t="str">
        <f>IF(B35="","",IF(ISNA(VLOOKUP($B35,'B-1 Site Hedge Baseline'!$B$1:$L$257,5,FALSE)),"",(VLOOKUP($B35,'B-1 Site Hedge Baseline'!$B$1:$L$257,5,FALSE))))</f>
        <v/>
      </c>
      <c r="F35" s="520" t="str">
        <f>IF(B35="","",IF(ISNA(VLOOKUP($B35,'B-1 Site Hedge Baseline'!$B$1:$L$257,6,FALSE)),"",(VLOOKUP($B35,'B-1 Site Hedge Baseline'!$B$1:$L$257,6,FALSE))))</f>
        <v/>
      </c>
      <c r="G35" s="520" t="str">
        <f>IF(B35="","",IF(ISNA(VLOOKUP($B35,'B-1 Site Hedge Baseline'!$B$1:$L$257,7,FALSE)),"",(VLOOKUP($B35,'B-1 Site Hedge Baseline'!$B$1:$L$257,7,FALSE))))</f>
        <v/>
      </c>
      <c r="H35" s="520" t="str">
        <f>IF(B35="","",IF(ISNA(VLOOKUP($B35,'B-1 Site Hedge Baseline'!$B$1:$L$257,8,FALSE)),"",(VLOOKUP($B35,'B-1 Site Hedge Baseline'!$B$1:$L$257,8,FALSE))))</f>
        <v/>
      </c>
      <c r="I35" s="520" t="str">
        <f>IF(B35="","",IF(ISNA(VLOOKUP($B35,'B-1 Site Hedge Baseline'!$B$1:$L$257,10,FALSE)),"",(VLOOKUP($B35,'B-1 Site Hedge Baseline'!$B$1:$L$257,10,FALSE))))</f>
        <v/>
      </c>
      <c r="J35" s="520" t="str">
        <f>IF(B35="","",IF(ISNA(VLOOKUP($B35,'B-1 Site Hedge Baseline'!$B$1:$L$257,11,FALSE)),"",(VLOOKUP($B35,'B-1 Site Hedge Baseline'!$B$1:$L$257,11,FALSE))))</f>
        <v/>
      </c>
      <c r="K35" s="520" t="str">
        <f>IF(B35="","",IF(ISNA(VLOOKUP($B35,'B-1 Site Hedge Baseline'!$B$1:$U$257,13,FALSE)),"",(VLOOKUP($B35,'B-1 Site Hedge Baseline'!$B$1:$U$257,13,FALSE))))</f>
        <v/>
      </c>
      <c r="L35" s="524" t="str">
        <f>IF(B35="","",IF(ISNA(VLOOKUP($B35,'B-1 Site Hedge Baseline'!$B$1:$U$257,12,FALSE)),"",(VLOOKUP($B35,'B-1 Site Hedge Baseline'!$B$1:$U$257,12,FALSE))))</f>
        <v/>
      </c>
      <c r="M35" s="416" t="str">
        <f t="shared" si="0"/>
        <v/>
      </c>
      <c r="N35" s="498" t="str">
        <f>IFERROR(IF(B35="","",INDEX('G-6 Hedgerow Data'!$AN$3:$AZ$15,MATCH(C35,'G-6 Hedgerow Data'!$AM$3:$AM$15,0),MATCH(M35,'G-6 Hedgerow Data'!$AN$2:$AZ$2,0))),"")</f>
        <v/>
      </c>
      <c r="O35" s="499" t="str">
        <f t="shared" si="2"/>
        <v/>
      </c>
      <c r="P35" s="559" t="str">
        <f>IF(B35="","",VLOOKUP(B35,'B-1 Site Hedge Baseline'!$B$10:T280,16,FALSE))</f>
        <v/>
      </c>
      <c r="Q35" s="498" t="str">
        <f>IF(M35="","",VLOOKUP(M35,'G-6 Hedgerow Data'!$B$2:$AG$15,2,FALSE))</f>
        <v/>
      </c>
      <c r="R35" s="499" t="str">
        <f>IF(M35="","",VLOOKUP(M35,'G-6 Hedgerow Data'!$B$2:$AG$15,3,FALSE))</f>
        <v/>
      </c>
      <c r="S35" s="157"/>
      <c r="T35" s="540" t="str">
        <f>IFERROR(VLOOKUP(S35,'G-1 All Habitats'!$Z$2:$AA$9,2,FALSE),"")</f>
        <v/>
      </c>
      <c r="U35" s="154"/>
      <c r="V35" s="520" t="str">
        <f>IF(U35="","",IF(VLOOKUP(U35,'G-3 Multipliers'!$L$3:$N$6,2,FALSE)=0,"Spatial Data Missing ⚠",VLOOKUP(U35,'G-3 Multipliers'!$L$3:$N$6,2,FALSE)))</f>
        <v/>
      </c>
      <c r="W35" s="524"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07" t="str">
        <f t="shared" si="5"/>
        <v/>
      </c>
      <c r="AF35" s="507" t="str">
        <f t="shared" si="6"/>
        <v/>
      </c>
      <c r="AG35" s="524" t="str">
        <f>IFERROR(IF(O35="","",VLOOKUP(AD35,'G-3 Multipliers'!$P$3:$Q$6,2,FALSE)),"")</f>
        <v/>
      </c>
      <c r="AH35" s="513" t="str">
        <f t="shared" si="7"/>
        <v/>
      </c>
      <c r="AI35" s="231"/>
      <c r="AJ35" s="150"/>
      <c r="AT35" s="31" t="str">
        <f>IFERROR(INDEX('G-6 Hedgerow Data'!$BJ$3:$BJ$15,MATCH(M35,'G-6 Hedgerow Data'!$B$3:$B$15,0)),"")</f>
        <v/>
      </c>
    </row>
    <row r="36" spans="2:46" ht="13.8" x14ac:dyDescent="0.25">
      <c r="B36" s="531" t="str">
        <f>'B-1 Site Hedge Baseline'!AK34</f>
        <v/>
      </c>
      <c r="C36" s="520" t="str">
        <f>IF(B36="","",IF(ISNA(VLOOKUP($B36,'B-1 Site Hedge Baseline'!$B$1:$L$257,3,FALSE)),"",(VLOOKUP($B36,'B-1 Site Hedge Baseline'!$B$1:$L$257,3,FALSE))))</f>
        <v/>
      </c>
      <c r="D36" s="520" t="str">
        <f>IF(B36="","",IF(ISNA(VLOOKUP($B36,'B-1 Site Hedge Baseline'!$B$1:$L$257,4,FALSE)),"",(VLOOKUP($B36,'B-1 Site Hedge Baseline'!$B$1:$L$257,4,FALSE))))</f>
        <v/>
      </c>
      <c r="E36" s="520" t="str">
        <f>IF(B36="","",IF(ISNA(VLOOKUP($B36,'B-1 Site Hedge Baseline'!$B$1:$L$257,5,FALSE)),"",(VLOOKUP($B36,'B-1 Site Hedge Baseline'!$B$1:$L$257,5,FALSE))))</f>
        <v/>
      </c>
      <c r="F36" s="520" t="str">
        <f>IF(B36="","",IF(ISNA(VLOOKUP($B36,'B-1 Site Hedge Baseline'!$B$1:$L$257,6,FALSE)),"",(VLOOKUP($B36,'B-1 Site Hedge Baseline'!$B$1:$L$257,6,FALSE))))</f>
        <v/>
      </c>
      <c r="G36" s="520" t="str">
        <f>IF(B36="","",IF(ISNA(VLOOKUP($B36,'B-1 Site Hedge Baseline'!$B$1:$L$257,7,FALSE)),"",(VLOOKUP($B36,'B-1 Site Hedge Baseline'!$B$1:$L$257,7,FALSE))))</f>
        <v/>
      </c>
      <c r="H36" s="520" t="str">
        <f>IF(B36="","",IF(ISNA(VLOOKUP($B36,'B-1 Site Hedge Baseline'!$B$1:$L$257,8,FALSE)),"",(VLOOKUP($B36,'B-1 Site Hedge Baseline'!$B$1:$L$257,8,FALSE))))</f>
        <v/>
      </c>
      <c r="I36" s="520" t="str">
        <f>IF(B36="","",IF(ISNA(VLOOKUP($B36,'B-1 Site Hedge Baseline'!$B$1:$L$257,10,FALSE)),"",(VLOOKUP($B36,'B-1 Site Hedge Baseline'!$B$1:$L$257,10,FALSE))))</f>
        <v/>
      </c>
      <c r="J36" s="520" t="str">
        <f>IF(B36="","",IF(ISNA(VLOOKUP($B36,'B-1 Site Hedge Baseline'!$B$1:$L$257,11,FALSE)),"",(VLOOKUP($B36,'B-1 Site Hedge Baseline'!$B$1:$L$257,11,FALSE))))</f>
        <v/>
      </c>
      <c r="K36" s="520" t="str">
        <f>IF(B36="","",IF(ISNA(VLOOKUP($B36,'B-1 Site Hedge Baseline'!$B$1:$U$257,13,FALSE)),"",(VLOOKUP($B36,'B-1 Site Hedge Baseline'!$B$1:$U$257,13,FALSE))))</f>
        <v/>
      </c>
      <c r="L36" s="524" t="str">
        <f>IF(B36="","",IF(ISNA(VLOOKUP($B36,'B-1 Site Hedge Baseline'!$B$1:$U$257,12,FALSE)),"",(VLOOKUP($B36,'B-1 Site Hedge Baseline'!$B$1:$U$257,12,FALSE))))</f>
        <v/>
      </c>
      <c r="M36" s="416" t="str">
        <f t="shared" si="0"/>
        <v/>
      </c>
      <c r="N36" s="498" t="str">
        <f>IFERROR(IF(B36="","",INDEX('G-6 Hedgerow Data'!$AN$3:$AZ$15,MATCH(C36,'G-6 Hedgerow Data'!$AM$3:$AM$15,0),MATCH(M36,'G-6 Hedgerow Data'!$AN$2:$AZ$2,0))),"")</f>
        <v/>
      </c>
      <c r="O36" s="499" t="str">
        <f t="shared" si="2"/>
        <v/>
      </c>
      <c r="P36" s="559" t="str">
        <f>IF(B36="","",VLOOKUP(B36,'B-1 Site Hedge Baseline'!$B$10:T281,16,FALSE))</f>
        <v/>
      </c>
      <c r="Q36" s="498" t="str">
        <f>IF(M36="","",VLOOKUP(M36,'G-6 Hedgerow Data'!$B$2:$AG$15,2,FALSE))</f>
        <v/>
      </c>
      <c r="R36" s="499" t="str">
        <f>IF(M36="","",VLOOKUP(M36,'G-6 Hedgerow Data'!$B$2:$AG$15,3,FALSE))</f>
        <v/>
      </c>
      <c r="S36" s="157"/>
      <c r="T36" s="540" t="str">
        <f>IFERROR(VLOOKUP(S36,'G-1 All Habitats'!$Z$2:$AA$9,2,FALSE),"")</f>
        <v/>
      </c>
      <c r="U36" s="154"/>
      <c r="V36" s="520" t="str">
        <f>IF(U36="","",IF(VLOOKUP(U36,'G-3 Multipliers'!$L$3:$N$6,2,FALSE)=0,"Spatial Data Missing ⚠",VLOOKUP(U36,'G-3 Multipliers'!$L$3:$N$6,2,FALSE)))</f>
        <v/>
      </c>
      <c r="W36" s="524"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07" t="str">
        <f t="shared" si="5"/>
        <v/>
      </c>
      <c r="AF36" s="507" t="str">
        <f t="shared" si="6"/>
        <v/>
      </c>
      <c r="AG36" s="524" t="str">
        <f>IFERROR(IF(O36="","",VLOOKUP(AD36,'G-3 Multipliers'!$P$3:$Q$6,2,FALSE)),"")</f>
        <v/>
      </c>
      <c r="AH36" s="513" t="str">
        <f t="shared" si="7"/>
        <v/>
      </c>
      <c r="AI36" s="231"/>
      <c r="AJ36" s="150"/>
      <c r="AT36" s="31" t="str">
        <f>IFERROR(INDEX('G-6 Hedgerow Data'!$BJ$3:$BJ$15,MATCH(M36,'G-6 Hedgerow Data'!$B$3:$B$15,0)),"")</f>
        <v/>
      </c>
    </row>
    <row r="37" spans="2:46" ht="13.8" x14ac:dyDescent="0.25">
      <c r="B37" s="531" t="str">
        <f>'B-1 Site Hedge Baseline'!AK35</f>
        <v/>
      </c>
      <c r="C37" s="520" t="str">
        <f>IF(B37="","",IF(ISNA(VLOOKUP($B37,'B-1 Site Hedge Baseline'!$B$1:$L$257,3,FALSE)),"",(VLOOKUP($B37,'B-1 Site Hedge Baseline'!$B$1:$L$257,3,FALSE))))</f>
        <v/>
      </c>
      <c r="D37" s="520" t="str">
        <f>IF(B37="","",IF(ISNA(VLOOKUP($B37,'B-1 Site Hedge Baseline'!$B$1:$L$257,4,FALSE)),"",(VLOOKUP($B37,'B-1 Site Hedge Baseline'!$B$1:$L$257,4,FALSE))))</f>
        <v/>
      </c>
      <c r="E37" s="520" t="str">
        <f>IF(B37="","",IF(ISNA(VLOOKUP($B37,'B-1 Site Hedge Baseline'!$B$1:$L$257,5,FALSE)),"",(VLOOKUP($B37,'B-1 Site Hedge Baseline'!$B$1:$L$257,5,FALSE))))</f>
        <v/>
      </c>
      <c r="F37" s="520" t="str">
        <f>IF(B37="","",IF(ISNA(VLOOKUP($B37,'B-1 Site Hedge Baseline'!$B$1:$L$257,6,FALSE)),"",(VLOOKUP($B37,'B-1 Site Hedge Baseline'!$B$1:$L$257,6,FALSE))))</f>
        <v/>
      </c>
      <c r="G37" s="520" t="str">
        <f>IF(B37="","",IF(ISNA(VLOOKUP($B37,'B-1 Site Hedge Baseline'!$B$1:$L$257,7,FALSE)),"",(VLOOKUP($B37,'B-1 Site Hedge Baseline'!$B$1:$L$257,7,FALSE))))</f>
        <v/>
      </c>
      <c r="H37" s="520" t="str">
        <f>IF(B37="","",IF(ISNA(VLOOKUP($B37,'B-1 Site Hedge Baseline'!$B$1:$L$257,8,FALSE)),"",(VLOOKUP($B37,'B-1 Site Hedge Baseline'!$B$1:$L$257,8,FALSE))))</f>
        <v/>
      </c>
      <c r="I37" s="520" t="str">
        <f>IF(B37="","",IF(ISNA(VLOOKUP($B37,'B-1 Site Hedge Baseline'!$B$1:$L$257,10,FALSE)),"",(VLOOKUP($B37,'B-1 Site Hedge Baseline'!$B$1:$L$257,10,FALSE))))</f>
        <v/>
      </c>
      <c r="J37" s="520" t="str">
        <f>IF(B37="","",IF(ISNA(VLOOKUP($B37,'B-1 Site Hedge Baseline'!$B$1:$L$257,11,FALSE)),"",(VLOOKUP($B37,'B-1 Site Hedge Baseline'!$B$1:$L$257,11,FALSE))))</f>
        <v/>
      </c>
      <c r="K37" s="520" t="str">
        <f>IF(B37="","",IF(ISNA(VLOOKUP($B37,'B-1 Site Hedge Baseline'!$B$1:$U$257,13,FALSE)),"",(VLOOKUP($B37,'B-1 Site Hedge Baseline'!$B$1:$U$257,13,FALSE))))</f>
        <v/>
      </c>
      <c r="L37" s="524" t="str">
        <f>IF(B37="","",IF(ISNA(VLOOKUP($B37,'B-1 Site Hedge Baseline'!$B$1:$U$257,12,FALSE)),"",(VLOOKUP($B37,'B-1 Site Hedge Baseline'!$B$1:$U$257,12,FALSE))))</f>
        <v/>
      </c>
      <c r="M37" s="416" t="str">
        <f t="shared" si="0"/>
        <v/>
      </c>
      <c r="N37" s="498" t="str">
        <f>IFERROR(IF(B37="","",INDEX('G-6 Hedgerow Data'!$AN$3:$AZ$15,MATCH(C37,'G-6 Hedgerow Data'!$AM$3:$AM$15,0),MATCH(M37,'G-6 Hedgerow Data'!$AN$2:$AZ$2,0))),"")</f>
        <v/>
      </c>
      <c r="O37" s="499" t="str">
        <f t="shared" si="2"/>
        <v/>
      </c>
      <c r="P37" s="559" t="str">
        <f>IF(B37="","",VLOOKUP(B37,'B-1 Site Hedge Baseline'!$B$10:T282,16,FALSE))</f>
        <v/>
      </c>
      <c r="Q37" s="498" t="str">
        <f>IF(M37="","",VLOOKUP(M37,'G-6 Hedgerow Data'!$B$2:$AG$15,2,FALSE))</f>
        <v/>
      </c>
      <c r="R37" s="499" t="str">
        <f>IF(M37="","",VLOOKUP(M37,'G-6 Hedgerow Data'!$B$2:$AG$15,3,FALSE))</f>
        <v/>
      </c>
      <c r="S37" s="157"/>
      <c r="T37" s="540" t="str">
        <f>IFERROR(VLOOKUP(S37,'G-1 All Habitats'!$Z$2:$AA$9,2,FALSE),"")</f>
        <v/>
      </c>
      <c r="U37" s="154"/>
      <c r="V37" s="520" t="str">
        <f>IF(U37="","",IF(VLOOKUP(U37,'G-3 Multipliers'!$L$3:$N$6,2,FALSE)=0,"Spatial Data Missing ⚠",VLOOKUP(U37,'G-3 Multipliers'!$L$3:$N$6,2,FALSE)))</f>
        <v/>
      </c>
      <c r="W37" s="524"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07" t="str">
        <f t="shared" si="5"/>
        <v/>
      </c>
      <c r="AF37" s="507" t="str">
        <f t="shared" si="6"/>
        <v/>
      </c>
      <c r="AG37" s="524" t="str">
        <f>IFERROR(IF(O37="","",VLOOKUP(AD37,'G-3 Multipliers'!$P$3:$Q$6,2,FALSE)),"")</f>
        <v/>
      </c>
      <c r="AH37" s="513" t="str">
        <f t="shared" si="7"/>
        <v/>
      </c>
      <c r="AI37" s="231"/>
      <c r="AJ37" s="150"/>
      <c r="AT37" s="31" t="str">
        <f>IFERROR(INDEX('G-6 Hedgerow Data'!$BJ$3:$BJ$15,MATCH(M37,'G-6 Hedgerow Data'!$B$3:$B$15,0)),"")</f>
        <v/>
      </c>
    </row>
    <row r="38" spans="2:46" ht="13.8" x14ac:dyDescent="0.25">
      <c r="B38" s="531" t="str">
        <f>'B-1 Site Hedge Baseline'!AK36</f>
        <v/>
      </c>
      <c r="C38" s="520" t="str">
        <f>IF(B38="","",IF(ISNA(VLOOKUP($B38,'B-1 Site Hedge Baseline'!$B$1:$L$257,3,FALSE)),"",(VLOOKUP($B38,'B-1 Site Hedge Baseline'!$B$1:$L$257,3,FALSE))))</f>
        <v/>
      </c>
      <c r="D38" s="520" t="str">
        <f>IF(B38="","",IF(ISNA(VLOOKUP($B38,'B-1 Site Hedge Baseline'!$B$1:$L$257,4,FALSE)),"",(VLOOKUP($B38,'B-1 Site Hedge Baseline'!$B$1:$L$257,4,FALSE))))</f>
        <v/>
      </c>
      <c r="E38" s="520" t="str">
        <f>IF(B38="","",IF(ISNA(VLOOKUP($B38,'B-1 Site Hedge Baseline'!$B$1:$L$257,5,FALSE)),"",(VLOOKUP($B38,'B-1 Site Hedge Baseline'!$B$1:$L$257,5,FALSE))))</f>
        <v/>
      </c>
      <c r="F38" s="520" t="str">
        <f>IF(B38="","",IF(ISNA(VLOOKUP($B38,'B-1 Site Hedge Baseline'!$B$1:$L$257,6,FALSE)),"",(VLOOKUP($B38,'B-1 Site Hedge Baseline'!$B$1:$L$257,6,FALSE))))</f>
        <v/>
      </c>
      <c r="G38" s="520" t="str">
        <f>IF(B38="","",IF(ISNA(VLOOKUP($B38,'B-1 Site Hedge Baseline'!$B$1:$L$257,7,FALSE)),"",(VLOOKUP($B38,'B-1 Site Hedge Baseline'!$B$1:$L$257,7,FALSE))))</f>
        <v/>
      </c>
      <c r="H38" s="520" t="str">
        <f>IF(B38="","",IF(ISNA(VLOOKUP($B38,'B-1 Site Hedge Baseline'!$B$1:$L$257,8,FALSE)),"",(VLOOKUP($B38,'B-1 Site Hedge Baseline'!$B$1:$L$257,8,FALSE))))</f>
        <v/>
      </c>
      <c r="I38" s="520" t="str">
        <f>IF(B38="","",IF(ISNA(VLOOKUP($B38,'B-1 Site Hedge Baseline'!$B$1:$L$257,10,FALSE)),"",(VLOOKUP($B38,'B-1 Site Hedge Baseline'!$B$1:$L$257,10,FALSE))))</f>
        <v/>
      </c>
      <c r="J38" s="520" t="str">
        <f>IF(B38="","",IF(ISNA(VLOOKUP($B38,'B-1 Site Hedge Baseline'!$B$1:$L$257,11,FALSE)),"",(VLOOKUP($B38,'B-1 Site Hedge Baseline'!$B$1:$L$257,11,FALSE))))</f>
        <v/>
      </c>
      <c r="K38" s="520" t="str">
        <f>IF(B38="","",IF(ISNA(VLOOKUP($B38,'B-1 Site Hedge Baseline'!$B$1:$U$257,13,FALSE)),"",(VLOOKUP($B38,'B-1 Site Hedge Baseline'!$B$1:$U$257,13,FALSE))))</f>
        <v/>
      </c>
      <c r="L38" s="524" t="str">
        <f>IF(B38="","",IF(ISNA(VLOOKUP($B38,'B-1 Site Hedge Baseline'!$B$1:$U$257,12,FALSE)),"",(VLOOKUP($B38,'B-1 Site Hedge Baseline'!$B$1:$U$257,12,FALSE))))</f>
        <v/>
      </c>
      <c r="M38" s="416" t="str">
        <f t="shared" si="0"/>
        <v/>
      </c>
      <c r="N38" s="498" t="str">
        <f>IFERROR(IF(B38="","",INDEX('G-6 Hedgerow Data'!$AN$3:$AZ$15,MATCH(C38,'G-6 Hedgerow Data'!$AM$3:$AM$15,0),MATCH(M38,'G-6 Hedgerow Data'!$AN$2:$AZ$2,0))),"")</f>
        <v/>
      </c>
      <c r="O38" s="499" t="str">
        <f t="shared" si="2"/>
        <v/>
      </c>
      <c r="P38" s="559" t="str">
        <f>IF(B38="","",VLOOKUP(B38,'B-1 Site Hedge Baseline'!$B$10:T283,16,FALSE))</f>
        <v/>
      </c>
      <c r="Q38" s="498" t="str">
        <f>IF(M38="","",VLOOKUP(M38,'G-6 Hedgerow Data'!$B$2:$AG$15,2,FALSE))</f>
        <v/>
      </c>
      <c r="R38" s="499" t="str">
        <f>IF(M38="","",VLOOKUP(M38,'G-6 Hedgerow Data'!$B$2:$AG$15,3,FALSE))</f>
        <v/>
      </c>
      <c r="S38" s="157"/>
      <c r="T38" s="540" t="str">
        <f>IFERROR(VLOOKUP(S38,'G-1 All Habitats'!$Z$2:$AA$9,2,FALSE),"")</f>
        <v/>
      </c>
      <c r="U38" s="154"/>
      <c r="V38" s="520" t="str">
        <f>IF(U38="","",IF(VLOOKUP(U38,'G-3 Multipliers'!$L$3:$N$6,2,FALSE)=0,"Spatial Data Missing ⚠",VLOOKUP(U38,'G-3 Multipliers'!$L$3:$N$6,2,FALSE)))</f>
        <v/>
      </c>
      <c r="W38" s="524"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07" t="str">
        <f t="shared" si="5"/>
        <v/>
      </c>
      <c r="AF38" s="507" t="str">
        <f t="shared" si="6"/>
        <v/>
      </c>
      <c r="AG38" s="524" t="str">
        <f>IFERROR(IF(O38="","",VLOOKUP(AD38,'G-3 Multipliers'!$P$3:$Q$6,2,FALSE)),"")</f>
        <v/>
      </c>
      <c r="AH38" s="513" t="str">
        <f t="shared" si="7"/>
        <v/>
      </c>
      <c r="AI38" s="231"/>
      <c r="AJ38" s="150"/>
      <c r="AT38" s="31" t="str">
        <f>IFERROR(INDEX('G-6 Hedgerow Data'!$BJ$3:$BJ$15,MATCH(M38,'G-6 Hedgerow Data'!$B$3:$B$15,0)),"")</f>
        <v/>
      </c>
    </row>
    <row r="39" spans="2:46" ht="13.8" x14ac:dyDescent="0.25">
      <c r="B39" s="531" t="str">
        <f>'B-1 Site Hedge Baseline'!AK37</f>
        <v/>
      </c>
      <c r="C39" s="520" t="str">
        <f>IF(B39="","",IF(ISNA(VLOOKUP($B39,'B-1 Site Hedge Baseline'!$B$1:$L$257,3,FALSE)),"",(VLOOKUP($B39,'B-1 Site Hedge Baseline'!$B$1:$L$257,3,FALSE))))</f>
        <v/>
      </c>
      <c r="D39" s="520" t="str">
        <f>IF(B39="","",IF(ISNA(VLOOKUP($B39,'B-1 Site Hedge Baseline'!$B$1:$L$257,4,FALSE)),"",(VLOOKUP($B39,'B-1 Site Hedge Baseline'!$B$1:$L$257,4,FALSE))))</f>
        <v/>
      </c>
      <c r="E39" s="520" t="str">
        <f>IF(B39="","",IF(ISNA(VLOOKUP($B39,'B-1 Site Hedge Baseline'!$B$1:$L$257,5,FALSE)),"",(VLOOKUP($B39,'B-1 Site Hedge Baseline'!$B$1:$L$257,5,FALSE))))</f>
        <v/>
      </c>
      <c r="F39" s="520" t="str">
        <f>IF(B39="","",IF(ISNA(VLOOKUP($B39,'B-1 Site Hedge Baseline'!$B$1:$L$257,6,FALSE)),"",(VLOOKUP($B39,'B-1 Site Hedge Baseline'!$B$1:$L$257,6,FALSE))))</f>
        <v/>
      </c>
      <c r="G39" s="520" t="str">
        <f>IF(B39="","",IF(ISNA(VLOOKUP($B39,'B-1 Site Hedge Baseline'!$B$1:$L$257,7,FALSE)),"",(VLOOKUP($B39,'B-1 Site Hedge Baseline'!$B$1:$L$257,7,FALSE))))</f>
        <v/>
      </c>
      <c r="H39" s="520" t="str">
        <f>IF(B39="","",IF(ISNA(VLOOKUP($B39,'B-1 Site Hedge Baseline'!$B$1:$L$257,8,FALSE)),"",(VLOOKUP($B39,'B-1 Site Hedge Baseline'!$B$1:$L$257,8,FALSE))))</f>
        <v/>
      </c>
      <c r="I39" s="520" t="str">
        <f>IF(B39="","",IF(ISNA(VLOOKUP($B39,'B-1 Site Hedge Baseline'!$B$1:$L$257,10,FALSE)),"",(VLOOKUP($B39,'B-1 Site Hedge Baseline'!$B$1:$L$257,10,FALSE))))</f>
        <v/>
      </c>
      <c r="J39" s="520" t="str">
        <f>IF(B39="","",IF(ISNA(VLOOKUP($B39,'B-1 Site Hedge Baseline'!$B$1:$L$257,11,FALSE)),"",(VLOOKUP($B39,'B-1 Site Hedge Baseline'!$B$1:$L$257,11,FALSE))))</f>
        <v/>
      </c>
      <c r="K39" s="520" t="str">
        <f>IF(B39="","",IF(ISNA(VLOOKUP($B39,'B-1 Site Hedge Baseline'!$B$1:$U$257,13,FALSE)),"",(VLOOKUP($B39,'B-1 Site Hedge Baseline'!$B$1:$U$257,13,FALSE))))</f>
        <v/>
      </c>
      <c r="L39" s="524" t="str">
        <f>IF(B39="","",IF(ISNA(VLOOKUP($B39,'B-1 Site Hedge Baseline'!$B$1:$U$257,12,FALSE)),"",(VLOOKUP($B39,'B-1 Site Hedge Baseline'!$B$1:$U$257,12,FALSE))))</f>
        <v/>
      </c>
      <c r="M39" s="416" t="str">
        <f t="shared" si="0"/>
        <v/>
      </c>
      <c r="N39" s="498" t="str">
        <f>IFERROR(IF(B39="","",INDEX('G-6 Hedgerow Data'!$AN$3:$AZ$15,MATCH(C39,'G-6 Hedgerow Data'!$AM$3:$AM$15,0),MATCH(M39,'G-6 Hedgerow Data'!$AN$2:$AZ$2,0))),"")</f>
        <v/>
      </c>
      <c r="O39" s="499" t="str">
        <f t="shared" si="2"/>
        <v/>
      </c>
      <c r="P39" s="559" t="str">
        <f>IF(B39="","",VLOOKUP(B39,'B-1 Site Hedge Baseline'!$B$10:T284,16,FALSE))</f>
        <v/>
      </c>
      <c r="Q39" s="498" t="str">
        <f>IF(M39="","",VLOOKUP(M39,'G-6 Hedgerow Data'!$B$2:$AG$15,2,FALSE))</f>
        <v/>
      </c>
      <c r="R39" s="499" t="str">
        <f>IF(M39="","",VLOOKUP(M39,'G-6 Hedgerow Data'!$B$2:$AG$15,3,FALSE))</f>
        <v/>
      </c>
      <c r="S39" s="157"/>
      <c r="T39" s="540" t="str">
        <f>IFERROR(VLOOKUP(S39,'G-1 All Habitats'!$Z$2:$AA$9,2,FALSE),"")</f>
        <v/>
      </c>
      <c r="U39" s="154"/>
      <c r="V39" s="520" t="str">
        <f>IF(U39="","",IF(VLOOKUP(U39,'G-3 Multipliers'!$L$3:$N$6,2,FALSE)=0,"Spatial Data Missing ⚠",VLOOKUP(U39,'G-3 Multipliers'!$L$3:$N$6,2,FALSE)))</f>
        <v/>
      </c>
      <c r="W39" s="524"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07" t="str">
        <f t="shared" si="5"/>
        <v/>
      </c>
      <c r="AF39" s="507" t="str">
        <f t="shared" si="6"/>
        <v/>
      </c>
      <c r="AG39" s="524" t="str">
        <f>IFERROR(IF(O39="","",VLOOKUP(AD39,'G-3 Multipliers'!$P$3:$Q$6,2,FALSE)),"")</f>
        <v/>
      </c>
      <c r="AH39" s="513" t="str">
        <f t="shared" si="7"/>
        <v/>
      </c>
      <c r="AI39" s="231"/>
      <c r="AJ39" s="150"/>
      <c r="AT39" s="31" t="str">
        <f>IFERROR(INDEX('G-6 Hedgerow Data'!$BJ$3:$BJ$15,MATCH(M39,'G-6 Hedgerow Data'!$B$3:$B$15,0)),"")</f>
        <v/>
      </c>
    </row>
    <row r="40" spans="2:46" ht="13.8" x14ac:dyDescent="0.25">
      <c r="B40" s="531" t="str">
        <f>'B-1 Site Hedge Baseline'!AK38</f>
        <v/>
      </c>
      <c r="C40" s="520" t="str">
        <f>IF(B40="","",IF(ISNA(VLOOKUP($B40,'B-1 Site Hedge Baseline'!$B$1:$L$257,3,FALSE)),"",(VLOOKUP($B40,'B-1 Site Hedge Baseline'!$B$1:$L$257,3,FALSE))))</f>
        <v/>
      </c>
      <c r="D40" s="520" t="str">
        <f>IF(B40="","",IF(ISNA(VLOOKUP($B40,'B-1 Site Hedge Baseline'!$B$1:$L$257,4,FALSE)),"",(VLOOKUP($B40,'B-1 Site Hedge Baseline'!$B$1:$L$257,4,FALSE))))</f>
        <v/>
      </c>
      <c r="E40" s="520" t="str">
        <f>IF(B40="","",IF(ISNA(VLOOKUP($B40,'B-1 Site Hedge Baseline'!$B$1:$L$257,5,FALSE)),"",(VLOOKUP($B40,'B-1 Site Hedge Baseline'!$B$1:$L$257,5,FALSE))))</f>
        <v/>
      </c>
      <c r="F40" s="520" t="str">
        <f>IF(B40="","",IF(ISNA(VLOOKUP($B40,'B-1 Site Hedge Baseline'!$B$1:$L$257,6,FALSE)),"",(VLOOKUP($B40,'B-1 Site Hedge Baseline'!$B$1:$L$257,6,FALSE))))</f>
        <v/>
      </c>
      <c r="G40" s="520" t="str">
        <f>IF(B40="","",IF(ISNA(VLOOKUP($B40,'B-1 Site Hedge Baseline'!$B$1:$L$257,7,FALSE)),"",(VLOOKUP($B40,'B-1 Site Hedge Baseline'!$B$1:$L$257,7,FALSE))))</f>
        <v/>
      </c>
      <c r="H40" s="520" t="str">
        <f>IF(B40="","",IF(ISNA(VLOOKUP($B40,'B-1 Site Hedge Baseline'!$B$1:$L$257,8,FALSE)),"",(VLOOKUP($B40,'B-1 Site Hedge Baseline'!$B$1:$L$257,8,FALSE))))</f>
        <v/>
      </c>
      <c r="I40" s="520" t="str">
        <f>IF(B40="","",IF(ISNA(VLOOKUP($B40,'B-1 Site Hedge Baseline'!$B$1:$L$257,10,FALSE)),"",(VLOOKUP($B40,'B-1 Site Hedge Baseline'!$B$1:$L$257,10,FALSE))))</f>
        <v/>
      </c>
      <c r="J40" s="520" t="str">
        <f>IF(B40="","",IF(ISNA(VLOOKUP($B40,'B-1 Site Hedge Baseline'!$B$1:$L$257,11,FALSE)),"",(VLOOKUP($B40,'B-1 Site Hedge Baseline'!$B$1:$L$257,11,FALSE))))</f>
        <v/>
      </c>
      <c r="K40" s="520" t="str">
        <f>IF(B40="","",IF(ISNA(VLOOKUP($B40,'B-1 Site Hedge Baseline'!$B$1:$U$257,13,FALSE)),"",(VLOOKUP($B40,'B-1 Site Hedge Baseline'!$B$1:$U$257,13,FALSE))))</f>
        <v/>
      </c>
      <c r="L40" s="524" t="str">
        <f>IF(B40="","",IF(ISNA(VLOOKUP($B40,'B-1 Site Hedge Baseline'!$B$1:$U$257,12,FALSE)),"",(VLOOKUP($B40,'B-1 Site Hedge Baseline'!$B$1:$U$257,12,FALSE))))</f>
        <v/>
      </c>
      <c r="M40" s="416" t="str">
        <f t="shared" si="0"/>
        <v/>
      </c>
      <c r="N40" s="498" t="str">
        <f>IFERROR(IF(B40="","",INDEX('G-6 Hedgerow Data'!$AN$3:$AZ$15,MATCH(C40,'G-6 Hedgerow Data'!$AM$3:$AM$15,0),MATCH(M40,'G-6 Hedgerow Data'!$AN$2:$AZ$2,0))),"")</f>
        <v/>
      </c>
      <c r="O40" s="499" t="str">
        <f t="shared" si="2"/>
        <v/>
      </c>
      <c r="P40" s="559" t="str">
        <f>IF(B40="","",VLOOKUP(B40,'B-1 Site Hedge Baseline'!$B$10:T285,16,FALSE))</f>
        <v/>
      </c>
      <c r="Q40" s="498" t="str">
        <f>IF(M40="","",VLOOKUP(M40,'G-6 Hedgerow Data'!$B$2:$AG$15,2,FALSE))</f>
        <v/>
      </c>
      <c r="R40" s="499" t="str">
        <f>IF(M40="","",VLOOKUP(M40,'G-6 Hedgerow Data'!$B$2:$AG$15,3,FALSE))</f>
        <v/>
      </c>
      <c r="S40" s="157"/>
      <c r="T40" s="540" t="str">
        <f>IFERROR(VLOOKUP(S40,'G-1 All Habitats'!$Z$2:$AA$9,2,FALSE),"")</f>
        <v/>
      </c>
      <c r="U40" s="154"/>
      <c r="V40" s="520" t="str">
        <f>IF(U40="","",IF(VLOOKUP(U40,'G-3 Multipliers'!$L$3:$N$6,2,FALSE)=0,"Spatial Data Missing ⚠",VLOOKUP(U40,'G-3 Multipliers'!$L$3:$N$6,2,FALSE)))</f>
        <v/>
      </c>
      <c r="W40" s="524"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07" t="str">
        <f t="shared" si="5"/>
        <v/>
      </c>
      <c r="AF40" s="507" t="str">
        <f t="shared" si="6"/>
        <v/>
      </c>
      <c r="AG40" s="524" t="str">
        <f>IFERROR(IF(O40="","",VLOOKUP(AD40,'G-3 Multipliers'!$P$3:$Q$6,2,FALSE)),"")</f>
        <v/>
      </c>
      <c r="AH40" s="513" t="str">
        <f t="shared" si="7"/>
        <v/>
      </c>
      <c r="AI40" s="231"/>
      <c r="AJ40" s="150"/>
      <c r="AT40" s="31" t="str">
        <f>IFERROR(INDEX('G-6 Hedgerow Data'!$BJ$3:$BJ$15,MATCH(M40,'G-6 Hedgerow Data'!$B$3:$B$15,0)),"")</f>
        <v/>
      </c>
    </row>
    <row r="41" spans="2:46" ht="13.8" x14ac:dyDescent="0.25">
      <c r="B41" s="531" t="str">
        <f>'B-1 Site Hedge Baseline'!AK39</f>
        <v/>
      </c>
      <c r="C41" s="520" t="str">
        <f>IF(B41="","",IF(ISNA(VLOOKUP($B41,'B-1 Site Hedge Baseline'!$B$1:$L$257,3,FALSE)),"",(VLOOKUP($B41,'B-1 Site Hedge Baseline'!$B$1:$L$257,3,FALSE))))</f>
        <v/>
      </c>
      <c r="D41" s="520" t="str">
        <f>IF(B41="","",IF(ISNA(VLOOKUP($B41,'B-1 Site Hedge Baseline'!$B$1:$L$257,4,FALSE)),"",(VLOOKUP($B41,'B-1 Site Hedge Baseline'!$B$1:$L$257,4,FALSE))))</f>
        <v/>
      </c>
      <c r="E41" s="520" t="str">
        <f>IF(B41="","",IF(ISNA(VLOOKUP($B41,'B-1 Site Hedge Baseline'!$B$1:$L$257,5,FALSE)),"",(VLOOKUP($B41,'B-1 Site Hedge Baseline'!$B$1:$L$257,5,FALSE))))</f>
        <v/>
      </c>
      <c r="F41" s="520" t="str">
        <f>IF(B41="","",IF(ISNA(VLOOKUP($B41,'B-1 Site Hedge Baseline'!$B$1:$L$257,6,FALSE)),"",(VLOOKUP($B41,'B-1 Site Hedge Baseline'!$B$1:$L$257,6,FALSE))))</f>
        <v/>
      </c>
      <c r="G41" s="520" t="str">
        <f>IF(B41="","",IF(ISNA(VLOOKUP($B41,'B-1 Site Hedge Baseline'!$B$1:$L$257,7,FALSE)),"",(VLOOKUP($B41,'B-1 Site Hedge Baseline'!$B$1:$L$257,7,FALSE))))</f>
        <v/>
      </c>
      <c r="H41" s="520" t="str">
        <f>IF(B41="","",IF(ISNA(VLOOKUP($B41,'B-1 Site Hedge Baseline'!$B$1:$L$257,8,FALSE)),"",(VLOOKUP($B41,'B-1 Site Hedge Baseline'!$B$1:$L$257,8,FALSE))))</f>
        <v/>
      </c>
      <c r="I41" s="520" t="str">
        <f>IF(B41="","",IF(ISNA(VLOOKUP($B41,'B-1 Site Hedge Baseline'!$B$1:$L$257,10,FALSE)),"",(VLOOKUP($B41,'B-1 Site Hedge Baseline'!$B$1:$L$257,10,FALSE))))</f>
        <v/>
      </c>
      <c r="J41" s="520" t="str">
        <f>IF(B41="","",IF(ISNA(VLOOKUP($B41,'B-1 Site Hedge Baseline'!$B$1:$L$257,11,FALSE)),"",(VLOOKUP($B41,'B-1 Site Hedge Baseline'!$B$1:$L$257,11,FALSE))))</f>
        <v/>
      </c>
      <c r="K41" s="520" t="str">
        <f>IF(B41="","",IF(ISNA(VLOOKUP($B41,'B-1 Site Hedge Baseline'!$B$1:$U$257,13,FALSE)),"",(VLOOKUP($B41,'B-1 Site Hedge Baseline'!$B$1:$U$257,13,FALSE))))</f>
        <v/>
      </c>
      <c r="L41" s="524" t="str">
        <f>IF(B41="","",IF(ISNA(VLOOKUP($B41,'B-1 Site Hedge Baseline'!$B$1:$U$257,12,FALSE)),"",(VLOOKUP($B41,'B-1 Site Hedge Baseline'!$B$1:$U$257,12,FALSE))))</f>
        <v/>
      </c>
      <c r="M41" s="416" t="str">
        <f t="shared" si="0"/>
        <v/>
      </c>
      <c r="N41" s="498" t="str">
        <f>IFERROR(IF(B41="","",INDEX('G-6 Hedgerow Data'!$AN$3:$AZ$15,MATCH(C41,'G-6 Hedgerow Data'!$AM$3:$AM$15,0),MATCH(M41,'G-6 Hedgerow Data'!$AN$2:$AZ$2,0))),"")</f>
        <v/>
      </c>
      <c r="O41" s="499" t="str">
        <f t="shared" si="2"/>
        <v/>
      </c>
      <c r="P41" s="559" t="str">
        <f>IF(B41="","",VLOOKUP(B41,'B-1 Site Hedge Baseline'!$B$10:T286,16,FALSE))</f>
        <v/>
      </c>
      <c r="Q41" s="498" t="str">
        <f>IF(M41="","",VLOOKUP(M41,'G-6 Hedgerow Data'!$B$2:$AG$15,2,FALSE))</f>
        <v/>
      </c>
      <c r="R41" s="499" t="str">
        <f>IF(M41="","",VLOOKUP(M41,'G-6 Hedgerow Data'!$B$2:$AG$15,3,FALSE))</f>
        <v/>
      </c>
      <c r="S41" s="157"/>
      <c r="T41" s="540" t="str">
        <f>IFERROR(VLOOKUP(S41,'G-1 All Habitats'!$Z$2:$AA$9,2,FALSE),"")</f>
        <v/>
      </c>
      <c r="U41" s="154"/>
      <c r="V41" s="520" t="str">
        <f>IF(U41="","",IF(VLOOKUP(U41,'G-3 Multipliers'!$L$3:$N$6,2,FALSE)=0,"Spatial Data Missing ⚠",VLOOKUP(U41,'G-3 Multipliers'!$L$3:$N$6,2,FALSE)))</f>
        <v/>
      </c>
      <c r="W41" s="524"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07" t="str">
        <f t="shared" si="5"/>
        <v/>
      </c>
      <c r="AF41" s="507" t="str">
        <f t="shared" si="6"/>
        <v/>
      </c>
      <c r="AG41" s="524" t="str">
        <f>IFERROR(IF(O41="","",VLOOKUP(AD41,'G-3 Multipliers'!$P$3:$Q$6,2,FALSE)),"")</f>
        <v/>
      </c>
      <c r="AH41" s="513" t="str">
        <f t="shared" si="7"/>
        <v/>
      </c>
      <c r="AI41" s="231"/>
      <c r="AJ41" s="150"/>
      <c r="AT41" s="31" t="str">
        <f>IFERROR(INDEX('G-6 Hedgerow Data'!$BJ$3:$BJ$15,MATCH(M41,'G-6 Hedgerow Data'!$B$3:$B$15,0)),"")</f>
        <v/>
      </c>
    </row>
    <row r="42" spans="2:46" ht="13.8" x14ac:dyDescent="0.25">
      <c r="B42" s="531" t="str">
        <f>'B-1 Site Hedge Baseline'!AK40</f>
        <v/>
      </c>
      <c r="C42" s="520" t="str">
        <f>IF(B42="","",IF(ISNA(VLOOKUP($B42,'B-1 Site Hedge Baseline'!$B$1:$L$257,3,FALSE)),"",(VLOOKUP($B42,'B-1 Site Hedge Baseline'!$B$1:$L$257,3,FALSE))))</f>
        <v/>
      </c>
      <c r="D42" s="520" t="str">
        <f>IF(B42="","",IF(ISNA(VLOOKUP($B42,'B-1 Site Hedge Baseline'!$B$1:$L$257,4,FALSE)),"",(VLOOKUP($B42,'B-1 Site Hedge Baseline'!$B$1:$L$257,4,FALSE))))</f>
        <v/>
      </c>
      <c r="E42" s="520" t="str">
        <f>IF(B42="","",IF(ISNA(VLOOKUP($B42,'B-1 Site Hedge Baseline'!$B$1:$L$257,5,FALSE)),"",(VLOOKUP($B42,'B-1 Site Hedge Baseline'!$B$1:$L$257,5,FALSE))))</f>
        <v/>
      </c>
      <c r="F42" s="520" t="str">
        <f>IF(B42="","",IF(ISNA(VLOOKUP($B42,'B-1 Site Hedge Baseline'!$B$1:$L$257,6,FALSE)),"",(VLOOKUP($B42,'B-1 Site Hedge Baseline'!$B$1:$L$257,6,FALSE))))</f>
        <v/>
      </c>
      <c r="G42" s="520" t="str">
        <f>IF(B42="","",IF(ISNA(VLOOKUP($B42,'B-1 Site Hedge Baseline'!$B$1:$L$257,7,FALSE)),"",(VLOOKUP($B42,'B-1 Site Hedge Baseline'!$B$1:$L$257,7,FALSE))))</f>
        <v/>
      </c>
      <c r="H42" s="520" t="str">
        <f>IF(B42="","",IF(ISNA(VLOOKUP($B42,'B-1 Site Hedge Baseline'!$B$1:$L$257,8,FALSE)),"",(VLOOKUP($B42,'B-1 Site Hedge Baseline'!$B$1:$L$257,8,FALSE))))</f>
        <v/>
      </c>
      <c r="I42" s="520" t="str">
        <f>IF(B42="","",IF(ISNA(VLOOKUP($B42,'B-1 Site Hedge Baseline'!$B$1:$L$257,10,FALSE)),"",(VLOOKUP($B42,'B-1 Site Hedge Baseline'!$B$1:$L$257,10,FALSE))))</f>
        <v/>
      </c>
      <c r="J42" s="520" t="str">
        <f>IF(B42="","",IF(ISNA(VLOOKUP($B42,'B-1 Site Hedge Baseline'!$B$1:$L$257,11,FALSE)),"",(VLOOKUP($B42,'B-1 Site Hedge Baseline'!$B$1:$L$257,11,FALSE))))</f>
        <v/>
      </c>
      <c r="K42" s="520" t="str">
        <f>IF(B42="","",IF(ISNA(VLOOKUP($B42,'B-1 Site Hedge Baseline'!$B$1:$U$257,13,FALSE)),"",(VLOOKUP($B42,'B-1 Site Hedge Baseline'!$B$1:$U$257,13,FALSE))))</f>
        <v/>
      </c>
      <c r="L42" s="524" t="str">
        <f>IF(B42="","",IF(ISNA(VLOOKUP($B42,'B-1 Site Hedge Baseline'!$B$1:$U$257,12,FALSE)),"",(VLOOKUP($B42,'B-1 Site Hedge Baseline'!$B$1:$U$257,12,FALSE))))</f>
        <v/>
      </c>
      <c r="M42" s="416" t="str">
        <f t="shared" si="0"/>
        <v/>
      </c>
      <c r="N42" s="498" t="str">
        <f>IFERROR(IF(B42="","",INDEX('G-6 Hedgerow Data'!$AN$3:$AZ$15,MATCH(C42,'G-6 Hedgerow Data'!$AM$3:$AM$15,0),MATCH(M42,'G-6 Hedgerow Data'!$AN$2:$AZ$2,0))),"")</f>
        <v/>
      </c>
      <c r="O42" s="499" t="str">
        <f t="shared" si="2"/>
        <v/>
      </c>
      <c r="P42" s="559" t="str">
        <f>IF(B42="","",VLOOKUP(B42,'B-1 Site Hedge Baseline'!$B$10:T287,16,FALSE))</f>
        <v/>
      </c>
      <c r="Q42" s="498" t="str">
        <f>IF(M42="","",VLOOKUP(M42,'G-6 Hedgerow Data'!$B$2:$AG$15,2,FALSE))</f>
        <v/>
      </c>
      <c r="R42" s="499" t="str">
        <f>IF(M42="","",VLOOKUP(M42,'G-6 Hedgerow Data'!$B$2:$AG$15,3,FALSE))</f>
        <v/>
      </c>
      <c r="S42" s="157"/>
      <c r="T42" s="540" t="str">
        <f>IFERROR(VLOOKUP(S42,'G-1 All Habitats'!$Z$2:$AA$9,2,FALSE),"")</f>
        <v/>
      </c>
      <c r="U42" s="154"/>
      <c r="V42" s="520" t="str">
        <f>IF(U42="","",IF(VLOOKUP(U42,'G-3 Multipliers'!$L$3:$N$6,2,FALSE)=0,"Spatial Data Missing ⚠",VLOOKUP(U42,'G-3 Multipliers'!$L$3:$N$6,2,FALSE)))</f>
        <v/>
      </c>
      <c r="W42" s="524"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07" t="str">
        <f t="shared" si="5"/>
        <v/>
      </c>
      <c r="AF42" s="507" t="str">
        <f t="shared" si="6"/>
        <v/>
      </c>
      <c r="AG42" s="524" t="str">
        <f>IFERROR(IF(O42="","",VLOOKUP(AD42,'G-3 Multipliers'!$P$3:$Q$6,2,FALSE)),"")</f>
        <v/>
      </c>
      <c r="AH42" s="513" t="str">
        <f t="shared" si="7"/>
        <v/>
      </c>
      <c r="AI42" s="231"/>
      <c r="AJ42" s="150"/>
      <c r="AT42" s="31" t="str">
        <f>IFERROR(INDEX('G-6 Hedgerow Data'!$BJ$3:$BJ$15,MATCH(M42,'G-6 Hedgerow Data'!$B$3:$B$15,0)),"")</f>
        <v/>
      </c>
    </row>
    <row r="43" spans="2:46" ht="13.8" x14ac:dyDescent="0.25">
      <c r="B43" s="531" t="str">
        <f>'B-1 Site Hedge Baseline'!AK41</f>
        <v/>
      </c>
      <c r="C43" s="520" t="str">
        <f>IF(B43="","",IF(ISNA(VLOOKUP($B43,'B-1 Site Hedge Baseline'!$B$1:$L$257,3,FALSE)),"",(VLOOKUP($B43,'B-1 Site Hedge Baseline'!$B$1:$L$257,3,FALSE))))</f>
        <v/>
      </c>
      <c r="D43" s="520" t="str">
        <f>IF(B43="","",IF(ISNA(VLOOKUP($B43,'B-1 Site Hedge Baseline'!$B$1:$L$257,4,FALSE)),"",(VLOOKUP($B43,'B-1 Site Hedge Baseline'!$B$1:$L$257,4,FALSE))))</f>
        <v/>
      </c>
      <c r="E43" s="520" t="str">
        <f>IF(B43="","",IF(ISNA(VLOOKUP($B43,'B-1 Site Hedge Baseline'!$B$1:$L$257,5,FALSE)),"",(VLOOKUP($B43,'B-1 Site Hedge Baseline'!$B$1:$L$257,5,FALSE))))</f>
        <v/>
      </c>
      <c r="F43" s="520" t="str">
        <f>IF(B43="","",IF(ISNA(VLOOKUP($B43,'B-1 Site Hedge Baseline'!$B$1:$L$257,6,FALSE)),"",(VLOOKUP($B43,'B-1 Site Hedge Baseline'!$B$1:$L$257,6,FALSE))))</f>
        <v/>
      </c>
      <c r="G43" s="520" t="str">
        <f>IF(B43="","",IF(ISNA(VLOOKUP($B43,'B-1 Site Hedge Baseline'!$B$1:$L$257,7,FALSE)),"",(VLOOKUP($B43,'B-1 Site Hedge Baseline'!$B$1:$L$257,7,FALSE))))</f>
        <v/>
      </c>
      <c r="H43" s="520" t="str">
        <f>IF(B43="","",IF(ISNA(VLOOKUP($B43,'B-1 Site Hedge Baseline'!$B$1:$L$257,8,FALSE)),"",(VLOOKUP($B43,'B-1 Site Hedge Baseline'!$B$1:$L$257,8,FALSE))))</f>
        <v/>
      </c>
      <c r="I43" s="520" t="str">
        <f>IF(B43="","",IF(ISNA(VLOOKUP($B43,'B-1 Site Hedge Baseline'!$B$1:$L$257,10,FALSE)),"",(VLOOKUP($B43,'B-1 Site Hedge Baseline'!$B$1:$L$257,10,FALSE))))</f>
        <v/>
      </c>
      <c r="J43" s="520" t="str">
        <f>IF(B43="","",IF(ISNA(VLOOKUP($B43,'B-1 Site Hedge Baseline'!$B$1:$L$257,11,FALSE)),"",(VLOOKUP($B43,'B-1 Site Hedge Baseline'!$B$1:$L$257,11,FALSE))))</f>
        <v/>
      </c>
      <c r="K43" s="520" t="str">
        <f>IF(B43="","",IF(ISNA(VLOOKUP($B43,'B-1 Site Hedge Baseline'!$B$1:$U$257,13,FALSE)),"",(VLOOKUP($B43,'B-1 Site Hedge Baseline'!$B$1:$U$257,13,FALSE))))</f>
        <v/>
      </c>
      <c r="L43" s="524" t="str">
        <f>IF(B43="","",IF(ISNA(VLOOKUP($B43,'B-1 Site Hedge Baseline'!$B$1:$U$257,12,FALSE)),"",(VLOOKUP($B43,'B-1 Site Hedge Baseline'!$B$1:$U$257,12,FALSE))))</f>
        <v/>
      </c>
      <c r="M43" s="416" t="str">
        <f t="shared" si="0"/>
        <v/>
      </c>
      <c r="N43" s="498" t="str">
        <f>IFERROR(IF(B43="","",INDEX('G-6 Hedgerow Data'!$AN$3:$AZ$15,MATCH(C43,'G-6 Hedgerow Data'!$AM$3:$AM$15,0),MATCH(M43,'G-6 Hedgerow Data'!$AN$2:$AZ$2,0))),"")</f>
        <v/>
      </c>
      <c r="O43" s="499" t="str">
        <f t="shared" si="2"/>
        <v/>
      </c>
      <c r="P43" s="559" t="str">
        <f>IF(B43="","",VLOOKUP(B43,'B-1 Site Hedge Baseline'!$B$10:T288,16,FALSE))</f>
        <v/>
      </c>
      <c r="Q43" s="498" t="str">
        <f>IF(M43="","",VLOOKUP(M43,'G-6 Hedgerow Data'!$B$2:$AG$15,2,FALSE))</f>
        <v/>
      </c>
      <c r="R43" s="499" t="str">
        <f>IF(M43="","",VLOOKUP(M43,'G-6 Hedgerow Data'!$B$2:$AG$15,3,FALSE))</f>
        <v/>
      </c>
      <c r="S43" s="157"/>
      <c r="T43" s="540" t="str">
        <f>IFERROR(VLOOKUP(S43,'G-1 All Habitats'!$Z$2:$AA$9,2,FALSE),"")</f>
        <v/>
      </c>
      <c r="U43" s="154"/>
      <c r="V43" s="520" t="str">
        <f>IF(U43="","",IF(VLOOKUP(U43,'G-3 Multipliers'!$L$3:$N$6,2,FALSE)=0,"Spatial Data Missing ⚠",VLOOKUP(U43,'G-3 Multipliers'!$L$3:$N$6,2,FALSE)))</f>
        <v/>
      </c>
      <c r="W43" s="524"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07" t="str">
        <f t="shared" si="5"/>
        <v/>
      </c>
      <c r="AF43" s="507" t="str">
        <f t="shared" si="6"/>
        <v/>
      </c>
      <c r="AG43" s="524" t="str">
        <f>IFERROR(IF(O43="","",VLOOKUP(AD43,'G-3 Multipliers'!$P$3:$Q$6,2,FALSE)),"")</f>
        <v/>
      </c>
      <c r="AH43" s="513" t="str">
        <f t="shared" si="7"/>
        <v/>
      </c>
      <c r="AI43" s="231"/>
      <c r="AJ43" s="150"/>
      <c r="AT43" s="31" t="str">
        <f>IFERROR(INDEX('G-6 Hedgerow Data'!$BJ$3:$BJ$15,MATCH(M43,'G-6 Hedgerow Data'!$B$3:$B$15,0)),"")</f>
        <v/>
      </c>
    </row>
    <row r="44" spans="2:46" ht="13.8" x14ac:dyDescent="0.25">
      <c r="B44" s="531" t="str">
        <f>'B-1 Site Hedge Baseline'!AK42</f>
        <v/>
      </c>
      <c r="C44" s="520" t="str">
        <f>IF(B44="","",IF(ISNA(VLOOKUP($B44,'B-1 Site Hedge Baseline'!$B$1:$L$257,3,FALSE)),"",(VLOOKUP($B44,'B-1 Site Hedge Baseline'!$B$1:$L$257,3,FALSE))))</f>
        <v/>
      </c>
      <c r="D44" s="520" t="str">
        <f>IF(B44="","",IF(ISNA(VLOOKUP($B44,'B-1 Site Hedge Baseline'!$B$1:$L$257,4,FALSE)),"",(VLOOKUP($B44,'B-1 Site Hedge Baseline'!$B$1:$L$257,4,FALSE))))</f>
        <v/>
      </c>
      <c r="E44" s="520" t="str">
        <f>IF(B44="","",IF(ISNA(VLOOKUP($B44,'B-1 Site Hedge Baseline'!$B$1:$L$257,5,FALSE)),"",(VLOOKUP($B44,'B-1 Site Hedge Baseline'!$B$1:$L$257,5,FALSE))))</f>
        <v/>
      </c>
      <c r="F44" s="520" t="str">
        <f>IF(B44="","",IF(ISNA(VLOOKUP($B44,'B-1 Site Hedge Baseline'!$B$1:$L$257,6,FALSE)),"",(VLOOKUP($B44,'B-1 Site Hedge Baseline'!$B$1:$L$257,6,FALSE))))</f>
        <v/>
      </c>
      <c r="G44" s="520" t="str">
        <f>IF(B44="","",IF(ISNA(VLOOKUP($B44,'B-1 Site Hedge Baseline'!$B$1:$L$257,7,FALSE)),"",(VLOOKUP($B44,'B-1 Site Hedge Baseline'!$B$1:$L$257,7,FALSE))))</f>
        <v/>
      </c>
      <c r="H44" s="520" t="str">
        <f>IF(B44="","",IF(ISNA(VLOOKUP($B44,'B-1 Site Hedge Baseline'!$B$1:$L$257,8,FALSE)),"",(VLOOKUP($B44,'B-1 Site Hedge Baseline'!$B$1:$L$257,8,FALSE))))</f>
        <v/>
      </c>
      <c r="I44" s="520" t="str">
        <f>IF(B44="","",IF(ISNA(VLOOKUP($B44,'B-1 Site Hedge Baseline'!$B$1:$L$257,10,FALSE)),"",(VLOOKUP($B44,'B-1 Site Hedge Baseline'!$B$1:$L$257,10,FALSE))))</f>
        <v/>
      </c>
      <c r="J44" s="520" t="str">
        <f>IF(B44="","",IF(ISNA(VLOOKUP($B44,'B-1 Site Hedge Baseline'!$B$1:$L$257,11,FALSE)),"",(VLOOKUP($B44,'B-1 Site Hedge Baseline'!$B$1:$L$257,11,FALSE))))</f>
        <v/>
      </c>
      <c r="K44" s="520" t="str">
        <f>IF(B44="","",IF(ISNA(VLOOKUP($B44,'B-1 Site Hedge Baseline'!$B$1:$U$257,13,FALSE)),"",(VLOOKUP($B44,'B-1 Site Hedge Baseline'!$B$1:$U$257,13,FALSE))))</f>
        <v/>
      </c>
      <c r="L44" s="524" t="str">
        <f>IF(B44="","",IF(ISNA(VLOOKUP($B44,'B-1 Site Hedge Baseline'!$B$1:$U$257,12,FALSE)),"",(VLOOKUP($B44,'B-1 Site Hedge Baseline'!$B$1:$U$257,12,FALSE))))</f>
        <v/>
      </c>
      <c r="M44" s="416" t="str">
        <f t="shared" si="0"/>
        <v/>
      </c>
      <c r="N44" s="498" t="str">
        <f>IFERROR(IF(B44="","",INDEX('G-6 Hedgerow Data'!$AN$3:$AZ$15,MATCH(C44,'G-6 Hedgerow Data'!$AM$3:$AM$15,0),MATCH(M44,'G-6 Hedgerow Data'!$AN$2:$AZ$2,0))),"")</f>
        <v/>
      </c>
      <c r="O44" s="499" t="str">
        <f t="shared" si="2"/>
        <v/>
      </c>
      <c r="P44" s="559" t="str">
        <f>IF(B44="","",VLOOKUP(B44,'B-1 Site Hedge Baseline'!$B$10:T289,16,FALSE))</f>
        <v/>
      </c>
      <c r="Q44" s="498" t="str">
        <f>IF(M44="","",VLOOKUP(M44,'G-6 Hedgerow Data'!$B$2:$AG$15,2,FALSE))</f>
        <v/>
      </c>
      <c r="R44" s="499" t="str">
        <f>IF(M44="","",VLOOKUP(M44,'G-6 Hedgerow Data'!$B$2:$AG$15,3,FALSE))</f>
        <v/>
      </c>
      <c r="S44" s="157"/>
      <c r="T44" s="540" t="str">
        <f>IFERROR(VLOOKUP(S44,'G-1 All Habitats'!$Z$2:$AA$9,2,FALSE),"")</f>
        <v/>
      </c>
      <c r="U44" s="154"/>
      <c r="V44" s="520" t="str">
        <f>IF(U44="","",IF(VLOOKUP(U44,'G-3 Multipliers'!$L$3:$N$6,2,FALSE)=0,"Spatial Data Missing ⚠",VLOOKUP(U44,'G-3 Multipliers'!$L$3:$N$6,2,FALSE)))</f>
        <v/>
      </c>
      <c r="W44" s="524"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07" t="str">
        <f t="shared" si="5"/>
        <v/>
      </c>
      <c r="AF44" s="507" t="str">
        <f t="shared" si="6"/>
        <v/>
      </c>
      <c r="AG44" s="524" t="str">
        <f>IFERROR(IF(O44="","",VLOOKUP(AD44,'G-3 Multipliers'!$P$3:$Q$6,2,FALSE)),"")</f>
        <v/>
      </c>
      <c r="AH44" s="513" t="str">
        <f t="shared" si="7"/>
        <v/>
      </c>
      <c r="AI44" s="231"/>
      <c r="AJ44" s="150"/>
      <c r="AT44" s="31" t="str">
        <f>IFERROR(INDEX('G-6 Hedgerow Data'!$BJ$3:$BJ$15,MATCH(M44,'G-6 Hedgerow Data'!$B$3:$B$15,0)),"")</f>
        <v/>
      </c>
    </row>
    <row r="45" spans="2:46" ht="13.8" x14ac:dyDescent="0.25">
      <c r="B45" s="531" t="str">
        <f>'B-1 Site Hedge Baseline'!AK43</f>
        <v/>
      </c>
      <c r="C45" s="520" t="str">
        <f>IF(B45="","",IF(ISNA(VLOOKUP($B45,'B-1 Site Hedge Baseline'!$B$1:$L$257,3,FALSE)),"",(VLOOKUP($B45,'B-1 Site Hedge Baseline'!$B$1:$L$257,3,FALSE))))</f>
        <v/>
      </c>
      <c r="D45" s="520" t="str">
        <f>IF(B45="","",IF(ISNA(VLOOKUP($B45,'B-1 Site Hedge Baseline'!$B$1:$L$257,4,FALSE)),"",(VLOOKUP($B45,'B-1 Site Hedge Baseline'!$B$1:$L$257,4,FALSE))))</f>
        <v/>
      </c>
      <c r="E45" s="520" t="str">
        <f>IF(B45="","",IF(ISNA(VLOOKUP($B45,'B-1 Site Hedge Baseline'!$B$1:$L$257,5,FALSE)),"",(VLOOKUP($B45,'B-1 Site Hedge Baseline'!$B$1:$L$257,5,FALSE))))</f>
        <v/>
      </c>
      <c r="F45" s="520" t="str">
        <f>IF(B45="","",IF(ISNA(VLOOKUP($B45,'B-1 Site Hedge Baseline'!$B$1:$L$257,6,FALSE)),"",(VLOOKUP($B45,'B-1 Site Hedge Baseline'!$B$1:$L$257,6,FALSE))))</f>
        <v/>
      </c>
      <c r="G45" s="520" t="str">
        <f>IF(B45="","",IF(ISNA(VLOOKUP($B45,'B-1 Site Hedge Baseline'!$B$1:$L$257,7,FALSE)),"",(VLOOKUP($B45,'B-1 Site Hedge Baseline'!$B$1:$L$257,7,FALSE))))</f>
        <v/>
      </c>
      <c r="H45" s="520" t="str">
        <f>IF(B45="","",IF(ISNA(VLOOKUP($B45,'B-1 Site Hedge Baseline'!$B$1:$L$257,8,FALSE)),"",(VLOOKUP($B45,'B-1 Site Hedge Baseline'!$B$1:$L$257,8,FALSE))))</f>
        <v/>
      </c>
      <c r="I45" s="520" t="str">
        <f>IF(B45="","",IF(ISNA(VLOOKUP($B45,'B-1 Site Hedge Baseline'!$B$1:$L$257,10,FALSE)),"",(VLOOKUP($B45,'B-1 Site Hedge Baseline'!$B$1:$L$257,10,FALSE))))</f>
        <v/>
      </c>
      <c r="J45" s="520" t="str">
        <f>IF(B45="","",IF(ISNA(VLOOKUP($B45,'B-1 Site Hedge Baseline'!$B$1:$L$257,11,FALSE)),"",(VLOOKUP($B45,'B-1 Site Hedge Baseline'!$B$1:$L$257,11,FALSE))))</f>
        <v/>
      </c>
      <c r="K45" s="520" t="str">
        <f>IF(B45="","",IF(ISNA(VLOOKUP($B45,'B-1 Site Hedge Baseline'!$B$1:$U$257,13,FALSE)),"",(VLOOKUP($B45,'B-1 Site Hedge Baseline'!$B$1:$U$257,13,FALSE))))</f>
        <v/>
      </c>
      <c r="L45" s="524" t="str">
        <f>IF(B45="","",IF(ISNA(VLOOKUP($B45,'B-1 Site Hedge Baseline'!$B$1:$U$257,12,FALSE)),"",(VLOOKUP($B45,'B-1 Site Hedge Baseline'!$B$1:$U$257,12,FALSE))))</f>
        <v/>
      </c>
      <c r="M45" s="416" t="str">
        <f t="shared" si="0"/>
        <v/>
      </c>
      <c r="N45" s="498" t="str">
        <f>IFERROR(IF(B45="","",INDEX('G-6 Hedgerow Data'!$AN$3:$AZ$15,MATCH(C45,'G-6 Hedgerow Data'!$AM$3:$AM$15,0),MATCH(M45,'G-6 Hedgerow Data'!$AN$2:$AZ$2,0))),"")</f>
        <v/>
      </c>
      <c r="O45" s="499" t="str">
        <f t="shared" si="2"/>
        <v/>
      </c>
      <c r="P45" s="559" t="str">
        <f>IF(B45="","",VLOOKUP(B45,'B-1 Site Hedge Baseline'!$B$10:T290,16,FALSE))</f>
        <v/>
      </c>
      <c r="Q45" s="498" t="str">
        <f>IF(M45="","",VLOOKUP(M45,'G-6 Hedgerow Data'!$B$2:$AG$15,2,FALSE))</f>
        <v/>
      </c>
      <c r="R45" s="499" t="str">
        <f>IF(M45="","",VLOOKUP(M45,'G-6 Hedgerow Data'!$B$2:$AG$15,3,FALSE))</f>
        <v/>
      </c>
      <c r="S45" s="157"/>
      <c r="T45" s="540" t="str">
        <f>IFERROR(VLOOKUP(S45,'G-1 All Habitats'!$Z$2:$AA$9,2,FALSE),"")</f>
        <v/>
      </c>
      <c r="U45" s="154"/>
      <c r="V45" s="520" t="str">
        <f>IF(U45="","",IF(VLOOKUP(U45,'G-3 Multipliers'!$L$3:$N$6,2,FALSE)=0,"Spatial Data Missing ⚠",VLOOKUP(U45,'G-3 Multipliers'!$L$3:$N$6,2,FALSE)))</f>
        <v/>
      </c>
      <c r="W45" s="524"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07" t="str">
        <f t="shared" si="5"/>
        <v/>
      </c>
      <c r="AF45" s="507" t="str">
        <f t="shared" si="6"/>
        <v/>
      </c>
      <c r="AG45" s="524" t="str">
        <f>IFERROR(IF(O45="","",VLOOKUP(AD45,'G-3 Multipliers'!$P$3:$Q$6,2,FALSE)),"")</f>
        <v/>
      </c>
      <c r="AH45" s="513" t="str">
        <f t="shared" si="7"/>
        <v/>
      </c>
      <c r="AI45" s="231"/>
      <c r="AJ45" s="150"/>
      <c r="AT45" s="31" t="str">
        <f>IFERROR(INDEX('G-6 Hedgerow Data'!$BJ$3:$BJ$15,MATCH(M45,'G-6 Hedgerow Data'!$B$3:$B$15,0)),"")</f>
        <v/>
      </c>
    </row>
    <row r="46" spans="2:46" ht="13.8" x14ac:dyDescent="0.25">
      <c r="B46" s="531" t="str">
        <f>'B-1 Site Hedge Baseline'!AK44</f>
        <v/>
      </c>
      <c r="C46" s="520" t="str">
        <f>IF(B46="","",IF(ISNA(VLOOKUP($B46,'B-1 Site Hedge Baseline'!$B$1:$L$257,3,FALSE)),"",(VLOOKUP($B46,'B-1 Site Hedge Baseline'!$B$1:$L$257,3,FALSE))))</f>
        <v/>
      </c>
      <c r="D46" s="520" t="str">
        <f>IF(B46="","",IF(ISNA(VLOOKUP($B46,'B-1 Site Hedge Baseline'!$B$1:$L$257,4,FALSE)),"",(VLOOKUP($B46,'B-1 Site Hedge Baseline'!$B$1:$L$257,4,FALSE))))</f>
        <v/>
      </c>
      <c r="E46" s="520" t="str">
        <f>IF(B46="","",IF(ISNA(VLOOKUP($B46,'B-1 Site Hedge Baseline'!$B$1:$L$257,5,FALSE)),"",(VLOOKUP($B46,'B-1 Site Hedge Baseline'!$B$1:$L$257,5,FALSE))))</f>
        <v/>
      </c>
      <c r="F46" s="520" t="str">
        <f>IF(B46="","",IF(ISNA(VLOOKUP($B46,'B-1 Site Hedge Baseline'!$B$1:$L$257,6,FALSE)),"",(VLOOKUP($B46,'B-1 Site Hedge Baseline'!$B$1:$L$257,6,FALSE))))</f>
        <v/>
      </c>
      <c r="G46" s="520" t="str">
        <f>IF(B46="","",IF(ISNA(VLOOKUP($B46,'B-1 Site Hedge Baseline'!$B$1:$L$257,7,FALSE)),"",(VLOOKUP($B46,'B-1 Site Hedge Baseline'!$B$1:$L$257,7,FALSE))))</f>
        <v/>
      </c>
      <c r="H46" s="520" t="str">
        <f>IF(B46="","",IF(ISNA(VLOOKUP($B46,'B-1 Site Hedge Baseline'!$B$1:$L$257,8,FALSE)),"",(VLOOKUP($B46,'B-1 Site Hedge Baseline'!$B$1:$L$257,8,FALSE))))</f>
        <v/>
      </c>
      <c r="I46" s="520" t="str">
        <f>IF(B46="","",IF(ISNA(VLOOKUP($B46,'B-1 Site Hedge Baseline'!$B$1:$L$257,10,FALSE)),"",(VLOOKUP($B46,'B-1 Site Hedge Baseline'!$B$1:$L$257,10,FALSE))))</f>
        <v/>
      </c>
      <c r="J46" s="520" t="str">
        <f>IF(B46="","",IF(ISNA(VLOOKUP($B46,'B-1 Site Hedge Baseline'!$B$1:$L$257,11,FALSE)),"",(VLOOKUP($B46,'B-1 Site Hedge Baseline'!$B$1:$L$257,11,FALSE))))</f>
        <v/>
      </c>
      <c r="K46" s="520" t="str">
        <f>IF(B46="","",IF(ISNA(VLOOKUP($B46,'B-1 Site Hedge Baseline'!$B$1:$U$257,13,FALSE)),"",(VLOOKUP($B46,'B-1 Site Hedge Baseline'!$B$1:$U$257,13,FALSE))))</f>
        <v/>
      </c>
      <c r="L46" s="524" t="str">
        <f>IF(B46="","",IF(ISNA(VLOOKUP($B46,'B-1 Site Hedge Baseline'!$B$1:$U$257,12,FALSE)),"",(VLOOKUP($B46,'B-1 Site Hedge Baseline'!$B$1:$U$257,12,FALSE))))</f>
        <v/>
      </c>
      <c r="M46" s="416" t="str">
        <f t="shared" si="0"/>
        <v/>
      </c>
      <c r="N46" s="498" t="str">
        <f>IFERROR(IF(B46="","",INDEX('G-6 Hedgerow Data'!$AN$3:$AZ$15,MATCH(C46,'G-6 Hedgerow Data'!$AM$3:$AM$15,0),MATCH(M46,'G-6 Hedgerow Data'!$AN$2:$AZ$2,0))),"")</f>
        <v/>
      </c>
      <c r="O46" s="499" t="str">
        <f t="shared" si="2"/>
        <v/>
      </c>
      <c r="P46" s="559" t="str">
        <f>IF(B46="","",VLOOKUP(B46,'B-1 Site Hedge Baseline'!$B$10:T291,16,FALSE))</f>
        <v/>
      </c>
      <c r="Q46" s="498" t="str">
        <f>IF(M46="","",VLOOKUP(M46,'G-6 Hedgerow Data'!$B$2:$AG$15,2,FALSE))</f>
        <v/>
      </c>
      <c r="R46" s="499" t="str">
        <f>IF(M46="","",VLOOKUP(M46,'G-6 Hedgerow Data'!$B$2:$AG$15,3,FALSE))</f>
        <v/>
      </c>
      <c r="S46" s="157"/>
      <c r="T46" s="540" t="str">
        <f>IFERROR(VLOOKUP(S46,'G-1 All Habitats'!$Z$2:$AA$9,2,FALSE),"")</f>
        <v/>
      </c>
      <c r="U46" s="154"/>
      <c r="V46" s="520" t="str">
        <f>IF(U46="","",IF(VLOOKUP(U46,'G-3 Multipliers'!$L$3:$N$6,2,FALSE)=0,"Spatial Data Missing ⚠",VLOOKUP(U46,'G-3 Multipliers'!$L$3:$N$6,2,FALSE)))</f>
        <v/>
      </c>
      <c r="W46" s="524"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07" t="str">
        <f t="shared" si="5"/>
        <v/>
      </c>
      <c r="AF46" s="507" t="str">
        <f t="shared" si="6"/>
        <v/>
      </c>
      <c r="AG46" s="524" t="str">
        <f>IFERROR(IF(O46="","",VLOOKUP(AD46,'G-3 Multipliers'!$P$3:$Q$6,2,FALSE)),"")</f>
        <v/>
      </c>
      <c r="AH46" s="513" t="str">
        <f t="shared" si="7"/>
        <v/>
      </c>
      <c r="AI46" s="231"/>
      <c r="AJ46" s="150"/>
      <c r="AT46" s="31" t="str">
        <f>IFERROR(INDEX('G-6 Hedgerow Data'!$BJ$3:$BJ$15,MATCH(M46,'G-6 Hedgerow Data'!$B$3:$B$15,0)),"")</f>
        <v/>
      </c>
    </row>
    <row r="47" spans="2:46" ht="13.8" x14ac:dyDescent="0.25">
      <c r="B47" s="531" t="str">
        <f>'B-1 Site Hedge Baseline'!AK45</f>
        <v/>
      </c>
      <c r="C47" s="520" t="str">
        <f>IF(B47="","",IF(ISNA(VLOOKUP($B47,'B-1 Site Hedge Baseline'!$B$1:$L$257,3,FALSE)),"",(VLOOKUP($B47,'B-1 Site Hedge Baseline'!$B$1:$L$257,3,FALSE))))</f>
        <v/>
      </c>
      <c r="D47" s="520" t="str">
        <f>IF(B47="","",IF(ISNA(VLOOKUP($B47,'B-1 Site Hedge Baseline'!$B$1:$L$257,4,FALSE)),"",(VLOOKUP($B47,'B-1 Site Hedge Baseline'!$B$1:$L$257,4,FALSE))))</f>
        <v/>
      </c>
      <c r="E47" s="520" t="str">
        <f>IF(B47="","",IF(ISNA(VLOOKUP($B47,'B-1 Site Hedge Baseline'!$B$1:$L$257,5,FALSE)),"",(VLOOKUP($B47,'B-1 Site Hedge Baseline'!$B$1:$L$257,5,FALSE))))</f>
        <v/>
      </c>
      <c r="F47" s="520" t="str">
        <f>IF(B47="","",IF(ISNA(VLOOKUP($B47,'B-1 Site Hedge Baseline'!$B$1:$L$257,6,FALSE)),"",(VLOOKUP($B47,'B-1 Site Hedge Baseline'!$B$1:$L$257,6,FALSE))))</f>
        <v/>
      </c>
      <c r="G47" s="520" t="str">
        <f>IF(B47="","",IF(ISNA(VLOOKUP($B47,'B-1 Site Hedge Baseline'!$B$1:$L$257,7,FALSE)),"",(VLOOKUP($B47,'B-1 Site Hedge Baseline'!$B$1:$L$257,7,FALSE))))</f>
        <v/>
      </c>
      <c r="H47" s="520" t="str">
        <f>IF(B47="","",IF(ISNA(VLOOKUP($B47,'B-1 Site Hedge Baseline'!$B$1:$L$257,8,FALSE)),"",(VLOOKUP($B47,'B-1 Site Hedge Baseline'!$B$1:$L$257,8,FALSE))))</f>
        <v/>
      </c>
      <c r="I47" s="520" t="str">
        <f>IF(B47="","",IF(ISNA(VLOOKUP($B47,'B-1 Site Hedge Baseline'!$B$1:$L$257,10,FALSE)),"",(VLOOKUP($B47,'B-1 Site Hedge Baseline'!$B$1:$L$257,10,FALSE))))</f>
        <v/>
      </c>
      <c r="J47" s="520" t="str">
        <f>IF(B47="","",IF(ISNA(VLOOKUP($B47,'B-1 Site Hedge Baseline'!$B$1:$L$257,11,FALSE)),"",(VLOOKUP($B47,'B-1 Site Hedge Baseline'!$B$1:$L$257,11,FALSE))))</f>
        <v/>
      </c>
      <c r="K47" s="520" t="str">
        <f>IF(B47="","",IF(ISNA(VLOOKUP($B47,'B-1 Site Hedge Baseline'!$B$1:$U$257,13,FALSE)),"",(VLOOKUP($B47,'B-1 Site Hedge Baseline'!$B$1:$U$257,13,FALSE))))</f>
        <v/>
      </c>
      <c r="L47" s="524" t="str">
        <f>IF(B47="","",IF(ISNA(VLOOKUP($B47,'B-1 Site Hedge Baseline'!$B$1:$U$257,12,FALSE)),"",(VLOOKUP($B47,'B-1 Site Hedge Baseline'!$B$1:$U$257,12,FALSE))))</f>
        <v/>
      </c>
      <c r="M47" s="416" t="str">
        <f t="shared" si="0"/>
        <v/>
      </c>
      <c r="N47" s="498" t="str">
        <f>IFERROR(IF(B47="","",INDEX('G-6 Hedgerow Data'!$AN$3:$AZ$15,MATCH(C47,'G-6 Hedgerow Data'!$AM$3:$AM$15,0),MATCH(M47,'G-6 Hedgerow Data'!$AN$2:$AZ$2,0))),"")</f>
        <v/>
      </c>
      <c r="O47" s="499" t="str">
        <f t="shared" si="2"/>
        <v/>
      </c>
      <c r="P47" s="559" t="str">
        <f>IF(B47="","",VLOOKUP(B47,'B-1 Site Hedge Baseline'!$B$10:T292,16,FALSE))</f>
        <v/>
      </c>
      <c r="Q47" s="498" t="str">
        <f>IF(M47="","",VLOOKUP(M47,'G-6 Hedgerow Data'!$B$2:$AG$15,2,FALSE))</f>
        <v/>
      </c>
      <c r="R47" s="499" t="str">
        <f>IF(M47="","",VLOOKUP(M47,'G-6 Hedgerow Data'!$B$2:$AG$15,3,FALSE))</f>
        <v/>
      </c>
      <c r="S47" s="157"/>
      <c r="T47" s="540" t="str">
        <f>IFERROR(VLOOKUP(S47,'G-1 All Habitats'!$Z$2:$AA$9,2,FALSE),"")</f>
        <v/>
      </c>
      <c r="U47" s="154"/>
      <c r="V47" s="520" t="str">
        <f>IF(U47="","",IF(VLOOKUP(U47,'G-3 Multipliers'!$L$3:$N$6,2,FALSE)=0,"Spatial Data Missing ⚠",VLOOKUP(U47,'G-3 Multipliers'!$L$3:$N$6,2,FALSE)))</f>
        <v/>
      </c>
      <c r="W47" s="524"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07" t="str">
        <f t="shared" si="5"/>
        <v/>
      </c>
      <c r="AF47" s="507" t="str">
        <f t="shared" si="6"/>
        <v/>
      </c>
      <c r="AG47" s="524" t="str">
        <f>IFERROR(IF(O47="","",VLOOKUP(AD47,'G-3 Multipliers'!$P$3:$Q$6,2,FALSE)),"")</f>
        <v/>
      </c>
      <c r="AH47" s="513" t="str">
        <f t="shared" si="7"/>
        <v/>
      </c>
      <c r="AI47" s="231"/>
      <c r="AJ47" s="150"/>
      <c r="AT47" s="31" t="str">
        <f>IFERROR(INDEX('G-6 Hedgerow Data'!$BJ$3:$BJ$15,MATCH(M47,'G-6 Hedgerow Data'!$B$3:$B$15,0)),"")</f>
        <v/>
      </c>
    </row>
    <row r="48" spans="2:46" ht="13.8" x14ac:dyDescent="0.25">
      <c r="B48" s="531" t="str">
        <f>'B-1 Site Hedge Baseline'!AK46</f>
        <v/>
      </c>
      <c r="C48" s="520" t="str">
        <f>IF(B48="","",IF(ISNA(VLOOKUP($B48,'B-1 Site Hedge Baseline'!$B$1:$L$257,3,FALSE)),"",(VLOOKUP($B48,'B-1 Site Hedge Baseline'!$B$1:$L$257,3,FALSE))))</f>
        <v/>
      </c>
      <c r="D48" s="520" t="str">
        <f>IF(B48="","",IF(ISNA(VLOOKUP($B48,'B-1 Site Hedge Baseline'!$B$1:$L$257,4,FALSE)),"",(VLOOKUP($B48,'B-1 Site Hedge Baseline'!$B$1:$L$257,4,FALSE))))</f>
        <v/>
      </c>
      <c r="E48" s="520" t="str">
        <f>IF(B48="","",IF(ISNA(VLOOKUP($B48,'B-1 Site Hedge Baseline'!$B$1:$L$257,5,FALSE)),"",(VLOOKUP($B48,'B-1 Site Hedge Baseline'!$B$1:$L$257,5,FALSE))))</f>
        <v/>
      </c>
      <c r="F48" s="520" t="str">
        <f>IF(B48="","",IF(ISNA(VLOOKUP($B48,'B-1 Site Hedge Baseline'!$B$1:$L$257,6,FALSE)),"",(VLOOKUP($B48,'B-1 Site Hedge Baseline'!$B$1:$L$257,6,FALSE))))</f>
        <v/>
      </c>
      <c r="G48" s="520" t="str">
        <f>IF(B48="","",IF(ISNA(VLOOKUP($B48,'B-1 Site Hedge Baseline'!$B$1:$L$257,7,FALSE)),"",(VLOOKUP($B48,'B-1 Site Hedge Baseline'!$B$1:$L$257,7,FALSE))))</f>
        <v/>
      </c>
      <c r="H48" s="520" t="str">
        <f>IF(B48="","",IF(ISNA(VLOOKUP($B48,'B-1 Site Hedge Baseline'!$B$1:$L$257,8,FALSE)),"",(VLOOKUP($B48,'B-1 Site Hedge Baseline'!$B$1:$L$257,8,FALSE))))</f>
        <v/>
      </c>
      <c r="I48" s="520" t="str">
        <f>IF(B48="","",IF(ISNA(VLOOKUP($B48,'B-1 Site Hedge Baseline'!$B$1:$L$257,10,FALSE)),"",(VLOOKUP($B48,'B-1 Site Hedge Baseline'!$B$1:$L$257,10,FALSE))))</f>
        <v/>
      </c>
      <c r="J48" s="520" t="str">
        <f>IF(B48="","",IF(ISNA(VLOOKUP($B48,'B-1 Site Hedge Baseline'!$B$1:$L$257,11,FALSE)),"",(VLOOKUP($B48,'B-1 Site Hedge Baseline'!$B$1:$L$257,11,FALSE))))</f>
        <v/>
      </c>
      <c r="K48" s="520" t="str">
        <f>IF(B48="","",IF(ISNA(VLOOKUP($B48,'B-1 Site Hedge Baseline'!$B$1:$U$257,13,FALSE)),"",(VLOOKUP($B48,'B-1 Site Hedge Baseline'!$B$1:$U$257,13,FALSE))))</f>
        <v/>
      </c>
      <c r="L48" s="524" t="str">
        <f>IF(B48="","",IF(ISNA(VLOOKUP($B48,'B-1 Site Hedge Baseline'!$B$1:$U$257,12,FALSE)),"",(VLOOKUP($B48,'B-1 Site Hedge Baseline'!$B$1:$U$257,12,FALSE))))</f>
        <v/>
      </c>
      <c r="M48" s="416" t="str">
        <f t="shared" si="0"/>
        <v/>
      </c>
      <c r="N48" s="498" t="str">
        <f>IFERROR(IF(B48="","",INDEX('G-6 Hedgerow Data'!$AN$3:$AZ$15,MATCH(C48,'G-6 Hedgerow Data'!$AM$3:$AM$15,0),MATCH(M48,'G-6 Hedgerow Data'!$AN$2:$AZ$2,0))),"")</f>
        <v/>
      </c>
      <c r="O48" s="499" t="str">
        <f t="shared" si="2"/>
        <v/>
      </c>
      <c r="P48" s="559" t="str">
        <f>IF(B48="","",VLOOKUP(B48,'B-1 Site Hedge Baseline'!$B$10:T293,16,FALSE))</f>
        <v/>
      </c>
      <c r="Q48" s="498" t="str">
        <f>IF(M48="","",VLOOKUP(M48,'G-6 Hedgerow Data'!$B$2:$AG$15,2,FALSE))</f>
        <v/>
      </c>
      <c r="R48" s="499" t="str">
        <f>IF(M48="","",VLOOKUP(M48,'G-6 Hedgerow Data'!$B$2:$AG$15,3,FALSE))</f>
        <v/>
      </c>
      <c r="S48" s="157"/>
      <c r="T48" s="540" t="str">
        <f>IFERROR(VLOOKUP(S48,'G-1 All Habitats'!$Z$2:$AA$9,2,FALSE),"")</f>
        <v/>
      </c>
      <c r="U48" s="154"/>
      <c r="V48" s="520" t="str">
        <f>IF(U48="","",IF(VLOOKUP(U48,'G-3 Multipliers'!$L$3:$N$6,2,FALSE)=0,"Spatial Data Missing ⚠",VLOOKUP(U48,'G-3 Multipliers'!$L$3:$N$6,2,FALSE)))</f>
        <v/>
      </c>
      <c r="W48" s="524"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07" t="str">
        <f t="shared" si="5"/>
        <v/>
      </c>
      <c r="AF48" s="507" t="str">
        <f t="shared" si="6"/>
        <v/>
      </c>
      <c r="AG48" s="524" t="str">
        <f>IFERROR(IF(O48="","",VLOOKUP(AD48,'G-3 Multipliers'!$P$3:$Q$6,2,FALSE)),"")</f>
        <v/>
      </c>
      <c r="AH48" s="513" t="str">
        <f t="shared" si="7"/>
        <v/>
      </c>
      <c r="AI48" s="231"/>
      <c r="AJ48" s="150"/>
      <c r="AT48" s="31" t="str">
        <f>IFERROR(INDEX('G-6 Hedgerow Data'!$BJ$3:$BJ$15,MATCH(M48,'G-6 Hedgerow Data'!$B$3:$B$15,0)),"")</f>
        <v/>
      </c>
    </row>
    <row r="49" spans="2:46" ht="13.8" x14ac:dyDescent="0.25">
      <c r="B49" s="531" t="str">
        <f>'B-1 Site Hedge Baseline'!AK47</f>
        <v/>
      </c>
      <c r="C49" s="520" t="str">
        <f>IF(B49="","",IF(ISNA(VLOOKUP($B49,'B-1 Site Hedge Baseline'!$B$1:$L$257,3,FALSE)),"",(VLOOKUP($B49,'B-1 Site Hedge Baseline'!$B$1:$L$257,3,FALSE))))</f>
        <v/>
      </c>
      <c r="D49" s="520" t="str">
        <f>IF(B49="","",IF(ISNA(VLOOKUP($B49,'B-1 Site Hedge Baseline'!$B$1:$L$257,4,FALSE)),"",(VLOOKUP($B49,'B-1 Site Hedge Baseline'!$B$1:$L$257,4,FALSE))))</f>
        <v/>
      </c>
      <c r="E49" s="520" t="str">
        <f>IF(B49="","",IF(ISNA(VLOOKUP($B49,'B-1 Site Hedge Baseline'!$B$1:$L$257,5,FALSE)),"",(VLOOKUP($B49,'B-1 Site Hedge Baseline'!$B$1:$L$257,5,FALSE))))</f>
        <v/>
      </c>
      <c r="F49" s="520" t="str">
        <f>IF(B49="","",IF(ISNA(VLOOKUP($B49,'B-1 Site Hedge Baseline'!$B$1:$L$257,6,FALSE)),"",(VLOOKUP($B49,'B-1 Site Hedge Baseline'!$B$1:$L$257,6,FALSE))))</f>
        <v/>
      </c>
      <c r="G49" s="520" t="str">
        <f>IF(B49="","",IF(ISNA(VLOOKUP($B49,'B-1 Site Hedge Baseline'!$B$1:$L$257,7,FALSE)),"",(VLOOKUP($B49,'B-1 Site Hedge Baseline'!$B$1:$L$257,7,FALSE))))</f>
        <v/>
      </c>
      <c r="H49" s="520" t="str">
        <f>IF(B49="","",IF(ISNA(VLOOKUP($B49,'B-1 Site Hedge Baseline'!$B$1:$L$257,8,FALSE)),"",(VLOOKUP($B49,'B-1 Site Hedge Baseline'!$B$1:$L$257,8,FALSE))))</f>
        <v/>
      </c>
      <c r="I49" s="520" t="str">
        <f>IF(B49="","",IF(ISNA(VLOOKUP($B49,'B-1 Site Hedge Baseline'!$B$1:$L$257,10,FALSE)),"",(VLOOKUP($B49,'B-1 Site Hedge Baseline'!$B$1:$L$257,10,FALSE))))</f>
        <v/>
      </c>
      <c r="J49" s="520" t="str">
        <f>IF(B49="","",IF(ISNA(VLOOKUP($B49,'B-1 Site Hedge Baseline'!$B$1:$L$257,11,FALSE)),"",(VLOOKUP($B49,'B-1 Site Hedge Baseline'!$B$1:$L$257,11,FALSE))))</f>
        <v/>
      </c>
      <c r="K49" s="520" t="str">
        <f>IF(B49="","",IF(ISNA(VLOOKUP($B49,'B-1 Site Hedge Baseline'!$B$1:$U$257,13,FALSE)),"",(VLOOKUP($B49,'B-1 Site Hedge Baseline'!$B$1:$U$257,13,FALSE))))</f>
        <v/>
      </c>
      <c r="L49" s="524" t="str">
        <f>IF(B49="","",IF(ISNA(VLOOKUP($B49,'B-1 Site Hedge Baseline'!$B$1:$U$257,12,FALSE)),"",(VLOOKUP($B49,'B-1 Site Hedge Baseline'!$B$1:$U$257,12,FALSE))))</f>
        <v/>
      </c>
      <c r="M49" s="416" t="str">
        <f t="shared" si="0"/>
        <v/>
      </c>
      <c r="N49" s="498" t="str">
        <f>IFERROR(IF(B49="","",INDEX('G-6 Hedgerow Data'!$AN$3:$AZ$15,MATCH(C49,'G-6 Hedgerow Data'!$AM$3:$AM$15,0),MATCH(M49,'G-6 Hedgerow Data'!$AN$2:$AZ$2,0))),"")</f>
        <v/>
      </c>
      <c r="O49" s="499" t="str">
        <f t="shared" si="2"/>
        <v/>
      </c>
      <c r="P49" s="559" t="str">
        <f>IF(B49="","",VLOOKUP(B49,'B-1 Site Hedge Baseline'!$B$10:T294,16,FALSE))</f>
        <v/>
      </c>
      <c r="Q49" s="498" t="str">
        <f>IF(M49="","",VLOOKUP(M49,'G-6 Hedgerow Data'!$B$2:$AG$15,2,FALSE))</f>
        <v/>
      </c>
      <c r="R49" s="499" t="str">
        <f>IF(M49="","",VLOOKUP(M49,'G-6 Hedgerow Data'!$B$2:$AG$15,3,FALSE))</f>
        <v/>
      </c>
      <c r="S49" s="157"/>
      <c r="T49" s="540" t="str">
        <f>IFERROR(VLOOKUP(S49,'G-1 All Habitats'!$Z$2:$AA$9,2,FALSE),"")</f>
        <v/>
      </c>
      <c r="U49" s="154"/>
      <c r="V49" s="520" t="str">
        <f>IF(U49="","",IF(VLOOKUP(U49,'G-3 Multipliers'!$L$3:$N$6,2,FALSE)=0,"Spatial Data Missing ⚠",VLOOKUP(U49,'G-3 Multipliers'!$L$3:$N$6,2,FALSE)))</f>
        <v/>
      </c>
      <c r="W49" s="524"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07" t="str">
        <f t="shared" si="5"/>
        <v/>
      </c>
      <c r="AF49" s="507" t="str">
        <f t="shared" si="6"/>
        <v/>
      </c>
      <c r="AG49" s="524" t="str">
        <f>IFERROR(IF(O49="","",VLOOKUP(AD49,'G-3 Multipliers'!$P$3:$Q$6,2,FALSE)),"")</f>
        <v/>
      </c>
      <c r="AH49" s="513" t="str">
        <f t="shared" si="7"/>
        <v/>
      </c>
      <c r="AI49" s="231"/>
      <c r="AJ49" s="150"/>
      <c r="AT49" s="31" t="str">
        <f>IFERROR(INDEX('G-6 Hedgerow Data'!$BJ$3:$BJ$15,MATCH(M49,'G-6 Hedgerow Data'!$B$3:$B$15,0)),"")</f>
        <v/>
      </c>
    </row>
    <row r="50" spans="2:46" ht="13.8" x14ac:dyDescent="0.25">
      <c r="B50" s="531" t="str">
        <f>'B-1 Site Hedge Baseline'!AK48</f>
        <v/>
      </c>
      <c r="C50" s="520" t="str">
        <f>IF(B50="","",IF(ISNA(VLOOKUP($B50,'B-1 Site Hedge Baseline'!$B$1:$L$257,3,FALSE)),"",(VLOOKUP($B50,'B-1 Site Hedge Baseline'!$B$1:$L$257,3,FALSE))))</f>
        <v/>
      </c>
      <c r="D50" s="520" t="str">
        <f>IF(B50="","",IF(ISNA(VLOOKUP($B50,'B-1 Site Hedge Baseline'!$B$1:$L$257,4,FALSE)),"",(VLOOKUP($B50,'B-1 Site Hedge Baseline'!$B$1:$L$257,4,FALSE))))</f>
        <v/>
      </c>
      <c r="E50" s="520" t="str">
        <f>IF(B50="","",IF(ISNA(VLOOKUP($B50,'B-1 Site Hedge Baseline'!$B$1:$L$257,5,FALSE)),"",(VLOOKUP($B50,'B-1 Site Hedge Baseline'!$B$1:$L$257,5,FALSE))))</f>
        <v/>
      </c>
      <c r="F50" s="520" t="str">
        <f>IF(B50="","",IF(ISNA(VLOOKUP($B50,'B-1 Site Hedge Baseline'!$B$1:$L$257,6,FALSE)),"",(VLOOKUP($B50,'B-1 Site Hedge Baseline'!$B$1:$L$257,6,FALSE))))</f>
        <v/>
      </c>
      <c r="G50" s="520" t="str">
        <f>IF(B50="","",IF(ISNA(VLOOKUP($B50,'B-1 Site Hedge Baseline'!$B$1:$L$257,7,FALSE)),"",(VLOOKUP($B50,'B-1 Site Hedge Baseline'!$B$1:$L$257,7,FALSE))))</f>
        <v/>
      </c>
      <c r="H50" s="520" t="str">
        <f>IF(B50="","",IF(ISNA(VLOOKUP($B50,'B-1 Site Hedge Baseline'!$B$1:$L$257,8,FALSE)),"",(VLOOKUP($B50,'B-1 Site Hedge Baseline'!$B$1:$L$257,8,FALSE))))</f>
        <v/>
      </c>
      <c r="I50" s="520" t="str">
        <f>IF(B50="","",IF(ISNA(VLOOKUP($B50,'B-1 Site Hedge Baseline'!$B$1:$L$257,10,FALSE)),"",(VLOOKUP($B50,'B-1 Site Hedge Baseline'!$B$1:$L$257,10,FALSE))))</f>
        <v/>
      </c>
      <c r="J50" s="520" t="str">
        <f>IF(B50="","",IF(ISNA(VLOOKUP($B50,'B-1 Site Hedge Baseline'!$B$1:$L$257,11,FALSE)),"",(VLOOKUP($B50,'B-1 Site Hedge Baseline'!$B$1:$L$257,11,FALSE))))</f>
        <v/>
      </c>
      <c r="K50" s="520" t="str">
        <f>IF(B50="","",IF(ISNA(VLOOKUP($B50,'B-1 Site Hedge Baseline'!$B$1:$U$257,13,FALSE)),"",(VLOOKUP($B50,'B-1 Site Hedge Baseline'!$B$1:$U$257,13,FALSE))))</f>
        <v/>
      </c>
      <c r="L50" s="524" t="str">
        <f>IF(B50="","",IF(ISNA(VLOOKUP($B50,'B-1 Site Hedge Baseline'!$B$1:$U$257,12,FALSE)),"",(VLOOKUP($B50,'B-1 Site Hedge Baseline'!$B$1:$U$257,12,FALSE))))</f>
        <v/>
      </c>
      <c r="M50" s="416" t="str">
        <f t="shared" si="0"/>
        <v/>
      </c>
      <c r="N50" s="498" t="str">
        <f>IFERROR(IF(B50="","",INDEX('G-6 Hedgerow Data'!$AN$3:$AZ$15,MATCH(C50,'G-6 Hedgerow Data'!$AM$3:$AM$15,0),MATCH(M50,'G-6 Hedgerow Data'!$AN$2:$AZ$2,0))),"")</f>
        <v/>
      </c>
      <c r="O50" s="499" t="str">
        <f t="shared" si="2"/>
        <v/>
      </c>
      <c r="P50" s="559" t="str">
        <f>IF(B50="","",VLOOKUP(B50,'B-1 Site Hedge Baseline'!$B$10:T295,16,FALSE))</f>
        <v/>
      </c>
      <c r="Q50" s="498" t="str">
        <f>IF(M50="","",VLOOKUP(M50,'G-6 Hedgerow Data'!$B$2:$AG$15,2,FALSE))</f>
        <v/>
      </c>
      <c r="R50" s="499" t="str">
        <f>IF(M50="","",VLOOKUP(M50,'G-6 Hedgerow Data'!$B$2:$AG$15,3,FALSE))</f>
        <v/>
      </c>
      <c r="S50" s="157"/>
      <c r="T50" s="540" t="str">
        <f>IFERROR(VLOOKUP(S50,'G-1 All Habitats'!$Z$2:$AA$9,2,FALSE),"")</f>
        <v/>
      </c>
      <c r="U50" s="154"/>
      <c r="V50" s="520" t="str">
        <f>IF(U50="","",IF(VLOOKUP(U50,'G-3 Multipliers'!$L$3:$N$6,2,FALSE)=0,"Spatial Data Missing ⚠",VLOOKUP(U50,'G-3 Multipliers'!$L$3:$N$6,2,FALSE)))</f>
        <v/>
      </c>
      <c r="W50" s="524"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07" t="str">
        <f t="shared" si="5"/>
        <v/>
      </c>
      <c r="AF50" s="507" t="str">
        <f t="shared" si="6"/>
        <v/>
      </c>
      <c r="AG50" s="524" t="str">
        <f>IFERROR(IF(O50="","",VLOOKUP(AD50,'G-3 Multipliers'!$P$3:$Q$6,2,FALSE)),"")</f>
        <v/>
      </c>
      <c r="AH50" s="513" t="str">
        <f t="shared" si="7"/>
        <v/>
      </c>
      <c r="AI50" s="231"/>
      <c r="AJ50" s="150"/>
      <c r="AT50" s="31" t="str">
        <f>IFERROR(INDEX('G-6 Hedgerow Data'!$BJ$3:$BJ$15,MATCH(M50,'G-6 Hedgerow Data'!$B$3:$B$15,0)),"")</f>
        <v/>
      </c>
    </row>
    <row r="51" spans="2:46" ht="13.8" x14ac:dyDescent="0.25">
      <c r="B51" s="531" t="str">
        <f>'B-1 Site Hedge Baseline'!AK49</f>
        <v/>
      </c>
      <c r="C51" s="520" t="str">
        <f>IF(B51="","",IF(ISNA(VLOOKUP($B51,'B-1 Site Hedge Baseline'!$B$1:$L$257,3,FALSE)),"",(VLOOKUP($B51,'B-1 Site Hedge Baseline'!$B$1:$L$257,3,FALSE))))</f>
        <v/>
      </c>
      <c r="D51" s="520" t="str">
        <f>IF(B51="","",IF(ISNA(VLOOKUP($B51,'B-1 Site Hedge Baseline'!$B$1:$L$257,4,FALSE)),"",(VLOOKUP($B51,'B-1 Site Hedge Baseline'!$B$1:$L$257,4,FALSE))))</f>
        <v/>
      </c>
      <c r="E51" s="520" t="str">
        <f>IF(B51="","",IF(ISNA(VLOOKUP($B51,'B-1 Site Hedge Baseline'!$B$1:$L$257,5,FALSE)),"",(VLOOKUP($B51,'B-1 Site Hedge Baseline'!$B$1:$L$257,5,FALSE))))</f>
        <v/>
      </c>
      <c r="F51" s="520" t="str">
        <f>IF(B51="","",IF(ISNA(VLOOKUP($B51,'B-1 Site Hedge Baseline'!$B$1:$L$257,6,FALSE)),"",(VLOOKUP($B51,'B-1 Site Hedge Baseline'!$B$1:$L$257,6,FALSE))))</f>
        <v/>
      </c>
      <c r="G51" s="520" t="str">
        <f>IF(B51="","",IF(ISNA(VLOOKUP($B51,'B-1 Site Hedge Baseline'!$B$1:$L$257,7,FALSE)),"",(VLOOKUP($B51,'B-1 Site Hedge Baseline'!$B$1:$L$257,7,FALSE))))</f>
        <v/>
      </c>
      <c r="H51" s="520" t="str">
        <f>IF(B51="","",IF(ISNA(VLOOKUP($B51,'B-1 Site Hedge Baseline'!$B$1:$L$257,8,FALSE)),"",(VLOOKUP($B51,'B-1 Site Hedge Baseline'!$B$1:$L$257,8,FALSE))))</f>
        <v/>
      </c>
      <c r="I51" s="520" t="str">
        <f>IF(B51="","",IF(ISNA(VLOOKUP($B51,'B-1 Site Hedge Baseline'!$B$1:$L$257,10,FALSE)),"",(VLOOKUP($B51,'B-1 Site Hedge Baseline'!$B$1:$L$257,10,FALSE))))</f>
        <v/>
      </c>
      <c r="J51" s="520" t="str">
        <f>IF(B51="","",IF(ISNA(VLOOKUP($B51,'B-1 Site Hedge Baseline'!$B$1:$L$257,11,FALSE)),"",(VLOOKUP($B51,'B-1 Site Hedge Baseline'!$B$1:$L$257,11,FALSE))))</f>
        <v/>
      </c>
      <c r="K51" s="520" t="str">
        <f>IF(B51="","",IF(ISNA(VLOOKUP($B51,'B-1 Site Hedge Baseline'!$B$1:$U$257,13,FALSE)),"",(VLOOKUP($B51,'B-1 Site Hedge Baseline'!$B$1:$U$257,13,FALSE))))</f>
        <v/>
      </c>
      <c r="L51" s="524" t="str">
        <f>IF(B51="","",IF(ISNA(VLOOKUP($B51,'B-1 Site Hedge Baseline'!$B$1:$U$257,12,FALSE)),"",(VLOOKUP($B51,'B-1 Site Hedge Baseline'!$B$1:$U$257,12,FALSE))))</f>
        <v/>
      </c>
      <c r="M51" s="416" t="str">
        <f t="shared" si="0"/>
        <v/>
      </c>
      <c r="N51" s="498" t="str">
        <f>IFERROR(IF(B51="","",INDEX('G-6 Hedgerow Data'!$AN$3:$AZ$15,MATCH(C51,'G-6 Hedgerow Data'!$AM$3:$AM$15,0),MATCH(M51,'G-6 Hedgerow Data'!$AN$2:$AZ$2,0))),"")</f>
        <v/>
      </c>
      <c r="O51" s="499" t="str">
        <f t="shared" si="2"/>
        <v/>
      </c>
      <c r="P51" s="559" t="str">
        <f>IF(B51="","",VLOOKUP(B51,'B-1 Site Hedge Baseline'!$B$10:T296,16,FALSE))</f>
        <v/>
      </c>
      <c r="Q51" s="498" t="str">
        <f>IF(M51="","",VLOOKUP(M51,'G-6 Hedgerow Data'!$B$2:$AG$15,2,FALSE))</f>
        <v/>
      </c>
      <c r="R51" s="499" t="str">
        <f>IF(M51="","",VLOOKUP(M51,'G-6 Hedgerow Data'!$B$2:$AG$15,3,FALSE))</f>
        <v/>
      </c>
      <c r="S51" s="157"/>
      <c r="T51" s="540" t="str">
        <f>IFERROR(VLOOKUP(S51,'G-1 All Habitats'!$Z$2:$AA$9,2,FALSE),"")</f>
        <v/>
      </c>
      <c r="U51" s="154"/>
      <c r="V51" s="520" t="str">
        <f>IF(U51="","",IF(VLOOKUP(U51,'G-3 Multipliers'!$L$3:$N$6,2,FALSE)=0,"Spatial Data Missing ⚠",VLOOKUP(U51,'G-3 Multipliers'!$L$3:$N$6,2,FALSE)))</f>
        <v/>
      </c>
      <c r="W51" s="524"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07" t="str">
        <f t="shared" si="5"/>
        <v/>
      </c>
      <c r="AF51" s="507" t="str">
        <f t="shared" si="6"/>
        <v/>
      </c>
      <c r="AG51" s="524" t="str">
        <f>IFERROR(IF(O51="","",VLOOKUP(AD51,'G-3 Multipliers'!$P$3:$Q$6,2,FALSE)),"")</f>
        <v/>
      </c>
      <c r="AH51" s="513" t="str">
        <f t="shared" si="7"/>
        <v/>
      </c>
      <c r="AI51" s="231"/>
      <c r="AJ51" s="150"/>
      <c r="AT51" s="31" t="str">
        <f>IFERROR(INDEX('G-6 Hedgerow Data'!$BJ$3:$BJ$15,MATCH(M51,'G-6 Hedgerow Data'!$B$3:$B$15,0)),"")</f>
        <v/>
      </c>
    </row>
    <row r="52" spans="2:46" ht="13.8" x14ac:dyDescent="0.25">
      <c r="B52" s="531" t="str">
        <f>'B-1 Site Hedge Baseline'!AK50</f>
        <v/>
      </c>
      <c r="C52" s="520" t="str">
        <f>IF(B52="","",IF(ISNA(VLOOKUP($B52,'B-1 Site Hedge Baseline'!$B$1:$L$257,3,FALSE)),"",(VLOOKUP($B52,'B-1 Site Hedge Baseline'!$B$1:$L$257,3,FALSE))))</f>
        <v/>
      </c>
      <c r="D52" s="520" t="str">
        <f>IF(B52="","",IF(ISNA(VLOOKUP($B52,'B-1 Site Hedge Baseline'!$B$1:$L$257,4,FALSE)),"",(VLOOKUP($B52,'B-1 Site Hedge Baseline'!$B$1:$L$257,4,FALSE))))</f>
        <v/>
      </c>
      <c r="E52" s="520" t="str">
        <f>IF(B52="","",IF(ISNA(VLOOKUP($B52,'B-1 Site Hedge Baseline'!$B$1:$L$257,5,FALSE)),"",(VLOOKUP($B52,'B-1 Site Hedge Baseline'!$B$1:$L$257,5,FALSE))))</f>
        <v/>
      </c>
      <c r="F52" s="520" t="str">
        <f>IF(B52="","",IF(ISNA(VLOOKUP($B52,'B-1 Site Hedge Baseline'!$B$1:$L$257,6,FALSE)),"",(VLOOKUP($B52,'B-1 Site Hedge Baseline'!$B$1:$L$257,6,FALSE))))</f>
        <v/>
      </c>
      <c r="G52" s="520" t="str">
        <f>IF(B52="","",IF(ISNA(VLOOKUP($B52,'B-1 Site Hedge Baseline'!$B$1:$L$257,7,FALSE)),"",(VLOOKUP($B52,'B-1 Site Hedge Baseline'!$B$1:$L$257,7,FALSE))))</f>
        <v/>
      </c>
      <c r="H52" s="520" t="str">
        <f>IF(B52="","",IF(ISNA(VLOOKUP($B52,'B-1 Site Hedge Baseline'!$B$1:$L$257,8,FALSE)),"",(VLOOKUP($B52,'B-1 Site Hedge Baseline'!$B$1:$L$257,8,FALSE))))</f>
        <v/>
      </c>
      <c r="I52" s="520" t="str">
        <f>IF(B52="","",IF(ISNA(VLOOKUP($B52,'B-1 Site Hedge Baseline'!$B$1:$L$257,10,FALSE)),"",(VLOOKUP($B52,'B-1 Site Hedge Baseline'!$B$1:$L$257,10,FALSE))))</f>
        <v/>
      </c>
      <c r="J52" s="520" t="str">
        <f>IF(B52="","",IF(ISNA(VLOOKUP($B52,'B-1 Site Hedge Baseline'!$B$1:$L$257,11,FALSE)),"",(VLOOKUP($B52,'B-1 Site Hedge Baseline'!$B$1:$L$257,11,FALSE))))</f>
        <v/>
      </c>
      <c r="K52" s="520" t="str">
        <f>IF(B52="","",IF(ISNA(VLOOKUP($B52,'B-1 Site Hedge Baseline'!$B$1:$U$257,13,FALSE)),"",(VLOOKUP($B52,'B-1 Site Hedge Baseline'!$B$1:$U$257,13,FALSE))))</f>
        <v/>
      </c>
      <c r="L52" s="524" t="str">
        <f>IF(B52="","",IF(ISNA(VLOOKUP($B52,'B-1 Site Hedge Baseline'!$B$1:$U$257,12,FALSE)),"",(VLOOKUP($B52,'B-1 Site Hedge Baseline'!$B$1:$U$257,12,FALSE))))</f>
        <v/>
      </c>
      <c r="M52" s="416" t="str">
        <f t="shared" si="0"/>
        <v/>
      </c>
      <c r="N52" s="498" t="str">
        <f>IFERROR(IF(B52="","",INDEX('G-6 Hedgerow Data'!$AN$3:$AZ$15,MATCH(C52,'G-6 Hedgerow Data'!$AM$3:$AM$15,0),MATCH(M52,'G-6 Hedgerow Data'!$AN$2:$AZ$2,0))),"")</f>
        <v/>
      </c>
      <c r="O52" s="499" t="str">
        <f t="shared" si="2"/>
        <v/>
      </c>
      <c r="P52" s="559" t="str">
        <f>IF(B52="","",VLOOKUP(B52,'B-1 Site Hedge Baseline'!$B$10:T297,16,FALSE))</f>
        <v/>
      </c>
      <c r="Q52" s="498" t="str">
        <f>IF(M52="","",VLOOKUP(M52,'G-6 Hedgerow Data'!$B$2:$AG$15,2,FALSE))</f>
        <v/>
      </c>
      <c r="R52" s="499" t="str">
        <f>IF(M52="","",VLOOKUP(M52,'G-6 Hedgerow Data'!$B$2:$AG$15,3,FALSE))</f>
        <v/>
      </c>
      <c r="S52" s="157"/>
      <c r="T52" s="540" t="str">
        <f>IFERROR(VLOOKUP(S52,'G-1 All Habitats'!$Z$2:$AA$9,2,FALSE),"")</f>
        <v/>
      </c>
      <c r="U52" s="154"/>
      <c r="V52" s="520" t="str">
        <f>IF(U52="","",IF(VLOOKUP(U52,'G-3 Multipliers'!$L$3:$N$6,2,FALSE)=0,"Spatial Data Missing ⚠",VLOOKUP(U52,'G-3 Multipliers'!$L$3:$N$6,2,FALSE)))</f>
        <v/>
      </c>
      <c r="W52" s="524"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07" t="str">
        <f t="shared" si="5"/>
        <v/>
      </c>
      <c r="AF52" s="507" t="str">
        <f t="shared" si="6"/>
        <v/>
      </c>
      <c r="AG52" s="524" t="str">
        <f>IFERROR(IF(O52="","",VLOOKUP(AD52,'G-3 Multipliers'!$P$3:$Q$6,2,FALSE)),"")</f>
        <v/>
      </c>
      <c r="AH52" s="513" t="str">
        <f t="shared" si="7"/>
        <v/>
      </c>
      <c r="AI52" s="231"/>
      <c r="AJ52" s="150"/>
      <c r="AT52" s="31" t="str">
        <f>IFERROR(INDEX('G-6 Hedgerow Data'!$BJ$3:$BJ$15,MATCH(M52,'G-6 Hedgerow Data'!$B$3:$B$15,0)),"")</f>
        <v/>
      </c>
    </row>
    <row r="53" spans="2:46" ht="13.8" x14ac:dyDescent="0.25">
      <c r="B53" s="531" t="str">
        <f>'B-1 Site Hedge Baseline'!AK51</f>
        <v/>
      </c>
      <c r="C53" s="520" t="str">
        <f>IF(B53="","",IF(ISNA(VLOOKUP($B53,'B-1 Site Hedge Baseline'!$B$1:$L$257,3,FALSE)),"",(VLOOKUP($B53,'B-1 Site Hedge Baseline'!$B$1:$L$257,3,FALSE))))</f>
        <v/>
      </c>
      <c r="D53" s="520" t="str">
        <f>IF(B53="","",IF(ISNA(VLOOKUP($B53,'B-1 Site Hedge Baseline'!$B$1:$L$257,4,FALSE)),"",(VLOOKUP($B53,'B-1 Site Hedge Baseline'!$B$1:$L$257,4,FALSE))))</f>
        <v/>
      </c>
      <c r="E53" s="520" t="str">
        <f>IF(B53="","",IF(ISNA(VLOOKUP($B53,'B-1 Site Hedge Baseline'!$B$1:$L$257,5,FALSE)),"",(VLOOKUP($B53,'B-1 Site Hedge Baseline'!$B$1:$L$257,5,FALSE))))</f>
        <v/>
      </c>
      <c r="F53" s="520" t="str">
        <f>IF(B53="","",IF(ISNA(VLOOKUP($B53,'B-1 Site Hedge Baseline'!$B$1:$L$257,6,FALSE)),"",(VLOOKUP($B53,'B-1 Site Hedge Baseline'!$B$1:$L$257,6,FALSE))))</f>
        <v/>
      </c>
      <c r="G53" s="520" t="str">
        <f>IF(B53="","",IF(ISNA(VLOOKUP($B53,'B-1 Site Hedge Baseline'!$B$1:$L$257,7,FALSE)),"",(VLOOKUP($B53,'B-1 Site Hedge Baseline'!$B$1:$L$257,7,FALSE))))</f>
        <v/>
      </c>
      <c r="H53" s="520" t="str">
        <f>IF(B53="","",IF(ISNA(VLOOKUP($B53,'B-1 Site Hedge Baseline'!$B$1:$L$257,8,FALSE)),"",(VLOOKUP($B53,'B-1 Site Hedge Baseline'!$B$1:$L$257,8,FALSE))))</f>
        <v/>
      </c>
      <c r="I53" s="520" t="str">
        <f>IF(B53="","",IF(ISNA(VLOOKUP($B53,'B-1 Site Hedge Baseline'!$B$1:$L$257,10,FALSE)),"",(VLOOKUP($B53,'B-1 Site Hedge Baseline'!$B$1:$L$257,10,FALSE))))</f>
        <v/>
      </c>
      <c r="J53" s="520" t="str">
        <f>IF(B53="","",IF(ISNA(VLOOKUP($B53,'B-1 Site Hedge Baseline'!$B$1:$L$257,11,FALSE)),"",(VLOOKUP($B53,'B-1 Site Hedge Baseline'!$B$1:$L$257,11,FALSE))))</f>
        <v/>
      </c>
      <c r="K53" s="520" t="str">
        <f>IF(B53="","",IF(ISNA(VLOOKUP($B53,'B-1 Site Hedge Baseline'!$B$1:$U$257,13,FALSE)),"",(VLOOKUP($B53,'B-1 Site Hedge Baseline'!$B$1:$U$257,13,FALSE))))</f>
        <v/>
      </c>
      <c r="L53" s="524" t="str">
        <f>IF(B53="","",IF(ISNA(VLOOKUP($B53,'B-1 Site Hedge Baseline'!$B$1:$U$257,12,FALSE)),"",(VLOOKUP($B53,'B-1 Site Hedge Baseline'!$B$1:$U$257,12,FALSE))))</f>
        <v/>
      </c>
      <c r="M53" s="416" t="str">
        <f t="shared" si="0"/>
        <v/>
      </c>
      <c r="N53" s="498" t="str">
        <f>IFERROR(IF(B53="","",INDEX('G-6 Hedgerow Data'!$AN$3:$AZ$15,MATCH(C53,'G-6 Hedgerow Data'!$AM$3:$AM$15,0),MATCH(M53,'G-6 Hedgerow Data'!$AN$2:$AZ$2,0))),"")</f>
        <v/>
      </c>
      <c r="O53" s="499" t="str">
        <f t="shared" si="2"/>
        <v/>
      </c>
      <c r="P53" s="559" t="str">
        <f>IF(B53="","",VLOOKUP(B53,'B-1 Site Hedge Baseline'!$B$10:T298,16,FALSE))</f>
        <v/>
      </c>
      <c r="Q53" s="498" t="str">
        <f>IF(M53="","",VLOOKUP(M53,'G-6 Hedgerow Data'!$B$2:$AG$15,2,FALSE))</f>
        <v/>
      </c>
      <c r="R53" s="499" t="str">
        <f>IF(M53="","",VLOOKUP(M53,'G-6 Hedgerow Data'!$B$2:$AG$15,3,FALSE))</f>
        <v/>
      </c>
      <c r="S53" s="157"/>
      <c r="T53" s="540" t="str">
        <f>IFERROR(VLOOKUP(S53,'G-1 All Habitats'!$Z$2:$AA$9,2,FALSE),"")</f>
        <v/>
      </c>
      <c r="U53" s="154"/>
      <c r="V53" s="520" t="str">
        <f>IF(U53="","",IF(VLOOKUP(U53,'G-3 Multipliers'!$L$3:$N$6,2,FALSE)=0,"Spatial Data Missing ⚠",VLOOKUP(U53,'G-3 Multipliers'!$L$3:$N$6,2,FALSE)))</f>
        <v/>
      </c>
      <c r="W53" s="524"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07" t="str">
        <f t="shared" si="5"/>
        <v/>
      </c>
      <c r="AF53" s="507" t="str">
        <f t="shared" si="6"/>
        <v/>
      </c>
      <c r="AG53" s="524" t="str">
        <f>IFERROR(IF(O53="","",VLOOKUP(AD53,'G-3 Multipliers'!$P$3:$Q$6,2,FALSE)),"")</f>
        <v/>
      </c>
      <c r="AH53" s="513" t="str">
        <f t="shared" si="7"/>
        <v/>
      </c>
      <c r="AI53" s="231"/>
      <c r="AJ53" s="150"/>
      <c r="AT53" s="31" t="str">
        <f>IFERROR(INDEX('G-6 Hedgerow Data'!$BJ$3:$BJ$15,MATCH(M53,'G-6 Hedgerow Data'!$B$3:$B$15,0)),"")</f>
        <v/>
      </c>
    </row>
    <row r="54" spans="2:46" ht="13.8" x14ac:dyDescent="0.25">
      <c r="B54" s="531" t="str">
        <f>'B-1 Site Hedge Baseline'!AK52</f>
        <v/>
      </c>
      <c r="C54" s="520" t="str">
        <f>IF(B54="","",IF(ISNA(VLOOKUP($B54,'B-1 Site Hedge Baseline'!$B$1:$L$257,3,FALSE)),"",(VLOOKUP($B54,'B-1 Site Hedge Baseline'!$B$1:$L$257,3,FALSE))))</f>
        <v/>
      </c>
      <c r="D54" s="520" t="str">
        <f>IF(B54="","",IF(ISNA(VLOOKUP($B54,'B-1 Site Hedge Baseline'!$B$1:$L$257,4,FALSE)),"",(VLOOKUP($B54,'B-1 Site Hedge Baseline'!$B$1:$L$257,4,FALSE))))</f>
        <v/>
      </c>
      <c r="E54" s="520" t="str">
        <f>IF(B54="","",IF(ISNA(VLOOKUP($B54,'B-1 Site Hedge Baseline'!$B$1:$L$257,5,FALSE)),"",(VLOOKUP($B54,'B-1 Site Hedge Baseline'!$B$1:$L$257,5,FALSE))))</f>
        <v/>
      </c>
      <c r="F54" s="520" t="str">
        <f>IF(B54="","",IF(ISNA(VLOOKUP($B54,'B-1 Site Hedge Baseline'!$B$1:$L$257,6,FALSE)),"",(VLOOKUP($B54,'B-1 Site Hedge Baseline'!$B$1:$L$257,6,FALSE))))</f>
        <v/>
      </c>
      <c r="G54" s="520" t="str">
        <f>IF(B54="","",IF(ISNA(VLOOKUP($B54,'B-1 Site Hedge Baseline'!$B$1:$L$257,7,FALSE)),"",(VLOOKUP($B54,'B-1 Site Hedge Baseline'!$B$1:$L$257,7,FALSE))))</f>
        <v/>
      </c>
      <c r="H54" s="520" t="str">
        <f>IF(B54="","",IF(ISNA(VLOOKUP($B54,'B-1 Site Hedge Baseline'!$B$1:$L$257,8,FALSE)),"",(VLOOKUP($B54,'B-1 Site Hedge Baseline'!$B$1:$L$257,8,FALSE))))</f>
        <v/>
      </c>
      <c r="I54" s="520" t="str">
        <f>IF(B54="","",IF(ISNA(VLOOKUP($B54,'B-1 Site Hedge Baseline'!$B$1:$L$257,10,FALSE)),"",(VLOOKUP($B54,'B-1 Site Hedge Baseline'!$B$1:$L$257,10,FALSE))))</f>
        <v/>
      </c>
      <c r="J54" s="520" t="str">
        <f>IF(B54="","",IF(ISNA(VLOOKUP($B54,'B-1 Site Hedge Baseline'!$B$1:$L$257,11,FALSE)),"",(VLOOKUP($B54,'B-1 Site Hedge Baseline'!$B$1:$L$257,11,FALSE))))</f>
        <v/>
      </c>
      <c r="K54" s="520" t="str">
        <f>IF(B54="","",IF(ISNA(VLOOKUP($B54,'B-1 Site Hedge Baseline'!$B$1:$U$257,13,FALSE)),"",(VLOOKUP($B54,'B-1 Site Hedge Baseline'!$B$1:$U$257,13,FALSE))))</f>
        <v/>
      </c>
      <c r="L54" s="524" t="str">
        <f>IF(B54="","",IF(ISNA(VLOOKUP($B54,'B-1 Site Hedge Baseline'!$B$1:$U$257,12,FALSE)),"",(VLOOKUP($B54,'B-1 Site Hedge Baseline'!$B$1:$U$257,12,FALSE))))</f>
        <v/>
      </c>
      <c r="M54" s="416" t="str">
        <f t="shared" si="0"/>
        <v/>
      </c>
      <c r="N54" s="498" t="str">
        <f>IFERROR(IF(B54="","",INDEX('G-6 Hedgerow Data'!$AN$3:$AZ$15,MATCH(C54,'G-6 Hedgerow Data'!$AM$3:$AM$15,0),MATCH(M54,'G-6 Hedgerow Data'!$AN$2:$AZ$2,0))),"")</f>
        <v/>
      </c>
      <c r="O54" s="499" t="str">
        <f t="shared" si="2"/>
        <v/>
      </c>
      <c r="P54" s="559" t="str">
        <f>IF(B54="","",VLOOKUP(B54,'B-1 Site Hedge Baseline'!$B$10:T299,16,FALSE))</f>
        <v/>
      </c>
      <c r="Q54" s="498" t="str">
        <f>IF(M54="","",VLOOKUP(M54,'G-6 Hedgerow Data'!$B$2:$AG$15,2,FALSE))</f>
        <v/>
      </c>
      <c r="R54" s="499" t="str">
        <f>IF(M54="","",VLOOKUP(M54,'G-6 Hedgerow Data'!$B$2:$AG$15,3,FALSE))</f>
        <v/>
      </c>
      <c r="S54" s="157"/>
      <c r="T54" s="540" t="str">
        <f>IFERROR(VLOOKUP(S54,'G-1 All Habitats'!$Z$2:$AA$9,2,FALSE),"")</f>
        <v/>
      </c>
      <c r="U54" s="154"/>
      <c r="V54" s="520" t="str">
        <f>IF(U54="","",IF(VLOOKUP(U54,'G-3 Multipliers'!$L$3:$N$6,2,FALSE)=0,"Spatial Data Missing ⚠",VLOOKUP(U54,'G-3 Multipliers'!$L$3:$N$6,2,FALSE)))</f>
        <v/>
      </c>
      <c r="W54" s="524"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07" t="str">
        <f t="shared" si="5"/>
        <v/>
      </c>
      <c r="AF54" s="507" t="str">
        <f t="shared" si="6"/>
        <v/>
      </c>
      <c r="AG54" s="524" t="str">
        <f>IFERROR(IF(O54="","",VLOOKUP(AD54,'G-3 Multipliers'!$P$3:$Q$6,2,FALSE)),"")</f>
        <v/>
      </c>
      <c r="AH54" s="513" t="str">
        <f t="shared" si="7"/>
        <v/>
      </c>
      <c r="AI54" s="231"/>
      <c r="AJ54" s="150"/>
      <c r="AT54" s="31" t="str">
        <f>IFERROR(INDEX('G-6 Hedgerow Data'!$BJ$3:$BJ$15,MATCH(M54,'G-6 Hedgerow Data'!$B$3:$B$15,0)),"")</f>
        <v/>
      </c>
    </row>
    <row r="55" spans="2:46" ht="13.8" x14ac:dyDescent="0.25">
      <c r="B55" s="531" t="str">
        <f>'B-1 Site Hedge Baseline'!AK53</f>
        <v/>
      </c>
      <c r="C55" s="520" t="str">
        <f>IF(B55="","",IF(ISNA(VLOOKUP($B55,'B-1 Site Hedge Baseline'!$B$1:$L$257,3,FALSE)),"",(VLOOKUP($B55,'B-1 Site Hedge Baseline'!$B$1:$L$257,3,FALSE))))</f>
        <v/>
      </c>
      <c r="D55" s="520" t="str">
        <f>IF(B55="","",IF(ISNA(VLOOKUP($B55,'B-1 Site Hedge Baseline'!$B$1:$L$257,4,FALSE)),"",(VLOOKUP($B55,'B-1 Site Hedge Baseline'!$B$1:$L$257,4,FALSE))))</f>
        <v/>
      </c>
      <c r="E55" s="520" t="str">
        <f>IF(B55="","",IF(ISNA(VLOOKUP($B55,'B-1 Site Hedge Baseline'!$B$1:$L$257,5,FALSE)),"",(VLOOKUP($B55,'B-1 Site Hedge Baseline'!$B$1:$L$257,5,FALSE))))</f>
        <v/>
      </c>
      <c r="F55" s="520" t="str">
        <f>IF(B55="","",IF(ISNA(VLOOKUP($B55,'B-1 Site Hedge Baseline'!$B$1:$L$257,6,FALSE)),"",(VLOOKUP($B55,'B-1 Site Hedge Baseline'!$B$1:$L$257,6,FALSE))))</f>
        <v/>
      </c>
      <c r="G55" s="520" t="str">
        <f>IF(B55="","",IF(ISNA(VLOOKUP($B55,'B-1 Site Hedge Baseline'!$B$1:$L$257,7,FALSE)),"",(VLOOKUP($B55,'B-1 Site Hedge Baseline'!$B$1:$L$257,7,FALSE))))</f>
        <v/>
      </c>
      <c r="H55" s="520" t="str">
        <f>IF(B55="","",IF(ISNA(VLOOKUP($B55,'B-1 Site Hedge Baseline'!$B$1:$L$257,8,FALSE)),"",(VLOOKUP($B55,'B-1 Site Hedge Baseline'!$B$1:$L$257,8,FALSE))))</f>
        <v/>
      </c>
      <c r="I55" s="520" t="str">
        <f>IF(B55="","",IF(ISNA(VLOOKUP($B55,'B-1 Site Hedge Baseline'!$B$1:$L$257,10,FALSE)),"",(VLOOKUP($B55,'B-1 Site Hedge Baseline'!$B$1:$L$257,10,FALSE))))</f>
        <v/>
      </c>
      <c r="J55" s="520" t="str">
        <f>IF(B55="","",IF(ISNA(VLOOKUP($B55,'B-1 Site Hedge Baseline'!$B$1:$L$257,11,FALSE)),"",(VLOOKUP($B55,'B-1 Site Hedge Baseline'!$B$1:$L$257,11,FALSE))))</f>
        <v/>
      </c>
      <c r="K55" s="520" t="str">
        <f>IF(B55="","",IF(ISNA(VLOOKUP($B55,'B-1 Site Hedge Baseline'!$B$1:$U$257,13,FALSE)),"",(VLOOKUP($B55,'B-1 Site Hedge Baseline'!$B$1:$U$257,13,FALSE))))</f>
        <v/>
      </c>
      <c r="L55" s="524" t="str">
        <f>IF(B55="","",IF(ISNA(VLOOKUP($B55,'B-1 Site Hedge Baseline'!$B$1:$U$257,12,FALSE)),"",(VLOOKUP($B55,'B-1 Site Hedge Baseline'!$B$1:$U$257,12,FALSE))))</f>
        <v/>
      </c>
      <c r="M55" s="416" t="str">
        <f t="shared" si="0"/>
        <v/>
      </c>
      <c r="N55" s="498" t="str">
        <f>IFERROR(IF(B55="","",INDEX('G-6 Hedgerow Data'!$AN$3:$AZ$15,MATCH(C55,'G-6 Hedgerow Data'!$AM$3:$AM$15,0),MATCH(M55,'G-6 Hedgerow Data'!$AN$2:$AZ$2,0))),"")</f>
        <v/>
      </c>
      <c r="O55" s="499" t="str">
        <f t="shared" si="2"/>
        <v/>
      </c>
      <c r="P55" s="559" t="str">
        <f>IF(B55="","",VLOOKUP(B55,'B-1 Site Hedge Baseline'!$B$10:T300,16,FALSE))</f>
        <v/>
      </c>
      <c r="Q55" s="498" t="str">
        <f>IF(M55="","",VLOOKUP(M55,'G-6 Hedgerow Data'!$B$2:$AG$15,2,FALSE))</f>
        <v/>
      </c>
      <c r="R55" s="499" t="str">
        <f>IF(M55="","",VLOOKUP(M55,'G-6 Hedgerow Data'!$B$2:$AG$15,3,FALSE))</f>
        <v/>
      </c>
      <c r="S55" s="157"/>
      <c r="T55" s="540" t="str">
        <f>IFERROR(VLOOKUP(S55,'G-1 All Habitats'!$Z$2:$AA$9,2,FALSE),"")</f>
        <v/>
      </c>
      <c r="U55" s="154"/>
      <c r="V55" s="520" t="str">
        <f>IF(U55="","",IF(VLOOKUP(U55,'G-3 Multipliers'!$L$3:$N$6,2,FALSE)=0,"Spatial Data Missing ⚠",VLOOKUP(U55,'G-3 Multipliers'!$L$3:$N$6,2,FALSE)))</f>
        <v/>
      </c>
      <c r="W55" s="524"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07" t="str">
        <f t="shared" si="5"/>
        <v/>
      </c>
      <c r="AF55" s="507" t="str">
        <f t="shared" si="6"/>
        <v/>
      </c>
      <c r="AG55" s="524" t="str">
        <f>IFERROR(IF(O55="","",VLOOKUP(AD55,'G-3 Multipliers'!$P$3:$Q$6,2,FALSE)),"")</f>
        <v/>
      </c>
      <c r="AH55" s="513" t="str">
        <f t="shared" si="7"/>
        <v/>
      </c>
      <c r="AI55" s="231"/>
      <c r="AJ55" s="150"/>
      <c r="AT55" s="31" t="str">
        <f>IFERROR(INDEX('G-6 Hedgerow Data'!$BJ$3:$BJ$15,MATCH(M55,'G-6 Hedgerow Data'!$B$3:$B$15,0)),"")</f>
        <v/>
      </c>
    </row>
    <row r="56" spans="2:46" ht="13.8" x14ac:dyDescent="0.25">
      <c r="B56" s="531" t="str">
        <f>'B-1 Site Hedge Baseline'!AK54</f>
        <v/>
      </c>
      <c r="C56" s="520" t="str">
        <f>IF(B56="","",IF(ISNA(VLOOKUP($B56,'B-1 Site Hedge Baseline'!$B$1:$L$257,3,FALSE)),"",(VLOOKUP($B56,'B-1 Site Hedge Baseline'!$B$1:$L$257,3,FALSE))))</f>
        <v/>
      </c>
      <c r="D56" s="520" t="str">
        <f>IF(B56="","",IF(ISNA(VLOOKUP($B56,'B-1 Site Hedge Baseline'!$B$1:$L$257,4,FALSE)),"",(VLOOKUP($B56,'B-1 Site Hedge Baseline'!$B$1:$L$257,4,FALSE))))</f>
        <v/>
      </c>
      <c r="E56" s="520" t="str">
        <f>IF(B56="","",IF(ISNA(VLOOKUP($B56,'B-1 Site Hedge Baseline'!$B$1:$L$257,5,FALSE)),"",(VLOOKUP($B56,'B-1 Site Hedge Baseline'!$B$1:$L$257,5,FALSE))))</f>
        <v/>
      </c>
      <c r="F56" s="520" t="str">
        <f>IF(B56="","",IF(ISNA(VLOOKUP($B56,'B-1 Site Hedge Baseline'!$B$1:$L$257,6,FALSE)),"",(VLOOKUP($B56,'B-1 Site Hedge Baseline'!$B$1:$L$257,6,FALSE))))</f>
        <v/>
      </c>
      <c r="G56" s="520" t="str">
        <f>IF(B56="","",IF(ISNA(VLOOKUP($B56,'B-1 Site Hedge Baseline'!$B$1:$L$257,7,FALSE)),"",(VLOOKUP($B56,'B-1 Site Hedge Baseline'!$B$1:$L$257,7,FALSE))))</f>
        <v/>
      </c>
      <c r="H56" s="520" t="str">
        <f>IF(B56="","",IF(ISNA(VLOOKUP($B56,'B-1 Site Hedge Baseline'!$B$1:$L$257,8,FALSE)),"",(VLOOKUP($B56,'B-1 Site Hedge Baseline'!$B$1:$L$257,8,FALSE))))</f>
        <v/>
      </c>
      <c r="I56" s="520" t="str">
        <f>IF(B56="","",IF(ISNA(VLOOKUP($B56,'B-1 Site Hedge Baseline'!$B$1:$L$257,10,FALSE)),"",(VLOOKUP($B56,'B-1 Site Hedge Baseline'!$B$1:$L$257,10,FALSE))))</f>
        <v/>
      </c>
      <c r="J56" s="520" t="str">
        <f>IF(B56="","",IF(ISNA(VLOOKUP($B56,'B-1 Site Hedge Baseline'!$B$1:$L$257,11,FALSE)),"",(VLOOKUP($B56,'B-1 Site Hedge Baseline'!$B$1:$L$257,11,FALSE))))</f>
        <v/>
      </c>
      <c r="K56" s="520" t="str">
        <f>IF(B56="","",IF(ISNA(VLOOKUP($B56,'B-1 Site Hedge Baseline'!$B$1:$U$257,13,FALSE)),"",(VLOOKUP($B56,'B-1 Site Hedge Baseline'!$B$1:$U$257,13,FALSE))))</f>
        <v/>
      </c>
      <c r="L56" s="524" t="str">
        <f>IF(B56="","",IF(ISNA(VLOOKUP($B56,'B-1 Site Hedge Baseline'!$B$1:$U$257,12,FALSE)),"",(VLOOKUP($B56,'B-1 Site Hedge Baseline'!$B$1:$U$257,12,FALSE))))</f>
        <v/>
      </c>
      <c r="M56" s="416" t="str">
        <f t="shared" si="0"/>
        <v/>
      </c>
      <c r="N56" s="498" t="str">
        <f>IFERROR(IF(B56="","",INDEX('G-6 Hedgerow Data'!$AN$3:$AZ$15,MATCH(C56,'G-6 Hedgerow Data'!$AM$3:$AM$15,0),MATCH(M56,'G-6 Hedgerow Data'!$AN$2:$AZ$2,0))),"")</f>
        <v/>
      </c>
      <c r="O56" s="499" t="str">
        <f t="shared" si="2"/>
        <v/>
      </c>
      <c r="P56" s="559" t="str">
        <f>IF(B56="","",VLOOKUP(B56,'B-1 Site Hedge Baseline'!$B$10:T301,16,FALSE))</f>
        <v/>
      </c>
      <c r="Q56" s="498" t="str">
        <f>IF(M56="","",VLOOKUP(M56,'G-6 Hedgerow Data'!$B$2:$AG$15,2,FALSE))</f>
        <v/>
      </c>
      <c r="R56" s="499" t="str">
        <f>IF(M56="","",VLOOKUP(M56,'G-6 Hedgerow Data'!$B$2:$AG$15,3,FALSE))</f>
        <v/>
      </c>
      <c r="S56" s="157"/>
      <c r="T56" s="540" t="str">
        <f>IFERROR(VLOOKUP(S56,'G-1 All Habitats'!$Z$2:$AA$9,2,FALSE),"")</f>
        <v/>
      </c>
      <c r="U56" s="154"/>
      <c r="V56" s="520" t="str">
        <f>IF(U56="","",IF(VLOOKUP(U56,'G-3 Multipliers'!$L$3:$N$6,2,FALSE)=0,"Spatial Data Missing ⚠",VLOOKUP(U56,'G-3 Multipliers'!$L$3:$N$6,2,FALSE)))</f>
        <v/>
      </c>
      <c r="W56" s="524"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07" t="str">
        <f t="shared" si="5"/>
        <v/>
      </c>
      <c r="AF56" s="507" t="str">
        <f t="shared" si="6"/>
        <v/>
      </c>
      <c r="AG56" s="524" t="str">
        <f>IFERROR(IF(O56="","",VLOOKUP(AD56,'G-3 Multipliers'!$P$3:$Q$6,2,FALSE)),"")</f>
        <v/>
      </c>
      <c r="AH56" s="513" t="str">
        <f t="shared" si="7"/>
        <v/>
      </c>
      <c r="AI56" s="231"/>
      <c r="AJ56" s="150"/>
      <c r="AT56" s="31" t="str">
        <f>IFERROR(INDEX('G-6 Hedgerow Data'!$BJ$3:$BJ$15,MATCH(M56,'G-6 Hedgerow Data'!$B$3:$B$15,0)),"")</f>
        <v/>
      </c>
    </row>
    <row r="57" spans="2:46" ht="13.8" x14ac:dyDescent="0.25">
      <c r="B57" s="531" t="str">
        <f>'B-1 Site Hedge Baseline'!AK55</f>
        <v/>
      </c>
      <c r="C57" s="520" t="str">
        <f>IF(B57="","",IF(ISNA(VLOOKUP($B57,'B-1 Site Hedge Baseline'!$B$1:$L$257,3,FALSE)),"",(VLOOKUP($B57,'B-1 Site Hedge Baseline'!$B$1:$L$257,3,FALSE))))</f>
        <v/>
      </c>
      <c r="D57" s="520" t="str">
        <f>IF(B57="","",IF(ISNA(VLOOKUP($B57,'B-1 Site Hedge Baseline'!$B$1:$L$257,4,FALSE)),"",(VLOOKUP($B57,'B-1 Site Hedge Baseline'!$B$1:$L$257,4,FALSE))))</f>
        <v/>
      </c>
      <c r="E57" s="520" t="str">
        <f>IF(B57="","",IF(ISNA(VLOOKUP($B57,'B-1 Site Hedge Baseline'!$B$1:$L$257,5,FALSE)),"",(VLOOKUP($B57,'B-1 Site Hedge Baseline'!$B$1:$L$257,5,FALSE))))</f>
        <v/>
      </c>
      <c r="F57" s="520" t="str">
        <f>IF(B57="","",IF(ISNA(VLOOKUP($B57,'B-1 Site Hedge Baseline'!$B$1:$L$257,6,FALSE)),"",(VLOOKUP($B57,'B-1 Site Hedge Baseline'!$B$1:$L$257,6,FALSE))))</f>
        <v/>
      </c>
      <c r="G57" s="520" t="str">
        <f>IF(B57="","",IF(ISNA(VLOOKUP($B57,'B-1 Site Hedge Baseline'!$B$1:$L$257,7,FALSE)),"",(VLOOKUP($B57,'B-1 Site Hedge Baseline'!$B$1:$L$257,7,FALSE))))</f>
        <v/>
      </c>
      <c r="H57" s="520" t="str">
        <f>IF(B57="","",IF(ISNA(VLOOKUP($B57,'B-1 Site Hedge Baseline'!$B$1:$L$257,8,FALSE)),"",(VLOOKUP($B57,'B-1 Site Hedge Baseline'!$B$1:$L$257,8,FALSE))))</f>
        <v/>
      </c>
      <c r="I57" s="520" t="str">
        <f>IF(B57="","",IF(ISNA(VLOOKUP($B57,'B-1 Site Hedge Baseline'!$B$1:$L$257,10,FALSE)),"",(VLOOKUP($B57,'B-1 Site Hedge Baseline'!$B$1:$L$257,10,FALSE))))</f>
        <v/>
      </c>
      <c r="J57" s="520" t="str">
        <f>IF(B57="","",IF(ISNA(VLOOKUP($B57,'B-1 Site Hedge Baseline'!$B$1:$L$257,11,FALSE)),"",(VLOOKUP($B57,'B-1 Site Hedge Baseline'!$B$1:$L$257,11,FALSE))))</f>
        <v/>
      </c>
      <c r="K57" s="520" t="str">
        <f>IF(B57="","",IF(ISNA(VLOOKUP($B57,'B-1 Site Hedge Baseline'!$B$1:$U$257,13,FALSE)),"",(VLOOKUP($B57,'B-1 Site Hedge Baseline'!$B$1:$U$257,13,FALSE))))</f>
        <v/>
      </c>
      <c r="L57" s="524" t="str">
        <f>IF(B57="","",IF(ISNA(VLOOKUP($B57,'B-1 Site Hedge Baseline'!$B$1:$U$257,12,FALSE)),"",(VLOOKUP($B57,'B-1 Site Hedge Baseline'!$B$1:$U$257,12,FALSE))))</f>
        <v/>
      </c>
      <c r="M57" s="416" t="str">
        <f t="shared" si="0"/>
        <v/>
      </c>
      <c r="N57" s="498" t="str">
        <f>IFERROR(IF(B57="","",INDEX('G-6 Hedgerow Data'!$AN$3:$AZ$15,MATCH(C57,'G-6 Hedgerow Data'!$AM$3:$AM$15,0),MATCH(M57,'G-6 Hedgerow Data'!$AN$2:$AZ$2,0))),"")</f>
        <v/>
      </c>
      <c r="O57" s="499" t="str">
        <f t="shared" si="2"/>
        <v/>
      </c>
      <c r="P57" s="559" t="str">
        <f>IF(B57="","",VLOOKUP(B57,'B-1 Site Hedge Baseline'!$B$10:T302,16,FALSE))</f>
        <v/>
      </c>
      <c r="Q57" s="498" t="str">
        <f>IF(M57="","",VLOOKUP(M57,'G-6 Hedgerow Data'!$B$2:$AG$15,2,FALSE))</f>
        <v/>
      </c>
      <c r="R57" s="499" t="str">
        <f>IF(M57="","",VLOOKUP(M57,'G-6 Hedgerow Data'!$B$2:$AG$15,3,FALSE))</f>
        <v/>
      </c>
      <c r="S57" s="157"/>
      <c r="T57" s="540" t="str">
        <f>IFERROR(VLOOKUP(S57,'G-1 All Habitats'!$Z$2:$AA$9,2,FALSE),"")</f>
        <v/>
      </c>
      <c r="U57" s="154"/>
      <c r="V57" s="520" t="str">
        <f>IF(U57="","",IF(VLOOKUP(U57,'G-3 Multipliers'!$L$3:$N$6,2,FALSE)=0,"Spatial Data Missing ⚠",VLOOKUP(U57,'G-3 Multipliers'!$L$3:$N$6,2,FALSE)))</f>
        <v/>
      </c>
      <c r="W57" s="524"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07" t="str">
        <f t="shared" si="5"/>
        <v/>
      </c>
      <c r="AF57" s="507" t="str">
        <f t="shared" si="6"/>
        <v/>
      </c>
      <c r="AG57" s="524" t="str">
        <f>IFERROR(IF(O57="","",VLOOKUP(AD57,'G-3 Multipliers'!$P$3:$Q$6,2,FALSE)),"")</f>
        <v/>
      </c>
      <c r="AH57" s="513" t="str">
        <f t="shared" si="7"/>
        <v/>
      </c>
      <c r="AI57" s="231"/>
      <c r="AJ57" s="150"/>
      <c r="AT57" s="31" t="str">
        <f>IFERROR(INDEX('G-6 Hedgerow Data'!$BJ$3:$BJ$15,MATCH(M57,'G-6 Hedgerow Data'!$B$3:$B$15,0)),"")</f>
        <v/>
      </c>
    </row>
    <row r="58" spans="2:46" ht="13.8" x14ac:dyDescent="0.25">
      <c r="B58" s="531" t="str">
        <f>'B-1 Site Hedge Baseline'!AK56</f>
        <v/>
      </c>
      <c r="C58" s="520" t="str">
        <f>IF(B58="","",IF(ISNA(VLOOKUP($B58,'B-1 Site Hedge Baseline'!$B$1:$L$257,3,FALSE)),"",(VLOOKUP($B58,'B-1 Site Hedge Baseline'!$B$1:$L$257,3,FALSE))))</f>
        <v/>
      </c>
      <c r="D58" s="520" t="str">
        <f>IF(B58="","",IF(ISNA(VLOOKUP($B58,'B-1 Site Hedge Baseline'!$B$1:$L$257,4,FALSE)),"",(VLOOKUP($B58,'B-1 Site Hedge Baseline'!$B$1:$L$257,4,FALSE))))</f>
        <v/>
      </c>
      <c r="E58" s="520" t="str">
        <f>IF(B58="","",IF(ISNA(VLOOKUP($B58,'B-1 Site Hedge Baseline'!$B$1:$L$257,5,FALSE)),"",(VLOOKUP($B58,'B-1 Site Hedge Baseline'!$B$1:$L$257,5,FALSE))))</f>
        <v/>
      </c>
      <c r="F58" s="520" t="str">
        <f>IF(B58="","",IF(ISNA(VLOOKUP($B58,'B-1 Site Hedge Baseline'!$B$1:$L$257,6,FALSE)),"",(VLOOKUP($B58,'B-1 Site Hedge Baseline'!$B$1:$L$257,6,FALSE))))</f>
        <v/>
      </c>
      <c r="G58" s="520" t="str">
        <f>IF(B58="","",IF(ISNA(VLOOKUP($B58,'B-1 Site Hedge Baseline'!$B$1:$L$257,7,FALSE)),"",(VLOOKUP($B58,'B-1 Site Hedge Baseline'!$B$1:$L$257,7,FALSE))))</f>
        <v/>
      </c>
      <c r="H58" s="520" t="str">
        <f>IF(B58="","",IF(ISNA(VLOOKUP($B58,'B-1 Site Hedge Baseline'!$B$1:$L$257,8,FALSE)),"",(VLOOKUP($B58,'B-1 Site Hedge Baseline'!$B$1:$L$257,8,FALSE))))</f>
        <v/>
      </c>
      <c r="I58" s="520" t="str">
        <f>IF(B58="","",IF(ISNA(VLOOKUP($B58,'B-1 Site Hedge Baseline'!$B$1:$L$257,10,FALSE)),"",(VLOOKUP($B58,'B-1 Site Hedge Baseline'!$B$1:$L$257,10,FALSE))))</f>
        <v/>
      </c>
      <c r="J58" s="520" t="str">
        <f>IF(B58="","",IF(ISNA(VLOOKUP($B58,'B-1 Site Hedge Baseline'!$B$1:$L$257,11,FALSE)),"",(VLOOKUP($B58,'B-1 Site Hedge Baseline'!$B$1:$L$257,11,FALSE))))</f>
        <v/>
      </c>
      <c r="K58" s="520" t="str">
        <f>IF(B58="","",IF(ISNA(VLOOKUP($B58,'B-1 Site Hedge Baseline'!$B$1:$U$257,13,FALSE)),"",(VLOOKUP($B58,'B-1 Site Hedge Baseline'!$B$1:$U$257,13,FALSE))))</f>
        <v/>
      </c>
      <c r="L58" s="524" t="str">
        <f>IF(B58="","",IF(ISNA(VLOOKUP($B58,'B-1 Site Hedge Baseline'!$B$1:$U$257,12,FALSE)),"",(VLOOKUP($B58,'B-1 Site Hedge Baseline'!$B$1:$U$257,12,FALSE))))</f>
        <v/>
      </c>
      <c r="M58" s="416" t="str">
        <f t="shared" si="0"/>
        <v/>
      </c>
      <c r="N58" s="498" t="str">
        <f>IFERROR(IF(B58="","",INDEX('G-6 Hedgerow Data'!$AN$3:$AZ$15,MATCH(C58,'G-6 Hedgerow Data'!$AM$3:$AM$15,0),MATCH(M58,'G-6 Hedgerow Data'!$AN$2:$AZ$2,0))),"")</f>
        <v/>
      </c>
      <c r="O58" s="499" t="str">
        <f t="shared" si="2"/>
        <v/>
      </c>
      <c r="P58" s="559" t="str">
        <f>IF(B58="","",VLOOKUP(B58,'B-1 Site Hedge Baseline'!$B$10:T303,16,FALSE))</f>
        <v/>
      </c>
      <c r="Q58" s="498" t="str">
        <f>IF(M58="","",VLOOKUP(M58,'G-6 Hedgerow Data'!$B$2:$AG$15,2,FALSE))</f>
        <v/>
      </c>
      <c r="R58" s="499" t="str">
        <f>IF(M58="","",VLOOKUP(M58,'G-6 Hedgerow Data'!$B$2:$AG$15,3,FALSE))</f>
        <v/>
      </c>
      <c r="S58" s="157"/>
      <c r="T58" s="540" t="str">
        <f>IFERROR(VLOOKUP(S58,'G-1 All Habitats'!$Z$2:$AA$9,2,FALSE),"")</f>
        <v/>
      </c>
      <c r="U58" s="154"/>
      <c r="V58" s="520" t="str">
        <f>IF(U58="","",IF(VLOOKUP(U58,'G-3 Multipliers'!$L$3:$N$6,2,FALSE)=0,"Spatial Data Missing ⚠",VLOOKUP(U58,'G-3 Multipliers'!$L$3:$N$6,2,FALSE)))</f>
        <v/>
      </c>
      <c r="W58" s="524"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07" t="str">
        <f t="shared" si="5"/>
        <v/>
      </c>
      <c r="AF58" s="507" t="str">
        <f t="shared" si="6"/>
        <v/>
      </c>
      <c r="AG58" s="524" t="str">
        <f>IFERROR(IF(O58="","",VLOOKUP(AD58,'G-3 Multipliers'!$P$3:$Q$6,2,FALSE)),"")</f>
        <v/>
      </c>
      <c r="AH58" s="513" t="str">
        <f t="shared" si="7"/>
        <v/>
      </c>
      <c r="AI58" s="231"/>
      <c r="AJ58" s="150"/>
      <c r="AT58" s="31" t="str">
        <f>IFERROR(INDEX('G-6 Hedgerow Data'!$BJ$3:$BJ$15,MATCH(M58,'G-6 Hedgerow Data'!$B$3:$B$15,0)),"")</f>
        <v/>
      </c>
    </row>
    <row r="59" spans="2:46" ht="13.8" x14ac:dyDescent="0.25">
      <c r="B59" s="531" t="str">
        <f>'B-1 Site Hedge Baseline'!AK57</f>
        <v/>
      </c>
      <c r="C59" s="520" t="str">
        <f>IF(B59="","",IF(ISNA(VLOOKUP($B59,'B-1 Site Hedge Baseline'!$B$1:$L$257,3,FALSE)),"",(VLOOKUP($B59,'B-1 Site Hedge Baseline'!$B$1:$L$257,3,FALSE))))</f>
        <v/>
      </c>
      <c r="D59" s="520" t="str">
        <f>IF(B59="","",IF(ISNA(VLOOKUP($B59,'B-1 Site Hedge Baseline'!$B$1:$L$257,4,FALSE)),"",(VLOOKUP($B59,'B-1 Site Hedge Baseline'!$B$1:$L$257,4,FALSE))))</f>
        <v/>
      </c>
      <c r="E59" s="520" t="str">
        <f>IF(B59="","",IF(ISNA(VLOOKUP($B59,'B-1 Site Hedge Baseline'!$B$1:$L$257,5,FALSE)),"",(VLOOKUP($B59,'B-1 Site Hedge Baseline'!$B$1:$L$257,5,FALSE))))</f>
        <v/>
      </c>
      <c r="F59" s="520" t="str">
        <f>IF(B59="","",IF(ISNA(VLOOKUP($B59,'B-1 Site Hedge Baseline'!$B$1:$L$257,6,FALSE)),"",(VLOOKUP($B59,'B-1 Site Hedge Baseline'!$B$1:$L$257,6,FALSE))))</f>
        <v/>
      </c>
      <c r="G59" s="520" t="str">
        <f>IF(B59="","",IF(ISNA(VLOOKUP($B59,'B-1 Site Hedge Baseline'!$B$1:$L$257,7,FALSE)),"",(VLOOKUP($B59,'B-1 Site Hedge Baseline'!$B$1:$L$257,7,FALSE))))</f>
        <v/>
      </c>
      <c r="H59" s="520" t="str">
        <f>IF(B59="","",IF(ISNA(VLOOKUP($B59,'B-1 Site Hedge Baseline'!$B$1:$L$257,8,FALSE)),"",(VLOOKUP($B59,'B-1 Site Hedge Baseline'!$B$1:$L$257,8,FALSE))))</f>
        <v/>
      </c>
      <c r="I59" s="520" t="str">
        <f>IF(B59="","",IF(ISNA(VLOOKUP($B59,'B-1 Site Hedge Baseline'!$B$1:$L$257,10,FALSE)),"",(VLOOKUP($B59,'B-1 Site Hedge Baseline'!$B$1:$L$257,10,FALSE))))</f>
        <v/>
      </c>
      <c r="J59" s="520" t="str">
        <f>IF(B59="","",IF(ISNA(VLOOKUP($B59,'B-1 Site Hedge Baseline'!$B$1:$L$257,11,FALSE)),"",(VLOOKUP($B59,'B-1 Site Hedge Baseline'!$B$1:$L$257,11,FALSE))))</f>
        <v/>
      </c>
      <c r="K59" s="520" t="str">
        <f>IF(B59="","",IF(ISNA(VLOOKUP($B59,'B-1 Site Hedge Baseline'!$B$1:$U$257,13,FALSE)),"",(VLOOKUP($B59,'B-1 Site Hedge Baseline'!$B$1:$U$257,13,FALSE))))</f>
        <v/>
      </c>
      <c r="L59" s="524" t="str">
        <f>IF(B59="","",IF(ISNA(VLOOKUP($B59,'B-1 Site Hedge Baseline'!$B$1:$U$257,12,FALSE)),"",(VLOOKUP($B59,'B-1 Site Hedge Baseline'!$B$1:$U$257,12,FALSE))))</f>
        <v/>
      </c>
      <c r="M59" s="416" t="str">
        <f t="shared" si="0"/>
        <v/>
      </c>
      <c r="N59" s="498" t="str">
        <f>IFERROR(IF(B59="","",INDEX('G-6 Hedgerow Data'!$AN$3:$AZ$15,MATCH(C59,'G-6 Hedgerow Data'!$AM$3:$AM$15,0),MATCH(M59,'G-6 Hedgerow Data'!$AN$2:$AZ$2,0))),"")</f>
        <v/>
      </c>
      <c r="O59" s="499" t="str">
        <f t="shared" si="2"/>
        <v/>
      </c>
      <c r="P59" s="559" t="str">
        <f>IF(B59="","",VLOOKUP(B59,'B-1 Site Hedge Baseline'!$B$10:T304,16,FALSE))</f>
        <v/>
      </c>
      <c r="Q59" s="498" t="str">
        <f>IF(M59="","",VLOOKUP(M59,'G-6 Hedgerow Data'!$B$2:$AG$15,2,FALSE))</f>
        <v/>
      </c>
      <c r="R59" s="499" t="str">
        <f>IF(M59="","",VLOOKUP(M59,'G-6 Hedgerow Data'!$B$2:$AG$15,3,FALSE))</f>
        <v/>
      </c>
      <c r="S59" s="157"/>
      <c r="T59" s="540" t="str">
        <f>IFERROR(VLOOKUP(S59,'G-1 All Habitats'!$Z$2:$AA$9,2,FALSE),"")</f>
        <v/>
      </c>
      <c r="U59" s="154"/>
      <c r="V59" s="520" t="str">
        <f>IF(U59="","",IF(VLOOKUP(U59,'G-3 Multipliers'!$L$3:$N$6,2,FALSE)=0,"Spatial Data Missing ⚠",VLOOKUP(U59,'G-3 Multipliers'!$L$3:$N$6,2,FALSE)))</f>
        <v/>
      </c>
      <c r="W59" s="524"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07" t="str">
        <f t="shared" si="5"/>
        <v/>
      </c>
      <c r="AF59" s="507" t="str">
        <f t="shared" si="6"/>
        <v/>
      </c>
      <c r="AG59" s="524" t="str">
        <f>IFERROR(IF(O59="","",VLOOKUP(AD59,'G-3 Multipliers'!$P$3:$Q$6,2,FALSE)),"")</f>
        <v/>
      </c>
      <c r="AH59" s="513" t="str">
        <f t="shared" si="7"/>
        <v/>
      </c>
      <c r="AI59" s="231"/>
      <c r="AJ59" s="150"/>
      <c r="AT59" s="31" t="str">
        <f>IFERROR(INDEX('G-6 Hedgerow Data'!$BJ$3:$BJ$15,MATCH(M59,'G-6 Hedgerow Data'!$B$3:$B$15,0)),"")</f>
        <v/>
      </c>
    </row>
    <row r="60" spans="2:46" ht="13.8" x14ac:dyDescent="0.25">
      <c r="B60" s="531" t="str">
        <f>'B-1 Site Hedge Baseline'!AK58</f>
        <v/>
      </c>
      <c r="C60" s="520" t="str">
        <f>IF(B60="","",IF(ISNA(VLOOKUP($B60,'B-1 Site Hedge Baseline'!$B$1:$L$257,3,FALSE)),"",(VLOOKUP($B60,'B-1 Site Hedge Baseline'!$B$1:$L$257,3,FALSE))))</f>
        <v/>
      </c>
      <c r="D60" s="520" t="str">
        <f>IF(B60="","",IF(ISNA(VLOOKUP($B60,'B-1 Site Hedge Baseline'!$B$1:$L$257,4,FALSE)),"",(VLOOKUP($B60,'B-1 Site Hedge Baseline'!$B$1:$L$257,4,FALSE))))</f>
        <v/>
      </c>
      <c r="E60" s="520" t="str">
        <f>IF(B60="","",IF(ISNA(VLOOKUP($B60,'B-1 Site Hedge Baseline'!$B$1:$L$257,5,FALSE)),"",(VLOOKUP($B60,'B-1 Site Hedge Baseline'!$B$1:$L$257,5,FALSE))))</f>
        <v/>
      </c>
      <c r="F60" s="520" t="str">
        <f>IF(B60="","",IF(ISNA(VLOOKUP($B60,'B-1 Site Hedge Baseline'!$B$1:$L$257,6,FALSE)),"",(VLOOKUP($B60,'B-1 Site Hedge Baseline'!$B$1:$L$257,6,FALSE))))</f>
        <v/>
      </c>
      <c r="G60" s="520" t="str">
        <f>IF(B60="","",IF(ISNA(VLOOKUP($B60,'B-1 Site Hedge Baseline'!$B$1:$L$257,7,FALSE)),"",(VLOOKUP($B60,'B-1 Site Hedge Baseline'!$B$1:$L$257,7,FALSE))))</f>
        <v/>
      </c>
      <c r="H60" s="520" t="str">
        <f>IF(B60="","",IF(ISNA(VLOOKUP($B60,'B-1 Site Hedge Baseline'!$B$1:$L$257,8,FALSE)),"",(VLOOKUP($B60,'B-1 Site Hedge Baseline'!$B$1:$L$257,8,FALSE))))</f>
        <v/>
      </c>
      <c r="I60" s="520" t="str">
        <f>IF(B60="","",IF(ISNA(VLOOKUP($B60,'B-1 Site Hedge Baseline'!$B$1:$L$257,10,FALSE)),"",(VLOOKUP($B60,'B-1 Site Hedge Baseline'!$B$1:$L$257,10,FALSE))))</f>
        <v/>
      </c>
      <c r="J60" s="520" t="str">
        <f>IF(B60="","",IF(ISNA(VLOOKUP($B60,'B-1 Site Hedge Baseline'!$B$1:$L$257,11,FALSE)),"",(VLOOKUP($B60,'B-1 Site Hedge Baseline'!$B$1:$L$257,11,FALSE))))</f>
        <v/>
      </c>
      <c r="K60" s="520" t="str">
        <f>IF(B60="","",IF(ISNA(VLOOKUP($B60,'B-1 Site Hedge Baseline'!$B$1:$U$257,13,FALSE)),"",(VLOOKUP($B60,'B-1 Site Hedge Baseline'!$B$1:$U$257,13,FALSE))))</f>
        <v/>
      </c>
      <c r="L60" s="524" t="str">
        <f>IF(B60="","",IF(ISNA(VLOOKUP($B60,'B-1 Site Hedge Baseline'!$B$1:$U$257,12,FALSE)),"",(VLOOKUP($B60,'B-1 Site Hedge Baseline'!$B$1:$U$257,12,FALSE))))</f>
        <v/>
      </c>
      <c r="M60" s="416" t="str">
        <f t="shared" si="0"/>
        <v/>
      </c>
      <c r="N60" s="498" t="str">
        <f>IFERROR(IF(B60="","",INDEX('G-6 Hedgerow Data'!$AN$3:$AZ$15,MATCH(C60,'G-6 Hedgerow Data'!$AM$3:$AM$15,0),MATCH(M60,'G-6 Hedgerow Data'!$AN$2:$AZ$2,0))),"")</f>
        <v/>
      </c>
      <c r="O60" s="499" t="str">
        <f t="shared" si="2"/>
        <v/>
      </c>
      <c r="P60" s="559" t="str">
        <f>IF(B60="","",VLOOKUP(B60,'B-1 Site Hedge Baseline'!$B$10:T305,16,FALSE))</f>
        <v/>
      </c>
      <c r="Q60" s="498" t="str">
        <f>IF(M60="","",VLOOKUP(M60,'G-6 Hedgerow Data'!$B$2:$AG$15,2,FALSE))</f>
        <v/>
      </c>
      <c r="R60" s="499" t="str">
        <f>IF(M60="","",VLOOKUP(M60,'G-6 Hedgerow Data'!$B$2:$AG$15,3,FALSE))</f>
        <v/>
      </c>
      <c r="S60" s="157"/>
      <c r="T60" s="540" t="str">
        <f>IFERROR(VLOOKUP(S60,'G-1 All Habitats'!$Z$2:$AA$9,2,FALSE),"")</f>
        <v/>
      </c>
      <c r="U60" s="154"/>
      <c r="V60" s="520" t="str">
        <f>IF(U60="","",IF(VLOOKUP(U60,'G-3 Multipliers'!$L$3:$N$6,2,FALSE)=0,"Spatial Data Missing ⚠",VLOOKUP(U60,'G-3 Multipliers'!$L$3:$N$6,2,FALSE)))</f>
        <v/>
      </c>
      <c r="W60" s="524"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07" t="str">
        <f t="shared" si="5"/>
        <v/>
      </c>
      <c r="AF60" s="507" t="str">
        <f t="shared" si="6"/>
        <v/>
      </c>
      <c r="AG60" s="524" t="str">
        <f>IFERROR(IF(O60="","",VLOOKUP(AD60,'G-3 Multipliers'!$P$3:$Q$6,2,FALSE)),"")</f>
        <v/>
      </c>
      <c r="AH60" s="513" t="str">
        <f t="shared" si="7"/>
        <v/>
      </c>
      <c r="AI60" s="231"/>
      <c r="AJ60" s="150"/>
      <c r="AT60" s="31" t="str">
        <f>IFERROR(INDEX('G-6 Hedgerow Data'!$BJ$3:$BJ$15,MATCH(M60,'G-6 Hedgerow Data'!$B$3:$B$15,0)),"")</f>
        <v/>
      </c>
    </row>
    <row r="61" spans="2:46" ht="13.8" x14ac:dyDescent="0.25">
      <c r="B61" s="531" t="str">
        <f>'B-1 Site Hedge Baseline'!AK59</f>
        <v/>
      </c>
      <c r="C61" s="520" t="str">
        <f>IF(B61="","",IF(ISNA(VLOOKUP($B61,'B-1 Site Hedge Baseline'!$B$1:$L$257,3,FALSE)),"",(VLOOKUP($B61,'B-1 Site Hedge Baseline'!$B$1:$L$257,3,FALSE))))</f>
        <v/>
      </c>
      <c r="D61" s="520" t="str">
        <f>IF(B61="","",IF(ISNA(VLOOKUP($B61,'B-1 Site Hedge Baseline'!$B$1:$L$257,4,FALSE)),"",(VLOOKUP($B61,'B-1 Site Hedge Baseline'!$B$1:$L$257,4,FALSE))))</f>
        <v/>
      </c>
      <c r="E61" s="520" t="str">
        <f>IF(B61="","",IF(ISNA(VLOOKUP($B61,'B-1 Site Hedge Baseline'!$B$1:$L$257,5,FALSE)),"",(VLOOKUP($B61,'B-1 Site Hedge Baseline'!$B$1:$L$257,5,FALSE))))</f>
        <v/>
      </c>
      <c r="F61" s="520" t="str">
        <f>IF(B61="","",IF(ISNA(VLOOKUP($B61,'B-1 Site Hedge Baseline'!$B$1:$L$257,6,FALSE)),"",(VLOOKUP($B61,'B-1 Site Hedge Baseline'!$B$1:$L$257,6,FALSE))))</f>
        <v/>
      </c>
      <c r="G61" s="520" t="str">
        <f>IF(B61="","",IF(ISNA(VLOOKUP($B61,'B-1 Site Hedge Baseline'!$B$1:$L$257,7,FALSE)),"",(VLOOKUP($B61,'B-1 Site Hedge Baseline'!$B$1:$L$257,7,FALSE))))</f>
        <v/>
      </c>
      <c r="H61" s="520" t="str">
        <f>IF(B61="","",IF(ISNA(VLOOKUP($B61,'B-1 Site Hedge Baseline'!$B$1:$L$257,8,FALSE)),"",(VLOOKUP($B61,'B-1 Site Hedge Baseline'!$B$1:$L$257,8,FALSE))))</f>
        <v/>
      </c>
      <c r="I61" s="520" t="str">
        <f>IF(B61="","",IF(ISNA(VLOOKUP($B61,'B-1 Site Hedge Baseline'!$B$1:$L$257,10,FALSE)),"",(VLOOKUP($B61,'B-1 Site Hedge Baseline'!$B$1:$L$257,10,FALSE))))</f>
        <v/>
      </c>
      <c r="J61" s="520" t="str">
        <f>IF(B61="","",IF(ISNA(VLOOKUP($B61,'B-1 Site Hedge Baseline'!$B$1:$L$257,11,FALSE)),"",(VLOOKUP($B61,'B-1 Site Hedge Baseline'!$B$1:$L$257,11,FALSE))))</f>
        <v/>
      </c>
      <c r="K61" s="520" t="str">
        <f>IF(B61="","",IF(ISNA(VLOOKUP($B61,'B-1 Site Hedge Baseline'!$B$1:$U$257,13,FALSE)),"",(VLOOKUP($B61,'B-1 Site Hedge Baseline'!$B$1:$U$257,13,FALSE))))</f>
        <v/>
      </c>
      <c r="L61" s="524" t="str">
        <f>IF(B61="","",IF(ISNA(VLOOKUP($B61,'B-1 Site Hedge Baseline'!$B$1:$U$257,12,FALSE)),"",(VLOOKUP($B61,'B-1 Site Hedge Baseline'!$B$1:$U$257,12,FALSE))))</f>
        <v/>
      </c>
      <c r="M61" s="416" t="str">
        <f t="shared" si="0"/>
        <v/>
      </c>
      <c r="N61" s="498" t="str">
        <f>IFERROR(IF(B61="","",INDEX('G-6 Hedgerow Data'!$AN$3:$AZ$15,MATCH(C61,'G-6 Hedgerow Data'!$AM$3:$AM$15,0),MATCH(M61,'G-6 Hedgerow Data'!$AN$2:$AZ$2,0))),"")</f>
        <v/>
      </c>
      <c r="O61" s="499" t="str">
        <f t="shared" si="2"/>
        <v/>
      </c>
      <c r="P61" s="559" t="str">
        <f>IF(B61="","",VLOOKUP(B61,'B-1 Site Hedge Baseline'!$B$10:T306,16,FALSE))</f>
        <v/>
      </c>
      <c r="Q61" s="498" t="str">
        <f>IF(M61="","",VLOOKUP(M61,'G-6 Hedgerow Data'!$B$2:$AG$15,2,FALSE))</f>
        <v/>
      </c>
      <c r="R61" s="499" t="str">
        <f>IF(M61="","",VLOOKUP(M61,'G-6 Hedgerow Data'!$B$2:$AG$15,3,FALSE))</f>
        <v/>
      </c>
      <c r="S61" s="157"/>
      <c r="T61" s="540" t="str">
        <f>IFERROR(VLOOKUP(S61,'G-1 All Habitats'!$Z$2:$AA$9,2,FALSE),"")</f>
        <v/>
      </c>
      <c r="U61" s="154"/>
      <c r="V61" s="520" t="str">
        <f>IF(U61="","",IF(VLOOKUP(U61,'G-3 Multipliers'!$L$3:$N$6,2,FALSE)=0,"Spatial Data Missing ⚠",VLOOKUP(U61,'G-3 Multipliers'!$L$3:$N$6,2,FALSE)))</f>
        <v/>
      </c>
      <c r="W61" s="524"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07" t="str">
        <f t="shared" si="5"/>
        <v/>
      </c>
      <c r="AF61" s="507" t="str">
        <f t="shared" si="6"/>
        <v/>
      </c>
      <c r="AG61" s="524" t="str">
        <f>IFERROR(IF(O61="","",VLOOKUP(AD61,'G-3 Multipliers'!$P$3:$Q$6,2,FALSE)),"")</f>
        <v/>
      </c>
      <c r="AH61" s="513" t="str">
        <f t="shared" si="7"/>
        <v/>
      </c>
      <c r="AI61" s="231"/>
      <c r="AJ61" s="150"/>
      <c r="AT61" s="31" t="str">
        <f>IFERROR(INDEX('G-6 Hedgerow Data'!$BJ$3:$BJ$15,MATCH(M61,'G-6 Hedgerow Data'!$B$3:$B$15,0)),"")</f>
        <v/>
      </c>
    </row>
    <row r="62" spans="2:46" ht="13.8" x14ac:dyDescent="0.25">
      <c r="B62" s="531" t="str">
        <f>'B-1 Site Hedge Baseline'!AK60</f>
        <v/>
      </c>
      <c r="C62" s="520" t="str">
        <f>IF(B62="","",IF(ISNA(VLOOKUP($B62,'B-1 Site Hedge Baseline'!$B$1:$L$257,3,FALSE)),"",(VLOOKUP($B62,'B-1 Site Hedge Baseline'!$B$1:$L$257,3,FALSE))))</f>
        <v/>
      </c>
      <c r="D62" s="520" t="str">
        <f>IF(B62="","",IF(ISNA(VLOOKUP($B62,'B-1 Site Hedge Baseline'!$B$1:$L$257,4,FALSE)),"",(VLOOKUP($B62,'B-1 Site Hedge Baseline'!$B$1:$L$257,4,FALSE))))</f>
        <v/>
      </c>
      <c r="E62" s="520" t="str">
        <f>IF(B62="","",IF(ISNA(VLOOKUP($B62,'B-1 Site Hedge Baseline'!$B$1:$L$257,5,FALSE)),"",(VLOOKUP($B62,'B-1 Site Hedge Baseline'!$B$1:$L$257,5,FALSE))))</f>
        <v/>
      </c>
      <c r="F62" s="520" t="str">
        <f>IF(B62="","",IF(ISNA(VLOOKUP($B62,'B-1 Site Hedge Baseline'!$B$1:$L$257,6,FALSE)),"",(VLOOKUP($B62,'B-1 Site Hedge Baseline'!$B$1:$L$257,6,FALSE))))</f>
        <v/>
      </c>
      <c r="G62" s="520" t="str">
        <f>IF(B62="","",IF(ISNA(VLOOKUP($B62,'B-1 Site Hedge Baseline'!$B$1:$L$257,7,FALSE)),"",(VLOOKUP($B62,'B-1 Site Hedge Baseline'!$B$1:$L$257,7,FALSE))))</f>
        <v/>
      </c>
      <c r="H62" s="520" t="str">
        <f>IF(B62="","",IF(ISNA(VLOOKUP($B62,'B-1 Site Hedge Baseline'!$B$1:$L$257,8,FALSE)),"",(VLOOKUP($B62,'B-1 Site Hedge Baseline'!$B$1:$L$257,8,FALSE))))</f>
        <v/>
      </c>
      <c r="I62" s="520" t="str">
        <f>IF(B62="","",IF(ISNA(VLOOKUP($B62,'B-1 Site Hedge Baseline'!$B$1:$L$257,10,FALSE)),"",(VLOOKUP($B62,'B-1 Site Hedge Baseline'!$B$1:$L$257,10,FALSE))))</f>
        <v/>
      </c>
      <c r="J62" s="520" t="str">
        <f>IF(B62="","",IF(ISNA(VLOOKUP($B62,'B-1 Site Hedge Baseline'!$B$1:$L$257,11,FALSE)),"",(VLOOKUP($B62,'B-1 Site Hedge Baseline'!$B$1:$L$257,11,FALSE))))</f>
        <v/>
      </c>
      <c r="K62" s="520" t="str">
        <f>IF(B62="","",IF(ISNA(VLOOKUP($B62,'B-1 Site Hedge Baseline'!$B$1:$U$257,13,FALSE)),"",(VLOOKUP($B62,'B-1 Site Hedge Baseline'!$B$1:$U$257,13,FALSE))))</f>
        <v/>
      </c>
      <c r="L62" s="524" t="str">
        <f>IF(B62="","",IF(ISNA(VLOOKUP($B62,'B-1 Site Hedge Baseline'!$B$1:$U$257,12,FALSE)),"",(VLOOKUP($B62,'B-1 Site Hedge Baseline'!$B$1:$U$257,12,FALSE))))</f>
        <v/>
      </c>
      <c r="M62" s="416" t="str">
        <f t="shared" si="0"/>
        <v/>
      </c>
      <c r="N62" s="498" t="str">
        <f>IFERROR(IF(B62="","",INDEX('G-6 Hedgerow Data'!$AN$3:$AZ$15,MATCH(C62,'G-6 Hedgerow Data'!$AM$3:$AM$15,0),MATCH(M62,'G-6 Hedgerow Data'!$AN$2:$AZ$2,0))),"")</f>
        <v/>
      </c>
      <c r="O62" s="499" t="str">
        <f t="shared" si="2"/>
        <v/>
      </c>
      <c r="P62" s="559" t="str">
        <f>IF(B62="","",VLOOKUP(B62,'B-1 Site Hedge Baseline'!$B$10:T307,16,FALSE))</f>
        <v/>
      </c>
      <c r="Q62" s="498" t="str">
        <f>IF(M62="","",VLOOKUP(M62,'G-6 Hedgerow Data'!$B$2:$AG$15,2,FALSE))</f>
        <v/>
      </c>
      <c r="R62" s="499" t="str">
        <f>IF(M62="","",VLOOKUP(M62,'G-6 Hedgerow Data'!$B$2:$AG$15,3,FALSE))</f>
        <v/>
      </c>
      <c r="S62" s="157"/>
      <c r="T62" s="540" t="str">
        <f>IFERROR(VLOOKUP(S62,'G-1 All Habitats'!$Z$2:$AA$9,2,FALSE),"")</f>
        <v/>
      </c>
      <c r="U62" s="154"/>
      <c r="V62" s="520" t="str">
        <f>IF(U62="","",IF(VLOOKUP(U62,'G-3 Multipliers'!$L$3:$N$6,2,FALSE)=0,"Spatial Data Missing ⚠",VLOOKUP(U62,'G-3 Multipliers'!$L$3:$N$6,2,FALSE)))</f>
        <v/>
      </c>
      <c r="W62" s="524"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07" t="str">
        <f t="shared" si="5"/>
        <v/>
      </c>
      <c r="AF62" s="507" t="str">
        <f t="shared" si="6"/>
        <v/>
      </c>
      <c r="AG62" s="524" t="str">
        <f>IFERROR(IF(O62="","",VLOOKUP(AD62,'G-3 Multipliers'!$P$3:$Q$6,2,FALSE)),"")</f>
        <v/>
      </c>
      <c r="AH62" s="513" t="str">
        <f t="shared" si="7"/>
        <v/>
      </c>
      <c r="AI62" s="231"/>
      <c r="AJ62" s="150"/>
      <c r="AT62" s="31" t="str">
        <f>IFERROR(INDEX('G-6 Hedgerow Data'!$BJ$3:$BJ$15,MATCH(M62,'G-6 Hedgerow Data'!$B$3:$B$15,0)),"")</f>
        <v/>
      </c>
    </row>
    <row r="63" spans="2:46" ht="13.8" x14ac:dyDescent="0.25">
      <c r="B63" s="531" t="str">
        <f>'B-1 Site Hedge Baseline'!AK61</f>
        <v/>
      </c>
      <c r="C63" s="520" t="str">
        <f>IF(B63="","",IF(ISNA(VLOOKUP($B63,'B-1 Site Hedge Baseline'!$B$1:$L$257,3,FALSE)),"",(VLOOKUP($B63,'B-1 Site Hedge Baseline'!$B$1:$L$257,3,FALSE))))</f>
        <v/>
      </c>
      <c r="D63" s="520" t="str">
        <f>IF(B63="","",IF(ISNA(VLOOKUP($B63,'B-1 Site Hedge Baseline'!$B$1:$L$257,4,FALSE)),"",(VLOOKUP($B63,'B-1 Site Hedge Baseline'!$B$1:$L$257,4,FALSE))))</f>
        <v/>
      </c>
      <c r="E63" s="520" t="str">
        <f>IF(B63="","",IF(ISNA(VLOOKUP($B63,'B-1 Site Hedge Baseline'!$B$1:$L$257,5,FALSE)),"",(VLOOKUP($B63,'B-1 Site Hedge Baseline'!$B$1:$L$257,5,FALSE))))</f>
        <v/>
      </c>
      <c r="F63" s="520" t="str">
        <f>IF(B63="","",IF(ISNA(VLOOKUP($B63,'B-1 Site Hedge Baseline'!$B$1:$L$257,6,FALSE)),"",(VLOOKUP($B63,'B-1 Site Hedge Baseline'!$B$1:$L$257,6,FALSE))))</f>
        <v/>
      </c>
      <c r="G63" s="520" t="str">
        <f>IF(B63="","",IF(ISNA(VLOOKUP($B63,'B-1 Site Hedge Baseline'!$B$1:$L$257,7,FALSE)),"",(VLOOKUP($B63,'B-1 Site Hedge Baseline'!$B$1:$L$257,7,FALSE))))</f>
        <v/>
      </c>
      <c r="H63" s="520" t="str">
        <f>IF(B63="","",IF(ISNA(VLOOKUP($B63,'B-1 Site Hedge Baseline'!$B$1:$L$257,8,FALSE)),"",(VLOOKUP($B63,'B-1 Site Hedge Baseline'!$B$1:$L$257,8,FALSE))))</f>
        <v/>
      </c>
      <c r="I63" s="520" t="str">
        <f>IF(B63="","",IF(ISNA(VLOOKUP($B63,'B-1 Site Hedge Baseline'!$B$1:$L$257,10,FALSE)),"",(VLOOKUP($B63,'B-1 Site Hedge Baseline'!$B$1:$L$257,10,FALSE))))</f>
        <v/>
      </c>
      <c r="J63" s="520" t="str">
        <f>IF(B63="","",IF(ISNA(VLOOKUP($B63,'B-1 Site Hedge Baseline'!$B$1:$L$257,11,FALSE)),"",(VLOOKUP($B63,'B-1 Site Hedge Baseline'!$B$1:$L$257,11,FALSE))))</f>
        <v/>
      </c>
      <c r="K63" s="520" t="str">
        <f>IF(B63="","",IF(ISNA(VLOOKUP($B63,'B-1 Site Hedge Baseline'!$B$1:$U$257,13,FALSE)),"",(VLOOKUP($B63,'B-1 Site Hedge Baseline'!$B$1:$U$257,13,FALSE))))</f>
        <v/>
      </c>
      <c r="L63" s="524" t="str">
        <f>IF(B63="","",IF(ISNA(VLOOKUP($B63,'B-1 Site Hedge Baseline'!$B$1:$U$257,12,FALSE)),"",(VLOOKUP($B63,'B-1 Site Hedge Baseline'!$B$1:$U$257,12,FALSE))))</f>
        <v/>
      </c>
      <c r="M63" s="416" t="str">
        <f t="shared" si="0"/>
        <v/>
      </c>
      <c r="N63" s="498" t="str">
        <f>IFERROR(IF(B63="","",INDEX('G-6 Hedgerow Data'!$AN$3:$AZ$15,MATCH(C63,'G-6 Hedgerow Data'!$AM$3:$AM$15,0),MATCH(M63,'G-6 Hedgerow Data'!$AN$2:$AZ$2,0))),"")</f>
        <v/>
      </c>
      <c r="O63" s="499" t="str">
        <f t="shared" si="2"/>
        <v/>
      </c>
      <c r="P63" s="559" t="str">
        <f>IF(B63="","",VLOOKUP(B63,'B-1 Site Hedge Baseline'!$B$10:T308,16,FALSE))</f>
        <v/>
      </c>
      <c r="Q63" s="498" t="str">
        <f>IF(M63="","",VLOOKUP(M63,'G-6 Hedgerow Data'!$B$2:$AG$15,2,FALSE))</f>
        <v/>
      </c>
      <c r="R63" s="499" t="str">
        <f>IF(M63="","",VLOOKUP(M63,'G-6 Hedgerow Data'!$B$2:$AG$15,3,FALSE))</f>
        <v/>
      </c>
      <c r="S63" s="157"/>
      <c r="T63" s="540" t="str">
        <f>IFERROR(VLOOKUP(S63,'G-1 All Habitats'!$Z$2:$AA$9,2,FALSE),"")</f>
        <v/>
      </c>
      <c r="U63" s="154"/>
      <c r="V63" s="520" t="str">
        <f>IF(U63="","",IF(VLOOKUP(U63,'G-3 Multipliers'!$L$3:$N$6,2,FALSE)=0,"Spatial Data Missing ⚠",VLOOKUP(U63,'G-3 Multipliers'!$L$3:$N$6,2,FALSE)))</f>
        <v/>
      </c>
      <c r="W63" s="524"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07" t="str">
        <f t="shared" si="5"/>
        <v/>
      </c>
      <c r="AF63" s="507" t="str">
        <f t="shared" si="6"/>
        <v/>
      </c>
      <c r="AG63" s="524" t="str">
        <f>IFERROR(IF(O63="","",VLOOKUP(AD63,'G-3 Multipliers'!$P$3:$Q$6,2,FALSE)),"")</f>
        <v/>
      </c>
      <c r="AH63" s="513" t="str">
        <f t="shared" si="7"/>
        <v/>
      </c>
      <c r="AI63" s="231"/>
      <c r="AJ63" s="150"/>
      <c r="AT63" s="31" t="str">
        <f>IFERROR(INDEX('G-6 Hedgerow Data'!$BJ$3:$BJ$15,MATCH(M63,'G-6 Hedgerow Data'!$B$3:$B$15,0)),"")</f>
        <v/>
      </c>
    </row>
    <row r="64" spans="2:46" ht="13.8" x14ac:dyDescent="0.25">
      <c r="B64" s="531" t="str">
        <f>'B-1 Site Hedge Baseline'!AK62</f>
        <v/>
      </c>
      <c r="C64" s="520" t="str">
        <f>IF(B64="","",IF(ISNA(VLOOKUP($B64,'B-1 Site Hedge Baseline'!$B$1:$L$257,3,FALSE)),"",(VLOOKUP($B64,'B-1 Site Hedge Baseline'!$B$1:$L$257,3,FALSE))))</f>
        <v/>
      </c>
      <c r="D64" s="520" t="str">
        <f>IF(B64="","",IF(ISNA(VLOOKUP($B64,'B-1 Site Hedge Baseline'!$B$1:$L$257,4,FALSE)),"",(VLOOKUP($B64,'B-1 Site Hedge Baseline'!$B$1:$L$257,4,FALSE))))</f>
        <v/>
      </c>
      <c r="E64" s="520" t="str">
        <f>IF(B64="","",IF(ISNA(VLOOKUP($B64,'B-1 Site Hedge Baseline'!$B$1:$L$257,5,FALSE)),"",(VLOOKUP($B64,'B-1 Site Hedge Baseline'!$B$1:$L$257,5,FALSE))))</f>
        <v/>
      </c>
      <c r="F64" s="520" t="str">
        <f>IF(B64="","",IF(ISNA(VLOOKUP($B64,'B-1 Site Hedge Baseline'!$B$1:$L$257,6,FALSE)),"",(VLOOKUP($B64,'B-1 Site Hedge Baseline'!$B$1:$L$257,6,FALSE))))</f>
        <v/>
      </c>
      <c r="G64" s="520" t="str">
        <f>IF(B64="","",IF(ISNA(VLOOKUP($B64,'B-1 Site Hedge Baseline'!$B$1:$L$257,7,FALSE)),"",(VLOOKUP($B64,'B-1 Site Hedge Baseline'!$B$1:$L$257,7,FALSE))))</f>
        <v/>
      </c>
      <c r="H64" s="520" t="str">
        <f>IF(B64="","",IF(ISNA(VLOOKUP($B64,'B-1 Site Hedge Baseline'!$B$1:$L$257,8,FALSE)),"",(VLOOKUP($B64,'B-1 Site Hedge Baseline'!$B$1:$L$257,8,FALSE))))</f>
        <v/>
      </c>
      <c r="I64" s="520" t="str">
        <f>IF(B64="","",IF(ISNA(VLOOKUP($B64,'B-1 Site Hedge Baseline'!$B$1:$L$257,10,FALSE)),"",(VLOOKUP($B64,'B-1 Site Hedge Baseline'!$B$1:$L$257,10,FALSE))))</f>
        <v/>
      </c>
      <c r="J64" s="520" t="str">
        <f>IF(B64="","",IF(ISNA(VLOOKUP($B64,'B-1 Site Hedge Baseline'!$B$1:$L$257,11,FALSE)),"",(VLOOKUP($B64,'B-1 Site Hedge Baseline'!$B$1:$L$257,11,FALSE))))</f>
        <v/>
      </c>
      <c r="K64" s="520" t="str">
        <f>IF(B64="","",IF(ISNA(VLOOKUP($B64,'B-1 Site Hedge Baseline'!$B$1:$U$257,13,FALSE)),"",(VLOOKUP($B64,'B-1 Site Hedge Baseline'!$B$1:$U$257,13,FALSE))))</f>
        <v/>
      </c>
      <c r="L64" s="524" t="str">
        <f>IF(B64="","",IF(ISNA(VLOOKUP($B64,'B-1 Site Hedge Baseline'!$B$1:$U$257,12,FALSE)),"",(VLOOKUP($B64,'B-1 Site Hedge Baseline'!$B$1:$U$257,12,FALSE))))</f>
        <v/>
      </c>
      <c r="M64" s="416" t="str">
        <f t="shared" si="0"/>
        <v/>
      </c>
      <c r="N64" s="498" t="str">
        <f>IFERROR(IF(B64="","",INDEX('G-6 Hedgerow Data'!$AN$3:$AZ$15,MATCH(C64,'G-6 Hedgerow Data'!$AM$3:$AM$15,0),MATCH(M64,'G-6 Hedgerow Data'!$AN$2:$AZ$2,0))),"")</f>
        <v/>
      </c>
      <c r="O64" s="499" t="str">
        <f t="shared" si="2"/>
        <v/>
      </c>
      <c r="P64" s="559" t="str">
        <f>IF(B64="","",VLOOKUP(B64,'B-1 Site Hedge Baseline'!$B$10:T309,16,FALSE))</f>
        <v/>
      </c>
      <c r="Q64" s="498" t="str">
        <f>IF(M64="","",VLOOKUP(M64,'G-6 Hedgerow Data'!$B$2:$AG$15,2,FALSE))</f>
        <v/>
      </c>
      <c r="R64" s="499" t="str">
        <f>IF(M64="","",VLOOKUP(M64,'G-6 Hedgerow Data'!$B$2:$AG$15,3,FALSE))</f>
        <v/>
      </c>
      <c r="S64" s="157"/>
      <c r="T64" s="540" t="str">
        <f>IFERROR(VLOOKUP(S64,'G-1 All Habitats'!$Z$2:$AA$9,2,FALSE),"")</f>
        <v/>
      </c>
      <c r="U64" s="154"/>
      <c r="V64" s="520" t="str">
        <f>IF(U64="","",IF(VLOOKUP(U64,'G-3 Multipliers'!$L$3:$N$6,2,FALSE)=0,"Spatial Data Missing ⚠",VLOOKUP(U64,'G-3 Multipliers'!$L$3:$N$6,2,FALSE)))</f>
        <v/>
      </c>
      <c r="W64" s="524"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07" t="str">
        <f t="shared" si="5"/>
        <v/>
      </c>
      <c r="AF64" s="507" t="str">
        <f t="shared" si="6"/>
        <v/>
      </c>
      <c r="AG64" s="524" t="str">
        <f>IFERROR(IF(O64="","",VLOOKUP(AD64,'G-3 Multipliers'!$P$3:$Q$6,2,FALSE)),"")</f>
        <v/>
      </c>
      <c r="AH64" s="513" t="str">
        <f t="shared" si="7"/>
        <v/>
      </c>
      <c r="AI64" s="231"/>
      <c r="AJ64" s="150"/>
      <c r="AT64" s="31" t="str">
        <f>IFERROR(INDEX('G-6 Hedgerow Data'!$BJ$3:$BJ$15,MATCH(M64,'G-6 Hedgerow Data'!$B$3:$B$15,0)),"")</f>
        <v/>
      </c>
    </row>
    <row r="65" spans="2:46" ht="13.8" x14ac:dyDescent="0.25">
      <c r="B65" s="531" t="str">
        <f>'B-1 Site Hedge Baseline'!AK63</f>
        <v/>
      </c>
      <c r="C65" s="520" t="str">
        <f>IF(B65="","",IF(ISNA(VLOOKUP($B65,'B-1 Site Hedge Baseline'!$B$1:$L$257,3,FALSE)),"",(VLOOKUP($B65,'B-1 Site Hedge Baseline'!$B$1:$L$257,3,FALSE))))</f>
        <v/>
      </c>
      <c r="D65" s="520" t="str">
        <f>IF(B65="","",IF(ISNA(VLOOKUP($B65,'B-1 Site Hedge Baseline'!$B$1:$L$257,4,FALSE)),"",(VLOOKUP($B65,'B-1 Site Hedge Baseline'!$B$1:$L$257,4,FALSE))))</f>
        <v/>
      </c>
      <c r="E65" s="520" t="str">
        <f>IF(B65="","",IF(ISNA(VLOOKUP($B65,'B-1 Site Hedge Baseline'!$B$1:$L$257,5,FALSE)),"",(VLOOKUP($B65,'B-1 Site Hedge Baseline'!$B$1:$L$257,5,FALSE))))</f>
        <v/>
      </c>
      <c r="F65" s="520" t="str">
        <f>IF(B65="","",IF(ISNA(VLOOKUP($B65,'B-1 Site Hedge Baseline'!$B$1:$L$257,6,FALSE)),"",(VLOOKUP($B65,'B-1 Site Hedge Baseline'!$B$1:$L$257,6,FALSE))))</f>
        <v/>
      </c>
      <c r="G65" s="520" t="str">
        <f>IF(B65="","",IF(ISNA(VLOOKUP($B65,'B-1 Site Hedge Baseline'!$B$1:$L$257,7,FALSE)),"",(VLOOKUP($B65,'B-1 Site Hedge Baseline'!$B$1:$L$257,7,FALSE))))</f>
        <v/>
      </c>
      <c r="H65" s="520" t="str">
        <f>IF(B65="","",IF(ISNA(VLOOKUP($B65,'B-1 Site Hedge Baseline'!$B$1:$L$257,8,FALSE)),"",(VLOOKUP($B65,'B-1 Site Hedge Baseline'!$B$1:$L$257,8,FALSE))))</f>
        <v/>
      </c>
      <c r="I65" s="520" t="str">
        <f>IF(B65="","",IF(ISNA(VLOOKUP($B65,'B-1 Site Hedge Baseline'!$B$1:$L$257,10,FALSE)),"",(VLOOKUP($B65,'B-1 Site Hedge Baseline'!$B$1:$L$257,10,FALSE))))</f>
        <v/>
      </c>
      <c r="J65" s="520" t="str">
        <f>IF(B65="","",IF(ISNA(VLOOKUP($B65,'B-1 Site Hedge Baseline'!$B$1:$L$257,11,FALSE)),"",(VLOOKUP($B65,'B-1 Site Hedge Baseline'!$B$1:$L$257,11,FALSE))))</f>
        <v/>
      </c>
      <c r="K65" s="520" t="str">
        <f>IF(B65="","",IF(ISNA(VLOOKUP($B65,'B-1 Site Hedge Baseline'!$B$1:$U$257,13,FALSE)),"",(VLOOKUP($B65,'B-1 Site Hedge Baseline'!$B$1:$U$257,13,FALSE))))</f>
        <v/>
      </c>
      <c r="L65" s="524" t="str">
        <f>IF(B65="","",IF(ISNA(VLOOKUP($B65,'B-1 Site Hedge Baseline'!$B$1:$U$257,12,FALSE)),"",(VLOOKUP($B65,'B-1 Site Hedge Baseline'!$B$1:$U$257,12,FALSE))))</f>
        <v/>
      </c>
      <c r="M65" s="416" t="str">
        <f t="shared" si="0"/>
        <v/>
      </c>
      <c r="N65" s="498" t="str">
        <f>IFERROR(IF(B65="","",INDEX('G-6 Hedgerow Data'!$AN$3:$AZ$15,MATCH(C65,'G-6 Hedgerow Data'!$AM$3:$AM$15,0),MATCH(M65,'G-6 Hedgerow Data'!$AN$2:$AZ$2,0))),"")</f>
        <v/>
      </c>
      <c r="O65" s="499" t="str">
        <f t="shared" si="2"/>
        <v/>
      </c>
      <c r="P65" s="559" t="str">
        <f>IF(B65="","",VLOOKUP(B65,'B-1 Site Hedge Baseline'!$B$10:T310,16,FALSE))</f>
        <v/>
      </c>
      <c r="Q65" s="498" t="str">
        <f>IF(M65="","",VLOOKUP(M65,'G-6 Hedgerow Data'!$B$2:$AG$15,2,FALSE))</f>
        <v/>
      </c>
      <c r="R65" s="499" t="str">
        <f>IF(M65="","",VLOOKUP(M65,'G-6 Hedgerow Data'!$B$2:$AG$15,3,FALSE))</f>
        <v/>
      </c>
      <c r="S65" s="157"/>
      <c r="T65" s="540" t="str">
        <f>IFERROR(VLOOKUP(S65,'G-1 All Habitats'!$Z$2:$AA$9,2,FALSE),"")</f>
        <v/>
      </c>
      <c r="U65" s="154"/>
      <c r="V65" s="520" t="str">
        <f>IF(U65="","",IF(VLOOKUP(U65,'G-3 Multipliers'!$L$3:$N$6,2,FALSE)=0,"Spatial Data Missing ⚠",VLOOKUP(U65,'G-3 Multipliers'!$L$3:$N$6,2,FALSE)))</f>
        <v/>
      </c>
      <c r="W65" s="524"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07" t="str">
        <f t="shared" si="5"/>
        <v/>
      </c>
      <c r="AF65" s="507" t="str">
        <f t="shared" si="6"/>
        <v/>
      </c>
      <c r="AG65" s="524" t="str">
        <f>IFERROR(IF(O65="","",VLOOKUP(AD65,'G-3 Multipliers'!$P$3:$Q$6,2,FALSE)),"")</f>
        <v/>
      </c>
      <c r="AH65" s="513" t="str">
        <f t="shared" si="7"/>
        <v/>
      </c>
      <c r="AI65" s="231"/>
      <c r="AJ65" s="150"/>
      <c r="AT65" s="31" t="str">
        <f>IFERROR(INDEX('G-6 Hedgerow Data'!$BJ$3:$BJ$15,MATCH(M65,'G-6 Hedgerow Data'!$B$3:$B$15,0)),"")</f>
        <v/>
      </c>
    </row>
    <row r="66" spans="2:46" ht="13.8" x14ac:dyDescent="0.25">
      <c r="B66" s="531" t="str">
        <f>'B-1 Site Hedge Baseline'!AK64</f>
        <v/>
      </c>
      <c r="C66" s="520" t="str">
        <f>IF(B66="","",IF(ISNA(VLOOKUP($B66,'B-1 Site Hedge Baseline'!$B$1:$L$257,3,FALSE)),"",(VLOOKUP($B66,'B-1 Site Hedge Baseline'!$B$1:$L$257,3,FALSE))))</f>
        <v/>
      </c>
      <c r="D66" s="520" t="str">
        <f>IF(B66="","",IF(ISNA(VLOOKUP($B66,'B-1 Site Hedge Baseline'!$B$1:$L$257,4,FALSE)),"",(VLOOKUP($B66,'B-1 Site Hedge Baseline'!$B$1:$L$257,4,FALSE))))</f>
        <v/>
      </c>
      <c r="E66" s="520" t="str">
        <f>IF(B66="","",IF(ISNA(VLOOKUP($B66,'B-1 Site Hedge Baseline'!$B$1:$L$257,5,FALSE)),"",(VLOOKUP($B66,'B-1 Site Hedge Baseline'!$B$1:$L$257,5,FALSE))))</f>
        <v/>
      </c>
      <c r="F66" s="520" t="str">
        <f>IF(B66="","",IF(ISNA(VLOOKUP($B66,'B-1 Site Hedge Baseline'!$B$1:$L$257,6,FALSE)),"",(VLOOKUP($B66,'B-1 Site Hedge Baseline'!$B$1:$L$257,6,FALSE))))</f>
        <v/>
      </c>
      <c r="G66" s="520" t="str">
        <f>IF(B66="","",IF(ISNA(VLOOKUP($B66,'B-1 Site Hedge Baseline'!$B$1:$L$257,7,FALSE)),"",(VLOOKUP($B66,'B-1 Site Hedge Baseline'!$B$1:$L$257,7,FALSE))))</f>
        <v/>
      </c>
      <c r="H66" s="520" t="str">
        <f>IF(B66="","",IF(ISNA(VLOOKUP($B66,'B-1 Site Hedge Baseline'!$B$1:$L$257,8,FALSE)),"",(VLOOKUP($B66,'B-1 Site Hedge Baseline'!$B$1:$L$257,8,FALSE))))</f>
        <v/>
      </c>
      <c r="I66" s="520" t="str">
        <f>IF(B66="","",IF(ISNA(VLOOKUP($B66,'B-1 Site Hedge Baseline'!$B$1:$L$257,10,FALSE)),"",(VLOOKUP($B66,'B-1 Site Hedge Baseline'!$B$1:$L$257,10,FALSE))))</f>
        <v/>
      </c>
      <c r="J66" s="520" t="str">
        <f>IF(B66="","",IF(ISNA(VLOOKUP($B66,'B-1 Site Hedge Baseline'!$B$1:$L$257,11,FALSE)),"",(VLOOKUP($B66,'B-1 Site Hedge Baseline'!$B$1:$L$257,11,FALSE))))</f>
        <v/>
      </c>
      <c r="K66" s="520" t="str">
        <f>IF(B66="","",IF(ISNA(VLOOKUP($B66,'B-1 Site Hedge Baseline'!$B$1:$U$257,13,FALSE)),"",(VLOOKUP($B66,'B-1 Site Hedge Baseline'!$B$1:$U$257,13,FALSE))))</f>
        <v/>
      </c>
      <c r="L66" s="524" t="str">
        <f>IF(B66="","",IF(ISNA(VLOOKUP($B66,'B-1 Site Hedge Baseline'!$B$1:$U$257,12,FALSE)),"",(VLOOKUP($B66,'B-1 Site Hedge Baseline'!$B$1:$U$257,12,FALSE))))</f>
        <v/>
      </c>
      <c r="M66" s="416" t="str">
        <f t="shared" si="0"/>
        <v/>
      </c>
      <c r="N66" s="498" t="str">
        <f>IFERROR(IF(B66="","",INDEX('G-6 Hedgerow Data'!$AN$3:$AZ$15,MATCH(C66,'G-6 Hedgerow Data'!$AM$3:$AM$15,0),MATCH(M66,'G-6 Hedgerow Data'!$AN$2:$AZ$2,0))),"")</f>
        <v/>
      </c>
      <c r="O66" s="499" t="str">
        <f t="shared" si="2"/>
        <v/>
      </c>
      <c r="P66" s="559" t="str">
        <f>IF(B66="","",VLOOKUP(B66,'B-1 Site Hedge Baseline'!$B$10:T311,16,FALSE))</f>
        <v/>
      </c>
      <c r="Q66" s="498" t="str">
        <f>IF(M66="","",VLOOKUP(M66,'G-6 Hedgerow Data'!$B$2:$AG$15,2,FALSE))</f>
        <v/>
      </c>
      <c r="R66" s="499" t="str">
        <f>IF(M66="","",VLOOKUP(M66,'G-6 Hedgerow Data'!$B$2:$AG$15,3,FALSE))</f>
        <v/>
      </c>
      <c r="S66" s="157"/>
      <c r="T66" s="540" t="str">
        <f>IFERROR(VLOOKUP(S66,'G-1 All Habitats'!$Z$2:$AA$9,2,FALSE),"")</f>
        <v/>
      </c>
      <c r="U66" s="154"/>
      <c r="V66" s="520" t="str">
        <f>IF(U66="","",IF(VLOOKUP(U66,'G-3 Multipliers'!$L$3:$N$6,2,FALSE)=0,"Spatial Data Missing ⚠",VLOOKUP(U66,'G-3 Multipliers'!$L$3:$N$6,2,FALSE)))</f>
        <v/>
      </c>
      <c r="W66" s="524"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07" t="str">
        <f t="shared" si="5"/>
        <v/>
      </c>
      <c r="AF66" s="507" t="str">
        <f t="shared" si="6"/>
        <v/>
      </c>
      <c r="AG66" s="524" t="str">
        <f>IFERROR(IF(O66="","",VLOOKUP(AD66,'G-3 Multipliers'!$P$3:$Q$6,2,FALSE)),"")</f>
        <v/>
      </c>
      <c r="AH66" s="513" t="str">
        <f t="shared" si="7"/>
        <v/>
      </c>
      <c r="AI66" s="231"/>
      <c r="AJ66" s="150"/>
      <c r="AT66" s="31" t="str">
        <f>IFERROR(INDEX('G-6 Hedgerow Data'!$BJ$3:$BJ$15,MATCH(M66,'G-6 Hedgerow Data'!$B$3:$B$15,0)),"")</f>
        <v/>
      </c>
    </row>
    <row r="67" spans="2:46" ht="13.8" x14ac:dyDescent="0.25">
      <c r="B67" s="531" t="str">
        <f>'B-1 Site Hedge Baseline'!AK65</f>
        <v/>
      </c>
      <c r="C67" s="520" t="str">
        <f>IF(B67="","",IF(ISNA(VLOOKUP($B67,'B-1 Site Hedge Baseline'!$B$1:$L$257,3,FALSE)),"",(VLOOKUP($B67,'B-1 Site Hedge Baseline'!$B$1:$L$257,3,FALSE))))</f>
        <v/>
      </c>
      <c r="D67" s="520" t="str">
        <f>IF(B67="","",IF(ISNA(VLOOKUP($B67,'B-1 Site Hedge Baseline'!$B$1:$L$257,4,FALSE)),"",(VLOOKUP($B67,'B-1 Site Hedge Baseline'!$B$1:$L$257,4,FALSE))))</f>
        <v/>
      </c>
      <c r="E67" s="520" t="str">
        <f>IF(B67="","",IF(ISNA(VLOOKUP($B67,'B-1 Site Hedge Baseline'!$B$1:$L$257,5,FALSE)),"",(VLOOKUP($B67,'B-1 Site Hedge Baseline'!$B$1:$L$257,5,FALSE))))</f>
        <v/>
      </c>
      <c r="F67" s="520" t="str">
        <f>IF(B67="","",IF(ISNA(VLOOKUP($B67,'B-1 Site Hedge Baseline'!$B$1:$L$257,6,FALSE)),"",(VLOOKUP($B67,'B-1 Site Hedge Baseline'!$B$1:$L$257,6,FALSE))))</f>
        <v/>
      </c>
      <c r="G67" s="520" t="str">
        <f>IF(B67="","",IF(ISNA(VLOOKUP($B67,'B-1 Site Hedge Baseline'!$B$1:$L$257,7,FALSE)),"",(VLOOKUP($B67,'B-1 Site Hedge Baseline'!$B$1:$L$257,7,FALSE))))</f>
        <v/>
      </c>
      <c r="H67" s="520" t="str">
        <f>IF(B67="","",IF(ISNA(VLOOKUP($B67,'B-1 Site Hedge Baseline'!$B$1:$L$257,8,FALSE)),"",(VLOOKUP($B67,'B-1 Site Hedge Baseline'!$B$1:$L$257,8,FALSE))))</f>
        <v/>
      </c>
      <c r="I67" s="520" t="str">
        <f>IF(B67="","",IF(ISNA(VLOOKUP($B67,'B-1 Site Hedge Baseline'!$B$1:$L$257,10,FALSE)),"",(VLOOKUP($B67,'B-1 Site Hedge Baseline'!$B$1:$L$257,10,FALSE))))</f>
        <v/>
      </c>
      <c r="J67" s="520" t="str">
        <f>IF(B67="","",IF(ISNA(VLOOKUP($B67,'B-1 Site Hedge Baseline'!$B$1:$L$257,11,FALSE)),"",(VLOOKUP($B67,'B-1 Site Hedge Baseline'!$B$1:$L$257,11,FALSE))))</f>
        <v/>
      </c>
      <c r="K67" s="520" t="str">
        <f>IF(B67="","",IF(ISNA(VLOOKUP($B67,'B-1 Site Hedge Baseline'!$B$1:$U$257,13,FALSE)),"",(VLOOKUP($B67,'B-1 Site Hedge Baseline'!$B$1:$U$257,13,FALSE))))</f>
        <v/>
      </c>
      <c r="L67" s="524" t="str">
        <f>IF(B67="","",IF(ISNA(VLOOKUP($B67,'B-1 Site Hedge Baseline'!$B$1:$U$257,12,FALSE)),"",(VLOOKUP($B67,'B-1 Site Hedge Baseline'!$B$1:$U$257,12,FALSE))))</f>
        <v/>
      </c>
      <c r="M67" s="416" t="str">
        <f t="shared" si="0"/>
        <v/>
      </c>
      <c r="N67" s="498" t="str">
        <f>IFERROR(IF(B67="","",INDEX('G-6 Hedgerow Data'!$AN$3:$AZ$15,MATCH(C67,'G-6 Hedgerow Data'!$AM$3:$AM$15,0),MATCH(M67,'G-6 Hedgerow Data'!$AN$2:$AZ$2,0))),"")</f>
        <v/>
      </c>
      <c r="O67" s="499" t="str">
        <f t="shared" si="2"/>
        <v/>
      </c>
      <c r="P67" s="559" t="str">
        <f>IF(B67="","",VLOOKUP(B67,'B-1 Site Hedge Baseline'!$B$10:T312,16,FALSE))</f>
        <v/>
      </c>
      <c r="Q67" s="498" t="str">
        <f>IF(M67="","",VLOOKUP(M67,'G-6 Hedgerow Data'!$B$2:$AG$15,2,FALSE))</f>
        <v/>
      </c>
      <c r="R67" s="499" t="str">
        <f>IF(M67="","",VLOOKUP(M67,'G-6 Hedgerow Data'!$B$2:$AG$15,3,FALSE))</f>
        <v/>
      </c>
      <c r="S67" s="157"/>
      <c r="T67" s="540" t="str">
        <f>IFERROR(VLOOKUP(S67,'G-1 All Habitats'!$Z$2:$AA$9,2,FALSE),"")</f>
        <v/>
      </c>
      <c r="U67" s="154"/>
      <c r="V67" s="520" t="str">
        <f>IF(U67="","",IF(VLOOKUP(U67,'G-3 Multipliers'!$L$3:$N$6,2,FALSE)=0,"Spatial Data Missing ⚠",VLOOKUP(U67,'G-3 Multipliers'!$L$3:$N$6,2,FALSE)))</f>
        <v/>
      </c>
      <c r="W67" s="524"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07" t="str">
        <f t="shared" si="5"/>
        <v/>
      </c>
      <c r="AF67" s="507" t="str">
        <f t="shared" si="6"/>
        <v/>
      </c>
      <c r="AG67" s="524" t="str">
        <f>IFERROR(IF(O67="","",VLOOKUP(AD67,'G-3 Multipliers'!$P$3:$Q$6,2,FALSE)),"")</f>
        <v/>
      </c>
      <c r="AH67" s="513" t="str">
        <f t="shared" si="7"/>
        <v/>
      </c>
      <c r="AI67" s="231"/>
      <c r="AJ67" s="150"/>
      <c r="AT67" s="31" t="str">
        <f>IFERROR(INDEX('G-6 Hedgerow Data'!$BJ$3:$BJ$15,MATCH(M67,'G-6 Hedgerow Data'!$B$3:$B$15,0)),"")</f>
        <v/>
      </c>
    </row>
    <row r="68" spans="2:46" ht="13.8" x14ac:dyDescent="0.25">
      <c r="B68" s="531" t="str">
        <f>'B-1 Site Hedge Baseline'!AK66</f>
        <v/>
      </c>
      <c r="C68" s="520" t="str">
        <f>IF(B68="","",IF(ISNA(VLOOKUP($B68,'B-1 Site Hedge Baseline'!$B$1:$L$257,3,FALSE)),"",(VLOOKUP($B68,'B-1 Site Hedge Baseline'!$B$1:$L$257,3,FALSE))))</f>
        <v/>
      </c>
      <c r="D68" s="520" t="str">
        <f>IF(B68="","",IF(ISNA(VLOOKUP($B68,'B-1 Site Hedge Baseline'!$B$1:$L$257,4,FALSE)),"",(VLOOKUP($B68,'B-1 Site Hedge Baseline'!$B$1:$L$257,4,FALSE))))</f>
        <v/>
      </c>
      <c r="E68" s="520" t="str">
        <f>IF(B68="","",IF(ISNA(VLOOKUP($B68,'B-1 Site Hedge Baseline'!$B$1:$L$257,5,FALSE)),"",(VLOOKUP($B68,'B-1 Site Hedge Baseline'!$B$1:$L$257,5,FALSE))))</f>
        <v/>
      </c>
      <c r="F68" s="520" t="str">
        <f>IF(B68="","",IF(ISNA(VLOOKUP($B68,'B-1 Site Hedge Baseline'!$B$1:$L$257,6,FALSE)),"",(VLOOKUP($B68,'B-1 Site Hedge Baseline'!$B$1:$L$257,6,FALSE))))</f>
        <v/>
      </c>
      <c r="G68" s="520" t="str">
        <f>IF(B68="","",IF(ISNA(VLOOKUP($B68,'B-1 Site Hedge Baseline'!$B$1:$L$257,7,FALSE)),"",(VLOOKUP($B68,'B-1 Site Hedge Baseline'!$B$1:$L$257,7,FALSE))))</f>
        <v/>
      </c>
      <c r="H68" s="520" t="str">
        <f>IF(B68="","",IF(ISNA(VLOOKUP($B68,'B-1 Site Hedge Baseline'!$B$1:$L$257,8,FALSE)),"",(VLOOKUP($B68,'B-1 Site Hedge Baseline'!$B$1:$L$257,8,FALSE))))</f>
        <v/>
      </c>
      <c r="I68" s="520" t="str">
        <f>IF(B68="","",IF(ISNA(VLOOKUP($B68,'B-1 Site Hedge Baseline'!$B$1:$L$257,10,FALSE)),"",(VLOOKUP($B68,'B-1 Site Hedge Baseline'!$B$1:$L$257,10,FALSE))))</f>
        <v/>
      </c>
      <c r="J68" s="520" t="str">
        <f>IF(B68="","",IF(ISNA(VLOOKUP($B68,'B-1 Site Hedge Baseline'!$B$1:$L$257,11,FALSE)),"",(VLOOKUP($B68,'B-1 Site Hedge Baseline'!$B$1:$L$257,11,FALSE))))</f>
        <v/>
      </c>
      <c r="K68" s="520" t="str">
        <f>IF(B68="","",IF(ISNA(VLOOKUP($B68,'B-1 Site Hedge Baseline'!$B$1:$U$257,13,FALSE)),"",(VLOOKUP($B68,'B-1 Site Hedge Baseline'!$B$1:$U$257,13,FALSE))))</f>
        <v/>
      </c>
      <c r="L68" s="524" t="str">
        <f>IF(B68="","",IF(ISNA(VLOOKUP($B68,'B-1 Site Hedge Baseline'!$B$1:$U$257,12,FALSE)),"",(VLOOKUP($B68,'B-1 Site Hedge Baseline'!$B$1:$U$257,12,FALSE))))</f>
        <v/>
      </c>
      <c r="M68" s="416" t="str">
        <f t="shared" si="0"/>
        <v/>
      </c>
      <c r="N68" s="498" t="str">
        <f>IFERROR(IF(B68="","",INDEX('G-6 Hedgerow Data'!$AN$3:$AZ$15,MATCH(C68,'G-6 Hedgerow Data'!$AM$3:$AM$15,0),MATCH(M68,'G-6 Hedgerow Data'!$AN$2:$AZ$2,0))),"")</f>
        <v/>
      </c>
      <c r="O68" s="499" t="str">
        <f t="shared" si="2"/>
        <v/>
      </c>
      <c r="P68" s="559" t="str">
        <f>IF(B68="","",VLOOKUP(B68,'B-1 Site Hedge Baseline'!$B$10:T313,16,FALSE))</f>
        <v/>
      </c>
      <c r="Q68" s="498" t="str">
        <f>IF(M68="","",VLOOKUP(M68,'G-6 Hedgerow Data'!$B$2:$AG$15,2,FALSE))</f>
        <v/>
      </c>
      <c r="R68" s="499" t="str">
        <f>IF(M68="","",VLOOKUP(M68,'G-6 Hedgerow Data'!$B$2:$AG$15,3,FALSE))</f>
        <v/>
      </c>
      <c r="S68" s="157"/>
      <c r="T68" s="540" t="str">
        <f>IFERROR(VLOOKUP(S68,'G-1 All Habitats'!$Z$2:$AA$9,2,FALSE),"")</f>
        <v/>
      </c>
      <c r="U68" s="154"/>
      <c r="V68" s="520" t="str">
        <f>IF(U68="","",IF(VLOOKUP(U68,'G-3 Multipliers'!$L$3:$N$6,2,FALSE)=0,"Spatial Data Missing ⚠",VLOOKUP(U68,'G-3 Multipliers'!$L$3:$N$6,2,FALSE)))</f>
        <v/>
      </c>
      <c r="W68" s="524"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07" t="str">
        <f t="shared" si="5"/>
        <v/>
      </c>
      <c r="AF68" s="507" t="str">
        <f t="shared" si="6"/>
        <v/>
      </c>
      <c r="AG68" s="524" t="str">
        <f>IFERROR(IF(O68="","",VLOOKUP(AD68,'G-3 Multipliers'!$P$3:$Q$6,2,FALSE)),"")</f>
        <v/>
      </c>
      <c r="AH68" s="513" t="str">
        <f t="shared" si="7"/>
        <v/>
      </c>
      <c r="AI68" s="231"/>
      <c r="AJ68" s="150"/>
      <c r="AT68" s="31" t="str">
        <f>IFERROR(INDEX('G-6 Hedgerow Data'!$BJ$3:$BJ$15,MATCH(M68,'G-6 Hedgerow Data'!$B$3:$B$15,0)),"")</f>
        <v/>
      </c>
    </row>
    <row r="69" spans="2:46" ht="13.8" x14ac:dyDescent="0.25">
      <c r="B69" s="531" t="str">
        <f>'B-1 Site Hedge Baseline'!AK67</f>
        <v/>
      </c>
      <c r="C69" s="520" t="str">
        <f>IF(B69="","",IF(ISNA(VLOOKUP($B69,'B-1 Site Hedge Baseline'!$B$1:$L$257,3,FALSE)),"",(VLOOKUP($B69,'B-1 Site Hedge Baseline'!$B$1:$L$257,3,FALSE))))</f>
        <v/>
      </c>
      <c r="D69" s="520" t="str">
        <f>IF(B69="","",IF(ISNA(VLOOKUP($B69,'B-1 Site Hedge Baseline'!$B$1:$L$257,4,FALSE)),"",(VLOOKUP($B69,'B-1 Site Hedge Baseline'!$B$1:$L$257,4,FALSE))))</f>
        <v/>
      </c>
      <c r="E69" s="520" t="str">
        <f>IF(B69="","",IF(ISNA(VLOOKUP($B69,'B-1 Site Hedge Baseline'!$B$1:$L$257,5,FALSE)),"",(VLOOKUP($B69,'B-1 Site Hedge Baseline'!$B$1:$L$257,5,FALSE))))</f>
        <v/>
      </c>
      <c r="F69" s="520" t="str">
        <f>IF(B69="","",IF(ISNA(VLOOKUP($B69,'B-1 Site Hedge Baseline'!$B$1:$L$257,6,FALSE)),"",(VLOOKUP($B69,'B-1 Site Hedge Baseline'!$B$1:$L$257,6,FALSE))))</f>
        <v/>
      </c>
      <c r="G69" s="520" t="str">
        <f>IF(B69="","",IF(ISNA(VLOOKUP($B69,'B-1 Site Hedge Baseline'!$B$1:$L$257,7,FALSE)),"",(VLOOKUP($B69,'B-1 Site Hedge Baseline'!$B$1:$L$257,7,FALSE))))</f>
        <v/>
      </c>
      <c r="H69" s="520" t="str">
        <f>IF(B69="","",IF(ISNA(VLOOKUP($B69,'B-1 Site Hedge Baseline'!$B$1:$L$257,8,FALSE)),"",(VLOOKUP($B69,'B-1 Site Hedge Baseline'!$B$1:$L$257,8,FALSE))))</f>
        <v/>
      </c>
      <c r="I69" s="520" t="str">
        <f>IF(B69="","",IF(ISNA(VLOOKUP($B69,'B-1 Site Hedge Baseline'!$B$1:$L$257,10,FALSE)),"",(VLOOKUP($B69,'B-1 Site Hedge Baseline'!$B$1:$L$257,10,FALSE))))</f>
        <v/>
      </c>
      <c r="J69" s="520" t="str">
        <f>IF(B69="","",IF(ISNA(VLOOKUP($B69,'B-1 Site Hedge Baseline'!$B$1:$L$257,11,FALSE)),"",(VLOOKUP($B69,'B-1 Site Hedge Baseline'!$B$1:$L$257,11,FALSE))))</f>
        <v/>
      </c>
      <c r="K69" s="520" t="str">
        <f>IF(B69="","",IF(ISNA(VLOOKUP($B69,'B-1 Site Hedge Baseline'!$B$1:$U$257,13,FALSE)),"",(VLOOKUP($B69,'B-1 Site Hedge Baseline'!$B$1:$U$257,13,FALSE))))</f>
        <v/>
      </c>
      <c r="L69" s="524" t="str">
        <f>IF(B69="","",IF(ISNA(VLOOKUP($B69,'B-1 Site Hedge Baseline'!$B$1:$U$257,12,FALSE)),"",(VLOOKUP($B69,'B-1 Site Hedge Baseline'!$B$1:$U$257,12,FALSE))))</f>
        <v/>
      </c>
      <c r="M69" s="416" t="str">
        <f t="shared" si="0"/>
        <v/>
      </c>
      <c r="N69" s="498" t="str">
        <f>IFERROR(IF(B69="","",INDEX('G-6 Hedgerow Data'!$AN$3:$AZ$15,MATCH(C69,'G-6 Hedgerow Data'!$AM$3:$AM$15,0),MATCH(M69,'G-6 Hedgerow Data'!$AN$2:$AZ$2,0))),"")</f>
        <v/>
      </c>
      <c r="O69" s="499" t="str">
        <f t="shared" si="2"/>
        <v/>
      </c>
      <c r="P69" s="559" t="str">
        <f>IF(B69="","",VLOOKUP(B69,'B-1 Site Hedge Baseline'!$B$10:T314,16,FALSE))</f>
        <v/>
      </c>
      <c r="Q69" s="498" t="str">
        <f>IF(M69="","",VLOOKUP(M69,'G-6 Hedgerow Data'!$B$2:$AG$15,2,FALSE))</f>
        <v/>
      </c>
      <c r="R69" s="499" t="str">
        <f>IF(M69="","",VLOOKUP(M69,'G-6 Hedgerow Data'!$B$2:$AG$15,3,FALSE))</f>
        <v/>
      </c>
      <c r="S69" s="157"/>
      <c r="T69" s="540" t="str">
        <f>IFERROR(VLOOKUP(S69,'G-1 All Habitats'!$Z$2:$AA$9,2,FALSE),"")</f>
        <v/>
      </c>
      <c r="U69" s="154"/>
      <c r="V69" s="520" t="str">
        <f>IF(U69="","",IF(VLOOKUP(U69,'G-3 Multipliers'!$L$3:$N$6,2,FALSE)=0,"Spatial Data Missing ⚠",VLOOKUP(U69,'G-3 Multipliers'!$L$3:$N$6,2,FALSE)))</f>
        <v/>
      </c>
      <c r="W69" s="524"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07" t="str">
        <f t="shared" si="5"/>
        <v/>
      </c>
      <c r="AF69" s="507" t="str">
        <f t="shared" si="6"/>
        <v/>
      </c>
      <c r="AG69" s="524" t="str">
        <f>IFERROR(IF(O69="","",VLOOKUP(AD69,'G-3 Multipliers'!$P$3:$Q$6,2,FALSE)),"")</f>
        <v/>
      </c>
      <c r="AH69" s="513" t="str">
        <f t="shared" si="7"/>
        <v/>
      </c>
      <c r="AI69" s="231"/>
      <c r="AJ69" s="150"/>
      <c r="AT69" s="31" t="str">
        <f>IFERROR(INDEX('G-6 Hedgerow Data'!$BJ$3:$BJ$15,MATCH(M69,'G-6 Hedgerow Data'!$B$3:$B$15,0)),"")</f>
        <v/>
      </c>
    </row>
    <row r="70" spans="2:46" ht="13.8" x14ac:dyDescent="0.25">
      <c r="B70" s="531" t="str">
        <f>'B-1 Site Hedge Baseline'!AK68</f>
        <v/>
      </c>
      <c r="C70" s="520" t="str">
        <f>IF(B70="","",IF(ISNA(VLOOKUP($B70,'B-1 Site Hedge Baseline'!$B$1:$L$257,3,FALSE)),"",(VLOOKUP($B70,'B-1 Site Hedge Baseline'!$B$1:$L$257,3,FALSE))))</f>
        <v/>
      </c>
      <c r="D70" s="520" t="str">
        <f>IF(B70="","",IF(ISNA(VLOOKUP($B70,'B-1 Site Hedge Baseline'!$B$1:$L$257,4,FALSE)),"",(VLOOKUP($B70,'B-1 Site Hedge Baseline'!$B$1:$L$257,4,FALSE))))</f>
        <v/>
      </c>
      <c r="E70" s="520" t="str">
        <f>IF(B70="","",IF(ISNA(VLOOKUP($B70,'B-1 Site Hedge Baseline'!$B$1:$L$257,5,FALSE)),"",(VLOOKUP($B70,'B-1 Site Hedge Baseline'!$B$1:$L$257,5,FALSE))))</f>
        <v/>
      </c>
      <c r="F70" s="520" t="str">
        <f>IF(B70="","",IF(ISNA(VLOOKUP($B70,'B-1 Site Hedge Baseline'!$B$1:$L$257,6,FALSE)),"",(VLOOKUP($B70,'B-1 Site Hedge Baseline'!$B$1:$L$257,6,FALSE))))</f>
        <v/>
      </c>
      <c r="G70" s="520" t="str">
        <f>IF(B70="","",IF(ISNA(VLOOKUP($B70,'B-1 Site Hedge Baseline'!$B$1:$L$257,7,FALSE)),"",(VLOOKUP($B70,'B-1 Site Hedge Baseline'!$B$1:$L$257,7,FALSE))))</f>
        <v/>
      </c>
      <c r="H70" s="520" t="str">
        <f>IF(B70="","",IF(ISNA(VLOOKUP($B70,'B-1 Site Hedge Baseline'!$B$1:$L$257,8,FALSE)),"",(VLOOKUP($B70,'B-1 Site Hedge Baseline'!$B$1:$L$257,8,FALSE))))</f>
        <v/>
      </c>
      <c r="I70" s="520" t="str">
        <f>IF(B70="","",IF(ISNA(VLOOKUP($B70,'B-1 Site Hedge Baseline'!$B$1:$L$257,10,FALSE)),"",(VLOOKUP($B70,'B-1 Site Hedge Baseline'!$B$1:$L$257,10,FALSE))))</f>
        <v/>
      </c>
      <c r="J70" s="520" t="str">
        <f>IF(B70="","",IF(ISNA(VLOOKUP($B70,'B-1 Site Hedge Baseline'!$B$1:$L$257,11,FALSE)),"",(VLOOKUP($B70,'B-1 Site Hedge Baseline'!$B$1:$L$257,11,FALSE))))</f>
        <v/>
      </c>
      <c r="K70" s="520" t="str">
        <f>IF(B70="","",IF(ISNA(VLOOKUP($B70,'B-1 Site Hedge Baseline'!$B$1:$U$257,13,FALSE)),"",(VLOOKUP($B70,'B-1 Site Hedge Baseline'!$B$1:$U$257,13,FALSE))))</f>
        <v/>
      </c>
      <c r="L70" s="524" t="str">
        <f>IF(B70="","",IF(ISNA(VLOOKUP($B70,'B-1 Site Hedge Baseline'!$B$1:$U$257,12,FALSE)),"",(VLOOKUP($B70,'B-1 Site Hedge Baseline'!$B$1:$U$257,12,FALSE))))</f>
        <v/>
      </c>
      <c r="M70" s="416" t="str">
        <f t="shared" si="0"/>
        <v/>
      </c>
      <c r="N70" s="498" t="str">
        <f>IFERROR(IF(B70="","",INDEX('G-6 Hedgerow Data'!$AN$3:$AZ$15,MATCH(C70,'G-6 Hedgerow Data'!$AM$3:$AM$15,0),MATCH(M70,'G-6 Hedgerow Data'!$AN$2:$AZ$2,0))),"")</f>
        <v/>
      </c>
      <c r="O70" s="499" t="str">
        <f t="shared" si="2"/>
        <v/>
      </c>
      <c r="P70" s="559" t="str">
        <f>IF(B70="","",VLOOKUP(B70,'B-1 Site Hedge Baseline'!$B$10:T315,16,FALSE))</f>
        <v/>
      </c>
      <c r="Q70" s="498" t="str">
        <f>IF(M70="","",VLOOKUP(M70,'G-6 Hedgerow Data'!$B$2:$AG$15,2,FALSE))</f>
        <v/>
      </c>
      <c r="R70" s="499" t="str">
        <f>IF(M70="","",VLOOKUP(M70,'G-6 Hedgerow Data'!$B$2:$AG$15,3,FALSE))</f>
        <v/>
      </c>
      <c r="S70" s="157"/>
      <c r="T70" s="540" t="str">
        <f>IFERROR(VLOOKUP(S70,'G-1 All Habitats'!$Z$2:$AA$9,2,FALSE),"")</f>
        <v/>
      </c>
      <c r="U70" s="154"/>
      <c r="V70" s="520" t="str">
        <f>IF(U70="","",IF(VLOOKUP(U70,'G-3 Multipliers'!$L$3:$N$6,2,FALSE)=0,"Spatial Data Missing ⚠",VLOOKUP(U70,'G-3 Multipliers'!$L$3:$N$6,2,FALSE)))</f>
        <v/>
      </c>
      <c r="W70" s="524"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07" t="str">
        <f t="shared" si="5"/>
        <v/>
      </c>
      <c r="AF70" s="507" t="str">
        <f t="shared" si="6"/>
        <v/>
      </c>
      <c r="AG70" s="524" t="str">
        <f>IFERROR(IF(O70="","",VLOOKUP(AD70,'G-3 Multipliers'!$P$3:$Q$6,2,FALSE)),"")</f>
        <v/>
      </c>
      <c r="AH70" s="513" t="str">
        <f t="shared" si="7"/>
        <v/>
      </c>
      <c r="AI70" s="231"/>
      <c r="AJ70" s="150"/>
      <c r="AT70" s="31" t="str">
        <f>IFERROR(INDEX('G-6 Hedgerow Data'!$BJ$3:$BJ$15,MATCH(M70,'G-6 Hedgerow Data'!$B$3:$B$15,0)),"")</f>
        <v/>
      </c>
    </row>
    <row r="71" spans="2:46" ht="13.8" x14ac:dyDescent="0.25">
      <c r="B71" s="531" t="str">
        <f>'B-1 Site Hedge Baseline'!AK69</f>
        <v/>
      </c>
      <c r="C71" s="520" t="str">
        <f>IF(B71="","",IF(ISNA(VLOOKUP($B71,'B-1 Site Hedge Baseline'!$B$1:$L$257,3,FALSE)),"",(VLOOKUP($B71,'B-1 Site Hedge Baseline'!$B$1:$L$257,3,FALSE))))</f>
        <v/>
      </c>
      <c r="D71" s="520" t="str">
        <f>IF(B71="","",IF(ISNA(VLOOKUP($B71,'B-1 Site Hedge Baseline'!$B$1:$L$257,4,FALSE)),"",(VLOOKUP($B71,'B-1 Site Hedge Baseline'!$B$1:$L$257,4,FALSE))))</f>
        <v/>
      </c>
      <c r="E71" s="520" t="str">
        <f>IF(B71="","",IF(ISNA(VLOOKUP($B71,'B-1 Site Hedge Baseline'!$B$1:$L$257,5,FALSE)),"",(VLOOKUP($B71,'B-1 Site Hedge Baseline'!$B$1:$L$257,5,FALSE))))</f>
        <v/>
      </c>
      <c r="F71" s="520" t="str">
        <f>IF(B71="","",IF(ISNA(VLOOKUP($B71,'B-1 Site Hedge Baseline'!$B$1:$L$257,6,FALSE)),"",(VLOOKUP($B71,'B-1 Site Hedge Baseline'!$B$1:$L$257,6,FALSE))))</f>
        <v/>
      </c>
      <c r="G71" s="520" t="str">
        <f>IF(B71="","",IF(ISNA(VLOOKUP($B71,'B-1 Site Hedge Baseline'!$B$1:$L$257,7,FALSE)),"",(VLOOKUP($B71,'B-1 Site Hedge Baseline'!$B$1:$L$257,7,FALSE))))</f>
        <v/>
      </c>
      <c r="H71" s="520" t="str">
        <f>IF(B71="","",IF(ISNA(VLOOKUP($B71,'B-1 Site Hedge Baseline'!$B$1:$L$257,8,FALSE)),"",(VLOOKUP($B71,'B-1 Site Hedge Baseline'!$B$1:$L$257,8,FALSE))))</f>
        <v/>
      </c>
      <c r="I71" s="520" t="str">
        <f>IF(B71="","",IF(ISNA(VLOOKUP($B71,'B-1 Site Hedge Baseline'!$B$1:$L$257,10,FALSE)),"",(VLOOKUP($B71,'B-1 Site Hedge Baseline'!$B$1:$L$257,10,FALSE))))</f>
        <v/>
      </c>
      <c r="J71" s="520" t="str">
        <f>IF(B71="","",IF(ISNA(VLOOKUP($B71,'B-1 Site Hedge Baseline'!$B$1:$L$257,11,FALSE)),"",(VLOOKUP($B71,'B-1 Site Hedge Baseline'!$B$1:$L$257,11,FALSE))))</f>
        <v/>
      </c>
      <c r="K71" s="520" t="str">
        <f>IF(B71="","",IF(ISNA(VLOOKUP($B71,'B-1 Site Hedge Baseline'!$B$1:$U$257,13,FALSE)),"",(VLOOKUP($B71,'B-1 Site Hedge Baseline'!$B$1:$U$257,13,FALSE))))</f>
        <v/>
      </c>
      <c r="L71" s="524" t="str">
        <f>IF(B71="","",IF(ISNA(VLOOKUP($B71,'B-1 Site Hedge Baseline'!$B$1:$U$257,12,FALSE)),"",(VLOOKUP($B71,'B-1 Site Hedge Baseline'!$B$1:$U$257,12,FALSE))))</f>
        <v/>
      </c>
      <c r="M71" s="416" t="str">
        <f t="shared" si="0"/>
        <v/>
      </c>
      <c r="N71" s="498" t="str">
        <f>IFERROR(IF(B71="","",INDEX('G-6 Hedgerow Data'!$AN$3:$AZ$15,MATCH(C71,'G-6 Hedgerow Data'!$AM$3:$AM$15,0),MATCH(M71,'G-6 Hedgerow Data'!$AN$2:$AZ$2,0))),"")</f>
        <v/>
      </c>
      <c r="O71" s="499" t="str">
        <f t="shared" si="2"/>
        <v/>
      </c>
      <c r="P71" s="559" t="str">
        <f>IF(B71="","",VLOOKUP(B71,'B-1 Site Hedge Baseline'!$B$10:T316,16,FALSE))</f>
        <v/>
      </c>
      <c r="Q71" s="498" t="str">
        <f>IF(M71="","",VLOOKUP(M71,'G-6 Hedgerow Data'!$B$2:$AG$15,2,FALSE))</f>
        <v/>
      </c>
      <c r="R71" s="499" t="str">
        <f>IF(M71="","",VLOOKUP(M71,'G-6 Hedgerow Data'!$B$2:$AG$15,3,FALSE))</f>
        <v/>
      </c>
      <c r="S71" s="157"/>
      <c r="T71" s="540" t="str">
        <f>IFERROR(VLOOKUP(S71,'G-1 All Habitats'!$Z$2:$AA$9,2,FALSE),"")</f>
        <v/>
      </c>
      <c r="U71" s="154"/>
      <c r="V71" s="520" t="str">
        <f>IF(U71="","",IF(VLOOKUP(U71,'G-3 Multipliers'!$L$3:$N$6,2,FALSE)=0,"Spatial Data Missing ⚠",VLOOKUP(U71,'G-3 Multipliers'!$L$3:$N$6,2,FALSE)))</f>
        <v/>
      </c>
      <c r="W71" s="524"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07" t="str">
        <f t="shared" si="5"/>
        <v/>
      </c>
      <c r="AF71" s="507" t="str">
        <f t="shared" si="6"/>
        <v/>
      </c>
      <c r="AG71" s="524" t="str">
        <f>IFERROR(IF(O71="","",VLOOKUP(AD71,'G-3 Multipliers'!$P$3:$Q$6,2,FALSE)),"")</f>
        <v/>
      </c>
      <c r="AH71" s="513" t="str">
        <f t="shared" si="7"/>
        <v/>
      </c>
      <c r="AI71" s="231"/>
      <c r="AJ71" s="150"/>
      <c r="AT71" s="31" t="str">
        <f>IFERROR(INDEX('G-6 Hedgerow Data'!$BJ$3:$BJ$15,MATCH(M71,'G-6 Hedgerow Data'!$B$3:$B$15,0)),"")</f>
        <v/>
      </c>
    </row>
    <row r="72" spans="2:46" ht="13.8" x14ac:dyDescent="0.25">
      <c r="B72" s="531" t="str">
        <f>'B-1 Site Hedge Baseline'!AK70</f>
        <v/>
      </c>
      <c r="C72" s="520" t="str">
        <f>IF(B72="","",IF(ISNA(VLOOKUP($B72,'B-1 Site Hedge Baseline'!$B$1:$L$257,3,FALSE)),"",(VLOOKUP($B72,'B-1 Site Hedge Baseline'!$B$1:$L$257,3,FALSE))))</f>
        <v/>
      </c>
      <c r="D72" s="520" t="str">
        <f>IF(B72="","",IF(ISNA(VLOOKUP($B72,'B-1 Site Hedge Baseline'!$B$1:$L$257,4,FALSE)),"",(VLOOKUP($B72,'B-1 Site Hedge Baseline'!$B$1:$L$257,4,FALSE))))</f>
        <v/>
      </c>
      <c r="E72" s="520" t="str">
        <f>IF(B72="","",IF(ISNA(VLOOKUP($B72,'B-1 Site Hedge Baseline'!$B$1:$L$257,5,FALSE)),"",(VLOOKUP($B72,'B-1 Site Hedge Baseline'!$B$1:$L$257,5,FALSE))))</f>
        <v/>
      </c>
      <c r="F72" s="520" t="str">
        <f>IF(B72="","",IF(ISNA(VLOOKUP($B72,'B-1 Site Hedge Baseline'!$B$1:$L$257,6,FALSE)),"",(VLOOKUP($B72,'B-1 Site Hedge Baseline'!$B$1:$L$257,6,FALSE))))</f>
        <v/>
      </c>
      <c r="G72" s="520" t="str">
        <f>IF(B72="","",IF(ISNA(VLOOKUP($B72,'B-1 Site Hedge Baseline'!$B$1:$L$257,7,FALSE)),"",(VLOOKUP($B72,'B-1 Site Hedge Baseline'!$B$1:$L$257,7,FALSE))))</f>
        <v/>
      </c>
      <c r="H72" s="520" t="str">
        <f>IF(B72="","",IF(ISNA(VLOOKUP($B72,'B-1 Site Hedge Baseline'!$B$1:$L$257,8,FALSE)),"",(VLOOKUP($B72,'B-1 Site Hedge Baseline'!$B$1:$L$257,8,FALSE))))</f>
        <v/>
      </c>
      <c r="I72" s="520" t="str">
        <f>IF(B72="","",IF(ISNA(VLOOKUP($B72,'B-1 Site Hedge Baseline'!$B$1:$L$257,10,FALSE)),"",(VLOOKUP($B72,'B-1 Site Hedge Baseline'!$B$1:$L$257,10,FALSE))))</f>
        <v/>
      </c>
      <c r="J72" s="520" t="str">
        <f>IF(B72="","",IF(ISNA(VLOOKUP($B72,'B-1 Site Hedge Baseline'!$B$1:$L$257,11,FALSE)),"",(VLOOKUP($B72,'B-1 Site Hedge Baseline'!$B$1:$L$257,11,FALSE))))</f>
        <v/>
      </c>
      <c r="K72" s="520" t="str">
        <f>IF(B72="","",IF(ISNA(VLOOKUP($B72,'B-1 Site Hedge Baseline'!$B$1:$U$257,13,FALSE)),"",(VLOOKUP($B72,'B-1 Site Hedge Baseline'!$B$1:$U$257,13,FALSE))))</f>
        <v/>
      </c>
      <c r="L72" s="524" t="str">
        <f>IF(B72="","",IF(ISNA(VLOOKUP($B72,'B-1 Site Hedge Baseline'!$B$1:$U$257,12,FALSE)),"",(VLOOKUP($B72,'B-1 Site Hedge Baseline'!$B$1:$U$257,12,FALSE))))</f>
        <v/>
      </c>
      <c r="M72" s="416" t="str">
        <f t="shared" si="0"/>
        <v/>
      </c>
      <c r="N72" s="498" t="str">
        <f>IFERROR(IF(B72="","",INDEX('G-6 Hedgerow Data'!$AN$3:$AZ$15,MATCH(C72,'G-6 Hedgerow Data'!$AM$3:$AM$15,0),MATCH(M72,'G-6 Hedgerow Data'!$AN$2:$AZ$2,0))),"")</f>
        <v/>
      </c>
      <c r="O72" s="499" t="str">
        <f t="shared" si="2"/>
        <v/>
      </c>
      <c r="P72" s="559" t="str">
        <f>IF(B72="","",VLOOKUP(B72,'B-1 Site Hedge Baseline'!$B$10:T317,16,FALSE))</f>
        <v/>
      </c>
      <c r="Q72" s="498" t="str">
        <f>IF(M72="","",VLOOKUP(M72,'G-6 Hedgerow Data'!$B$2:$AG$15,2,FALSE))</f>
        <v/>
      </c>
      <c r="R72" s="499" t="str">
        <f>IF(M72="","",VLOOKUP(M72,'G-6 Hedgerow Data'!$B$2:$AG$15,3,FALSE))</f>
        <v/>
      </c>
      <c r="S72" s="157"/>
      <c r="T72" s="540" t="str">
        <f>IFERROR(VLOOKUP(S72,'G-1 All Habitats'!$Z$2:$AA$9,2,FALSE),"")</f>
        <v/>
      </c>
      <c r="U72" s="154"/>
      <c r="V72" s="520" t="str">
        <f>IF(U72="","",IF(VLOOKUP(U72,'G-3 Multipliers'!$L$3:$N$6,2,FALSE)=0,"Spatial Data Missing ⚠",VLOOKUP(U72,'G-3 Multipliers'!$L$3:$N$6,2,FALSE)))</f>
        <v/>
      </c>
      <c r="W72" s="524"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07" t="str">
        <f t="shared" si="5"/>
        <v/>
      </c>
      <c r="AF72" s="507" t="str">
        <f t="shared" si="6"/>
        <v/>
      </c>
      <c r="AG72" s="524" t="str">
        <f>IFERROR(IF(O72="","",VLOOKUP(AD72,'G-3 Multipliers'!$P$3:$Q$6,2,FALSE)),"")</f>
        <v/>
      </c>
      <c r="AH72" s="513" t="str">
        <f t="shared" si="7"/>
        <v/>
      </c>
      <c r="AI72" s="231"/>
      <c r="AJ72" s="150"/>
      <c r="AT72" s="31" t="str">
        <f>IFERROR(INDEX('G-6 Hedgerow Data'!$BJ$3:$BJ$15,MATCH(M72,'G-6 Hedgerow Data'!$B$3:$B$15,0)),"")</f>
        <v/>
      </c>
    </row>
    <row r="73" spans="2:46" ht="13.8" x14ac:dyDescent="0.25">
      <c r="B73" s="531" t="str">
        <f>'B-1 Site Hedge Baseline'!AK71</f>
        <v/>
      </c>
      <c r="C73" s="520" t="str">
        <f>IF(B73="","",IF(ISNA(VLOOKUP($B73,'B-1 Site Hedge Baseline'!$B$1:$L$257,3,FALSE)),"",(VLOOKUP($B73,'B-1 Site Hedge Baseline'!$B$1:$L$257,3,FALSE))))</f>
        <v/>
      </c>
      <c r="D73" s="520" t="str">
        <f>IF(B73="","",IF(ISNA(VLOOKUP($B73,'B-1 Site Hedge Baseline'!$B$1:$L$257,4,FALSE)),"",(VLOOKUP($B73,'B-1 Site Hedge Baseline'!$B$1:$L$257,4,FALSE))))</f>
        <v/>
      </c>
      <c r="E73" s="520" t="str">
        <f>IF(B73="","",IF(ISNA(VLOOKUP($B73,'B-1 Site Hedge Baseline'!$B$1:$L$257,5,FALSE)),"",(VLOOKUP($B73,'B-1 Site Hedge Baseline'!$B$1:$L$257,5,FALSE))))</f>
        <v/>
      </c>
      <c r="F73" s="520" t="str">
        <f>IF(B73="","",IF(ISNA(VLOOKUP($B73,'B-1 Site Hedge Baseline'!$B$1:$L$257,6,FALSE)),"",(VLOOKUP($B73,'B-1 Site Hedge Baseline'!$B$1:$L$257,6,FALSE))))</f>
        <v/>
      </c>
      <c r="G73" s="520" t="str">
        <f>IF(B73="","",IF(ISNA(VLOOKUP($B73,'B-1 Site Hedge Baseline'!$B$1:$L$257,7,FALSE)),"",(VLOOKUP($B73,'B-1 Site Hedge Baseline'!$B$1:$L$257,7,FALSE))))</f>
        <v/>
      </c>
      <c r="H73" s="520" t="str">
        <f>IF(B73="","",IF(ISNA(VLOOKUP($B73,'B-1 Site Hedge Baseline'!$B$1:$L$257,8,FALSE)),"",(VLOOKUP($B73,'B-1 Site Hedge Baseline'!$B$1:$L$257,8,FALSE))))</f>
        <v/>
      </c>
      <c r="I73" s="520" t="str">
        <f>IF(B73="","",IF(ISNA(VLOOKUP($B73,'B-1 Site Hedge Baseline'!$B$1:$L$257,10,FALSE)),"",(VLOOKUP($B73,'B-1 Site Hedge Baseline'!$B$1:$L$257,10,FALSE))))</f>
        <v/>
      </c>
      <c r="J73" s="520" t="str">
        <f>IF(B73="","",IF(ISNA(VLOOKUP($B73,'B-1 Site Hedge Baseline'!$B$1:$L$257,11,FALSE)),"",(VLOOKUP($B73,'B-1 Site Hedge Baseline'!$B$1:$L$257,11,FALSE))))</f>
        <v/>
      </c>
      <c r="K73" s="520" t="str">
        <f>IF(B73="","",IF(ISNA(VLOOKUP($B73,'B-1 Site Hedge Baseline'!$B$1:$U$257,13,FALSE)),"",(VLOOKUP($B73,'B-1 Site Hedge Baseline'!$B$1:$U$257,13,FALSE))))</f>
        <v/>
      </c>
      <c r="L73" s="524" t="str">
        <f>IF(B73="","",IF(ISNA(VLOOKUP($B73,'B-1 Site Hedge Baseline'!$B$1:$U$257,12,FALSE)),"",(VLOOKUP($B73,'B-1 Site Hedge Baseline'!$B$1:$U$257,12,FALSE))))</f>
        <v/>
      </c>
      <c r="M73" s="416" t="str">
        <f t="shared" si="0"/>
        <v/>
      </c>
      <c r="N73" s="498" t="str">
        <f>IFERROR(IF(B73="","",INDEX('G-6 Hedgerow Data'!$AN$3:$AZ$15,MATCH(C73,'G-6 Hedgerow Data'!$AM$3:$AM$15,0),MATCH(M73,'G-6 Hedgerow Data'!$AN$2:$AZ$2,0))),"")</f>
        <v/>
      </c>
      <c r="O73" s="499" t="str">
        <f t="shared" si="2"/>
        <v/>
      </c>
      <c r="P73" s="559" t="str">
        <f>IF(B73="","",VLOOKUP(B73,'B-1 Site Hedge Baseline'!$B$10:T318,16,FALSE))</f>
        <v/>
      </c>
      <c r="Q73" s="498" t="str">
        <f>IF(M73="","",VLOOKUP(M73,'G-6 Hedgerow Data'!$B$2:$AG$15,2,FALSE))</f>
        <v/>
      </c>
      <c r="R73" s="499" t="str">
        <f>IF(M73="","",VLOOKUP(M73,'G-6 Hedgerow Data'!$B$2:$AG$15,3,FALSE))</f>
        <v/>
      </c>
      <c r="S73" s="157"/>
      <c r="T73" s="540" t="str">
        <f>IFERROR(VLOOKUP(S73,'G-1 All Habitats'!$Z$2:$AA$9,2,FALSE),"")</f>
        <v/>
      </c>
      <c r="U73" s="154"/>
      <c r="V73" s="520" t="str">
        <f>IF(U73="","",IF(VLOOKUP(U73,'G-3 Multipliers'!$L$3:$N$6,2,FALSE)=0,"Spatial Data Missing ⚠",VLOOKUP(U73,'G-3 Multipliers'!$L$3:$N$6,2,FALSE)))</f>
        <v/>
      </c>
      <c r="W73" s="524"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07" t="str">
        <f t="shared" si="5"/>
        <v/>
      </c>
      <c r="AF73" s="507" t="str">
        <f t="shared" si="6"/>
        <v/>
      </c>
      <c r="AG73" s="524" t="str">
        <f>IFERROR(IF(O73="","",VLOOKUP(AD73,'G-3 Multipliers'!$P$3:$Q$6,2,FALSE)),"")</f>
        <v/>
      </c>
      <c r="AH73" s="513" t="str">
        <f t="shared" si="7"/>
        <v/>
      </c>
      <c r="AI73" s="231"/>
      <c r="AJ73" s="150"/>
      <c r="AT73" s="31" t="str">
        <f>IFERROR(INDEX('G-6 Hedgerow Data'!$BJ$3:$BJ$15,MATCH(M73,'G-6 Hedgerow Data'!$B$3:$B$15,0)),"")</f>
        <v/>
      </c>
    </row>
    <row r="74" spans="2:46" ht="13.8" x14ac:dyDescent="0.25">
      <c r="B74" s="531" t="str">
        <f>'B-1 Site Hedge Baseline'!AK72</f>
        <v/>
      </c>
      <c r="C74" s="520" t="str">
        <f>IF(B74="","",IF(ISNA(VLOOKUP($B74,'B-1 Site Hedge Baseline'!$B$1:$L$257,3,FALSE)),"",(VLOOKUP($B74,'B-1 Site Hedge Baseline'!$B$1:$L$257,3,FALSE))))</f>
        <v/>
      </c>
      <c r="D74" s="520" t="str">
        <f>IF(B74="","",IF(ISNA(VLOOKUP($B74,'B-1 Site Hedge Baseline'!$B$1:$L$257,4,FALSE)),"",(VLOOKUP($B74,'B-1 Site Hedge Baseline'!$B$1:$L$257,4,FALSE))))</f>
        <v/>
      </c>
      <c r="E74" s="520" t="str">
        <f>IF(B74="","",IF(ISNA(VLOOKUP($B74,'B-1 Site Hedge Baseline'!$B$1:$L$257,5,FALSE)),"",(VLOOKUP($B74,'B-1 Site Hedge Baseline'!$B$1:$L$257,5,FALSE))))</f>
        <v/>
      </c>
      <c r="F74" s="520" t="str">
        <f>IF(B74="","",IF(ISNA(VLOOKUP($B74,'B-1 Site Hedge Baseline'!$B$1:$L$257,6,FALSE)),"",(VLOOKUP($B74,'B-1 Site Hedge Baseline'!$B$1:$L$257,6,FALSE))))</f>
        <v/>
      </c>
      <c r="G74" s="520" t="str">
        <f>IF(B74="","",IF(ISNA(VLOOKUP($B74,'B-1 Site Hedge Baseline'!$B$1:$L$257,7,FALSE)),"",(VLOOKUP($B74,'B-1 Site Hedge Baseline'!$B$1:$L$257,7,FALSE))))</f>
        <v/>
      </c>
      <c r="H74" s="520" t="str">
        <f>IF(B74="","",IF(ISNA(VLOOKUP($B74,'B-1 Site Hedge Baseline'!$B$1:$L$257,8,FALSE)),"",(VLOOKUP($B74,'B-1 Site Hedge Baseline'!$B$1:$L$257,8,FALSE))))</f>
        <v/>
      </c>
      <c r="I74" s="520" t="str">
        <f>IF(B74="","",IF(ISNA(VLOOKUP($B74,'B-1 Site Hedge Baseline'!$B$1:$L$257,10,FALSE)),"",(VLOOKUP($B74,'B-1 Site Hedge Baseline'!$B$1:$L$257,10,FALSE))))</f>
        <v/>
      </c>
      <c r="J74" s="520" t="str">
        <f>IF(B74="","",IF(ISNA(VLOOKUP($B74,'B-1 Site Hedge Baseline'!$B$1:$L$257,11,FALSE)),"",(VLOOKUP($B74,'B-1 Site Hedge Baseline'!$B$1:$L$257,11,FALSE))))</f>
        <v/>
      </c>
      <c r="K74" s="520" t="str">
        <f>IF(B74="","",IF(ISNA(VLOOKUP($B74,'B-1 Site Hedge Baseline'!$B$1:$U$257,13,FALSE)),"",(VLOOKUP($B74,'B-1 Site Hedge Baseline'!$B$1:$U$257,13,FALSE))))</f>
        <v/>
      </c>
      <c r="L74" s="524" t="str">
        <f>IF(B74="","",IF(ISNA(VLOOKUP($B74,'B-1 Site Hedge Baseline'!$B$1:$U$257,12,FALSE)),"",(VLOOKUP($B74,'B-1 Site Hedge Baseline'!$B$1:$U$257,12,FALSE))))</f>
        <v/>
      </c>
      <c r="M74" s="416" t="str">
        <f t="shared" si="0"/>
        <v/>
      </c>
      <c r="N74" s="498" t="str">
        <f>IFERROR(IF(B74="","",INDEX('G-6 Hedgerow Data'!$AN$3:$AZ$15,MATCH(C74,'G-6 Hedgerow Data'!$AM$3:$AM$15,0),MATCH(M74,'G-6 Hedgerow Data'!$AN$2:$AZ$2,0))),"")</f>
        <v/>
      </c>
      <c r="O74" s="499" t="str">
        <f t="shared" si="2"/>
        <v/>
      </c>
      <c r="P74" s="559" t="str">
        <f>IF(B74="","",VLOOKUP(B74,'B-1 Site Hedge Baseline'!$B$10:T319,16,FALSE))</f>
        <v/>
      </c>
      <c r="Q74" s="498" t="str">
        <f>IF(M74="","",VLOOKUP(M74,'G-6 Hedgerow Data'!$B$2:$AG$15,2,FALSE))</f>
        <v/>
      </c>
      <c r="R74" s="499" t="str">
        <f>IF(M74="","",VLOOKUP(M74,'G-6 Hedgerow Data'!$B$2:$AG$15,3,FALSE))</f>
        <v/>
      </c>
      <c r="S74" s="157"/>
      <c r="T74" s="540" t="str">
        <f>IFERROR(VLOOKUP(S74,'G-1 All Habitats'!$Z$2:$AA$9,2,FALSE),"")</f>
        <v/>
      </c>
      <c r="U74" s="154"/>
      <c r="V74" s="520" t="str">
        <f>IF(U74="","",IF(VLOOKUP(U74,'G-3 Multipliers'!$L$3:$N$6,2,FALSE)=0,"Spatial Data Missing ⚠",VLOOKUP(U74,'G-3 Multipliers'!$L$3:$N$6,2,FALSE)))</f>
        <v/>
      </c>
      <c r="W74" s="524"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07" t="str">
        <f t="shared" si="5"/>
        <v/>
      </c>
      <c r="AF74" s="507" t="str">
        <f t="shared" si="6"/>
        <v/>
      </c>
      <c r="AG74" s="524" t="str">
        <f>IFERROR(IF(O74="","",VLOOKUP(AD74,'G-3 Multipliers'!$P$3:$Q$6,2,FALSE)),"")</f>
        <v/>
      </c>
      <c r="AH74" s="513" t="str">
        <f t="shared" si="7"/>
        <v/>
      </c>
      <c r="AI74" s="231"/>
      <c r="AJ74" s="150"/>
      <c r="AT74" s="31" t="str">
        <f>IFERROR(INDEX('G-6 Hedgerow Data'!$BJ$3:$BJ$15,MATCH(M74,'G-6 Hedgerow Data'!$B$3:$B$15,0)),"")</f>
        <v/>
      </c>
    </row>
    <row r="75" spans="2:46" ht="13.8" x14ac:dyDescent="0.25">
      <c r="B75" s="531" t="str">
        <f>'B-1 Site Hedge Baseline'!AK73</f>
        <v/>
      </c>
      <c r="C75" s="520" t="str">
        <f>IF(B75="","",IF(ISNA(VLOOKUP($B75,'B-1 Site Hedge Baseline'!$B$1:$L$257,3,FALSE)),"",(VLOOKUP($B75,'B-1 Site Hedge Baseline'!$B$1:$L$257,3,FALSE))))</f>
        <v/>
      </c>
      <c r="D75" s="520" t="str">
        <f>IF(B75="","",IF(ISNA(VLOOKUP($B75,'B-1 Site Hedge Baseline'!$B$1:$L$257,4,FALSE)),"",(VLOOKUP($B75,'B-1 Site Hedge Baseline'!$B$1:$L$257,4,FALSE))))</f>
        <v/>
      </c>
      <c r="E75" s="520" t="str">
        <f>IF(B75="","",IF(ISNA(VLOOKUP($B75,'B-1 Site Hedge Baseline'!$B$1:$L$257,5,FALSE)),"",(VLOOKUP($B75,'B-1 Site Hedge Baseline'!$B$1:$L$257,5,FALSE))))</f>
        <v/>
      </c>
      <c r="F75" s="520" t="str">
        <f>IF(B75="","",IF(ISNA(VLOOKUP($B75,'B-1 Site Hedge Baseline'!$B$1:$L$257,6,FALSE)),"",(VLOOKUP($B75,'B-1 Site Hedge Baseline'!$B$1:$L$257,6,FALSE))))</f>
        <v/>
      </c>
      <c r="G75" s="520" t="str">
        <f>IF(B75="","",IF(ISNA(VLOOKUP($B75,'B-1 Site Hedge Baseline'!$B$1:$L$257,7,FALSE)),"",(VLOOKUP($B75,'B-1 Site Hedge Baseline'!$B$1:$L$257,7,FALSE))))</f>
        <v/>
      </c>
      <c r="H75" s="520" t="str">
        <f>IF(B75="","",IF(ISNA(VLOOKUP($B75,'B-1 Site Hedge Baseline'!$B$1:$L$257,8,FALSE)),"",(VLOOKUP($B75,'B-1 Site Hedge Baseline'!$B$1:$L$257,8,FALSE))))</f>
        <v/>
      </c>
      <c r="I75" s="520" t="str">
        <f>IF(B75="","",IF(ISNA(VLOOKUP($B75,'B-1 Site Hedge Baseline'!$B$1:$L$257,10,FALSE)),"",(VLOOKUP($B75,'B-1 Site Hedge Baseline'!$B$1:$L$257,10,FALSE))))</f>
        <v/>
      </c>
      <c r="J75" s="520" t="str">
        <f>IF(B75="","",IF(ISNA(VLOOKUP($B75,'B-1 Site Hedge Baseline'!$B$1:$L$257,11,FALSE)),"",(VLOOKUP($B75,'B-1 Site Hedge Baseline'!$B$1:$L$257,11,FALSE))))</f>
        <v/>
      </c>
      <c r="K75" s="520" t="str">
        <f>IF(B75="","",IF(ISNA(VLOOKUP($B75,'B-1 Site Hedge Baseline'!$B$1:$U$257,13,FALSE)),"",(VLOOKUP($B75,'B-1 Site Hedge Baseline'!$B$1:$U$257,13,FALSE))))</f>
        <v/>
      </c>
      <c r="L75" s="524" t="str">
        <f>IF(B75="","",IF(ISNA(VLOOKUP($B75,'B-1 Site Hedge Baseline'!$B$1:$U$257,12,FALSE)),"",(VLOOKUP($B75,'B-1 Site Hedge Baseline'!$B$1:$U$257,12,FALSE))))</f>
        <v/>
      </c>
      <c r="M75" s="416" t="str">
        <f t="shared" si="0"/>
        <v/>
      </c>
      <c r="N75" s="498" t="str">
        <f>IFERROR(IF(B75="","",INDEX('G-6 Hedgerow Data'!$AN$3:$AZ$15,MATCH(C75,'G-6 Hedgerow Data'!$AM$3:$AM$15,0),MATCH(M75,'G-6 Hedgerow Data'!$AN$2:$AZ$2,0))),"")</f>
        <v/>
      </c>
      <c r="O75" s="499" t="str">
        <f t="shared" si="2"/>
        <v/>
      </c>
      <c r="P75" s="559" t="str">
        <f>IF(B75="","",VLOOKUP(B75,'B-1 Site Hedge Baseline'!$B$10:T320,16,FALSE))</f>
        <v/>
      </c>
      <c r="Q75" s="498" t="str">
        <f>IF(M75="","",VLOOKUP(M75,'G-6 Hedgerow Data'!$B$2:$AG$15,2,FALSE))</f>
        <v/>
      </c>
      <c r="R75" s="499" t="str">
        <f>IF(M75="","",VLOOKUP(M75,'G-6 Hedgerow Data'!$B$2:$AG$15,3,FALSE))</f>
        <v/>
      </c>
      <c r="S75" s="157"/>
      <c r="T75" s="540" t="str">
        <f>IFERROR(VLOOKUP(S75,'G-1 All Habitats'!$Z$2:$AA$9,2,FALSE),"")</f>
        <v/>
      </c>
      <c r="U75" s="154"/>
      <c r="V75" s="520" t="str">
        <f>IF(U75="","",IF(VLOOKUP(U75,'G-3 Multipliers'!$L$3:$N$6,2,FALSE)=0,"Spatial Data Missing ⚠",VLOOKUP(U75,'G-3 Multipliers'!$L$3:$N$6,2,FALSE)))</f>
        <v/>
      </c>
      <c r="W75" s="524"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07" t="str">
        <f t="shared" si="5"/>
        <v/>
      </c>
      <c r="AF75" s="507" t="str">
        <f t="shared" si="6"/>
        <v/>
      </c>
      <c r="AG75" s="524" t="str">
        <f>IFERROR(IF(O75="","",VLOOKUP(AD75,'G-3 Multipliers'!$P$3:$Q$6,2,FALSE)),"")</f>
        <v/>
      </c>
      <c r="AH75" s="513" t="str">
        <f t="shared" si="7"/>
        <v/>
      </c>
      <c r="AI75" s="231"/>
      <c r="AJ75" s="150"/>
      <c r="AT75" s="31" t="str">
        <f>IFERROR(INDEX('G-6 Hedgerow Data'!$BJ$3:$BJ$15,MATCH(M75,'G-6 Hedgerow Data'!$B$3:$B$15,0)),"")</f>
        <v/>
      </c>
    </row>
    <row r="76" spans="2:46" ht="13.8" x14ac:dyDescent="0.25">
      <c r="B76" s="531" t="str">
        <f>'B-1 Site Hedge Baseline'!AK74</f>
        <v/>
      </c>
      <c r="C76" s="520" t="str">
        <f>IF(B76="","",IF(ISNA(VLOOKUP($B76,'B-1 Site Hedge Baseline'!$B$1:$L$257,3,FALSE)),"",(VLOOKUP($B76,'B-1 Site Hedge Baseline'!$B$1:$L$257,3,FALSE))))</f>
        <v/>
      </c>
      <c r="D76" s="520" t="str">
        <f>IF(B76="","",IF(ISNA(VLOOKUP($B76,'B-1 Site Hedge Baseline'!$B$1:$L$257,4,FALSE)),"",(VLOOKUP($B76,'B-1 Site Hedge Baseline'!$B$1:$L$257,4,FALSE))))</f>
        <v/>
      </c>
      <c r="E76" s="520" t="str">
        <f>IF(B76="","",IF(ISNA(VLOOKUP($B76,'B-1 Site Hedge Baseline'!$B$1:$L$257,5,FALSE)),"",(VLOOKUP($B76,'B-1 Site Hedge Baseline'!$B$1:$L$257,5,FALSE))))</f>
        <v/>
      </c>
      <c r="F76" s="520" t="str">
        <f>IF(B76="","",IF(ISNA(VLOOKUP($B76,'B-1 Site Hedge Baseline'!$B$1:$L$257,6,FALSE)),"",(VLOOKUP($B76,'B-1 Site Hedge Baseline'!$B$1:$L$257,6,FALSE))))</f>
        <v/>
      </c>
      <c r="G76" s="520" t="str">
        <f>IF(B76="","",IF(ISNA(VLOOKUP($B76,'B-1 Site Hedge Baseline'!$B$1:$L$257,7,FALSE)),"",(VLOOKUP($B76,'B-1 Site Hedge Baseline'!$B$1:$L$257,7,FALSE))))</f>
        <v/>
      </c>
      <c r="H76" s="520" t="str">
        <f>IF(B76="","",IF(ISNA(VLOOKUP($B76,'B-1 Site Hedge Baseline'!$B$1:$L$257,8,FALSE)),"",(VLOOKUP($B76,'B-1 Site Hedge Baseline'!$B$1:$L$257,8,FALSE))))</f>
        <v/>
      </c>
      <c r="I76" s="520" t="str">
        <f>IF(B76="","",IF(ISNA(VLOOKUP($B76,'B-1 Site Hedge Baseline'!$B$1:$L$257,10,FALSE)),"",(VLOOKUP($B76,'B-1 Site Hedge Baseline'!$B$1:$L$257,10,FALSE))))</f>
        <v/>
      </c>
      <c r="J76" s="520" t="str">
        <f>IF(B76="","",IF(ISNA(VLOOKUP($B76,'B-1 Site Hedge Baseline'!$B$1:$L$257,11,FALSE)),"",(VLOOKUP($B76,'B-1 Site Hedge Baseline'!$B$1:$L$257,11,FALSE))))</f>
        <v/>
      </c>
      <c r="K76" s="520" t="str">
        <f>IF(B76="","",IF(ISNA(VLOOKUP($B76,'B-1 Site Hedge Baseline'!$B$1:$U$257,13,FALSE)),"",(VLOOKUP($B76,'B-1 Site Hedge Baseline'!$B$1:$U$257,13,FALSE))))</f>
        <v/>
      </c>
      <c r="L76" s="524" t="str">
        <f>IF(B76="","",IF(ISNA(VLOOKUP($B76,'B-1 Site Hedge Baseline'!$B$1:$U$257,12,FALSE)),"",(VLOOKUP($B76,'B-1 Site Hedge Baseline'!$B$1:$U$257,12,FALSE))))</f>
        <v/>
      </c>
      <c r="M76" s="416" t="str">
        <f t="shared" si="0"/>
        <v/>
      </c>
      <c r="N76" s="498" t="str">
        <f>IFERROR(IF(B76="","",INDEX('G-6 Hedgerow Data'!$AN$3:$AZ$15,MATCH(C76,'G-6 Hedgerow Data'!$AM$3:$AM$15,0),MATCH(M76,'G-6 Hedgerow Data'!$AN$2:$AZ$2,0))),"")</f>
        <v/>
      </c>
      <c r="O76" s="499" t="str">
        <f t="shared" si="2"/>
        <v/>
      </c>
      <c r="P76" s="559" t="str">
        <f>IF(B76="","",VLOOKUP(B76,'B-1 Site Hedge Baseline'!$B$10:T321,16,FALSE))</f>
        <v/>
      </c>
      <c r="Q76" s="498" t="str">
        <f>IF(M76="","",VLOOKUP(M76,'G-6 Hedgerow Data'!$B$2:$AG$15,2,FALSE))</f>
        <v/>
      </c>
      <c r="R76" s="499" t="str">
        <f>IF(M76="","",VLOOKUP(M76,'G-6 Hedgerow Data'!$B$2:$AG$15,3,FALSE))</f>
        <v/>
      </c>
      <c r="S76" s="157"/>
      <c r="T76" s="540" t="str">
        <f>IFERROR(VLOOKUP(S76,'G-1 All Habitats'!$Z$2:$AA$9,2,FALSE),"")</f>
        <v/>
      </c>
      <c r="U76" s="154"/>
      <c r="V76" s="520" t="str">
        <f>IF(U76="","",IF(VLOOKUP(U76,'G-3 Multipliers'!$L$3:$N$6,2,FALSE)=0,"Spatial Data Missing ⚠",VLOOKUP(U76,'G-3 Multipliers'!$L$3:$N$6,2,FALSE)))</f>
        <v/>
      </c>
      <c r="W76" s="524"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8">IF(OR(S76="",M76=""),"",IF(LEFT(AB76,5)="Error ▲","Check Data ⚠",IF(AB76="Check Data ⚠","Check Data ⚠",VLOOKUP(AB76,TemporalMultipliers,3,FALSE))))</f>
        <v/>
      </c>
      <c r="AD76" s="537" t="str">
        <f>IF(M76="","",VLOOKUP(M76,'G-6 Hedgerow Data'!$B$3:$AG$15,31,FALSE))</f>
        <v/>
      </c>
      <c r="AE76" s="507" t="str">
        <f t="shared" si="5"/>
        <v/>
      </c>
      <c r="AF76" s="507" t="str">
        <f t="shared" si="6"/>
        <v/>
      </c>
      <c r="AG76" s="524" t="str">
        <f>IFERROR(IF(O76="","",VLOOKUP(AD76,'G-3 Multipliers'!$P$3:$Q$6,2,FALSE)),"")</f>
        <v/>
      </c>
      <c r="AH76" s="513" t="str">
        <f t="shared" ref="AH76:AH139" si="9">IFERROR(IF(OR(M76="",S76="",U76=""),"",(((((P76*R76*T76)-(P76*F76*H76))*(AG76*AC76))+(P76*F76*H76))*(W76))),"")</f>
        <v/>
      </c>
      <c r="AI76" s="231"/>
      <c r="AJ76" s="150"/>
      <c r="AT76" s="31" t="str">
        <f>IFERROR(INDEX('G-6 Hedgerow Data'!$BJ$3:$BJ$15,MATCH(M76,'G-6 Hedgerow Data'!$B$3:$B$15,0)),"")</f>
        <v/>
      </c>
    </row>
    <row r="77" spans="2:46" ht="13.8" x14ac:dyDescent="0.25">
      <c r="B77" s="531" t="str">
        <f>'B-1 Site Hedge Baseline'!AK75</f>
        <v/>
      </c>
      <c r="C77" s="520" t="str">
        <f>IF(B77="","",IF(ISNA(VLOOKUP($B77,'B-1 Site Hedge Baseline'!$B$1:$L$257,3,FALSE)),"",(VLOOKUP($B77,'B-1 Site Hedge Baseline'!$B$1:$L$257,3,FALSE))))</f>
        <v/>
      </c>
      <c r="D77" s="520" t="str">
        <f>IF(B77="","",IF(ISNA(VLOOKUP($B77,'B-1 Site Hedge Baseline'!$B$1:$L$257,4,FALSE)),"",(VLOOKUP($B77,'B-1 Site Hedge Baseline'!$B$1:$L$257,4,FALSE))))</f>
        <v/>
      </c>
      <c r="E77" s="520" t="str">
        <f>IF(B77="","",IF(ISNA(VLOOKUP($B77,'B-1 Site Hedge Baseline'!$B$1:$L$257,5,FALSE)),"",(VLOOKUP($B77,'B-1 Site Hedge Baseline'!$B$1:$L$257,5,FALSE))))</f>
        <v/>
      </c>
      <c r="F77" s="520" t="str">
        <f>IF(B77="","",IF(ISNA(VLOOKUP($B77,'B-1 Site Hedge Baseline'!$B$1:$L$257,6,FALSE)),"",(VLOOKUP($B77,'B-1 Site Hedge Baseline'!$B$1:$L$257,6,FALSE))))</f>
        <v/>
      </c>
      <c r="G77" s="520" t="str">
        <f>IF(B77="","",IF(ISNA(VLOOKUP($B77,'B-1 Site Hedge Baseline'!$B$1:$L$257,7,FALSE)),"",(VLOOKUP($B77,'B-1 Site Hedge Baseline'!$B$1:$L$257,7,FALSE))))</f>
        <v/>
      </c>
      <c r="H77" s="520" t="str">
        <f>IF(B77="","",IF(ISNA(VLOOKUP($B77,'B-1 Site Hedge Baseline'!$B$1:$L$257,8,FALSE)),"",(VLOOKUP($B77,'B-1 Site Hedge Baseline'!$B$1:$L$257,8,FALSE))))</f>
        <v/>
      </c>
      <c r="I77" s="520" t="str">
        <f>IF(B77="","",IF(ISNA(VLOOKUP($B77,'B-1 Site Hedge Baseline'!$B$1:$L$257,10,FALSE)),"",(VLOOKUP($B77,'B-1 Site Hedge Baseline'!$B$1:$L$257,10,FALSE))))</f>
        <v/>
      </c>
      <c r="J77" s="520" t="str">
        <f>IF(B77="","",IF(ISNA(VLOOKUP($B77,'B-1 Site Hedge Baseline'!$B$1:$L$257,11,FALSE)),"",(VLOOKUP($B77,'B-1 Site Hedge Baseline'!$B$1:$L$257,11,FALSE))))</f>
        <v/>
      </c>
      <c r="K77" s="520" t="str">
        <f>IF(B77="","",IF(ISNA(VLOOKUP($B77,'B-1 Site Hedge Baseline'!$B$1:$U$257,13,FALSE)),"",(VLOOKUP($B77,'B-1 Site Hedge Baseline'!$B$1:$U$257,13,FALSE))))</f>
        <v/>
      </c>
      <c r="L77" s="524" t="str">
        <f>IF(B77="","",IF(ISNA(VLOOKUP($B77,'B-1 Site Hedge Baseline'!$B$1:$U$257,12,FALSE)),"",(VLOOKUP($B77,'B-1 Site Hedge Baseline'!$B$1:$U$257,12,FALSE))))</f>
        <v/>
      </c>
      <c r="M77" s="416" t="str">
        <f t="shared" si="0"/>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9" t="str">
        <f>IF(B77="","",VLOOKUP(B77,'B-1 Site Hedge Baseline'!$B$10:T322,16,FALSE))</f>
        <v/>
      </c>
      <c r="Q77" s="498" t="str">
        <f>IF(M77="","",VLOOKUP(M77,'G-6 Hedgerow Data'!$B$2:$AG$15,2,FALSE))</f>
        <v/>
      </c>
      <c r="R77" s="499" t="str">
        <f>IF(M77="","",VLOOKUP(M77,'G-6 Hedgerow Data'!$B$2:$AG$15,3,FALSE))</f>
        <v/>
      </c>
      <c r="S77" s="157"/>
      <c r="T77" s="540" t="str">
        <f>IFERROR(VLOOKUP(S77,'G-1 All Habitats'!$Z$2:$AA$9,2,FALSE),"")</f>
        <v/>
      </c>
      <c r="U77" s="154"/>
      <c r="V77" s="520" t="str">
        <f>IF(U77="","",IF(VLOOKUP(U77,'G-3 Multipliers'!$L$3:$N$6,2,FALSE)=0,"Spatial Data Missing ⚠",VLOOKUP(U77,'G-3 Multipliers'!$L$3:$N$6,2,FALSE)))</f>
        <v/>
      </c>
      <c r="W77" s="524"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⚠",IF(Y77="30+",0,IF(Z77="30+","30+ ⚠",IF(X77+Z77&gt;30,"30+ ⚠",IF(LEFT(AA77,5)="Error ▲","Check Data ⚠",IF(X77+Z77-Y77&gt;0,X77+Z77-Y77,IF(X77-Y77&lt;=0,0,))))))))</f>
        <v/>
      </c>
      <c r="AC77" s="522" t="str">
        <f t="shared" si="8"/>
        <v/>
      </c>
      <c r="AD77" s="537" t="str">
        <f>IF(M77="","",VLOOKUP(M77,'G-6 Hedgerow Data'!$B$3:$AG$15,31,FALSE))</f>
        <v/>
      </c>
      <c r="AE77" s="507"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7" t="str">
        <f t="shared" ref="AF77:AF140" si="14">(IF(AND(AE77="Standard difficulty applied",X77&gt;Y77),AD77,IF(AND(AE77="Low Difficulty - only applicable if all habitat created before losses ⚠",Y77&gt;=X77),"Low",AD77)))</f>
        <v/>
      </c>
      <c r="AG77" s="524" t="str">
        <f>IFERROR(IF(O77="","",VLOOKUP(AD77,'G-3 Multipliers'!$P$3:$Q$6,2,FALSE)),"")</f>
        <v/>
      </c>
      <c r="AH77" s="513" t="str">
        <f t="shared" si="9"/>
        <v/>
      </c>
      <c r="AI77" s="231"/>
      <c r="AJ77" s="150"/>
      <c r="AT77" s="31" t="str">
        <f>IFERROR(INDEX('G-6 Hedgerow Data'!$BJ$3:$BJ$15,MATCH(M77,'G-6 Hedgerow Data'!$B$3:$B$15,0)),"")</f>
        <v/>
      </c>
    </row>
    <row r="78" spans="2:46" ht="13.8" x14ac:dyDescent="0.25">
      <c r="B78" s="531" t="str">
        <f>'B-1 Site Hedge Baseline'!AK76</f>
        <v/>
      </c>
      <c r="C78" s="520" t="str">
        <f>IF(B78="","",IF(ISNA(VLOOKUP($B78,'B-1 Site Hedge Baseline'!$B$1:$L$257,3,FALSE)),"",(VLOOKUP($B78,'B-1 Site Hedge Baseline'!$B$1:$L$257,3,FALSE))))</f>
        <v/>
      </c>
      <c r="D78" s="520" t="str">
        <f>IF(B78="","",IF(ISNA(VLOOKUP($B78,'B-1 Site Hedge Baseline'!$B$1:$L$257,4,FALSE)),"",(VLOOKUP($B78,'B-1 Site Hedge Baseline'!$B$1:$L$257,4,FALSE))))</f>
        <v/>
      </c>
      <c r="E78" s="520" t="str">
        <f>IF(B78="","",IF(ISNA(VLOOKUP($B78,'B-1 Site Hedge Baseline'!$B$1:$L$257,5,FALSE)),"",(VLOOKUP($B78,'B-1 Site Hedge Baseline'!$B$1:$L$257,5,FALSE))))</f>
        <v/>
      </c>
      <c r="F78" s="520" t="str">
        <f>IF(B78="","",IF(ISNA(VLOOKUP($B78,'B-1 Site Hedge Baseline'!$B$1:$L$257,6,FALSE)),"",(VLOOKUP($B78,'B-1 Site Hedge Baseline'!$B$1:$L$257,6,FALSE))))</f>
        <v/>
      </c>
      <c r="G78" s="520" t="str">
        <f>IF(B78="","",IF(ISNA(VLOOKUP($B78,'B-1 Site Hedge Baseline'!$B$1:$L$257,7,FALSE)),"",(VLOOKUP($B78,'B-1 Site Hedge Baseline'!$B$1:$L$257,7,FALSE))))</f>
        <v/>
      </c>
      <c r="H78" s="520" t="str">
        <f>IF(B78="","",IF(ISNA(VLOOKUP($B78,'B-1 Site Hedge Baseline'!$B$1:$L$257,8,FALSE)),"",(VLOOKUP($B78,'B-1 Site Hedge Baseline'!$B$1:$L$257,8,FALSE))))</f>
        <v/>
      </c>
      <c r="I78" s="520" t="str">
        <f>IF(B78="","",IF(ISNA(VLOOKUP($B78,'B-1 Site Hedge Baseline'!$B$1:$L$257,10,FALSE)),"",(VLOOKUP($B78,'B-1 Site Hedge Baseline'!$B$1:$L$257,10,FALSE))))</f>
        <v/>
      </c>
      <c r="J78" s="520" t="str">
        <f>IF(B78="","",IF(ISNA(VLOOKUP($B78,'B-1 Site Hedge Baseline'!$B$1:$L$257,11,FALSE)),"",(VLOOKUP($B78,'B-1 Site Hedge Baseline'!$B$1:$L$257,11,FALSE))))</f>
        <v/>
      </c>
      <c r="K78" s="520" t="str">
        <f>IF(B78="","",IF(ISNA(VLOOKUP($B78,'B-1 Site Hedge Baseline'!$B$1:$U$257,13,FALSE)),"",(VLOOKUP($B78,'B-1 Site Hedge Baseline'!$B$1:$U$257,13,FALSE))))</f>
        <v/>
      </c>
      <c r="L78" s="524" t="str">
        <f>IF(B78="","",IF(ISNA(VLOOKUP($B78,'B-1 Site Hedge Baseline'!$B$1:$U$257,12,FALSE)),"",(VLOOKUP($B78,'B-1 Site Hedge Baseline'!$B$1:$U$257,12,FALSE))))</f>
        <v/>
      </c>
      <c r="M78" s="416" t="str">
        <f t="shared" ref="M78:M141" si="15">IF(B78="","",C78)</f>
        <v/>
      </c>
      <c r="N78" s="498" t="str">
        <f>IFERROR(IF(B78="","",INDEX('G-6 Hedgerow Data'!$AN$3:$AZ$15,MATCH(C78,'G-6 Hedgerow Data'!$AM$3:$AM$15,0),MATCH(M78,'G-6 Hedgerow Data'!$AN$2:$AZ$2,0))),"")</f>
        <v/>
      </c>
      <c r="O78" s="499" t="str">
        <f t="shared" si="10"/>
        <v/>
      </c>
      <c r="P78" s="559" t="str">
        <f>IF(B78="","",VLOOKUP(B78,'B-1 Site Hedge Baseline'!$B$10:T323,16,FALSE))</f>
        <v/>
      </c>
      <c r="Q78" s="498" t="str">
        <f>IF(M78="","",VLOOKUP(M78,'G-6 Hedgerow Data'!$B$2:$AG$15,2,FALSE))</f>
        <v/>
      </c>
      <c r="R78" s="499" t="str">
        <f>IF(M78="","",VLOOKUP(M78,'G-6 Hedgerow Data'!$B$2:$AG$15,3,FALSE))</f>
        <v/>
      </c>
      <c r="S78" s="157"/>
      <c r="T78" s="540" t="str">
        <f>IFERROR(VLOOKUP(S78,'G-1 All Habitats'!$Z$2:$AA$9,2,FALSE),"")</f>
        <v/>
      </c>
      <c r="U78" s="154"/>
      <c r="V78" s="520" t="str">
        <f>IF(U78="","",IF(VLOOKUP(U78,'G-3 Multipliers'!$L$3:$N$6,2,FALSE)=0,"Spatial Data Missing ⚠",VLOOKUP(U78,'G-3 Multipliers'!$L$3:$N$6,2,FALSE)))</f>
        <v/>
      </c>
      <c r="W78" s="524"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8"/>
        <v/>
      </c>
      <c r="AD78" s="537" t="str">
        <f>IF(M78="","",VLOOKUP(M78,'G-6 Hedgerow Data'!$B$3:$AG$15,31,FALSE))</f>
        <v/>
      </c>
      <c r="AE78" s="507" t="str">
        <f t="shared" si="13"/>
        <v/>
      </c>
      <c r="AF78" s="507" t="str">
        <f t="shared" si="14"/>
        <v/>
      </c>
      <c r="AG78" s="524" t="str">
        <f>IFERROR(IF(O78="","",VLOOKUP(AD78,'G-3 Multipliers'!$P$3:$Q$6,2,FALSE)),"")</f>
        <v/>
      </c>
      <c r="AH78" s="513" t="str">
        <f t="shared" si="9"/>
        <v/>
      </c>
      <c r="AI78" s="231"/>
      <c r="AJ78" s="150"/>
      <c r="AT78" s="31" t="str">
        <f>IFERROR(INDEX('G-6 Hedgerow Data'!$BJ$3:$BJ$15,MATCH(M78,'G-6 Hedgerow Data'!$B$3:$B$15,0)),"")</f>
        <v/>
      </c>
    </row>
    <row r="79" spans="2:46" ht="13.8" x14ac:dyDescent="0.25">
      <c r="B79" s="531" t="str">
        <f>'B-1 Site Hedge Baseline'!AK77</f>
        <v/>
      </c>
      <c r="C79" s="520" t="str">
        <f>IF(B79="","",IF(ISNA(VLOOKUP($B79,'B-1 Site Hedge Baseline'!$B$1:$L$257,3,FALSE)),"",(VLOOKUP($B79,'B-1 Site Hedge Baseline'!$B$1:$L$257,3,FALSE))))</f>
        <v/>
      </c>
      <c r="D79" s="520" t="str">
        <f>IF(B79="","",IF(ISNA(VLOOKUP($B79,'B-1 Site Hedge Baseline'!$B$1:$L$257,4,FALSE)),"",(VLOOKUP($B79,'B-1 Site Hedge Baseline'!$B$1:$L$257,4,FALSE))))</f>
        <v/>
      </c>
      <c r="E79" s="520" t="str">
        <f>IF(B79="","",IF(ISNA(VLOOKUP($B79,'B-1 Site Hedge Baseline'!$B$1:$L$257,5,FALSE)),"",(VLOOKUP($B79,'B-1 Site Hedge Baseline'!$B$1:$L$257,5,FALSE))))</f>
        <v/>
      </c>
      <c r="F79" s="520" t="str">
        <f>IF(B79="","",IF(ISNA(VLOOKUP($B79,'B-1 Site Hedge Baseline'!$B$1:$L$257,6,FALSE)),"",(VLOOKUP($B79,'B-1 Site Hedge Baseline'!$B$1:$L$257,6,FALSE))))</f>
        <v/>
      </c>
      <c r="G79" s="520" t="str">
        <f>IF(B79="","",IF(ISNA(VLOOKUP($B79,'B-1 Site Hedge Baseline'!$B$1:$L$257,7,FALSE)),"",(VLOOKUP($B79,'B-1 Site Hedge Baseline'!$B$1:$L$257,7,FALSE))))</f>
        <v/>
      </c>
      <c r="H79" s="520" t="str">
        <f>IF(B79="","",IF(ISNA(VLOOKUP($B79,'B-1 Site Hedge Baseline'!$B$1:$L$257,8,FALSE)),"",(VLOOKUP($B79,'B-1 Site Hedge Baseline'!$B$1:$L$257,8,FALSE))))</f>
        <v/>
      </c>
      <c r="I79" s="520" t="str">
        <f>IF(B79="","",IF(ISNA(VLOOKUP($B79,'B-1 Site Hedge Baseline'!$B$1:$L$257,10,FALSE)),"",(VLOOKUP($B79,'B-1 Site Hedge Baseline'!$B$1:$L$257,10,FALSE))))</f>
        <v/>
      </c>
      <c r="J79" s="520" t="str">
        <f>IF(B79="","",IF(ISNA(VLOOKUP($B79,'B-1 Site Hedge Baseline'!$B$1:$L$257,11,FALSE)),"",(VLOOKUP($B79,'B-1 Site Hedge Baseline'!$B$1:$L$257,11,FALSE))))</f>
        <v/>
      </c>
      <c r="K79" s="520" t="str">
        <f>IF(B79="","",IF(ISNA(VLOOKUP($B79,'B-1 Site Hedge Baseline'!$B$1:$U$257,13,FALSE)),"",(VLOOKUP($B79,'B-1 Site Hedge Baseline'!$B$1:$U$257,13,FALSE))))</f>
        <v/>
      </c>
      <c r="L79" s="524" t="str">
        <f>IF(B79="","",IF(ISNA(VLOOKUP($B79,'B-1 Site Hedge Baseline'!$B$1:$U$257,12,FALSE)),"",(VLOOKUP($B79,'B-1 Site Hedge Baseline'!$B$1:$U$257,12,FALSE))))</f>
        <v/>
      </c>
      <c r="M79" s="416" t="str">
        <f t="shared" si="15"/>
        <v/>
      </c>
      <c r="N79" s="498" t="str">
        <f>IFERROR(IF(B79="","",INDEX('G-6 Hedgerow Data'!$AN$3:$AZ$15,MATCH(C79,'G-6 Hedgerow Data'!$AM$3:$AM$15,0),MATCH(M79,'G-6 Hedgerow Data'!$AN$2:$AZ$2,0))),"")</f>
        <v/>
      </c>
      <c r="O79" s="499" t="str">
        <f t="shared" si="10"/>
        <v/>
      </c>
      <c r="P79" s="559" t="str">
        <f>IF(B79="","",VLOOKUP(B79,'B-1 Site Hedge Baseline'!$B$10:T324,16,FALSE))</f>
        <v/>
      </c>
      <c r="Q79" s="498" t="str">
        <f>IF(M79="","",VLOOKUP(M79,'G-6 Hedgerow Data'!$B$2:$AG$15,2,FALSE))</f>
        <v/>
      </c>
      <c r="R79" s="499" t="str">
        <f>IF(M79="","",VLOOKUP(M79,'G-6 Hedgerow Data'!$B$2:$AG$15,3,FALSE))</f>
        <v/>
      </c>
      <c r="S79" s="157"/>
      <c r="T79" s="540" t="str">
        <f>IFERROR(VLOOKUP(S79,'G-1 All Habitats'!$Z$2:$AA$9,2,FALSE),"")</f>
        <v/>
      </c>
      <c r="U79" s="154"/>
      <c r="V79" s="520" t="str">
        <f>IF(U79="","",IF(VLOOKUP(U79,'G-3 Multipliers'!$L$3:$N$6,2,FALSE)=0,"Spatial Data Missing ⚠",VLOOKUP(U79,'G-3 Multipliers'!$L$3:$N$6,2,FALSE)))</f>
        <v/>
      </c>
      <c r="W79" s="524"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8"/>
        <v/>
      </c>
      <c r="AD79" s="537" t="str">
        <f>IF(M79="","",VLOOKUP(M79,'G-6 Hedgerow Data'!$B$3:$AG$15,31,FALSE))</f>
        <v/>
      </c>
      <c r="AE79" s="507" t="str">
        <f t="shared" si="13"/>
        <v/>
      </c>
      <c r="AF79" s="507" t="str">
        <f t="shared" si="14"/>
        <v/>
      </c>
      <c r="AG79" s="524" t="str">
        <f>IFERROR(IF(O79="","",VLOOKUP(AD79,'G-3 Multipliers'!$P$3:$Q$6,2,FALSE)),"")</f>
        <v/>
      </c>
      <c r="AH79" s="513" t="str">
        <f t="shared" si="9"/>
        <v/>
      </c>
      <c r="AI79" s="231"/>
      <c r="AJ79" s="150"/>
      <c r="AT79" s="31" t="str">
        <f>IFERROR(INDEX('G-6 Hedgerow Data'!$BJ$3:$BJ$15,MATCH(M79,'G-6 Hedgerow Data'!$B$3:$B$15,0)),"")</f>
        <v/>
      </c>
    </row>
    <row r="80" spans="2:46" ht="13.8" x14ac:dyDescent="0.25">
      <c r="B80" s="531" t="str">
        <f>'B-1 Site Hedge Baseline'!AK78</f>
        <v/>
      </c>
      <c r="C80" s="520" t="str">
        <f>IF(B80="","",IF(ISNA(VLOOKUP($B80,'B-1 Site Hedge Baseline'!$B$1:$L$257,3,FALSE)),"",(VLOOKUP($B80,'B-1 Site Hedge Baseline'!$B$1:$L$257,3,FALSE))))</f>
        <v/>
      </c>
      <c r="D80" s="520" t="str">
        <f>IF(B80="","",IF(ISNA(VLOOKUP($B80,'B-1 Site Hedge Baseline'!$B$1:$L$257,4,FALSE)),"",(VLOOKUP($B80,'B-1 Site Hedge Baseline'!$B$1:$L$257,4,FALSE))))</f>
        <v/>
      </c>
      <c r="E80" s="520" t="str">
        <f>IF(B80="","",IF(ISNA(VLOOKUP($B80,'B-1 Site Hedge Baseline'!$B$1:$L$257,5,FALSE)),"",(VLOOKUP($B80,'B-1 Site Hedge Baseline'!$B$1:$L$257,5,FALSE))))</f>
        <v/>
      </c>
      <c r="F80" s="520" t="str">
        <f>IF(B80="","",IF(ISNA(VLOOKUP($B80,'B-1 Site Hedge Baseline'!$B$1:$L$257,6,FALSE)),"",(VLOOKUP($B80,'B-1 Site Hedge Baseline'!$B$1:$L$257,6,FALSE))))</f>
        <v/>
      </c>
      <c r="G80" s="520" t="str">
        <f>IF(B80="","",IF(ISNA(VLOOKUP($B80,'B-1 Site Hedge Baseline'!$B$1:$L$257,7,FALSE)),"",(VLOOKUP($B80,'B-1 Site Hedge Baseline'!$B$1:$L$257,7,FALSE))))</f>
        <v/>
      </c>
      <c r="H80" s="520" t="str">
        <f>IF(B80="","",IF(ISNA(VLOOKUP($B80,'B-1 Site Hedge Baseline'!$B$1:$L$257,8,FALSE)),"",(VLOOKUP($B80,'B-1 Site Hedge Baseline'!$B$1:$L$257,8,FALSE))))</f>
        <v/>
      </c>
      <c r="I80" s="520" t="str">
        <f>IF(B80="","",IF(ISNA(VLOOKUP($B80,'B-1 Site Hedge Baseline'!$B$1:$L$257,10,FALSE)),"",(VLOOKUP($B80,'B-1 Site Hedge Baseline'!$B$1:$L$257,10,FALSE))))</f>
        <v/>
      </c>
      <c r="J80" s="520" t="str">
        <f>IF(B80="","",IF(ISNA(VLOOKUP($B80,'B-1 Site Hedge Baseline'!$B$1:$L$257,11,FALSE)),"",(VLOOKUP($B80,'B-1 Site Hedge Baseline'!$B$1:$L$257,11,FALSE))))</f>
        <v/>
      </c>
      <c r="K80" s="520" t="str">
        <f>IF(B80="","",IF(ISNA(VLOOKUP($B80,'B-1 Site Hedge Baseline'!$B$1:$U$257,13,FALSE)),"",(VLOOKUP($B80,'B-1 Site Hedge Baseline'!$B$1:$U$257,13,FALSE))))</f>
        <v/>
      </c>
      <c r="L80" s="524" t="str">
        <f>IF(B80="","",IF(ISNA(VLOOKUP($B80,'B-1 Site Hedge Baseline'!$B$1:$U$257,12,FALSE)),"",(VLOOKUP($B80,'B-1 Site Hedge Baseline'!$B$1:$U$257,12,FALSE))))</f>
        <v/>
      </c>
      <c r="M80" s="416" t="str">
        <f t="shared" si="15"/>
        <v/>
      </c>
      <c r="N80" s="498" t="str">
        <f>IFERROR(IF(B80="","",INDEX('G-6 Hedgerow Data'!$AN$3:$AZ$15,MATCH(C80,'G-6 Hedgerow Data'!$AM$3:$AM$15,0),MATCH(M80,'G-6 Hedgerow Data'!$AN$2:$AZ$2,0))),"")</f>
        <v/>
      </c>
      <c r="O80" s="499" t="str">
        <f t="shared" si="10"/>
        <v/>
      </c>
      <c r="P80" s="559" t="str">
        <f>IF(B80="","",VLOOKUP(B80,'B-1 Site Hedge Baseline'!$B$10:T325,16,FALSE))</f>
        <v/>
      </c>
      <c r="Q80" s="498" t="str">
        <f>IF(M80="","",VLOOKUP(M80,'G-6 Hedgerow Data'!$B$2:$AG$15,2,FALSE))</f>
        <v/>
      </c>
      <c r="R80" s="499" t="str">
        <f>IF(M80="","",VLOOKUP(M80,'G-6 Hedgerow Data'!$B$2:$AG$15,3,FALSE))</f>
        <v/>
      </c>
      <c r="S80" s="157"/>
      <c r="T80" s="540" t="str">
        <f>IFERROR(VLOOKUP(S80,'G-1 All Habitats'!$Z$2:$AA$9,2,FALSE),"")</f>
        <v/>
      </c>
      <c r="U80" s="154"/>
      <c r="V80" s="520" t="str">
        <f>IF(U80="","",IF(VLOOKUP(U80,'G-3 Multipliers'!$L$3:$N$6,2,FALSE)=0,"Spatial Data Missing ⚠",VLOOKUP(U80,'G-3 Multipliers'!$L$3:$N$6,2,FALSE)))</f>
        <v/>
      </c>
      <c r="W80" s="524"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8"/>
        <v/>
      </c>
      <c r="AD80" s="537" t="str">
        <f>IF(M80="","",VLOOKUP(M80,'G-6 Hedgerow Data'!$B$3:$AG$15,31,FALSE))</f>
        <v/>
      </c>
      <c r="AE80" s="507" t="str">
        <f t="shared" si="13"/>
        <v/>
      </c>
      <c r="AF80" s="507" t="str">
        <f t="shared" si="14"/>
        <v/>
      </c>
      <c r="AG80" s="524" t="str">
        <f>IFERROR(IF(O80="","",VLOOKUP(AD80,'G-3 Multipliers'!$P$3:$Q$6,2,FALSE)),"")</f>
        <v/>
      </c>
      <c r="AH80" s="513" t="str">
        <f t="shared" si="9"/>
        <v/>
      </c>
      <c r="AI80" s="231"/>
      <c r="AJ80" s="150"/>
      <c r="AT80" s="31" t="str">
        <f>IFERROR(INDEX('G-6 Hedgerow Data'!$BJ$3:$BJ$15,MATCH(M80,'G-6 Hedgerow Data'!$B$3:$B$15,0)),"")</f>
        <v/>
      </c>
    </row>
    <row r="81" spans="2:46" ht="13.8" x14ac:dyDescent="0.25">
      <c r="B81" s="531" t="str">
        <f>'B-1 Site Hedge Baseline'!AK79</f>
        <v/>
      </c>
      <c r="C81" s="520" t="str">
        <f>IF(B81="","",IF(ISNA(VLOOKUP($B81,'B-1 Site Hedge Baseline'!$B$1:$L$257,3,FALSE)),"",(VLOOKUP($B81,'B-1 Site Hedge Baseline'!$B$1:$L$257,3,FALSE))))</f>
        <v/>
      </c>
      <c r="D81" s="520" t="str">
        <f>IF(B81="","",IF(ISNA(VLOOKUP($B81,'B-1 Site Hedge Baseline'!$B$1:$L$257,4,FALSE)),"",(VLOOKUP($B81,'B-1 Site Hedge Baseline'!$B$1:$L$257,4,FALSE))))</f>
        <v/>
      </c>
      <c r="E81" s="520" t="str">
        <f>IF(B81="","",IF(ISNA(VLOOKUP($B81,'B-1 Site Hedge Baseline'!$B$1:$L$257,5,FALSE)),"",(VLOOKUP($B81,'B-1 Site Hedge Baseline'!$B$1:$L$257,5,FALSE))))</f>
        <v/>
      </c>
      <c r="F81" s="520" t="str">
        <f>IF(B81="","",IF(ISNA(VLOOKUP($B81,'B-1 Site Hedge Baseline'!$B$1:$L$257,6,FALSE)),"",(VLOOKUP($B81,'B-1 Site Hedge Baseline'!$B$1:$L$257,6,FALSE))))</f>
        <v/>
      </c>
      <c r="G81" s="520" t="str">
        <f>IF(B81="","",IF(ISNA(VLOOKUP($B81,'B-1 Site Hedge Baseline'!$B$1:$L$257,7,FALSE)),"",(VLOOKUP($B81,'B-1 Site Hedge Baseline'!$B$1:$L$257,7,FALSE))))</f>
        <v/>
      </c>
      <c r="H81" s="520" t="str">
        <f>IF(B81="","",IF(ISNA(VLOOKUP($B81,'B-1 Site Hedge Baseline'!$B$1:$L$257,8,FALSE)),"",(VLOOKUP($B81,'B-1 Site Hedge Baseline'!$B$1:$L$257,8,FALSE))))</f>
        <v/>
      </c>
      <c r="I81" s="520" t="str">
        <f>IF(B81="","",IF(ISNA(VLOOKUP($B81,'B-1 Site Hedge Baseline'!$B$1:$L$257,10,FALSE)),"",(VLOOKUP($B81,'B-1 Site Hedge Baseline'!$B$1:$L$257,10,FALSE))))</f>
        <v/>
      </c>
      <c r="J81" s="520" t="str">
        <f>IF(B81="","",IF(ISNA(VLOOKUP($B81,'B-1 Site Hedge Baseline'!$B$1:$L$257,11,FALSE)),"",(VLOOKUP($B81,'B-1 Site Hedge Baseline'!$B$1:$L$257,11,FALSE))))</f>
        <v/>
      </c>
      <c r="K81" s="520" t="str">
        <f>IF(B81="","",IF(ISNA(VLOOKUP($B81,'B-1 Site Hedge Baseline'!$B$1:$U$257,13,FALSE)),"",(VLOOKUP($B81,'B-1 Site Hedge Baseline'!$B$1:$U$257,13,FALSE))))</f>
        <v/>
      </c>
      <c r="L81" s="524" t="str">
        <f>IF(B81="","",IF(ISNA(VLOOKUP($B81,'B-1 Site Hedge Baseline'!$B$1:$U$257,12,FALSE)),"",(VLOOKUP($B81,'B-1 Site Hedge Baseline'!$B$1:$U$257,12,FALSE))))</f>
        <v/>
      </c>
      <c r="M81" s="416" t="str">
        <f t="shared" si="15"/>
        <v/>
      </c>
      <c r="N81" s="498" t="str">
        <f>IFERROR(IF(B81="","",INDEX('G-6 Hedgerow Data'!$AN$3:$AZ$15,MATCH(C81,'G-6 Hedgerow Data'!$AM$3:$AM$15,0),MATCH(M81,'G-6 Hedgerow Data'!$AN$2:$AZ$2,0))),"")</f>
        <v/>
      </c>
      <c r="O81" s="499" t="str">
        <f t="shared" si="10"/>
        <v/>
      </c>
      <c r="P81" s="559" t="str">
        <f>IF(B81="","",VLOOKUP(B81,'B-1 Site Hedge Baseline'!$B$10:T326,16,FALSE))</f>
        <v/>
      </c>
      <c r="Q81" s="498" t="str">
        <f>IF(M81="","",VLOOKUP(M81,'G-6 Hedgerow Data'!$B$2:$AG$15,2,FALSE))</f>
        <v/>
      </c>
      <c r="R81" s="499" t="str">
        <f>IF(M81="","",VLOOKUP(M81,'G-6 Hedgerow Data'!$B$2:$AG$15,3,FALSE))</f>
        <v/>
      </c>
      <c r="S81" s="157"/>
      <c r="T81" s="540" t="str">
        <f>IFERROR(VLOOKUP(S81,'G-1 All Habitats'!$Z$2:$AA$9,2,FALSE),"")</f>
        <v/>
      </c>
      <c r="U81" s="154"/>
      <c r="V81" s="520" t="str">
        <f>IF(U81="","",IF(VLOOKUP(U81,'G-3 Multipliers'!$L$3:$N$6,2,FALSE)=0,"Spatial Data Missing ⚠",VLOOKUP(U81,'G-3 Multipliers'!$L$3:$N$6,2,FALSE)))</f>
        <v/>
      </c>
      <c r="W81" s="524"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8"/>
        <v/>
      </c>
      <c r="AD81" s="537" t="str">
        <f>IF(M81="","",VLOOKUP(M81,'G-6 Hedgerow Data'!$B$3:$AG$15,31,FALSE))</f>
        <v/>
      </c>
      <c r="AE81" s="507" t="str">
        <f t="shared" si="13"/>
        <v/>
      </c>
      <c r="AF81" s="507" t="str">
        <f t="shared" si="14"/>
        <v/>
      </c>
      <c r="AG81" s="524" t="str">
        <f>IFERROR(IF(O81="","",VLOOKUP(AD81,'G-3 Multipliers'!$P$3:$Q$6,2,FALSE)),"")</f>
        <v/>
      </c>
      <c r="AH81" s="513" t="str">
        <f t="shared" si="9"/>
        <v/>
      </c>
      <c r="AI81" s="231"/>
      <c r="AJ81" s="150"/>
      <c r="AT81" s="31" t="str">
        <f>IFERROR(INDEX('G-6 Hedgerow Data'!$BJ$3:$BJ$15,MATCH(M81,'G-6 Hedgerow Data'!$B$3:$B$15,0)),"")</f>
        <v/>
      </c>
    </row>
    <row r="82" spans="2:46" ht="13.8" x14ac:dyDescent="0.25">
      <c r="B82" s="531" t="str">
        <f>'B-1 Site Hedge Baseline'!AK80</f>
        <v/>
      </c>
      <c r="C82" s="520" t="str">
        <f>IF(B82="","",IF(ISNA(VLOOKUP($B82,'B-1 Site Hedge Baseline'!$B$1:$L$257,3,FALSE)),"",(VLOOKUP($B82,'B-1 Site Hedge Baseline'!$B$1:$L$257,3,FALSE))))</f>
        <v/>
      </c>
      <c r="D82" s="520" t="str">
        <f>IF(B82="","",IF(ISNA(VLOOKUP($B82,'B-1 Site Hedge Baseline'!$B$1:$L$257,4,FALSE)),"",(VLOOKUP($B82,'B-1 Site Hedge Baseline'!$B$1:$L$257,4,FALSE))))</f>
        <v/>
      </c>
      <c r="E82" s="520" t="str">
        <f>IF(B82="","",IF(ISNA(VLOOKUP($B82,'B-1 Site Hedge Baseline'!$B$1:$L$257,5,FALSE)),"",(VLOOKUP($B82,'B-1 Site Hedge Baseline'!$B$1:$L$257,5,FALSE))))</f>
        <v/>
      </c>
      <c r="F82" s="520" t="str">
        <f>IF(B82="","",IF(ISNA(VLOOKUP($B82,'B-1 Site Hedge Baseline'!$B$1:$L$257,6,FALSE)),"",(VLOOKUP($B82,'B-1 Site Hedge Baseline'!$B$1:$L$257,6,FALSE))))</f>
        <v/>
      </c>
      <c r="G82" s="520" t="str">
        <f>IF(B82="","",IF(ISNA(VLOOKUP($B82,'B-1 Site Hedge Baseline'!$B$1:$L$257,7,FALSE)),"",(VLOOKUP($B82,'B-1 Site Hedge Baseline'!$B$1:$L$257,7,FALSE))))</f>
        <v/>
      </c>
      <c r="H82" s="520" t="str">
        <f>IF(B82="","",IF(ISNA(VLOOKUP($B82,'B-1 Site Hedge Baseline'!$B$1:$L$257,8,FALSE)),"",(VLOOKUP($B82,'B-1 Site Hedge Baseline'!$B$1:$L$257,8,FALSE))))</f>
        <v/>
      </c>
      <c r="I82" s="520" t="str">
        <f>IF(B82="","",IF(ISNA(VLOOKUP($B82,'B-1 Site Hedge Baseline'!$B$1:$L$257,10,FALSE)),"",(VLOOKUP($B82,'B-1 Site Hedge Baseline'!$B$1:$L$257,10,FALSE))))</f>
        <v/>
      </c>
      <c r="J82" s="520" t="str">
        <f>IF(B82="","",IF(ISNA(VLOOKUP($B82,'B-1 Site Hedge Baseline'!$B$1:$L$257,11,FALSE)),"",(VLOOKUP($B82,'B-1 Site Hedge Baseline'!$B$1:$L$257,11,FALSE))))</f>
        <v/>
      </c>
      <c r="K82" s="520" t="str">
        <f>IF(B82="","",IF(ISNA(VLOOKUP($B82,'B-1 Site Hedge Baseline'!$B$1:$U$257,13,FALSE)),"",(VLOOKUP($B82,'B-1 Site Hedge Baseline'!$B$1:$U$257,13,FALSE))))</f>
        <v/>
      </c>
      <c r="L82" s="524" t="str">
        <f>IF(B82="","",IF(ISNA(VLOOKUP($B82,'B-1 Site Hedge Baseline'!$B$1:$U$257,12,FALSE)),"",(VLOOKUP($B82,'B-1 Site Hedge Baseline'!$B$1:$U$257,12,FALSE))))</f>
        <v/>
      </c>
      <c r="M82" s="416" t="str">
        <f t="shared" si="15"/>
        <v/>
      </c>
      <c r="N82" s="498" t="str">
        <f>IFERROR(IF(B82="","",INDEX('G-6 Hedgerow Data'!$AN$3:$AZ$15,MATCH(C82,'G-6 Hedgerow Data'!$AM$3:$AM$15,0),MATCH(M82,'G-6 Hedgerow Data'!$AN$2:$AZ$2,0))),"")</f>
        <v/>
      </c>
      <c r="O82" s="499" t="str">
        <f t="shared" si="10"/>
        <v/>
      </c>
      <c r="P82" s="559" t="str">
        <f>IF(B82="","",VLOOKUP(B82,'B-1 Site Hedge Baseline'!$B$10:T327,16,FALSE))</f>
        <v/>
      </c>
      <c r="Q82" s="498" t="str">
        <f>IF(M82="","",VLOOKUP(M82,'G-6 Hedgerow Data'!$B$2:$AG$15,2,FALSE))</f>
        <v/>
      </c>
      <c r="R82" s="499" t="str">
        <f>IF(M82="","",VLOOKUP(M82,'G-6 Hedgerow Data'!$B$2:$AG$15,3,FALSE))</f>
        <v/>
      </c>
      <c r="S82" s="157"/>
      <c r="T82" s="540" t="str">
        <f>IFERROR(VLOOKUP(S82,'G-1 All Habitats'!$Z$2:$AA$9,2,FALSE),"")</f>
        <v/>
      </c>
      <c r="U82" s="154"/>
      <c r="V82" s="520" t="str">
        <f>IF(U82="","",IF(VLOOKUP(U82,'G-3 Multipliers'!$L$3:$N$6,2,FALSE)=0,"Spatial Data Missing ⚠",VLOOKUP(U82,'G-3 Multipliers'!$L$3:$N$6,2,FALSE)))</f>
        <v/>
      </c>
      <c r="W82" s="524"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8"/>
        <v/>
      </c>
      <c r="AD82" s="537" t="str">
        <f>IF(M82="","",VLOOKUP(M82,'G-6 Hedgerow Data'!$B$3:$AG$15,31,FALSE))</f>
        <v/>
      </c>
      <c r="AE82" s="507" t="str">
        <f t="shared" si="13"/>
        <v/>
      </c>
      <c r="AF82" s="507" t="str">
        <f t="shared" si="14"/>
        <v/>
      </c>
      <c r="AG82" s="524" t="str">
        <f>IFERROR(IF(O82="","",VLOOKUP(AD82,'G-3 Multipliers'!$P$3:$Q$6,2,FALSE)),"")</f>
        <v/>
      </c>
      <c r="AH82" s="513" t="str">
        <f t="shared" si="9"/>
        <v/>
      </c>
      <c r="AI82" s="231"/>
      <c r="AJ82" s="150"/>
      <c r="AT82" s="31" t="str">
        <f>IFERROR(INDEX('G-6 Hedgerow Data'!$BJ$3:$BJ$15,MATCH(M82,'G-6 Hedgerow Data'!$B$3:$B$15,0)),"")</f>
        <v/>
      </c>
    </row>
    <row r="83" spans="2:46" ht="13.8" x14ac:dyDescent="0.25">
      <c r="B83" s="531" t="str">
        <f>'B-1 Site Hedge Baseline'!AK81</f>
        <v/>
      </c>
      <c r="C83" s="520" t="str">
        <f>IF(B83="","",IF(ISNA(VLOOKUP($B83,'B-1 Site Hedge Baseline'!$B$1:$L$257,3,FALSE)),"",(VLOOKUP($B83,'B-1 Site Hedge Baseline'!$B$1:$L$257,3,FALSE))))</f>
        <v/>
      </c>
      <c r="D83" s="520" t="str">
        <f>IF(B83="","",IF(ISNA(VLOOKUP($B83,'B-1 Site Hedge Baseline'!$B$1:$L$257,4,FALSE)),"",(VLOOKUP($B83,'B-1 Site Hedge Baseline'!$B$1:$L$257,4,FALSE))))</f>
        <v/>
      </c>
      <c r="E83" s="520" t="str">
        <f>IF(B83="","",IF(ISNA(VLOOKUP($B83,'B-1 Site Hedge Baseline'!$B$1:$L$257,5,FALSE)),"",(VLOOKUP($B83,'B-1 Site Hedge Baseline'!$B$1:$L$257,5,FALSE))))</f>
        <v/>
      </c>
      <c r="F83" s="520" t="str">
        <f>IF(B83="","",IF(ISNA(VLOOKUP($B83,'B-1 Site Hedge Baseline'!$B$1:$L$257,6,FALSE)),"",(VLOOKUP($B83,'B-1 Site Hedge Baseline'!$B$1:$L$257,6,FALSE))))</f>
        <v/>
      </c>
      <c r="G83" s="520" t="str">
        <f>IF(B83="","",IF(ISNA(VLOOKUP($B83,'B-1 Site Hedge Baseline'!$B$1:$L$257,7,FALSE)),"",(VLOOKUP($B83,'B-1 Site Hedge Baseline'!$B$1:$L$257,7,FALSE))))</f>
        <v/>
      </c>
      <c r="H83" s="520" t="str">
        <f>IF(B83="","",IF(ISNA(VLOOKUP($B83,'B-1 Site Hedge Baseline'!$B$1:$L$257,8,FALSE)),"",(VLOOKUP($B83,'B-1 Site Hedge Baseline'!$B$1:$L$257,8,FALSE))))</f>
        <v/>
      </c>
      <c r="I83" s="520" t="str">
        <f>IF(B83="","",IF(ISNA(VLOOKUP($B83,'B-1 Site Hedge Baseline'!$B$1:$L$257,10,FALSE)),"",(VLOOKUP($B83,'B-1 Site Hedge Baseline'!$B$1:$L$257,10,FALSE))))</f>
        <v/>
      </c>
      <c r="J83" s="520" t="str">
        <f>IF(B83="","",IF(ISNA(VLOOKUP($B83,'B-1 Site Hedge Baseline'!$B$1:$L$257,11,FALSE)),"",(VLOOKUP($B83,'B-1 Site Hedge Baseline'!$B$1:$L$257,11,FALSE))))</f>
        <v/>
      </c>
      <c r="K83" s="520" t="str">
        <f>IF(B83="","",IF(ISNA(VLOOKUP($B83,'B-1 Site Hedge Baseline'!$B$1:$U$257,13,FALSE)),"",(VLOOKUP($B83,'B-1 Site Hedge Baseline'!$B$1:$U$257,13,FALSE))))</f>
        <v/>
      </c>
      <c r="L83" s="524" t="str">
        <f>IF(B83="","",IF(ISNA(VLOOKUP($B83,'B-1 Site Hedge Baseline'!$B$1:$U$257,12,FALSE)),"",(VLOOKUP($B83,'B-1 Site Hedge Baseline'!$B$1:$U$257,12,FALSE))))</f>
        <v/>
      </c>
      <c r="M83" s="416" t="str">
        <f t="shared" si="15"/>
        <v/>
      </c>
      <c r="N83" s="498" t="str">
        <f>IFERROR(IF(B83="","",INDEX('G-6 Hedgerow Data'!$AN$3:$AZ$15,MATCH(C83,'G-6 Hedgerow Data'!$AM$3:$AM$15,0),MATCH(M83,'G-6 Hedgerow Data'!$AN$2:$AZ$2,0))),"")</f>
        <v/>
      </c>
      <c r="O83" s="499" t="str">
        <f t="shared" si="10"/>
        <v/>
      </c>
      <c r="P83" s="559" t="str">
        <f>IF(B83="","",VLOOKUP(B83,'B-1 Site Hedge Baseline'!$B$10:T328,16,FALSE))</f>
        <v/>
      </c>
      <c r="Q83" s="498" t="str">
        <f>IF(M83="","",VLOOKUP(M83,'G-6 Hedgerow Data'!$B$2:$AG$15,2,FALSE))</f>
        <v/>
      </c>
      <c r="R83" s="499" t="str">
        <f>IF(M83="","",VLOOKUP(M83,'G-6 Hedgerow Data'!$B$2:$AG$15,3,FALSE))</f>
        <v/>
      </c>
      <c r="S83" s="157"/>
      <c r="T83" s="540" t="str">
        <f>IFERROR(VLOOKUP(S83,'G-1 All Habitats'!$Z$2:$AA$9,2,FALSE),"")</f>
        <v/>
      </c>
      <c r="U83" s="154"/>
      <c r="V83" s="520" t="str">
        <f>IF(U83="","",IF(VLOOKUP(U83,'G-3 Multipliers'!$L$3:$N$6,2,FALSE)=0,"Spatial Data Missing ⚠",VLOOKUP(U83,'G-3 Multipliers'!$L$3:$N$6,2,FALSE)))</f>
        <v/>
      </c>
      <c r="W83" s="524"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8"/>
        <v/>
      </c>
      <c r="AD83" s="537" t="str">
        <f>IF(M83="","",VLOOKUP(M83,'G-6 Hedgerow Data'!$B$3:$AG$15,31,FALSE))</f>
        <v/>
      </c>
      <c r="AE83" s="507" t="str">
        <f t="shared" si="13"/>
        <v/>
      </c>
      <c r="AF83" s="507" t="str">
        <f t="shared" si="14"/>
        <v/>
      </c>
      <c r="AG83" s="524" t="str">
        <f>IFERROR(IF(O83="","",VLOOKUP(AD83,'G-3 Multipliers'!$P$3:$Q$6,2,FALSE)),"")</f>
        <v/>
      </c>
      <c r="AH83" s="513" t="str">
        <f t="shared" si="9"/>
        <v/>
      </c>
      <c r="AI83" s="231"/>
      <c r="AJ83" s="150"/>
      <c r="AT83" s="31" t="str">
        <f>IFERROR(INDEX('G-6 Hedgerow Data'!$BJ$3:$BJ$15,MATCH(M83,'G-6 Hedgerow Data'!$B$3:$B$15,0)),"")</f>
        <v/>
      </c>
    </row>
    <row r="84" spans="2:46" ht="13.8" x14ac:dyDescent="0.25">
      <c r="B84" s="531" t="str">
        <f>'B-1 Site Hedge Baseline'!AK82</f>
        <v/>
      </c>
      <c r="C84" s="520" t="str">
        <f>IF(B84="","",IF(ISNA(VLOOKUP($B84,'B-1 Site Hedge Baseline'!$B$1:$L$257,3,FALSE)),"",(VLOOKUP($B84,'B-1 Site Hedge Baseline'!$B$1:$L$257,3,FALSE))))</f>
        <v/>
      </c>
      <c r="D84" s="520" t="str">
        <f>IF(B84="","",IF(ISNA(VLOOKUP($B84,'B-1 Site Hedge Baseline'!$B$1:$L$257,4,FALSE)),"",(VLOOKUP($B84,'B-1 Site Hedge Baseline'!$B$1:$L$257,4,FALSE))))</f>
        <v/>
      </c>
      <c r="E84" s="520" t="str">
        <f>IF(B84="","",IF(ISNA(VLOOKUP($B84,'B-1 Site Hedge Baseline'!$B$1:$L$257,5,FALSE)),"",(VLOOKUP($B84,'B-1 Site Hedge Baseline'!$B$1:$L$257,5,FALSE))))</f>
        <v/>
      </c>
      <c r="F84" s="520" t="str">
        <f>IF(B84="","",IF(ISNA(VLOOKUP($B84,'B-1 Site Hedge Baseline'!$B$1:$L$257,6,FALSE)),"",(VLOOKUP($B84,'B-1 Site Hedge Baseline'!$B$1:$L$257,6,FALSE))))</f>
        <v/>
      </c>
      <c r="G84" s="520" t="str">
        <f>IF(B84="","",IF(ISNA(VLOOKUP($B84,'B-1 Site Hedge Baseline'!$B$1:$L$257,7,FALSE)),"",(VLOOKUP($B84,'B-1 Site Hedge Baseline'!$B$1:$L$257,7,FALSE))))</f>
        <v/>
      </c>
      <c r="H84" s="520" t="str">
        <f>IF(B84="","",IF(ISNA(VLOOKUP($B84,'B-1 Site Hedge Baseline'!$B$1:$L$257,8,FALSE)),"",(VLOOKUP($B84,'B-1 Site Hedge Baseline'!$B$1:$L$257,8,FALSE))))</f>
        <v/>
      </c>
      <c r="I84" s="520" t="str">
        <f>IF(B84="","",IF(ISNA(VLOOKUP($B84,'B-1 Site Hedge Baseline'!$B$1:$L$257,10,FALSE)),"",(VLOOKUP($B84,'B-1 Site Hedge Baseline'!$B$1:$L$257,10,FALSE))))</f>
        <v/>
      </c>
      <c r="J84" s="520" t="str">
        <f>IF(B84="","",IF(ISNA(VLOOKUP($B84,'B-1 Site Hedge Baseline'!$B$1:$L$257,11,FALSE)),"",(VLOOKUP($B84,'B-1 Site Hedge Baseline'!$B$1:$L$257,11,FALSE))))</f>
        <v/>
      </c>
      <c r="K84" s="520" t="str">
        <f>IF(B84="","",IF(ISNA(VLOOKUP($B84,'B-1 Site Hedge Baseline'!$B$1:$U$257,13,FALSE)),"",(VLOOKUP($B84,'B-1 Site Hedge Baseline'!$B$1:$U$257,13,FALSE))))</f>
        <v/>
      </c>
      <c r="L84" s="524" t="str">
        <f>IF(B84="","",IF(ISNA(VLOOKUP($B84,'B-1 Site Hedge Baseline'!$B$1:$U$257,12,FALSE)),"",(VLOOKUP($B84,'B-1 Site Hedge Baseline'!$B$1:$U$257,12,FALSE))))</f>
        <v/>
      </c>
      <c r="M84" s="416" t="str">
        <f t="shared" si="15"/>
        <v/>
      </c>
      <c r="N84" s="498" t="str">
        <f>IFERROR(IF(B84="","",INDEX('G-6 Hedgerow Data'!$AN$3:$AZ$15,MATCH(C84,'G-6 Hedgerow Data'!$AM$3:$AM$15,0),MATCH(M84,'G-6 Hedgerow Data'!$AN$2:$AZ$2,0))),"")</f>
        <v/>
      </c>
      <c r="O84" s="499" t="str">
        <f t="shared" si="10"/>
        <v/>
      </c>
      <c r="P84" s="559" t="str">
        <f>IF(B84="","",VLOOKUP(B84,'B-1 Site Hedge Baseline'!$B$10:T329,16,FALSE))</f>
        <v/>
      </c>
      <c r="Q84" s="498" t="str">
        <f>IF(M84="","",VLOOKUP(M84,'G-6 Hedgerow Data'!$B$2:$AG$15,2,FALSE))</f>
        <v/>
      </c>
      <c r="R84" s="499" t="str">
        <f>IF(M84="","",VLOOKUP(M84,'G-6 Hedgerow Data'!$B$2:$AG$15,3,FALSE))</f>
        <v/>
      </c>
      <c r="S84" s="157"/>
      <c r="T84" s="540" t="str">
        <f>IFERROR(VLOOKUP(S84,'G-1 All Habitats'!$Z$2:$AA$9,2,FALSE),"")</f>
        <v/>
      </c>
      <c r="U84" s="154"/>
      <c r="V84" s="520" t="str">
        <f>IF(U84="","",IF(VLOOKUP(U84,'G-3 Multipliers'!$L$3:$N$6,2,FALSE)=0,"Spatial Data Missing ⚠",VLOOKUP(U84,'G-3 Multipliers'!$L$3:$N$6,2,FALSE)))</f>
        <v/>
      </c>
      <c r="W84" s="524"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8"/>
        <v/>
      </c>
      <c r="AD84" s="537" t="str">
        <f>IF(M84="","",VLOOKUP(M84,'G-6 Hedgerow Data'!$B$3:$AG$15,31,FALSE))</f>
        <v/>
      </c>
      <c r="AE84" s="507" t="str">
        <f t="shared" si="13"/>
        <v/>
      </c>
      <c r="AF84" s="507" t="str">
        <f t="shared" si="14"/>
        <v/>
      </c>
      <c r="AG84" s="524" t="str">
        <f>IFERROR(IF(O84="","",VLOOKUP(AD84,'G-3 Multipliers'!$P$3:$Q$6,2,FALSE)),"")</f>
        <v/>
      </c>
      <c r="AH84" s="513" t="str">
        <f t="shared" si="9"/>
        <v/>
      </c>
      <c r="AI84" s="231"/>
      <c r="AJ84" s="150"/>
      <c r="AT84" s="31" t="str">
        <f>IFERROR(INDEX('G-6 Hedgerow Data'!$BJ$3:$BJ$15,MATCH(M84,'G-6 Hedgerow Data'!$B$3:$B$15,0)),"")</f>
        <v/>
      </c>
    </row>
    <row r="85" spans="2:46" ht="13.8" x14ac:dyDescent="0.25">
      <c r="B85" s="531" t="str">
        <f>'B-1 Site Hedge Baseline'!AK83</f>
        <v/>
      </c>
      <c r="C85" s="520" t="str">
        <f>IF(B85="","",IF(ISNA(VLOOKUP($B85,'B-1 Site Hedge Baseline'!$B$1:$L$257,3,FALSE)),"",(VLOOKUP($B85,'B-1 Site Hedge Baseline'!$B$1:$L$257,3,FALSE))))</f>
        <v/>
      </c>
      <c r="D85" s="520" t="str">
        <f>IF(B85="","",IF(ISNA(VLOOKUP($B85,'B-1 Site Hedge Baseline'!$B$1:$L$257,4,FALSE)),"",(VLOOKUP($B85,'B-1 Site Hedge Baseline'!$B$1:$L$257,4,FALSE))))</f>
        <v/>
      </c>
      <c r="E85" s="520" t="str">
        <f>IF(B85="","",IF(ISNA(VLOOKUP($B85,'B-1 Site Hedge Baseline'!$B$1:$L$257,5,FALSE)),"",(VLOOKUP($B85,'B-1 Site Hedge Baseline'!$B$1:$L$257,5,FALSE))))</f>
        <v/>
      </c>
      <c r="F85" s="520" t="str">
        <f>IF(B85="","",IF(ISNA(VLOOKUP($B85,'B-1 Site Hedge Baseline'!$B$1:$L$257,6,FALSE)),"",(VLOOKUP($B85,'B-1 Site Hedge Baseline'!$B$1:$L$257,6,FALSE))))</f>
        <v/>
      </c>
      <c r="G85" s="520" t="str">
        <f>IF(B85="","",IF(ISNA(VLOOKUP($B85,'B-1 Site Hedge Baseline'!$B$1:$L$257,7,FALSE)),"",(VLOOKUP($B85,'B-1 Site Hedge Baseline'!$B$1:$L$257,7,FALSE))))</f>
        <v/>
      </c>
      <c r="H85" s="520" t="str">
        <f>IF(B85="","",IF(ISNA(VLOOKUP($B85,'B-1 Site Hedge Baseline'!$B$1:$L$257,8,FALSE)),"",(VLOOKUP($B85,'B-1 Site Hedge Baseline'!$B$1:$L$257,8,FALSE))))</f>
        <v/>
      </c>
      <c r="I85" s="520" t="str">
        <f>IF(B85="","",IF(ISNA(VLOOKUP($B85,'B-1 Site Hedge Baseline'!$B$1:$L$257,10,FALSE)),"",(VLOOKUP($B85,'B-1 Site Hedge Baseline'!$B$1:$L$257,10,FALSE))))</f>
        <v/>
      </c>
      <c r="J85" s="520" t="str">
        <f>IF(B85="","",IF(ISNA(VLOOKUP($B85,'B-1 Site Hedge Baseline'!$B$1:$L$257,11,FALSE)),"",(VLOOKUP($B85,'B-1 Site Hedge Baseline'!$B$1:$L$257,11,FALSE))))</f>
        <v/>
      </c>
      <c r="K85" s="520" t="str">
        <f>IF(B85="","",IF(ISNA(VLOOKUP($B85,'B-1 Site Hedge Baseline'!$B$1:$U$257,13,FALSE)),"",(VLOOKUP($B85,'B-1 Site Hedge Baseline'!$B$1:$U$257,13,FALSE))))</f>
        <v/>
      </c>
      <c r="L85" s="524" t="str">
        <f>IF(B85="","",IF(ISNA(VLOOKUP($B85,'B-1 Site Hedge Baseline'!$B$1:$U$257,12,FALSE)),"",(VLOOKUP($B85,'B-1 Site Hedge Baseline'!$B$1:$U$257,12,FALSE))))</f>
        <v/>
      </c>
      <c r="M85" s="416" t="str">
        <f t="shared" si="15"/>
        <v/>
      </c>
      <c r="N85" s="498" t="str">
        <f>IFERROR(IF(B85="","",INDEX('G-6 Hedgerow Data'!$AN$3:$AZ$15,MATCH(C85,'G-6 Hedgerow Data'!$AM$3:$AM$15,0),MATCH(M85,'G-6 Hedgerow Data'!$AN$2:$AZ$2,0))),"")</f>
        <v/>
      </c>
      <c r="O85" s="499" t="str">
        <f t="shared" si="10"/>
        <v/>
      </c>
      <c r="P85" s="559" t="str">
        <f>IF(B85="","",VLOOKUP(B85,'B-1 Site Hedge Baseline'!$B$10:T330,16,FALSE))</f>
        <v/>
      </c>
      <c r="Q85" s="498" t="str">
        <f>IF(M85="","",VLOOKUP(M85,'G-6 Hedgerow Data'!$B$2:$AG$15,2,FALSE))</f>
        <v/>
      </c>
      <c r="R85" s="499" t="str">
        <f>IF(M85="","",VLOOKUP(M85,'G-6 Hedgerow Data'!$B$2:$AG$15,3,FALSE))</f>
        <v/>
      </c>
      <c r="S85" s="157"/>
      <c r="T85" s="540" t="str">
        <f>IFERROR(VLOOKUP(S85,'G-1 All Habitats'!$Z$2:$AA$9,2,FALSE),"")</f>
        <v/>
      </c>
      <c r="U85" s="154"/>
      <c r="V85" s="520" t="str">
        <f>IF(U85="","",IF(VLOOKUP(U85,'G-3 Multipliers'!$L$3:$N$6,2,FALSE)=0,"Spatial Data Missing ⚠",VLOOKUP(U85,'G-3 Multipliers'!$L$3:$N$6,2,FALSE)))</f>
        <v/>
      </c>
      <c r="W85" s="524"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8"/>
        <v/>
      </c>
      <c r="AD85" s="537" t="str">
        <f>IF(M85="","",VLOOKUP(M85,'G-6 Hedgerow Data'!$B$3:$AG$15,31,FALSE))</f>
        <v/>
      </c>
      <c r="AE85" s="507" t="str">
        <f t="shared" si="13"/>
        <v/>
      </c>
      <c r="AF85" s="507" t="str">
        <f t="shared" si="14"/>
        <v/>
      </c>
      <c r="AG85" s="524" t="str">
        <f>IFERROR(IF(O85="","",VLOOKUP(AD85,'G-3 Multipliers'!$P$3:$Q$6,2,FALSE)),"")</f>
        <v/>
      </c>
      <c r="AH85" s="513" t="str">
        <f t="shared" si="9"/>
        <v/>
      </c>
      <c r="AI85" s="231"/>
      <c r="AJ85" s="150"/>
      <c r="AT85" s="31" t="str">
        <f>IFERROR(INDEX('G-6 Hedgerow Data'!$BJ$3:$BJ$15,MATCH(M85,'G-6 Hedgerow Data'!$B$3:$B$15,0)),"")</f>
        <v/>
      </c>
    </row>
    <row r="86" spans="2:46" ht="13.8" x14ac:dyDescent="0.25">
      <c r="B86" s="531" t="str">
        <f>'B-1 Site Hedge Baseline'!AK84</f>
        <v/>
      </c>
      <c r="C86" s="520" t="str">
        <f>IF(B86="","",IF(ISNA(VLOOKUP($B86,'B-1 Site Hedge Baseline'!$B$1:$L$257,3,FALSE)),"",(VLOOKUP($B86,'B-1 Site Hedge Baseline'!$B$1:$L$257,3,FALSE))))</f>
        <v/>
      </c>
      <c r="D86" s="520" t="str">
        <f>IF(B86="","",IF(ISNA(VLOOKUP($B86,'B-1 Site Hedge Baseline'!$B$1:$L$257,4,FALSE)),"",(VLOOKUP($B86,'B-1 Site Hedge Baseline'!$B$1:$L$257,4,FALSE))))</f>
        <v/>
      </c>
      <c r="E86" s="520" t="str">
        <f>IF(B86="","",IF(ISNA(VLOOKUP($B86,'B-1 Site Hedge Baseline'!$B$1:$L$257,5,FALSE)),"",(VLOOKUP($B86,'B-1 Site Hedge Baseline'!$B$1:$L$257,5,FALSE))))</f>
        <v/>
      </c>
      <c r="F86" s="520" t="str">
        <f>IF(B86="","",IF(ISNA(VLOOKUP($B86,'B-1 Site Hedge Baseline'!$B$1:$L$257,6,FALSE)),"",(VLOOKUP($B86,'B-1 Site Hedge Baseline'!$B$1:$L$257,6,FALSE))))</f>
        <v/>
      </c>
      <c r="G86" s="520" t="str">
        <f>IF(B86="","",IF(ISNA(VLOOKUP($B86,'B-1 Site Hedge Baseline'!$B$1:$L$257,7,FALSE)),"",(VLOOKUP($B86,'B-1 Site Hedge Baseline'!$B$1:$L$257,7,FALSE))))</f>
        <v/>
      </c>
      <c r="H86" s="520" t="str">
        <f>IF(B86="","",IF(ISNA(VLOOKUP($B86,'B-1 Site Hedge Baseline'!$B$1:$L$257,8,FALSE)),"",(VLOOKUP($B86,'B-1 Site Hedge Baseline'!$B$1:$L$257,8,FALSE))))</f>
        <v/>
      </c>
      <c r="I86" s="520" t="str">
        <f>IF(B86="","",IF(ISNA(VLOOKUP($B86,'B-1 Site Hedge Baseline'!$B$1:$L$257,10,FALSE)),"",(VLOOKUP($B86,'B-1 Site Hedge Baseline'!$B$1:$L$257,10,FALSE))))</f>
        <v/>
      </c>
      <c r="J86" s="520" t="str">
        <f>IF(B86="","",IF(ISNA(VLOOKUP($B86,'B-1 Site Hedge Baseline'!$B$1:$L$257,11,FALSE)),"",(VLOOKUP($B86,'B-1 Site Hedge Baseline'!$B$1:$L$257,11,FALSE))))</f>
        <v/>
      </c>
      <c r="K86" s="520" t="str">
        <f>IF(B86="","",IF(ISNA(VLOOKUP($B86,'B-1 Site Hedge Baseline'!$B$1:$U$257,13,FALSE)),"",(VLOOKUP($B86,'B-1 Site Hedge Baseline'!$B$1:$U$257,13,FALSE))))</f>
        <v/>
      </c>
      <c r="L86" s="524" t="str">
        <f>IF(B86="","",IF(ISNA(VLOOKUP($B86,'B-1 Site Hedge Baseline'!$B$1:$U$257,12,FALSE)),"",(VLOOKUP($B86,'B-1 Site Hedge Baseline'!$B$1:$U$257,12,FALSE))))</f>
        <v/>
      </c>
      <c r="M86" s="416" t="str">
        <f t="shared" si="15"/>
        <v/>
      </c>
      <c r="N86" s="498" t="str">
        <f>IFERROR(IF(B86="","",INDEX('G-6 Hedgerow Data'!$AN$3:$AZ$15,MATCH(C86,'G-6 Hedgerow Data'!$AM$3:$AM$15,0),MATCH(M86,'G-6 Hedgerow Data'!$AN$2:$AZ$2,0))),"")</f>
        <v/>
      </c>
      <c r="O86" s="499" t="str">
        <f t="shared" si="10"/>
        <v/>
      </c>
      <c r="P86" s="559" t="str">
        <f>IF(B86="","",VLOOKUP(B86,'B-1 Site Hedge Baseline'!$B$10:T331,16,FALSE))</f>
        <v/>
      </c>
      <c r="Q86" s="498" t="str">
        <f>IF(M86="","",VLOOKUP(M86,'G-6 Hedgerow Data'!$B$2:$AG$15,2,FALSE))</f>
        <v/>
      </c>
      <c r="R86" s="499" t="str">
        <f>IF(M86="","",VLOOKUP(M86,'G-6 Hedgerow Data'!$B$2:$AG$15,3,FALSE))</f>
        <v/>
      </c>
      <c r="S86" s="157"/>
      <c r="T86" s="540" t="str">
        <f>IFERROR(VLOOKUP(S86,'G-1 All Habitats'!$Z$2:$AA$9,2,FALSE),"")</f>
        <v/>
      </c>
      <c r="U86" s="154"/>
      <c r="V86" s="520" t="str">
        <f>IF(U86="","",IF(VLOOKUP(U86,'G-3 Multipliers'!$L$3:$N$6,2,FALSE)=0,"Spatial Data Missing ⚠",VLOOKUP(U86,'G-3 Multipliers'!$L$3:$N$6,2,FALSE)))</f>
        <v/>
      </c>
      <c r="W86" s="524"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8"/>
        <v/>
      </c>
      <c r="AD86" s="537" t="str">
        <f>IF(M86="","",VLOOKUP(M86,'G-6 Hedgerow Data'!$B$3:$AG$15,31,FALSE))</f>
        <v/>
      </c>
      <c r="AE86" s="507" t="str">
        <f t="shared" si="13"/>
        <v/>
      </c>
      <c r="AF86" s="507" t="str">
        <f t="shared" si="14"/>
        <v/>
      </c>
      <c r="AG86" s="524" t="str">
        <f>IFERROR(IF(O86="","",VLOOKUP(AD86,'G-3 Multipliers'!$P$3:$Q$6,2,FALSE)),"")</f>
        <v/>
      </c>
      <c r="AH86" s="513" t="str">
        <f t="shared" si="9"/>
        <v/>
      </c>
      <c r="AI86" s="231"/>
      <c r="AJ86" s="150"/>
      <c r="AT86" s="31" t="str">
        <f>IFERROR(INDEX('G-6 Hedgerow Data'!$BJ$3:$BJ$15,MATCH(M86,'G-6 Hedgerow Data'!$B$3:$B$15,0)),"")</f>
        <v/>
      </c>
    </row>
    <row r="87" spans="2:46" ht="13.8" x14ac:dyDescent="0.25">
      <c r="B87" s="531" t="str">
        <f>'B-1 Site Hedge Baseline'!AK85</f>
        <v/>
      </c>
      <c r="C87" s="520" t="str">
        <f>IF(B87="","",IF(ISNA(VLOOKUP($B87,'B-1 Site Hedge Baseline'!$B$1:$L$257,3,FALSE)),"",(VLOOKUP($B87,'B-1 Site Hedge Baseline'!$B$1:$L$257,3,FALSE))))</f>
        <v/>
      </c>
      <c r="D87" s="520" t="str">
        <f>IF(B87="","",IF(ISNA(VLOOKUP($B87,'B-1 Site Hedge Baseline'!$B$1:$L$257,4,FALSE)),"",(VLOOKUP($B87,'B-1 Site Hedge Baseline'!$B$1:$L$257,4,FALSE))))</f>
        <v/>
      </c>
      <c r="E87" s="520" t="str">
        <f>IF(B87="","",IF(ISNA(VLOOKUP($B87,'B-1 Site Hedge Baseline'!$B$1:$L$257,5,FALSE)),"",(VLOOKUP($B87,'B-1 Site Hedge Baseline'!$B$1:$L$257,5,FALSE))))</f>
        <v/>
      </c>
      <c r="F87" s="520" t="str">
        <f>IF(B87="","",IF(ISNA(VLOOKUP($B87,'B-1 Site Hedge Baseline'!$B$1:$L$257,6,FALSE)),"",(VLOOKUP($B87,'B-1 Site Hedge Baseline'!$B$1:$L$257,6,FALSE))))</f>
        <v/>
      </c>
      <c r="G87" s="520" t="str">
        <f>IF(B87="","",IF(ISNA(VLOOKUP($B87,'B-1 Site Hedge Baseline'!$B$1:$L$257,7,FALSE)),"",(VLOOKUP($B87,'B-1 Site Hedge Baseline'!$B$1:$L$257,7,FALSE))))</f>
        <v/>
      </c>
      <c r="H87" s="520" t="str">
        <f>IF(B87="","",IF(ISNA(VLOOKUP($B87,'B-1 Site Hedge Baseline'!$B$1:$L$257,8,FALSE)),"",(VLOOKUP($B87,'B-1 Site Hedge Baseline'!$B$1:$L$257,8,FALSE))))</f>
        <v/>
      </c>
      <c r="I87" s="520" t="str">
        <f>IF(B87="","",IF(ISNA(VLOOKUP($B87,'B-1 Site Hedge Baseline'!$B$1:$L$257,10,FALSE)),"",(VLOOKUP($B87,'B-1 Site Hedge Baseline'!$B$1:$L$257,10,FALSE))))</f>
        <v/>
      </c>
      <c r="J87" s="520" t="str">
        <f>IF(B87="","",IF(ISNA(VLOOKUP($B87,'B-1 Site Hedge Baseline'!$B$1:$L$257,11,FALSE)),"",(VLOOKUP($B87,'B-1 Site Hedge Baseline'!$B$1:$L$257,11,FALSE))))</f>
        <v/>
      </c>
      <c r="K87" s="520" t="str">
        <f>IF(B87="","",IF(ISNA(VLOOKUP($B87,'B-1 Site Hedge Baseline'!$B$1:$U$257,13,FALSE)),"",(VLOOKUP($B87,'B-1 Site Hedge Baseline'!$B$1:$U$257,13,FALSE))))</f>
        <v/>
      </c>
      <c r="L87" s="524" t="str">
        <f>IF(B87="","",IF(ISNA(VLOOKUP($B87,'B-1 Site Hedge Baseline'!$B$1:$U$257,12,FALSE)),"",(VLOOKUP($B87,'B-1 Site Hedge Baseline'!$B$1:$U$257,12,FALSE))))</f>
        <v/>
      </c>
      <c r="M87" s="416" t="str">
        <f t="shared" si="15"/>
        <v/>
      </c>
      <c r="N87" s="498" t="str">
        <f>IFERROR(IF(B87="","",INDEX('G-6 Hedgerow Data'!$AN$3:$AZ$15,MATCH(C87,'G-6 Hedgerow Data'!$AM$3:$AM$15,0),MATCH(M87,'G-6 Hedgerow Data'!$AN$2:$AZ$2,0))),"")</f>
        <v/>
      </c>
      <c r="O87" s="499" t="str">
        <f t="shared" si="10"/>
        <v/>
      </c>
      <c r="P87" s="559" t="str">
        <f>IF(B87="","",VLOOKUP(B87,'B-1 Site Hedge Baseline'!$B$10:T332,16,FALSE))</f>
        <v/>
      </c>
      <c r="Q87" s="498" t="str">
        <f>IF(M87="","",VLOOKUP(M87,'G-6 Hedgerow Data'!$B$2:$AG$15,2,FALSE))</f>
        <v/>
      </c>
      <c r="R87" s="499" t="str">
        <f>IF(M87="","",VLOOKUP(M87,'G-6 Hedgerow Data'!$B$2:$AG$15,3,FALSE))</f>
        <v/>
      </c>
      <c r="S87" s="157"/>
      <c r="T87" s="540" t="str">
        <f>IFERROR(VLOOKUP(S87,'G-1 All Habitats'!$Z$2:$AA$9,2,FALSE),"")</f>
        <v/>
      </c>
      <c r="U87" s="154"/>
      <c r="V87" s="520" t="str">
        <f>IF(U87="","",IF(VLOOKUP(U87,'G-3 Multipliers'!$L$3:$N$6,2,FALSE)=0,"Spatial Data Missing ⚠",VLOOKUP(U87,'G-3 Multipliers'!$L$3:$N$6,2,FALSE)))</f>
        <v/>
      </c>
      <c r="W87" s="524"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8"/>
        <v/>
      </c>
      <c r="AD87" s="537" t="str">
        <f>IF(M87="","",VLOOKUP(M87,'G-6 Hedgerow Data'!$B$3:$AG$15,31,FALSE))</f>
        <v/>
      </c>
      <c r="AE87" s="507" t="str">
        <f t="shared" si="13"/>
        <v/>
      </c>
      <c r="AF87" s="507" t="str">
        <f t="shared" si="14"/>
        <v/>
      </c>
      <c r="AG87" s="524" t="str">
        <f>IFERROR(IF(O87="","",VLOOKUP(AD87,'G-3 Multipliers'!$P$3:$Q$6,2,FALSE)),"")</f>
        <v/>
      </c>
      <c r="AH87" s="513" t="str">
        <f t="shared" si="9"/>
        <v/>
      </c>
      <c r="AI87" s="231"/>
      <c r="AJ87" s="150"/>
      <c r="AT87" s="31" t="str">
        <f>IFERROR(INDEX('G-6 Hedgerow Data'!$BJ$3:$BJ$15,MATCH(M87,'G-6 Hedgerow Data'!$B$3:$B$15,0)),"")</f>
        <v/>
      </c>
    </row>
    <row r="88" spans="2:46" ht="13.8" x14ac:dyDescent="0.25">
      <c r="B88" s="531" t="str">
        <f>'B-1 Site Hedge Baseline'!AK86</f>
        <v/>
      </c>
      <c r="C88" s="520" t="str">
        <f>IF(B88="","",IF(ISNA(VLOOKUP($B88,'B-1 Site Hedge Baseline'!$B$1:$L$257,3,FALSE)),"",(VLOOKUP($B88,'B-1 Site Hedge Baseline'!$B$1:$L$257,3,FALSE))))</f>
        <v/>
      </c>
      <c r="D88" s="520" t="str">
        <f>IF(B88="","",IF(ISNA(VLOOKUP($B88,'B-1 Site Hedge Baseline'!$B$1:$L$257,4,FALSE)),"",(VLOOKUP($B88,'B-1 Site Hedge Baseline'!$B$1:$L$257,4,FALSE))))</f>
        <v/>
      </c>
      <c r="E88" s="520" t="str">
        <f>IF(B88="","",IF(ISNA(VLOOKUP($B88,'B-1 Site Hedge Baseline'!$B$1:$L$257,5,FALSE)),"",(VLOOKUP($B88,'B-1 Site Hedge Baseline'!$B$1:$L$257,5,FALSE))))</f>
        <v/>
      </c>
      <c r="F88" s="520" t="str">
        <f>IF(B88="","",IF(ISNA(VLOOKUP($B88,'B-1 Site Hedge Baseline'!$B$1:$L$257,6,FALSE)),"",(VLOOKUP($B88,'B-1 Site Hedge Baseline'!$B$1:$L$257,6,FALSE))))</f>
        <v/>
      </c>
      <c r="G88" s="520" t="str">
        <f>IF(B88="","",IF(ISNA(VLOOKUP($B88,'B-1 Site Hedge Baseline'!$B$1:$L$257,7,FALSE)),"",(VLOOKUP($B88,'B-1 Site Hedge Baseline'!$B$1:$L$257,7,FALSE))))</f>
        <v/>
      </c>
      <c r="H88" s="520" t="str">
        <f>IF(B88="","",IF(ISNA(VLOOKUP($B88,'B-1 Site Hedge Baseline'!$B$1:$L$257,8,FALSE)),"",(VLOOKUP($B88,'B-1 Site Hedge Baseline'!$B$1:$L$257,8,FALSE))))</f>
        <v/>
      </c>
      <c r="I88" s="520" t="str">
        <f>IF(B88="","",IF(ISNA(VLOOKUP($B88,'B-1 Site Hedge Baseline'!$B$1:$L$257,10,FALSE)),"",(VLOOKUP($B88,'B-1 Site Hedge Baseline'!$B$1:$L$257,10,FALSE))))</f>
        <v/>
      </c>
      <c r="J88" s="520" t="str">
        <f>IF(B88="","",IF(ISNA(VLOOKUP($B88,'B-1 Site Hedge Baseline'!$B$1:$L$257,11,FALSE)),"",(VLOOKUP($B88,'B-1 Site Hedge Baseline'!$B$1:$L$257,11,FALSE))))</f>
        <v/>
      </c>
      <c r="K88" s="520" t="str">
        <f>IF(B88="","",IF(ISNA(VLOOKUP($B88,'B-1 Site Hedge Baseline'!$B$1:$U$257,13,FALSE)),"",(VLOOKUP($B88,'B-1 Site Hedge Baseline'!$B$1:$U$257,13,FALSE))))</f>
        <v/>
      </c>
      <c r="L88" s="524" t="str">
        <f>IF(B88="","",IF(ISNA(VLOOKUP($B88,'B-1 Site Hedge Baseline'!$B$1:$U$257,12,FALSE)),"",(VLOOKUP($B88,'B-1 Site Hedge Baseline'!$B$1:$U$257,12,FALSE))))</f>
        <v/>
      </c>
      <c r="M88" s="416" t="str">
        <f t="shared" si="15"/>
        <v/>
      </c>
      <c r="N88" s="498" t="str">
        <f>IFERROR(IF(B88="","",INDEX('G-6 Hedgerow Data'!$AN$3:$AZ$15,MATCH(C88,'G-6 Hedgerow Data'!$AM$3:$AM$15,0),MATCH(M88,'G-6 Hedgerow Data'!$AN$2:$AZ$2,0))),"")</f>
        <v/>
      </c>
      <c r="O88" s="499" t="str">
        <f t="shared" si="10"/>
        <v/>
      </c>
      <c r="P88" s="559" t="str">
        <f>IF(B88="","",VLOOKUP(B88,'B-1 Site Hedge Baseline'!$B$10:T333,16,FALSE))</f>
        <v/>
      </c>
      <c r="Q88" s="498" t="str">
        <f>IF(M88="","",VLOOKUP(M88,'G-6 Hedgerow Data'!$B$2:$AG$15,2,FALSE))</f>
        <v/>
      </c>
      <c r="R88" s="499" t="str">
        <f>IF(M88="","",VLOOKUP(M88,'G-6 Hedgerow Data'!$B$2:$AG$15,3,FALSE))</f>
        <v/>
      </c>
      <c r="S88" s="157"/>
      <c r="T88" s="540" t="str">
        <f>IFERROR(VLOOKUP(S88,'G-1 All Habitats'!$Z$2:$AA$9,2,FALSE),"")</f>
        <v/>
      </c>
      <c r="U88" s="154"/>
      <c r="V88" s="520" t="str">
        <f>IF(U88="","",IF(VLOOKUP(U88,'G-3 Multipliers'!$L$3:$N$6,2,FALSE)=0,"Spatial Data Missing ⚠",VLOOKUP(U88,'G-3 Multipliers'!$L$3:$N$6,2,FALSE)))</f>
        <v/>
      </c>
      <c r="W88" s="524"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8"/>
        <v/>
      </c>
      <c r="AD88" s="537" t="str">
        <f>IF(M88="","",VLOOKUP(M88,'G-6 Hedgerow Data'!$B$3:$AG$15,31,FALSE))</f>
        <v/>
      </c>
      <c r="AE88" s="507" t="str">
        <f t="shared" si="13"/>
        <v/>
      </c>
      <c r="AF88" s="507" t="str">
        <f t="shared" si="14"/>
        <v/>
      </c>
      <c r="AG88" s="524" t="str">
        <f>IFERROR(IF(O88="","",VLOOKUP(AD88,'G-3 Multipliers'!$P$3:$Q$6,2,FALSE)),"")</f>
        <v/>
      </c>
      <c r="AH88" s="513" t="str">
        <f t="shared" si="9"/>
        <v/>
      </c>
      <c r="AI88" s="231"/>
      <c r="AJ88" s="150"/>
      <c r="AT88" s="31" t="str">
        <f>IFERROR(INDEX('G-6 Hedgerow Data'!$BJ$3:$BJ$15,MATCH(M88,'G-6 Hedgerow Data'!$B$3:$B$15,0)),"")</f>
        <v/>
      </c>
    </row>
    <row r="89" spans="2:46" ht="13.8" x14ac:dyDescent="0.25">
      <c r="B89" s="531" t="str">
        <f>'B-1 Site Hedge Baseline'!AK87</f>
        <v/>
      </c>
      <c r="C89" s="520" t="str">
        <f>IF(B89="","",IF(ISNA(VLOOKUP($B89,'B-1 Site Hedge Baseline'!$B$1:$L$257,3,FALSE)),"",(VLOOKUP($B89,'B-1 Site Hedge Baseline'!$B$1:$L$257,3,FALSE))))</f>
        <v/>
      </c>
      <c r="D89" s="520" t="str">
        <f>IF(B89="","",IF(ISNA(VLOOKUP($B89,'B-1 Site Hedge Baseline'!$B$1:$L$257,4,FALSE)),"",(VLOOKUP($B89,'B-1 Site Hedge Baseline'!$B$1:$L$257,4,FALSE))))</f>
        <v/>
      </c>
      <c r="E89" s="520" t="str">
        <f>IF(B89="","",IF(ISNA(VLOOKUP($B89,'B-1 Site Hedge Baseline'!$B$1:$L$257,5,FALSE)),"",(VLOOKUP($B89,'B-1 Site Hedge Baseline'!$B$1:$L$257,5,FALSE))))</f>
        <v/>
      </c>
      <c r="F89" s="520" t="str">
        <f>IF(B89="","",IF(ISNA(VLOOKUP($B89,'B-1 Site Hedge Baseline'!$B$1:$L$257,6,FALSE)),"",(VLOOKUP($B89,'B-1 Site Hedge Baseline'!$B$1:$L$257,6,FALSE))))</f>
        <v/>
      </c>
      <c r="G89" s="520" t="str">
        <f>IF(B89="","",IF(ISNA(VLOOKUP($B89,'B-1 Site Hedge Baseline'!$B$1:$L$257,7,FALSE)),"",(VLOOKUP($B89,'B-1 Site Hedge Baseline'!$B$1:$L$257,7,FALSE))))</f>
        <v/>
      </c>
      <c r="H89" s="520" t="str">
        <f>IF(B89="","",IF(ISNA(VLOOKUP($B89,'B-1 Site Hedge Baseline'!$B$1:$L$257,8,FALSE)),"",(VLOOKUP($B89,'B-1 Site Hedge Baseline'!$B$1:$L$257,8,FALSE))))</f>
        <v/>
      </c>
      <c r="I89" s="520" t="str">
        <f>IF(B89="","",IF(ISNA(VLOOKUP($B89,'B-1 Site Hedge Baseline'!$B$1:$L$257,10,FALSE)),"",(VLOOKUP($B89,'B-1 Site Hedge Baseline'!$B$1:$L$257,10,FALSE))))</f>
        <v/>
      </c>
      <c r="J89" s="520" t="str">
        <f>IF(B89="","",IF(ISNA(VLOOKUP($B89,'B-1 Site Hedge Baseline'!$B$1:$L$257,11,FALSE)),"",(VLOOKUP($B89,'B-1 Site Hedge Baseline'!$B$1:$L$257,11,FALSE))))</f>
        <v/>
      </c>
      <c r="K89" s="520" t="str">
        <f>IF(B89="","",IF(ISNA(VLOOKUP($B89,'B-1 Site Hedge Baseline'!$B$1:$U$257,13,FALSE)),"",(VLOOKUP($B89,'B-1 Site Hedge Baseline'!$B$1:$U$257,13,FALSE))))</f>
        <v/>
      </c>
      <c r="L89" s="524" t="str">
        <f>IF(B89="","",IF(ISNA(VLOOKUP($B89,'B-1 Site Hedge Baseline'!$B$1:$U$257,12,FALSE)),"",(VLOOKUP($B89,'B-1 Site Hedge Baseline'!$B$1:$U$257,12,FALSE))))</f>
        <v/>
      </c>
      <c r="M89" s="416" t="str">
        <f t="shared" si="15"/>
        <v/>
      </c>
      <c r="N89" s="498" t="str">
        <f>IFERROR(IF(B89="","",INDEX('G-6 Hedgerow Data'!$AN$3:$AZ$15,MATCH(C89,'G-6 Hedgerow Data'!$AM$3:$AM$15,0),MATCH(M89,'G-6 Hedgerow Data'!$AN$2:$AZ$2,0))),"")</f>
        <v/>
      </c>
      <c r="O89" s="499" t="str">
        <f t="shared" si="10"/>
        <v/>
      </c>
      <c r="P89" s="559" t="str">
        <f>IF(B89="","",VLOOKUP(B89,'B-1 Site Hedge Baseline'!$B$10:T334,16,FALSE))</f>
        <v/>
      </c>
      <c r="Q89" s="498" t="str">
        <f>IF(M89="","",VLOOKUP(M89,'G-6 Hedgerow Data'!$B$2:$AG$15,2,FALSE))</f>
        <v/>
      </c>
      <c r="R89" s="499" t="str">
        <f>IF(M89="","",VLOOKUP(M89,'G-6 Hedgerow Data'!$B$2:$AG$15,3,FALSE))</f>
        <v/>
      </c>
      <c r="S89" s="157"/>
      <c r="T89" s="540" t="str">
        <f>IFERROR(VLOOKUP(S89,'G-1 All Habitats'!$Z$2:$AA$9,2,FALSE),"")</f>
        <v/>
      </c>
      <c r="U89" s="154"/>
      <c r="V89" s="520" t="str">
        <f>IF(U89="","",IF(VLOOKUP(U89,'G-3 Multipliers'!$L$3:$N$6,2,FALSE)=0,"Spatial Data Missing ⚠",VLOOKUP(U89,'G-3 Multipliers'!$L$3:$N$6,2,FALSE)))</f>
        <v/>
      </c>
      <c r="W89" s="524"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8"/>
        <v/>
      </c>
      <c r="AD89" s="537" t="str">
        <f>IF(M89="","",VLOOKUP(M89,'G-6 Hedgerow Data'!$B$3:$AG$15,31,FALSE))</f>
        <v/>
      </c>
      <c r="AE89" s="507" t="str">
        <f t="shared" si="13"/>
        <v/>
      </c>
      <c r="AF89" s="507" t="str">
        <f t="shared" si="14"/>
        <v/>
      </c>
      <c r="AG89" s="524" t="str">
        <f>IFERROR(IF(O89="","",VLOOKUP(AD89,'G-3 Multipliers'!$P$3:$Q$6,2,FALSE)),"")</f>
        <v/>
      </c>
      <c r="AH89" s="513" t="str">
        <f t="shared" si="9"/>
        <v/>
      </c>
      <c r="AI89" s="231"/>
      <c r="AJ89" s="150"/>
      <c r="AT89" s="31" t="str">
        <f>IFERROR(INDEX('G-6 Hedgerow Data'!$BJ$3:$BJ$15,MATCH(M89,'G-6 Hedgerow Data'!$B$3:$B$15,0)),"")</f>
        <v/>
      </c>
    </row>
    <row r="90" spans="2:46" ht="13.8" x14ac:dyDescent="0.25">
      <c r="B90" s="531" t="str">
        <f>'B-1 Site Hedge Baseline'!AK88</f>
        <v/>
      </c>
      <c r="C90" s="520" t="str">
        <f>IF(B90="","",IF(ISNA(VLOOKUP($B90,'B-1 Site Hedge Baseline'!$B$1:$L$257,3,FALSE)),"",(VLOOKUP($B90,'B-1 Site Hedge Baseline'!$B$1:$L$257,3,FALSE))))</f>
        <v/>
      </c>
      <c r="D90" s="520" t="str">
        <f>IF(B90="","",IF(ISNA(VLOOKUP($B90,'B-1 Site Hedge Baseline'!$B$1:$L$257,4,FALSE)),"",(VLOOKUP($B90,'B-1 Site Hedge Baseline'!$B$1:$L$257,4,FALSE))))</f>
        <v/>
      </c>
      <c r="E90" s="520" t="str">
        <f>IF(B90="","",IF(ISNA(VLOOKUP($B90,'B-1 Site Hedge Baseline'!$B$1:$L$257,5,FALSE)),"",(VLOOKUP($B90,'B-1 Site Hedge Baseline'!$B$1:$L$257,5,FALSE))))</f>
        <v/>
      </c>
      <c r="F90" s="520" t="str">
        <f>IF(B90="","",IF(ISNA(VLOOKUP($B90,'B-1 Site Hedge Baseline'!$B$1:$L$257,6,FALSE)),"",(VLOOKUP($B90,'B-1 Site Hedge Baseline'!$B$1:$L$257,6,FALSE))))</f>
        <v/>
      </c>
      <c r="G90" s="520" t="str">
        <f>IF(B90="","",IF(ISNA(VLOOKUP($B90,'B-1 Site Hedge Baseline'!$B$1:$L$257,7,FALSE)),"",(VLOOKUP($B90,'B-1 Site Hedge Baseline'!$B$1:$L$257,7,FALSE))))</f>
        <v/>
      </c>
      <c r="H90" s="520" t="str">
        <f>IF(B90="","",IF(ISNA(VLOOKUP($B90,'B-1 Site Hedge Baseline'!$B$1:$L$257,8,FALSE)),"",(VLOOKUP($B90,'B-1 Site Hedge Baseline'!$B$1:$L$257,8,FALSE))))</f>
        <v/>
      </c>
      <c r="I90" s="520" t="str">
        <f>IF(B90="","",IF(ISNA(VLOOKUP($B90,'B-1 Site Hedge Baseline'!$B$1:$L$257,10,FALSE)),"",(VLOOKUP($B90,'B-1 Site Hedge Baseline'!$B$1:$L$257,10,FALSE))))</f>
        <v/>
      </c>
      <c r="J90" s="520" t="str">
        <f>IF(B90="","",IF(ISNA(VLOOKUP($B90,'B-1 Site Hedge Baseline'!$B$1:$L$257,11,FALSE)),"",(VLOOKUP($B90,'B-1 Site Hedge Baseline'!$B$1:$L$257,11,FALSE))))</f>
        <v/>
      </c>
      <c r="K90" s="520" t="str">
        <f>IF(B90="","",IF(ISNA(VLOOKUP($B90,'B-1 Site Hedge Baseline'!$B$1:$U$257,13,FALSE)),"",(VLOOKUP($B90,'B-1 Site Hedge Baseline'!$B$1:$U$257,13,FALSE))))</f>
        <v/>
      </c>
      <c r="L90" s="524" t="str">
        <f>IF(B90="","",IF(ISNA(VLOOKUP($B90,'B-1 Site Hedge Baseline'!$B$1:$U$257,12,FALSE)),"",(VLOOKUP($B90,'B-1 Site Hedge Baseline'!$B$1:$U$257,12,FALSE))))</f>
        <v/>
      </c>
      <c r="M90" s="416" t="str">
        <f t="shared" si="15"/>
        <v/>
      </c>
      <c r="N90" s="498" t="str">
        <f>IFERROR(IF(B90="","",INDEX('G-6 Hedgerow Data'!$AN$3:$AZ$15,MATCH(C90,'G-6 Hedgerow Data'!$AM$3:$AM$15,0),MATCH(M90,'G-6 Hedgerow Data'!$AN$2:$AZ$2,0))),"")</f>
        <v/>
      </c>
      <c r="O90" s="499" t="str">
        <f t="shared" si="10"/>
        <v/>
      </c>
      <c r="P90" s="559" t="str">
        <f>IF(B90="","",VLOOKUP(B90,'B-1 Site Hedge Baseline'!$B$10:T335,16,FALSE))</f>
        <v/>
      </c>
      <c r="Q90" s="498" t="str">
        <f>IF(M90="","",VLOOKUP(M90,'G-6 Hedgerow Data'!$B$2:$AG$15,2,FALSE))</f>
        <v/>
      </c>
      <c r="R90" s="499" t="str">
        <f>IF(M90="","",VLOOKUP(M90,'G-6 Hedgerow Data'!$B$2:$AG$15,3,FALSE))</f>
        <v/>
      </c>
      <c r="S90" s="157"/>
      <c r="T90" s="540" t="str">
        <f>IFERROR(VLOOKUP(S90,'G-1 All Habitats'!$Z$2:$AA$9,2,FALSE),"")</f>
        <v/>
      </c>
      <c r="U90" s="154"/>
      <c r="V90" s="520" t="str">
        <f>IF(U90="","",IF(VLOOKUP(U90,'G-3 Multipliers'!$L$3:$N$6,2,FALSE)=0,"Spatial Data Missing ⚠",VLOOKUP(U90,'G-3 Multipliers'!$L$3:$N$6,2,FALSE)))</f>
        <v/>
      </c>
      <c r="W90" s="524"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8"/>
        <v/>
      </c>
      <c r="AD90" s="537" t="str">
        <f>IF(M90="","",VLOOKUP(M90,'G-6 Hedgerow Data'!$B$3:$AG$15,31,FALSE))</f>
        <v/>
      </c>
      <c r="AE90" s="507" t="str">
        <f t="shared" si="13"/>
        <v/>
      </c>
      <c r="AF90" s="507" t="str">
        <f t="shared" si="14"/>
        <v/>
      </c>
      <c r="AG90" s="524" t="str">
        <f>IFERROR(IF(O90="","",VLOOKUP(AD90,'G-3 Multipliers'!$P$3:$Q$6,2,FALSE)),"")</f>
        <v/>
      </c>
      <c r="AH90" s="513" t="str">
        <f t="shared" si="9"/>
        <v/>
      </c>
      <c r="AI90" s="231"/>
      <c r="AJ90" s="150"/>
      <c r="AT90" s="31" t="str">
        <f>IFERROR(INDEX('G-6 Hedgerow Data'!$BJ$3:$BJ$15,MATCH(M90,'G-6 Hedgerow Data'!$B$3:$B$15,0)),"")</f>
        <v/>
      </c>
    </row>
    <row r="91" spans="2:46" ht="13.8" x14ac:dyDescent="0.25">
      <c r="B91" s="531" t="str">
        <f>'B-1 Site Hedge Baseline'!AK89</f>
        <v/>
      </c>
      <c r="C91" s="520" t="str">
        <f>IF(B91="","",IF(ISNA(VLOOKUP($B91,'B-1 Site Hedge Baseline'!$B$1:$L$257,3,FALSE)),"",(VLOOKUP($B91,'B-1 Site Hedge Baseline'!$B$1:$L$257,3,FALSE))))</f>
        <v/>
      </c>
      <c r="D91" s="520" t="str">
        <f>IF(B91="","",IF(ISNA(VLOOKUP($B91,'B-1 Site Hedge Baseline'!$B$1:$L$257,4,FALSE)),"",(VLOOKUP($B91,'B-1 Site Hedge Baseline'!$B$1:$L$257,4,FALSE))))</f>
        <v/>
      </c>
      <c r="E91" s="520" t="str">
        <f>IF(B91="","",IF(ISNA(VLOOKUP($B91,'B-1 Site Hedge Baseline'!$B$1:$L$257,5,FALSE)),"",(VLOOKUP($B91,'B-1 Site Hedge Baseline'!$B$1:$L$257,5,FALSE))))</f>
        <v/>
      </c>
      <c r="F91" s="520" t="str">
        <f>IF(B91="","",IF(ISNA(VLOOKUP($B91,'B-1 Site Hedge Baseline'!$B$1:$L$257,6,FALSE)),"",(VLOOKUP($B91,'B-1 Site Hedge Baseline'!$B$1:$L$257,6,FALSE))))</f>
        <v/>
      </c>
      <c r="G91" s="520" t="str">
        <f>IF(B91="","",IF(ISNA(VLOOKUP($B91,'B-1 Site Hedge Baseline'!$B$1:$L$257,7,FALSE)),"",(VLOOKUP($B91,'B-1 Site Hedge Baseline'!$B$1:$L$257,7,FALSE))))</f>
        <v/>
      </c>
      <c r="H91" s="520" t="str">
        <f>IF(B91="","",IF(ISNA(VLOOKUP($B91,'B-1 Site Hedge Baseline'!$B$1:$L$257,8,FALSE)),"",(VLOOKUP($B91,'B-1 Site Hedge Baseline'!$B$1:$L$257,8,FALSE))))</f>
        <v/>
      </c>
      <c r="I91" s="520" t="str">
        <f>IF(B91="","",IF(ISNA(VLOOKUP($B91,'B-1 Site Hedge Baseline'!$B$1:$L$257,10,FALSE)),"",(VLOOKUP($B91,'B-1 Site Hedge Baseline'!$B$1:$L$257,10,FALSE))))</f>
        <v/>
      </c>
      <c r="J91" s="520" t="str">
        <f>IF(B91="","",IF(ISNA(VLOOKUP($B91,'B-1 Site Hedge Baseline'!$B$1:$L$257,11,FALSE)),"",(VLOOKUP($B91,'B-1 Site Hedge Baseline'!$B$1:$L$257,11,FALSE))))</f>
        <v/>
      </c>
      <c r="K91" s="520" t="str">
        <f>IF(B91="","",IF(ISNA(VLOOKUP($B91,'B-1 Site Hedge Baseline'!$B$1:$U$257,13,FALSE)),"",(VLOOKUP($B91,'B-1 Site Hedge Baseline'!$B$1:$U$257,13,FALSE))))</f>
        <v/>
      </c>
      <c r="L91" s="524" t="str">
        <f>IF(B91="","",IF(ISNA(VLOOKUP($B91,'B-1 Site Hedge Baseline'!$B$1:$U$257,12,FALSE)),"",(VLOOKUP($B91,'B-1 Site Hedge Baseline'!$B$1:$U$257,12,FALSE))))</f>
        <v/>
      </c>
      <c r="M91" s="416" t="str">
        <f t="shared" si="15"/>
        <v/>
      </c>
      <c r="N91" s="498" t="str">
        <f>IFERROR(IF(B91="","",INDEX('G-6 Hedgerow Data'!$AN$3:$AZ$15,MATCH(C91,'G-6 Hedgerow Data'!$AM$3:$AM$15,0),MATCH(M91,'G-6 Hedgerow Data'!$AN$2:$AZ$2,0))),"")</f>
        <v/>
      </c>
      <c r="O91" s="499" t="str">
        <f t="shared" si="10"/>
        <v/>
      </c>
      <c r="P91" s="559" t="str">
        <f>IF(B91="","",VLOOKUP(B91,'B-1 Site Hedge Baseline'!$B$10:T336,16,FALSE))</f>
        <v/>
      </c>
      <c r="Q91" s="498" t="str">
        <f>IF(M91="","",VLOOKUP(M91,'G-6 Hedgerow Data'!$B$2:$AG$15,2,FALSE))</f>
        <v/>
      </c>
      <c r="R91" s="499" t="str">
        <f>IF(M91="","",VLOOKUP(M91,'G-6 Hedgerow Data'!$B$2:$AG$15,3,FALSE))</f>
        <v/>
      </c>
      <c r="S91" s="157"/>
      <c r="T91" s="540" t="str">
        <f>IFERROR(VLOOKUP(S91,'G-1 All Habitats'!$Z$2:$AA$9,2,FALSE),"")</f>
        <v/>
      </c>
      <c r="U91" s="154"/>
      <c r="V91" s="520" t="str">
        <f>IF(U91="","",IF(VLOOKUP(U91,'G-3 Multipliers'!$L$3:$N$6,2,FALSE)=0,"Spatial Data Missing ⚠",VLOOKUP(U91,'G-3 Multipliers'!$L$3:$N$6,2,FALSE)))</f>
        <v/>
      </c>
      <c r="W91" s="524"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8"/>
        <v/>
      </c>
      <c r="AD91" s="537" t="str">
        <f>IF(M91="","",VLOOKUP(M91,'G-6 Hedgerow Data'!$B$3:$AG$15,31,FALSE))</f>
        <v/>
      </c>
      <c r="AE91" s="507" t="str">
        <f t="shared" si="13"/>
        <v/>
      </c>
      <c r="AF91" s="507" t="str">
        <f t="shared" si="14"/>
        <v/>
      </c>
      <c r="AG91" s="524" t="str">
        <f>IFERROR(IF(O91="","",VLOOKUP(AD91,'G-3 Multipliers'!$P$3:$Q$6,2,FALSE)),"")</f>
        <v/>
      </c>
      <c r="AH91" s="513" t="str">
        <f t="shared" si="9"/>
        <v/>
      </c>
      <c r="AI91" s="231"/>
      <c r="AJ91" s="150"/>
      <c r="AT91" s="31" t="str">
        <f>IFERROR(INDEX('G-6 Hedgerow Data'!$BJ$3:$BJ$15,MATCH(M91,'G-6 Hedgerow Data'!$B$3:$B$15,0)),"")</f>
        <v/>
      </c>
    </row>
    <row r="92" spans="2:46" ht="13.8" x14ac:dyDescent="0.25">
      <c r="B92" s="531" t="str">
        <f>'B-1 Site Hedge Baseline'!AK90</f>
        <v/>
      </c>
      <c r="C92" s="520" t="str">
        <f>IF(B92="","",IF(ISNA(VLOOKUP($B92,'B-1 Site Hedge Baseline'!$B$1:$L$257,3,FALSE)),"",(VLOOKUP($B92,'B-1 Site Hedge Baseline'!$B$1:$L$257,3,FALSE))))</f>
        <v/>
      </c>
      <c r="D92" s="520" t="str">
        <f>IF(B92="","",IF(ISNA(VLOOKUP($B92,'B-1 Site Hedge Baseline'!$B$1:$L$257,4,FALSE)),"",(VLOOKUP($B92,'B-1 Site Hedge Baseline'!$B$1:$L$257,4,FALSE))))</f>
        <v/>
      </c>
      <c r="E92" s="520" t="str">
        <f>IF(B92="","",IF(ISNA(VLOOKUP($B92,'B-1 Site Hedge Baseline'!$B$1:$L$257,5,FALSE)),"",(VLOOKUP($B92,'B-1 Site Hedge Baseline'!$B$1:$L$257,5,FALSE))))</f>
        <v/>
      </c>
      <c r="F92" s="520" t="str">
        <f>IF(B92="","",IF(ISNA(VLOOKUP($B92,'B-1 Site Hedge Baseline'!$B$1:$L$257,6,FALSE)),"",(VLOOKUP($B92,'B-1 Site Hedge Baseline'!$B$1:$L$257,6,FALSE))))</f>
        <v/>
      </c>
      <c r="G92" s="520" t="str">
        <f>IF(B92="","",IF(ISNA(VLOOKUP($B92,'B-1 Site Hedge Baseline'!$B$1:$L$257,7,FALSE)),"",(VLOOKUP($B92,'B-1 Site Hedge Baseline'!$B$1:$L$257,7,FALSE))))</f>
        <v/>
      </c>
      <c r="H92" s="520" t="str">
        <f>IF(B92="","",IF(ISNA(VLOOKUP($B92,'B-1 Site Hedge Baseline'!$B$1:$L$257,8,FALSE)),"",(VLOOKUP($B92,'B-1 Site Hedge Baseline'!$B$1:$L$257,8,FALSE))))</f>
        <v/>
      </c>
      <c r="I92" s="520" t="str">
        <f>IF(B92="","",IF(ISNA(VLOOKUP($B92,'B-1 Site Hedge Baseline'!$B$1:$L$257,10,FALSE)),"",(VLOOKUP($B92,'B-1 Site Hedge Baseline'!$B$1:$L$257,10,FALSE))))</f>
        <v/>
      </c>
      <c r="J92" s="520" t="str">
        <f>IF(B92="","",IF(ISNA(VLOOKUP($B92,'B-1 Site Hedge Baseline'!$B$1:$L$257,11,FALSE)),"",(VLOOKUP($B92,'B-1 Site Hedge Baseline'!$B$1:$L$257,11,FALSE))))</f>
        <v/>
      </c>
      <c r="K92" s="520" t="str">
        <f>IF(B92="","",IF(ISNA(VLOOKUP($B92,'B-1 Site Hedge Baseline'!$B$1:$U$257,13,FALSE)),"",(VLOOKUP($B92,'B-1 Site Hedge Baseline'!$B$1:$U$257,13,FALSE))))</f>
        <v/>
      </c>
      <c r="L92" s="524" t="str">
        <f>IF(B92="","",IF(ISNA(VLOOKUP($B92,'B-1 Site Hedge Baseline'!$B$1:$U$257,12,FALSE)),"",(VLOOKUP($B92,'B-1 Site Hedge Baseline'!$B$1:$U$257,12,FALSE))))</f>
        <v/>
      </c>
      <c r="M92" s="416" t="str">
        <f t="shared" si="15"/>
        <v/>
      </c>
      <c r="N92" s="498" t="str">
        <f>IFERROR(IF(B92="","",INDEX('G-6 Hedgerow Data'!$AN$3:$AZ$15,MATCH(C92,'G-6 Hedgerow Data'!$AM$3:$AM$15,0),MATCH(M92,'G-6 Hedgerow Data'!$AN$2:$AZ$2,0))),"")</f>
        <v/>
      </c>
      <c r="O92" s="499" t="str">
        <f t="shared" si="10"/>
        <v/>
      </c>
      <c r="P92" s="559" t="str">
        <f>IF(B92="","",VLOOKUP(B92,'B-1 Site Hedge Baseline'!$B$10:T337,16,FALSE))</f>
        <v/>
      </c>
      <c r="Q92" s="498" t="str">
        <f>IF(M92="","",VLOOKUP(M92,'G-6 Hedgerow Data'!$B$2:$AG$15,2,FALSE))</f>
        <v/>
      </c>
      <c r="R92" s="499" t="str">
        <f>IF(M92="","",VLOOKUP(M92,'G-6 Hedgerow Data'!$B$2:$AG$15,3,FALSE))</f>
        <v/>
      </c>
      <c r="S92" s="157"/>
      <c r="T92" s="540" t="str">
        <f>IFERROR(VLOOKUP(S92,'G-1 All Habitats'!$Z$2:$AA$9,2,FALSE),"")</f>
        <v/>
      </c>
      <c r="U92" s="154"/>
      <c r="V92" s="520" t="str">
        <f>IF(U92="","",IF(VLOOKUP(U92,'G-3 Multipliers'!$L$3:$N$6,2,FALSE)=0,"Spatial Data Missing ⚠",VLOOKUP(U92,'G-3 Multipliers'!$L$3:$N$6,2,FALSE)))</f>
        <v/>
      </c>
      <c r="W92" s="524"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8"/>
        <v/>
      </c>
      <c r="AD92" s="537" t="str">
        <f>IF(M92="","",VLOOKUP(M92,'G-6 Hedgerow Data'!$B$3:$AG$15,31,FALSE))</f>
        <v/>
      </c>
      <c r="AE92" s="507" t="str">
        <f t="shared" si="13"/>
        <v/>
      </c>
      <c r="AF92" s="507" t="str">
        <f t="shared" si="14"/>
        <v/>
      </c>
      <c r="AG92" s="524" t="str">
        <f>IFERROR(IF(O92="","",VLOOKUP(AD92,'G-3 Multipliers'!$P$3:$Q$6,2,FALSE)),"")</f>
        <v/>
      </c>
      <c r="AH92" s="513" t="str">
        <f t="shared" si="9"/>
        <v/>
      </c>
      <c r="AI92" s="231"/>
      <c r="AJ92" s="150"/>
      <c r="AT92" s="31" t="str">
        <f>IFERROR(INDEX('G-6 Hedgerow Data'!$BJ$3:$BJ$15,MATCH(M92,'G-6 Hedgerow Data'!$B$3:$B$15,0)),"")</f>
        <v/>
      </c>
    </row>
    <row r="93" spans="2:46" ht="13.8" x14ac:dyDescent="0.25">
      <c r="B93" s="531" t="str">
        <f>'B-1 Site Hedge Baseline'!AK91</f>
        <v/>
      </c>
      <c r="C93" s="520" t="str">
        <f>IF(B93="","",IF(ISNA(VLOOKUP($B93,'B-1 Site Hedge Baseline'!$B$1:$L$257,3,FALSE)),"",(VLOOKUP($B93,'B-1 Site Hedge Baseline'!$B$1:$L$257,3,FALSE))))</f>
        <v/>
      </c>
      <c r="D93" s="520" t="str">
        <f>IF(B93="","",IF(ISNA(VLOOKUP($B93,'B-1 Site Hedge Baseline'!$B$1:$L$257,4,FALSE)),"",(VLOOKUP($B93,'B-1 Site Hedge Baseline'!$B$1:$L$257,4,FALSE))))</f>
        <v/>
      </c>
      <c r="E93" s="520" t="str">
        <f>IF(B93="","",IF(ISNA(VLOOKUP($B93,'B-1 Site Hedge Baseline'!$B$1:$L$257,5,FALSE)),"",(VLOOKUP($B93,'B-1 Site Hedge Baseline'!$B$1:$L$257,5,FALSE))))</f>
        <v/>
      </c>
      <c r="F93" s="520" t="str">
        <f>IF(B93="","",IF(ISNA(VLOOKUP($B93,'B-1 Site Hedge Baseline'!$B$1:$L$257,6,FALSE)),"",(VLOOKUP($B93,'B-1 Site Hedge Baseline'!$B$1:$L$257,6,FALSE))))</f>
        <v/>
      </c>
      <c r="G93" s="520" t="str">
        <f>IF(B93="","",IF(ISNA(VLOOKUP($B93,'B-1 Site Hedge Baseline'!$B$1:$L$257,7,FALSE)),"",(VLOOKUP($B93,'B-1 Site Hedge Baseline'!$B$1:$L$257,7,FALSE))))</f>
        <v/>
      </c>
      <c r="H93" s="520" t="str">
        <f>IF(B93="","",IF(ISNA(VLOOKUP($B93,'B-1 Site Hedge Baseline'!$B$1:$L$257,8,FALSE)),"",(VLOOKUP($B93,'B-1 Site Hedge Baseline'!$B$1:$L$257,8,FALSE))))</f>
        <v/>
      </c>
      <c r="I93" s="520" t="str">
        <f>IF(B93="","",IF(ISNA(VLOOKUP($B93,'B-1 Site Hedge Baseline'!$B$1:$L$257,10,FALSE)),"",(VLOOKUP($B93,'B-1 Site Hedge Baseline'!$B$1:$L$257,10,FALSE))))</f>
        <v/>
      </c>
      <c r="J93" s="520" t="str">
        <f>IF(B93="","",IF(ISNA(VLOOKUP($B93,'B-1 Site Hedge Baseline'!$B$1:$L$257,11,FALSE)),"",(VLOOKUP($B93,'B-1 Site Hedge Baseline'!$B$1:$L$257,11,FALSE))))</f>
        <v/>
      </c>
      <c r="K93" s="520" t="str">
        <f>IF(B93="","",IF(ISNA(VLOOKUP($B93,'B-1 Site Hedge Baseline'!$B$1:$U$257,13,FALSE)),"",(VLOOKUP($B93,'B-1 Site Hedge Baseline'!$B$1:$U$257,13,FALSE))))</f>
        <v/>
      </c>
      <c r="L93" s="524" t="str">
        <f>IF(B93="","",IF(ISNA(VLOOKUP($B93,'B-1 Site Hedge Baseline'!$B$1:$U$257,12,FALSE)),"",(VLOOKUP($B93,'B-1 Site Hedge Baseline'!$B$1:$U$257,12,FALSE))))</f>
        <v/>
      </c>
      <c r="M93" s="416" t="str">
        <f t="shared" si="15"/>
        <v/>
      </c>
      <c r="N93" s="498" t="str">
        <f>IFERROR(IF(B93="","",INDEX('G-6 Hedgerow Data'!$AN$3:$AZ$15,MATCH(C93,'G-6 Hedgerow Data'!$AM$3:$AM$15,0),MATCH(M93,'G-6 Hedgerow Data'!$AN$2:$AZ$2,0))),"")</f>
        <v/>
      </c>
      <c r="O93" s="499" t="str">
        <f t="shared" si="10"/>
        <v/>
      </c>
      <c r="P93" s="559" t="str">
        <f>IF(B93="","",VLOOKUP(B93,'B-1 Site Hedge Baseline'!$B$10:T338,16,FALSE))</f>
        <v/>
      </c>
      <c r="Q93" s="498" t="str">
        <f>IF(M93="","",VLOOKUP(M93,'G-6 Hedgerow Data'!$B$2:$AG$15,2,FALSE))</f>
        <v/>
      </c>
      <c r="R93" s="499" t="str">
        <f>IF(M93="","",VLOOKUP(M93,'G-6 Hedgerow Data'!$B$2:$AG$15,3,FALSE))</f>
        <v/>
      </c>
      <c r="S93" s="157"/>
      <c r="T93" s="540" t="str">
        <f>IFERROR(VLOOKUP(S93,'G-1 All Habitats'!$Z$2:$AA$9,2,FALSE),"")</f>
        <v/>
      </c>
      <c r="U93" s="154"/>
      <c r="V93" s="520" t="str">
        <f>IF(U93="","",IF(VLOOKUP(U93,'G-3 Multipliers'!$L$3:$N$6,2,FALSE)=0,"Spatial Data Missing ⚠",VLOOKUP(U93,'G-3 Multipliers'!$L$3:$N$6,2,FALSE)))</f>
        <v/>
      </c>
      <c r="W93" s="524"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8"/>
        <v/>
      </c>
      <c r="AD93" s="537" t="str">
        <f>IF(M93="","",VLOOKUP(M93,'G-6 Hedgerow Data'!$B$3:$AG$15,31,FALSE))</f>
        <v/>
      </c>
      <c r="AE93" s="507" t="str">
        <f t="shared" si="13"/>
        <v/>
      </c>
      <c r="AF93" s="507" t="str">
        <f t="shared" si="14"/>
        <v/>
      </c>
      <c r="AG93" s="524" t="str">
        <f>IFERROR(IF(O93="","",VLOOKUP(AD93,'G-3 Multipliers'!$P$3:$Q$6,2,FALSE)),"")</f>
        <v/>
      </c>
      <c r="AH93" s="513" t="str">
        <f t="shared" si="9"/>
        <v/>
      </c>
      <c r="AI93" s="231"/>
      <c r="AJ93" s="150"/>
      <c r="AT93" s="31" t="str">
        <f>IFERROR(INDEX('G-6 Hedgerow Data'!$BJ$3:$BJ$15,MATCH(M93,'G-6 Hedgerow Data'!$B$3:$B$15,0)),"")</f>
        <v/>
      </c>
    </row>
    <row r="94" spans="2:46" ht="13.8" x14ac:dyDescent="0.25">
      <c r="B94" s="531" t="str">
        <f>'B-1 Site Hedge Baseline'!AK92</f>
        <v/>
      </c>
      <c r="C94" s="520" t="str">
        <f>IF(B94="","",IF(ISNA(VLOOKUP($B94,'B-1 Site Hedge Baseline'!$B$1:$L$257,3,FALSE)),"",(VLOOKUP($B94,'B-1 Site Hedge Baseline'!$B$1:$L$257,3,FALSE))))</f>
        <v/>
      </c>
      <c r="D94" s="520" t="str">
        <f>IF(B94="","",IF(ISNA(VLOOKUP($B94,'B-1 Site Hedge Baseline'!$B$1:$L$257,4,FALSE)),"",(VLOOKUP($B94,'B-1 Site Hedge Baseline'!$B$1:$L$257,4,FALSE))))</f>
        <v/>
      </c>
      <c r="E94" s="520" t="str">
        <f>IF(B94="","",IF(ISNA(VLOOKUP($B94,'B-1 Site Hedge Baseline'!$B$1:$L$257,5,FALSE)),"",(VLOOKUP($B94,'B-1 Site Hedge Baseline'!$B$1:$L$257,5,FALSE))))</f>
        <v/>
      </c>
      <c r="F94" s="520" t="str">
        <f>IF(B94="","",IF(ISNA(VLOOKUP($B94,'B-1 Site Hedge Baseline'!$B$1:$L$257,6,FALSE)),"",(VLOOKUP($B94,'B-1 Site Hedge Baseline'!$B$1:$L$257,6,FALSE))))</f>
        <v/>
      </c>
      <c r="G94" s="520" t="str">
        <f>IF(B94="","",IF(ISNA(VLOOKUP($B94,'B-1 Site Hedge Baseline'!$B$1:$L$257,7,FALSE)),"",(VLOOKUP($B94,'B-1 Site Hedge Baseline'!$B$1:$L$257,7,FALSE))))</f>
        <v/>
      </c>
      <c r="H94" s="520" t="str">
        <f>IF(B94="","",IF(ISNA(VLOOKUP($B94,'B-1 Site Hedge Baseline'!$B$1:$L$257,8,FALSE)),"",(VLOOKUP($B94,'B-1 Site Hedge Baseline'!$B$1:$L$257,8,FALSE))))</f>
        <v/>
      </c>
      <c r="I94" s="520" t="str">
        <f>IF(B94="","",IF(ISNA(VLOOKUP($B94,'B-1 Site Hedge Baseline'!$B$1:$L$257,10,FALSE)),"",(VLOOKUP($B94,'B-1 Site Hedge Baseline'!$B$1:$L$257,10,FALSE))))</f>
        <v/>
      </c>
      <c r="J94" s="520" t="str">
        <f>IF(B94="","",IF(ISNA(VLOOKUP($B94,'B-1 Site Hedge Baseline'!$B$1:$L$257,11,FALSE)),"",(VLOOKUP($B94,'B-1 Site Hedge Baseline'!$B$1:$L$257,11,FALSE))))</f>
        <v/>
      </c>
      <c r="K94" s="520" t="str">
        <f>IF(B94="","",IF(ISNA(VLOOKUP($B94,'B-1 Site Hedge Baseline'!$B$1:$U$257,13,FALSE)),"",(VLOOKUP($B94,'B-1 Site Hedge Baseline'!$B$1:$U$257,13,FALSE))))</f>
        <v/>
      </c>
      <c r="L94" s="524" t="str">
        <f>IF(B94="","",IF(ISNA(VLOOKUP($B94,'B-1 Site Hedge Baseline'!$B$1:$U$257,12,FALSE)),"",(VLOOKUP($B94,'B-1 Site Hedge Baseline'!$B$1:$U$257,12,FALSE))))</f>
        <v/>
      </c>
      <c r="M94" s="416" t="str">
        <f t="shared" si="15"/>
        <v/>
      </c>
      <c r="N94" s="498" t="str">
        <f>IFERROR(IF(B94="","",INDEX('G-6 Hedgerow Data'!$AN$3:$AZ$15,MATCH(C94,'G-6 Hedgerow Data'!$AM$3:$AM$15,0),MATCH(M94,'G-6 Hedgerow Data'!$AN$2:$AZ$2,0))),"")</f>
        <v/>
      </c>
      <c r="O94" s="499" t="str">
        <f t="shared" si="10"/>
        <v/>
      </c>
      <c r="P94" s="559" t="str">
        <f>IF(B94="","",VLOOKUP(B94,'B-1 Site Hedge Baseline'!$B$10:T339,16,FALSE))</f>
        <v/>
      </c>
      <c r="Q94" s="498" t="str">
        <f>IF(M94="","",VLOOKUP(M94,'G-6 Hedgerow Data'!$B$2:$AG$15,2,FALSE))</f>
        <v/>
      </c>
      <c r="R94" s="499" t="str">
        <f>IF(M94="","",VLOOKUP(M94,'G-6 Hedgerow Data'!$B$2:$AG$15,3,FALSE))</f>
        <v/>
      </c>
      <c r="S94" s="157"/>
      <c r="T94" s="540" t="str">
        <f>IFERROR(VLOOKUP(S94,'G-1 All Habitats'!$Z$2:$AA$9,2,FALSE),"")</f>
        <v/>
      </c>
      <c r="U94" s="154"/>
      <c r="V94" s="520" t="str">
        <f>IF(U94="","",IF(VLOOKUP(U94,'G-3 Multipliers'!$L$3:$N$6,2,FALSE)=0,"Spatial Data Missing ⚠",VLOOKUP(U94,'G-3 Multipliers'!$L$3:$N$6,2,FALSE)))</f>
        <v/>
      </c>
      <c r="W94" s="524"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8"/>
        <v/>
      </c>
      <c r="AD94" s="537" t="str">
        <f>IF(M94="","",VLOOKUP(M94,'G-6 Hedgerow Data'!$B$3:$AG$15,31,FALSE))</f>
        <v/>
      </c>
      <c r="AE94" s="507" t="str">
        <f t="shared" si="13"/>
        <v/>
      </c>
      <c r="AF94" s="507" t="str">
        <f t="shared" si="14"/>
        <v/>
      </c>
      <c r="AG94" s="524" t="str">
        <f>IFERROR(IF(O94="","",VLOOKUP(AD94,'G-3 Multipliers'!$P$3:$Q$6,2,FALSE)),"")</f>
        <v/>
      </c>
      <c r="AH94" s="513" t="str">
        <f t="shared" si="9"/>
        <v/>
      </c>
      <c r="AI94" s="231"/>
      <c r="AJ94" s="150"/>
      <c r="AT94" s="31" t="str">
        <f>IFERROR(INDEX('G-6 Hedgerow Data'!$BJ$3:$BJ$15,MATCH(M94,'G-6 Hedgerow Data'!$B$3:$B$15,0)),"")</f>
        <v/>
      </c>
    </row>
    <row r="95" spans="2:46" ht="13.8" x14ac:dyDescent="0.25">
      <c r="B95" s="531" t="str">
        <f>'B-1 Site Hedge Baseline'!AK93</f>
        <v/>
      </c>
      <c r="C95" s="520" t="str">
        <f>IF(B95="","",IF(ISNA(VLOOKUP($B95,'B-1 Site Hedge Baseline'!$B$1:$L$257,3,FALSE)),"",(VLOOKUP($B95,'B-1 Site Hedge Baseline'!$B$1:$L$257,3,FALSE))))</f>
        <v/>
      </c>
      <c r="D95" s="520" t="str">
        <f>IF(B95="","",IF(ISNA(VLOOKUP($B95,'B-1 Site Hedge Baseline'!$B$1:$L$257,4,FALSE)),"",(VLOOKUP($B95,'B-1 Site Hedge Baseline'!$B$1:$L$257,4,FALSE))))</f>
        <v/>
      </c>
      <c r="E95" s="520" t="str">
        <f>IF(B95="","",IF(ISNA(VLOOKUP($B95,'B-1 Site Hedge Baseline'!$B$1:$L$257,5,FALSE)),"",(VLOOKUP($B95,'B-1 Site Hedge Baseline'!$B$1:$L$257,5,FALSE))))</f>
        <v/>
      </c>
      <c r="F95" s="520" t="str">
        <f>IF(B95="","",IF(ISNA(VLOOKUP($B95,'B-1 Site Hedge Baseline'!$B$1:$L$257,6,FALSE)),"",(VLOOKUP($B95,'B-1 Site Hedge Baseline'!$B$1:$L$257,6,FALSE))))</f>
        <v/>
      </c>
      <c r="G95" s="520" t="str">
        <f>IF(B95="","",IF(ISNA(VLOOKUP($B95,'B-1 Site Hedge Baseline'!$B$1:$L$257,7,FALSE)),"",(VLOOKUP($B95,'B-1 Site Hedge Baseline'!$B$1:$L$257,7,FALSE))))</f>
        <v/>
      </c>
      <c r="H95" s="520" t="str">
        <f>IF(B95="","",IF(ISNA(VLOOKUP($B95,'B-1 Site Hedge Baseline'!$B$1:$L$257,8,FALSE)),"",(VLOOKUP($B95,'B-1 Site Hedge Baseline'!$B$1:$L$257,8,FALSE))))</f>
        <v/>
      </c>
      <c r="I95" s="520" t="str">
        <f>IF(B95="","",IF(ISNA(VLOOKUP($B95,'B-1 Site Hedge Baseline'!$B$1:$L$257,10,FALSE)),"",(VLOOKUP($B95,'B-1 Site Hedge Baseline'!$B$1:$L$257,10,FALSE))))</f>
        <v/>
      </c>
      <c r="J95" s="520" t="str">
        <f>IF(B95="","",IF(ISNA(VLOOKUP($B95,'B-1 Site Hedge Baseline'!$B$1:$L$257,11,FALSE)),"",(VLOOKUP($B95,'B-1 Site Hedge Baseline'!$B$1:$L$257,11,FALSE))))</f>
        <v/>
      </c>
      <c r="K95" s="520" t="str">
        <f>IF(B95="","",IF(ISNA(VLOOKUP($B95,'B-1 Site Hedge Baseline'!$B$1:$U$257,13,FALSE)),"",(VLOOKUP($B95,'B-1 Site Hedge Baseline'!$B$1:$U$257,13,FALSE))))</f>
        <v/>
      </c>
      <c r="L95" s="524" t="str">
        <f>IF(B95="","",IF(ISNA(VLOOKUP($B95,'B-1 Site Hedge Baseline'!$B$1:$U$257,12,FALSE)),"",(VLOOKUP($B95,'B-1 Site Hedge Baseline'!$B$1:$U$257,12,FALSE))))</f>
        <v/>
      </c>
      <c r="M95" s="416" t="str">
        <f t="shared" si="15"/>
        <v/>
      </c>
      <c r="N95" s="498" t="str">
        <f>IFERROR(IF(B95="","",INDEX('G-6 Hedgerow Data'!$AN$3:$AZ$15,MATCH(C95,'G-6 Hedgerow Data'!$AM$3:$AM$15,0),MATCH(M95,'G-6 Hedgerow Data'!$AN$2:$AZ$2,0))),"")</f>
        <v/>
      </c>
      <c r="O95" s="499" t="str">
        <f t="shared" si="10"/>
        <v/>
      </c>
      <c r="P95" s="559" t="str">
        <f>IF(B95="","",VLOOKUP(B95,'B-1 Site Hedge Baseline'!$B$10:T340,16,FALSE))</f>
        <v/>
      </c>
      <c r="Q95" s="498" t="str">
        <f>IF(M95="","",VLOOKUP(M95,'G-6 Hedgerow Data'!$B$2:$AG$15,2,FALSE))</f>
        <v/>
      </c>
      <c r="R95" s="499" t="str">
        <f>IF(M95="","",VLOOKUP(M95,'G-6 Hedgerow Data'!$B$2:$AG$15,3,FALSE))</f>
        <v/>
      </c>
      <c r="S95" s="157"/>
      <c r="T95" s="540" t="str">
        <f>IFERROR(VLOOKUP(S95,'G-1 All Habitats'!$Z$2:$AA$9,2,FALSE),"")</f>
        <v/>
      </c>
      <c r="U95" s="154"/>
      <c r="V95" s="520" t="str">
        <f>IF(U95="","",IF(VLOOKUP(U95,'G-3 Multipliers'!$L$3:$N$6,2,FALSE)=0,"Spatial Data Missing ⚠",VLOOKUP(U95,'G-3 Multipliers'!$L$3:$N$6,2,FALSE)))</f>
        <v/>
      </c>
      <c r="W95" s="524"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8"/>
        <v/>
      </c>
      <c r="AD95" s="537" t="str">
        <f>IF(M95="","",VLOOKUP(M95,'G-6 Hedgerow Data'!$B$3:$AG$15,31,FALSE))</f>
        <v/>
      </c>
      <c r="AE95" s="507" t="str">
        <f t="shared" si="13"/>
        <v/>
      </c>
      <c r="AF95" s="507" t="str">
        <f t="shared" si="14"/>
        <v/>
      </c>
      <c r="AG95" s="524" t="str">
        <f>IFERROR(IF(O95="","",VLOOKUP(AD95,'G-3 Multipliers'!$P$3:$Q$6,2,FALSE)),"")</f>
        <v/>
      </c>
      <c r="AH95" s="513" t="str">
        <f t="shared" si="9"/>
        <v/>
      </c>
      <c r="AI95" s="231"/>
      <c r="AJ95" s="150"/>
      <c r="AT95" s="31" t="str">
        <f>IFERROR(INDEX('G-6 Hedgerow Data'!$BJ$3:$BJ$15,MATCH(M95,'G-6 Hedgerow Data'!$B$3:$B$15,0)),"")</f>
        <v/>
      </c>
    </row>
    <row r="96" spans="2:46" ht="13.8" x14ac:dyDescent="0.25">
      <c r="B96" s="531" t="str">
        <f>'B-1 Site Hedge Baseline'!AK94</f>
        <v/>
      </c>
      <c r="C96" s="520" t="str">
        <f>IF(B96="","",IF(ISNA(VLOOKUP($B96,'B-1 Site Hedge Baseline'!$B$1:$L$257,3,FALSE)),"",(VLOOKUP($B96,'B-1 Site Hedge Baseline'!$B$1:$L$257,3,FALSE))))</f>
        <v/>
      </c>
      <c r="D96" s="520" t="str">
        <f>IF(B96="","",IF(ISNA(VLOOKUP($B96,'B-1 Site Hedge Baseline'!$B$1:$L$257,4,FALSE)),"",(VLOOKUP($B96,'B-1 Site Hedge Baseline'!$B$1:$L$257,4,FALSE))))</f>
        <v/>
      </c>
      <c r="E96" s="520" t="str">
        <f>IF(B96="","",IF(ISNA(VLOOKUP($B96,'B-1 Site Hedge Baseline'!$B$1:$L$257,5,FALSE)),"",(VLOOKUP($B96,'B-1 Site Hedge Baseline'!$B$1:$L$257,5,FALSE))))</f>
        <v/>
      </c>
      <c r="F96" s="520" t="str">
        <f>IF(B96="","",IF(ISNA(VLOOKUP($B96,'B-1 Site Hedge Baseline'!$B$1:$L$257,6,FALSE)),"",(VLOOKUP($B96,'B-1 Site Hedge Baseline'!$B$1:$L$257,6,FALSE))))</f>
        <v/>
      </c>
      <c r="G96" s="520" t="str">
        <f>IF(B96="","",IF(ISNA(VLOOKUP($B96,'B-1 Site Hedge Baseline'!$B$1:$L$257,7,FALSE)),"",(VLOOKUP($B96,'B-1 Site Hedge Baseline'!$B$1:$L$257,7,FALSE))))</f>
        <v/>
      </c>
      <c r="H96" s="520" t="str">
        <f>IF(B96="","",IF(ISNA(VLOOKUP($B96,'B-1 Site Hedge Baseline'!$B$1:$L$257,8,FALSE)),"",(VLOOKUP($B96,'B-1 Site Hedge Baseline'!$B$1:$L$257,8,FALSE))))</f>
        <v/>
      </c>
      <c r="I96" s="520" t="str">
        <f>IF(B96="","",IF(ISNA(VLOOKUP($B96,'B-1 Site Hedge Baseline'!$B$1:$L$257,10,FALSE)),"",(VLOOKUP($B96,'B-1 Site Hedge Baseline'!$B$1:$L$257,10,FALSE))))</f>
        <v/>
      </c>
      <c r="J96" s="520" t="str">
        <f>IF(B96="","",IF(ISNA(VLOOKUP($B96,'B-1 Site Hedge Baseline'!$B$1:$L$257,11,FALSE)),"",(VLOOKUP($B96,'B-1 Site Hedge Baseline'!$B$1:$L$257,11,FALSE))))</f>
        <v/>
      </c>
      <c r="K96" s="520" t="str">
        <f>IF(B96="","",IF(ISNA(VLOOKUP($B96,'B-1 Site Hedge Baseline'!$B$1:$U$257,13,FALSE)),"",(VLOOKUP($B96,'B-1 Site Hedge Baseline'!$B$1:$U$257,13,FALSE))))</f>
        <v/>
      </c>
      <c r="L96" s="524" t="str">
        <f>IF(B96="","",IF(ISNA(VLOOKUP($B96,'B-1 Site Hedge Baseline'!$B$1:$U$257,12,FALSE)),"",(VLOOKUP($B96,'B-1 Site Hedge Baseline'!$B$1:$U$257,12,FALSE))))</f>
        <v/>
      </c>
      <c r="M96" s="416" t="str">
        <f t="shared" si="15"/>
        <v/>
      </c>
      <c r="N96" s="498" t="str">
        <f>IFERROR(IF(B96="","",INDEX('G-6 Hedgerow Data'!$AN$3:$AZ$15,MATCH(C96,'G-6 Hedgerow Data'!$AM$3:$AM$15,0),MATCH(M96,'G-6 Hedgerow Data'!$AN$2:$AZ$2,0))),"")</f>
        <v/>
      </c>
      <c r="O96" s="499" t="str">
        <f t="shared" si="10"/>
        <v/>
      </c>
      <c r="P96" s="559" t="str">
        <f>IF(B96="","",VLOOKUP(B96,'B-1 Site Hedge Baseline'!$B$10:T341,16,FALSE))</f>
        <v/>
      </c>
      <c r="Q96" s="498" t="str">
        <f>IF(M96="","",VLOOKUP(M96,'G-6 Hedgerow Data'!$B$2:$AG$15,2,FALSE))</f>
        <v/>
      </c>
      <c r="R96" s="499" t="str">
        <f>IF(M96="","",VLOOKUP(M96,'G-6 Hedgerow Data'!$B$2:$AG$15,3,FALSE))</f>
        <v/>
      </c>
      <c r="S96" s="157"/>
      <c r="T96" s="540" t="str">
        <f>IFERROR(VLOOKUP(S96,'G-1 All Habitats'!$Z$2:$AA$9,2,FALSE),"")</f>
        <v/>
      </c>
      <c r="U96" s="154"/>
      <c r="V96" s="520" t="str">
        <f>IF(U96="","",IF(VLOOKUP(U96,'G-3 Multipliers'!$L$3:$N$6,2,FALSE)=0,"Spatial Data Missing ⚠",VLOOKUP(U96,'G-3 Multipliers'!$L$3:$N$6,2,FALSE)))</f>
        <v/>
      </c>
      <c r="W96" s="524"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8"/>
        <v/>
      </c>
      <c r="AD96" s="537" t="str">
        <f>IF(M96="","",VLOOKUP(M96,'G-6 Hedgerow Data'!$B$3:$AG$15,31,FALSE))</f>
        <v/>
      </c>
      <c r="AE96" s="507" t="str">
        <f t="shared" si="13"/>
        <v/>
      </c>
      <c r="AF96" s="507" t="str">
        <f t="shared" si="14"/>
        <v/>
      </c>
      <c r="AG96" s="524" t="str">
        <f>IFERROR(IF(O96="","",VLOOKUP(AD96,'G-3 Multipliers'!$P$3:$Q$6,2,FALSE)),"")</f>
        <v/>
      </c>
      <c r="AH96" s="513" t="str">
        <f t="shared" si="9"/>
        <v/>
      </c>
      <c r="AI96" s="231"/>
      <c r="AJ96" s="150"/>
      <c r="AT96" s="31" t="str">
        <f>IFERROR(INDEX('G-6 Hedgerow Data'!$BJ$3:$BJ$15,MATCH(M96,'G-6 Hedgerow Data'!$B$3:$B$15,0)),"")</f>
        <v/>
      </c>
    </row>
    <row r="97" spans="2:46" ht="13.8" x14ac:dyDescent="0.25">
      <c r="B97" s="531" t="str">
        <f>'B-1 Site Hedge Baseline'!AK95</f>
        <v/>
      </c>
      <c r="C97" s="520" t="str">
        <f>IF(B97="","",IF(ISNA(VLOOKUP($B97,'B-1 Site Hedge Baseline'!$B$1:$L$257,3,FALSE)),"",(VLOOKUP($B97,'B-1 Site Hedge Baseline'!$B$1:$L$257,3,FALSE))))</f>
        <v/>
      </c>
      <c r="D97" s="520" t="str">
        <f>IF(B97="","",IF(ISNA(VLOOKUP($B97,'B-1 Site Hedge Baseline'!$B$1:$L$257,4,FALSE)),"",(VLOOKUP($B97,'B-1 Site Hedge Baseline'!$B$1:$L$257,4,FALSE))))</f>
        <v/>
      </c>
      <c r="E97" s="520" t="str">
        <f>IF(B97="","",IF(ISNA(VLOOKUP($B97,'B-1 Site Hedge Baseline'!$B$1:$L$257,5,FALSE)),"",(VLOOKUP($B97,'B-1 Site Hedge Baseline'!$B$1:$L$257,5,FALSE))))</f>
        <v/>
      </c>
      <c r="F97" s="520" t="str">
        <f>IF(B97="","",IF(ISNA(VLOOKUP($B97,'B-1 Site Hedge Baseline'!$B$1:$L$257,6,FALSE)),"",(VLOOKUP($B97,'B-1 Site Hedge Baseline'!$B$1:$L$257,6,FALSE))))</f>
        <v/>
      </c>
      <c r="G97" s="520" t="str">
        <f>IF(B97="","",IF(ISNA(VLOOKUP($B97,'B-1 Site Hedge Baseline'!$B$1:$L$257,7,FALSE)),"",(VLOOKUP($B97,'B-1 Site Hedge Baseline'!$B$1:$L$257,7,FALSE))))</f>
        <v/>
      </c>
      <c r="H97" s="520" t="str">
        <f>IF(B97="","",IF(ISNA(VLOOKUP($B97,'B-1 Site Hedge Baseline'!$B$1:$L$257,8,FALSE)),"",(VLOOKUP($B97,'B-1 Site Hedge Baseline'!$B$1:$L$257,8,FALSE))))</f>
        <v/>
      </c>
      <c r="I97" s="520" t="str">
        <f>IF(B97="","",IF(ISNA(VLOOKUP($B97,'B-1 Site Hedge Baseline'!$B$1:$L$257,10,FALSE)),"",(VLOOKUP($B97,'B-1 Site Hedge Baseline'!$B$1:$L$257,10,FALSE))))</f>
        <v/>
      </c>
      <c r="J97" s="520" t="str">
        <f>IF(B97="","",IF(ISNA(VLOOKUP($B97,'B-1 Site Hedge Baseline'!$B$1:$L$257,11,FALSE)),"",(VLOOKUP($B97,'B-1 Site Hedge Baseline'!$B$1:$L$257,11,FALSE))))</f>
        <v/>
      </c>
      <c r="K97" s="520" t="str">
        <f>IF(B97="","",IF(ISNA(VLOOKUP($B97,'B-1 Site Hedge Baseline'!$B$1:$U$257,13,FALSE)),"",(VLOOKUP($B97,'B-1 Site Hedge Baseline'!$B$1:$U$257,13,FALSE))))</f>
        <v/>
      </c>
      <c r="L97" s="524" t="str">
        <f>IF(B97="","",IF(ISNA(VLOOKUP($B97,'B-1 Site Hedge Baseline'!$B$1:$U$257,12,FALSE)),"",(VLOOKUP($B97,'B-1 Site Hedge Baseline'!$B$1:$U$257,12,FALSE))))</f>
        <v/>
      </c>
      <c r="M97" s="416" t="str">
        <f t="shared" si="15"/>
        <v/>
      </c>
      <c r="N97" s="498" t="str">
        <f>IFERROR(IF(B97="","",INDEX('G-6 Hedgerow Data'!$AN$3:$AZ$15,MATCH(C97,'G-6 Hedgerow Data'!$AM$3:$AM$15,0),MATCH(M97,'G-6 Hedgerow Data'!$AN$2:$AZ$2,0))),"")</f>
        <v/>
      </c>
      <c r="O97" s="499" t="str">
        <f t="shared" si="10"/>
        <v/>
      </c>
      <c r="P97" s="559" t="str">
        <f>IF(B97="","",VLOOKUP(B97,'B-1 Site Hedge Baseline'!$B$10:T342,16,FALSE))</f>
        <v/>
      </c>
      <c r="Q97" s="498" t="str">
        <f>IF(M97="","",VLOOKUP(M97,'G-6 Hedgerow Data'!$B$2:$AG$15,2,FALSE))</f>
        <v/>
      </c>
      <c r="R97" s="499" t="str">
        <f>IF(M97="","",VLOOKUP(M97,'G-6 Hedgerow Data'!$B$2:$AG$15,3,FALSE))</f>
        <v/>
      </c>
      <c r="S97" s="157"/>
      <c r="T97" s="540" t="str">
        <f>IFERROR(VLOOKUP(S97,'G-1 All Habitats'!$Z$2:$AA$9,2,FALSE),"")</f>
        <v/>
      </c>
      <c r="U97" s="154"/>
      <c r="V97" s="520" t="str">
        <f>IF(U97="","",IF(VLOOKUP(U97,'G-3 Multipliers'!$L$3:$N$6,2,FALSE)=0,"Spatial Data Missing ⚠",VLOOKUP(U97,'G-3 Multipliers'!$L$3:$N$6,2,FALSE)))</f>
        <v/>
      </c>
      <c r="W97" s="524"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8"/>
        <v/>
      </c>
      <c r="AD97" s="537" t="str">
        <f>IF(M97="","",VLOOKUP(M97,'G-6 Hedgerow Data'!$B$3:$AG$15,31,FALSE))</f>
        <v/>
      </c>
      <c r="AE97" s="507" t="str">
        <f t="shared" si="13"/>
        <v/>
      </c>
      <c r="AF97" s="507" t="str">
        <f t="shared" si="14"/>
        <v/>
      </c>
      <c r="AG97" s="524" t="str">
        <f>IFERROR(IF(O97="","",VLOOKUP(AD97,'G-3 Multipliers'!$P$3:$Q$6,2,FALSE)),"")</f>
        <v/>
      </c>
      <c r="AH97" s="513" t="str">
        <f t="shared" si="9"/>
        <v/>
      </c>
      <c r="AI97" s="231"/>
      <c r="AJ97" s="150"/>
      <c r="AT97" s="31" t="str">
        <f>IFERROR(INDEX('G-6 Hedgerow Data'!$BJ$3:$BJ$15,MATCH(M97,'G-6 Hedgerow Data'!$B$3:$B$15,0)),"")</f>
        <v/>
      </c>
    </row>
    <row r="98" spans="2:46" ht="13.8" x14ac:dyDescent="0.25">
      <c r="B98" s="531" t="str">
        <f>'B-1 Site Hedge Baseline'!AK96</f>
        <v/>
      </c>
      <c r="C98" s="520" t="str">
        <f>IF(B98="","",IF(ISNA(VLOOKUP($B98,'B-1 Site Hedge Baseline'!$B$1:$L$257,3,FALSE)),"",(VLOOKUP($B98,'B-1 Site Hedge Baseline'!$B$1:$L$257,3,FALSE))))</f>
        <v/>
      </c>
      <c r="D98" s="520" t="str">
        <f>IF(B98="","",IF(ISNA(VLOOKUP($B98,'B-1 Site Hedge Baseline'!$B$1:$L$257,4,FALSE)),"",(VLOOKUP($B98,'B-1 Site Hedge Baseline'!$B$1:$L$257,4,FALSE))))</f>
        <v/>
      </c>
      <c r="E98" s="520" t="str">
        <f>IF(B98="","",IF(ISNA(VLOOKUP($B98,'B-1 Site Hedge Baseline'!$B$1:$L$257,5,FALSE)),"",(VLOOKUP($B98,'B-1 Site Hedge Baseline'!$B$1:$L$257,5,FALSE))))</f>
        <v/>
      </c>
      <c r="F98" s="520" t="str">
        <f>IF(B98="","",IF(ISNA(VLOOKUP($B98,'B-1 Site Hedge Baseline'!$B$1:$L$257,6,FALSE)),"",(VLOOKUP($B98,'B-1 Site Hedge Baseline'!$B$1:$L$257,6,FALSE))))</f>
        <v/>
      </c>
      <c r="G98" s="520" t="str">
        <f>IF(B98="","",IF(ISNA(VLOOKUP($B98,'B-1 Site Hedge Baseline'!$B$1:$L$257,7,FALSE)),"",(VLOOKUP($B98,'B-1 Site Hedge Baseline'!$B$1:$L$257,7,FALSE))))</f>
        <v/>
      </c>
      <c r="H98" s="520" t="str">
        <f>IF(B98="","",IF(ISNA(VLOOKUP($B98,'B-1 Site Hedge Baseline'!$B$1:$L$257,8,FALSE)),"",(VLOOKUP($B98,'B-1 Site Hedge Baseline'!$B$1:$L$257,8,FALSE))))</f>
        <v/>
      </c>
      <c r="I98" s="520" t="str">
        <f>IF(B98="","",IF(ISNA(VLOOKUP($B98,'B-1 Site Hedge Baseline'!$B$1:$L$257,10,FALSE)),"",(VLOOKUP($B98,'B-1 Site Hedge Baseline'!$B$1:$L$257,10,FALSE))))</f>
        <v/>
      </c>
      <c r="J98" s="520" t="str">
        <f>IF(B98="","",IF(ISNA(VLOOKUP($B98,'B-1 Site Hedge Baseline'!$B$1:$L$257,11,FALSE)),"",(VLOOKUP($B98,'B-1 Site Hedge Baseline'!$B$1:$L$257,11,FALSE))))</f>
        <v/>
      </c>
      <c r="K98" s="520" t="str">
        <f>IF(B98="","",IF(ISNA(VLOOKUP($B98,'B-1 Site Hedge Baseline'!$B$1:$U$257,13,FALSE)),"",(VLOOKUP($B98,'B-1 Site Hedge Baseline'!$B$1:$U$257,13,FALSE))))</f>
        <v/>
      </c>
      <c r="L98" s="524" t="str">
        <f>IF(B98="","",IF(ISNA(VLOOKUP($B98,'B-1 Site Hedge Baseline'!$B$1:$U$257,12,FALSE)),"",(VLOOKUP($B98,'B-1 Site Hedge Baseline'!$B$1:$U$257,12,FALSE))))</f>
        <v/>
      </c>
      <c r="M98" s="416" t="str">
        <f t="shared" si="15"/>
        <v/>
      </c>
      <c r="N98" s="498" t="str">
        <f>IFERROR(IF(B98="","",INDEX('G-6 Hedgerow Data'!$AN$3:$AZ$15,MATCH(C98,'G-6 Hedgerow Data'!$AM$3:$AM$15,0),MATCH(M98,'G-6 Hedgerow Data'!$AN$2:$AZ$2,0))),"")</f>
        <v/>
      </c>
      <c r="O98" s="499" t="str">
        <f t="shared" si="10"/>
        <v/>
      </c>
      <c r="P98" s="559" t="str">
        <f>IF(B98="","",VLOOKUP(B98,'B-1 Site Hedge Baseline'!$B$10:T343,16,FALSE))</f>
        <v/>
      </c>
      <c r="Q98" s="498" t="str">
        <f>IF(M98="","",VLOOKUP(M98,'G-6 Hedgerow Data'!$B$2:$AG$15,2,FALSE))</f>
        <v/>
      </c>
      <c r="R98" s="499" t="str">
        <f>IF(M98="","",VLOOKUP(M98,'G-6 Hedgerow Data'!$B$2:$AG$15,3,FALSE))</f>
        <v/>
      </c>
      <c r="S98" s="157"/>
      <c r="T98" s="540" t="str">
        <f>IFERROR(VLOOKUP(S98,'G-1 All Habitats'!$Z$2:$AA$9,2,FALSE),"")</f>
        <v/>
      </c>
      <c r="U98" s="154"/>
      <c r="V98" s="520" t="str">
        <f>IF(U98="","",IF(VLOOKUP(U98,'G-3 Multipliers'!$L$3:$N$6,2,FALSE)=0,"Spatial Data Missing ⚠",VLOOKUP(U98,'G-3 Multipliers'!$L$3:$N$6,2,FALSE)))</f>
        <v/>
      </c>
      <c r="W98" s="524"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8"/>
        <v/>
      </c>
      <c r="AD98" s="537" t="str">
        <f>IF(M98="","",VLOOKUP(M98,'G-6 Hedgerow Data'!$B$3:$AG$15,31,FALSE))</f>
        <v/>
      </c>
      <c r="AE98" s="507" t="str">
        <f t="shared" si="13"/>
        <v/>
      </c>
      <c r="AF98" s="507" t="str">
        <f t="shared" si="14"/>
        <v/>
      </c>
      <c r="AG98" s="524" t="str">
        <f>IFERROR(IF(O98="","",VLOOKUP(AD98,'G-3 Multipliers'!$P$3:$Q$6,2,FALSE)),"")</f>
        <v/>
      </c>
      <c r="AH98" s="513" t="str">
        <f t="shared" si="9"/>
        <v/>
      </c>
      <c r="AI98" s="231"/>
      <c r="AJ98" s="150"/>
      <c r="AT98" s="31" t="str">
        <f>IFERROR(INDEX('G-6 Hedgerow Data'!$BJ$3:$BJ$15,MATCH(M98,'G-6 Hedgerow Data'!$B$3:$B$15,0)),"")</f>
        <v/>
      </c>
    </row>
    <row r="99" spans="2:46" ht="13.8" x14ac:dyDescent="0.25">
      <c r="B99" s="531" t="str">
        <f>'B-1 Site Hedge Baseline'!AK97</f>
        <v/>
      </c>
      <c r="C99" s="520" t="str">
        <f>IF(B99="","",IF(ISNA(VLOOKUP($B99,'B-1 Site Hedge Baseline'!$B$1:$L$257,3,FALSE)),"",(VLOOKUP($B99,'B-1 Site Hedge Baseline'!$B$1:$L$257,3,FALSE))))</f>
        <v/>
      </c>
      <c r="D99" s="520" t="str">
        <f>IF(B99="","",IF(ISNA(VLOOKUP($B99,'B-1 Site Hedge Baseline'!$B$1:$L$257,4,FALSE)),"",(VLOOKUP($B99,'B-1 Site Hedge Baseline'!$B$1:$L$257,4,FALSE))))</f>
        <v/>
      </c>
      <c r="E99" s="520" t="str">
        <f>IF(B99="","",IF(ISNA(VLOOKUP($B99,'B-1 Site Hedge Baseline'!$B$1:$L$257,5,FALSE)),"",(VLOOKUP($B99,'B-1 Site Hedge Baseline'!$B$1:$L$257,5,FALSE))))</f>
        <v/>
      </c>
      <c r="F99" s="520" t="str">
        <f>IF(B99="","",IF(ISNA(VLOOKUP($B99,'B-1 Site Hedge Baseline'!$B$1:$L$257,6,FALSE)),"",(VLOOKUP($B99,'B-1 Site Hedge Baseline'!$B$1:$L$257,6,FALSE))))</f>
        <v/>
      </c>
      <c r="G99" s="520" t="str">
        <f>IF(B99="","",IF(ISNA(VLOOKUP($B99,'B-1 Site Hedge Baseline'!$B$1:$L$257,7,FALSE)),"",(VLOOKUP($B99,'B-1 Site Hedge Baseline'!$B$1:$L$257,7,FALSE))))</f>
        <v/>
      </c>
      <c r="H99" s="520" t="str">
        <f>IF(B99="","",IF(ISNA(VLOOKUP($B99,'B-1 Site Hedge Baseline'!$B$1:$L$257,8,FALSE)),"",(VLOOKUP($B99,'B-1 Site Hedge Baseline'!$B$1:$L$257,8,FALSE))))</f>
        <v/>
      </c>
      <c r="I99" s="520" t="str">
        <f>IF(B99="","",IF(ISNA(VLOOKUP($B99,'B-1 Site Hedge Baseline'!$B$1:$L$257,10,FALSE)),"",(VLOOKUP($B99,'B-1 Site Hedge Baseline'!$B$1:$L$257,10,FALSE))))</f>
        <v/>
      </c>
      <c r="J99" s="520" t="str">
        <f>IF(B99="","",IF(ISNA(VLOOKUP($B99,'B-1 Site Hedge Baseline'!$B$1:$L$257,11,FALSE)),"",(VLOOKUP($B99,'B-1 Site Hedge Baseline'!$B$1:$L$257,11,FALSE))))</f>
        <v/>
      </c>
      <c r="K99" s="520" t="str">
        <f>IF(B99="","",IF(ISNA(VLOOKUP($B99,'B-1 Site Hedge Baseline'!$B$1:$U$257,13,FALSE)),"",(VLOOKUP($B99,'B-1 Site Hedge Baseline'!$B$1:$U$257,13,FALSE))))</f>
        <v/>
      </c>
      <c r="L99" s="524" t="str">
        <f>IF(B99="","",IF(ISNA(VLOOKUP($B99,'B-1 Site Hedge Baseline'!$B$1:$U$257,12,FALSE)),"",(VLOOKUP($B99,'B-1 Site Hedge Baseline'!$B$1:$U$257,12,FALSE))))</f>
        <v/>
      </c>
      <c r="M99" s="416" t="str">
        <f t="shared" si="15"/>
        <v/>
      </c>
      <c r="N99" s="498" t="str">
        <f>IFERROR(IF(B99="","",INDEX('G-6 Hedgerow Data'!$AN$3:$AZ$15,MATCH(C99,'G-6 Hedgerow Data'!$AM$3:$AM$15,0),MATCH(M99,'G-6 Hedgerow Data'!$AN$2:$AZ$2,0))),"")</f>
        <v/>
      </c>
      <c r="O99" s="499" t="str">
        <f t="shared" si="10"/>
        <v/>
      </c>
      <c r="P99" s="559" t="str">
        <f>IF(B99="","",VLOOKUP(B99,'B-1 Site Hedge Baseline'!$B$10:T344,16,FALSE))</f>
        <v/>
      </c>
      <c r="Q99" s="498" t="str">
        <f>IF(M99="","",VLOOKUP(M99,'G-6 Hedgerow Data'!$B$2:$AG$15,2,FALSE))</f>
        <v/>
      </c>
      <c r="R99" s="499" t="str">
        <f>IF(M99="","",VLOOKUP(M99,'G-6 Hedgerow Data'!$B$2:$AG$15,3,FALSE))</f>
        <v/>
      </c>
      <c r="S99" s="157"/>
      <c r="T99" s="540" t="str">
        <f>IFERROR(VLOOKUP(S99,'G-1 All Habitats'!$Z$2:$AA$9,2,FALSE),"")</f>
        <v/>
      </c>
      <c r="U99" s="154"/>
      <c r="V99" s="520" t="str">
        <f>IF(U99="","",IF(VLOOKUP(U99,'G-3 Multipliers'!$L$3:$N$6,2,FALSE)=0,"Spatial Data Missing ⚠",VLOOKUP(U99,'G-3 Multipliers'!$L$3:$N$6,2,FALSE)))</f>
        <v/>
      </c>
      <c r="W99" s="524"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8"/>
        <v/>
      </c>
      <c r="AD99" s="537" t="str">
        <f>IF(M99="","",VLOOKUP(M99,'G-6 Hedgerow Data'!$B$3:$AG$15,31,FALSE))</f>
        <v/>
      </c>
      <c r="AE99" s="507" t="str">
        <f t="shared" si="13"/>
        <v/>
      </c>
      <c r="AF99" s="507" t="str">
        <f t="shared" si="14"/>
        <v/>
      </c>
      <c r="AG99" s="524" t="str">
        <f>IFERROR(IF(O99="","",VLOOKUP(AD99,'G-3 Multipliers'!$P$3:$Q$6,2,FALSE)),"")</f>
        <v/>
      </c>
      <c r="AH99" s="513" t="str">
        <f t="shared" si="9"/>
        <v/>
      </c>
      <c r="AI99" s="231"/>
      <c r="AJ99" s="150"/>
      <c r="AT99" s="31" t="str">
        <f>IFERROR(INDEX('G-6 Hedgerow Data'!$BJ$3:$BJ$15,MATCH(M99,'G-6 Hedgerow Data'!$B$3:$B$15,0)),"")</f>
        <v/>
      </c>
    </row>
    <row r="100" spans="2:46" ht="13.8" x14ac:dyDescent="0.25">
      <c r="B100" s="531" t="str">
        <f>'B-1 Site Hedge Baseline'!AK98</f>
        <v/>
      </c>
      <c r="C100" s="520" t="str">
        <f>IF(B100="","",IF(ISNA(VLOOKUP($B100,'B-1 Site Hedge Baseline'!$B$1:$L$257,3,FALSE)),"",(VLOOKUP($B100,'B-1 Site Hedge Baseline'!$B$1:$L$257,3,FALSE))))</f>
        <v/>
      </c>
      <c r="D100" s="520" t="str">
        <f>IF(B100="","",IF(ISNA(VLOOKUP($B100,'B-1 Site Hedge Baseline'!$B$1:$L$257,4,FALSE)),"",(VLOOKUP($B100,'B-1 Site Hedge Baseline'!$B$1:$L$257,4,FALSE))))</f>
        <v/>
      </c>
      <c r="E100" s="520" t="str">
        <f>IF(B100="","",IF(ISNA(VLOOKUP($B100,'B-1 Site Hedge Baseline'!$B$1:$L$257,5,FALSE)),"",(VLOOKUP($B100,'B-1 Site Hedge Baseline'!$B$1:$L$257,5,FALSE))))</f>
        <v/>
      </c>
      <c r="F100" s="520" t="str">
        <f>IF(B100="","",IF(ISNA(VLOOKUP($B100,'B-1 Site Hedge Baseline'!$B$1:$L$257,6,FALSE)),"",(VLOOKUP($B100,'B-1 Site Hedge Baseline'!$B$1:$L$257,6,FALSE))))</f>
        <v/>
      </c>
      <c r="G100" s="520" t="str">
        <f>IF(B100="","",IF(ISNA(VLOOKUP($B100,'B-1 Site Hedge Baseline'!$B$1:$L$257,7,FALSE)),"",(VLOOKUP($B100,'B-1 Site Hedge Baseline'!$B$1:$L$257,7,FALSE))))</f>
        <v/>
      </c>
      <c r="H100" s="520" t="str">
        <f>IF(B100="","",IF(ISNA(VLOOKUP($B100,'B-1 Site Hedge Baseline'!$B$1:$L$257,8,FALSE)),"",(VLOOKUP($B100,'B-1 Site Hedge Baseline'!$B$1:$L$257,8,FALSE))))</f>
        <v/>
      </c>
      <c r="I100" s="520" t="str">
        <f>IF(B100="","",IF(ISNA(VLOOKUP($B100,'B-1 Site Hedge Baseline'!$B$1:$L$257,10,FALSE)),"",(VLOOKUP($B100,'B-1 Site Hedge Baseline'!$B$1:$L$257,10,FALSE))))</f>
        <v/>
      </c>
      <c r="J100" s="520" t="str">
        <f>IF(B100="","",IF(ISNA(VLOOKUP($B100,'B-1 Site Hedge Baseline'!$B$1:$L$257,11,FALSE)),"",(VLOOKUP($B100,'B-1 Site Hedge Baseline'!$B$1:$L$257,11,FALSE))))</f>
        <v/>
      </c>
      <c r="K100" s="520" t="str">
        <f>IF(B100="","",IF(ISNA(VLOOKUP($B100,'B-1 Site Hedge Baseline'!$B$1:$U$257,13,FALSE)),"",(VLOOKUP($B100,'B-1 Site Hedge Baseline'!$B$1:$U$257,13,FALSE))))</f>
        <v/>
      </c>
      <c r="L100" s="524" t="str">
        <f>IF(B100="","",IF(ISNA(VLOOKUP($B100,'B-1 Site Hedge Baseline'!$B$1:$U$257,12,FALSE)),"",(VLOOKUP($B100,'B-1 Site Hedge Baseline'!$B$1:$U$257,12,FALSE))))</f>
        <v/>
      </c>
      <c r="M100" s="416" t="str">
        <f t="shared" si="15"/>
        <v/>
      </c>
      <c r="N100" s="498" t="str">
        <f>IFERROR(IF(B100="","",INDEX('G-6 Hedgerow Data'!$AN$3:$AZ$15,MATCH(C100,'G-6 Hedgerow Data'!$AM$3:$AM$15,0),MATCH(M100,'G-6 Hedgerow Data'!$AN$2:$AZ$2,0))),"")</f>
        <v/>
      </c>
      <c r="O100" s="499" t="str">
        <f t="shared" si="10"/>
        <v/>
      </c>
      <c r="P100" s="559" t="str">
        <f>IF(B100="","",VLOOKUP(B100,'B-1 Site Hedge Baseline'!$B$10:T345,16,FALSE))</f>
        <v/>
      </c>
      <c r="Q100" s="498" t="str">
        <f>IF(M100="","",VLOOKUP(M100,'G-6 Hedgerow Data'!$B$2:$AG$15,2,FALSE))</f>
        <v/>
      </c>
      <c r="R100" s="499" t="str">
        <f>IF(M100="","",VLOOKUP(M100,'G-6 Hedgerow Data'!$B$2:$AG$15,3,FALSE))</f>
        <v/>
      </c>
      <c r="S100" s="157"/>
      <c r="T100" s="540" t="str">
        <f>IFERROR(VLOOKUP(S100,'G-1 All Habitats'!$Z$2:$AA$9,2,FALSE),"")</f>
        <v/>
      </c>
      <c r="U100" s="154"/>
      <c r="V100" s="520" t="str">
        <f>IF(U100="","",IF(VLOOKUP(U100,'G-3 Multipliers'!$L$3:$N$6,2,FALSE)=0,"Spatial Data Missing ⚠",VLOOKUP(U100,'G-3 Multipliers'!$L$3:$N$6,2,FALSE)))</f>
        <v/>
      </c>
      <c r="W100" s="524"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8"/>
        <v/>
      </c>
      <c r="AD100" s="537" t="str">
        <f>IF(M100="","",VLOOKUP(M100,'G-6 Hedgerow Data'!$B$3:$AG$15,31,FALSE))</f>
        <v/>
      </c>
      <c r="AE100" s="507" t="str">
        <f t="shared" si="13"/>
        <v/>
      </c>
      <c r="AF100" s="507" t="str">
        <f t="shared" si="14"/>
        <v/>
      </c>
      <c r="AG100" s="524" t="str">
        <f>IFERROR(IF(O100="","",VLOOKUP(AD100,'G-3 Multipliers'!$P$3:$Q$6,2,FALSE)),"")</f>
        <v/>
      </c>
      <c r="AH100" s="513" t="str">
        <f t="shared" si="9"/>
        <v/>
      </c>
      <c r="AI100" s="231"/>
      <c r="AJ100" s="150"/>
      <c r="AT100" s="31" t="str">
        <f>IFERROR(INDEX('G-6 Hedgerow Data'!$BJ$3:$BJ$15,MATCH(M100,'G-6 Hedgerow Data'!$B$3:$B$15,0)),"")</f>
        <v/>
      </c>
    </row>
    <row r="101" spans="2:46" ht="13.8" x14ac:dyDescent="0.25">
      <c r="B101" s="531" t="str">
        <f>'B-1 Site Hedge Baseline'!AK99</f>
        <v/>
      </c>
      <c r="C101" s="520" t="str">
        <f>IF(B101="","",IF(ISNA(VLOOKUP($B101,'B-1 Site Hedge Baseline'!$B$1:$L$257,3,FALSE)),"",(VLOOKUP($B101,'B-1 Site Hedge Baseline'!$B$1:$L$257,3,FALSE))))</f>
        <v/>
      </c>
      <c r="D101" s="520" t="str">
        <f>IF(B101="","",IF(ISNA(VLOOKUP($B101,'B-1 Site Hedge Baseline'!$B$1:$L$257,4,FALSE)),"",(VLOOKUP($B101,'B-1 Site Hedge Baseline'!$B$1:$L$257,4,FALSE))))</f>
        <v/>
      </c>
      <c r="E101" s="520" t="str">
        <f>IF(B101="","",IF(ISNA(VLOOKUP($B101,'B-1 Site Hedge Baseline'!$B$1:$L$257,5,FALSE)),"",(VLOOKUP($B101,'B-1 Site Hedge Baseline'!$B$1:$L$257,5,FALSE))))</f>
        <v/>
      </c>
      <c r="F101" s="520" t="str">
        <f>IF(B101="","",IF(ISNA(VLOOKUP($B101,'B-1 Site Hedge Baseline'!$B$1:$L$257,6,FALSE)),"",(VLOOKUP($B101,'B-1 Site Hedge Baseline'!$B$1:$L$257,6,FALSE))))</f>
        <v/>
      </c>
      <c r="G101" s="520" t="str">
        <f>IF(B101="","",IF(ISNA(VLOOKUP($B101,'B-1 Site Hedge Baseline'!$B$1:$L$257,7,FALSE)),"",(VLOOKUP($B101,'B-1 Site Hedge Baseline'!$B$1:$L$257,7,FALSE))))</f>
        <v/>
      </c>
      <c r="H101" s="520" t="str">
        <f>IF(B101="","",IF(ISNA(VLOOKUP($B101,'B-1 Site Hedge Baseline'!$B$1:$L$257,8,FALSE)),"",(VLOOKUP($B101,'B-1 Site Hedge Baseline'!$B$1:$L$257,8,FALSE))))</f>
        <v/>
      </c>
      <c r="I101" s="520" t="str">
        <f>IF(B101="","",IF(ISNA(VLOOKUP($B101,'B-1 Site Hedge Baseline'!$B$1:$L$257,10,FALSE)),"",(VLOOKUP($B101,'B-1 Site Hedge Baseline'!$B$1:$L$257,10,FALSE))))</f>
        <v/>
      </c>
      <c r="J101" s="520" t="str">
        <f>IF(B101="","",IF(ISNA(VLOOKUP($B101,'B-1 Site Hedge Baseline'!$B$1:$L$257,11,FALSE)),"",(VLOOKUP($B101,'B-1 Site Hedge Baseline'!$B$1:$L$257,11,FALSE))))</f>
        <v/>
      </c>
      <c r="K101" s="520" t="str">
        <f>IF(B101="","",IF(ISNA(VLOOKUP($B101,'B-1 Site Hedge Baseline'!$B$1:$U$257,13,FALSE)),"",(VLOOKUP($B101,'B-1 Site Hedge Baseline'!$B$1:$U$257,13,FALSE))))</f>
        <v/>
      </c>
      <c r="L101" s="524" t="str">
        <f>IF(B101="","",IF(ISNA(VLOOKUP($B101,'B-1 Site Hedge Baseline'!$B$1:$U$257,12,FALSE)),"",(VLOOKUP($B101,'B-1 Site Hedge Baseline'!$B$1:$U$257,12,FALSE))))</f>
        <v/>
      </c>
      <c r="M101" s="416" t="str">
        <f t="shared" si="15"/>
        <v/>
      </c>
      <c r="N101" s="498" t="str">
        <f>IFERROR(IF(B101="","",INDEX('G-6 Hedgerow Data'!$AN$3:$AZ$15,MATCH(C101,'G-6 Hedgerow Data'!$AM$3:$AM$15,0),MATCH(M101,'G-6 Hedgerow Data'!$AN$2:$AZ$2,0))),"")</f>
        <v/>
      </c>
      <c r="O101" s="499" t="str">
        <f t="shared" si="10"/>
        <v/>
      </c>
      <c r="P101" s="559" t="str">
        <f>IF(B101="","",VLOOKUP(B101,'B-1 Site Hedge Baseline'!$B$10:T346,16,FALSE))</f>
        <v/>
      </c>
      <c r="Q101" s="498" t="str">
        <f>IF(M101="","",VLOOKUP(M101,'G-6 Hedgerow Data'!$B$2:$AG$15,2,FALSE))</f>
        <v/>
      </c>
      <c r="R101" s="499" t="str">
        <f>IF(M101="","",VLOOKUP(M101,'G-6 Hedgerow Data'!$B$2:$AG$15,3,FALSE))</f>
        <v/>
      </c>
      <c r="S101" s="157"/>
      <c r="T101" s="540" t="str">
        <f>IFERROR(VLOOKUP(S101,'G-1 All Habitats'!$Z$2:$AA$9,2,FALSE),"")</f>
        <v/>
      </c>
      <c r="U101" s="154"/>
      <c r="V101" s="520" t="str">
        <f>IF(U101="","",IF(VLOOKUP(U101,'G-3 Multipliers'!$L$3:$N$6,2,FALSE)=0,"Spatial Data Missing ⚠",VLOOKUP(U101,'G-3 Multipliers'!$L$3:$N$6,2,FALSE)))</f>
        <v/>
      </c>
      <c r="W101" s="524"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8"/>
        <v/>
      </c>
      <c r="AD101" s="537" t="str">
        <f>IF(M101="","",VLOOKUP(M101,'G-6 Hedgerow Data'!$B$3:$AG$15,31,FALSE))</f>
        <v/>
      </c>
      <c r="AE101" s="507" t="str">
        <f t="shared" si="13"/>
        <v/>
      </c>
      <c r="AF101" s="507" t="str">
        <f t="shared" si="14"/>
        <v/>
      </c>
      <c r="AG101" s="524" t="str">
        <f>IFERROR(IF(O101="","",VLOOKUP(AD101,'G-3 Multipliers'!$P$3:$Q$6,2,FALSE)),"")</f>
        <v/>
      </c>
      <c r="AH101" s="513" t="str">
        <f t="shared" si="9"/>
        <v/>
      </c>
      <c r="AI101" s="231"/>
      <c r="AJ101" s="150"/>
      <c r="AT101" s="31" t="str">
        <f>IFERROR(INDEX('G-6 Hedgerow Data'!$BJ$3:$BJ$15,MATCH(M101,'G-6 Hedgerow Data'!$B$3:$B$15,0)),"")</f>
        <v/>
      </c>
    </row>
    <row r="102" spans="2:46" ht="13.8" x14ac:dyDescent="0.25">
      <c r="B102" s="531" t="str">
        <f>'B-1 Site Hedge Baseline'!AK100</f>
        <v/>
      </c>
      <c r="C102" s="520" t="str">
        <f>IF(B102="","",IF(ISNA(VLOOKUP($B102,'B-1 Site Hedge Baseline'!$B$1:$L$257,3,FALSE)),"",(VLOOKUP($B102,'B-1 Site Hedge Baseline'!$B$1:$L$257,3,FALSE))))</f>
        <v/>
      </c>
      <c r="D102" s="520" t="str">
        <f>IF(B102="","",IF(ISNA(VLOOKUP($B102,'B-1 Site Hedge Baseline'!$B$1:$L$257,4,FALSE)),"",(VLOOKUP($B102,'B-1 Site Hedge Baseline'!$B$1:$L$257,4,FALSE))))</f>
        <v/>
      </c>
      <c r="E102" s="520" t="str">
        <f>IF(B102="","",IF(ISNA(VLOOKUP($B102,'B-1 Site Hedge Baseline'!$B$1:$L$257,5,FALSE)),"",(VLOOKUP($B102,'B-1 Site Hedge Baseline'!$B$1:$L$257,5,FALSE))))</f>
        <v/>
      </c>
      <c r="F102" s="520" t="str">
        <f>IF(B102="","",IF(ISNA(VLOOKUP($B102,'B-1 Site Hedge Baseline'!$B$1:$L$257,6,FALSE)),"",(VLOOKUP($B102,'B-1 Site Hedge Baseline'!$B$1:$L$257,6,FALSE))))</f>
        <v/>
      </c>
      <c r="G102" s="520" t="str">
        <f>IF(B102="","",IF(ISNA(VLOOKUP($B102,'B-1 Site Hedge Baseline'!$B$1:$L$257,7,FALSE)),"",(VLOOKUP($B102,'B-1 Site Hedge Baseline'!$B$1:$L$257,7,FALSE))))</f>
        <v/>
      </c>
      <c r="H102" s="520" t="str">
        <f>IF(B102="","",IF(ISNA(VLOOKUP($B102,'B-1 Site Hedge Baseline'!$B$1:$L$257,8,FALSE)),"",(VLOOKUP($B102,'B-1 Site Hedge Baseline'!$B$1:$L$257,8,FALSE))))</f>
        <v/>
      </c>
      <c r="I102" s="520" t="str">
        <f>IF(B102="","",IF(ISNA(VLOOKUP($B102,'B-1 Site Hedge Baseline'!$B$1:$L$257,10,FALSE)),"",(VLOOKUP($B102,'B-1 Site Hedge Baseline'!$B$1:$L$257,10,FALSE))))</f>
        <v/>
      </c>
      <c r="J102" s="520" t="str">
        <f>IF(B102="","",IF(ISNA(VLOOKUP($B102,'B-1 Site Hedge Baseline'!$B$1:$L$257,11,FALSE)),"",(VLOOKUP($B102,'B-1 Site Hedge Baseline'!$B$1:$L$257,11,FALSE))))</f>
        <v/>
      </c>
      <c r="K102" s="520" t="str">
        <f>IF(B102="","",IF(ISNA(VLOOKUP($B102,'B-1 Site Hedge Baseline'!$B$1:$U$257,13,FALSE)),"",(VLOOKUP($B102,'B-1 Site Hedge Baseline'!$B$1:$U$257,13,FALSE))))</f>
        <v/>
      </c>
      <c r="L102" s="524" t="str">
        <f>IF(B102="","",IF(ISNA(VLOOKUP($B102,'B-1 Site Hedge Baseline'!$B$1:$U$257,12,FALSE)),"",(VLOOKUP($B102,'B-1 Site Hedge Baseline'!$B$1:$U$257,12,FALSE))))</f>
        <v/>
      </c>
      <c r="M102" s="416" t="str">
        <f t="shared" si="15"/>
        <v/>
      </c>
      <c r="N102" s="498" t="str">
        <f>IFERROR(IF(B102="","",INDEX('G-6 Hedgerow Data'!$AN$3:$AZ$15,MATCH(C102,'G-6 Hedgerow Data'!$AM$3:$AM$15,0),MATCH(M102,'G-6 Hedgerow Data'!$AN$2:$AZ$2,0))),"")</f>
        <v/>
      </c>
      <c r="O102" s="499" t="str">
        <f t="shared" si="10"/>
        <v/>
      </c>
      <c r="P102" s="559" t="str">
        <f>IF(B102="","",VLOOKUP(B102,'B-1 Site Hedge Baseline'!$B$10:T347,16,FALSE))</f>
        <v/>
      </c>
      <c r="Q102" s="498" t="str">
        <f>IF(M102="","",VLOOKUP(M102,'G-6 Hedgerow Data'!$B$2:$AG$15,2,FALSE))</f>
        <v/>
      </c>
      <c r="R102" s="499" t="str">
        <f>IF(M102="","",VLOOKUP(M102,'G-6 Hedgerow Data'!$B$2:$AG$15,3,FALSE))</f>
        <v/>
      </c>
      <c r="S102" s="157"/>
      <c r="T102" s="540" t="str">
        <f>IFERROR(VLOOKUP(S102,'G-1 All Habitats'!$Z$2:$AA$9,2,FALSE),"")</f>
        <v/>
      </c>
      <c r="U102" s="154"/>
      <c r="V102" s="520" t="str">
        <f>IF(U102="","",IF(VLOOKUP(U102,'G-3 Multipliers'!$L$3:$N$6,2,FALSE)=0,"Spatial Data Missing ⚠",VLOOKUP(U102,'G-3 Multipliers'!$L$3:$N$6,2,FALSE)))</f>
        <v/>
      </c>
      <c r="W102" s="524"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8"/>
        <v/>
      </c>
      <c r="AD102" s="537" t="str">
        <f>IF(M102="","",VLOOKUP(M102,'G-6 Hedgerow Data'!$B$3:$AG$15,31,FALSE))</f>
        <v/>
      </c>
      <c r="AE102" s="507" t="str">
        <f t="shared" si="13"/>
        <v/>
      </c>
      <c r="AF102" s="507" t="str">
        <f t="shared" si="14"/>
        <v/>
      </c>
      <c r="AG102" s="524" t="str">
        <f>IFERROR(IF(O102="","",VLOOKUP(AD102,'G-3 Multipliers'!$P$3:$Q$6,2,FALSE)),"")</f>
        <v/>
      </c>
      <c r="AH102" s="513" t="str">
        <f t="shared" si="9"/>
        <v/>
      </c>
      <c r="AI102" s="231"/>
      <c r="AJ102" s="150"/>
      <c r="AT102" s="31" t="str">
        <f>IFERROR(INDEX('G-6 Hedgerow Data'!$BJ$3:$BJ$15,MATCH(M102,'G-6 Hedgerow Data'!$B$3:$B$15,0)),"")</f>
        <v/>
      </c>
    </row>
    <row r="103" spans="2:46" ht="13.8" x14ac:dyDescent="0.25">
      <c r="B103" s="531" t="str">
        <f>'B-1 Site Hedge Baseline'!AK101</f>
        <v/>
      </c>
      <c r="C103" s="520" t="str">
        <f>IF(B103="","",IF(ISNA(VLOOKUP($B103,'B-1 Site Hedge Baseline'!$B$1:$L$257,3,FALSE)),"",(VLOOKUP($B103,'B-1 Site Hedge Baseline'!$B$1:$L$257,3,FALSE))))</f>
        <v/>
      </c>
      <c r="D103" s="520" t="str">
        <f>IF(B103="","",IF(ISNA(VLOOKUP($B103,'B-1 Site Hedge Baseline'!$B$1:$L$257,4,FALSE)),"",(VLOOKUP($B103,'B-1 Site Hedge Baseline'!$B$1:$L$257,4,FALSE))))</f>
        <v/>
      </c>
      <c r="E103" s="520" t="str">
        <f>IF(B103="","",IF(ISNA(VLOOKUP($B103,'B-1 Site Hedge Baseline'!$B$1:$L$257,5,FALSE)),"",(VLOOKUP($B103,'B-1 Site Hedge Baseline'!$B$1:$L$257,5,FALSE))))</f>
        <v/>
      </c>
      <c r="F103" s="520" t="str">
        <f>IF(B103="","",IF(ISNA(VLOOKUP($B103,'B-1 Site Hedge Baseline'!$B$1:$L$257,6,FALSE)),"",(VLOOKUP($B103,'B-1 Site Hedge Baseline'!$B$1:$L$257,6,FALSE))))</f>
        <v/>
      </c>
      <c r="G103" s="520" t="str">
        <f>IF(B103="","",IF(ISNA(VLOOKUP($B103,'B-1 Site Hedge Baseline'!$B$1:$L$257,7,FALSE)),"",(VLOOKUP($B103,'B-1 Site Hedge Baseline'!$B$1:$L$257,7,FALSE))))</f>
        <v/>
      </c>
      <c r="H103" s="520" t="str">
        <f>IF(B103="","",IF(ISNA(VLOOKUP($B103,'B-1 Site Hedge Baseline'!$B$1:$L$257,8,FALSE)),"",(VLOOKUP($B103,'B-1 Site Hedge Baseline'!$B$1:$L$257,8,FALSE))))</f>
        <v/>
      </c>
      <c r="I103" s="520" t="str">
        <f>IF(B103="","",IF(ISNA(VLOOKUP($B103,'B-1 Site Hedge Baseline'!$B$1:$L$257,10,FALSE)),"",(VLOOKUP($B103,'B-1 Site Hedge Baseline'!$B$1:$L$257,10,FALSE))))</f>
        <v/>
      </c>
      <c r="J103" s="520" t="str">
        <f>IF(B103="","",IF(ISNA(VLOOKUP($B103,'B-1 Site Hedge Baseline'!$B$1:$L$257,11,FALSE)),"",(VLOOKUP($B103,'B-1 Site Hedge Baseline'!$B$1:$L$257,11,FALSE))))</f>
        <v/>
      </c>
      <c r="K103" s="520" t="str">
        <f>IF(B103="","",IF(ISNA(VLOOKUP($B103,'B-1 Site Hedge Baseline'!$B$1:$U$257,13,FALSE)),"",(VLOOKUP($B103,'B-1 Site Hedge Baseline'!$B$1:$U$257,13,FALSE))))</f>
        <v/>
      </c>
      <c r="L103" s="524" t="str">
        <f>IF(B103="","",IF(ISNA(VLOOKUP($B103,'B-1 Site Hedge Baseline'!$B$1:$U$257,12,FALSE)),"",(VLOOKUP($B103,'B-1 Site Hedge Baseline'!$B$1:$U$257,12,FALSE))))</f>
        <v/>
      </c>
      <c r="M103" s="416" t="str">
        <f t="shared" si="15"/>
        <v/>
      </c>
      <c r="N103" s="498" t="str">
        <f>IFERROR(IF(B103="","",INDEX('G-6 Hedgerow Data'!$AN$3:$AZ$15,MATCH(C103,'G-6 Hedgerow Data'!$AM$3:$AM$15,0),MATCH(M103,'G-6 Hedgerow Data'!$AN$2:$AZ$2,0))),"")</f>
        <v/>
      </c>
      <c r="O103" s="499" t="str">
        <f t="shared" si="10"/>
        <v/>
      </c>
      <c r="P103" s="559" t="str">
        <f>IF(B103="","",VLOOKUP(B103,'B-1 Site Hedge Baseline'!$B$10:T348,16,FALSE))</f>
        <v/>
      </c>
      <c r="Q103" s="498" t="str">
        <f>IF(M103="","",VLOOKUP(M103,'G-6 Hedgerow Data'!$B$2:$AG$15,2,FALSE))</f>
        <v/>
      </c>
      <c r="R103" s="499" t="str">
        <f>IF(M103="","",VLOOKUP(M103,'G-6 Hedgerow Data'!$B$2:$AG$15,3,FALSE))</f>
        <v/>
      </c>
      <c r="S103" s="157"/>
      <c r="T103" s="540" t="str">
        <f>IFERROR(VLOOKUP(S103,'G-1 All Habitats'!$Z$2:$AA$9,2,FALSE),"")</f>
        <v/>
      </c>
      <c r="U103" s="154"/>
      <c r="V103" s="520" t="str">
        <f>IF(U103="","",IF(VLOOKUP(U103,'G-3 Multipliers'!$L$3:$N$6,2,FALSE)=0,"Spatial Data Missing ⚠",VLOOKUP(U103,'G-3 Multipliers'!$L$3:$N$6,2,FALSE)))</f>
        <v/>
      </c>
      <c r="W103" s="524"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8"/>
        <v/>
      </c>
      <c r="AD103" s="537" t="str">
        <f>IF(M103="","",VLOOKUP(M103,'G-6 Hedgerow Data'!$B$3:$AG$15,31,FALSE))</f>
        <v/>
      </c>
      <c r="AE103" s="507" t="str">
        <f t="shared" si="13"/>
        <v/>
      </c>
      <c r="AF103" s="507" t="str">
        <f t="shared" si="14"/>
        <v/>
      </c>
      <c r="AG103" s="524" t="str">
        <f>IFERROR(IF(O103="","",VLOOKUP(AD103,'G-3 Multipliers'!$P$3:$Q$6,2,FALSE)),"")</f>
        <v/>
      </c>
      <c r="AH103" s="513" t="str">
        <f t="shared" si="9"/>
        <v/>
      </c>
      <c r="AI103" s="231"/>
      <c r="AJ103" s="150"/>
      <c r="AT103" s="31" t="str">
        <f>IFERROR(INDEX('G-6 Hedgerow Data'!$BJ$3:$BJ$15,MATCH(M103,'G-6 Hedgerow Data'!$B$3:$B$15,0)),"")</f>
        <v/>
      </c>
    </row>
    <row r="104" spans="2:46" ht="13.8" x14ac:dyDescent="0.25">
      <c r="B104" s="531" t="str">
        <f>'B-1 Site Hedge Baseline'!AK102</f>
        <v/>
      </c>
      <c r="C104" s="520" t="str">
        <f>IF(B104="","",IF(ISNA(VLOOKUP($B104,'B-1 Site Hedge Baseline'!$B$1:$L$257,3,FALSE)),"",(VLOOKUP($B104,'B-1 Site Hedge Baseline'!$B$1:$L$257,3,FALSE))))</f>
        <v/>
      </c>
      <c r="D104" s="520" t="str">
        <f>IF(B104="","",IF(ISNA(VLOOKUP($B104,'B-1 Site Hedge Baseline'!$B$1:$L$257,4,FALSE)),"",(VLOOKUP($B104,'B-1 Site Hedge Baseline'!$B$1:$L$257,4,FALSE))))</f>
        <v/>
      </c>
      <c r="E104" s="520" t="str">
        <f>IF(B104="","",IF(ISNA(VLOOKUP($B104,'B-1 Site Hedge Baseline'!$B$1:$L$257,5,FALSE)),"",(VLOOKUP($B104,'B-1 Site Hedge Baseline'!$B$1:$L$257,5,FALSE))))</f>
        <v/>
      </c>
      <c r="F104" s="520" t="str">
        <f>IF(B104="","",IF(ISNA(VLOOKUP($B104,'B-1 Site Hedge Baseline'!$B$1:$L$257,6,FALSE)),"",(VLOOKUP($B104,'B-1 Site Hedge Baseline'!$B$1:$L$257,6,FALSE))))</f>
        <v/>
      </c>
      <c r="G104" s="520" t="str">
        <f>IF(B104="","",IF(ISNA(VLOOKUP($B104,'B-1 Site Hedge Baseline'!$B$1:$L$257,7,FALSE)),"",(VLOOKUP($B104,'B-1 Site Hedge Baseline'!$B$1:$L$257,7,FALSE))))</f>
        <v/>
      </c>
      <c r="H104" s="520" t="str">
        <f>IF(B104="","",IF(ISNA(VLOOKUP($B104,'B-1 Site Hedge Baseline'!$B$1:$L$257,8,FALSE)),"",(VLOOKUP($B104,'B-1 Site Hedge Baseline'!$B$1:$L$257,8,FALSE))))</f>
        <v/>
      </c>
      <c r="I104" s="520" t="str">
        <f>IF(B104="","",IF(ISNA(VLOOKUP($B104,'B-1 Site Hedge Baseline'!$B$1:$L$257,10,FALSE)),"",(VLOOKUP($B104,'B-1 Site Hedge Baseline'!$B$1:$L$257,10,FALSE))))</f>
        <v/>
      </c>
      <c r="J104" s="520" t="str">
        <f>IF(B104="","",IF(ISNA(VLOOKUP($B104,'B-1 Site Hedge Baseline'!$B$1:$L$257,11,FALSE)),"",(VLOOKUP($B104,'B-1 Site Hedge Baseline'!$B$1:$L$257,11,FALSE))))</f>
        <v/>
      </c>
      <c r="K104" s="520" t="str">
        <f>IF(B104="","",IF(ISNA(VLOOKUP($B104,'B-1 Site Hedge Baseline'!$B$1:$U$257,13,FALSE)),"",(VLOOKUP($B104,'B-1 Site Hedge Baseline'!$B$1:$U$257,13,FALSE))))</f>
        <v/>
      </c>
      <c r="L104" s="524" t="str">
        <f>IF(B104="","",IF(ISNA(VLOOKUP($B104,'B-1 Site Hedge Baseline'!$B$1:$U$257,12,FALSE)),"",(VLOOKUP($B104,'B-1 Site Hedge Baseline'!$B$1:$U$257,12,FALSE))))</f>
        <v/>
      </c>
      <c r="M104" s="416" t="str">
        <f t="shared" si="15"/>
        <v/>
      </c>
      <c r="N104" s="498" t="str">
        <f>IFERROR(IF(B104="","",INDEX('G-6 Hedgerow Data'!$AN$3:$AZ$15,MATCH(C104,'G-6 Hedgerow Data'!$AM$3:$AM$15,0),MATCH(M104,'G-6 Hedgerow Data'!$AN$2:$AZ$2,0))),"")</f>
        <v/>
      </c>
      <c r="O104" s="499" t="str">
        <f t="shared" si="10"/>
        <v/>
      </c>
      <c r="P104" s="559" t="str">
        <f>IF(B104="","",VLOOKUP(B104,'B-1 Site Hedge Baseline'!$B$10:T349,16,FALSE))</f>
        <v/>
      </c>
      <c r="Q104" s="498" t="str">
        <f>IF(M104="","",VLOOKUP(M104,'G-6 Hedgerow Data'!$B$2:$AG$15,2,FALSE))</f>
        <v/>
      </c>
      <c r="R104" s="499" t="str">
        <f>IF(M104="","",VLOOKUP(M104,'G-6 Hedgerow Data'!$B$2:$AG$15,3,FALSE))</f>
        <v/>
      </c>
      <c r="S104" s="157"/>
      <c r="T104" s="540" t="str">
        <f>IFERROR(VLOOKUP(S104,'G-1 All Habitats'!$Z$2:$AA$9,2,FALSE),"")</f>
        <v/>
      </c>
      <c r="U104" s="154"/>
      <c r="V104" s="520" t="str">
        <f>IF(U104="","",IF(VLOOKUP(U104,'G-3 Multipliers'!$L$3:$N$6,2,FALSE)=0,"Spatial Data Missing ⚠",VLOOKUP(U104,'G-3 Multipliers'!$L$3:$N$6,2,FALSE)))</f>
        <v/>
      </c>
      <c r="W104" s="524"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8"/>
        <v/>
      </c>
      <c r="AD104" s="537" t="str">
        <f>IF(M104="","",VLOOKUP(M104,'G-6 Hedgerow Data'!$B$3:$AG$15,31,FALSE))</f>
        <v/>
      </c>
      <c r="AE104" s="507" t="str">
        <f t="shared" si="13"/>
        <v/>
      </c>
      <c r="AF104" s="507" t="str">
        <f t="shared" si="14"/>
        <v/>
      </c>
      <c r="AG104" s="524" t="str">
        <f>IFERROR(IF(O104="","",VLOOKUP(AD104,'G-3 Multipliers'!$P$3:$Q$6,2,FALSE)),"")</f>
        <v/>
      </c>
      <c r="AH104" s="513" t="str">
        <f t="shared" si="9"/>
        <v/>
      </c>
      <c r="AI104" s="231"/>
      <c r="AJ104" s="150"/>
      <c r="AT104" s="31" t="str">
        <f>IFERROR(INDEX('G-6 Hedgerow Data'!$BJ$3:$BJ$15,MATCH(M104,'G-6 Hedgerow Data'!$B$3:$B$15,0)),"")</f>
        <v/>
      </c>
    </row>
    <row r="105" spans="2:46" ht="13.8" x14ac:dyDescent="0.25">
      <c r="B105" s="531" t="str">
        <f>'B-1 Site Hedge Baseline'!AK103</f>
        <v/>
      </c>
      <c r="C105" s="520" t="str">
        <f>IF(B105="","",IF(ISNA(VLOOKUP($B105,'B-1 Site Hedge Baseline'!$B$1:$L$257,3,FALSE)),"",(VLOOKUP($B105,'B-1 Site Hedge Baseline'!$B$1:$L$257,3,FALSE))))</f>
        <v/>
      </c>
      <c r="D105" s="520" t="str">
        <f>IF(B105="","",IF(ISNA(VLOOKUP($B105,'B-1 Site Hedge Baseline'!$B$1:$L$257,4,FALSE)),"",(VLOOKUP($B105,'B-1 Site Hedge Baseline'!$B$1:$L$257,4,FALSE))))</f>
        <v/>
      </c>
      <c r="E105" s="520" t="str">
        <f>IF(B105="","",IF(ISNA(VLOOKUP($B105,'B-1 Site Hedge Baseline'!$B$1:$L$257,5,FALSE)),"",(VLOOKUP($B105,'B-1 Site Hedge Baseline'!$B$1:$L$257,5,FALSE))))</f>
        <v/>
      </c>
      <c r="F105" s="520" t="str">
        <f>IF(B105="","",IF(ISNA(VLOOKUP($B105,'B-1 Site Hedge Baseline'!$B$1:$L$257,6,FALSE)),"",(VLOOKUP($B105,'B-1 Site Hedge Baseline'!$B$1:$L$257,6,FALSE))))</f>
        <v/>
      </c>
      <c r="G105" s="520" t="str">
        <f>IF(B105="","",IF(ISNA(VLOOKUP($B105,'B-1 Site Hedge Baseline'!$B$1:$L$257,7,FALSE)),"",(VLOOKUP($B105,'B-1 Site Hedge Baseline'!$B$1:$L$257,7,FALSE))))</f>
        <v/>
      </c>
      <c r="H105" s="520" t="str">
        <f>IF(B105="","",IF(ISNA(VLOOKUP($B105,'B-1 Site Hedge Baseline'!$B$1:$L$257,8,FALSE)),"",(VLOOKUP($B105,'B-1 Site Hedge Baseline'!$B$1:$L$257,8,FALSE))))</f>
        <v/>
      </c>
      <c r="I105" s="520" t="str">
        <f>IF(B105="","",IF(ISNA(VLOOKUP($B105,'B-1 Site Hedge Baseline'!$B$1:$L$257,10,FALSE)),"",(VLOOKUP($B105,'B-1 Site Hedge Baseline'!$B$1:$L$257,10,FALSE))))</f>
        <v/>
      </c>
      <c r="J105" s="520" t="str">
        <f>IF(B105="","",IF(ISNA(VLOOKUP($B105,'B-1 Site Hedge Baseline'!$B$1:$L$257,11,FALSE)),"",(VLOOKUP($B105,'B-1 Site Hedge Baseline'!$B$1:$L$257,11,FALSE))))</f>
        <v/>
      </c>
      <c r="K105" s="520" t="str">
        <f>IF(B105="","",IF(ISNA(VLOOKUP($B105,'B-1 Site Hedge Baseline'!$B$1:$U$257,13,FALSE)),"",(VLOOKUP($B105,'B-1 Site Hedge Baseline'!$B$1:$U$257,13,FALSE))))</f>
        <v/>
      </c>
      <c r="L105" s="524" t="str">
        <f>IF(B105="","",IF(ISNA(VLOOKUP($B105,'B-1 Site Hedge Baseline'!$B$1:$U$257,12,FALSE)),"",(VLOOKUP($B105,'B-1 Site Hedge Baseline'!$B$1:$U$257,12,FALSE))))</f>
        <v/>
      </c>
      <c r="M105" s="416" t="str">
        <f t="shared" si="15"/>
        <v/>
      </c>
      <c r="N105" s="498" t="str">
        <f>IFERROR(IF(B105="","",INDEX('G-6 Hedgerow Data'!$AN$3:$AZ$15,MATCH(C105,'G-6 Hedgerow Data'!$AM$3:$AM$15,0),MATCH(M105,'G-6 Hedgerow Data'!$AN$2:$AZ$2,0))),"")</f>
        <v/>
      </c>
      <c r="O105" s="499" t="str">
        <f t="shared" si="10"/>
        <v/>
      </c>
      <c r="P105" s="559" t="str">
        <f>IF(B105="","",VLOOKUP(B105,'B-1 Site Hedge Baseline'!$B$10:T350,16,FALSE))</f>
        <v/>
      </c>
      <c r="Q105" s="498" t="str">
        <f>IF(M105="","",VLOOKUP(M105,'G-6 Hedgerow Data'!$B$2:$AG$15,2,FALSE))</f>
        <v/>
      </c>
      <c r="R105" s="499" t="str">
        <f>IF(M105="","",VLOOKUP(M105,'G-6 Hedgerow Data'!$B$2:$AG$15,3,FALSE))</f>
        <v/>
      </c>
      <c r="S105" s="157"/>
      <c r="T105" s="540" t="str">
        <f>IFERROR(VLOOKUP(S105,'G-1 All Habitats'!$Z$2:$AA$9,2,FALSE),"")</f>
        <v/>
      </c>
      <c r="U105" s="154"/>
      <c r="V105" s="520" t="str">
        <f>IF(U105="","",IF(VLOOKUP(U105,'G-3 Multipliers'!$L$3:$N$6,2,FALSE)=0,"Spatial Data Missing ⚠",VLOOKUP(U105,'G-3 Multipliers'!$L$3:$N$6,2,FALSE)))</f>
        <v/>
      </c>
      <c r="W105" s="524"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8"/>
        <v/>
      </c>
      <c r="AD105" s="537" t="str">
        <f>IF(M105="","",VLOOKUP(M105,'G-6 Hedgerow Data'!$B$3:$AG$15,31,FALSE))</f>
        <v/>
      </c>
      <c r="AE105" s="507" t="str">
        <f t="shared" si="13"/>
        <v/>
      </c>
      <c r="AF105" s="507" t="str">
        <f t="shared" si="14"/>
        <v/>
      </c>
      <c r="AG105" s="524" t="str">
        <f>IFERROR(IF(O105="","",VLOOKUP(AD105,'G-3 Multipliers'!$P$3:$Q$6,2,FALSE)),"")</f>
        <v/>
      </c>
      <c r="AH105" s="513" t="str">
        <f t="shared" si="9"/>
        <v/>
      </c>
      <c r="AI105" s="231"/>
      <c r="AJ105" s="150"/>
      <c r="AT105" s="31" t="str">
        <f>IFERROR(INDEX('G-6 Hedgerow Data'!$BJ$3:$BJ$15,MATCH(M105,'G-6 Hedgerow Data'!$B$3:$B$15,0)),"")</f>
        <v/>
      </c>
    </row>
    <row r="106" spans="2:46" ht="13.8" x14ac:dyDescent="0.25">
      <c r="B106" s="531" t="str">
        <f>'B-1 Site Hedge Baseline'!AK104</f>
        <v/>
      </c>
      <c r="C106" s="520" t="str">
        <f>IF(B106="","",IF(ISNA(VLOOKUP($B106,'B-1 Site Hedge Baseline'!$B$1:$L$257,3,FALSE)),"",(VLOOKUP($B106,'B-1 Site Hedge Baseline'!$B$1:$L$257,3,FALSE))))</f>
        <v/>
      </c>
      <c r="D106" s="520" t="str">
        <f>IF(B106="","",IF(ISNA(VLOOKUP($B106,'B-1 Site Hedge Baseline'!$B$1:$L$257,4,FALSE)),"",(VLOOKUP($B106,'B-1 Site Hedge Baseline'!$B$1:$L$257,4,FALSE))))</f>
        <v/>
      </c>
      <c r="E106" s="520" t="str">
        <f>IF(B106="","",IF(ISNA(VLOOKUP($B106,'B-1 Site Hedge Baseline'!$B$1:$L$257,5,FALSE)),"",(VLOOKUP($B106,'B-1 Site Hedge Baseline'!$B$1:$L$257,5,FALSE))))</f>
        <v/>
      </c>
      <c r="F106" s="520" t="str">
        <f>IF(B106="","",IF(ISNA(VLOOKUP($B106,'B-1 Site Hedge Baseline'!$B$1:$L$257,6,FALSE)),"",(VLOOKUP($B106,'B-1 Site Hedge Baseline'!$B$1:$L$257,6,FALSE))))</f>
        <v/>
      </c>
      <c r="G106" s="520" t="str">
        <f>IF(B106="","",IF(ISNA(VLOOKUP($B106,'B-1 Site Hedge Baseline'!$B$1:$L$257,7,FALSE)),"",(VLOOKUP($B106,'B-1 Site Hedge Baseline'!$B$1:$L$257,7,FALSE))))</f>
        <v/>
      </c>
      <c r="H106" s="520" t="str">
        <f>IF(B106="","",IF(ISNA(VLOOKUP($B106,'B-1 Site Hedge Baseline'!$B$1:$L$257,8,FALSE)),"",(VLOOKUP($B106,'B-1 Site Hedge Baseline'!$B$1:$L$257,8,FALSE))))</f>
        <v/>
      </c>
      <c r="I106" s="520" t="str">
        <f>IF(B106="","",IF(ISNA(VLOOKUP($B106,'B-1 Site Hedge Baseline'!$B$1:$L$257,10,FALSE)),"",(VLOOKUP($B106,'B-1 Site Hedge Baseline'!$B$1:$L$257,10,FALSE))))</f>
        <v/>
      </c>
      <c r="J106" s="520" t="str">
        <f>IF(B106="","",IF(ISNA(VLOOKUP($B106,'B-1 Site Hedge Baseline'!$B$1:$L$257,11,FALSE)),"",(VLOOKUP($B106,'B-1 Site Hedge Baseline'!$B$1:$L$257,11,FALSE))))</f>
        <v/>
      </c>
      <c r="K106" s="520" t="str">
        <f>IF(B106="","",IF(ISNA(VLOOKUP($B106,'B-1 Site Hedge Baseline'!$B$1:$U$257,13,FALSE)),"",(VLOOKUP($B106,'B-1 Site Hedge Baseline'!$B$1:$U$257,13,FALSE))))</f>
        <v/>
      </c>
      <c r="L106" s="524" t="str">
        <f>IF(B106="","",IF(ISNA(VLOOKUP($B106,'B-1 Site Hedge Baseline'!$B$1:$U$257,12,FALSE)),"",(VLOOKUP($B106,'B-1 Site Hedge Baseline'!$B$1:$U$257,12,FALSE))))</f>
        <v/>
      </c>
      <c r="M106" s="416" t="str">
        <f t="shared" si="15"/>
        <v/>
      </c>
      <c r="N106" s="498" t="str">
        <f>IFERROR(IF(B106="","",INDEX('G-6 Hedgerow Data'!$AN$3:$AZ$15,MATCH(C106,'G-6 Hedgerow Data'!$AM$3:$AM$15,0),MATCH(M106,'G-6 Hedgerow Data'!$AN$2:$AZ$2,0))),"")</f>
        <v/>
      </c>
      <c r="O106" s="499" t="str">
        <f t="shared" si="10"/>
        <v/>
      </c>
      <c r="P106" s="559" t="str">
        <f>IF(B106="","",VLOOKUP(B106,'B-1 Site Hedge Baseline'!$B$10:T351,16,FALSE))</f>
        <v/>
      </c>
      <c r="Q106" s="498" t="str">
        <f>IF(M106="","",VLOOKUP(M106,'G-6 Hedgerow Data'!$B$2:$AG$15,2,FALSE))</f>
        <v/>
      </c>
      <c r="R106" s="499" t="str">
        <f>IF(M106="","",VLOOKUP(M106,'G-6 Hedgerow Data'!$B$2:$AG$15,3,FALSE))</f>
        <v/>
      </c>
      <c r="S106" s="157"/>
      <c r="T106" s="540" t="str">
        <f>IFERROR(VLOOKUP(S106,'G-1 All Habitats'!$Z$2:$AA$9,2,FALSE),"")</f>
        <v/>
      </c>
      <c r="U106" s="154"/>
      <c r="V106" s="520" t="str">
        <f>IF(U106="","",IF(VLOOKUP(U106,'G-3 Multipliers'!$L$3:$N$6,2,FALSE)=0,"Spatial Data Missing ⚠",VLOOKUP(U106,'G-3 Multipliers'!$L$3:$N$6,2,FALSE)))</f>
        <v/>
      </c>
      <c r="W106" s="524"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8"/>
        <v/>
      </c>
      <c r="AD106" s="537" t="str">
        <f>IF(M106="","",VLOOKUP(M106,'G-6 Hedgerow Data'!$B$3:$AG$15,31,FALSE))</f>
        <v/>
      </c>
      <c r="AE106" s="507" t="str">
        <f t="shared" si="13"/>
        <v/>
      </c>
      <c r="AF106" s="507" t="str">
        <f t="shared" si="14"/>
        <v/>
      </c>
      <c r="AG106" s="524" t="str">
        <f>IFERROR(IF(O106="","",VLOOKUP(AD106,'G-3 Multipliers'!$P$3:$Q$6,2,FALSE)),"")</f>
        <v/>
      </c>
      <c r="AH106" s="513" t="str">
        <f t="shared" si="9"/>
        <v/>
      </c>
      <c r="AI106" s="231"/>
      <c r="AJ106" s="150"/>
      <c r="AT106" s="31" t="str">
        <f>IFERROR(INDEX('G-6 Hedgerow Data'!$BJ$3:$BJ$15,MATCH(M106,'G-6 Hedgerow Data'!$B$3:$B$15,0)),"")</f>
        <v/>
      </c>
    </row>
    <row r="107" spans="2:46" ht="13.8" x14ac:dyDescent="0.25">
      <c r="B107" s="531" t="str">
        <f>'B-1 Site Hedge Baseline'!AK105</f>
        <v/>
      </c>
      <c r="C107" s="520" t="str">
        <f>IF(B107="","",IF(ISNA(VLOOKUP($B107,'B-1 Site Hedge Baseline'!$B$1:$L$257,3,FALSE)),"",(VLOOKUP($B107,'B-1 Site Hedge Baseline'!$B$1:$L$257,3,FALSE))))</f>
        <v/>
      </c>
      <c r="D107" s="520" t="str">
        <f>IF(B107="","",IF(ISNA(VLOOKUP($B107,'B-1 Site Hedge Baseline'!$B$1:$L$257,4,FALSE)),"",(VLOOKUP($B107,'B-1 Site Hedge Baseline'!$B$1:$L$257,4,FALSE))))</f>
        <v/>
      </c>
      <c r="E107" s="520" t="str">
        <f>IF(B107="","",IF(ISNA(VLOOKUP($B107,'B-1 Site Hedge Baseline'!$B$1:$L$257,5,FALSE)),"",(VLOOKUP($B107,'B-1 Site Hedge Baseline'!$B$1:$L$257,5,FALSE))))</f>
        <v/>
      </c>
      <c r="F107" s="520" t="str">
        <f>IF(B107="","",IF(ISNA(VLOOKUP($B107,'B-1 Site Hedge Baseline'!$B$1:$L$257,6,FALSE)),"",(VLOOKUP($B107,'B-1 Site Hedge Baseline'!$B$1:$L$257,6,FALSE))))</f>
        <v/>
      </c>
      <c r="G107" s="520" t="str">
        <f>IF(B107="","",IF(ISNA(VLOOKUP($B107,'B-1 Site Hedge Baseline'!$B$1:$L$257,7,FALSE)),"",(VLOOKUP($B107,'B-1 Site Hedge Baseline'!$B$1:$L$257,7,FALSE))))</f>
        <v/>
      </c>
      <c r="H107" s="520" t="str">
        <f>IF(B107="","",IF(ISNA(VLOOKUP($B107,'B-1 Site Hedge Baseline'!$B$1:$L$257,8,FALSE)),"",(VLOOKUP($B107,'B-1 Site Hedge Baseline'!$B$1:$L$257,8,FALSE))))</f>
        <v/>
      </c>
      <c r="I107" s="520" t="str">
        <f>IF(B107="","",IF(ISNA(VLOOKUP($B107,'B-1 Site Hedge Baseline'!$B$1:$L$257,10,FALSE)),"",(VLOOKUP($B107,'B-1 Site Hedge Baseline'!$B$1:$L$257,10,FALSE))))</f>
        <v/>
      </c>
      <c r="J107" s="520" t="str">
        <f>IF(B107="","",IF(ISNA(VLOOKUP($B107,'B-1 Site Hedge Baseline'!$B$1:$L$257,11,FALSE)),"",(VLOOKUP($B107,'B-1 Site Hedge Baseline'!$B$1:$L$257,11,FALSE))))</f>
        <v/>
      </c>
      <c r="K107" s="520" t="str">
        <f>IF(B107="","",IF(ISNA(VLOOKUP($B107,'B-1 Site Hedge Baseline'!$B$1:$U$257,13,FALSE)),"",(VLOOKUP($B107,'B-1 Site Hedge Baseline'!$B$1:$U$257,13,FALSE))))</f>
        <v/>
      </c>
      <c r="L107" s="524" t="str">
        <f>IF(B107="","",IF(ISNA(VLOOKUP($B107,'B-1 Site Hedge Baseline'!$B$1:$U$257,12,FALSE)),"",(VLOOKUP($B107,'B-1 Site Hedge Baseline'!$B$1:$U$257,12,FALSE))))</f>
        <v/>
      </c>
      <c r="M107" s="416" t="str">
        <f t="shared" si="15"/>
        <v/>
      </c>
      <c r="N107" s="498" t="str">
        <f>IFERROR(IF(B107="","",INDEX('G-6 Hedgerow Data'!$AN$3:$AZ$15,MATCH(C107,'G-6 Hedgerow Data'!$AM$3:$AM$15,0),MATCH(M107,'G-6 Hedgerow Data'!$AN$2:$AZ$2,0))),"")</f>
        <v/>
      </c>
      <c r="O107" s="499" t="str">
        <f t="shared" si="10"/>
        <v/>
      </c>
      <c r="P107" s="559" t="str">
        <f>IF(B107="","",VLOOKUP(B107,'B-1 Site Hedge Baseline'!$B$10:T352,16,FALSE))</f>
        <v/>
      </c>
      <c r="Q107" s="498" t="str">
        <f>IF(M107="","",VLOOKUP(M107,'G-6 Hedgerow Data'!$B$2:$AG$15,2,FALSE))</f>
        <v/>
      </c>
      <c r="R107" s="499" t="str">
        <f>IF(M107="","",VLOOKUP(M107,'G-6 Hedgerow Data'!$B$2:$AG$15,3,FALSE))</f>
        <v/>
      </c>
      <c r="S107" s="157"/>
      <c r="T107" s="540" t="str">
        <f>IFERROR(VLOOKUP(S107,'G-1 All Habitats'!$Z$2:$AA$9,2,FALSE),"")</f>
        <v/>
      </c>
      <c r="U107" s="154"/>
      <c r="V107" s="520" t="str">
        <f>IF(U107="","",IF(VLOOKUP(U107,'G-3 Multipliers'!$L$3:$N$6,2,FALSE)=0,"Spatial Data Missing ⚠",VLOOKUP(U107,'G-3 Multipliers'!$L$3:$N$6,2,FALSE)))</f>
        <v/>
      </c>
      <c r="W107" s="524"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8"/>
        <v/>
      </c>
      <c r="AD107" s="537" t="str">
        <f>IF(M107="","",VLOOKUP(M107,'G-6 Hedgerow Data'!$B$3:$AG$15,31,FALSE))</f>
        <v/>
      </c>
      <c r="AE107" s="507" t="str">
        <f t="shared" si="13"/>
        <v/>
      </c>
      <c r="AF107" s="507" t="str">
        <f t="shared" si="14"/>
        <v/>
      </c>
      <c r="AG107" s="524" t="str">
        <f>IFERROR(IF(O107="","",VLOOKUP(AD107,'G-3 Multipliers'!$P$3:$Q$6,2,FALSE)),"")</f>
        <v/>
      </c>
      <c r="AH107" s="513" t="str">
        <f t="shared" si="9"/>
        <v/>
      </c>
      <c r="AI107" s="231"/>
      <c r="AJ107" s="150"/>
      <c r="AT107" s="31" t="str">
        <f>IFERROR(INDEX('G-6 Hedgerow Data'!$BJ$3:$BJ$15,MATCH(M107,'G-6 Hedgerow Data'!$B$3:$B$15,0)),"")</f>
        <v/>
      </c>
    </row>
    <row r="108" spans="2:46" ht="13.8" x14ac:dyDescent="0.25">
      <c r="B108" s="531" t="str">
        <f>'B-1 Site Hedge Baseline'!AK106</f>
        <v/>
      </c>
      <c r="C108" s="520" t="str">
        <f>IF(B108="","",IF(ISNA(VLOOKUP($B108,'B-1 Site Hedge Baseline'!$B$1:$L$257,3,FALSE)),"",(VLOOKUP($B108,'B-1 Site Hedge Baseline'!$B$1:$L$257,3,FALSE))))</f>
        <v/>
      </c>
      <c r="D108" s="520" t="str">
        <f>IF(B108="","",IF(ISNA(VLOOKUP($B108,'B-1 Site Hedge Baseline'!$B$1:$L$257,4,FALSE)),"",(VLOOKUP($B108,'B-1 Site Hedge Baseline'!$B$1:$L$257,4,FALSE))))</f>
        <v/>
      </c>
      <c r="E108" s="520" t="str">
        <f>IF(B108="","",IF(ISNA(VLOOKUP($B108,'B-1 Site Hedge Baseline'!$B$1:$L$257,5,FALSE)),"",(VLOOKUP($B108,'B-1 Site Hedge Baseline'!$B$1:$L$257,5,FALSE))))</f>
        <v/>
      </c>
      <c r="F108" s="520" t="str">
        <f>IF(B108="","",IF(ISNA(VLOOKUP($B108,'B-1 Site Hedge Baseline'!$B$1:$L$257,6,FALSE)),"",(VLOOKUP($B108,'B-1 Site Hedge Baseline'!$B$1:$L$257,6,FALSE))))</f>
        <v/>
      </c>
      <c r="G108" s="520" t="str">
        <f>IF(B108="","",IF(ISNA(VLOOKUP($B108,'B-1 Site Hedge Baseline'!$B$1:$L$257,7,FALSE)),"",(VLOOKUP($B108,'B-1 Site Hedge Baseline'!$B$1:$L$257,7,FALSE))))</f>
        <v/>
      </c>
      <c r="H108" s="520" t="str">
        <f>IF(B108="","",IF(ISNA(VLOOKUP($B108,'B-1 Site Hedge Baseline'!$B$1:$L$257,8,FALSE)),"",(VLOOKUP($B108,'B-1 Site Hedge Baseline'!$B$1:$L$257,8,FALSE))))</f>
        <v/>
      </c>
      <c r="I108" s="520" t="str">
        <f>IF(B108="","",IF(ISNA(VLOOKUP($B108,'B-1 Site Hedge Baseline'!$B$1:$L$257,10,FALSE)),"",(VLOOKUP($B108,'B-1 Site Hedge Baseline'!$B$1:$L$257,10,FALSE))))</f>
        <v/>
      </c>
      <c r="J108" s="520" t="str">
        <f>IF(B108="","",IF(ISNA(VLOOKUP($B108,'B-1 Site Hedge Baseline'!$B$1:$L$257,11,FALSE)),"",(VLOOKUP($B108,'B-1 Site Hedge Baseline'!$B$1:$L$257,11,FALSE))))</f>
        <v/>
      </c>
      <c r="K108" s="520" t="str">
        <f>IF(B108="","",IF(ISNA(VLOOKUP($B108,'B-1 Site Hedge Baseline'!$B$1:$U$257,13,FALSE)),"",(VLOOKUP($B108,'B-1 Site Hedge Baseline'!$B$1:$U$257,13,FALSE))))</f>
        <v/>
      </c>
      <c r="L108" s="524" t="str">
        <f>IF(B108="","",IF(ISNA(VLOOKUP($B108,'B-1 Site Hedge Baseline'!$B$1:$U$257,12,FALSE)),"",(VLOOKUP($B108,'B-1 Site Hedge Baseline'!$B$1:$U$257,12,FALSE))))</f>
        <v/>
      </c>
      <c r="M108" s="416" t="str">
        <f t="shared" si="15"/>
        <v/>
      </c>
      <c r="N108" s="498" t="str">
        <f>IFERROR(IF(B108="","",INDEX('G-6 Hedgerow Data'!$AN$3:$AZ$15,MATCH(C108,'G-6 Hedgerow Data'!$AM$3:$AM$15,0),MATCH(M108,'G-6 Hedgerow Data'!$AN$2:$AZ$2,0))),"")</f>
        <v/>
      </c>
      <c r="O108" s="499" t="str">
        <f t="shared" si="10"/>
        <v/>
      </c>
      <c r="P108" s="559" t="str">
        <f>IF(B108="","",VLOOKUP(B108,'B-1 Site Hedge Baseline'!$B$10:T353,16,FALSE))</f>
        <v/>
      </c>
      <c r="Q108" s="498" t="str">
        <f>IF(M108="","",VLOOKUP(M108,'G-6 Hedgerow Data'!$B$2:$AG$15,2,FALSE))</f>
        <v/>
      </c>
      <c r="R108" s="499" t="str">
        <f>IF(M108="","",VLOOKUP(M108,'G-6 Hedgerow Data'!$B$2:$AG$15,3,FALSE))</f>
        <v/>
      </c>
      <c r="S108" s="157"/>
      <c r="T108" s="540" t="str">
        <f>IFERROR(VLOOKUP(S108,'G-1 All Habitats'!$Z$2:$AA$9,2,FALSE),"")</f>
        <v/>
      </c>
      <c r="U108" s="154"/>
      <c r="V108" s="520" t="str">
        <f>IF(U108="","",IF(VLOOKUP(U108,'G-3 Multipliers'!$L$3:$N$6,2,FALSE)=0,"Spatial Data Missing ⚠",VLOOKUP(U108,'G-3 Multipliers'!$L$3:$N$6,2,FALSE)))</f>
        <v/>
      </c>
      <c r="W108" s="524"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8"/>
        <v/>
      </c>
      <c r="AD108" s="537" t="str">
        <f>IF(M108="","",VLOOKUP(M108,'G-6 Hedgerow Data'!$B$3:$AG$15,31,FALSE))</f>
        <v/>
      </c>
      <c r="AE108" s="507" t="str">
        <f t="shared" si="13"/>
        <v/>
      </c>
      <c r="AF108" s="507" t="str">
        <f t="shared" si="14"/>
        <v/>
      </c>
      <c r="AG108" s="524" t="str">
        <f>IFERROR(IF(O108="","",VLOOKUP(AD108,'G-3 Multipliers'!$P$3:$Q$6,2,FALSE)),"")</f>
        <v/>
      </c>
      <c r="AH108" s="513" t="str">
        <f t="shared" si="9"/>
        <v/>
      </c>
      <c r="AI108" s="231"/>
      <c r="AJ108" s="150"/>
      <c r="AT108" s="31" t="str">
        <f>IFERROR(INDEX('G-6 Hedgerow Data'!$BJ$3:$BJ$15,MATCH(M108,'G-6 Hedgerow Data'!$B$3:$B$15,0)),"")</f>
        <v/>
      </c>
    </row>
    <row r="109" spans="2:46" ht="13.8" x14ac:dyDescent="0.25">
      <c r="B109" s="531" t="str">
        <f>'B-1 Site Hedge Baseline'!AK107</f>
        <v/>
      </c>
      <c r="C109" s="520" t="str">
        <f>IF(B109="","",IF(ISNA(VLOOKUP($B109,'B-1 Site Hedge Baseline'!$B$1:$L$257,3,FALSE)),"",(VLOOKUP($B109,'B-1 Site Hedge Baseline'!$B$1:$L$257,3,FALSE))))</f>
        <v/>
      </c>
      <c r="D109" s="520" t="str">
        <f>IF(B109="","",IF(ISNA(VLOOKUP($B109,'B-1 Site Hedge Baseline'!$B$1:$L$257,4,FALSE)),"",(VLOOKUP($B109,'B-1 Site Hedge Baseline'!$B$1:$L$257,4,FALSE))))</f>
        <v/>
      </c>
      <c r="E109" s="520" t="str">
        <f>IF(B109="","",IF(ISNA(VLOOKUP($B109,'B-1 Site Hedge Baseline'!$B$1:$L$257,5,FALSE)),"",(VLOOKUP($B109,'B-1 Site Hedge Baseline'!$B$1:$L$257,5,FALSE))))</f>
        <v/>
      </c>
      <c r="F109" s="520" t="str">
        <f>IF(B109="","",IF(ISNA(VLOOKUP($B109,'B-1 Site Hedge Baseline'!$B$1:$L$257,6,FALSE)),"",(VLOOKUP($B109,'B-1 Site Hedge Baseline'!$B$1:$L$257,6,FALSE))))</f>
        <v/>
      </c>
      <c r="G109" s="520" t="str">
        <f>IF(B109="","",IF(ISNA(VLOOKUP($B109,'B-1 Site Hedge Baseline'!$B$1:$L$257,7,FALSE)),"",(VLOOKUP($B109,'B-1 Site Hedge Baseline'!$B$1:$L$257,7,FALSE))))</f>
        <v/>
      </c>
      <c r="H109" s="520" t="str">
        <f>IF(B109="","",IF(ISNA(VLOOKUP($B109,'B-1 Site Hedge Baseline'!$B$1:$L$257,8,FALSE)),"",(VLOOKUP($B109,'B-1 Site Hedge Baseline'!$B$1:$L$257,8,FALSE))))</f>
        <v/>
      </c>
      <c r="I109" s="520" t="str">
        <f>IF(B109="","",IF(ISNA(VLOOKUP($B109,'B-1 Site Hedge Baseline'!$B$1:$L$257,10,FALSE)),"",(VLOOKUP($B109,'B-1 Site Hedge Baseline'!$B$1:$L$257,10,FALSE))))</f>
        <v/>
      </c>
      <c r="J109" s="520" t="str">
        <f>IF(B109="","",IF(ISNA(VLOOKUP($B109,'B-1 Site Hedge Baseline'!$B$1:$L$257,11,FALSE)),"",(VLOOKUP($B109,'B-1 Site Hedge Baseline'!$B$1:$L$257,11,FALSE))))</f>
        <v/>
      </c>
      <c r="K109" s="520" t="str">
        <f>IF(B109="","",IF(ISNA(VLOOKUP($B109,'B-1 Site Hedge Baseline'!$B$1:$U$257,13,FALSE)),"",(VLOOKUP($B109,'B-1 Site Hedge Baseline'!$B$1:$U$257,13,FALSE))))</f>
        <v/>
      </c>
      <c r="L109" s="524" t="str">
        <f>IF(B109="","",IF(ISNA(VLOOKUP($B109,'B-1 Site Hedge Baseline'!$B$1:$U$257,12,FALSE)),"",(VLOOKUP($B109,'B-1 Site Hedge Baseline'!$B$1:$U$257,12,FALSE))))</f>
        <v/>
      </c>
      <c r="M109" s="416" t="str">
        <f t="shared" si="15"/>
        <v/>
      </c>
      <c r="N109" s="498" t="str">
        <f>IFERROR(IF(B109="","",INDEX('G-6 Hedgerow Data'!$AN$3:$AZ$15,MATCH(C109,'G-6 Hedgerow Data'!$AM$3:$AM$15,0),MATCH(M109,'G-6 Hedgerow Data'!$AN$2:$AZ$2,0))),"")</f>
        <v/>
      </c>
      <c r="O109" s="499" t="str">
        <f t="shared" si="10"/>
        <v/>
      </c>
      <c r="P109" s="559" t="str">
        <f>IF(B109="","",VLOOKUP(B109,'B-1 Site Hedge Baseline'!$B$10:T354,16,FALSE))</f>
        <v/>
      </c>
      <c r="Q109" s="498" t="str">
        <f>IF(M109="","",VLOOKUP(M109,'G-6 Hedgerow Data'!$B$2:$AG$15,2,FALSE))</f>
        <v/>
      </c>
      <c r="R109" s="499" t="str">
        <f>IF(M109="","",VLOOKUP(M109,'G-6 Hedgerow Data'!$B$2:$AG$15,3,FALSE))</f>
        <v/>
      </c>
      <c r="S109" s="157"/>
      <c r="T109" s="540" t="str">
        <f>IFERROR(VLOOKUP(S109,'G-1 All Habitats'!$Z$2:$AA$9,2,FALSE),"")</f>
        <v/>
      </c>
      <c r="U109" s="154"/>
      <c r="V109" s="520" t="str">
        <f>IF(U109="","",IF(VLOOKUP(U109,'G-3 Multipliers'!$L$3:$N$6,2,FALSE)=0,"Spatial Data Missing ⚠",VLOOKUP(U109,'G-3 Multipliers'!$L$3:$N$6,2,FALSE)))</f>
        <v/>
      </c>
      <c r="W109" s="524"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8"/>
        <v/>
      </c>
      <c r="AD109" s="537" t="str">
        <f>IF(M109="","",VLOOKUP(M109,'G-6 Hedgerow Data'!$B$3:$AG$15,31,FALSE))</f>
        <v/>
      </c>
      <c r="AE109" s="507" t="str">
        <f t="shared" si="13"/>
        <v/>
      </c>
      <c r="AF109" s="507" t="str">
        <f t="shared" si="14"/>
        <v/>
      </c>
      <c r="AG109" s="524" t="str">
        <f>IFERROR(IF(O109="","",VLOOKUP(AD109,'G-3 Multipliers'!$P$3:$Q$6,2,FALSE)),"")</f>
        <v/>
      </c>
      <c r="AH109" s="513" t="str">
        <f t="shared" si="9"/>
        <v/>
      </c>
      <c r="AI109" s="231"/>
      <c r="AJ109" s="150"/>
      <c r="AT109" s="31" t="str">
        <f>IFERROR(INDEX('G-6 Hedgerow Data'!$BJ$3:$BJ$15,MATCH(M109,'G-6 Hedgerow Data'!$B$3:$B$15,0)),"")</f>
        <v/>
      </c>
    </row>
    <row r="110" spans="2:46" ht="13.8" x14ac:dyDescent="0.25">
      <c r="B110" s="531" t="str">
        <f>'B-1 Site Hedge Baseline'!AK108</f>
        <v/>
      </c>
      <c r="C110" s="520" t="str">
        <f>IF(B110="","",IF(ISNA(VLOOKUP($B110,'B-1 Site Hedge Baseline'!$B$1:$L$257,3,FALSE)),"",(VLOOKUP($B110,'B-1 Site Hedge Baseline'!$B$1:$L$257,3,FALSE))))</f>
        <v/>
      </c>
      <c r="D110" s="520" t="str">
        <f>IF(B110="","",IF(ISNA(VLOOKUP($B110,'B-1 Site Hedge Baseline'!$B$1:$L$257,4,FALSE)),"",(VLOOKUP($B110,'B-1 Site Hedge Baseline'!$B$1:$L$257,4,FALSE))))</f>
        <v/>
      </c>
      <c r="E110" s="520" t="str">
        <f>IF(B110="","",IF(ISNA(VLOOKUP($B110,'B-1 Site Hedge Baseline'!$B$1:$L$257,5,FALSE)),"",(VLOOKUP($B110,'B-1 Site Hedge Baseline'!$B$1:$L$257,5,FALSE))))</f>
        <v/>
      </c>
      <c r="F110" s="520" t="str">
        <f>IF(B110="","",IF(ISNA(VLOOKUP($B110,'B-1 Site Hedge Baseline'!$B$1:$L$257,6,FALSE)),"",(VLOOKUP($B110,'B-1 Site Hedge Baseline'!$B$1:$L$257,6,FALSE))))</f>
        <v/>
      </c>
      <c r="G110" s="520" t="str">
        <f>IF(B110="","",IF(ISNA(VLOOKUP($B110,'B-1 Site Hedge Baseline'!$B$1:$L$257,7,FALSE)),"",(VLOOKUP($B110,'B-1 Site Hedge Baseline'!$B$1:$L$257,7,FALSE))))</f>
        <v/>
      </c>
      <c r="H110" s="520" t="str">
        <f>IF(B110="","",IF(ISNA(VLOOKUP($B110,'B-1 Site Hedge Baseline'!$B$1:$L$257,8,FALSE)),"",(VLOOKUP($B110,'B-1 Site Hedge Baseline'!$B$1:$L$257,8,FALSE))))</f>
        <v/>
      </c>
      <c r="I110" s="520" t="str">
        <f>IF(B110="","",IF(ISNA(VLOOKUP($B110,'B-1 Site Hedge Baseline'!$B$1:$L$257,10,FALSE)),"",(VLOOKUP($B110,'B-1 Site Hedge Baseline'!$B$1:$L$257,10,FALSE))))</f>
        <v/>
      </c>
      <c r="J110" s="520" t="str">
        <f>IF(B110="","",IF(ISNA(VLOOKUP($B110,'B-1 Site Hedge Baseline'!$B$1:$L$257,11,FALSE)),"",(VLOOKUP($B110,'B-1 Site Hedge Baseline'!$B$1:$L$257,11,FALSE))))</f>
        <v/>
      </c>
      <c r="K110" s="520" t="str">
        <f>IF(B110="","",IF(ISNA(VLOOKUP($B110,'B-1 Site Hedge Baseline'!$B$1:$U$257,13,FALSE)),"",(VLOOKUP($B110,'B-1 Site Hedge Baseline'!$B$1:$U$257,13,FALSE))))</f>
        <v/>
      </c>
      <c r="L110" s="524" t="str">
        <f>IF(B110="","",IF(ISNA(VLOOKUP($B110,'B-1 Site Hedge Baseline'!$B$1:$U$257,12,FALSE)),"",(VLOOKUP($B110,'B-1 Site Hedge Baseline'!$B$1:$U$257,12,FALSE))))</f>
        <v/>
      </c>
      <c r="M110" s="416" t="str">
        <f t="shared" si="15"/>
        <v/>
      </c>
      <c r="N110" s="498" t="str">
        <f>IFERROR(IF(B110="","",INDEX('G-6 Hedgerow Data'!$AN$3:$AZ$15,MATCH(C110,'G-6 Hedgerow Data'!$AM$3:$AM$15,0),MATCH(M110,'G-6 Hedgerow Data'!$AN$2:$AZ$2,0))),"")</f>
        <v/>
      </c>
      <c r="O110" s="499" t="str">
        <f t="shared" si="10"/>
        <v/>
      </c>
      <c r="P110" s="559" t="str">
        <f>IF(B110="","",VLOOKUP(B110,'B-1 Site Hedge Baseline'!$B$10:T355,16,FALSE))</f>
        <v/>
      </c>
      <c r="Q110" s="498" t="str">
        <f>IF(M110="","",VLOOKUP(M110,'G-6 Hedgerow Data'!$B$2:$AG$15,2,FALSE))</f>
        <v/>
      </c>
      <c r="R110" s="499" t="str">
        <f>IF(M110="","",VLOOKUP(M110,'G-6 Hedgerow Data'!$B$2:$AG$15,3,FALSE))</f>
        <v/>
      </c>
      <c r="S110" s="157"/>
      <c r="T110" s="540" t="str">
        <f>IFERROR(VLOOKUP(S110,'G-1 All Habitats'!$Z$2:$AA$9,2,FALSE),"")</f>
        <v/>
      </c>
      <c r="U110" s="154"/>
      <c r="V110" s="520" t="str">
        <f>IF(U110="","",IF(VLOOKUP(U110,'G-3 Multipliers'!$L$3:$N$6,2,FALSE)=0,"Spatial Data Missing ⚠",VLOOKUP(U110,'G-3 Multipliers'!$L$3:$N$6,2,FALSE)))</f>
        <v/>
      </c>
      <c r="W110" s="524"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8"/>
        <v/>
      </c>
      <c r="AD110" s="537" t="str">
        <f>IF(M110="","",VLOOKUP(M110,'G-6 Hedgerow Data'!$B$3:$AG$15,31,FALSE))</f>
        <v/>
      </c>
      <c r="AE110" s="507" t="str">
        <f t="shared" si="13"/>
        <v/>
      </c>
      <c r="AF110" s="507" t="str">
        <f t="shared" si="14"/>
        <v/>
      </c>
      <c r="AG110" s="524" t="str">
        <f>IFERROR(IF(O110="","",VLOOKUP(AD110,'G-3 Multipliers'!$P$3:$Q$6,2,FALSE)),"")</f>
        <v/>
      </c>
      <c r="AH110" s="513" t="str">
        <f t="shared" si="9"/>
        <v/>
      </c>
      <c r="AI110" s="231"/>
      <c r="AJ110" s="150"/>
      <c r="AT110" s="31" t="str">
        <f>IFERROR(INDEX('G-6 Hedgerow Data'!$BJ$3:$BJ$15,MATCH(M110,'G-6 Hedgerow Data'!$B$3:$B$15,0)),"")</f>
        <v/>
      </c>
    </row>
    <row r="111" spans="2:46" ht="13.8" x14ac:dyDescent="0.25">
      <c r="B111" s="531" t="str">
        <f>'B-1 Site Hedge Baseline'!AK109</f>
        <v/>
      </c>
      <c r="C111" s="520" t="str">
        <f>IF(B111="","",IF(ISNA(VLOOKUP($B111,'B-1 Site Hedge Baseline'!$B$1:$L$257,3,FALSE)),"",(VLOOKUP($B111,'B-1 Site Hedge Baseline'!$B$1:$L$257,3,FALSE))))</f>
        <v/>
      </c>
      <c r="D111" s="520" t="str">
        <f>IF(B111="","",IF(ISNA(VLOOKUP($B111,'B-1 Site Hedge Baseline'!$B$1:$L$257,4,FALSE)),"",(VLOOKUP($B111,'B-1 Site Hedge Baseline'!$B$1:$L$257,4,FALSE))))</f>
        <v/>
      </c>
      <c r="E111" s="520" t="str">
        <f>IF(B111="","",IF(ISNA(VLOOKUP($B111,'B-1 Site Hedge Baseline'!$B$1:$L$257,5,FALSE)),"",(VLOOKUP($B111,'B-1 Site Hedge Baseline'!$B$1:$L$257,5,FALSE))))</f>
        <v/>
      </c>
      <c r="F111" s="520" t="str">
        <f>IF(B111="","",IF(ISNA(VLOOKUP($B111,'B-1 Site Hedge Baseline'!$B$1:$L$257,6,FALSE)),"",(VLOOKUP($B111,'B-1 Site Hedge Baseline'!$B$1:$L$257,6,FALSE))))</f>
        <v/>
      </c>
      <c r="G111" s="520" t="str">
        <f>IF(B111="","",IF(ISNA(VLOOKUP($B111,'B-1 Site Hedge Baseline'!$B$1:$L$257,7,FALSE)),"",(VLOOKUP($B111,'B-1 Site Hedge Baseline'!$B$1:$L$257,7,FALSE))))</f>
        <v/>
      </c>
      <c r="H111" s="520" t="str">
        <f>IF(B111="","",IF(ISNA(VLOOKUP($B111,'B-1 Site Hedge Baseline'!$B$1:$L$257,8,FALSE)),"",(VLOOKUP($B111,'B-1 Site Hedge Baseline'!$B$1:$L$257,8,FALSE))))</f>
        <v/>
      </c>
      <c r="I111" s="520" t="str">
        <f>IF(B111="","",IF(ISNA(VLOOKUP($B111,'B-1 Site Hedge Baseline'!$B$1:$L$257,10,FALSE)),"",(VLOOKUP($B111,'B-1 Site Hedge Baseline'!$B$1:$L$257,10,FALSE))))</f>
        <v/>
      </c>
      <c r="J111" s="520" t="str">
        <f>IF(B111="","",IF(ISNA(VLOOKUP($B111,'B-1 Site Hedge Baseline'!$B$1:$L$257,11,FALSE)),"",(VLOOKUP($B111,'B-1 Site Hedge Baseline'!$B$1:$L$257,11,FALSE))))</f>
        <v/>
      </c>
      <c r="K111" s="520" t="str">
        <f>IF(B111="","",IF(ISNA(VLOOKUP($B111,'B-1 Site Hedge Baseline'!$B$1:$U$257,13,FALSE)),"",(VLOOKUP($B111,'B-1 Site Hedge Baseline'!$B$1:$U$257,13,FALSE))))</f>
        <v/>
      </c>
      <c r="L111" s="524" t="str">
        <f>IF(B111="","",IF(ISNA(VLOOKUP($B111,'B-1 Site Hedge Baseline'!$B$1:$U$257,12,FALSE)),"",(VLOOKUP($B111,'B-1 Site Hedge Baseline'!$B$1:$U$257,12,FALSE))))</f>
        <v/>
      </c>
      <c r="M111" s="416" t="str">
        <f t="shared" si="15"/>
        <v/>
      </c>
      <c r="N111" s="498" t="str">
        <f>IFERROR(IF(B111="","",INDEX('G-6 Hedgerow Data'!$AN$3:$AZ$15,MATCH(C111,'G-6 Hedgerow Data'!$AM$3:$AM$15,0),MATCH(M111,'G-6 Hedgerow Data'!$AN$2:$AZ$2,0))),"")</f>
        <v/>
      </c>
      <c r="O111" s="499" t="str">
        <f t="shared" si="10"/>
        <v/>
      </c>
      <c r="P111" s="559" t="str">
        <f>IF(B111="","",VLOOKUP(B111,'B-1 Site Hedge Baseline'!$B$10:T356,16,FALSE))</f>
        <v/>
      </c>
      <c r="Q111" s="498" t="str">
        <f>IF(M111="","",VLOOKUP(M111,'G-6 Hedgerow Data'!$B$2:$AG$15,2,FALSE))</f>
        <v/>
      </c>
      <c r="R111" s="499" t="str">
        <f>IF(M111="","",VLOOKUP(M111,'G-6 Hedgerow Data'!$B$2:$AG$15,3,FALSE))</f>
        <v/>
      </c>
      <c r="S111" s="157"/>
      <c r="T111" s="540" t="str">
        <f>IFERROR(VLOOKUP(S111,'G-1 All Habitats'!$Z$2:$AA$9,2,FALSE),"")</f>
        <v/>
      </c>
      <c r="U111" s="154"/>
      <c r="V111" s="520" t="str">
        <f>IF(U111="","",IF(VLOOKUP(U111,'G-3 Multipliers'!$L$3:$N$6,2,FALSE)=0,"Spatial Data Missing ⚠",VLOOKUP(U111,'G-3 Multipliers'!$L$3:$N$6,2,FALSE)))</f>
        <v/>
      </c>
      <c r="W111" s="524"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8"/>
        <v/>
      </c>
      <c r="AD111" s="537" t="str">
        <f>IF(M111="","",VLOOKUP(M111,'G-6 Hedgerow Data'!$B$3:$AG$15,31,FALSE))</f>
        <v/>
      </c>
      <c r="AE111" s="507" t="str">
        <f t="shared" si="13"/>
        <v/>
      </c>
      <c r="AF111" s="507" t="str">
        <f t="shared" si="14"/>
        <v/>
      </c>
      <c r="AG111" s="524" t="str">
        <f>IFERROR(IF(O111="","",VLOOKUP(AD111,'G-3 Multipliers'!$P$3:$Q$6,2,FALSE)),"")</f>
        <v/>
      </c>
      <c r="AH111" s="513" t="str">
        <f t="shared" si="9"/>
        <v/>
      </c>
      <c r="AI111" s="231"/>
      <c r="AJ111" s="150"/>
      <c r="AT111" s="31" t="str">
        <f>IFERROR(INDEX('G-6 Hedgerow Data'!$BJ$3:$BJ$15,MATCH(M111,'G-6 Hedgerow Data'!$B$3:$B$15,0)),"")</f>
        <v/>
      </c>
    </row>
    <row r="112" spans="2:46" ht="13.8" x14ac:dyDescent="0.25">
      <c r="B112" s="531" t="str">
        <f>'B-1 Site Hedge Baseline'!AK110</f>
        <v/>
      </c>
      <c r="C112" s="520" t="str">
        <f>IF(B112="","",IF(ISNA(VLOOKUP($B112,'B-1 Site Hedge Baseline'!$B$1:$L$257,3,FALSE)),"",(VLOOKUP($B112,'B-1 Site Hedge Baseline'!$B$1:$L$257,3,FALSE))))</f>
        <v/>
      </c>
      <c r="D112" s="520" t="str">
        <f>IF(B112="","",IF(ISNA(VLOOKUP($B112,'B-1 Site Hedge Baseline'!$B$1:$L$257,4,FALSE)),"",(VLOOKUP($B112,'B-1 Site Hedge Baseline'!$B$1:$L$257,4,FALSE))))</f>
        <v/>
      </c>
      <c r="E112" s="520" t="str">
        <f>IF(B112="","",IF(ISNA(VLOOKUP($B112,'B-1 Site Hedge Baseline'!$B$1:$L$257,5,FALSE)),"",(VLOOKUP($B112,'B-1 Site Hedge Baseline'!$B$1:$L$257,5,FALSE))))</f>
        <v/>
      </c>
      <c r="F112" s="520" t="str">
        <f>IF(B112="","",IF(ISNA(VLOOKUP($B112,'B-1 Site Hedge Baseline'!$B$1:$L$257,6,FALSE)),"",(VLOOKUP($B112,'B-1 Site Hedge Baseline'!$B$1:$L$257,6,FALSE))))</f>
        <v/>
      </c>
      <c r="G112" s="520" t="str">
        <f>IF(B112="","",IF(ISNA(VLOOKUP($B112,'B-1 Site Hedge Baseline'!$B$1:$L$257,7,FALSE)),"",(VLOOKUP($B112,'B-1 Site Hedge Baseline'!$B$1:$L$257,7,FALSE))))</f>
        <v/>
      </c>
      <c r="H112" s="520" t="str">
        <f>IF(B112="","",IF(ISNA(VLOOKUP($B112,'B-1 Site Hedge Baseline'!$B$1:$L$257,8,FALSE)),"",(VLOOKUP($B112,'B-1 Site Hedge Baseline'!$B$1:$L$257,8,FALSE))))</f>
        <v/>
      </c>
      <c r="I112" s="520" t="str">
        <f>IF(B112="","",IF(ISNA(VLOOKUP($B112,'B-1 Site Hedge Baseline'!$B$1:$L$257,10,FALSE)),"",(VLOOKUP($B112,'B-1 Site Hedge Baseline'!$B$1:$L$257,10,FALSE))))</f>
        <v/>
      </c>
      <c r="J112" s="520" t="str">
        <f>IF(B112="","",IF(ISNA(VLOOKUP($B112,'B-1 Site Hedge Baseline'!$B$1:$L$257,11,FALSE)),"",(VLOOKUP($B112,'B-1 Site Hedge Baseline'!$B$1:$L$257,11,FALSE))))</f>
        <v/>
      </c>
      <c r="K112" s="520" t="str">
        <f>IF(B112="","",IF(ISNA(VLOOKUP($B112,'B-1 Site Hedge Baseline'!$B$1:$U$257,13,FALSE)),"",(VLOOKUP($B112,'B-1 Site Hedge Baseline'!$B$1:$U$257,13,FALSE))))</f>
        <v/>
      </c>
      <c r="L112" s="524" t="str">
        <f>IF(B112="","",IF(ISNA(VLOOKUP($B112,'B-1 Site Hedge Baseline'!$B$1:$U$257,12,FALSE)),"",(VLOOKUP($B112,'B-1 Site Hedge Baseline'!$B$1:$U$257,12,FALSE))))</f>
        <v/>
      </c>
      <c r="M112" s="416" t="str">
        <f t="shared" si="15"/>
        <v/>
      </c>
      <c r="N112" s="498" t="str">
        <f>IFERROR(IF(B112="","",INDEX('G-6 Hedgerow Data'!$AN$3:$AZ$15,MATCH(C112,'G-6 Hedgerow Data'!$AM$3:$AM$15,0),MATCH(M112,'G-6 Hedgerow Data'!$AN$2:$AZ$2,0))),"")</f>
        <v/>
      </c>
      <c r="O112" s="499" t="str">
        <f t="shared" si="10"/>
        <v/>
      </c>
      <c r="P112" s="559" t="str">
        <f>IF(B112="","",VLOOKUP(B112,'B-1 Site Hedge Baseline'!$B$10:T357,16,FALSE))</f>
        <v/>
      </c>
      <c r="Q112" s="498" t="str">
        <f>IF(M112="","",VLOOKUP(M112,'G-6 Hedgerow Data'!$B$2:$AG$15,2,FALSE))</f>
        <v/>
      </c>
      <c r="R112" s="499" t="str">
        <f>IF(M112="","",VLOOKUP(M112,'G-6 Hedgerow Data'!$B$2:$AG$15,3,FALSE))</f>
        <v/>
      </c>
      <c r="S112" s="157"/>
      <c r="T112" s="540" t="str">
        <f>IFERROR(VLOOKUP(S112,'G-1 All Habitats'!$Z$2:$AA$9,2,FALSE),"")</f>
        <v/>
      </c>
      <c r="U112" s="154"/>
      <c r="V112" s="520" t="str">
        <f>IF(U112="","",IF(VLOOKUP(U112,'G-3 Multipliers'!$L$3:$N$6,2,FALSE)=0,"Spatial Data Missing ⚠",VLOOKUP(U112,'G-3 Multipliers'!$L$3:$N$6,2,FALSE)))</f>
        <v/>
      </c>
      <c r="W112" s="524"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8"/>
        <v/>
      </c>
      <c r="AD112" s="537" t="str">
        <f>IF(M112="","",VLOOKUP(M112,'G-6 Hedgerow Data'!$B$3:$AG$15,31,FALSE))</f>
        <v/>
      </c>
      <c r="AE112" s="507" t="str">
        <f t="shared" si="13"/>
        <v/>
      </c>
      <c r="AF112" s="507" t="str">
        <f t="shared" si="14"/>
        <v/>
      </c>
      <c r="AG112" s="524" t="str">
        <f>IFERROR(IF(O112="","",VLOOKUP(AD112,'G-3 Multipliers'!$P$3:$Q$6,2,FALSE)),"")</f>
        <v/>
      </c>
      <c r="AH112" s="513" t="str">
        <f t="shared" si="9"/>
        <v/>
      </c>
      <c r="AI112" s="231"/>
      <c r="AJ112" s="150"/>
      <c r="AT112" s="31" t="str">
        <f>IFERROR(INDEX('G-6 Hedgerow Data'!$BJ$3:$BJ$15,MATCH(M112,'G-6 Hedgerow Data'!$B$3:$B$15,0)),"")</f>
        <v/>
      </c>
    </row>
    <row r="113" spans="2:46" ht="13.8" x14ac:dyDescent="0.25">
      <c r="B113" s="531" t="str">
        <f>'B-1 Site Hedge Baseline'!AK111</f>
        <v/>
      </c>
      <c r="C113" s="520" t="str">
        <f>IF(B113="","",IF(ISNA(VLOOKUP($B113,'B-1 Site Hedge Baseline'!$B$1:$L$257,3,FALSE)),"",(VLOOKUP($B113,'B-1 Site Hedge Baseline'!$B$1:$L$257,3,FALSE))))</f>
        <v/>
      </c>
      <c r="D113" s="520" t="str">
        <f>IF(B113="","",IF(ISNA(VLOOKUP($B113,'B-1 Site Hedge Baseline'!$B$1:$L$257,4,FALSE)),"",(VLOOKUP($B113,'B-1 Site Hedge Baseline'!$B$1:$L$257,4,FALSE))))</f>
        <v/>
      </c>
      <c r="E113" s="520" t="str">
        <f>IF(B113="","",IF(ISNA(VLOOKUP($B113,'B-1 Site Hedge Baseline'!$B$1:$L$257,5,FALSE)),"",(VLOOKUP($B113,'B-1 Site Hedge Baseline'!$B$1:$L$257,5,FALSE))))</f>
        <v/>
      </c>
      <c r="F113" s="520" t="str">
        <f>IF(B113="","",IF(ISNA(VLOOKUP($B113,'B-1 Site Hedge Baseline'!$B$1:$L$257,6,FALSE)),"",(VLOOKUP($B113,'B-1 Site Hedge Baseline'!$B$1:$L$257,6,FALSE))))</f>
        <v/>
      </c>
      <c r="G113" s="520" t="str">
        <f>IF(B113="","",IF(ISNA(VLOOKUP($B113,'B-1 Site Hedge Baseline'!$B$1:$L$257,7,FALSE)),"",(VLOOKUP($B113,'B-1 Site Hedge Baseline'!$B$1:$L$257,7,FALSE))))</f>
        <v/>
      </c>
      <c r="H113" s="520" t="str">
        <f>IF(B113="","",IF(ISNA(VLOOKUP($B113,'B-1 Site Hedge Baseline'!$B$1:$L$257,8,FALSE)),"",(VLOOKUP($B113,'B-1 Site Hedge Baseline'!$B$1:$L$257,8,FALSE))))</f>
        <v/>
      </c>
      <c r="I113" s="520" t="str">
        <f>IF(B113="","",IF(ISNA(VLOOKUP($B113,'B-1 Site Hedge Baseline'!$B$1:$L$257,10,FALSE)),"",(VLOOKUP($B113,'B-1 Site Hedge Baseline'!$B$1:$L$257,10,FALSE))))</f>
        <v/>
      </c>
      <c r="J113" s="520" t="str">
        <f>IF(B113="","",IF(ISNA(VLOOKUP($B113,'B-1 Site Hedge Baseline'!$B$1:$L$257,11,FALSE)),"",(VLOOKUP($B113,'B-1 Site Hedge Baseline'!$B$1:$L$257,11,FALSE))))</f>
        <v/>
      </c>
      <c r="K113" s="520" t="str">
        <f>IF(B113="","",IF(ISNA(VLOOKUP($B113,'B-1 Site Hedge Baseline'!$B$1:$U$257,13,FALSE)),"",(VLOOKUP($B113,'B-1 Site Hedge Baseline'!$B$1:$U$257,13,FALSE))))</f>
        <v/>
      </c>
      <c r="L113" s="524" t="str">
        <f>IF(B113="","",IF(ISNA(VLOOKUP($B113,'B-1 Site Hedge Baseline'!$B$1:$U$257,12,FALSE)),"",(VLOOKUP($B113,'B-1 Site Hedge Baseline'!$B$1:$U$257,12,FALSE))))</f>
        <v/>
      </c>
      <c r="M113" s="416" t="str">
        <f t="shared" si="15"/>
        <v/>
      </c>
      <c r="N113" s="498" t="str">
        <f>IFERROR(IF(B113="","",INDEX('G-6 Hedgerow Data'!$AN$3:$AZ$15,MATCH(C113,'G-6 Hedgerow Data'!$AM$3:$AM$15,0),MATCH(M113,'G-6 Hedgerow Data'!$AN$2:$AZ$2,0))),"")</f>
        <v/>
      </c>
      <c r="O113" s="499" t="str">
        <f t="shared" si="10"/>
        <v/>
      </c>
      <c r="P113" s="559" t="str">
        <f>IF(B113="","",VLOOKUP(B113,'B-1 Site Hedge Baseline'!$B$10:T358,16,FALSE))</f>
        <v/>
      </c>
      <c r="Q113" s="498" t="str">
        <f>IF(M113="","",VLOOKUP(M113,'G-6 Hedgerow Data'!$B$2:$AG$15,2,FALSE))</f>
        <v/>
      </c>
      <c r="R113" s="499" t="str">
        <f>IF(M113="","",VLOOKUP(M113,'G-6 Hedgerow Data'!$B$2:$AG$15,3,FALSE))</f>
        <v/>
      </c>
      <c r="S113" s="157"/>
      <c r="T113" s="540" t="str">
        <f>IFERROR(VLOOKUP(S113,'G-1 All Habitats'!$Z$2:$AA$9,2,FALSE),"")</f>
        <v/>
      </c>
      <c r="U113" s="154"/>
      <c r="V113" s="520" t="str">
        <f>IF(U113="","",IF(VLOOKUP(U113,'G-3 Multipliers'!$L$3:$N$6,2,FALSE)=0,"Spatial Data Missing ⚠",VLOOKUP(U113,'G-3 Multipliers'!$L$3:$N$6,2,FALSE)))</f>
        <v/>
      </c>
      <c r="W113" s="524"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8"/>
        <v/>
      </c>
      <c r="AD113" s="537" t="str">
        <f>IF(M113="","",VLOOKUP(M113,'G-6 Hedgerow Data'!$B$3:$AG$15,31,FALSE))</f>
        <v/>
      </c>
      <c r="AE113" s="507" t="str">
        <f t="shared" si="13"/>
        <v/>
      </c>
      <c r="AF113" s="507" t="str">
        <f t="shared" si="14"/>
        <v/>
      </c>
      <c r="AG113" s="524" t="str">
        <f>IFERROR(IF(O113="","",VLOOKUP(AD113,'G-3 Multipliers'!$P$3:$Q$6,2,FALSE)),"")</f>
        <v/>
      </c>
      <c r="AH113" s="513" t="str">
        <f t="shared" si="9"/>
        <v/>
      </c>
      <c r="AI113" s="231"/>
      <c r="AJ113" s="150"/>
      <c r="AT113" s="31" t="str">
        <f>IFERROR(INDEX('G-6 Hedgerow Data'!$BJ$3:$BJ$15,MATCH(M113,'G-6 Hedgerow Data'!$B$3:$B$15,0)),"")</f>
        <v/>
      </c>
    </row>
    <row r="114" spans="2:46" ht="13.8" x14ac:dyDescent="0.25">
      <c r="B114" s="531" t="str">
        <f>'B-1 Site Hedge Baseline'!AK112</f>
        <v/>
      </c>
      <c r="C114" s="520" t="str">
        <f>IF(B114="","",IF(ISNA(VLOOKUP($B114,'B-1 Site Hedge Baseline'!$B$1:$L$257,3,FALSE)),"",(VLOOKUP($B114,'B-1 Site Hedge Baseline'!$B$1:$L$257,3,FALSE))))</f>
        <v/>
      </c>
      <c r="D114" s="520" t="str">
        <f>IF(B114="","",IF(ISNA(VLOOKUP($B114,'B-1 Site Hedge Baseline'!$B$1:$L$257,4,FALSE)),"",(VLOOKUP($B114,'B-1 Site Hedge Baseline'!$B$1:$L$257,4,FALSE))))</f>
        <v/>
      </c>
      <c r="E114" s="520" t="str">
        <f>IF(B114="","",IF(ISNA(VLOOKUP($B114,'B-1 Site Hedge Baseline'!$B$1:$L$257,5,FALSE)),"",(VLOOKUP($B114,'B-1 Site Hedge Baseline'!$B$1:$L$257,5,FALSE))))</f>
        <v/>
      </c>
      <c r="F114" s="520" t="str">
        <f>IF(B114="","",IF(ISNA(VLOOKUP($B114,'B-1 Site Hedge Baseline'!$B$1:$L$257,6,FALSE)),"",(VLOOKUP($B114,'B-1 Site Hedge Baseline'!$B$1:$L$257,6,FALSE))))</f>
        <v/>
      </c>
      <c r="G114" s="520" t="str">
        <f>IF(B114="","",IF(ISNA(VLOOKUP($B114,'B-1 Site Hedge Baseline'!$B$1:$L$257,7,FALSE)),"",(VLOOKUP($B114,'B-1 Site Hedge Baseline'!$B$1:$L$257,7,FALSE))))</f>
        <v/>
      </c>
      <c r="H114" s="520" t="str">
        <f>IF(B114="","",IF(ISNA(VLOOKUP($B114,'B-1 Site Hedge Baseline'!$B$1:$L$257,8,FALSE)),"",(VLOOKUP($B114,'B-1 Site Hedge Baseline'!$B$1:$L$257,8,FALSE))))</f>
        <v/>
      </c>
      <c r="I114" s="520" t="str">
        <f>IF(B114="","",IF(ISNA(VLOOKUP($B114,'B-1 Site Hedge Baseline'!$B$1:$L$257,10,FALSE)),"",(VLOOKUP($B114,'B-1 Site Hedge Baseline'!$B$1:$L$257,10,FALSE))))</f>
        <v/>
      </c>
      <c r="J114" s="520" t="str">
        <f>IF(B114="","",IF(ISNA(VLOOKUP($B114,'B-1 Site Hedge Baseline'!$B$1:$L$257,11,FALSE)),"",(VLOOKUP($B114,'B-1 Site Hedge Baseline'!$B$1:$L$257,11,FALSE))))</f>
        <v/>
      </c>
      <c r="K114" s="520" t="str">
        <f>IF(B114="","",IF(ISNA(VLOOKUP($B114,'B-1 Site Hedge Baseline'!$B$1:$U$257,13,FALSE)),"",(VLOOKUP($B114,'B-1 Site Hedge Baseline'!$B$1:$U$257,13,FALSE))))</f>
        <v/>
      </c>
      <c r="L114" s="524" t="str">
        <f>IF(B114="","",IF(ISNA(VLOOKUP($B114,'B-1 Site Hedge Baseline'!$B$1:$U$257,12,FALSE)),"",(VLOOKUP($B114,'B-1 Site Hedge Baseline'!$B$1:$U$257,12,FALSE))))</f>
        <v/>
      </c>
      <c r="M114" s="416" t="str">
        <f t="shared" si="15"/>
        <v/>
      </c>
      <c r="N114" s="498" t="str">
        <f>IFERROR(IF(B114="","",INDEX('G-6 Hedgerow Data'!$AN$3:$AZ$15,MATCH(C114,'G-6 Hedgerow Data'!$AM$3:$AM$15,0),MATCH(M114,'G-6 Hedgerow Data'!$AN$2:$AZ$2,0))),"")</f>
        <v/>
      </c>
      <c r="O114" s="499" t="str">
        <f t="shared" si="10"/>
        <v/>
      </c>
      <c r="P114" s="559" t="str">
        <f>IF(B114="","",VLOOKUP(B114,'B-1 Site Hedge Baseline'!$B$10:T359,16,FALSE))</f>
        <v/>
      </c>
      <c r="Q114" s="498" t="str">
        <f>IF(M114="","",VLOOKUP(M114,'G-6 Hedgerow Data'!$B$2:$AG$15,2,FALSE))</f>
        <v/>
      </c>
      <c r="R114" s="499" t="str">
        <f>IF(M114="","",VLOOKUP(M114,'G-6 Hedgerow Data'!$B$2:$AG$15,3,FALSE))</f>
        <v/>
      </c>
      <c r="S114" s="157"/>
      <c r="T114" s="540" t="str">
        <f>IFERROR(VLOOKUP(S114,'G-1 All Habitats'!$Z$2:$AA$9,2,FALSE),"")</f>
        <v/>
      </c>
      <c r="U114" s="154"/>
      <c r="V114" s="520" t="str">
        <f>IF(U114="","",IF(VLOOKUP(U114,'G-3 Multipliers'!$L$3:$N$6,2,FALSE)=0,"Spatial Data Missing ⚠",VLOOKUP(U114,'G-3 Multipliers'!$L$3:$N$6,2,FALSE)))</f>
        <v/>
      </c>
      <c r="W114" s="524"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8"/>
        <v/>
      </c>
      <c r="AD114" s="537" t="str">
        <f>IF(M114="","",VLOOKUP(M114,'G-6 Hedgerow Data'!$B$3:$AG$15,31,FALSE))</f>
        <v/>
      </c>
      <c r="AE114" s="507" t="str">
        <f t="shared" si="13"/>
        <v/>
      </c>
      <c r="AF114" s="507" t="str">
        <f t="shared" si="14"/>
        <v/>
      </c>
      <c r="AG114" s="524" t="str">
        <f>IFERROR(IF(O114="","",VLOOKUP(AD114,'G-3 Multipliers'!$P$3:$Q$6,2,FALSE)),"")</f>
        <v/>
      </c>
      <c r="AH114" s="513" t="str">
        <f t="shared" si="9"/>
        <v/>
      </c>
      <c r="AI114" s="231"/>
      <c r="AJ114" s="150"/>
      <c r="AT114" s="31" t="str">
        <f>IFERROR(INDEX('G-6 Hedgerow Data'!$BJ$3:$BJ$15,MATCH(M114,'G-6 Hedgerow Data'!$B$3:$B$15,0)),"")</f>
        <v/>
      </c>
    </row>
    <row r="115" spans="2:46" ht="13.8" x14ac:dyDescent="0.25">
      <c r="B115" s="531" t="str">
        <f>'B-1 Site Hedge Baseline'!AK113</f>
        <v/>
      </c>
      <c r="C115" s="520" t="str">
        <f>IF(B115="","",IF(ISNA(VLOOKUP($B115,'B-1 Site Hedge Baseline'!$B$1:$L$257,3,FALSE)),"",(VLOOKUP($B115,'B-1 Site Hedge Baseline'!$B$1:$L$257,3,FALSE))))</f>
        <v/>
      </c>
      <c r="D115" s="520" t="str">
        <f>IF(B115="","",IF(ISNA(VLOOKUP($B115,'B-1 Site Hedge Baseline'!$B$1:$L$257,4,FALSE)),"",(VLOOKUP($B115,'B-1 Site Hedge Baseline'!$B$1:$L$257,4,FALSE))))</f>
        <v/>
      </c>
      <c r="E115" s="520" t="str">
        <f>IF(B115="","",IF(ISNA(VLOOKUP($B115,'B-1 Site Hedge Baseline'!$B$1:$L$257,5,FALSE)),"",(VLOOKUP($B115,'B-1 Site Hedge Baseline'!$B$1:$L$257,5,FALSE))))</f>
        <v/>
      </c>
      <c r="F115" s="520" t="str">
        <f>IF(B115="","",IF(ISNA(VLOOKUP($B115,'B-1 Site Hedge Baseline'!$B$1:$L$257,6,FALSE)),"",(VLOOKUP($B115,'B-1 Site Hedge Baseline'!$B$1:$L$257,6,FALSE))))</f>
        <v/>
      </c>
      <c r="G115" s="520" t="str">
        <f>IF(B115="","",IF(ISNA(VLOOKUP($B115,'B-1 Site Hedge Baseline'!$B$1:$L$257,7,FALSE)),"",(VLOOKUP($B115,'B-1 Site Hedge Baseline'!$B$1:$L$257,7,FALSE))))</f>
        <v/>
      </c>
      <c r="H115" s="520" t="str">
        <f>IF(B115="","",IF(ISNA(VLOOKUP($B115,'B-1 Site Hedge Baseline'!$B$1:$L$257,8,FALSE)),"",(VLOOKUP($B115,'B-1 Site Hedge Baseline'!$B$1:$L$257,8,FALSE))))</f>
        <v/>
      </c>
      <c r="I115" s="520" t="str">
        <f>IF(B115="","",IF(ISNA(VLOOKUP($B115,'B-1 Site Hedge Baseline'!$B$1:$L$257,10,FALSE)),"",(VLOOKUP($B115,'B-1 Site Hedge Baseline'!$B$1:$L$257,10,FALSE))))</f>
        <v/>
      </c>
      <c r="J115" s="520" t="str">
        <f>IF(B115="","",IF(ISNA(VLOOKUP($B115,'B-1 Site Hedge Baseline'!$B$1:$L$257,11,FALSE)),"",(VLOOKUP($B115,'B-1 Site Hedge Baseline'!$B$1:$L$257,11,FALSE))))</f>
        <v/>
      </c>
      <c r="K115" s="520" t="str">
        <f>IF(B115="","",IF(ISNA(VLOOKUP($B115,'B-1 Site Hedge Baseline'!$B$1:$U$257,13,FALSE)),"",(VLOOKUP($B115,'B-1 Site Hedge Baseline'!$B$1:$U$257,13,FALSE))))</f>
        <v/>
      </c>
      <c r="L115" s="524" t="str">
        <f>IF(B115="","",IF(ISNA(VLOOKUP($B115,'B-1 Site Hedge Baseline'!$B$1:$U$257,12,FALSE)),"",(VLOOKUP($B115,'B-1 Site Hedge Baseline'!$B$1:$U$257,12,FALSE))))</f>
        <v/>
      </c>
      <c r="M115" s="416" t="str">
        <f t="shared" si="15"/>
        <v/>
      </c>
      <c r="N115" s="498" t="str">
        <f>IFERROR(IF(B115="","",INDEX('G-6 Hedgerow Data'!$AN$3:$AZ$15,MATCH(C115,'G-6 Hedgerow Data'!$AM$3:$AM$15,0),MATCH(M115,'G-6 Hedgerow Data'!$AN$2:$AZ$2,0))),"")</f>
        <v/>
      </c>
      <c r="O115" s="499" t="str">
        <f t="shared" si="10"/>
        <v/>
      </c>
      <c r="P115" s="559" t="str">
        <f>IF(B115="","",VLOOKUP(B115,'B-1 Site Hedge Baseline'!$B$10:T360,16,FALSE))</f>
        <v/>
      </c>
      <c r="Q115" s="498" t="str">
        <f>IF(M115="","",VLOOKUP(M115,'G-6 Hedgerow Data'!$B$2:$AG$15,2,FALSE))</f>
        <v/>
      </c>
      <c r="R115" s="499" t="str">
        <f>IF(M115="","",VLOOKUP(M115,'G-6 Hedgerow Data'!$B$2:$AG$15,3,FALSE))</f>
        <v/>
      </c>
      <c r="S115" s="157"/>
      <c r="T115" s="540" t="str">
        <f>IFERROR(VLOOKUP(S115,'G-1 All Habitats'!$Z$2:$AA$9,2,FALSE),"")</f>
        <v/>
      </c>
      <c r="U115" s="154"/>
      <c r="V115" s="520" t="str">
        <f>IF(U115="","",IF(VLOOKUP(U115,'G-3 Multipliers'!$L$3:$N$6,2,FALSE)=0,"Spatial Data Missing ⚠",VLOOKUP(U115,'G-3 Multipliers'!$L$3:$N$6,2,FALSE)))</f>
        <v/>
      </c>
      <c r="W115" s="524"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8"/>
        <v/>
      </c>
      <c r="AD115" s="537" t="str">
        <f>IF(M115="","",VLOOKUP(M115,'G-6 Hedgerow Data'!$B$3:$AG$15,31,FALSE))</f>
        <v/>
      </c>
      <c r="AE115" s="507" t="str">
        <f t="shared" si="13"/>
        <v/>
      </c>
      <c r="AF115" s="507" t="str">
        <f t="shared" si="14"/>
        <v/>
      </c>
      <c r="AG115" s="524" t="str">
        <f>IFERROR(IF(O115="","",VLOOKUP(AD115,'G-3 Multipliers'!$P$3:$Q$6,2,FALSE)),"")</f>
        <v/>
      </c>
      <c r="AH115" s="513" t="str">
        <f t="shared" si="9"/>
        <v/>
      </c>
      <c r="AI115" s="231"/>
      <c r="AJ115" s="150"/>
      <c r="AT115" s="31" t="str">
        <f>IFERROR(INDEX('G-6 Hedgerow Data'!$BJ$3:$BJ$15,MATCH(M115,'G-6 Hedgerow Data'!$B$3:$B$15,0)),"")</f>
        <v/>
      </c>
    </row>
    <row r="116" spans="2:46" ht="13.8" x14ac:dyDescent="0.25">
      <c r="B116" s="531" t="str">
        <f>'B-1 Site Hedge Baseline'!AK114</f>
        <v/>
      </c>
      <c r="C116" s="520" t="str">
        <f>IF(B116="","",IF(ISNA(VLOOKUP($B116,'B-1 Site Hedge Baseline'!$B$1:$L$257,3,FALSE)),"",(VLOOKUP($B116,'B-1 Site Hedge Baseline'!$B$1:$L$257,3,FALSE))))</f>
        <v/>
      </c>
      <c r="D116" s="520" t="str">
        <f>IF(B116="","",IF(ISNA(VLOOKUP($B116,'B-1 Site Hedge Baseline'!$B$1:$L$257,4,FALSE)),"",(VLOOKUP($B116,'B-1 Site Hedge Baseline'!$B$1:$L$257,4,FALSE))))</f>
        <v/>
      </c>
      <c r="E116" s="520" t="str">
        <f>IF(B116="","",IF(ISNA(VLOOKUP($B116,'B-1 Site Hedge Baseline'!$B$1:$L$257,5,FALSE)),"",(VLOOKUP($B116,'B-1 Site Hedge Baseline'!$B$1:$L$257,5,FALSE))))</f>
        <v/>
      </c>
      <c r="F116" s="520" t="str">
        <f>IF(B116="","",IF(ISNA(VLOOKUP($B116,'B-1 Site Hedge Baseline'!$B$1:$L$257,6,FALSE)),"",(VLOOKUP($B116,'B-1 Site Hedge Baseline'!$B$1:$L$257,6,FALSE))))</f>
        <v/>
      </c>
      <c r="G116" s="520" t="str">
        <f>IF(B116="","",IF(ISNA(VLOOKUP($B116,'B-1 Site Hedge Baseline'!$B$1:$L$257,7,FALSE)),"",(VLOOKUP($B116,'B-1 Site Hedge Baseline'!$B$1:$L$257,7,FALSE))))</f>
        <v/>
      </c>
      <c r="H116" s="520" t="str">
        <f>IF(B116="","",IF(ISNA(VLOOKUP($B116,'B-1 Site Hedge Baseline'!$B$1:$L$257,8,FALSE)),"",(VLOOKUP($B116,'B-1 Site Hedge Baseline'!$B$1:$L$257,8,FALSE))))</f>
        <v/>
      </c>
      <c r="I116" s="520" t="str">
        <f>IF(B116="","",IF(ISNA(VLOOKUP($B116,'B-1 Site Hedge Baseline'!$B$1:$L$257,10,FALSE)),"",(VLOOKUP($B116,'B-1 Site Hedge Baseline'!$B$1:$L$257,10,FALSE))))</f>
        <v/>
      </c>
      <c r="J116" s="520" t="str">
        <f>IF(B116="","",IF(ISNA(VLOOKUP($B116,'B-1 Site Hedge Baseline'!$B$1:$L$257,11,FALSE)),"",(VLOOKUP($B116,'B-1 Site Hedge Baseline'!$B$1:$L$257,11,FALSE))))</f>
        <v/>
      </c>
      <c r="K116" s="520" t="str">
        <f>IF(B116="","",IF(ISNA(VLOOKUP($B116,'B-1 Site Hedge Baseline'!$B$1:$U$257,13,FALSE)),"",(VLOOKUP($B116,'B-1 Site Hedge Baseline'!$B$1:$U$257,13,FALSE))))</f>
        <v/>
      </c>
      <c r="L116" s="524" t="str">
        <f>IF(B116="","",IF(ISNA(VLOOKUP($B116,'B-1 Site Hedge Baseline'!$B$1:$U$257,12,FALSE)),"",(VLOOKUP($B116,'B-1 Site Hedge Baseline'!$B$1:$U$257,12,FALSE))))</f>
        <v/>
      </c>
      <c r="M116" s="416" t="str">
        <f t="shared" si="15"/>
        <v/>
      </c>
      <c r="N116" s="498" t="str">
        <f>IFERROR(IF(B116="","",INDEX('G-6 Hedgerow Data'!$AN$3:$AZ$15,MATCH(C116,'G-6 Hedgerow Data'!$AM$3:$AM$15,0),MATCH(M116,'G-6 Hedgerow Data'!$AN$2:$AZ$2,0))),"")</f>
        <v/>
      </c>
      <c r="O116" s="499" t="str">
        <f t="shared" si="10"/>
        <v/>
      </c>
      <c r="P116" s="559" t="str">
        <f>IF(B116="","",VLOOKUP(B116,'B-1 Site Hedge Baseline'!$B$10:T361,16,FALSE))</f>
        <v/>
      </c>
      <c r="Q116" s="498" t="str">
        <f>IF(M116="","",VLOOKUP(M116,'G-6 Hedgerow Data'!$B$2:$AG$15,2,FALSE))</f>
        <v/>
      </c>
      <c r="R116" s="499" t="str">
        <f>IF(M116="","",VLOOKUP(M116,'G-6 Hedgerow Data'!$B$2:$AG$15,3,FALSE))</f>
        <v/>
      </c>
      <c r="S116" s="157"/>
      <c r="T116" s="540" t="str">
        <f>IFERROR(VLOOKUP(S116,'G-1 All Habitats'!$Z$2:$AA$9,2,FALSE),"")</f>
        <v/>
      </c>
      <c r="U116" s="154"/>
      <c r="V116" s="520" t="str">
        <f>IF(U116="","",IF(VLOOKUP(U116,'G-3 Multipliers'!$L$3:$N$6,2,FALSE)=0,"Spatial Data Missing ⚠",VLOOKUP(U116,'G-3 Multipliers'!$L$3:$N$6,2,FALSE)))</f>
        <v/>
      </c>
      <c r="W116" s="524"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8"/>
        <v/>
      </c>
      <c r="AD116" s="537" t="str">
        <f>IF(M116="","",VLOOKUP(M116,'G-6 Hedgerow Data'!$B$3:$AG$15,31,FALSE))</f>
        <v/>
      </c>
      <c r="AE116" s="507" t="str">
        <f t="shared" si="13"/>
        <v/>
      </c>
      <c r="AF116" s="507" t="str">
        <f t="shared" si="14"/>
        <v/>
      </c>
      <c r="AG116" s="524" t="str">
        <f>IFERROR(IF(O116="","",VLOOKUP(AD116,'G-3 Multipliers'!$P$3:$Q$6,2,FALSE)),"")</f>
        <v/>
      </c>
      <c r="AH116" s="513" t="str">
        <f t="shared" si="9"/>
        <v/>
      </c>
      <c r="AI116" s="231"/>
      <c r="AJ116" s="150"/>
      <c r="AT116" s="31" t="str">
        <f>IFERROR(INDEX('G-6 Hedgerow Data'!$BJ$3:$BJ$15,MATCH(M116,'G-6 Hedgerow Data'!$B$3:$B$15,0)),"")</f>
        <v/>
      </c>
    </row>
    <row r="117" spans="2:46" ht="13.8" x14ac:dyDescent="0.25">
      <c r="B117" s="531" t="str">
        <f>'B-1 Site Hedge Baseline'!AK115</f>
        <v/>
      </c>
      <c r="C117" s="520" t="str">
        <f>IF(B117="","",IF(ISNA(VLOOKUP($B117,'B-1 Site Hedge Baseline'!$B$1:$L$257,3,FALSE)),"",(VLOOKUP($B117,'B-1 Site Hedge Baseline'!$B$1:$L$257,3,FALSE))))</f>
        <v/>
      </c>
      <c r="D117" s="520" t="str">
        <f>IF(B117="","",IF(ISNA(VLOOKUP($B117,'B-1 Site Hedge Baseline'!$B$1:$L$257,4,FALSE)),"",(VLOOKUP($B117,'B-1 Site Hedge Baseline'!$B$1:$L$257,4,FALSE))))</f>
        <v/>
      </c>
      <c r="E117" s="520" t="str">
        <f>IF(B117="","",IF(ISNA(VLOOKUP($B117,'B-1 Site Hedge Baseline'!$B$1:$L$257,5,FALSE)),"",(VLOOKUP($B117,'B-1 Site Hedge Baseline'!$B$1:$L$257,5,FALSE))))</f>
        <v/>
      </c>
      <c r="F117" s="520" t="str">
        <f>IF(B117="","",IF(ISNA(VLOOKUP($B117,'B-1 Site Hedge Baseline'!$B$1:$L$257,6,FALSE)),"",(VLOOKUP($B117,'B-1 Site Hedge Baseline'!$B$1:$L$257,6,FALSE))))</f>
        <v/>
      </c>
      <c r="G117" s="520" t="str">
        <f>IF(B117="","",IF(ISNA(VLOOKUP($B117,'B-1 Site Hedge Baseline'!$B$1:$L$257,7,FALSE)),"",(VLOOKUP($B117,'B-1 Site Hedge Baseline'!$B$1:$L$257,7,FALSE))))</f>
        <v/>
      </c>
      <c r="H117" s="520" t="str">
        <f>IF(B117="","",IF(ISNA(VLOOKUP($B117,'B-1 Site Hedge Baseline'!$B$1:$L$257,8,FALSE)),"",(VLOOKUP($B117,'B-1 Site Hedge Baseline'!$B$1:$L$257,8,FALSE))))</f>
        <v/>
      </c>
      <c r="I117" s="520" t="str">
        <f>IF(B117="","",IF(ISNA(VLOOKUP($B117,'B-1 Site Hedge Baseline'!$B$1:$L$257,10,FALSE)),"",(VLOOKUP($B117,'B-1 Site Hedge Baseline'!$B$1:$L$257,10,FALSE))))</f>
        <v/>
      </c>
      <c r="J117" s="520" t="str">
        <f>IF(B117="","",IF(ISNA(VLOOKUP($B117,'B-1 Site Hedge Baseline'!$B$1:$L$257,11,FALSE)),"",(VLOOKUP($B117,'B-1 Site Hedge Baseline'!$B$1:$L$257,11,FALSE))))</f>
        <v/>
      </c>
      <c r="K117" s="520" t="str">
        <f>IF(B117="","",IF(ISNA(VLOOKUP($B117,'B-1 Site Hedge Baseline'!$B$1:$U$257,13,FALSE)),"",(VLOOKUP($B117,'B-1 Site Hedge Baseline'!$B$1:$U$257,13,FALSE))))</f>
        <v/>
      </c>
      <c r="L117" s="524" t="str">
        <f>IF(B117="","",IF(ISNA(VLOOKUP($B117,'B-1 Site Hedge Baseline'!$B$1:$U$257,12,FALSE)),"",(VLOOKUP($B117,'B-1 Site Hedge Baseline'!$B$1:$U$257,12,FALSE))))</f>
        <v/>
      </c>
      <c r="M117" s="416" t="str">
        <f t="shared" si="15"/>
        <v/>
      </c>
      <c r="N117" s="498" t="str">
        <f>IFERROR(IF(B117="","",INDEX('G-6 Hedgerow Data'!$AN$3:$AZ$15,MATCH(C117,'G-6 Hedgerow Data'!$AM$3:$AM$15,0),MATCH(M117,'G-6 Hedgerow Data'!$AN$2:$AZ$2,0))),"")</f>
        <v/>
      </c>
      <c r="O117" s="499" t="str">
        <f t="shared" si="10"/>
        <v/>
      </c>
      <c r="P117" s="559" t="str">
        <f>IF(B117="","",VLOOKUP(B117,'B-1 Site Hedge Baseline'!$B$10:T362,16,FALSE))</f>
        <v/>
      </c>
      <c r="Q117" s="498" t="str">
        <f>IF(M117="","",VLOOKUP(M117,'G-6 Hedgerow Data'!$B$2:$AG$15,2,FALSE))</f>
        <v/>
      </c>
      <c r="R117" s="499" t="str">
        <f>IF(M117="","",VLOOKUP(M117,'G-6 Hedgerow Data'!$B$2:$AG$15,3,FALSE))</f>
        <v/>
      </c>
      <c r="S117" s="157"/>
      <c r="T117" s="540" t="str">
        <f>IFERROR(VLOOKUP(S117,'G-1 All Habitats'!$Z$2:$AA$9,2,FALSE),"")</f>
        <v/>
      </c>
      <c r="U117" s="154"/>
      <c r="V117" s="520" t="str">
        <f>IF(U117="","",IF(VLOOKUP(U117,'G-3 Multipliers'!$L$3:$N$6,2,FALSE)=0,"Spatial Data Missing ⚠",VLOOKUP(U117,'G-3 Multipliers'!$L$3:$N$6,2,FALSE)))</f>
        <v/>
      </c>
      <c r="W117" s="524"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8"/>
        <v/>
      </c>
      <c r="AD117" s="537" t="str">
        <f>IF(M117="","",VLOOKUP(M117,'G-6 Hedgerow Data'!$B$3:$AG$15,31,FALSE))</f>
        <v/>
      </c>
      <c r="AE117" s="507" t="str">
        <f t="shared" si="13"/>
        <v/>
      </c>
      <c r="AF117" s="507" t="str">
        <f t="shared" si="14"/>
        <v/>
      </c>
      <c r="AG117" s="524" t="str">
        <f>IFERROR(IF(O117="","",VLOOKUP(AD117,'G-3 Multipliers'!$P$3:$Q$6,2,FALSE)),"")</f>
        <v/>
      </c>
      <c r="AH117" s="513" t="str">
        <f t="shared" si="9"/>
        <v/>
      </c>
      <c r="AI117" s="231"/>
      <c r="AJ117" s="150"/>
      <c r="AT117" s="31" t="str">
        <f>IFERROR(INDEX('G-6 Hedgerow Data'!$BJ$3:$BJ$15,MATCH(M117,'G-6 Hedgerow Data'!$B$3:$B$15,0)),"")</f>
        <v/>
      </c>
    </row>
    <row r="118" spans="2:46" ht="13.8" x14ac:dyDescent="0.25">
      <c r="B118" s="531" t="str">
        <f>'B-1 Site Hedge Baseline'!AK116</f>
        <v/>
      </c>
      <c r="C118" s="520" t="str">
        <f>IF(B118="","",IF(ISNA(VLOOKUP($B118,'B-1 Site Hedge Baseline'!$B$1:$L$257,3,FALSE)),"",(VLOOKUP($B118,'B-1 Site Hedge Baseline'!$B$1:$L$257,3,FALSE))))</f>
        <v/>
      </c>
      <c r="D118" s="520" t="str">
        <f>IF(B118="","",IF(ISNA(VLOOKUP($B118,'B-1 Site Hedge Baseline'!$B$1:$L$257,4,FALSE)),"",(VLOOKUP($B118,'B-1 Site Hedge Baseline'!$B$1:$L$257,4,FALSE))))</f>
        <v/>
      </c>
      <c r="E118" s="520" t="str">
        <f>IF(B118="","",IF(ISNA(VLOOKUP($B118,'B-1 Site Hedge Baseline'!$B$1:$L$257,5,FALSE)),"",(VLOOKUP($B118,'B-1 Site Hedge Baseline'!$B$1:$L$257,5,FALSE))))</f>
        <v/>
      </c>
      <c r="F118" s="520" t="str">
        <f>IF(B118="","",IF(ISNA(VLOOKUP($B118,'B-1 Site Hedge Baseline'!$B$1:$L$257,6,FALSE)),"",(VLOOKUP($B118,'B-1 Site Hedge Baseline'!$B$1:$L$257,6,FALSE))))</f>
        <v/>
      </c>
      <c r="G118" s="520" t="str">
        <f>IF(B118="","",IF(ISNA(VLOOKUP($B118,'B-1 Site Hedge Baseline'!$B$1:$L$257,7,FALSE)),"",(VLOOKUP($B118,'B-1 Site Hedge Baseline'!$B$1:$L$257,7,FALSE))))</f>
        <v/>
      </c>
      <c r="H118" s="520" t="str">
        <f>IF(B118="","",IF(ISNA(VLOOKUP($B118,'B-1 Site Hedge Baseline'!$B$1:$L$257,8,FALSE)),"",(VLOOKUP($B118,'B-1 Site Hedge Baseline'!$B$1:$L$257,8,FALSE))))</f>
        <v/>
      </c>
      <c r="I118" s="520" t="str">
        <f>IF(B118="","",IF(ISNA(VLOOKUP($B118,'B-1 Site Hedge Baseline'!$B$1:$L$257,10,FALSE)),"",(VLOOKUP($B118,'B-1 Site Hedge Baseline'!$B$1:$L$257,10,FALSE))))</f>
        <v/>
      </c>
      <c r="J118" s="520" t="str">
        <f>IF(B118="","",IF(ISNA(VLOOKUP($B118,'B-1 Site Hedge Baseline'!$B$1:$L$257,11,FALSE)),"",(VLOOKUP($B118,'B-1 Site Hedge Baseline'!$B$1:$L$257,11,FALSE))))</f>
        <v/>
      </c>
      <c r="K118" s="520" t="str">
        <f>IF(B118="","",IF(ISNA(VLOOKUP($B118,'B-1 Site Hedge Baseline'!$B$1:$U$257,13,FALSE)),"",(VLOOKUP($B118,'B-1 Site Hedge Baseline'!$B$1:$U$257,13,FALSE))))</f>
        <v/>
      </c>
      <c r="L118" s="524" t="str">
        <f>IF(B118="","",IF(ISNA(VLOOKUP($B118,'B-1 Site Hedge Baseline'!$B$1:$U$257,12,FALSE)),"",(VLOOKUP($B118,'B-1 Site Hedge Baseline'!$B$1:$U$257,12,FALSE))))</f>
        <v/>
      </c>
      <c r="M118" s="416" t="str">
        <f t="shared" si="15"/>
        <v/>
      </c>
      <c r="N118" s="498" t="str">
        <f>IFERROR(IF(B118="","",INDEX('G-6 Hedgerow Data'!$AN$3:$AZ$15,MATCH(C118,'G-6 Hedgerow Data'!$AM$3:$AM$15,0),MATCH(M118,'G-6 Hedgerow Data'!$AN$2:$AZ$2,0))),"")</f>
        <v/>
      </c>
      <c r="O118" s="499" t="str">
        <f t="shared" si="10"/>
        <v/>
      </c>
      <c r="P118" s="559" t="str">
        <f>IF(B118="","",VLOOKUP(B118,'B-1 Site Hedge Baseline'!$B$10:T363,16,FALSE))</f>
        <v/>
      </c>
      <c r="Q118" s="498" t="str">
        <f>IF(M118="","",VLOOKUP(M118,'G-6 Hedgerow Data'!$B$2:$AG$15,2,FALSE))</f>
        <v/>
      </c>
      <c r="R118" s="499" t="str">
        <f>IF(M118="","",VLOOKUP(M118,'G-6 Hedgerow Data'!$B$2:$AG$15,3,FALSE))</f>
        <v/>
      </c>
      <c r="S118" s="157"/>
      <c r="T118" s="540" t="str">
        <f>IFERROR(VLOOKUP(S118,'G-1 All Habitats'!$Z$2:$AA$9,2,FALSE),"")</f>
        <v/>
      </c>
      <c r="U118" s="154"/>
      <c r="V118" s="520" t="str">
        <f>IF(U118="","",IF(VLOOKUP(U118,'G-3 Multipliers'!$L$3:$N$6,2,FALSE)=0,"Spatial Data Missing ⚠",VLOOKUP(U118,'G-3 Multipliers'!$L$3:$N$6,2,FALSE)))</f>
        <v/>
      </c>
      <c r="W118" s="524"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8"/>
        <v/>
      </c>
      <c r="AD118" s="537" t="str">
        <f>IF(M118="","",VLOOKUP(M118,'G-6 Hedgerow Data'!$B$3:$AG$15,31,FALSE))</f>
        <v/>
      </c>
      <c r="AE118" s="507" t="str">
        <f t="shared" si="13"/>
        <v/>
      </c>
      <c r="AF118" s="507" t="str">
        <f t="shared" si="14"/>
        <v/>
      </c>
      <c r="AG118" s="524" t="str">
        <f>IFERROR(IF(O118="","",VLOOKUP(AD118,'G-3 Multipliers'!$P$3:$Q$6,2,FALSE)),"")</f>
        <v/>
      </c>
      <c r="AH118" s="513" t="str">
        <f t="shared" si="9"/>
        <v/>
      </c>
      <c r="AI118" s="231"/>
      <c r="AJ118" s="150"/>
      <c r="AT118" s="31" t="str">
        <f>IFERROR(INDEX('G-6 Hedgerow Data'!$BJ$3:$BJ$15,MATCH(M118,'G-6 Hedgerow Data'!$B$3:$B$15,0)),"")</f>
        <v/>
      </c>
    </row>
    <row r="119" spans="2:46" ht="13.8" x14ac:dyDescent="0.25">
      <c r="B119" s="531" t="str">
        <f>'B-1 Site Hedge Baseline'!AK117</f>
        <v/>
      </c>
      <c r="C119" s="520" t="str">
        <f>IF(B119="","",IF(ISNA(VLOOKUP($B119,'B-1 Site Hedge Baseline'!$B$1:$L$257,3,FALSE)),"",(VLOOKUP($B119,'B-1 Site Hedge Baseline'!$B$1:$L$257,3,FALSE))))</f>
        <v/>
      </c>
      <c r="D119" s="520" t="str">
        <f>IF(B119="","",IF(ISNA(VLOOKUP($B119,'B-1 Site Hedge Baseline'!$B$1:$L$257,4,FALSE)),"",(VLOOKUP($B119,'B-1 Site Hedge Baseline'!$B$1:$L$257,4,FALSE))))</f>
        <v/>
      </c>
      <c r="E119" s="520" t="str">
        <f>IF(B119="","",IF(ISNA(VLOOKUP($B119,'B-1 Site Hedge Baseline'!$B$1:$L$257,5,FALSE)),"",(VLOOKUP($B119,'B-1 Site Hedge Baseline'!$B$1:$L$257,5,FALSE))))</f>
        <v/>
      </c>
      <c r="F119" s="520" t="str">
        <f>IF(B119="","",IF(ISNA(VLOOKUP($B119,'B-1 Site Hedge Baseline'!$B$1:$L$257,6,FALSE)),"",(VLOOKUP($B119,'B-1 Site Hedge Baseline'!$B$1:$L$257,6,FALSE))))</f>
        <v/>
      </c>
      <c r="G119" s="520" t="str">
        <f>IF(B119="","",IF(ISNA(VLOOKUP($B119,'B-1 Site Hedge Baseline'!$B$1:$L$257,7,FALSE)),"",(VLOOKUP($B119,'B-1 Site Hedge Baseline'!$B$1:$L$257,7,FALSE))))</f>
        <v/>
      </c>
      <c r="H119" s="520" t="str">
        <f>IF(B119="","",IF(ISNA(VLOOKUP($B119,'B-1 Site Hedge Baseline'!$B$1:$L$257,8,FALSE)),"",(VLOOKUP($B119,'B-1 Site Hedge Baseline'!$B$1:$L$257,8,FALSE))))</f>
        <v/>
      </c>
      <c r="I119" s="520" t="str">
        <f>IF(B119="","",IF(ISNA(VLOOKUP($B119,'B-1 Site Hedge Baseline'!$B$1:$L$257,10,FALSE)),"",(VLOOKUP($B119,'B-1 Site Hedge Baseline'!$B$1:$L$257,10,FALSE))))</f>
        <v/>
      </c>
      <c r="J119" s="520" t="str">
        <f>IF(B119="","",IF(ISNA(VLOOKUP($B119,'B-1 Site Hedge Baseline'!$B$1:$L$257,11,FALSE)),"",(VLOOKUP($B119,'B-1 Site Hedge Baseline'!$B$1:$L$257,11,FALSE))))</f>
        <v/>
      </c>
      <c r="K119" s="520" t="str">
        <f>IF(B119="","",IF(ISNA(VLOOKUP($B119,'B-1 Site Hedge Baseline'!$B$1:$U$257,13,FALSE)),"",(VLOOKUP($B119,'B-1 Site Hedge Baseline'!$B$1:$U$257,13,FALSE))))</f>
        <v/>
      </c>
      <c r="L119" s="524" t="str">
        <f>IF(B119="","",IF(ISNA(VLOOKUP($B119,'B-1 Site Hedge Baseline'!$B$1:$U$257,12,FALSE)),"",(VLOOKUP($B119,'B-1 Site Hedge Baseline'!$B$1:$U$257,12,FALSE))))</f>
        <v/>
      </c>
      <c r="M119" s="416" t="str">
        <f t="shared" si="15"/>
        <v/>
      </c>
      <c r="N119" s="498" t="str">
        <f>IFERROR(IF(B119="","",INDEX('G-6 Hedgerow Data'!$AN$3:$AZ$15,MATCH(C119,'G-6 Hedgerow Data'!$AM$3:$AM$15,0),MATCH(M119,'G-6 Hedgerow Data'!$AN$2:$AZ$2,0))),"")</f>
        <v/>
      </c>
      <c r="O119" s="499" t="str">
        <f t="shared" si="10"/>
        <v/>
      </c>
      <c r="P119" s="559" t="str">
        <f>IF(B119="","",VLOOKUP(B119,'B-1 Site Hedge Baseline'!$B$10:T364,16,FALSE))</f>
        <v/>
      </c>
      <c r="Q119" s="498" t="str">
        <f>IF(M119="","",VLOOKUP(M119,'G-6 Hedgerow Data'!$B$2:$AG$15,2,FALSE))</f>
        <v/>
      </c>
      <c r="R119" s="499" t="str">
        <f>IF(M119="","",VLOOKUP(M119,'G-6 Hedgerow Data'!$B$2:$AG$15,3,FALSE))</f>
        <v/>
      </c>
      <c r="S119" s="157"/>
      <c r="T119" s="540" t="str">
        <f>IFERROR(VLOOKUP(S119,'G-1 All Habitats'!$Z$2:$AA$9,2,FALSE),"")</f>
        <v/>
      </c>
      <c r="U119" s="154"/>
      <c r="V119" s="520" t="str">
        <f>IF(U119="","",IF(VLOOKUP(U119,'G-3 Multipliers'!$L$3:$N$6,2,FALSE)=0,"Spatial Data Missing ⚠",VLOOKUP(U119,'G-3 Multipliers'!$L$3:$N$6,2,FALSE)))</f>
        <v/>
      </c>
      <c r="W119" s="524"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8"/>
        <v/>
      </c>
      <c r="AD119" s="537" t="str">
        <f>IF(M119="","",VLOOKUP(M119,'G-6 Hedgerow Data'!$B$3:$AG$15,31,FALSE))</f>
        <v/>
      </c>
      <c r="AE119" s="507" t="str">
        <f t="shared" si="13"/>
        <v/>
      </c>
      <c r="AF119" s="507" t="str">
        <f t="shared" si="14"/>
        <v/>
      </c>
      <c r="AG119" s="524" t="str">
        <f>IFERROR(IF(O119="","",VLOOKUP(AD119,'G-3 Multipliers'!$P$3:$Q$6,2,FALSE)),"")</f>
        <v/>
      </c>
      <c r="AH119" s="513" t="str">
        <f t="shared" si="9"/>
        <v/>
      </c>
      <c r="AI119" s="231"/>
      <c r="AJ119" s="150"/>
      <c r="AT119" s="31" t="str">
        <f>IFERROR(INDEX('G-6 Hedgerow Data'!$BJ$3:$BJ$15,MATCH(M119,'G-6 Hedgerow Data'!$B$3:$B$15,0)),"")</f>
        <v/>
      </c>
    </row>
    <row r="120" spans="2:46" ht="13.8" x14ac:dyDescent="0.25">
      <c r="B120" s="531" t="str">
        <f>'B-1 Site Hedge Baseline'!AK118</f>
        <v/>
      </c>
      <c r="C120" s="520" t="str">
        <f>IF(B120="","",IF(ISNA(VLOOKUP($B120,'B-1 Site Hedge Baseline'!$B$1:$L$257,3,FALSE)),"",(VLOOKUP($B120,'B-1 Site Hedge Baseline'!$B$1:$L$257,3,FALSE))))</f>
        <v/>
      </c>
      <c r="D120" s="520" t="str">
        <f>IF(B120="","",IF(ISNA(VLOOKUP($B120,'B-1 Site Hedge Baseline'!$B$1:$L$257,4,FALSE)),"",(VLOOKUP($B120,'B-1 Site Hedge Baseline'!$B$1:$L$257,4,FALSE))))</f>
        <v/>
      </c>
      <c r="E120" s="520" t="str">
        <f>IF(B120="","",IF(ISNA(VLOOKUP($B120,'B-1 Site Hedge Baseline'!$B$1:$L$257,5,FALSE)),"",(VLOOKUP($B120,'B-1 Site Hedge Baseline'!$B$1:$L$257,5,FALSE))))</f>
        <v/>
      </c>
      <c r="F120" s="520" t="str">
        <f>IF(B120="","",IF(ISNA(VLOOKUP($B120,'B-1 Site Hedge Baseline'!$B$1:$L$257,6,FALSE)),"",(VLOOKUP($B120,'B-1 Site Hedge Baseline'!$B$1:$L$257,6,FALSE))))</f>
        <v/>
      </c>
      <c r="G120" s="520" t="str">
        <f>IF(B120="","",IF(ISNA(VLOOKUP($B120,'B-1 Site Hedge Baseline'!$B$1:$L$257,7,FALSE)),"",(VLOOKUP($B120,'B-1 Site Hedge Baseline'!$B$1:$L$257,7,FALSE))))</f>
        <v/>
      </c>
      <c r="H120" s="520" t="str">
        <f>IF(B120="","",IF(ISNA(VLOOKUP($B120,'B-1 Site Hedge Baseline'!$B$1:$L$257,8,FALSE)),"",(VLOOKUP($B120,'B-1 Site Hedge Baseline'!$B$1:$L$257,8,FALSE))))</f>
        <v/>
      </c>
      <c r="I120" s="520" t="str">
        <f>IF(B120="","",IF(ISNA(VLOOKUP($B120,'B-1 Site Hedge Baseline'!$B$1:$L$257,10,FALSE)),"",(VLOOKUP($B120,'B-1 Site Hedge Baseline'!$B$1:$L$257,10,FALSE))))</f>
        <v/>
      </c>
      <c r="J120" s="520" t="str">
        <f>IF(B120="","",IF(ISNA(VLOOKUP($B120,'B-1 Site Hedge Baseline'!$B$1:$L$257,11,FALSE)),"",(VLOOKUP($B120,'B-1 Site Hedge Baseline'!$B$1:$L$257,11,FALSE))))</f>
        <v/>
      </c>
      <c r="K120" s="520" t="str">
        <f>IF(B120="","",IF(ISNA(VLOOKUP($B120,'B-1 Site Hedge Baseline'!$B$1:$U$257,13,FALSE)),"",(VLOOKUP($B120,'B-1 Site Hedge Baseline'!$B$1:$U$257,13,FALSE))))</f>
        <v/>
      </c>
      <c r="L120" s="524" t="str">
        <f>IF(B120="","",IF(ISNA(VLOOKUP($B120,'B-1 Site Hedge Baseline'!$B$1:$U$257,12,FALSE)),"",(VLOOKUP($B120,'B-1 Site Hedge Baseline'!$B$1:$U$257,12,FALSE))))</f>
        <v/>
      </c>
      <c r="M120" s="416" t="str">
        <f t="shared" si="15"/>
        <v/>
      </c>
      <c r="N120" s="498" t="str">
        <f>IFERROR(IF(B120="","",INDEX('G-6 Hedgerow Data'!$AN$3:$AZ$15,MATCH(C120,'G-6 Hedgerow Data'!$AM$3:$AM$15,0),MATCH(M120,'G-6 Hedgerow Data'!$AN$2:$AZ$2,0))),"")</f>
        <v/>
      </c>
      <c r="O120" s="499" t="str">
        <f t="shared" si="10"/>
        <v/>
      </c>
      <c r="P120" s="559" t="str">
        <f>IF(B120="","",VLOOKUP(B120,'B-1 Site Hedge Baseline'!$B$10:T365,16,FALSE))</f>
        <v/>
      </c>
      <c r="Q120" s="498" t="str">
        <f>IF(M120="","",VLOOKUP(M120,'G-6 Hedgerow Data'!$B$2:$AG$15,2,FALSE))</f>
        <v/>
      </c>
      <c r="R120" s="499" t="str">
        <f>IF(M120="","",VLOOKUP(M120,'G-6 Hedgerow Data'!$B$2:$AG$15,3,FALSE))</f>
        <v/>
      </c>
      <c r="S120" s="157"/>
      <c r="T120" s="540" t="str">
        <f>IFERROR(VLOOKUP(S120,'G-1 All Habitats'!$Z$2:$AA$9,2,FALSE),"")</f>
        <v/>
      </c>
      <c r="U120" s="154"/>
      <c r="V120" s="520" t="str">
        <f>IF(U120="","",IF(VLOOKUP(U120,'G-3 Multipliers'!$L$3:$N$6,2,FALSE)=0,"Spatial Data Missing ⚠",VLOOKUP(U120,'G-3 Multipliers'!$L$3:$N$6,2,FALSE)))</f>
        <v/>
      </c>
      <c r="W120" s="524"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8"/>
        <v/>
      </c>
      <c r="AD120" s="537" t="str">
        <f>IF(M120="","",VLOOKUP(M120,'G-6 Hedgerow Data'!$B$3:$AG$15,31,FALSE))</f>
        <v/>
      </c>
      <c r="AE120" s="507" t="str">
        <f t="shared" si="13"/>
        <v/>
      </c>
      <c r="AF120" s="507" t="str">
        <f t="shared" si="14"/>
        <v/>
      </c>
      <c r="AG120" s="524" t="str">
        <f>IFERROR(IF(O120="","",VLOOKUP(AD120,'G-3 Multipliers'!$P$3:$Q$6,2,FALSE)),"")</f>
        <v/>
      </c>
      <c r="AH120" s="513" t="str">
        <f t="shared" si="9"/>
        <v/>
      </c>
      <c r="AI120" s="231"/>
      <c r="AJ120" s="150"/>
      <c r="AT120" s="31" t="str">
        <f>IFERROR(INDEX('G-6 Hedgerow Data'!$BJ$3:$BJ$15,MATCH(M120,'G-6 Hedgerow Data'!$B$3:$B$15,0)),"")</f>
        <v/>
      </c>
    </row>
    <row r="121" spans="2:46" ht="13.8" x14ac:dyDescent="0.25">
      <c r="B121" s="531" t="str">
        <f>'B-1 Site Hedge Baseline'!AK119</f>
        <v/>
      </c>
      <c r="C121" s="520" t="str">
        <f>IF(B121="","",IF(ISNA(VLOOKUP($B121,'B-1 Site Hedge Baseline'!$B$1:$L$257,3,FALSE)),"",(VLOOKUP($B121,'B-1 Site Hedge Baseline'!$B$1:$L$257,3,FALSE))))</f>
        <v/>
      </c>
      <c r="D121" s="520" t="str">
        <f>IF(B121="","",IF(ISNA(VLOOKUP($B121,'B-1 Site Hedge Baseline'!$B$1:$L$257,4,FALSE)),"",(VLOOKUP($B121,'B-1 Site Hedge Baseline'!$B$1:$L$257,4,FALSE))))</f>
        <v/>
      </c>
      <c r="E121" s="520" t="str">
        <f>IF(B121="","",IF(ISNA(VLOOKUP($B121,'B-1 Site Hedge Baseline'!$B$1:$L$257,5,FALSE)),"",(VLOOKUP($B121,'B-1 Site Hedge Baseline'!$B$1:$L$257,5,FALSE))))</f>
        <v/>
      </c>
      <c r="F121" s="520" t="str">
        <f>IF(B121="","",IF(ISNA(VLOOKUP($B121,'B-1 Site Hedge Baseline'!$B$1:$L$257,6,FALSE)),"",(VLOOKUP($B121,'B-1 Site Hedge Baseline'!$B$1:$L$257,6,FALSE))))</f>
        <v/>
      </c>
      <c r="G121" s="520" t="str">
        <f>IF(B121="","",IF(ISNA(VLOOKUP($B121,'B-1 Site Hedge Baseline'!$B$1:$L$257,7,FALSE)),"",(VLOOKUP($B121,'B-1 Site Hedge Baseline'!$B$1:$L$257,7,FALSE))))</f>
        <v/>
      </c>
      <c r="H121" s="520" t="str">
        <f>IF(B121="","",IF(ISNA(VLOOKUP($B121,'B-1 Site Hedge Baseline'!$B$1:$L$257,8,FALSE)),"",(VLOOKUP($B121,'B-1 Site Hedge Baseline'!$B$1:$L$257,8,FALSE))))</f>
        <v/>
      </c>
      <c r="I121" s="520" t="str">
        <f>IF(B121="","",IF(ISNA(VLOOKUP($B121,'B-1 Site Hedge Baseline'!$B$1:$L$257,10,FALSE)),"",(VLOOKUP($B121,'B-1 Site Hedge Baseline'!$B$1:$L$257,10,FALSE))))</f>
        <v/>
      </c>
      <c r="J121" s="520" t="str">
        <f>IF(B121="","",IF(ISNA(VLOOKUP($B121,'B-1 Site Hedge Baseline'!$B$1:$L$257,11,FALSE)),"",(VLOOKUP($B121,'B-1 Site Hedge Baseline'!$B$1:$L$257,11,FALSE))))</f>
        <v/>
      </c>
      <c r="K121" s="520" t="str">
        <f>IF(B121="","",IF(ISNA(VLOOKUP($B121,'B-1 Site Hedge Baseline'!$B$1:$U$257,13,FALSE)),"",(VLOOKUP($B121,'B-1 Site Hedge Baseline'!$B$1:$U$257,13,FALSE))))</f>
        <v/>
      </c>
      <c r="L121" s="524" t="str">
        <f>IF(B121="","",IF(ISNA(VLOOKUP($B121,'B-1 Site Hedge Baseline'!$B$1:$U$257,12,FALSE)),"",(VLOOKUP($B121,'B-1 Site Hedge Baseline'!$B$1:$U$257,12,FALSE))))</f>
        <v/>
      </c>
      <c r="M121" s="416" t="str">
        <f t="shared" si="15"/>
        <v/>
      </c>
      <c r="N121" s="498" t="str">
        <f>IFERROR(IF(B121="","",INDEX('G-6 Hedgerow Data'!$AN$3:$AZ$15,MATCH(C121,'G-6 Hedgerow Data'!$AM$3:$AM$15,0),MATCH(M121,'G-6 Hedgerow Data'!$AN$2:$AZ$2,0))),"")</f>
        <v/>
      </c>
      <c r="O121" s="499" t="str">
        <f t="shared" si="10"/>
        <v/>
      </c>
      <c r="P121" s="559" t="str">
        <f>IF(B121="","",VLOOKUP(B121,'B-1 Site Hedge Baseline'!$B$10:T366,16,FALSE))</f>
        <v/>
      </c>
      <c r="Q121" s="498" t="str">
        <f>IF(M121="","",VLOOKUP(M121,'G-6 Hedgerow Data'!$B$2:$AG$15,2,FALSE))</f>
        <v/>
      </c>
      <c r="R121" s="499" t="str">
        <f>IF(M121="","",VLOOKUP(M121,'G-6 Hedgerow Data'!$B$2:$AG$15,3,FALSE))</f>
        <v/>
      </c>
      <c r="S121" s="157"/>
      <c r="T121" s="540" t="str">
        <f>IFERROR(VLOOKUP(S121,'G-1 All Habitats'!$Z$2:$AA$9,2,FALSE),"")</f>
        <v/>
      </c>
      <c r="U121" s="154"/>
      <c r="V121" s="520" t="str">
        <f>IF(U121="","",IF(VLOOKUP(U121,'G-3 Multipliers'!$L$3:$N$6,2,FALSE)=0,"Spatial Data Missing ⚠",VLOOKUP(U121,'G-3 Multipliers'!$L$3:$N$6,2,FALSE)))</f>
        <v/>
      </c>
      <c r="W121" s="524"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8"/>
        <v/>
      </c>
      <c r="AD121" s="537" t="str">
        <f>IF(M121="","",VLOOKUP(M121,'G-6 Hedgerow Data'!$B$3:$AG$15,31,FALSE))</f>
        <v/>
      </c>
      <c r="AE121" s="507" t="str">
        <f t="shared" si="13"/>
        <v/>
      </c>
      <c r="AF121" s="507" t="str">
        <f t="shared" si="14"/>
        <v/>
      </c>
      <c r="AG121" s="524" t="str">
        <f>IFERROR(IF(O121="","",VLOOKUP(AD121,'G-3 Multipliers'!$P$3:$Q$6,2,FALSE)),"")</f>
        <v/>
      </c>
      <c r="AH121" s="513" t="str">
        <f t="shared" si="9"/>
        <v/>
      </c>
      <c r="AI121" s="231"/>
      <c r="AJ121" s="150"/>
      <c r="AT121" s="31" t="str">
        <f>IFERROR(INDEX('G-6 Hedgerow Data'!$BJ$3:$BJ$15,MATCH(M121,'G-6 Hedgerow Data'!$B$3:$B$15,0)),"")</f>
        <v/>
      </c>
    </row>
    <row r="122" spans="2:46" ht="13.8" x14ac:dyDescent="0.25">
      <c r="B122" s="531" t="str">
        <f>'B-1 Site Hedge Baseline'!AK120</f>
        <v/>
      </c>
      <c r="C122" s="520" t="str">
        <f>IF(B122="","",IF(ISNA(VLOOKUP($B122,'B-1 Site Hedge Baseline'!$B$1:$L$257,3,FALSE)),"",(VLOOKUP($B122,'B-1 Site Hedge Baseline'!$B$1:$L$257,3,FALSE))))</f>
        <v/>
      </c>
      <c r="D122" s="520" t="str">
        <f>IF(B122="","",IF(ISNA(VLOOKUP($B122,'B-1 Site Hedge Baseline'!$B$1:$L$257,4,FALSE)),"",(VLOOKUP($B122,'B-1 Site Hedge Baseline'!$B$1:$L$257,4,FALSE))))</f>
        <v/>
      </c>
      <c r="E122" s="520" t="str">
        <f>IF(B122="","",IF(ISNA(VLOOKUP($B122,'B-1 Site Hedge Baseline'!$B$1:$L$257,5,FALSE)),"",(VLOOKUP($B122,'B-1 Site Hedge Baseline'!$B$1:$L$257,5,FALSE))))</f>
        <v/>
      </c>
      <c r="F122" s="520" t="str">
        <f>IF(B122="","",IF(ISNA(VLOOKUP($B122,'B-1 Site Hedge Baseline'!$B$1:$L$257,6,FALSE)),"",(VLOOKUP($B122,'B-1 Site Hedge Baseline'!$B$1:$L$257,6,FALSE))))</f>
        <v/>
      </c>
      <c r="G122" s="520" t="str">
        <f>IF(B122="","",IF(ISNA(VLOOKUP($B122,'B-1 Site Hedge Baseline'!$B$1:$L$257,7,FALSE)),"",(VLOOKUP($B122,'B-1 Site Hedge Baseline'!$B$1:$L$257,7,FALSE))))</f>
        <v/>
      </c>
      <c r="H122" s="520" t="str">
        <f>IF(B122="","",IF(ISNA(VLOOKUP($B122,'B-1 Site Hedge Baseline'!$B$1:$L$257,8,FALSE)),"",(VLOOKUP($B122,'B-1 Site Hedge Baseline'!$B$1:$L$257,8,FALSE))))</f>
        <v/>
      </c>
      <c r="I122" s="520" t="str">
        <f>IF(B122="","",IF(ISNA(VLOOKUP($B122,'B-1 Site Hedge Baseline'!$B$1:$L$257,10,FALSE)),"",(VLOOKUP($B122,'B-1 Site Hedge Baseline'!$B$1:$L$257,10,FALSE))))</f>
        <v/>
      </c>
      <c r="J122" s="520" t="str">
        <f>IF(B122="","",IF(ISNA(VLOOKUP($B122,'B-1 Site Hedge Baseline'!$B$1:$L$257,11,FALSE)),"",(VLOOKUP($B122,'B-1 Site Hedge Baseline'!$B$1:$L$257,11,FALSE))))</f>
        <v/>
      </c>
      <c r="K122" s="520" t="str">
        <f>IF(B122="","",IF(ISNA(VLOOKUP($B122,'B-1 Site Hedge Baseline'!$B$1:$U$257,13,FALSE)),"",(VLOOKUP($B122,'B-1 Site Hedge Baseline'!$B$1:$U$257,13,FALSE))))</f>
        <v/>
      </c>
      <c r="L122" s="524" t="str">
        <f>IF(B122="","",IF(ISNA(VLOOKUP($B122,'B-1 Site Hedge Baseline'!$B$1:$U$257,12,FALSE)),"",(VLOOKUP($B122,'B-1 Site Hedge Baseline'!$B$1:$U$257,12,FALSE))))</f>
        <v/>
      </c>
      <c r="M122" s="416" t="str">
        <f t="shared" si="15"/>
        <v/>
      </c>
      <c r="N122" s="498" t="str">
        <f>IFERROR(IF(B122="","",INDEX('G-6 Hedgerow Data'!$AN$3:$AZ$15,MATCH(C122,'G-6 Hedgerow Data'!$AM$3:$AM$15,0),MATCH(M122,'G-6 Hedgerow Data'!$AN$2:$AZ$2,0))),"")</f>
        <v/>
      </c>
      <c r="O122" s="499" t="str">
        <f t="shared" si="10"/>
        <v/>
      </c>
      <c r="P122" s="559" t="str">
        <f>IF(B122="","",VLOOKUP(B122,'B-1 Site Hedge Baseline'!$B$10:T367,16,FALSE))</f>
        <v/>
      </c>
      <c r="Q122" s="498" t="str">
        <f>IF(M122="","",VLOOKUP(M122,'G-6 Hedgerow Data'!$B$2:$AG$15,2,FALSE))</f>
        <v/>
      </c>
      <c r="R122" s="499" t="str">
        <f>IF(M122="","",VLOOKUP(M122,'G-6 Hedgerow Data'!$B$2:$AG$15,3,FALSE))</f>
        <v/>
      </c>
      <c r="S122" s="157"/>
      <c r="T122" s="540" t="str">
        <f>IFERROR(VLOOKUP(S122,'G-1 All Habitats'!$Z$2:$AA$9,2,FALSE),"")</f>
        <v/>
      </c>
      <c r="U122" s="154"/>
      <c r="V122" s="520" t="str">
        <f>IF(U122="","",IF(VLOOKUP(U122,'G-3 Multipliers'!$L$3:$N$6,2,FALSE)=0,"Spatial Data Missing ⚠",VLOOKUP(U122,'G-3 Multipliers'!$L$3:$N$6,2,FALSE)))</f>
        <v/>
      </c>
      <c r="W122" s="524"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8"/>
        <v/>
      </c>
      <c r="AD122" s="537" t="str">
        <f>IF(M122="","",VLOOKUP(M122,'G-6 Hedgerow Data'!$B$3:$AG$15,31,FALSE))</f>
        <v/>
      </c>
      <c r="AE122" s="507" t="str">
        <f t="shared" si="13"/>
        <v/>
      </c>
      <c r="AF122" s="507" t="str">
        <f t="shared" si="14"/>
        <v/>
      </c>
      <c r="AG122" s="524" t="str">
        <f>IFERROR(IF(O122="","",VLOOKUP(AD122,'G-3 Multipliers'!$P$3:$Q$6,2,FALSE)),"")</f>
        <v/>
      </c>
      <c r="AH122" s="513" t="str">
        <f t="shared" si="9"/>
        <v/>
      </c>
      <c r="AI122" s="231"/>
      <c r="AJ122" s="150"/>
      <c r="AT122" s="31" t="str">
        <f>IFERROR(INDEX('G-6 Hedgerow Data'!$BJ$3:$BJ$15,MATCH(M122,'G-6 Hedgerow Data'!$B$3:$B$15,0)),"")</f>
        <v/>
      </c>
    </row>
    <row r="123" spans="2:46" ht="13.8" x14ac:dyDescent="0.25">
      <c r="B123" s="531" t="str">
        <f>'B-1 Site Hedge Baseline'!AK121</f>
        <v/>
      </c>
      <c r="C123" s="520" t="str">
        <f>IF(B123="","",IF(ISNA(VLOOKUP($B123,'B-1 Site Hedge Baseline'!$B$1:$L$257,3,FALSE)),"",(VLOOKUP($B123,'B-1 Site Hedge Baseline'!$B$1:$L$257,3,FALSE))))</f>
        <v/>
      </c>
      <c r="D123" s="520" t="str">
        <f>IF(B123="","",IF(ISNA(VLOOKUP($B123,'B-1 Site Hedge Baseline'!$B$1:$L$257,4,FALSE)),"",(VLOOKUP($B123,'B-1 Site Hedge Baseline'!$B$1:$L$257,4,FALSE))))</f>
        <v/>
      </c>
      <c r="E123" s="520" t="str">
        <f>IF(B123="","",IF(ISNA(VLOOKUP($B123,'B-1 Site Hedge Baseline'!$B$1:$L$257,5,FALSE)),"",(VLOOKUP($B123,'B-1 Site Hedge Baseline'!$B$1:$L$257,5,FALSE))))</f>
        <v/>
      </c>
      <c r="F123" s="520" t="str">
        <f>IF(B123="","",IF(ISNA(VLOOKUP($B123,'B-1 Site Hedge Baseline'!$B$1:$L$257,6,FALSE)),"",(VLOOKUP($B123,'B-1 Site Hedge Baseline'!$B$1:$L$257,6,FALSE))))</f>
        <v/>
      </c>
      <c r="G123" s="520" t="str">
        <f>IF(B123="","",IF(ISNA(VLOOKUP($B123,'B-1 Site Hedge Baseline'!$B$1:$L$257,7,FALSE)),"",(VLOOKUP($B123,'B-1 Site Hedge Baseline'!$B$1:$L$257,7,FALSE))))</f>
        <v/>
      </c>
      <c r="H123" s="520" t="str">
        <f>IF(B123="","",IF(ISNA(VLOOKUP($B123,'B-1 Site Hedge Baseline'!$B$1:$L$257,8,FALSE)),"",(VLOOKUP($B123,'B-1 Site Hedge Baseline'!$B$1:$L$257,8,FALSE))))</f>
        <v/>
      </c>
      <c r="I123" s="520" t="str">
        <f>IF(B123="","",IF(ISNA(VLOOKUP($B123,'B-1 Site Hedge Baseline'!$B$1:$L$257,10,FALSE)),"",(VLOOKUP($B123,'B-1 Site Hedge Baseline'!$B$1:$L$257,10,FALSE))))</f>
        <v/>
      </c>
      <c r="J123" s="520" t="str">
        <f>IF(B123="","",IF(ISNA(VLOOKUP($B123,'B-1 Site Hedge Baseline'!$B$1:$L$257,11,FALSE)),"",(VLOOKUP($B123,'B-1 Site Hedge Baseline'!$B$1:$L$257,11,FALSE))))</f>
        <v/>
      </c>
      <c r="K123" s="520" t="str">
        <f>IF(B123="","",IF(ISNA(VLOOKUP($B123,'B-1 Site Hedge Baseline'!$B$1:$U$257,13,FALSE)),"",(VLOOKUP($B123,'B-1 Site Hedge Baseline'!$B$1:$U$257,13,FALSE))))</f>
        <v/>
      </c>
      <c r="L123" s="524" t="str">
        <f>IF(B123="","",IF(ISNA(VLOOKUP($B123,'B-1 Site Hedge Baseline'!$B$1:$U$257,12,FALSE)),"",(VLOOKUP($B123,'B-1 Site Hedge Baseline'!$B$1:$U$257,12,FALSE))))</f>
        <v/>
      </c>
      <c r="M123" s="416" t="str">
        <f t="shared" si="15"/>
        <v/>
      </c>
      <c r="N123" s="498" t="str">
        <f>IFERROR(IF(B123="","",INDEX('G-6 Hedgerow Data'!$AN$3:$AZ$15,MATCH(C123,'G-6 Hedgerow Data'!$AM$3:$AM$15,0),MATCH(M123,'G-6 Hedgerow Data'!$AN$2:$AZ$2,0))),"")</f>
        <v/>
      </c>
      <c r="O123" s="499" t="str">
        <f t="shared" si="10"/>
        <v/>
      </c>
      <c r="P123" s="559" t="str">
        <f>IF(B123="","",VLOOKUP(B123,'B-1 Site Hedge Baseline'!$B$10:T368,16,FALSE))</f>
        <v/>
      </c>
      <c r="Q123" s="498" t="str">
        <f>IF(M123="","",VLOOKUP(M123,'G-6 Hedgerow Data'!$B$2:$AG$15,2,FALSE))</f>
        <v/>
      </c>
      <c r="R123" s="499" t="str">
        <f>IF(M123="","",VLOOKUP(M123,'G-6 Hedgerow Data'!$B$2:$AG$15,3,FALSE))</f>
        <v/>
      </c>
      <c r="S123" s="157"/>
      <c r="T123" s="540" t="str">
        <f>IFERROR(VLOOKUP(S123,'G-1 All Habitats'!$Z$2:$AA$9,2,FALSE),"")</f>
        <v/>
      </c>
      <c r="U123" s="154"/>
      <c r="V123" s="520" t="str">
        <f>IF(U123="","",IF(VLOOKUP(U123,'G-3 Multipliers'!$L$3:$N$6,2,FALSE)=0,"Spatial Data Missing ⚠",VLOOKUP(U123,'G-3 Multipliers'!$L$3:$N$6,2,FALSE)))</f>
        <v/>
      </c>
      <c r="W123" s="524"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8"/>
        <v/>
      </c>
      <c r="AD123" s="537" t="str">
        <f>IF(M123="","",VLOOKUP(M123,'G-6 Hedgerow Data'!$B$3:$AG$15,31,FALSE))</f>
        <v/>
      </c>
      <c r="AE123" s="507" t="str">
        <f t="shared" si="13"/>
        <v/>
      </c>
      <c r="AF123" s="507" t="str">
        <f t="shared" si="14"/>
        <v/>
      </c>
      <c r="AG123" s="524" t="str">
        <f>IFERROR(IF(O123="","",VLOOKUP(AD123,'G-3 Multipliers'!$P$3:$Q$6,2,FALSE)),"")</f>
        <v/>
      </c>
      <c r="AH123" s="513" t="str">
        <f t="shared" si="9"/>
        <v/>
      </c>
      <c r="AI123" s="231"/>
      <c r="AJ123" s="150"/>
      <c r="AT123" s="31" t="str">
        <f>IFERROR(INDEX('G-6 Hedgerow Data'!$BJ$3:$BJ$15,MATCH(M123,'G-6 Hedgerow Data'!$B$3:$B$15,0)),"")</f>
        <v/>
      </c>
    </row>
    <row r="124" spans="2:46" ht="13.8" x14ac:dyDescent="0.25">
      <c r="B124" s="531" t="str">
        <f>'B-1 Site Hedge Baseline'!AK122</f>
        <v/>
      </c>
      <c r="C124" s="520" t="str">
        <f>IF(B124="","",IF(ISNA(VLOOKUP($B124,'B-1 Site Hedge Baseline'!$B$1:$L$257,3,FALSE)),"",(VLOOKUP($B124,'B-1 Site Hedge Baseline'!$B$1:$L$257,3,FALSE))))</f>
        <v/>
      </c>
      <c r="D124" s="520" t="str">
        <f>IF(B124="","",IF(ISNA(VLOOKUP($B124,'B-1 Site Hedge Baseline'!$B$1:$L$257,4,FALSE)),"",(VLOOKUP($B124,'B-1 Site Hedge Baseline'!$B$1:$L$257,4,FALSE))))</f>
        <v/>
      </c>
      <c r="E124" s="520" t="str">
        <f>IF(B124="","",IF(ISNA(VLOOKUP($B124,'B-1 Site Hedge Baseline'!$B$1:$L$257,5,FALSE)),"",(VLOOKUP($B124,'B-1 Site Hedge Baseline'!$B$1:$L$257,5,FALSE))))</f>
        <v/>
      </c>
      <c r="F124" s="520" t="str">
        <f>IF(B124="","",IF(ISNA(VLOOKUP($B124,'B-1 Site Hedge Baseline'!$B$1:$L$257,6,FALSE)),"",(VLOOKUP($B124,'B-1 Site Hedge Baseline'!$B$1:$L$257,6,FALSE))))</f>
        <v/>
      </c>
      <c r="G124" s="520" t="str">
        <f>IF(B124="","",IF(ISNA(VLOOKUP($B124,'B-1 Site Hedge Baseline'!$B$1:$L$257,7,FALSE)),"",(VLOOKUP($B124,'B-1 Site Hedge Baseline'!$B$1:$L$257,7,FALSE))))</f>
        <v/>
      </c>
      <c r="H124" s="520" t="str">
        <f>IF(B124="","",IF(ISNA(VLOOKUP($B124,'B-1 Site Hedge Baseline'!$B$1:$L$257,8,FALSE)),"",(VLOOKUP($B124,'B-1 Site Hedge Baseline'!$B$1:$L$257,8,FALSE))))</f>
        <v/>
      </c>
      <c r="I124" s="520" t="str">
        <f>IF(B124="","",IF(ISNA(VLOOKUP($B124,'B-1 Site Hedge Baseline'!$B$1:$L$257,10,FALSE)),"",(VLOOKUP($B124,'B-1 Site Hedge Baseline'!$B$1:$L$257,10,FALSE))))</f>
        <v/>
      </c>
      <c r="J124" s="520" t="str">
        <f>IF(B124="","",IF(ISNA(VLOOKUP($B124,'B-1 Site Hedge Baseline'!$B$1:$L$257,11,FALSE)),"",(VLOOKUP($B124,'B-1 Site Hedge Baseline'!$B$1:$L$257,11,FALSE))))</f>
        <v/>
      </c>
      <c r="K124" s="520" t="str">
        <f>IF(B124="","",IF(ISNA(VLOOKUP($B124,'B-1 Site Hedge Baseline'!$B$1:$U$257,13,FALSE)),"",(VLOOKUP($B124,'B-1 Site Hedge Baseline'!$B$1:$U$257,13,FALSE))))</f>
        <v/>
      </c>
      <c r="L124" s="524" t="str">
        <f>IF(B124="","",IF(ISNA(VLOOKUP($B124,'B-1 Site Hedge Baseline'!$B$1:$U$257,12,FALSE)),"",(VLOOKUP($B124,'B-1 Site Hedge Baseline'!$B$1:$U$257,12,FALSE))))</f>
        <v/>
      </c>
      <c r="M124" s="416" t="str">
        <f t="shared" si="15"/>
        <v/>
      </c>
      <c r="N124" s="498" t="str">
        <f>IFERROR(IF(B124="","",INDEX('G-6 Hedgerow Data'!$AN$3:$AZ$15,MATCH(C124,'G-6 Hedgerow Data'!$AM$3:$AM$15,0),MATCH(M124,'G-6 Hedgerow Data'!$AN$2:$AZ$2,0))),"")</f>
        <v/>
      </c>
      <c r="O124" s="499" t="str">
        <f t="shared" si="10"/>
        <v/>
      </c>
      <c r="P124" s="559" t="str">
        <f>IF(B124="","",VLOOKUP(B124,'B-1 Site Hedge Baseline'!$B$10:T369,16,FALSE))</f>
        <v/>
      </c>
      <c r="Q124" s="498" t="str">
        <f>IF(M124="","",VLOOKUP(M124,'G-6 Hedgerow Data'!$B$2:$AG$15,2,FALSE))</f>
        <v/>
      </c>
      <c r="R124" s="499" t="str">
        <f>IF(M124="","",VLOOKUP(M124,'G-6 Hedgerow Data'!$B$2:$AG$15,3,FALSE))</f>
        <v/>
      </c>
      <c r="S124" s="157"/>
      <c r="T124" s="540" t="str">
        <f>IFERROR(VLOOKUP(S124,'G-1 All Habitats'!$Z$2:$AA$9,2,FALSE),"")</f>
        <v/>
      </c>
      <c r="U124" s="154"/>
      <c r="V124" s="520" t="str">
        <f>IF(U124="","",IF(VLOOKUP(U124,'G-3 Multipliers'!$L$3:$N$6,2,FALSE)=0,"Spatial Data Missing ⚠",VLOOKUP(U124,'G-3 Multipliers'!$L$3:$N$6,2,FALSE)))</f>
        <v/>
      </c>
      <c r="W124" s="524"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8"/>
        <v/>
      </c>
      <c r="AD124" s="537" t="str">
        <f>IF(M124="","",VLOOKUP(M124,'G-6 Hedgerow Data'!$B$3:$AG$15,31,FALSE))</f>
        <v/>
      </c>
      <c r="AE124" s="507" t="str">
        <f t="shared" si="13"/>
        <v/>
      </c>
      <c r="AF124" s="507" t="str">
        <f t="shared" si="14"/>
        <v/>
      </c>
      <c r="AG124" s="524" t="str">
        <f>IFERROR(IF(O124="","",VLOOKUP(AD124,'G-3 Multipliers'!$P$3:$Q$6,2,FALSE)),"")</f>
        <v/>
      </c>
      <c r="AH124" s="513" t="str">
        <f t="shared" si="9"/>
        <v/>
      </c>
      <c r="AI124" s="231"/>
      <c r="AJ124" s="150"/>
      <c r="AT124" s="31" t="str">
        <f>IFERROR(INDEX('G-6 Hedgerow Data'!$BJ$3:$BJ$15,MATCH(M124,'G-6 Hedgerow Data'!$B$3:$B$15,0)),"")</f>
        <v/>
      </c>
    </row>
    <row r="125" spans="2:46" ht="13.8" x14ac:dyDescent="0.25">
      <c r="B125" s="531" t="str">
        <f>'B-1 Site Hedge Baseline'!AK123</f>
        <v/>
      </c>
      <c r="C125" s="520" t="str">
        <f>IF(B125="","",IF(ISNA(VLOOKUP($B125,'B-1 Site Hedge Baseline'!$B$1:$L$257,3,FALSE)),"",(VLOOKUP($B125,'B-1 Site Hedge Baseline'!$B$1:$L$257,3,FALSE))))</f>
        <v/>
      </c>
      <c r="D125" s="520" t="str">
        <f>IF(B125="","",IF(ISNA(VLOOKUP($B125,'B-1 Site Hedge Baseline'!$B$1:$L$257,4,FALSE)),"",(VLOOKUP($B125,'B-1 Site Hedge Baseline'!$B$1:$L$257,4,FALSE))))</f>
        <v/>
      </c>
      <c r="E125" s="520" t="str">
        <f>IF(B125="","",IF(ISNA(VLOOKUP($B125,'B-1 Site Hedge Baseline'!$B$1:$L$257,5,FALSE)),"",(VLOOKUP($B125,'B-1 Site Hedge Baseline'!$B$1:$L$257,5,FALSE))))</f>
        <v/>
      </c>
      <c r="F125" s="520" t="str">
        <f>IF(B125="","",IF(ISNA(VLOOKUP($B125,'B-1 Site Hedge Baseline'!$B$1:$L$257,6,FALSE)),"",(VLOOKUP($B125,'B-1 Site Hedge Baseline'!$B$1:$L$257,6,FALSE))))</f>
        <v/>
      </c>
      <c r="G125" s="520" t="str">
        <f>IF(B125="","",IF(ISNA(VLOOKUP($B125,'B-1 Site Hedge Baseline'!$B$1:$L$257,7,FALSE)),"",(VLOOKUP($B125,'B-1 Site Hedge Baseline'!$B$1:$L$257,7,FALSE))))</f>
        <v/>
      </c>
      <c r="H125" s="520" t="str">
        <f>IF(B125="","",IF(ISNA(VLOOKUP($B125,'B-1 Site Hedge Baseline'!$B$1:$L$257,8,FALSE)),"",(VLOOKUP($B125,'B-1 Site Hedge Baseline'!$B$1:$L$257,8,FALSE))))</f>
        <v/>
      </c>
      <c r="I125" s="520" t="str">
        <f>IF(B125="","",IF(ISNA(VLOOKUP($B125,'B-1 Site Hedge Baseline'!$B$1:$L$257,10,FALSE)),"",(VLOOKUP($B125,'B-1 Site Hedge Baseline'!$B$1:$L$257,10,FALSE))))</f>
        <v/>
      </c>
      <c r="J125" s="520" t="str">
        <f>IF(B125="","",IF(ISNA(VLOOKUP($B125,'B-1 Site Hedge Baseline'!$B$1:$L$257,11,FALSE)),"",(VLOOKUP($B125,'B-1 Site Hedge Baseline'!$B$1:$L$257,11,FALSE))))</f>
        <v/>
      </c>
      <c r="K125" s="520" t="str">
        <f>IF(B125="","",IF(ISNA(VLOOKUP($B125,'B-1 Site Hedge Baseline'!$B$1:$U$257,13,FALSE)),"",(VLOOKUP($B125,'B-1 Site Hedge Baseline'!$B$1:$U$257,13,FALSE))))</f>
        <v/>
      </c>
      <c r="L125" s="524" t="str">
        <f>IF(B125="","",IF(ISNA(VLOOKUP($B125,'B-1 Site Hedge Baseline'!$B$1:$U$257,12,FALSE)),"",(VLOOKUP($B125,'B-1 Site Hedge Baseline'!$B$1:$U$257,12,FALSE))))</f>
        <v/>
      </c>
      <c r="M125" s="416" t="str">
        <f t="shared" si="15"/>
        <v/>
      </c>
      <c r="N125" s="498" t="str">
        <f>IFERROR(IF(B125="","",INDEX('G-6 Hedgerow Data'!$AN$3:$AZ$15,MATCH(C125,'G-6 Hedgerow Data'!$AM$3:$AM$15,0),MATCH(M125,'G-6 Hedgerow Data'!$AN$2:$AZ$2,0))),"")</f>
        <v/>
      </c>
      <c r="O125" s="499" t="str">
        <f t="shared" si="10"/>
        <v/>
      </c>
      <c r="P125" s="559" t="str">
        <f>IF(B125="","",VLOOKUP(B125,'B-1 Site Hedge Baseline'!$B$10:T370,16,FALSE))</f>
        <v/>
      </c>
      <c r="Q125" s="498" t="str">
        <f>IF(M125="","",VLOOKUP(M125,'G-6 Hedgerow Data'!$B$2:$AG$15,2,FALSE))</f>
        <v/>
      </c>
      <c r="R125" s="499" t="str">
        <f>IF(M125="","",VLOOKUP(M125,'G-6 Hedgerow Data'!$B$2:$AG$15,3,FALSE))</f>
        <v/>
      </c>
      <c r="S125" s="157"/>
      <c r="T125" s="540" t="str">
        <f>IFERROR(VLOOKUP(S125,'G-1 All Habitats'!$Z$2:$AA$9,2,FALSE),"")</f>
        <v/>
      </c>
      <c r="U125" s="154"/>
      <c r="V125" s="520" t="str">
        <f>IF(U125="","",IF(VLOOKUP(U125,'G-3 Multipliers'!$L$3:$N$6,2,FALSE)=0,"Spatial Data Missing ⚠",VLOOKUP(U125,'G-3 Multipliers'!$L$3:$N$6,2,FALSE)))</f>
        <v/>
      </c>
      <c r="W125" s="524"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8"/>
        <v/>
      </c>
      <c r="AD125" s="537" t="str">
        <f>IF(M125="","",VLOOKUP(M125,'G-6 Hedgerow Data'!$B$3:$AG$15,31,FALSE))</f>
        <v/>
      </c>
      <c r="AE125" s="507" t="str">
        <f t="shared" si="13"/>
        <v/>
      </c>
      <c r="AF125" s="507" t="str">
        <f t="shared" si="14"/>
        <v/>
      </c>
      <c r="AG125" s="524" t="str">
        <f>IFERROR(IF(O125="","",VLOOKUP(AD125,'G-3 Multipliers'!$P$3:$Q$6,2,FALSE)),"")</f>
        <v/>
      </c>
      <c r="AH125" s="513" t="str">
        <f t="shared" si="9"/>
        <v/>
      </c>
      <c r="AI125" s="231"/>
      <c r="AJ125" s="150"/>
      <c r="AT125" s="31" t="str">
        <f>IFERROR(INDEX('G-6 Hedgerow Data'!$BJ$3:$BJ$15,MATCH(M125,'G-6 Hedgerow Data'!$B$3:$B$15,0)),"")</f>
        <v/>
      </c>
    </row>
    <row r="126" spans="2:46" ht="13.8" x14ac:dyDescent="0.25">
      <c r="B126" s="531" t="str">
        <f>'B-1 Site Hedge Baseline'!AK124</f>
        <v/>
      </c>
      <c r="C126" s="520" t="str">
        <f>IF(B126="","",IF(ISNA(VLOOKUP($B126,'B-1 Site Hedge Baseline'!$B$1:$L$257,3,FALSE)),"",(VLOOKUP($B126,'B-1 Site Hedge Baseline'!$B$1:$L$257,3,FALSE))))</f>
        <v/>
      </c>
      <c r="D126" s="520" t="str">
        <f>IF(B126="","",IF(ISNA(VLOOKUP($B126,'B-1 Site Hedge Baseline'!$B$1:$L$257,4,FALSE)),"",(VLOOKUP($B126,'B-1 Site Hedge Baseline'!$B$1:$L$257,4,FALSE))))</f>
        <v/>
      </c>
      <c r="E126" s="520" t="str">
        <f>IF(B126="","",IF(ISNA(VLOOKUP($B126,'B-1 Site Hedge Baseline'!$B$1:$L$257,5,FALSE)),"",(VLOOKUP($B126,'B-1 Site Hedge Baseline'!$B$1:$L$257,5,FALSE))))</f>
        <v/>
      </c>
      <c r="F126" s="520" t="str">
        <f>IF(B126="","",IF(ISNA(VLOOKUP($B126,'B-1 Site Hedge Baseline'!$B$1:$L$257,6,FALSE)),"",(VLOOKUP($B126,'B-1 Site Hedge Baseline'!$B$1:$L$257,6,FALSE))))</f>
        <v/>
      </c>
      <c r="G126" s="520" t="str">
        <f>IF(B126="","",IF(ISNA(VLOOKUP($B126,'B-1 Site Hedge Baseline'!$B$1:$L$257,7,FALSE)),"",(VLOOKUP($B126,'B-1 Site Hedge Baseline'!$B$1:$L$257,7,FALSE))))</f>
        <v/>
      </c>
      <c r="H126" s="520" t="str">
        <f>IF(B126="","",IF(ISNA(VLOOKUP($B126,'B-1 Site Hedge Baseline'!$B$1:$L$257,8,FALSE)),"",(VLOOKUP($B126,'B-1 Site Hedge Baseline'!$B$1:$L$257,8,FALSE))))</f>
        <v/>
      </c>
      <c r="I126" s="520" t="str">
        <f>IF(B126="","",IF(ISNA(VLOOKUP($B126,'B-1 Site Hedge Baseline'!$B$1:$L$257,10,FALSE)),"",(VLOOKUP($B126,'B-1 Site Hedge Baseline'!$B$1:$L$257,10,FALSE))))</f>
        <v/>
      </c>
      <c r="J126" s="520" t="str">
        <f>IF(B126="","",IF(ISNA(VLOOKUP($B126,'B-1 Site Hedge Baseline'!$B$1:$L$257,11,FALSE)),"",(VLOOKUP($B126,'B-1 Site Hedge Baseline'!$B$1:$L$257,11,FALSE))))</f>
        <v/>
      </c>
      <c r="K126" s="520" t="str">
        <f>IF(B126="","",IF(ISNA(VLOOKUP($B126,'B-1 Site Hedge Baseline'!$B$1:$U$257,13,FALSE)),"",(VLOOKUP($B126,'B-1 Site Hedge Baseline'!$B$1:$U$257,13,FALSE))))</f>
        <v/>
      </c>
      <c r="L126" s="524" t="str">
        <f>IF(B126="","",IF(ISNA(VLOOKUP($B126,'B-1 Site Hedge Baseline'!$B$1:$U$257,12,FALSE)),"",(VLOOKUP($B126,'B-1 Site Hedge Baseline'!$B$1:$U$257,12,FALSE))))</f>
        <v/>
      </c>
      <c r="M126" s="416" t="str">
        <f t="shared" si="15"/>
        <v/>
      </c>
      <c r="N126" s="498" t="str">
        <f>IFERROR(IF(B126="","",INDEX('G-6 Hedgerow Data'!$AN$3:$AZ$15,MATCH(C126,'G-6 Hedgerow Data'!$AM$3:$AM$15,0),MATCH(M126,'G-6 Hedgerow Data'!$AN$2:$AZ$2,0))),"")</f>
        <v/>
      </c>
      <c r="O126" s="499" t="str">
        <f t="shared" si="10"/>
        <v/>
      </c>
      <c r="P126" s="559" t="str">
        <f>IF(B126="","",VLOOKUP(B126,'B-1 Site Hedge Baseline'!$B$10:T371,16,FALSE))</f>
        <v/>
      </c>
      <c r="Q126" s="498" t="str">
        <f>IF(M126="","",VLOOKUP(M126,'G-6 Hedgerow Data'!$B$2:$AG$15,2,FALSE))</f>
        <v/>
      </c>
      <c r="R126" s="499" t="str">
        <f>IF(M126="","",VLOOKUP(M126,'G-6 Hedgerow Data'!$B$2:$AG$15,3,FALSE))</f>
        <v/>
      </c>
      <c r="S126" s="157"/>
      <c r="T126" s="540" t="str">
        <f>IFERROR(VLOOKUP(S126,'G-1 All Habitats'!$Z$2:$AA$9,2,FALSE),"")</f>
        <v/>
      </c>
      <c r="U126" s="154"/>
      <c r="V126" s="520" t="str">
        <f>IF(U126="","",IF(VLOOKUP(U126,'G-3 Multipliers'!$L$3:$N$6,2,FALSE)=0,"Spatial Data Missing ⚠",VLOOKUP(U126,'G-3 Multipliers'!$L$3:$N$6,2,FALSE)))</f>
        <v/>
      </c>
      <c r="W126" s="524"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8"/>
        <v/>
      </c>
      <c r="AD126" s="537" t="str">
        <f>IF(M126="","",VLOOKUP(M126,'G-6 Hedgerow Data'!$B$3:$AG$15,31,FALSE))</f>
        <v/>
      </c>
      <c r="AE126" s="507" t="str">
        <f t="shared" si="13"/>
        <v/>
      </c>
      <c r="AF126" s="507" t="str">
        <f t="shared" si="14"/>
        <v/>
      </c>
      <c r="AG126" s="524" t="str">
        <f>IFERROR(IF(O126="","",VLOOKUP(AD126,'G-3 Multipliers'!$P$3:$Q$6,2,FALSE)),"")</f>
        <v/>
      </c>
      <c r="AH126" s="513" t="str">
        <f t="shared" si="9"/>
        <v/>
      </c>
      <c r="AI126" s="231"/>
      <c r="AJ126" s="150"/>
      <c r="AT126" s="31" t="str">
        <f>IFERROR(INDEX('G-6 Hedgerow Data'!$BJ$3:$BJ$15,MATCH(M126,'G-6 Hedgerow Data'!$B$3:$B$15,0)),"")</f>
        <v/>
      </c>
    </row>
    <row r="127" spans="2:46" ht="13.8" x14ac:dyDescent="0.25">
      <c r="B127" s="531" t="str">
        <f>'B-1 Site Hedge Baseline'!AK125</f>
        <v/>
      </c>
      <c r="C127" s="520" t="str">
        <f>IF(B127="","",IF(ISNA(VLOOKUP($B127,'B-1 Site Hedge Baseline'!$B$1:$L$257,3,FALSE)),"",(VLOOKUP($B127,'B-1 Site Hedge Baseline'!$B$1:$L$257,3,FALSE))))</f>
        <v/>
      </c>
      <c r="D127" s="520" t="str">
        <f>IF(B127="","",IF(ISNA(VLOOKUP($B127,'B-1 Site Hedge Baseline'!$B$1:$L$257,4,FALSE)),"",(VLOOKUP($B127,'B-1 Site Hedge Baseline'!$B$1:$L$257,4,FALSE))))</f>
        <v/>
      </c>
      <c r="E127" s="520" t="str">
        <f>IF(B127="","",IF(ISNA(VLOOKUP($B127,'B-1 Site Hedge Baseline'!$B$1:$L$257,5,FALSE)),"",(VLOOKUP($B127,'B-1 Site Hedge Baseline'!$B$1:$L$257,5,FALSE))))</f>
        <v/>
      </c>
      <c r="F127" s="520" t="str">
        <f>IF(B127="","",IF(ISNA(VLOOKUP($B127,'B-1 Site Hedge Baseline'!$B$1:$L$257,6,FALSE)),"",(VLOOKUP($B127,'B-1 Site Hedge Baseline'!$B$1:$L$257,6,FALSE))))</f>
        <v/>
      </c>
      <c r="G127" s="520" t="str">
        <f>IF(B127="","",IF(ISNA(VLOOKUP($B127,'B-1 Site Hedge Baseline'!$B$1:$L$257,7,FALSE)),"",(VLOOKUP($B127,'B-1 Site Hedge Baseline'!$B$1:$L$257,7,FALSE))))</f>
        <v/>
      </c>
      <c r="H127" s="520" t="str">
        <f>IF(B127="","",IF(ISNA(VLOOKUP($B127,'B-1 Site Hedge Baseline'!$B$1:$L$257,8,FALSE)),"",(VLOOKUP($B127,'B-1 Site Hedge Baseline'!$B$1:$L$257,8,FALSE))))</f>
        <v/>
      </c>
      <c r="I127" s="520" t="str">
        <f>IF(B127="","",IF(ISNA(VLOOKUP($B127,'B-1 Site Hedge Baseline'!$B$1:$L$257,10,FALSE)),"",(VLOOKUP($B127,'B-1 Site Hedge Baseline'!$B$1:$L$257,10,FALSE))))</f>
        <v/>
      </c>
      <c r="J127" s="520" t="str">
        <f>IF(B127="","",IF(ISNA(VLOOKUP($B127,'B-1 Site Hedge Baseline'!$B$1:$L$257,11,FALSE)),"",(VLOOKUP($B127,'B-1 Site Hedge Baseline'!$B$1:$L$257,11,FALSE))))</f>
        <v/>
      </c>
      <c r="K127" s="520" t="str">
        <f>IF(B127="","",IF(ISNA(VLOOKUP($B127,'B-1 Site Hedge Baseline'!$B$1:$U$257,13,FALSE)),"",(VLOOKUP($B127,'B-1 Site Hedge Baseline'!$B$1:$U$257,13,FALSE))))</f>
        <v/>
      </c>
      <c r="L127" s="524" t="str">
        <f>IF(B127="","",IF(ISNA(VLOOKUP($B127,'B-1 Site Hedge Baseline'!$B$1:$U$257,12,FALSE)),"",(VLOOKUP($B127,'B-1 Site Hedge Baseline'!$B$1:$U$257,12,FALSE))))</f>
        <v/>
      </c>
      <c r="M127" s="416" t="str">
        <f t="shared" si="15"/>
        <v/>
      </c>
      <c r="N127" s="498" t="str">
        <f>IFERROR(IF(B127="","",INDEX('G-6 Hedgerow Data'!$AN$3:$AZ$15,MATCH(C127,'G-6 Hedgerow Data'!$AM$3:$AM$15,0),MATCH(M127,'G-6 Hedgerow Data'!$AN$2:$AZ$2,0))),"")</f>
        <v/>
      </c>
      <c r="O127" s="499" t="str">
        <f t="shared" si="10"/>
        <v/>
      </c>
      <c r="P127" s="559" t="str">
        <f>IF(B127="","",VLOOKUP(B127,'B-1 Site Hedge Baseline'!$B$10:T372,16,FALSE))</f>
        <v/>
      </c>
      <c r="Q127" s="498" t="str">
        <f>IF(M127="","",VLOOKUP(M127,'G-6 Hedgerow Data'!$B$2:$AG$15,2,FALSE))</f>
        <v/>
      </c>
      <c r="R127" s="499" t="str">
        <f>IF(M127="","",VLOOKUP(M127,'G-6 Hedgerow Data'!$B$2:$AG$15,3,FALSE))</f>
        <v/>
      </c>
      <c r="S127" s="157"/>
      <c r="T127" s="540" t="str">
        <f>IFERROR(VLOOKUP(S127,'G-1 All Habitats'!$Z$2:$AA$9,2,FALSE),"")</f>
        <v/>
      </c>
      <c r="U127" s="154"/>
      <c r="V127" s="520" t="str">
        <f>IF(U127="","",IF(VLOOKUP(U127,'G-3 Multipliers'!$L$3:$N$6,2,FALSE)=0,"Spatial Data Missing ⚠",VLOOKUP(U127,'G-3 Multipliers'!$L$3:$N$6,2,FALSE)))</f>
        <v/>
      </c>
      <c r="W127" s="524"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8"/>
        <v/>
      </c>
      <c r="AD127" s="537" t="str">
        <f>IF(M127="","",VLOOKUP(M127,'G-6 Hedgerow Data'!$B$3:$AG$15,31,FALSE))</f>
        <v/>
      </c>
      <c r="AE127" s="507" t="str">
        <f t="shared" si="13"/>
        <v/>
      </c>
      <c r="AF127" s="507" t="str">
        <f t="shared" si="14"/>
        <v/>
      </c>
      <c r="AG127" s="524" t="str">
        <f>IFERROR(IF(O127="","",VLOOKUP(AD127,'G-3 Multipliers'!$P$3:$Q$6,2,FALSE)),"")</f>
        <v/>
      </c>
      <c r="AH127" s="513" t="str">
        <f t="shared" si="9"/>
        <v/>
      </c>
      <c r="AI127" s="231"/>
      <c r="AJ127" s="150"/>
      <c r="AT127" s="31" t="str">
        <f>IFERROR(INDEX('G-6 Hedgerow Data'!$BJ$3:$BJ$15,MATCH(M127,'G-6 Hedgerow Data'!$B$3:$B$15,0)),"")</f>
        <v/>
      </c>
    </row>
    <row r="128" spans="2:46" ht="13.8" x14ac:dyDescent="0.25">
      <c r="B128" s="531" t="str">
        <f>'B-1 Site Hedge Baseline'!AK126</f>
        <v/>
      </c>
      <c r="C128" s="520" t="str">
        <f>IF(B128="","",IF(ISNA(VLOOKUP($B128,'B-1 Site Hedge Baseline'!$B$1:$L$257,3,FALSE)),"",(VLOOKUP($B128,'B-1 Site Hedge Baseline'!$B$1:$L$257,3,FALSE))))</f>
        <v/>
      </c>
      <c r="D128" s="520" t="str">
        <f>IF(B128="","",IF(ISNA(VLOOKUP($B128,'B-1 Site Hedge Baseline'!$B$1:$L$257,4,FALSE)),"",(VLOOKUP($B128,'B-1 Site Hedge Baseline'!$B$1:$L$257,4,FALSE))))</f>
        <v/>
      </c>
      <c r="E128" s="520" t="str">
        <f>IF(B128="","",IF(ISNA(VLOOKUP($B128,'B-1 Site Hedge Baseline'!$B$1:$L$257,5,FALSE)),"",(VLOOKUP($B128,'B-1 Site Hedge Baseline'!$B$1:$L$257,5,FALSE))))</f>
        <v/>
      </c>
      <c r="F128" s="520" t="str">
        <f>IF(B128="","",IF(ISNA(VLOOKUP($B128,'B-1 Site Hedge Baseline'!$B$1:$L$257,6,FALSE)),"",(VLOOKUP($B128,'B-1 Site Hedge Baseline'!$B$1:$L$257,6,FALSE))))</f>
        <v/>
      </c>
      <c r="G128" s="520" t="str">
        <f>IF(B128="","",IF(ISNA(VLOOKUP($B128,'B-1 Site Hedge Baseline'!$B$1:$L$257,7,FALSE)),"",(VLOOKUP($B128,'B-1 Site Hedge Baseline'!$B$1:$L$257,7,FALSE))))</f>
        <v/>
      </c>
      <c r="H128" s="520" t="str">
        <f>IF(B128="","",IF(ISNA(VLOOKUP($B128,'B-1 Site Hedge Baseline'!$B$1:$L$257,8,FALSE)),"",(VLOOKUP($B128,'B-1 Site Hedge Baseline'!$B$1:$L$257,8,FALSE))))</f>
        <v/>
      </c>
      <c r="I128" s="520" t="str">
        <f>IF(B128="","",IF(ISNA(VLOOKUP($B128,'B-1 Site Hedge Baseline'!$B$1:$L$257,10,FALSE)),"",(VLOOKUP($B128,'B-1 Site Hedge Baseline'!$B$1:$L$257,10,FALSE))))</f>
        <v/>
      </c>
      <c r="J128" s="520" t="str">
        <f>IF(B128="","",IF(ISNA(VLOOKUP($B128,'B-1 Site Hedge Baseline'!$B$1:$L$257,11,FALSE)),"",(VLOOKUP($B128,'B-1 Site Hedge Baseline'!$B$1:$L$257,11,FALSE))))</f>
        <v/>
      </c>
      <c r="K128" s="520" t="str">
        <f>IF(B128="","",IF(ISNA(VLOOKUP($B128,'B-1 Site Hedge Baseline'!$B$1:$U$257,13,FALSE)),"",(VLOOKUP($B128,'B-1 Site Hedge Baseline'!$B$1:$U$257,13,FALSE))))</f>
        <v/>
      </c>
      <c r="L128" s="524" t="str">
        <f>IF(B128="","",IF(ISNA(VLOOKUP($B128,'B-1 Site Hedge Baseline'!$B$1:$U$257,12,FALSE)),"",(VLOOKUP($B128,'B-1 Site Hedge Baseline'!$B$1:$U$257,12,FALSE))))</f>
        <v/>
      </c>
      <c r="M128" s="416" t="str">
        <f t="shared" si="15"/>
        <v/>
      </c>
      <c r="N128" s="498" t="str">
        <f>IFERROR(IF(B128="","",INDEX('G-6 Hedgerow Data'!$AN$3:$AZ$15,MATCH(C128,'G-6 Hedgerow Data'!$AM$3:$AM$15,0),MATCH(M128,'G-6 Hedgerow Data'!$AN$2:$AZ$2,0))),"")</f>
        <v/>
      </c>
      <c r="O128" s="499" t="str">
        <f t="shared" si="10"/>
        <v/>
      </c>
      <c r="P128" s="559" t="str">
        <f>IF(B128="","",VLOOKUP(B128,'B-1 Site Hedge Baseline'!$B$10:T373,16,FALSE))</f>
        <v/>
      </c>
      <c r="Q128" s="498" t="str">
        <f>IF(M128="","",VLOOKUP(M128,'G-6 Hedgerow Data'!$B$2:$AG$15,2,FALSE))</f>
        <v/>
      </c>
      <c r="R128" s="499" t="str">
        <f>IF(M128="","",VLOOKUP(M128,'G-6 Hedgerow Data'!$B$2:$AG$15,3,FALSE))</f>
        <v/>
      </c>
      <c r="S128" s="157"/>
      <c r="T128" s="540" t="str">
        <f>IFERROR(VLOOKUP(S128,'G-1 All Habitats'!$Z$2:$AA$9,2,FALSE),"")</f>
        <v/>
      </c>
      <c r="U128" s="154"/>
      <c r="V128" s="520" t="str">
        <f>IF(U128="","",IF(VLOOKUP(U128,'G-3 Multipliers'!$L$3:$N$6,2,FALSE)=0,"Spatial Data Missing ⚠",VLOOKUP(U128,'G-3 Multipliers'!$L$3:$N$6,2,FALSE)))</f>
        <v/>
      </c>
      <c r="W128" s="524"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8"/>
        <v/>
      </c>
      <c r="AD128" s="537" t="str">
        <f>IF(M128="","",VLOOKUP(M128,'G-6 Hedgerow Data'!$B$3:$AG$15,31,FALSE))</f>
        <v/>
      </c>
      <c r="AE128" s="507" t="str">
        <f t="shared" si="13"/>
        <v/>
      </c>
      <c r="AF128" s="507" t="str">
        <f t="shared" si="14"/>
        <v/>
      </c>
      <c r="AG128" s="524" t="str">
        <f>IFERROR(IF(O128="","",VLOOKUP(AD128,'G-3 Multipliers'!$P$3:$Q$6,2,FALSE)),"")</f>
        <v/>
      </c>
      <c r="AH128" s="513" t="str">
        <f t="shared" si="9"/>
        <v/>
      </c>
      <c r="AI128" s="231"/>
      <c r="AJ128" s="150"/>
      <c r="AT128" s="31" t="str">
        <f>IFERROR(INDEX('G-6 Hedgerow Data'!$BJ$3:$BJ$15,MATCH(M128,'G-6 Hedgerow Data'!$B$3:$B$15,0)),"")</f>
        <v/>
      </c>
    </row>
    <row r="129" spans="2:46" ht="13.8" x14ac:dyDescent="0.25">
      <c r="B129" s="531" t="str">
        <f>'B-1 Site Hedge Baseline'!AK127</f>
        <v/>
      </c>
      <c r="C129" s="520" t="str">
        <f>IF(B129="","",IF(ISNA(VLOOKUP($B129,'B-1 Site Hedge Baseline'!$B$1:$L$257,3,FALSE)),"",(VLOOKUP($B129,'B-1 Site Hedge Baseline'!$B$1:$L$257,3,FALSE))))</f>
        <v/>
      </c>
      <c r="D129" s="520" t="str">
        <f>IF(B129="","",IF(ISNA(VLOOKUP($B129,'B-1 Site Hedge Baseline'!$B$1:$L$257,4,FALSE)),"",(VLOOKUP($B129,'B-1 Site Hedge Baseline'!$B$1:$L$257,4,FALSE))))</f>
        <v/>
      </c>
      <c r="E129" s="520" t="str">
        <f>IF(B129="","",IF(ISNA(VLOOKUP($B129,'B-1 Site Hedge Baseline'!$B$1:$L$257,5,FALSE)),"",(VLOOKUP($B129,'B-1 Site Hedge Baseline'!$B$1:$L$257,5,FALSE))))</f>
        <v/>
      </c>
      <c r="F129" s="520" t="str">
        <f>IF(B129="","",IF(ISNA(VLOOKUP($B129,'B-1 Site Hedge Baseline'!$B$1:$L$257,6,FALSE)),"",(VLOOKUP($B129,'B-1 Site Hedge Baseline'!$B$1:$L$257,6,FALSE))))</f>
        <v/>
      </c>
      <c r="G129" s="520" t="str">
        <f>IF(B129="","",IF(ISNA(VLOOKUP($B129,'B-1 Site Hedge Baseline'!$B$1:$L$257,7,FALSE)),"",(VLOOKUP($B129,'B-1 Site Hedge Baseline'!$B$1:$L$257,7,FALSE))))</f>
        <v/>
      </c>
      <c r="H129" s="520" t="str">
        <f>IF(B129="","",IF(ISNA(VLOOKUP($B129,'B-1 Site Hedge Baseline'!$B$1:$L$257,8,FALSE)),"",(VLOOKUP($B129,'B-1 Site Hedge Baseline'!$B$1:$L$257,8,FALSE))))</f>
        <v/>
      </c>
      <c r="I129" s="520" t="str">
        <f>IF(B129="","",IF(ISNA(VLOOKUP($B129,'B-1 Site Hedge Baseline'!$B$1:$L$257,10,FALSE)),"",(VLOOKUP($B129,'B-1 Site Hedge Baseline'!$B$1:$L$257,10,FALSE))))</f>
        <v/>
      </c>
      <c r="J129" s="520" t="str">
        <f>IF(B129="","",IF(ISNA(VLOOKUP($B129,'B-1 Site Hedge Baseline'!$B$1:$L$257,11,FALSE)),"",(VLOOKUP($B129,'B-1 Site Hedge Baseline'!$B$1:$L$257,11,FALSE))))</f>
        <v/>
      </c>
      <c r="K129" s="520" t="str">
        <f>IF(B129="","",IF(ISNA(VLOOKUP($B129,'B-1 Site Hedge Baseline'!$B$1:$U$257,13,FALSE)),"",(VLOOKUP($B129,'B-1 Site Hedge Baseline'!$B$1:$U$257,13,FALSE))))</f>
        <v/>
      </c>
      <c r="L129" s="524" t="str">
        <f>IF(B129="","",IF(ISNA(VLOOKUP($B129,'B-1 Site Hedge Baseline'!$B$1:$U$257,12,FALSE)),"",(VLOOKUP($B129,'B-1 Site Hedge Baseline'!$B$1:$U$257,12,FALSE))))</f>
        <v/>
      </c>
      <c r="M129" s="416" t="str">
        <f t="shared" si="15"/>
        <v/>
      </c>
      <c r="N129" s="498" t="str">
        <f>IFERROR(IF(B129="","",INDEX('G-6 Hedgerow Data'!$AN$3:$AZ$15,MATCH(C129,'G-6 Hedgerow Data'!$AM$3:$AM$15,0),MATCH(M129,'G-6 Hedgerow Data'!$AN$2:$AZ$2,0))),"")</f>
        <v/>
      </c>
      <c r="O129" s="499" t="str">
        <f t="shared" si="10"/>
        <v/>
      </c>
      <c r="P129" s="559" t="str">
        <f>IF(B129="","",VLOOKUP(B129,'B-1 Site Hedge Baseline'!$B$10:T374,16,FALSE))</f>
        <v/>
      </c>
      <c r="Q129" s="498" t="str">
        <f>IF(M129="","",VLOOKUP(M129,'G-6 Hedgerow Data'!$B$2:$AG$15,2,FALSE))</f>
        <v/>
      </c>
      <c r="R129" s="499" t="str">
        <f>IF(M129="","",VLOOKUP(M129,'G-6 Hedgerow Data'!$B$2:$AG$15,3,FALSE))</f>
        <v/>
      </c>
      <c r="S129" s="157"/>
      <c r="T129" s="540" t="str">
        <f>IFERROR(VLOOKUP(S129,'G-1 All Habitats'!$Z$2:$AA$9,2,FALSE),"")</f>
        <v/>
      </c>
      <c r="U129" s="154"/>
      <c r="V129" s="520" t="str">
        <f>IF(U129="","",IF(VLOOKUP(U129,'G-3 Multipliers'!$L$3:$N$6,2,FALSE)=0,"Spatial Data Missing ⚠",VLOOKUP(U129,'G-3 Multipliers'!$L$3:$N$6,2,FALSE)))</f>
        <v/>
      </c>
      <c r="W129" s="524"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8"/>
        <v/>
      </c>
      <c r="AD129" s="537" t="str">
        <f>IF(M129="","",VLOOKUP(M129,'G-6 Hedgerow Data'!$B$3:$AG$15,31,FALSE))</f>
        <v/>
      </c>
      <c r="AE129" s="507" t="str">
        <f t="shared" si="13"/>
        <v/>
      </c>
      <c r="AF129" s="507" t="str">
        <f t="shared" si="14"/>
        <v/>
      </c>
      <c r="AG129" s="524" t="str">
        <f>IFERROR(IF(O129="","",VLOOKUP(AD129,'G-3 Multipliers'!$P$3:$Q$6,2,FALSE)),"")</f>
        <v/>
      </c>
      <c r="AH129" s="513" t="str">
        <f t="shared" si="9"/>
        <v/>
      </c>
      <c r="AI129" s="231"/>
      <c r="AJ129" s="150"/>
      <c r="AT129" s="31" t="str">
        <f>IFERROR(INDEX('G-6 Hedgerow Data'!$BJ$3:$BJ$15,MATCH(M129,'G-6 Hedgerow Data'!$B$3:$B$15,0)),"")</f>
        <v/>
      </c>
    </row>
    <row r="130" spans="2:46" ht="13.8" x14ac:dyDescent="0.25">
      <c r="B130" s="531" t="str">
        <f>'B-1 Site Hedge Baseline'!AK128</f>
        <v/>
      </c>
      <c r="C130" s="520" t="str">
        <f>IF(B130="","",IF(ISNA(VLOOKUP($B130,'B-1 Site Hedge Baseline'!$B$1:$L$257,3,FALSE)),"",(VLOOKUP($B130,'B-1 Site Hedge Baseline'!$B$1:$L$257,3,FALSE))))</f>
        <v/>
      </c>
      <c r="D130" s="520" t="str">
        <f>IF(B130="","",IF(ISNA(VLOOKUP($B130,'B-1 Site Hedge Baseline'!$B$1:$L$257,4,FALSE)),"",(VLOOKUP($B130,'B-1 Site Hedge Baseline'!$B$1:$L$257,4,FALSE))))</f>
        <v/>
      </c>
      <c r="E130" s="520" t="str">
        <f>IF(B130="","",IF(ISNA(VLOOKUP($B130,'B-1 Site Hedge Baseline'!$B$1:$L$257,5,FALSE)),"",(VLOOKUP($B130,'B-1 Site Hedge Baseline'!$B$1:$L$257,5,FALSE))))</f>
        <v/>
      </c>
      <c r="F130" s="520" t="str">
        <f>IF(B130="","",IF(ISNA(VLOOKUP($B130,'B-1 Site Hedge Baseline'!$B$1:$L$257,6,FALSE)),"",(VLOOKUP($B130,'B-1 Site Hedge Baseline'!$B$1:$L$257,6,FALSE))))</f>
        <v/>
      </c>
      <c r="G130" s="520" t="str">
        <f>IF(B130="","",IF(ISNA(VLOOKUP($B130,'B-1 Site Hedge Baseline'!$B$1:$L$257,7,FALSE)),"",(VLOOKUP($B130,'B-1 Site Hedge Baseline'!$B$1:$L$257,7,FALSE))))</f>
        <v/>
      </c>
      <c r="H130" s="520" t="str">
        <f>IF(B130="","",IF(ISNA(VLOOKUP($B130,'B-1 Site Hedge Baseline'!$B$1:$L$257,8,FALSE)),"",(VLOOKUP($B130,'B-1 Site Hedge Baseline'!$B$1:$L$257,8,FALSE))))</f>
        <v/>
      </c>
      <c r="I130" s="520" t="str">
        <f>IF(B130="","",IF(ISNA(VLOOKUP($B130,'B-1 Site Hedge Baseline'!$B$1:$L$257,10,FALSE)),"",(VLOOKUP($B130,'B-1 Site Hedge Baseline'!$B$1:$L$257,10,FALSE))))</f>
        <v/>
      </c>
      <c r="J130" s="520" t="str">
        <f>IF(B130="","",IF(ISNA(VLOOKUP($B130,'B-1 Site Hedge Baseline'!$B$1:$L$257,11,FALSE)),"",(VLOOKUP($B130,'B-1 Site Hedge Baseline'!$B$1:$L$257,11,FALSE))))</f>
        <v/>
      </c>
      <c r="K130" s="520" t="str">
        <f>IF(B130="","",IF(ISNA(VLOOKUP($B130,'B-1 Site Hedge Baseline'!$B$1:$U$257,13,FALSE)),"",(VLOOKUP($B130,'B-1 Site Hedge Baseline'!$B$1:$U$257,13,FALSE))))</f>
        <v/>
      </c>
      <c r="L130" s="524" t="str">
        <f>IF(B130="","",IF(ISNA(VLOOKUP($B130,'B-1 Site Hedge Baseline'!$B$1:$U$257,12,FALSE)),"",(VLOOKUP($B130,'B-1 Site Hedge Baseline'!$B$1:$U$257,12,FALSE))))</f>
        <v/>
      </c>
      <c r="M130" s="416" t="str">
        <f t="shared" si="15"/>
        <v/>
      </c>
      <c r="N130" s="498" t="str">
        <f>IFERROR(IF(B130="","",INDEX('G-6 Hedgerow Data'!$AN$3:$AZ$15,MATCH(C130,'G-6 Hedgerow Data'!$AM$3:$AM$15,0),MATCH(M130,'G-6 Hedgerow Data'!$AN$2:$AZ$2,0))),"")</f>
        <v/>
      </c>
      <c r="O130" s="499" t="str">
        <f t="shared" si="10"/>
        <v/>
      </c>
      <c r="P130" s="559" t="str">
        <f>IF(B130="","",VLOOKUP(B130,'B-1 Site Hedge Baseline'!$B$10:T375,16,FALSE))</f>
        <v/>
      </c>
      <c r="Q130" s="498" t="str">
        <f>IF(M130="","",VLOOKUP(M130,'G-6 Hedgerow Data'!$B$2:$AG$15,2,FALSE))</f>
        <v/>
      </c>
      <c r="R130" s="499" t="str">
        <f>IF(M130="","",VLOOKUP(M130,'G-6 Hedgerow Data'!$B$2:$AG$15,3,FALSE))</f>
        <v/>
      </c>
      <c r="S130" s="157"/>
      <c r="T130" s="540" t="str">
        <f>IFERROR(VLOOKUP(S130,'G-1 All Habitats'!$Z$2:$AA$9,2,FALSE),"")</f>
        <v/>
      </c>
      <c r="U130" s="154"/>
      <c r="V130" s="520" t="str">
        <f>IF(U130="","",IF(VLOOKUP(U130,'G-3 Multipliers'!$L$3:$N$6,2,FALSE)=0,"Spatial Data Missing ⚠",VLOOKUP(U130,'G-3 Multipliers'!$L$3:$N$6,2,FALSE)))</f>
        <v/>
      </c>
      <c r="W130" s="524"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8"/>
        <v/>
      </c>
      <c r="AD130" s="537" t="str">
        <f>IF(M130="","",VLOOKUP(M130,'G-6 Hedgerow Data'!$B$3:$AG$15,31,FALSE))</f>
        <v/>
      </c>
      <c r="AE130" s="507" t="str">
        <f t="shared" si="13"/>
        <v/>
      </c>
      <c r="AF130" s="507" t="str">
        <f t="shared" si="14"/>
        <v/>
      </c>
      <c r="AG130" s="524" t="str">
        <f>IFERROR(IF(O130="","",VLOOKUP(AD130,'G-3 Multipliers'!$P$3:$Q$6,2,FALSE)),"")</f>
        <v/>
      </c>
      <c r="AH130" s="513" t="str">
        <f t="shared" si="9"/>
        <v/>
      </c>
      <c r="AI130" s="231"/>
      <c r="AJ130" s="150"/>
      <c r="AT130" s="31" t="str">
        <f>IFERROR(INDEX('G-6 Hedgerow Data'!$BJ$3:$BJ$15,MATCH(M130,'G-6 Hedgerow Data'!$B$3:$B$15,0)),"")</f>
        <v/>
      </c>
    </row>
    <row r="131" spans="2:46" ht="13.8" x14ac:dyDescent="0.25">
      <c r="B131" s="531" t="str">
        <f>'B-1 Site Hedge Baseline'!AK129</f>
        <v/>
      </c>
      <c r="C131" s="520" t="str">
        <f>IF(B131="","",IF(ISNA(VLOOKUP($B131,'B-1 Site Hedge Baseline'!$B$1:$L$257,3,FALSE)),"",(VLOOKUP($B131,'B-1 Site Hedge Baseline'!$B$1:$L$257,3,FALSE))))</f>
        <v/>
      </c>
      <c r="D131" s="520" t="str">
        <f>IF(B131="","",IF(ISNA(VLOOKUP($B131,'B-1 Site Hedge Baseline'!$B$1:$L$257,4,FALSE)),"",(VLOOKUP($B131,'B-1 Site Hedge Baseline'!$B$1:$L$257,4,FALSE))))</f>
        <v/>
      </c>
      <c r="E131" s="520" t="str">
        <f>IF(B131="","",IF(ISNA(VLOOKUP($B131,'B-1 Site Hedge Baseline'!$B$1:$L$257,5,FALSE)),"",(VLOOKUP($B131,'B-1 Site Hedge Baseline'!$B$1:$L$257,5,FALSE))))</f>
        <v/>
      </c>
      <c r="F131" s="520" t="str">
        <f>IF(B131="","",IF(ISNA(VLOOKUP($B131,'B-1 Site Hedge Baseline'!$B$1:$L$257,6,FALSE)),"",(VLOOKUP($B131,'B-1 Site Hedge Baseline'!$B$1:$L$257,6,FALSE))))</f>
        <v/>
      </c>
      <c r="G131" s="520" t="str">
        <f>IF(B131="","",IF(ISNA(VLOOKUP($B131,'B-1 Site Hedge Baseline'!$B$1:$L$257,7,FALSE)),"",(VLOOKUP($B131,'B-1 Site Hedge Baseline'!$B$1:$L$257,7,FALSE))))</f>
        <v/>
      </c>
      <c r="H131" s="520" t="str">
        <f>IF(B131="","",IF(ISNA(VLOOKUP($B131,'B-1 Site Hedge Baseline'!$B$1:$L$257,8,FALSE)),"",(VLOOKUP($B131,'B-1 Site Hedge Baseline'!$B$1:$L$257,8,FALSE))))</f>
        <v/>
      </c>
      <c r="I131" s="520" t="str">
        <f>IF(B131="","",IF(ISNA(VLOOKUP($B131,'B-1 Site Hedge Baseline'!$B$1:$L$257,10,FALSE)),"",(VLOOKUP($B131,'B-1 Site Hedge Baseline'!$B$1:$L$257,10,FALSE))))</f>
        <v/>
      </c>
      <c r="J131" s="520" t="str">
        <f>IF(B131="","",IF(ISNA(VLOOKUP($B131,'B-1 Site Hedge Baseline'!$B$1:$L$257,11,FALSE)),"",(VLOOKUP($B131,'B-1 Site Hedge Baseline'!$B$1:$L$257,11,FALSE))))</f>
        <v/>
      </c>
      <c r="K131" s="520" t="str">
        <f>IF(B131="","",IF(ISNA(VLOOKUP($B131,'B-1 Site Hedge Baseline'!$B$1:$U$257,13,FALSE)),"",(VLOOKUP($B131,'B-1 Site Hedge Baseline'!$B$1:$U$257,13,FALSE))))</f>
        <v/>
      </c>
      <c r="L131" s="524" t="str">
        <f>IF(B131="","",IF(ISNA(VLOOKUP($B131,'B-1 Site Hedge Baseline'!$B$1:$U$257,12,FALSE)),"",(VLOOKUP($B131,'B-1 Site Hedge Baseline'!$B$1:$U$257,12,FALSE))))</f>
        <v/>
      </c>
      <c r="M131" s="416" t="str">
        <f t="shared" si="15"/>
        <v/>
      </c>
      <c r="N131" s="498" t="str">
        <f>IFERROR(IF(B131="","",INDEX('G-6 Hedgerow Data'!$AN$3:$AZ$15,MATCH(C131,'G-6 Hedgerow Data'!$AM$3:$AM$15,0),MATCH(M131,'G-6 Hedgerow Data'!$AN$2:$AZ$2,0))),"")</f>
        <v/>
      </c>
      <c r="O131" s="499" t="str">
        <f t="shared" si="10"/>
        <v/>
      </c>
      <c r="P131" s="559" t="str">
        <f>IF(B131="","",VLOOKUP(B131,'B-1 Site Hedge Baseline'!$B$10:T376,16,FALSE))</f>
        <v/>
      </c>
      <c r="Q131" s="498" t="str">
        <f>IF(M131="","",VLOOKUP(M131,'G-6 Hedgerow Data'!$B$2:$AG$15,2,FALSE))</f>
        <v/>
      </c>
      <c r="R131" s="499" t="str">
        <f>IF(M131="","",VLOOKUP(M131,'G-6 Hedgerow Data'!$B$2:$AG$15,3,FALSE))</f>
        <v/>
      </c>
      <c r="S131" s="157"/>
      <c r="T131" s="540" t="str">
        <f>IFERROR(VLOOKUP(S131,'G-1 All Habitats'!$Z$2:$AA$9,2,FALSE),"")</f>
        <v/>
      </c>
      <c r="U131" s="154"/>
      <c r="V131" s="520" t="str">
        <f>IF(U131="","",IF(VLOOKUP(U131,'G-3 Multipliers'!$L$3:$N$6,2,FALSE)=0,"Spatial Data Missing ⚠",VLOOKUP(U131,'G-3 Multipliers'!$L$3:$N$6,2,FALSE)))</f>
        <v/>
      </c>
      <c r="W131" s="524"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8"/>
        <v/>
      </c>
      <c r="AD131" s="537" t="str">
        <f>IF(M131="","",VLOOKUP(M131,'G-6 Hedgerow Data'!$B$3:$AG$15,31,FALSE))</f>
        <v/>
      </c>
      <c r="AE131" s="507" t="str">
        <f t="shared" si="13"/>
        <v/>
      </c>
      <c r="AF131" s="507" t="str">
        <f t="shared" si="14"/>
        <v/>
      </c>
      <c r="AG131" s="524" t="str">
        <f>IFERROR(IF(O131="","",VLOOKUP(AD131,'G-3 Multipliers'!$P$3:$Q$6,2,FALSE)),"")</f>
        <v/>
      </c>
      <c r="AH131" s="513" t="str">
        <f t="shared" si="9"/>
        <v/>
      </c>
      <c r="AI131" s="231"/>
      <c r="AJ131" s="150"/>
      <c r="AT131" s="31" t="str">
        <f>IFERROR(INDEX('G-6 Hedgerow Data'!$BJ$3:$BJ$15,MATCH(M131,'G-6 Hedgerow Data'!$B$3:$B$15,0)),"")</f>
        <v/>
      </c>
    </row>
    <row r="132" spans="2:46" ht="13.8" x14ac:dyDescent="0.25">
      <c r="B132" s="531" t="str">
        <f>'B-1 Site Hedge Baseline'!AK130</f>
        <v/>
      </c>
      <c r="C132" s="520" t="str">
        <f>IF(B132="","",IF(ISNA(VLOOKUP($B132,'B-1 Site Hedge Baseline'!$B$1:$L$257,3,FALSE)),"",(VLOOKUP($B132,'B-1 Site Hedge Baseline'!$B$1:$L$257,3,FALSE))))</f>
        <v/>
      </c>
      <c r="D132" s="520" t="str">
        <f>IF(B132="","",IF(ISNA(VLOOKUP($B132,'B-1 Site Hedge Baseline'!$B$1:$L$257,4,FALSE)),"",(VLOOKUP($B132,'B-1 Site Hedge Baseline'!$B$1:$L$257,4,FALSE))))</f>
        <v/>
      </c>
      <c r="E132" s="520" t="str">
        <f>IF(B132="","",IF(ISNA(VLOOKUP($B132,'B-1 Site Hedge Baseline'!$B$1:$L$257,5,FALSE)),"",(VLOOKUP($B132,'B-1 Site Hedge Baseline'!$B$1:$L$257,5,FALSE))))</f>
        <v/>
      </c>
      <c r="F132" s="520" t="str">
        <f>IF(B132="","",IF(ISNA(VLOOKUP($B132,'B-1 Site Hedge Baseline'!$B$1:$L$257,6,FALSE)),"",(VLOOKUP($B132,'B-1 Site Hedge Baseline'!$B$1:$L$257,6,FALSE))))</f>
        <v/>
      </c>
      <c r="G132" s="520" t="str">
        <f>IF(B132="","",IF(ISNA(VLOOKUP($B132,'B-1 Site Hedge Baseline'!$B$1:$L$257,7,FALSE)),"",(VLOOKUP($B132,'B-1 Site Hedge Baseline'!$B$1:$L$257,7,FALSE))))</f>
        <v/>
      </c>
      <c r="H132" s="520" t="str">
        <f>IF(B132="","",IF(ISNA(VLOOKUP($B132,'B-1 Site Hedge Baseline'!$B$1:$L$257,8,FALSE)),"",(VLOOKUP($B132,'B-1 Site Hedge Baseline'!$B$1:$L$257,8,FALSE))))</f>
        <v/>
      </c>
      <c r="I132" s="520" t="str">
        <f>IF(B132="","",IF(ISNA(VLOOKUP($B132,'B-1 Site Hedge Baseline'!$B$1:$L$257,10,FALSE)),"",(VLOOKUP($B132,'B-1 Site Hedge Baseline'!$B$1:$L$257,10,FALSE))))</f>
        <v/>
      </c>
      <c r="J132" s="520" t="str">
        <f>IF(B132="","",IF(ISNA(VLOOKUP($B132,'B-1 Site Hedge Baseline'!$B$1:$L$257,11,FALSE)),"",(VLOOKUP($B132,'B-1 Site Hedge Baseline'!$B$1:$L$257,11,FALSE))))</f>
        <v/>
      </c>
      <c r="K132" s="520" t="str">
        <f>IF(B132="","",IF(ISNA(VLOOKUP($B132,'B-1 Site Hedge Baseline'!$B$1:$U$257,13,FALSE)),"",(VLOOKUP($B132,'B-1 Site Hedge Baseline'!$B$1:$U$257,13,FALSE))))</f>
        <v/>
      </c>
      <c r="L132" s="524" t="str">
        <f>IF(B132="","",IF(ISNA(VLOOKUP($B132,'B-1 Site Hedge Baseline'!$B$1:$U$257,12,FALSE)),"",(VLOOKUP($B132,'B-1 Site Hedge Baseline'!$B$1:$U$257,12,FALSE))))</f>
        <v/>
      </c>
      <c r="M132" s="416" t="str">
        <f t="shared" si="15"/>
        <v/>
      </c>
      <c r="N132" s="498" t="str">
        <f>IFERROR(IF(B132="","",INDEX('G-6 Hedgerow Data'!$AN$3:$AZ$15,MATCH(C132,'G-6 Hedgerow Data'!$AM$3:$AM$15,0),MATCH(M132,'G-6 Hedgerow Data'!$AN$2:$AZ$2,0))),"")</f>
        <v/>
      </c>
      <c r="O132" s="499" t="str">
        <f t="shared" si="10"/>
        <v/>
      </c>
      <c r="P132" s="559" t="str">
        <f>IF(B132="","",VLOOKUP(B132,'B-1 Site Hedge Baseline'!$B$10:T377,16,FALSE))</f>
        <v/>
      </c>
      <c r="Q132" s="498" t="str">
        <f>IF(M132="","",VLOOKUP(M132,'G-6 Hedgerow Data'!$B$2:$AG$15,2,FALSE))</f>
        <v/>
      </c>
      <c r="R132" s="499" t="str">
        <f>IF(M132="","",VLOOKUP(M132,'G-6 Hedgerow Data'!$B$2:$AG$15,3,FALSE))</f>
        <v/>
      </c>
      <c r="S132" s="157"/>
      <c r="T132" s="540" t="str">
        <f>IFERROR(VLOOKUP(S132,'G-1 All Habitats'!$Z$2:$AA$9,2,FALSE),"")</f>
        <v/>
      </c>
      <c r="U132" s="154"/>
      <c r="V132" s="520" t="str">
        <f>IF(U132="","",IF(VLOOKUP(U132,'G-3 Multipliers'!$L$3:$N$6,2,FALSE)=0,"Spatial Data Missing ⚠",VLOOKUP(U132,'G-3 Multipliers'!$L$3:$N$6,2,FALSE)))</f>
        <v/>
      </c>
      <c r="W132" s="524"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8"/>
        <v/>
      </c>
      <c r="AD132" s="537" t="str">
        <f>IF(M132="","",VLOOKUP(M132,'G-6 Hedgerow Data'!$B$3:$AG$15,31,FALSE))</f>
        <v/>
      </c>
      <c r="AE132" s="507" t="str">
        <f t="shared" si="13"/>
        <v/>
      </c>
      <c r="AF132" s="507" t="str">
        <f t="shared" si="14"/>
        <v/>
      </c>
      <c r="AG132" s="524" t="str">
        <f>IFERROR(IF(O132="","",VLOOKUP(AD132,'G-3 Multipliers'!$P$3:$Q$6,2,FALSE)),"")</f>
        <v/>
      </c>
      <c r="AH132" s="513" t="str">
        <f t="shared" si="9"/>
        <v/>
      </c>
      <c r="AI132" s="231"/>
      <c r="AJ132" s="150"/>
      <c r="AT132" s="31" t="str">
        <f>IFERROR(INDEX('G-6 Hedgerow Data'!$BJ$3:$BJ$15,MATCH(M132,'G-6 Hedgerow Data'!$B$3:$B$15,0)),"")</f>
        <v/>
      </c>
    </row>
    <row r="133" spans="2:46" ht="13.8" x14ac:dyDescent="0.25">
      <c r="B133" s="531" t="str">
        <f>'B-1 Site Hedge Baseline'!AK131</f>
        <v/>
      </c>
      <c r="C133" s="520" t="str">
        <f>IF(B133="","",IF(ISNA(VLOOKUP($B133,'B-1 Site Hedge Baseline'!$B$1:$L$257,3,FALSE)),"",(VLOOKUP($B133,'B-1 Site Hedge Baseline'!$B$1:$L$257,3,FALSE))))</f>
        <v/>
      </c>
      <c r="D133" s="520" t="str">
        <f>IF(B133="","",IF(ISNA(VLOOKUP($B133,'B-1 Site Hedge Baseline'!$B$1:$L$257,4,FALSE)),"",(VLOOKUP($B133,'B-1 Site Hedge Baseline'!$B$1:$L$257,4,FALSE))))</f>
        <v/>
      </c>
      <c r="E133" s="520" t="str">
        <f>IF(B133="","",IF(ISNA(VLOOKUP($B133,'B-1 Site Hedge Baseline'!$B$1:$L$257,5,FALSE)),"",(VLOOKUP($B133,'B-1 Site Hedge Baseline'!$B$1:$L$257,5,FALSE))))</f>
        <v/>
      </c>
      <c r="F133" s="520" t="str">
        <f>IF(B133="","",IF(ISNA(VLOOKUP($B133,'B-1 Site Hedge Baseline'!$B$1:$L$257,6,FALSE)),"",(VLOOKUP($B133,'B-1 Site Hedge Baseline'!$B$1:$L$257,6,FALSE))))</f>
        <v/>
      </c>
      <c r="G133" s="520" t="str">
        <f>IF(B133="","",IF(ISNA(VLOOKUP($B133,'B-1 Site Hedge Baseline'!$B$1:$L$257,7,FALSE)),"",(VLOOKUP($B133,'B-1 Site Hedge Baseline'!$B$1:$L$257,7,FALSE))))</f>
        <v/>
      </c>
      <c r="H133" s="520" t="str">
        <f>IF(B133="","",IF(ISNA(VLOOKUP($B133,'B-1 Site Hedge Baseline'!$B$1:$L$257,8,FALSE)),"",(VLOOKUP($B133,'B-1 Site Hedge Baseline'!$B$1:$L$257,8,FALSE))))</f>
        <v/>
      </c>
      <c r="I133" s="520" t="str">
        <f>IF(B133="","",IF(ISNA(VLOOKUP($B133,'B-1 Site Hedge Baseline'!$B$1:$L$257,10,FALSE)),"",(VLOOKUP($B133,'B-1 Site Hedge Baseline'!$B$1:$L$257,10,FALSE))))</f>
        <v/>
      </c>
      <c r="J133" s="520" t="str">
        <f>IF(B133="","",IF(ISNA(VLOOKUP($B133,'B-1 Site Hedge Baseline'!$B$1:$L$257,11,FALSE)),"",(VLOOKUP($B133,'B-1 Site Hedge Baseline'!$B$1:$L$257,11,FALSE))))</f>
        <v/>
      </c>
      <c r="K133" s="520" t="str">
        <f>IF(B133="","",IF(ISNA(VLOOKUP($B133,'B-1 Site Hedge Baseline'!$B$1:$U$257,13,FALSE)),"",(VLOOKUP($B133,'B-1 Site Hedge Baseline'!$B$1:$U$257,13,FALSE))))</f>
        <v/>
      </c>
      <c r="L133" s="524" t="str">
        <f>IF(B133="","",IF(ISNA(VLOOKUP($B133,'B-1 Site Hedge Baseline'!$B$1:$U$257,12,FALSE)),"",(VLOOKUP($B133,'B-1 Site Hedge Baseline'!$B$1:$U$257,12,FALSE))))</f>
        <v/>
      </c>
      <c r="M133" s="416" t="str">
        <f t="shared" si="15"/>
        <v/>
      </c>
      <c r="N133" s="498" t="str">
        <f>IFERROR(IF(B133="","",INDEX('G-6 Hedgerow Data'!$AN$3:$AZ$15,MATCH(C133,'G-6 Hedgerow Data'!$AM$3:$AM$15,0),MATCH(M133,'G-6 Hedgerow Data'!$AN$2:$AZ$2,0))),"")</f>
        <v/>
      </c>
      <c r="O133" s="499" t="str">
        <f t="shared" si="10"/>
        <v/>
      </c>
      <c r="P133" s="559" t="str">
        <f>IF(B133="","",VLOOKUP(B133,'B-1 Site Hedge Baseline'!$B$10:T378,16,FALSE))</f>
        <v/>
      </c>
      <c r="Q133" s="498" t="str">
        <f>IF(M133="","",VLOOKUP(M133,'G-6 Hedgerow Data'!$B$2:$AG$15,2,FALSE))</f>
        <v/>
      </c>
      <c r="R133" s="499" t="str">
        <f>IF(M133="","",VLOOKUP(M133,'G-6 Hedgerow Data'!$B$2:$AG$15,3,FALSE))</f>
        <v/>
      </c>
      <c r="S133" s="157"/>
      <c r="T133" s="540" t="str">
        <f>IFERROR(VLOOKUP(S133,'G-1 All Habitats'!$Z$2:$AA$9,2,FALSE),"")</f>
        <v/>
      </c>
      <c r="U133" s="154"/>
      <c r="V133" s="520" t="str">
        <f>IF(U133="","",IF(VLOOKUP(U133,'G-3 Multipliers'!$L$3:$N$6,2,FALSE)=0,"Spatial Data Missing ⚠",VLOOKUP(U133,'G-3 Multipliers'!$L$3:$N$6,2,FALSE)))</f>
        <v/>
      </c>
      <c r="W133" s="524"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8"/>
        <v/>
      </c>
      <c r="AD133" s="537" t="str">
        <f>IF(M133="","",VLOOKUP(M133,'G-6 Hedgerow Data'!$B$3:$AG$15,31,FALSE))</f>
        <v/>
      </c>
      <c r="AE133" s="507" t="str">
        <f t="shared" si="13"/>
        <v/>
      </c>
      <c r="AF133" s="507" t="str">
        <f t="shared" si="14"/>
        <v/>
      </c>
      <c r="AG133" s="524" t="str">
        <f>IFERROR(IF(O133="","",VLOOKUP(AD133,'G-3 Multipliers'!$P$3:$Q$6,2,FALSE)),"")</f>
        <v/>
      </c>
      <c r="AH133" s="513" t="str">
        <f t="shared" si="9"/>
        <v/>
      </c>
      <c r="AI133" s="231"/>
      <c r="AJ133" s="150"/>
      <c r="AT133" s="31" t="str">
        <f>IFERROR(INDEX('G-6 Hedgerow Data'!$BJ$3:$BJ$15,MATCH(M133,'G-6 Hedgerow Data'!$B$3:$B$15,0)),"")</f>
        <v/>
      </c>
    </row>
    <row r="134" spans="2:46" ht="13.8" x14ac:dyDescent="0.25">
      <c r="B134" s="531" t="str">
        <f>'B-1 Site Hedge Baseline'!AK132</f>
        <v/>
      </c>
      <c r="C134" s="520" t="str">
        <f>IF(B134="","",IF(ISNA(VLOOKUP($B134,'B-1 Site Hedge Baseline'!$B$1:$L$257,3,FALSE)),"",(VLOOKUP($B134,'B-1 Site Hedge Baseline'!$B$1:$L$257,3,FALSE))))</f>
        <v/>
      </c>
      <c r="D134" s="520" t="str">
        <f>IF(B134="","",IF(ISNA(VLOOKUP($B134,'B-1 Site Hedge Baseline'!$B$1:$L$257,4,FALSE)),"",(VLOOKUP($B134,'B-1 Site Hedge Baseline'!$B$1:$L$257,4,FALSE))))</f>
        <v/>
      </c>
      <c r="E134" s="520" t="str">
        <f>IF(B134="","",IF(ISNA(VLOOKUP($B134,'B-1 Site Hedge Baseline'!$B$1:$L$257,5,FALSE)),"",(VLOOKUP($B134,'B-1 Site Hedge Baseline'!$B$1:$L$257,5,FALSE))))</f>
        <v/>
      </c>
      <c r="F134" s="520" t="str">
        <f>IF(B134="","",IF(ISNA(VLOOKUP($B134,'B-1 Site Hedge Baseline'!$B$1:$L$257,6,FALSE)),"",(VLOOKUP($B134,'B-1 Site Hedge Baseline'!$B$1:$L$257,6,FALSE))))</f>
        <v/>
      </c>
      <c r="G134" s="520" t="str">
        <f>IF(B134="","",IF(ISNA(VLOOKUP($B134,'B-1 Site Hedge Baseline'!$B$1:$L$257,7,FALSE)),"",(VLOOKUP($B134,'B-1 Site Hedge Baseline'!$B$1:$L$257,7,FALSE))))</f>
        <v/>
      </c>
      <c r="H134" s="520" t="str">
        <f>IF(B134="","",IF(ISNA(VLOOKUP($B134,'B-1 Site Hedge Baseline'!$B$1:$L$257,8,FALSE)),"",(VLOOKUP($B134,'B-1 Site Hedge Baseline'!$B$1:$L$257,8,FALSE))))</f>
        <v/>
      </c>
      <c r="I134" s="520" t="str">
        <f>IF(B134="","",IF(ISNA(VLOOKUP($B134,'B-1 Site Hedge Baseline'!$B$1:$L$257,10,FALSE)),"",(VLOOKUP($B134,'B-1 Site Hedge Baseline'!$B$1:$L$257,10,FALSE))))</f>
        <v/>
      </c>
      <c r="J134" s="520" t="str">
        <f>IF(B134="","",IF(ISNA(VLOOKUP($B134,'B-1 Site Hedge Baseline'!$B$1:$L$257,11,FALSE)),"",(VLOOKUP($B134,'B-1 Site Hedge Baseline'!$B$1:$L$257,11,FALSE))))</f>
        <v/>
      </c>
      <c r="K134" s="520" t="str">
        <f>IF(B134="","",IF(ISNA(VLOOKUP($B134,'B-1 Site Hedge Baseline'!$B$1:$U$257,13,FALSE)),"",(VLOOKUP($B134,'B-1 Site Hedge Baseline'!$B$1:$U$257,13,FALSE))))</f>
        <v/>
      </c>
      <c r="L134" s="524" t="str">
        <f>IF(B134="","",IF(ISNA(VLOOKUP($B134,'B-1 Site Hedge Baseline'!$B$1:$U$257,12,FALSE)),"",(VLOOKUP($B134,'B-1 Site Hedge Baseline'!$B$1:$U$257,12,FALSE))))</f>
        <v/>
      </c>
      <c r="M134" s="416" t="str">
        <f t="shared" si="15"/>
        <v/>
      </c>
      <c r="N134" s="498" t="str">
        <f>IFERROR(IF(B134="","",INDEX('G-6 Hedgerow Data'!$AN$3:$AZ$15,MATCH(C134,'G-6 Hedgerow Data'!$AM$3:$AM$15,0),MATCH(M134,'G-6 Hedgerow Data'!$AN$2:$AZ$2,0))),"")</f>
        <v/>
      </c>
      <c r="O134" s="499" t="str">
        <f t="shared" si="10"/>
        <v/>
      </c>
      <c r="P134" s="559" t="str">
        <f>IF(B134="","",VLOOKUP(B134,'B-1 Site Hedge Baseline'!$B$10:T379,16,FALSE))</f>
        <v/>
      </c>
      <c r="Q134" s="498" t="str">
        <f>IF(M134="","",VLOOKUP(M134,'G-6 Hedgerow Data'!$B$2:$AG$15,2,FALSE))</f>
        <v/>
      </c>
      <c r="R134" s="499" t="str">
        <f>IF(M134="","",VLOOKUP(M134,'G-6 Hedgerow Data'!$B$2:$AG$15,3,FALSE))</f>
        <v/>
      </c>
      <c r="S134" s="157"/>
      <c r="T134" s="540" t="str">
        <f>IFERROR(VLOOKUP(S134,'G-1 All Habitats'!$Z$2:$AA$9,2,FALSE),"")</f>
        <v/>
      </c>
      <c r="U134" s="154"/>
      <c r="V134" s="520" t="str">
        <f>IF(U134="","",IF(VLOOKUP(U134,'G-3 Multipliers'!$L$3:$N$6,2,FALSE)=0,"Spatial Data Missing ⚠",VLOOKUP(U134,'G-3 Multipliers'!$L$3:$N$6,2,FALSE)))</f>
        <v/>
      </c>
      <c r="W134" s="524"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8"/>
        <v/>
      </c>
      <c r="AD134" s="537" t="str">
        <f>IF(M134="","",VLOOKUP(M134,'G-6 Hedgerow Data'!$B$3:$AG$15,31,FALSE))</f>
        <v/>
      </c>
      <c r="AE134" s="507" t="str">
        <f t="shared" si="13"/>
        <v/>
      </c>
      <c r="AF134" s="507" t="str">
        <f t="shared" si="14"/>
        <v/>
      </c>
      <c r="AG134" s="524" t="str">
        <f>IFERROR(IF(O134="","",VLOOKUP(AD134,'G-3 Multipliers'!$P$3:$Q$6,2,FALSE)),"")</f>
        <v/>
      </c>
      <c r="AH134" s="513" t="str">
        <f t="shared" si="9"/>
        <v/>
      </c>
      <c r="AI134" s="231"/>
      <c r="AJ134" s="150"/>
      <c r="AT134" s="31" t="str">
        <f>IFERROR(INDEX('G-6 Hedgerow Data'!$BJ$3:$BJ$15,MATCH(M134,'G-6 Hedgerow Data'!$B$3:$B$15,0)),"")</f>
        <v/>
      </c>
    </row>
    <row r="135" spans="2:46" ht="13.8" x14ac:dyDescent="0.25">
      <c r="B135" s="531" t="str">
        <f>'B-1 Site Hedge Baseline'!AK133</f>
        <v/>
      </c>
      <c r="C135" s="520" t="str">
        <f>IF(B135="","",IF(ISNA(VLOOKUP($B135,'B-1 Site Hedge Baseline'!$B$1:$L$257,3,FALSE)),"",(VLOOKUP($B135,'B-1 Site Hedge Baseline'!$B$1:$L$257,3,FALSE))))</f>
        <v/>
      </c>
      <c r="D135" s="520" t="str">
        <f>IF(B135="","",IF(ISNA(VLOOKUP($B135,'B-1 Site Hedge Baseline'!$B$1:$L$257,4,FALSE)),"",(VLOOKUP($B135,'B-1 Site Hedge Baseline'!$B$1:$L$257,4,FALSE))))</f>
        <v/>
      </c>
      <c r="E135" s="520" t="str">
        <f>IF(B135="","",IF(ISNA(VLOOKUP($B135,'B-1 Site Hedge Baseline'!$B$1:$L$257,5,FALSE)),"",(VLOOKUP($B135,'B-1 Site Hedge Baseline'!$B$1:$L$257,5,FALSE))))</f>
        <v/>
      </c>
      <c r="F135" s="520" t="str">
        <f>IF(B135="","",IF(ISNA(VLOOKUP($B135,'B-1 Site Hedge Baseline'!$B$1:$L$257,6,FALSE)),"",(VLOOKUP($B135,'B-1 Site Hedge Baseline'!$B$1:$L$257,6,FALSE))))</f>
        <v/>
      </c>
      <c r="G135" s="520" t="str">
        <f>IF(B135="","",IF(ISNA(VLOOKUP($B135,'B-1 Site Hedge Baseline'!$B$1:$L$257,7,FALSE)),"",(VLOOKUP($B135,'B-1 Site Hedge Baseline'!$B$1:$L$257,7,FALSE))))</f>
        <v/>
      </c>
      <c r="H135" s="520" t="str">
        <f>IF(B135="","",IF(ISNA(VLOOKUP($B135,'B-1 Site Hedge Baseline'!$B$1:$L$257,8,FALSE)),"",(VLOOKUP($B135,'B-1 Site Hedge Baseline'!$B$1:$L$257,8,FALSE))))</f>
        <v/>
      </c>
      <c r="I135" s="520" t="str">
        <f>IF(B135="","",IF(ISNA(VLOOKUP($B135,'B-1 Site Hedge Baseline'!$B$1:$L$257,10,FALSE)),"",(VLOOKUP($B135,'B-1 Site Hedge Baseline'!$B$1:$L$257,10,FALSE))))</f>
        <v/>
      </c>
      <c r="J135" s="520" t="str">
        <f>IF(B135="","",IF(ISNA(VLOOKUP($B135,'B-1 Site Hedge Baseline'!$B$1:$L$257,11,FALSE)),"",(VLOOKUP($B135,'B-1 Site Hedge Baseline'!$B$1:$L$257,11,FALSE))))</f>
        <v/>
      </c>
      <c r="K135" s="520" t="str">
        <f>IF(B135="","",IF(ISNA(VLOOKUP($B135,'B-1 Site Hedge Baseline'!$B$1:$U$257,13,FALSE)),"",(VLOOKUP($B135,'B-1 Site Hedge Baseline'!$B$1:$U$257,13,FALSE))))</f>
        <v/>
      </c>
      <c r="L135" s="524" t="str">
        <f>IF(B135="","",IF(ISNA(VLOOKUP($B135,'B-1 Site Hedge Baseline'!$B$1:$U$257,12,FALSE)),"",(VLOOKUP($B135,'B-1 Site Hedge Baseline'!$B$1:$U$257,12,FALSE))))</f>
        <v/>
      </c>
      <c r="M135" s="416" t="str">
        <f t="shared" si="15"/>
        <v/>
      </c>
      <c r="N135" s="498" t="str">
        <f>IFERROR(IF(B135="","",INDEX('G-6 Hedgerow Data'!$AN$3:$AZ$15,MATCH(C135,'G-6 Hedgerow Data'!$AM$3:$AM$15,0),MATCH(M135,'G-6 Hedgerow Data'!$AN$2:$AZ$2,0))),"")</f>
        <v/>
      </c>
      <c r="O135" s="499" t="str">
        <f t="shared" si="10"/>
        <v/>
      </c>
      <c r="P135" s="559" t="str">
        <f>IF(B135="","",VLOOKUP(B135,'B-1 Site Hedge Baseline'!$B$10:T380,16,FALSE))</f>
        <v/>
      </c>
      <c r="Q135" s="498" t="str">
        <f>IF(M135="","",VLOOKUP(M135,'G-6 Hedgerow Data'!$B$2:$AG$15,2,FALSE))</f>
        <v/>
      </c>
      <c r="R135" s="499" t="str">
        <f>IF(M135="","",VLOOKUP(M135,'G-6 Hedgerow Data'!$B$2:$AG$15,3,FALSE))</f>
        <v/>
      </c>
      <c r="S135" s="157"/>
      <c r="T135" s="540" t="str">
        <f>IFERROR(VLOOKUP(S135,'G-1 All Habitats'!$Z$2:$AA$9,2,FALSE),"")</f>
        <v/>
      </c>
      <c r="U135" s="154"/>
      <c r="V135" s="520" t="str">
        <f>IF(U135="","",IF(VLOOKUP(U135,'G-3 Multipliers'!$L$3:$N$6,2,FALSE)=0,"Spatial Data Missing ⚠",VLOOKUP(U135,'G-3 Multipliers'!$L$3:$N$6,2,FALSE)))</f>
        <v/>
      </c>
      <c r="W135" s="524"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8"/>
        <v/>
      </c>
      <c r="AD135" s="537" t="str">
        <f>IF(M135="","",VLOOKUP(M135,'G-6 Hedgerow Data'!$B$3:$AG$15,31,FALSE))</f>
        <v/>
      </c>
      <c r="AE135" s="507" t="str">
        <f t="shared" si="13"/>
        <v/>
      </c>
      <c r="AF135" s="507" t="str">
        <f t="shared" si="14"/>
        <v/>
      </c>
      <c r="AG135" s="524" t="str">
        <f>IFERROR(IF(O135="","",VLOOKUP(AD135,'G-3 Multipliers'!$P$3:$Q$6,2,FALSE)),"")</f>
        <v/>
      </c>
      <c r="AH135" s="513" t="str">
        <f t="shared" si="9"/>
        <v/>
      </c>
      <c r="AI135" s="231"/>
      <c r="AJ135" s="150"/>
      <c r="AT135" s="31" t="str">
        <f>IFERROR(INDEX('G-6 Hedgerow Data'!$BJ$3:$BJ$15,MATCH(M135,'G-6 Hedgerow Data'!$B$3:$B$15,0)),"")</f>
        <v/>
      </c>
    </row>
    <row r="136" spans="2:46" ht="13.8" x14ac:dyDescent="0.25">
      <c r="B136" s="531" t="str">
        <f>'B-1 Site Hedge Baseline'!AK134</f>
        <v/>
      </c>
      <c r="C136" s="520" t="str">
        <f>IF(B136="","",IF(ISNA(VLOOKUP($B136,'B-1 Site Hedge Baseline'!$B$1:$L$257,3,FALSE)),"",(VLOOKUP($B136,'B-1 Site Hedge Baseline'!$B$1:$L$257,3,FALSE))))</f>
        <v/>
      </c>
      <c r="D136" s="520" t="str">
        <f>IF(B136="","",IF(ISNA(VLOOKUP($B136,'B-1 Site Hedge Baseline'!$B$1:$L$257,4,FALSE)),"",(VLOOKUP($B136,'B-1 Site Hedge Baseline'!$B$1:$L$257,4,FALSE))))</f>
        <v/>
      </c>
      <c r="E136" s="520" t="str">
        <f>IF(B136="","",IF(ISNA(VLOOKUP($B136,'B-1 Site Hedge Baseline'!$B$1:$L$257,5,FALSE)),"",(VLOOKUP($B136,'B-1 Site Hedge Baseline'!$B$1:$L$257,5,FALSE))))</f>
        <v/>
      </c>
      <c r="F136" s="520" t="str">
        <f>IF(B136="","",IF(ISNA(VLOOKUP($B136,'B-1 Site Hedge Baseline'!$B$1:$L$257,6,FALSE)),"",(VLOOKUP($B136,'B-1 Site Hedge Baseline'!$B$1:$L$257,6,FALSE))))</f>
        <v/>
      </c>
      <c r="G136" s="520" t="str">
        <f>IF(B136="","",IF(ISNA(VLOOKUP($B136,'B-1 Site Hedge Baseline'!$B$1:$L$257,7,FALSE)),"",(VLOOKUP($B136,'B-1 Site Hedge Baseline'!$B$1:$L$257,7,FALSE))))</f>
        <v/>
      </c>
      <c r="H136" s="520" t="str">
        <f>IF(B136="","",IF(ISNA(VLOOKUP($B136,'B-1 Site Hedge Baseline'!$B$1:$L$257,8,FALSE)),"",(VLOOKUP($B136,'B-1 Site Hedge Baseline'!$B$1:$L$257,8,FALSE))))</f>
        <v/>
      </c>
      <c r="I136" s="520" t="str">
        <f>IF(B136="","",IF(ISNA(VLOOKUP($B136,'B-1 Site Hedge Baseline'!$B$1:$L$257,10,FALSE)),"",(VLOOKUP($B136,'B-1 Site Hedge Baseline'!$B$1:$L$257,10,FALSE))))</f>
        <v/>
      </c>
      <c r="J136" s="520" t="str">
        <f>IF(B136="","",IF(ISNA(VLOOKUP($B136,'B-1 Site Hedge Baseline'!$B$1:$L$257,11,FALSE)),"",(VLOOKUP($B136,'B-1 Site Hedge Baseline'!$B$1:$L$257,11,FALSE))))</f>
        <v/>
      </c>
      <c r="K136" s="520" t="str">
        <f>IF(B136="","",IF(ISNA(VLOOKUP($B136,'B-1 Site Hedge Baseline'!$B$1:$U$257,13,FALSE)),"",(VLOOKUP($B136,'B-1 Site Hedge Baseline'!$B$1:$U$257,13,FALSE))))</f>
        <v/>
      </c>
      <c r="L136" s="524" t="str">
        <f>IF(B136="","",IF(ISNA(VLOOKUP($B136,'B-1 Site Hedge Baseline'!$B$1:$U$257,12,FALSE)),"",(VLOOKUP($B136,'B-1 Site Hedge Baseline'!$B$1:$U$257,12,FALSE))))</f>
        <v/>
      </c>
      <c r="M136" s="416" t="str">
        <f t="shared" si="15"/>
        <v/>
      </c>
      <c r="N136" s="498" t="str">
        <f>IFERROR(IF(B136="","",INDEX('G-6 Hedgerow Data'!$AN$3:$AZ$15,MATCH(C136,'G-6 Hedgerow Data'!$AM$3:$AM$15,0),MATCH(M136,'G-6 Hedgerow Data'!$AN$2:$AZ$2,0))),"")</f>
        <v/>
      </c>
      <c r="O136" s="499" t="str">
        <f t="shared" si="10"/>
        <v/>
      </c>
      <c r="P136" s="559" t="str">
        <f>IF(B136="","",VLOOKUP(B136,'B-1 Site Hedge Baseline'!$B$10:T381,16,FALSE))</f>
        <v/>
      </c>
      <c r="Q136" s="498" t="str">
        <f>IF(M136="","",VLOOKUP(M136,'G-6 Hedgerow Data'!$B$2:$AG$15,2,FALSE))</f>
        <v/>
      </c>
      <c r="R136" s="499" t="str">
        <f>IF(M136="","",VLOOKUP(M136,'G-6 Hedgerow Data'!$B$2:$AG$15,3,FALSE))</f>
        <v/>
      </c>
      <c r="S136" s="157"/>
      <c r="T136" s="540" t="str">
        <f>IFERROR(VLOOKUP(S136,'G-1 All Habitats'!$Z$2:$AA$9,2,FALSE),"")</f>
        <v/>
      </c>
      <c r="U136" s="154"/>
      <c r="V136" s="520" t="str">
        <f>IF(U136="","",IF(VLOOKUP(U136,'G-3 Multipliers'!$L$3:$N$6,2,FALSE)=0,"Spatial Data Missing ⚠",VLOOKUP(U136,'G-3 Multipliers'!$L$3:$N$6,2,FALSE)))</f>
        <v/>
      </c>
      <c r="W136" s="524"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8"/>
        <v/>
      </c>
      <c r="AD136" s="537" t="str">
        <f>IF(M136="","",VLOOKUP(M136,'G-6 Hedgerow Data'!$B$3:$AG$15,31,FALSE))</f>
        <v/>
      </c>
      <c r="AE136" s="507" t="str">
        <f t="shared" si="13"/>
        <v/>
      </c>
      <c r="AF136" s="507" t="str">
        <f t="shared" si="14"/>
        <v/>
      </c>
      <c r="AG136" s="524" t="str">
        <f>IFERROR(IF(O136="","",VLOOKUP(AD136,'G-3 Multipliers'!$P$3:$Q$6,2,FALSE)),"")</f>
        <v/>
      </c>
      <c r="AH136" s="513" t="str">
        <f t="shared" si="9"/>
        <v/>
      </c>
      <c r="AI136" s="231"/>
      <c r="AJ136" s="150"/>
      <c r="AT136" s="31" t="str">
        <f>IFERROR(INDEX('G-6 Hedgerow Data'!$BJ$3:$BJ$15,MATCH(M136,'G-6 Hedgerow Data'!$B$3:$B$15,0)),"")</f>
        <v/>
      </c>
    </row>
    <row r="137" spans="2:46" ht="13.8" x14ac:dyDescent="0.25">
      <c r="B137" s="531" t="str">
        <f>'B-1 Site Hedge Baseline'!AK135</f>
        <v/>
      </c>
      <c r="C137" s="520" t="str">
        <f>IF(B137="","",IF(ISNA(VLOOKUP($B137,'B-1 Site Hedge Baseline'!$B$1:$L$257,3,FALSE)),"",(VLOOKUP($B137,'B-1 Site Hedge Baseline'!$B$1:$L$257,3,FALSE))))</f>
        <v/>
      </c>
      <c r="D137" s="520" t="str">
        <f>IF(B137="","",IF(ISNA(VLOOKUP($B137,'B-1 Site Hedge Baseline'!$B$1:$L$257,4,FALSE)),"",(VLOOKUP($B137,'B-1 Site Hedge Baseline'!$B$1:$L$257,4,FALSE))))</f>
        <v/>
      </c>
      <c r="E137" s="520" t="str">
        <f>IF(B137="","",IF(ISNA(VLOOKUP($B137,'B-1 Site Hedge Baseline'!$B$1:$L$257,5,FALSE)),"",(VLOOKUP($B137,'B-1 Site Hedge Baseline'!$B$1:$L$257,5,FALSE))))</f>
        <v/>
      </c>
      <c r="F137" s="520" t="str">
        <f>IF(B137="","",IF(ISNA(VLOOKUP($B137,'B-1 Site Hedge Baseline'!$B$1:$L$257,6,FALSE)),"",(VLOOKUP($B137,'B-1 Site Hedge Baseline'!$B$1:$L$257,6,FALSE))))</f>
        <v/>
      </c>
      <c r="G137" s="520" t="str">
        <f>IF(B137="","",IF(ISNA(VLOOKUP($B137,'B-1 Site Hedge Baseline'!$B$1:$L$257,7,FALSE)),"",(VLOOKUP($B137,'B-1 Site Hedge Baseline'!$B$1:$L$257,7,FALSE))))</f>
        <v/>
      </c>
      <c r="H137" s="520" t="str">
        <f>IF(B137="","",IF(ISNA(VLOOKUP($B137,'B-1 Site Hedge Baseline'!$B$1:$L$257,8,FALSE)),"",(VLOOKUP($B137,'B-1 Site Hedge Baseline'!$B$1:$L$257,8,FALSE))))</f>
        <v/>
      </c>
      <c r="I137" s="520" t="str">
        <f>IF(B137="","",IF(ISNA(VLOOKUP($B137,'B-1 Site Hedge Baseline'!$B$1:$L$257,10,FALSE)),"",(VLOOKUP($B137,'B-1 Site Hedge Baseline'!$B$1:$L$257,10,FALSE))))</f>
        <v/>
      </c>
      <c r="J137" s="520" t="str">
        <f>IF(B137="","",IF(ISNA(VLOOKUP($B137,'B-1 Site Hedge Baseline'!$B$1:$L$257,11,FALSE)),"",(VLOOKUP($B137,'B-1 Site Hedge Baseline'!$B$1:$L$257,11,FALSE))))</f>
        <v/>
      </c>
      <c r="K137" s="520" t="str">
        <f>IF(B137="","",IF(ISNA(VLOOKUP($B137,'B-1 Site Hedge Baseline'!$B$1:$U$257,13,FALSE)),"",(VLOOKUP($B137,'B-1 Site Hedge Baseline'!$B$1:$U$257,13,FALSE))))</f>
        <v/>
      </c>
      <c r="L137" s="524" t="str">
        <f>IF(B137="","",IF(ISNA(VLOOKUP($B137,'B-1 Site Hedge Baseline'!$B$1:$U$257,12,FALSE)),"",(VLOOKUP($B137,'B-1 Site Hedge Baseline'!$B$1:$U$257,12,FALSE))))</f>
        <v/>
      </c>
      <c r="M137" s="416" t="str">
        <f t="shared" si="15"/>
        <v/>
      </c>
      <c r="N137" s="498" t="str">
        <f>IFERROR(IF(B137="","",INDEX('G-6 Hedgerow Data'!$AN$3:$AZ$15,MATCH(C137,'G-6 Hedgerow Data'!$AM$3:$AM$15,0),MATCH(M137,'G-6 Hedgerow Data'!$AN$2:$AZ$2,0))),"")</f>
        <v/>
      </c>
      <c r="O137" s="499" t="str">
        <f t="shared" si="10"/>
        <v/>
      </c>
      <c r="P137" s="559" t="str">
        <f>IF(B137="","",VLOOKUP(B137,'B-1 Site Hedge Baseline'!$B$10:T382,16,FALSE))</f>
        <v/>
      </c>
      <c r="Q137" s="498" t="str">
        <f>IF(M137="","",VLOOKUP(M137,'G-6 Hedgerow Data'!$B$2:$AG$15,2,FALSE))</f>
        <v/>
      </c>
      <c r="R137" s="499" t="str">
        <f>IF(M137="","",VLOOKUP(M137,'G-6 Hedgerow Data'!$B$2:$AG$15,3,FALSE))</f>
        <v/>
      </c>
      <c r="S137" s="157"/>
      <c r="T137" s="540" t="str">
        <f>IFERROR(VLOOKUP(S137,'G-1 All Habitats'!$Z$2:$AA$9,2,FALSE),"")</f>
        <v/>
      </c>
      <c r="U137" s="154"/>
      <c r="V137" s="520" t="str">
        <f>IF(U137="","",IF(VLOOKUP(U137,'G-3 Multipliers'!$L$3:$N$6,2,FALSE)=0,"Spatial Data Missing ⚠",VLOOKUP(U137,'G-3 Multipliers'!$L$3:$N$6,2,FALSE)))</f>
        <v/>
      </c>
      <c r="W137" s="524"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8"/>
        <v/>
      </c>
      <c r="AD137" s="537" t="str">
        <f>IF(M137="","",VLOOKUP(M137,'G-6 Hedgerow Data'!$B$3:$AG$15,31,FALSE))</f>
        <v/>
      </c>
      <c r="AE137" s="507" t="str">
        <f t="shared" si="13"/>
        <v/>
      </c>
      <c r="AF137" s="507" t="str">
        <f t="shared" si="14"/>
        <v/>
      </c>
      <c r="AG137" s="524" t="str">
        <f>IFERROR(IF(O137="","",VLOOKUP(AD137,'G-3 Multipliers'!$P$3:$Q$6,2,FALSE)),"")</f>
        <v/>
      </c>
      <c r="AH137" s="513" t="str">
        <f t="shared" si="9"/>
        <v/>
      </c>
      <c r="AI137" s="231"/>
      <c r="AJ137" s="150"/>
      <c r="AT137" s="31" t="str">
        <f>IFERROR(INDEX('G-6 Hedgerow Data'!$BJ$3:$BJ$15,MATCH(M137,'G-6 Hedgerow Data'!$B$3:$B$15,0)),"")</f>
        <v/>
      </c>
    </row>
    <row r="138" spans="2:46" ht="13.8" x14ac:dyDescent="0.25">
      <c r="B138" s="531" t="str">
        <f>'B-1 Site Hedge Baseline'!AK136</f>
        <v/>
      </c>
      <c r="C138" s="520" t="str">
        <f>IF(B138="","",IF(ISNA(VLOOKUP($B138,'B-1 Site Hedge Baseline'!$B$1:$L$257,3,FALSE)),"",(VLOOKUP($B138,'B-1 Site Hedge Baseline'!$B$1:$L$257,3,FALSE))))</f>
        <v/>
      </c>
      <c r="D138" s="520" t="str">
        <f>IF(B138="","",IF(ISNA(VLOOKUP($B138,'B-1 Site Hedge Baseline'!$B$1:$L$257,4,FALSE)),"",(VLOOKUP($B138,'B-1 Site Hedge Baseline'!$B$1:$L$257,4,FALSE))))</f>
        <v/>
      </c>
      <c r="E138" s="520" t="str">
        <f>IF(B138="","",IF(ISNA(VLOOKUP($B138,'B-1 Site Hedge Baseline'!$B$1:$L$257,5,FALSE)),"",(VLOOKUP($B138,'B-1 Site Hedge Baseline'!$B$1:$L$257,5,FALSE))))</f>
        <v/>
      </c>
      <c r="F138" s="520" t="str">
        <f>IF(B138="","",IF(ISNA(VLOOKUP($B138,'B-1 Site Hedge Baseline'!$B$1:$L$257,6,FALSE)),"",(VLOOKUP($B138,'B-1 Site Hedge Baseline'!$B$1:$L$257,6,FALSE))))</f>
        <v/>
      </c>
      <c r="G138" s="520" t="str">
        <f>IF(B138="","",IF(ISNA(VLOOKUP($B138,'B-1 Site Hedge Baseline'!$B$1:$L$257,7,FALSE)),"",(VLOOKUP($B138,'B-1 Site Hedge Baseline'!$B$1:$L$257,7,FALSE))))</f>
        <v/>
      </c>
      <c r="H138" s="520" t="str">
        <f>IF(B138="","",IF(ISNA(VLOOKUP($B138,'B-1 Site Hedge Baseline'!$B$1:$L$257,8,FALSE)),"",(VLOOKUP($B138,'B-1 Site Hedge Baseline'!$B$1:$L$257,8,FALSE))))</f>
        <v/>
      </c>
      <c r="I138" s="520" t="str">
        <f>IF(B138="","",IF(ISNA(VLOOKUP($B138,'B-1 Site Hedge Baseline'!$B$1:$L$257,10,FALSE)),"",(VLOOKUP($B138,'B-1 Site Hedge Baseline'!$B$1:$L$257,10,FALSE))))</f>
        <v/>
      </c>
      <c r="J138" s="520" t="str">
        <f>IF(B138="","",IF(ISNA(VLOOKUP($B138,'B-1 Site Hedge Baseline'!$B$1:$L$257,11,FALSE)),"",(VLOOKUP($B138,'B-1 Site Hedge Baseline'!$B$1:$L$257,11,FALSE))))</f>
        <v/>
      </c>
      <c r="K138" s="520" t="str">
        <f>IF(B138="","",IF(ISNA(VLOOKUP($B138,'B-1 Site Hedge Baseline'!$B$1:$U$257,13,FALSE)),"",(VLOOKUP($B138,'B-1 Site Hedge Baseline'!$B$1:$U$257,13,FALSE))))</f>
        <v/>
      </c>
      <c r="L138" s="524" t="str">
        <f>IF(B138="","",IF(ISNA(VLOOKUP($B138,'B-1 Site Hedge Baseline'!$B$1:$U$257,12,FALSE)),"",(VLOOKUP($B138,'B-1 Site Hedge Baseline'!$B$1:$U$257,12,FALSE))))</f>
        <v/>
      </c>
      <c r="M138" s="416" t="str">
        <f t="shared" si="15"/>
        <v/>
      </c>
      <c r="N138" s="498" t="str">
        <f>IFERROR(IF(B138="","",INDEX('G-6 Hedgerow Data'!$AN$3:$AZ$15,MATCH(C138,'G-6 Hedgerow Data'!$AM$3:$AM$15,0),MATCH(M138,'G-6 Hedgerow Data'!$AN$2:$AZ$2,0))),"")</f>
        <v/>
      </c>
      <c r="O138" s="499" t="str">
        <f t="shared" si="10"/>
        <v/>
      </c>
      <c r="P138" s="559" t="str">
        <f>IF(B138="","",VLOOKUP(B138,'B-1 Site Hedge Baseline'!$B$10:T383,16,FALSE))</f>
        <v/>
      </c>
      <c r="Q138" s="498" t="str">
        <f>IF(M138="","",VLOOKUP(M138,'G-6 Hedgerow Data'!$B$2:$AG$15,2,FALSE))</f>
        <v/>
      </c>
      <c r="R138" s="499" t="str">
        <f>IF(M138="","",VLOOKUP(M138,'G-6 Hedgerow Data'!$B$2:$AG$15,3,FALSE))</f>
        <v/>
      </c>
      <c r="S138" s="157"/>
      <c r="T138" s="540" t="str">
        <f>IFERROR(VLOOKUP(S138,'G-1 All Habitats'!$Z$2:$AA$9,2,FALSE),"")</f>
        <v/>
      </c>
      <c r="U138" s="154"/>
      <c r="V138" s="520" t="str">
        <f>IF(U138="","",IF(VLOOKUP(U138,'G-3 Multipliers'!$L$3:$N$6,2,FALSE)=0,"Spatial Data Missing ⚠",VLOOKUP(U138,'G-3 Multipliers'!$L$3:$N$6,2,FALSE)))</f>
        <v/>
      </c>
      <c r="W138" s="524"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8"/>
        <v/>
      </c>
      <c r="AD138" s="537" t="str">
        <f>IF(M138="","",VLOOKUP(M138,'G-6 Hedgerow Data'!$B$3:$AG$15,31,FALSE))</f>
        <v/>
      </c>
      <c r="AE138" s="507" t="str">
        <f t="shared" si="13"/>
        <v/>
      </c>
      <c r="AF138" s="507" t="str">
        <f t="shared" si="14"/>
        <v/>
      </c>
      <c r="AG138" s="524" t="str">
        <f>IFERROR(IF(O138="","",VLOOKUP(AD138,'G-3 Multipliers'!$P$3:$Q$6,2,FALSE)),"")</f>
        <v/>
      </c>
      <c r="AH138" s="513" t="str">
        <f t="shared" si="9"/>
        <v/>
      </c>
      <c r="AI138" s="231"/>
      <c r="AJ138" s="150"/>
      <c r="AT138" s="31" t="str">
        <f>IFERROR(INDEX('G-6 Hedgerow Data'!$BJ$3:$BJ$15,MATCH(M138,'G-6 Hedgerow Data'!$B$3:$B$15,0)),"")</f>
        <v/>
      </c>
    </row>
    <row r="139" spans="2:46" ht="13.8" x14ac:dyDescent="0.25">
      <c r="B139" s="531" t="str">
        <f>'B-1 Site Hedge Baseline'!AK137</f>
        <v/>
      </c>
      <c r="C139" s="520" t="str">
        <f>IF(B139="","",IF(ISNA(VLOOKUP($B139,'B-1 Site Hedge Baseline'!$B$1:$L$257,3,FALSE)),"",(VLOOKUP($B139,'B-1 Site Hedge Baseline'!$B$1:$L$257,3,FALSE))))</f>
        <v/>
      </c>
      <c r="D139" s="520" t="str">
        <f>IF(B139="","",IF(ISNA(VLOOKUP($B139,'B-1 Site Hedge Baseline'!$B$1:$L$257,4,FALSE)),"",(VLOOKUP($B139,'B-1 Site Hedge Baseline'!$B$1:$L$257,4,FALSE))))</f>
        <v/>
      </c>
      <c r="E139" s="520" t="str">
        <f>IF(B139="","",IF(ISNA(VLOOKUP($B139,'B-1 Site Hedge Baseline'!$B$1:$L$257,5,FALSE)),"",(VLOOKUP($B139,'B-1 Site Hedge Baseline'!$B$1:$L$257,5,FALSE))))</f>
        <v/>
      </c>
      <c r="F139" s="520" t="str">
        <f>IF(B139="","",IF(ISNA(VLOOKUP($B139,'B-1 Site Hedge Baseline'!$B$1:$L$257,6,FALSE)),"",(VLOOKUP($B139,'B-1 Site Hedge Baseline'!$B$1:$L$257,6,FALSE))))</f>
        <v/>
      </c>
      <c r="G139" s="520" t="str">
        <f>IF(B139="","",IF(ISNA(VLOOKUP($B139,'B-1 Site Hedge Baseline'!$B$1:$L$257,7,FALSE)),"",(VLOOKUP($B139,'B-1 Site Hedge Baseline'!$B$1:$L$257,7,FALSE))))</f>
        <v/>
      </c>
      <c r="H139" s="520" t="str">
        <f>IF(B139="","",IF(ISNA(VLOOKUP($B139,'B-1 Site Hedge Baseline'!$B$1:$L$257,8,FALSE)),"",(VLOOKUP($B139,'B-1 Site Hedge Baseline'!$B$1:$L$257,8,FALSE))))</f>
        <v/>
      </c>
      <c r="I139" s="520" t="str">
        <f>IF(B139="","",IF(ISNA(VLOOKUP($B139,'B-1 Site Hedge Baseline'!$B$1:$L$257,10,FALSE)),"",(VLOOKUP($B139,'B-1 Site Hedge Baseline'!$B$1:$L$257,10,FALSE))))</f>
        <v/>
      </c>
      <c r="J139" s="520" t="str">
        <f>IF(B139="","",IF(ISNA(VLOOKUP($B139,'B-1 Site Hedge Baseline'!$B$1:$L$257,11,FALSE)),"",(VLOOKUP($B139,'B-1 Site Hedge Baseline'!$B$1:$L$257,11,FALSE))))</f>
        <v/>
      </c>
      <c r="K139" s="520" t="str">
        <f>IF(B139="","",IF(ISNA(VLOOKUP($B139,'B-1 Site Hedge Baseline'!$B$1:$U$257,13,FALSE)),"",(VLOOKUP($B139,'B-1 Site Hedge Baseline'!$B$1:$U$257,13,FALSE))))</f>
        <v/>
      </c>
      <c r="L139" s="524" t="str">
        <f>IF(B139="","",IF(ISNA(VLOOKUP($B139,'B-1 Site Hedge Baseline'!$B$1:$U$257,12,FALSE)),"",(VLOOKUP($B139,'B-1 Site Hedge Baseline'!$B$1:$U$257,12,FALSE))))</f>
        <v/>
      </c>
      <c r="M139" s="416" t="str">
        <f t="shared" si="15"/>
        <v/>
      </c>
      <c r="N139" s="498" t="str">
        <f>IFERROR(IF(B139="","",INDEX('G-6 Hedgerow Data'!$AN$3:$AZ$15,MATCH(C139,'G-6 Hedgerow Data'!$AM$3:$AM$15,0),MATCH(M139,'G-6 Hedgerow Data'!$AN$2:$AZ$2,0))),"")</f>
        <v/>
      </c>
      <c r="O139" s="499" t="str">
        <f t="shared" si="10"/>
        <v/>
      </c>
      <c r="P139" s="559" t="str">
        <f>IF(B139="","",VLOOKUP(B139,'B-1 Site Hedge Baseline'!$B$10:T384,16,FALSE))</f>
        <v/>
      </c>
      <c r="Q139" s="498" t="str">
        <f>IF(M139="","",VLOOKUP(M139,'G-6 Hedgerow Data'!$B$2:$AG$15,2,FALSE))</f>
        <v/>
      </c>
      <c r="R139" s="499" t="str">
        <f>IF(M139="","",VLOOKUP(M139,'G-6 Hedgerow Data'!$B$2:$AG$15,3,FALSE))</f>
        <v/>
      </c>
      <c r="S139" s="157"/>
      <c r="T139" s="540" t="str">
        <f>IFERROR(VLOOKUP(S139,'G-1 All Habitats'!$Z$2:$AA$9,2,FALSE),"")</f>
        <v/>
      </c>
      <c r="U139" s="154"/>
      <c r="V139" s="520" t="str">
        <f>IF(U139="","",IF(VLOOKUP(U139,'G-3 Multipliers'!$L$3:$N$6,2,FALSE)=0,"Spatial Data Missing ⚠",VLOOKUP(U139,'G-3 Multipliers'!$L$3:$N$6,2,FALSE)))</f>
        <v/>
      </c>
      <c r="W139" s="524"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8"/>
        <v/>
      </c>
      <c r="AD139" s="537" t="str">
        <f>IF(M139="","",VLOOKUP(M139,'G-6 Hedgerow Data'!$B$3:$AG$15,31,FALSE))</f>
        <v/>
      </c>
      <c r="AE139" s="507" t="str">
        <f t="shared" si="13"/>
        <v/>
      </c>
      <c r="AF139" s="507" t="str">
        <f t="shared" si="14"/>
        <v/>
      </c>
      <c r="AG139" s="524" t="str">
        <f>IFERROR(IF(O139="","",VLOOKUP(AD139,'G-3 Multipliers'!$P$3:$Q$6,2,FALSE)),"")</f>
        <v/>
      </c>
      <c r="AH139" s="513" t="str">
        <f t="shared" si="9"/>
        <v/>
      </c>
      <c r="AI139" s="231"/>
      <c r="AJ139" s="150"/>
      <c r="AT139" s="31" t="str">
        <f>IFERROR(INDEX('G-6 Hedgerow Data'!$BJ$3:$BJ$15,MATCH(M139,'G-6 Hedgerow Data'!$B$3:$B$15,0)),"")</f>
        <v/>
      </c>
    </row>
    <row r="140" spans="2:46" ht="13.8" x14ac:dyDescent="0.25">
      <c r="B140" s="531" t="str">
        <f>'B-1 Site Hedge Baseline'!AK138</f>
        <v/>
      </c>
      <c r="C140" s="520" t="str">
        <f>IF(B140="","",IF(ISNA(VLOOKUP($B140,'B-1 Site Hedge Baseline'!$B$1:$L$257,3,FALSE)),"",(VLOOKUP($B140,'B-1 Site Hedge Baseline'!$B$1:$L$257,3,FALSE))))</f>
        <v/>
      </c>
      <c r="D140" s="520" t="str">
        <f>IF(B140="","",IF(ISNA(VLOOKUP($B140,'B-1 Site Hedge Baseline'!$B$1:$L$257,4,FALSE)),"",(VLOOKUP($B140,'B-1 Site Hedge Baseline'!$B$1:$L$257,4,FALSE))))</f>
        <v/>
      </c>
      <c r="E140" s="520" t="str">
        <f>IF(B140="","",IF(ISNA(VLOOKUP($B140,'B-1 Site Hedge Baseline'!$B$1:$L$257,5,FALSE)),"",(VLOOKUP($B140,'B-1 Site Hedge Baseline'!$B$1:$L$257,5,FALSE))))</f>
        <v/>
      </c>
      <c r="F140" s="520" t="str">
        <f>IF(B140="","",IF(ISNA(VLOOKUP($B140,'B-1 Site Hedge Baseline'!$B$1:$L$257,6,FALSE)),"",(VLOOKUP($B140,'B-1 Site Hedge Baseline'!$B$1:$L$257,6,FALSE))))</f>
        <v/>
      </c>
      <c r="G140" s="520" t="str">
        <f>IF(B140="","",IF(ISNA(VLOOKUP($B140,'B-1 Site Hedge Baseline'!$B$1:$L$257,7,FALSE)),"",(VLOOKUP($B140,'B-1 Site Hedge Baseline'!$B$1:$L$257,7,FALSE))))</f>
        <v/>
      </c>
      <c r="H140" s="520" t="str">
        <f>IF(B140="","",IF(ISNA(VLOOKUP($B140,'B-1 Site Hedge Baseline'!$B$1:$L$257,8,FALSE)),"",(VLOOKUP($B140,'B-1 Site Hedge Baseline'!$B$1:$L$257,8,FALSE))))</f>
        <v/>
      </c>
      <c r="I140" s="520" t="str">
        <f>IF(B140="","",IF(ISNA(VLOOKUP($B140,'B-1 Site Hedge Baseline'!$B$1:$L$257,10,FALSE)),"",(VLOOKUP($B140,'B-1 Site Hedge Baseline'!$B$1:$L$257,10,FALSE))))</f>
        <v/>
      </c>
      <c r="J140" s="520" t="str">
        <f>IF(B140="","",IF(ISNA(VLOOKUP($B140,'B-1 Site Hedge Baseline'!$B$1:$L$257,11,FALSE)),"",(VLOOKUP($B140,'B-1 Site Hedge Baseline'!$B$1:$L$257,11,FALSE))))</f>
        <v/>
      </c>
      <c r="K140" s="520" t="str">
        <f>IF(B140="","",IF(ISNA(VLOOKUP($B140,'B-1 Site Hedge Baseline'!$B$1:$U$257,13,FALSE)),"",(VLOOKUP($B140,'B-1 Site Hedge Baseline'!$B$1:$U$257,13,FALSE))))</f>
        <v/>
      </c>
      <c r="L140" s="524" t="str">
        <f>IF(B140="","",IF(ISNA(VLOOKUP($B140,'B-1 Site Hedge Baseline'!$B$1:$U$257,12,FALSE)),"",(VLOOKUP($B140,'B-1 Site Hedge Baseline'!$B$1:$U$257,12,FALSE))))</f>
        <v/>
      </c>
      <c r="M140" s="416" t="str">
        <f t="shared" si="15"/>
        <v/>
      </c>
      <c r="N140" s="498" t="str">
        <f>IFERROR(IF(B140="","",INDEX('G-6 Hedgerow Data'!$AN$3:$AZ$15,MATCH(C140,'G-6 Hedgerow Data'!$AM$3:$AM$15,0),MATCH(M140,'G-6 Hedgerow Data'!$AN$2:$AZ$2,0))),"")</f>
        <v/>
      </c>
      <c r="O140" s="499" t="str">
        <f t="shared" si="10"/>
        <v/>
      </c>
      <c r="P140" s="559" t="str">
        <f>IF(B140="","",VLOOKUP(B140,'B-1 Site Hedge Baseline'!$B$10:T385,16,FALSE))</f>
        <v/>
      </c>
      <c r="Q140" s="498" t="str">
        <f>IF(M140="","",VLOOKUP(M140,'G-6 Hedgerow Data'!$B$2:$AG$15,2,FALSE))</f>
        <v/>
      </c>
      <c r="R140" s="499" t="str">
        <f>IF(M140="","",VLOOKUP(M140,'G-6 Hedgerow Data'!$B$2:$AG$15,3,FALSE))</f>
        <v/>
      </c>
      <c r="S140" s="157"/>
      <c r="T140" s="540" t="str">
        <f>IFERROR(VLOOKUP(S140,'G-1 All Habitats'!$Z$2:$AA$9,2,FALSE),"")</f>
        <v/>
      </c>
      <c r="U140" s="154"/>
      <c r="V140" s="520" t="str">
        <f>IF(U140="","",IF(VLOOKUP(U140,'G-3 Multipliers'!$L$3:$N$6,2,FALSE)=0,"Spatial Data Missing ⚠",VLOOKUP(U140,'G-3 Multipliers'!$L$3:$N$6,2,FALSE)))</f>
        <v/>
      </c>
      <c r="W140" s="524"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6">IF(OR(S140="",M140=""),"",IF(LEFT(AB140,5)="Error ▲","Check Data ⚠",IF(AB140="Check Data ⚠","Check Data ⚠",VLOOKUP(AB140,TemporalMultipliers,3,FALSE))))</f>
        <v/>
      </c>
      <c r="AD140" s="537" t="str">
        <f>IF(M140="","",VLOOKUP(M140,'G-6 Hedgerow Data'!$B$3:$AG$15,31,FALSE))</f>
        <v/>
      </c>
      <c r="AE140" s="507" t="str">
        <f t="shared" si="13"/>
        <v/>
      </c>
      <c r="AF140" s="507" t="str">
        <f t="shared" si="14"/>
        <v/>
      </c>
      <c r="AG140" s="524" t="str">
        <f>IFERROR(IF(O140="","",VLOOKUP(AD140,'G-3 Multipliers'!$P$3:$Q$6,2,FALSE)),"")</f>
        <v/>
      </c>
      <c r="AH140" s="513" t="str">
        <f t="shared" ref="AH140:AH203" si="17">IFERROR(IF(OR(M140="",S140="",U140=""),"",(((((P140*R140*T140)-(P140*F140*H140))*(AG140*AC140))+(P140*F140*H140))*(W140))),"")</f>
        <v/>
      </c>
      <c r="AI140" s="231"/>
      <c r="AJ140" s="150"/>
      <c r="AT140" s="31" t="str">
        <f>IFERROR(INDEX('G-6 Hedgerow Data'!$BJ$3:$BJ$15,MATCH(M140,'G-6 Hedgerow Data'!$B$3:$B$15,0)),"")</f>
        <v/>
      </c>
    </row>
    <row r="141" spans="2:46" ht="13.8" x14ac:dyDescent="0.25">
      <c r="B141" s="531" t="str">
        <f>'B-1 Site Hedge Baseline'!AK139</f>
        <v/>
      </c>
      <c r="C141" s="520" t="str">
        <f>IF(B141="","",IF(ISNA(VLOOKUP($B141,'B-1 Site Hedge Baseline'!$B$1:$L$257,3,FALSE)),"",(VLOOKUP($B141,'B-1 Site Hedge Baseline'!$B$1:$L$257,3,FALSE))))</f>
        <v/>
      </c>
      <c r="D141" s="520" t="str">
        <f>IF(B141="","",IF(ISNA(VLOOKUP($B141,'B-1 Site Hedge Baseline'!$B$1:$L$257,4,FALSE)),"",(VLOOKUP($B141,'B-1 Site Hedge Baseline'!$B$1:$L$257,4,FALSE))))</f>
        <v/>
      </c>
      <c r="E141" s="520" t="str">
        <f>IF(B141="","",IF(ISNA(VLOOKUP($B141,'B-1 Site Hedge Baseline'!$B$1:$L$257,5,FALSE)),"",(VLOOKUP($B141,'B-1 Site Hedge Baseline'!$B$1:$L$257,5,FALSE))))</f>
        <v/>
      </c>
      <c r="F141" s="520" t="str">
        <f>IF(B141="","",IF(ISNA(VLOOKUP($B141,'B-1 Site Hedge Baseline'!$B$1:$L$257,6,FALSE)),"",(VLOOKUP($B141,'B-1 Site Hedge Baseline'!$B$1:$L$257,6,FALSE))))</f>
        <v/>
      </c>
      <c r="G141" s="520" t="str">
        <f>IF(B141="","",IF(ISNA(VLOOKUP($B141,'B-1 Site Hedge Baseline'!$B$1:$L$257,7,FALSE)),"",(VLOOKUP($B141,'B-1 Site Hedge Baseline'!$B$1:$L$257,7,FALSE))))</f>
        <v/>
      </c>
      <c r="H141" s="520" t="str">
        <f>IF(B141="","",IF(ISNA(VLOOKUP($B141,'B-1 Site Hedge Baseline'!$B$1:$L$257,8,FALSE)),"",(VLOOKUP($B141,'B-1 Site Hedge Baseline'!$B$1:$L$257,8,FALSE))))</f>
        <v/>
      </c>
      <c r="I141" s="520" t="str">
        <f>IF(B141="","",IF(ISNA(VLOOKUP($B141,'B-1 Site Hedge Baseline'!$B$1:$L$257,10,FALSE)),"",(VLOOKUP($B141,'B-1 Site Hedge Baseline'!$B$1:$L$257,10,FALSE))))</f>
        <v/>
      </c>
      <c r="J141" s="520" t="str">
        <f>IF(B141="","",IF(ISNA(VLOOKUP($B141,'B-1 Site Hedge Baseline'!$B$1:$L$257,11,FALSE)),"",(VLOOKUP($B141,'B-1 Site Hedge Baseline'!$B$1:$L$257,11,FALSE))))</f>
        <v/>
      </c>
      <c r="K141" s="520" t="str">
        <f>IF(B141="","",IF(ISNA(VLOOKUP($B141,'B-1 Site Hedge Baseline'!$B$1:$U$257,13,FALSE)),"",(VLOOKUP($B141,'B-1 Site Hedge Baseline'!$B$1:$U$257,13,FALSE))))</f>
        <v/>
      </c>
      <c r="L141" s="524" t="str">
        <f>IF(B141="","",IF(ISNA(VLOOKUP($B141,'B-1 Site Hedge Baseline'!$B$1:$U$257,12,FALSE)),"",(VLOOKUP($B141,'B-1 Site Hedge Baseline'!$B$1:$U$257,12,FALSE))))</f>
        <v/>
      </c>
      <c r="M141" s="416" t="str">
        <f t="shared" si="15"/>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9" t="str">
        <f>IF(B141="","",VLOOKUP(B141,'B-1 Site Hedge Baseline'!$B$10:T386,16,FALSE))</f>
        <v/>
      </c>
      <c r="Q141" s="498" t="str">
        <f>IF(M141="","",VLOOKUP(M141,'G-6 Hedgerow Data'!$B$2:$AG$15,2,FALSE))</f>
        <v/>
      </c>
      <c r="R141" s="499" t="str">
        <f>IF(M141="","",VLOOKUP(M141,'G-6 Hedgerow Data'!$B$2:$AG$15,3,FALSE))</f>
        <v/>
      </c>
      <c r="S141" s="157"/>
      <c r="T141" s="540" t="str">
        <f>IFERROR(VLOOKUP(S141,'G-1 All Habitats'!$Z$2:$AA$9,2,FALSE),"")</f>
        <v/>
      </c>
      <c r="U141" s="154"/>
      <c r="V141" s="520" t="str">
        <f>IF(U141="","",IF(VLOOKUP(U141,'G-3 Multipliers'!$L$3:$N$6,2,FALSE)=0,"Spatial Data Missing ⚠",VLOOKUP(U141,'G-3 Multipliers'!$L$3:$N$6,2,FALSE)))</f>
        <v/>
      </c>
      <c r="W141" s="524"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⚠",IF(Y141="30+",0,IF(Z141="30+","30+ ⚠",IF(X141+Z141&gt;30,"30+ ⚠",IF(LEFT(AA141,5)="Error ▲","Check Data ⚠",IF(X141+Z141-Y141&gt;0,X141+Z141-Y141,IF(X141-Y141&lt;=0,0,))))))))</f>
        <v/>
      </c>
      <c r="AC141" s="522" t="str">
        <f t="shared" si="16"/>
        <v/>
      </c>
      <c r="AD141" s="537" t="str">
        <f>IF(M141="","",VLOOKUP(M141,'G-6 Hedgerow Data'!$B$3:$AG$15,31,FALSE))</f>
        <v/>
      </c>
      <c r="AE141" s="507"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7" t="str">
        <f t="shared" ref="AF141:AF204" si="22">(IF(AND(AE141="Standard difficulty applied",X141&gt;Y141),AD141,IF(AND(AE141="Low Difficulty - only applicable if all habitat created before losses ⚠",Y141&gt;=X141),"Low",AD141)))</f>
        <v/>
      </c>
      <c r="AG141" s="524" t="str">
        <f>IFERROR(IF(O141="","",VLOOKUP(AD141,'G-3 Multipliers'!$P$3:$Q$6,2,FALSE)),"")</f>
        <v/>
      </c>
      <c r="AH141" s="513" t="str">
        <f t="shared" si="17"/>
        <v/>
      </c>
      <c r="AI141" s="231"/>
      <c r="AJ141" s="150"/>
      <c r="AT141" s="31" t="str">
        <f>IFERROR(INDEX('G-6 Hedgerow Data'!$BJ$3:$BJ$15,MATCH(M141,'G-6 Hedgerow Data'!$B$3:$B$15,0)),"")</f>
        <v/>
      </c>
    </row>
    <row r="142" spans="2:46" ht="13.8" x14ac:dyDescent="0.25">
      <c r="B142" s="531" t="str">
        <f>'B-1 Site Hedge Baseline'!AK140</f>
        <v/>
      </c>
      <c r="C142" s="520" t="str">
        <f>IF(B142="","",IF(ISNA(VLOOKUP($B142,'B-1 Site Hedge Baseline'!$B$1:$L$257,3,FALSE)),"",(VLOOKUP($B142,'B-1 Site Hedge Baseline'!$B$1:$L$257,3,FALSE))))</f>
        <v/>
      </c>
      <c r="D142" s="520" t="str">
        <f>IF(B142="","",IF(ISNA(VLOOKUP($B142,'B-1 Site Hedge Baseline'!$B$1:$L$257,4,FALSE)),"",(VLOOKUP($B142,'B-1 Site Hedge Baseline'!$B$1:$L$257,4,FALSE))))</f>
        <v/>
      </c>
      <c r="E142" s="520" t="str">
        <f>IF(B142="","",IF(ISNA(VLOOKUP($B142,'B-1 Site Hedge Baseline'!$B$1:$L$257,5,FALSE)),"",(VLOOKUP($B142,'B-1 Site Hedge Baseline'!$B$1:$L$257,5,FALSE))))</f>
        <v/>
      </c>
      <c r="F142" s="520" t="str">
        <f>IF(B142="","",IF(ISNA(VLOOKUP($B142,'B-1 Site Hedge Baseline'!$B$1:$L$257,6,FALSE)),"",(VLOOKUP($B142,'B-1 Site Hedge Baseline'!$B$1:$L$257,6,FALSE))))</f>
        <v/>
      </c>
      <c r="G142" s="520" t="str">
        <f>IF(B142="","",IF(ISNA(VLOOKUP($B142,'B-1 Site Hedge Baseline'!$B$1:$L$257,7,FALSE)),"",(VLOOKUP($B142,'B-1 Site Hedge Baseline'!$B$1:$L$257,7,FALSE))))</f>
        <v/>
      </c>
      <c r="H142" s="520" t="str">
        <f>IF(B142="","",IF(ISNA(VLOOKUP($B142,'B-1 Site Hedge Baseline'!$B$1:$L$257,8,FALSE)),"",(VLOOKUP($B142,'B-1 Site Hedge Baseline'!$B$1:$L$257,8,FALSE))))</f>
        <v/>
      </c>
      <c r="I142" s="520" t="str">
        <f>IF(B142="","",IF(ISNA(VLOOKUP($B142,'B-1 Site Hedge Baseline'!$B$1:$L$257,10,FALSE)),"",(VLOOKUP($B142,'B-1 Site Hedge Baseline'!$B$1:$L$257,10,FALSE))))</f>
        <v/>
      </c>
      <c r="J142" s="520" t="str">
        <f>IF(B142="","",IF(ISNA(VLOOKUP($B142,'B-1 Site Hedge Baseline'!$B$1:$L$257,11,FALSE)),"",(VLOOKUP($B142,'B-1 Site Hedge Baseline'!$B$1:$L$257,11,FALSE))))</f>
        <v/>
      </c>
      <c r="K142" s="520" t="str">
        <f>IF(B142="","",IF(ISNA(VLOOKUP($B142,'B-1 Site Hedge Baseline'!$B$1:$U$257,13,FALSE)),"",(VLOOKUP($B142,'B-1 Site Hedge Baseline'!$B$1:$U$257,13,FALSE))))</f>
        <v/>
      </c>
      <c r="L142" s="524" t="str">
        <f>IF(B142="","",IF(ISNA(VLOOKUP($B142,'B-1 Site Hedge Baseline'!$B$1:$U$257,12,FALSE)),"",(VLOOKUP($B142,'B-1 Site Hedge Baseline'!$B$1:$U$257,12,FALSE))))</f>
        <v/>
      </c>
      <c r="M142" s="416" t="str">
        <f t="shared" ref="M142:M205" si="23">IF(B142="","",C142)</f>
        <v/>
      </c>
      <c r="N142" s="498" t="str">
        <f>IFERROR(IF(B142="","",INDEX('G-6 Hedgerow Data'!$AN$3:$AZ$15,MATCH(C142,'G-6 Hedgerow Data'!$AM$3:$AM$15,0),MATCH(M142,'G-6 Hedgerow Data'!$AN$2:$AZ$2,0))),"")</f>
        <v/>
      </c>
      <c r="O142" s="499" t="str">
        <f t="shared" si="18"/>
        <v/>
      </c>
      <c r="P142" s="559" t="str">
        <f>IF(B142="","",VLOOKUP(B142,'B-1 Site Hedge Baseline'!$B$10:T387,16,FALSE))</f>
        <v/>
      </c>
      <c r="Q142" s="498" t="str">
        <f>IF(M142="","",VLOOKUP(M142,'G-6 Hedgerow Data'!$B$2:$AG$15,2,FALSE))</f>
        <v/>
      </c>
      <c r="R142" s="499" t="str">
        <f>IF(M142="","",VLOOKUP(M142,'G-6 Hedgerow Data'!$B$2:$AG$15,3,FALSE))</f>
        <v/>
      </c>
      <c r="S142" s="157"/>
      <c r="T142" s="540" t="str">
        <f>IFERROR(VLOOKUP(S142,'G-1 All Habitats'!$Z$2:$AA$9,2,FALSE),"")</f>
        <v/>
      </c>
      <c r="U142" s="154"/>
      <c r="V142" s="520" t="str">
        <f>IF(U142="","",IF(VLOOKUP(U142,'G-3 Multipliers'!$L$3:$N$6,2,FALSE)=0,"Spatial Data Missing ⚠",VLOOKUP(U142,'G-3 Multipliers'!$L$3:$N$6,2,FALSE)))</f>
        <v/>
      </c>
      <c r="W142" s="524"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6"/>
        <v/>
      </c>
      <c r="AD142" s="537" t="str">
        <f>IF(M142="","",VLOOKUP(M142,'G-6 Hedgerow Data'!$B$3:$AG$15,31,FALSE))</f>
        <v/>
      </c>
      <c r="AE142" s="507" t="str">
        <f t="shared" si="21"/>
        <v/>
      </c>
      <c r="AF142" s="507" t="str">
        <f t="shared" si="22"/>
        <v/>
      </c>
      <c r="AG142" s="524" t="str">
        <f>IFERROR(IF(O142="","",VLOOKUP(AD142,'G-3 Multipliers'!$P$3:$Q$6,2,FALSE)),"")</f>
        <v/>
      </c>
      <c r="AH142" s="513" t="str">
        <f t="shared" si="17"/>
        <v/>
      </c>
      <c r="AI142" s="231"/>
      <c r="AJ142" s="150"/>
      <c r="AT142" s="31" t="str">
        <f>IFERROR(INDEX('G-6 Hedgerow Data'!$BJ$3:$BJ$15,MATCH(M142,'G-6 Hedgerow Data'!$B$3:$B$15,0)),"")</f>
        <v/>
      </c>
    </row>
    <row r="143" spans="2:46" ht="13.8" x14ac:dyDescent="0.25">
      <c r="B143" s="531" t="str">
        <f>'B-1 Site Hedge Baseline'!AK141</f>
        <v/>
      </c>
      <c r="C143" s="520" t="str">
        <f>IF(B143="","",IF(ISNA(VLOOKUP($B143,'B-1 Site Hedge Baseline'!$B$1:$L$257,3,FALSE)),"",(VLOOKUP($B143,'B-1 Site Hedge Baseline'!$B$1:$L$257,3,FALSE))))</f>
        <v/>
      </c>
      <c r="D143" s="520" t="str">
        <f>IF(B143="","",IF(ISNA(VLOOKUP($B143,'B-1 Site Hedge Baseline'!$B$1:$L$257,4,FALSE)),"",(VLOOKUP($B143,'B-1 Site Hedge Baseline'!$B$1:$L$257,4,FALSE))))</f>
        <v/>
      </c>
      <c r="E143" s="520" t="str">
        <f>IF(B143="","",IF(ISNA(VLOOKUP($B143,'B-1 Site Hedge Baseline'!$B$1:$L$257,5,FALSE)),"",(VLOOKUP($B143,'B-1 Site Hedge Baseline'!$B$1:$L$257,5,FALSE))))</f>
        <v/>
      </c>
      <c r="F143" s="520" t="str">
        <f>IF(B143="","",IF(ISNA(VLOOKUP($B143,'B-1 Site Hedge Baseline'!$B$1:$L$257,6,FALSE)),"",(VLOOKUP($B143,'B-1 Site Hedge Baseline'!$B$1:$L$257,6,FALSE))))</f>
        <v/>
      </c>
      <c r="G143" s="520" t="str">
        <f>IF(B143="","",IF(ISNA(VLOOKUP($B143,'B-1 Site Hedge Baseline'!$B$1:$L$257,7,FALSE)),"",(VLOOKUP($B143,'B-1 Site Hedge Baseline'!$B$1:$L$257,7,FALSE))))</f>
        <v/>
      </c>
      <c r="H143" s="520" t="str">
        <f>IF(B143="","",IF(ISNA(VLOOKUP($B143,'B-1 Site Hedge Baseline'!$B$1:$L$257,8,FALSE)),"",(VLOOKUP($B143,'B-1 Site Hedge Baseline'!$B$1:$L$257,8,FALSE))))</f>
        <v/>
      </c>
      <c r="I143" s="520" t="str">
        <f>IF(B143="","",IF(ISNA(VLOOKUP($B143,'B-1 Site Hedge Baseline'!$B$1:$L$257,10,FALSE)),"",(VLOOKUP($B143,'B-1 Site Hedge Baseline'!$B$1:$L$257,10,FALSE))))</f>
        <v/>
      </c>
      <c r="J143" s="520" t="str">
        <f>IF(B143="","",IF(ISNA(VLOOKUP($B143,'B-1 Site Hedge Baseline'!$B$1:$L$257,11,FALSE)),"",(VLOOKUP($B143,'B-1 Site Hedge Baseline'!$B$1:$L$257,11,FALSE))))</f>
        <v/>
      </c>
      <c r="K143" s="520" t="str">
        <f>IF(B143="","",IF(ISNA(VLOOKUP($B143,'B-1 Site Hedge Baseline'!$B$1:$U$257,13,FALSE)),"",(VLOOKUP($B143,'B-1 Site Hedge Baseline'!$B$1:$U$257,13,FALSE))))</f>
        <v/>
      </c>
      <c r="L143" s="524" t="str">
        <f>IF(B143="","",IF(ISNA(VLOOKUP($B143,'B-1 Site Hedge Baseline'!$B$1:$U$257,12,FALSE)),"",(VLOOKUP($B143,'B-1 Site Hedge Baseline'!$B$1:$U$257,12,FALSE))))</f>
        <v/>
      </c>
      <c r="M143" s="416" t="str">
        <f t="shared" si="23"/>
        <v/>
      </c>
      <c r="N143" s="498" t="str">
        <f>IFERROR(IF(B143="","",INDEX('G-6 Hedgerow Data'!$AN$3:$AZ$15,MATCH(C143,'G-6 Hedgerow Data'!$AM$3:$AM$15,0),MATCH(M143,'G-6 Hedgerow Data'!$AN$2:$AZ$2,0))),"")</f>
        <v/>
      </c>
      <c r="O143" s="499" t="str">
        <f t="shared" si="18"/>
        <v/>
      </c>
      <c r="P143" s="559" t="str">
        <f>IF(B143="","",VLOOKUP(B143,'B-1 Site Hedge Baseline'!$B$10:T388,16,FALSE))</f>
        <v/>
      </c>
      <c r="Q143" s="498" t="str">
        <f>IF(M143="","",VLOOKUP(M143,'G-6 Hedgerow Data'!$B$2:$AG$15,2,FALSE))</f>
        <v/>
      </c>
      <c r="R143" s="499" t="str">
        <f>IF(M143="","",VLOOKUP(M143,'G-6 Hedgerow Data'!$B$2:$AG$15,3,FALSE))</f>
        <v/>
      </c>
      <c r="S143" s="157"/>
      <c r="T143" s="540" t="str">
        <f>IFERROR(VLOOKUP(S143,'G-1 All Habitats'!$Z$2:$AA$9,2,FALSE),"")</f>
        <v/>
      </c>
      <c r="U143" s="154"/>
      <c r="V143" s="520" t="str">
        <f>IF(U143="","",IF(VLOOKUP(U143,'G-3 Multipliers'!$L$3:$N$6,2,FALSE)=0,"Spatial Data Missing ⚠",VLOOKUP(U143,'G-3 Multipliers'!$L$3:$N$6,2,FALSE)))</f>
        <v/>
      </c>
      <c r="W143" s="524"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6"/>
        <v/>
      </c>
      <c r="AD143" s="537" t="str">
        <f>IF(M143="","",VLOOKUP(M143,'G-6 Hedgerow Data'!$B$3:$AG$15,31,FALSE))</f>
        <v/>
      </c>
      <c r="AE143" s="507" t="str">
        <f t="shared" si="21"/>
        <v/>
      </c>
      <c r="AF143" s="507" t="str">
        <f t="shared" si="22"/>
        <v/>
      </c>
      <c r="AG143" s="524" t="str">
        <f>IFERROR(IF(O143="","",VLOOKUP(AD143,'G-3 Multipliers'!$P$3:$Q$6,2,FALSE)),"")</f>
        <v/>
      </c>
      <c r="AH143" s="513" t="str">
        <f t="shared" si="17"/>
        <v/>
      </c>
      <c r="AI143" s="231"/>
      <c r="AJ143" s="150"/>
      <c r="AT143" s="31" t="str">
        <f>IFERROR(INDEX('G-6 Hedgerow Data'!$BJ$3:$BJ$15,MATCH(M143,'G-6 Hedgerow Data'!$B$3:$B$15,0)),"")</f>
        <v/>
      </c>
    </row>
    <row r="144" spans="2:46" ht="13.8" x14ac:dyDescent="0.25">
      <c r="B144" s="531" t="str">
        <f>'B-1 Site Hedge Baseline'!AK142</f>
        <v/>
      </c>
      <c r="C144" s="520" t="str">
        <f>IF(B144="","",IF(ISNA(VLOOKUP($B144,'B-1 Site Hedge Baseline'!$B$1:$L$257,3,FALSE)),"",(VLOOKUP($B144,'B-1 Site Hedge Baseline'!$B$1:$L$257,3,FALSE))))</f>
        <v/>
      </c>
      <c r="D144" s="520" t="str">
        <f>IF(B144="","",IF(ISNA(VLOOKUP($B144,'B-1 Site Hedge Baseline'!$B$1:$L$257,4,FALSE)),"",(VLOOKUP($B144,'B-1 Site Hedge Baseline'!$B$1:$L$257,4,FALSE))))</f>
        <v/>
      </c>
      <c r="E144" s="520" t="str">
        <f>IF(B144="","",IF(ISNA(VLOOKUP($B144,'B-1 Site Hedge Baseline'!$B$1:$L$257,5,FALSE)),"",(VLOOKUP($B144,'B-1 Site Hedge Baseline'!$B$1:$L$257,5,FALSE))))</f>
        <v/>
      </c>
      <c r="F144" s="520" t="str">
        <f>IF(B144="","",IF(ISNA(VLOOKUP($B144,'B-1 Site Hedge Baseline'!$B$1:$L$257,6,FALSE)),"",(VLOOKUP($B144,'B-1 Site Hedge Baseline'!$B$1:$L$257,6,FALSE))))</f>
        <v/>
      </c>
      <c r="G144" s="520" t="str">
        <f>IF(B144="","",IF(ISNA(VLOOKUP($B144,'B-1 Site Hedge Baseline'!$B$1:$L$257,7,FALSE)),"",(VLOOKUP($B144,'B-1 Site Hedge Baseline'!$B$1:$L$257,7,FALSE))))</f>
        <v/>
      </c>
      <c r="H144" s="520" t="str">
        <f>IF(B144="","",IF(ISNA(VLOOKUP($B144,'B-1 Site Hedge Baseline'!$B$1:$L$257,8,FALSE)),"",(VLOOKUP($B144,'B-1 Site Hedge Baseline'!$B$1:$L$257,8,FALSE))))</f>
        <v/>
      </c>
      <c r="I144" s="520" t="str">
        <f>IF(B144="","",IF(ISNA(VLOOKUP($B144,'B-1 Site Hedge Baseline'!$B$1:$L$257,10,FALSE)),"",(VLOOKUP($B144,'B-1 Site Hedge Baseline'!$B$1:$L$257,10,FALSE))))</f>
        <v/>
      </c>
      <c r="J144" s="520" t="str">
        <f>IF(B144="","",IF(ISNA(VLOOKUP($B144,'B-1 Site Hedge Baseline'!$B$1:$L$257,11,FALSE)),"",(VLOOKUP($B144,'B-1 Site Hedge Baseline'!$B$1:$L$257,11,FALSE))))</f>
        <v/>
      </c>
      <c r="K144" s="520" t="str">
        <f>IF(B144="","",IF(ISNA(VLOOKUP($B144,'B-1 Site Hedge Baseline'!$B$1:$U$257,13,FALSE)),"",(VLOOKUP($B144,'B-1 Site Hedge Baseline'!$B$1:$U$257,13,FALSE))))</f>
        <v/>
      </c>
      <c r="L144" s="524" t="str">
        <f>IF(B144="","",IF(ISNA(VLOOKUP($B144,'B-1 Site Hedge Baseline'!$B$1:$U$257,12,FALSE)),"",(VLOOKUP($B144,'B-1 Site Hedge Baseline'!$B$1:$U$257,12,FALSE))))</f>
        <v/>
      </c>
      <c r="M144" s="416" t="str">
        <f t="shared" si="23"/>
        <v/>
      </c>
      <c r="N144" s="498" t="str">
        <f>IFERROR(IF(B144="","",INDEX('G-6 Hedgerow Data'!$AN$3:$AZ$15,MATCH(C144,'G-6 Hedgerow Data'!$AM$3:$AM$15,0),MATCH(M144,'G-6 Hedgerow Data'!$AN$2:$AZ$2,0))),"")</f>
        <v/>
      </c>
      <c r="O144" s="499" t="str">
        <f t="shared" si="18"/>
        <v/>
      </c>
      <c r="P144" s="559" t="str">
        <f>IF(B144="","",VLOOKUP(B144,'B-1 Site Hedge Baseline'!$B$10:T389,16,FALSE))</f>
        <v/>
      </c>
      <c r="Q144" s="498" t="str">
        <f>IF(M144="","",VLOOKUP(M144,'G-6 Hedgerow Data'!$B$2:$AG$15,2,FALSE))</f>
        <v/>
      </c>
      <c r="R144" s="499" t="str">
        <f>IF(M144="","",VLOOKUP(M144,'G-6 Hedgerow Data'!$B$2:$AG$15,3,FALSE))</f>
        <v/>
      </c>
      <c r="S144" s="157"/>
      <c r="T144" s="540" t="str">
        <f>IFERROR(VLOOKUP(S144,'G-1 All Habitats'!$Z$2:$AA$9,2,FALSE),"")</f>
        <v/>
      </c>
      <c r="U144" s="154"/>
      <c r="V144" s="520" t="str">
        <f>IF(U144="","",IF(VLOOKUP(U144,'G-3 Multipliers'!$L$3:$N$6,2,FALSE)=0,"Spatial Data Missing ⚠",VLOOKUP(U144,'G-3 Multipliers'!$L$3:$N$6,2,FALSE)))</f>
        <v/>
      </c>
      <c r="W144" s="524"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6"/>
        <v/>
      </c>
      <c r="AD144" s="537" t="str">
        <f>IF(M144="","",VLOOKUP(M144,'G-6 Hedgerow Data'!$B$3:$AG$15,31,FALSE))</f>
        <v/>
      </c>
      <c r="AE144" s="507" t="str">
        <f t="shared" si="21"/>
        <v/>
      </c>
      <c r="AF144" s="507" t="str">
        <f t="shared" si="22"/>
        <v/>
      </c>
      <c r="AG144" s="524" t="str">
        <f>IFERROR(IF(O144="","",VLOOKUP(AD144,'G-3 Multipliers'!$P$3:$Q$6,2,FALSE)),"")</f>
        <v/>
      </c>
      <c r="AH144" s="513" t="str">
        <f t="shared" si="17"/>
        <v/>
      </c>
      <c r="AI144" s="231"/>
      <c r="AJ144" s="150"/>
      <c r="AT144" s="31" t="str">
        <f>IFERROR(INDEX('G-6 Hedgerow Data'!$BJ$3:$BJ$15,MATCH(M144,'G-6 Hedgerow Data'!$B$3:$B$15,0)),"")</f>
        <v/>
      </c>
    </row>
    <row r="145" spans="2:46" ht="13.8" x14ac:dyDescent="0.25">
      <c r="B145" s="531" t="str">
        <f>'B-1 Site Hedge Baseline'!AK143</f>
        <v/>
      </c>
      <c r="C145" s="520" t="str">
        <f>IF(B145="","",IF(ISNA(VLOOKUP($B145,'B-1 Site Hedge Baseline'!$B$1:$L$257,3,FALSE)),"",(VLOOKUP($B145,'B-1 Site Hedge Baseline'!$B$1:$L$257,3,FALSE))))</f>
        <v/>
      </c>
      <c r="D145" s="520" t="str">
        <f>IF(B145="","",IF(ISNA(VLOOKUP($B145,'B-1 Site Hedge Baseline'!$B$1:$L$257,4,FALSE)),"",(VLOOKUP($B145,'B-1 Site Hedge Baseline'!$B$1:$L$257,4,FALSE))))</f>
        <v/>
      </c>
      <c r="E145" s="520" t="str">
        <f>IF(B145="","",IF(ISNA(VLOOKUP($B145,'B-1 Site Hedge Baseline'!$B$1:$L$257,5,FALSE)),"",(VLOOKUP($B145,'B-1 Site Hedge Baseline'!$B$1:$L$257,5,FALSE))))</f>
        <v/>
      </c>
      <c r="F145" s="520" t="str">
        <f>IF(B145="","",IF(ISNA(VLOOKUP($B145,'B-1 Site Hedge Baseline'!$B$1:$L$257,6,FALSE)),"",(VLOOKUP($B145,'B-1 Site Hedge Baseline'!$B$1:$L$257,6,FALSE))))</f>
        <v/>
      </c>
      <c r="G145" s="520" t="str">
        <f>IF(B145="","",IF(ISNA(VLOOKUP($B145,'B-1 Site Hedge Baseline'!$B$1:$L$257,7,FALSE)),"",(VLOOKUP($B145,'B-1 Site Hedge Baseline'!$B$1:$L$257,7,FALSE))))</f>
        <v/>
      </c>
      <c r="H145" s="520" t="str">
        <f>IF(B145="","",IF(ISNA(VLOOKUP($B145,'B-1 Site Hedge Baseline'!$B$1:$L$257,8,FALSE)),"",(VLOOKUP($B145,'B-1 Site Hedge Baseline'!$B$1:$L$257,8,FALSE))))</f>
        <v/>
      </c>
      <c r="I145" s="520" t="str">
        <f>IF(B145="","",IF(ISNA(VLOOKUP($B145,'B-1 Site Hedge Baseline'!$B$1:$L$257,10,FALSE)),"",(VLOOKUP($B145,'B-1 Site Hedge Baseline'!$B$1:$L$257,10,FALSE))))</f>
        <v/>
      </c>
      <c r="J145" s="520" t="str">
        <f>IF(B145="","",IF(ISNA(VLOOKUP($B145,'B-1 Site Hedge Baseline'!$B$1:$L$257,11,FALSE)),"",(VLOOKUP($B145,'B-1 Site Hedge Baseline'!$B$1:$L$257,11,FALSE))))</f>
        <v/>
      </c>
      <c r="K145" s="520" t="str">
        <f>IF(B145="","",IF(ISNA(VLOOKUP($B145,'B-1 Site Hedge Baseline'!$B$1:$U$257,13,FALSE)),"",(VLOOKUP($B145,'B-1 Site Hedge Baseline'!$B$1:$U$257,13,FALSE))))</f>
        <v/>
      </c>
      <c r="L145" s="524" t="str">
        <f>IF(B145="","",IF(ISNA(VLOOKUP($B145,'B-1 Site Hedge Baseline'!$B$1:$U$257,12,FALSE)),"",(VLOOKUP($B145,'B-1 Site Hedge Baseline'!$B$1:$U$257,12,FALSE))))</f>
        <v/>
      </c>
      <c r="M145" s="416" t="str">
        <f t="shared" si="23"/>
        <v/>
      </c>
      <c r="N145" s="498" t="str">
        <f>IFERROR(IF(B145="","",INDEX('G-6 Hedgerow Data'!$AN$3:$AZ$15,MATCH(C145,'G-6 Hedgerow Data'!$AM$3:$AM$15,0),MATCH(M145,'G-6 Hedgerow Data'!$AN$2:$AZ$2,0))),"")</f>
        <v/>
      </c>
      <c r="O145" s="499" t="str">
        <f t="shared" si="18"/>
        <v/>
      </c>
      <c r="P145" s="559" t="str">
        <f>IF(B145="","",VLOOKUP(B145,'B-1 Site Hedge Baseline'!$B$10:T390,16,FALSE))</f>
        <v/>
      </c>
      <c r="Q145" s="498" t="str">
        <f>IF(M145="","",VLOOKUP(M145,'G-6 Hedgerow Data'!$B$2:$AG$15,2,FALSE))</f>
        <v/>
      </c>
      <c r="R145" s="499" t="str">
        <f>IF(M145="","",VLOOKUP(M145,'G-6 Hedgerow Data'!$B$2:$AG$15,3,FALSE))</f>
        <v/>
      </c>
      <c r="S145" s="157"/>
      <c r="T145" s="540" t="str">
        <f>IFERROR(VLOOKUP(S145,'G-1 All Habitats'!$Z$2:$AA$9,2,FALSE),"")</f>
        <v/>
      </c>
      <c r="U145" s="154"/>
      <c r="V145" s="520" t="str">
        <f>IF(U145="","",IF(VLOOKUP(U145,'G-3 Multipliers'!$L$3:$N$6,2,FALSE)=0,"Spatial Data Missing ⚠",VLOOKUP(U145,'G-3 Multipliers'!$L$3:$N$6,2,FALSE)))</f>
        <v/>
      </c>
      <c r="W145" s="524"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6"/>
        <v/>
      </c>
      <c r="AD145" s="537" t="str">
        <f>IF(M145="","",VLOOKUP(M145,'G-6 Hedgerow Data'!$B$3:$AG$15,31,FALSE))</f>
        <v/>
      </c>
      <c r="AE145" s="507" t="str">
        <f t="shared" si="21"/>
        <v/>
      </c>
      <c r="AF145" s="507" t="str">
        <f t="shared" si="22"/>
        <v/>
      </c>
      <c r="AG145" s="524" t="str">
        <f>IFERROR(IF(O145="","",VLOOKUP(AD145,'G-3 Multipliers'!$P$3:$Q$6,2,FALSE)),"")</f>
        <v/>
      </c>
      <c r="AH145" s="513" t="str">
        <f t="shared" si="17"/>
        <v/>
      </c>
      <c r="AI145" s="231"/>
      <c r="AJ145" s="150"/>
      <c r="AT145" s="31" t="str">
        <f>IFERROR(INDEX('G-6 Hedgerow Data'!$BJ$3:$BJ$15,MATCH(M145,'G-6 Hedgerow Data'!$B$3:$B$15,0)),"")</f>
        <v/>
      </c>
    </row>
    <row r="146" spans="2:46" ht="13.8" x14ac:dyDescent="0.25">
      <c r="B146" s="531" t="str">
        <f>'B-1 Site Hedge Baseline'!AK144</f>
        <v/>
      </c>
      <c r="C146" s="520" t="str">
        <f>IF(B146="","",IF(ISNA(VLOOKUP($B146,'B-1 Site Hedge Baseline'!$B$1:$L$257,3,FALSE)),"",(VLOOKUP($B146,'B-1 Site Hedge Baseline'!$B$1:$L$257,3,FALSE))))</f>
        <v/>
      </c>
      <c r="D146" s="520" t="str">
        <f>IF(B146="","",IF(ISNA(VLOOKUP($B146,'B-1 Site Hedge Baseline'!$B$1:$L$257,4,FALSE)),"",(VLOOKUP($B146,'B-1 Site Hedge Baseline'!$B$1:$L$257,4,FALSE))))</f>
        <v/>
      </c>
      <c r="E146" s="520" t="str">
        <f>IF(B146="","",IF(ISNA(VLOOKUP($B146,'B-1 Site Hedge Baseline'!$B$1:$L$257,5,FALSE)),"",(VLOOKUP($B146,'B-1 Site Hedge Baseline'!$B$1:$L$257,5,FALSE))))</f>
        <v/>
      </c>
      <c r="F146" s="520" t="str">
        <f>IF(B146="","",IF(ISNA(VLOOKUP($B146,'B-1 Site Hedge Baseline'!$B$1:$L$257,6,FALSE)),"",(VLOOKUP($B146,'B-1 Site Hedge Baseline'!$B$1:$L$257,6,FALSE))))</f>
        <v/>
      </c>
      <c r="G146" s="520" t="str">
        <f>IF(B146="","",IF(ISNA(VLOOKUP($B146,'B-1 Site Hedge Baseline'!$B$1:$L$257,7,FALSE)),"",(VLOOKUP($B146,'B-1 Site Hedge Baseline'!$B$1:$L$257,7,FALSE))))</f>
        <v/>
      </c>
      <c r="H146" s="520" t="str">
        <f>IF(B146="","",IF(ISNA(VLOOKUP($B146,'B-1 Site Hedge Baseline'!$B$1:$L$257,8,FALSE)),"",(VLOOKUP($B146,'B-1 Site Hedge Baseline'!$B$1:$L$257,8,FALSE))))</f>
        <v/>
      </c>
      <c r="I146" s="520" t="str">
        <f>IF(B146="","",IF(ISNA(VLOOKUP($B146,'B-1 Site Hedge Baseline'!$B$1:$L$257,10,FALSE)),"",(VLOOKUP($B146,'B-1 Site Hedge Baseline'!$B$1:$L$257,10,FALSE))))</f>
        <v/>
      </c>
      <c r="J146" s="520" t="str">
        <f>IF(B146="","",IF(ISNA(VLOOKUP($B146,'B-1 Site Hedge Baseline'!$B$1:$L$257,11,FALSE)),"",(VLOOKUP($B146,'B-1 Site Hedge Baseline'!$B$1:$L$257,11,FALSE))))</f>
        <v/>
      </c>
      <c r="K146" s="520" t="str">
        <f>IF(B146="","",IF(ISNA(VLOOKUP($B146,'B-1 Site Hedge Baseline'!$B$1:$U$257,13,FALSE)),"",(VLOOKUP($B146,'B-1 Site Hedge Baseline'!$B$1:$U$257,13,FALSE))))</f>
        <v/>
      </c>
      <c r="L146" s="524" t="str">
        <f>IF(B146="","",IF(ISNA(VLOOKUP($B146,'B-1 Site Hedge Baseline'!$B$1:$U$257,12,FALSE)),"",(VLOOKUP($B146,'B-1 Site Hedge Baseline'!$B$1:$U$257,12,FALSE))))</f>
        <v/>
      </c>
      <c r="M146" s="416" t="str">
        <f t="shared" si="23"/>
        <v/>
      </c>
      <c r="N146" s="498" t="str">
        <f>IFERROR(IF(B146="","",INDEX('G-6 Hedgerow Data'!$AN$3:$AZ$15,MATCH(C146,'G-6 Hedgerow Data'!$AM$3:$AM$15,0),MATCH(M146,'G-6 Hedgerow Data'!$AN$2:$AZ$2,0))),"")</f>
        <v/>
      </c>
      <c r="O146" s="499" t="str">
        <f t="shared" si="18"/>
        <v/>
      </c>
      <c r="P146" s="559" t="str">
        <f>IF(B146="","",VLOOKUP(B146,'B-1 Site Hedge Baseline'!$B$10:T391,16,FALSE))</f>
        <v/>
      </c>
      <c r="Q146" s="498" t="str">
        <f>IF(M146="","",VLOOKUP(M146,'G-6 Hedgerow Data'!$B$2:$AG$15,2,FALSE))</f>
        <v/>
      </c>
      <c r="R146" s="499" t="str">
        <f>IF(M146="","",VLOOKUP(M146,'G-6 Hedgerow Data'!$B$2:$AG$15,3,FALSE))</f>
        <v/>
      </c>
      <c r="S146" s="157"/>
      <c r="T146" s="540" t="str">
        <f>IFERROR(VLOOKUP(S146,'G-1 All Habitats'!$Z$2:$AA$9,2,FALSE),"")</f>
        <v/>
      </c>
      <c r="U146" s="154"/>
      <c r="V146" s="520" t="str">
        <f>IF(U146="","",IF(VLOOKUP(U146,'G-3 Multipliers'!$L$3:$N$6,2,FALSE)=0,"Spatial Data Missing ⚠",VLOOKUP(U146,'G-3 Multipliers'!$L$3:$N$6,2,FALSE)))</f>
        <v/>
      </c>
      <c r="W146" s="524"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6"/>
        <v/>
      </c>
      <c r="AD146" s="537" t="str">
        <f>IF(M146="","",VLOOKUP(M146,'G-6 Hedgerow Data'!$B$3:$AG$15,31,FALSE))</f>
        <v/>
      </c>
      <c r="AE146" s="507" t="str">
        <f t="shared" si="21"/>
        <v/>
      </c>
      <c r="AF146" s="507" t="str">
        <f t="shared" si="22"/>
        <v/>
      </c>
      <c r="AG146" s="524" t="str">
        <f>IFERROR(IF(O146="","",VLOOKUP(AD146,'G-3 Multipliers'!$P$3:$Q$6,2,FALSE)),"")</f>
        <v/>
      </c>
      <c r="AH146" s="513" t="str">
        <f t="shared" si="17"/>
        <v/>
      </c>
      <c r="AI146" s="231"/>
      <c r="AJ146" s="150"/>
      <c r="AT146" s="31" t="str">
        <f>IFERROR(INDEX('G-6 Hedgerow Data'!$BJ$3:$BJ$15,MATCH(M146,'G-6 Hedgerow Data'!$B$3:$B$15,0)),"")</f>
        <v/>
      </c>
    </row>
    <row r="147" spans="2:46" ht="13.8" x14ac:dyDescent="0.25">
      <c r="B147" s="531" t="str">
        <f>'B-1 Site Hedge Baseline'!AK145</f>
        <v/>
      </c>
      <c r="C147" s="520" t="str">
        <f>IF(B147="","",IF(ISNA(VLOOKUP($B147,'B-1 Site Hedge Baseline'!$B$1:$L$257,3,FALSE)),"",(VLOOKUP($B147,'B-1 Site Hedge Baseline'!$B$1:$L$257,3,FALSE))))</f>
        <v/>
      </c>
      <c r="D147" s="520" t="str">
        <f>IF(B147="","",IF(ISNA(VLOOKUP($B147,'B-1 Site Hedge Baseline'!$B$1:$L$257,4,FALSE)),"",(VLOOKUP($B147,'B-1 Site Hedge Baseline'!$B$1:$L$257,4,FALSE))))</f>
        <v/>
      </c>
      <c r="E147" s="520" t="str">
        <f>IF(B147="","",IF(ISNA(VLOOKUP($B147,'B-1 Site Hedge Baseline'!$B$1:$L$257,5,FALSE)),"",(VLOOKUP($B147,'B-1 Site Hedge Baseline'!$B$1:$L$257,5,FALSE))))</f>
        <v/>
      </c>
      <c r="F147" s="520" t="str">
        <f>IF(B147="","",IF(ISNA(VLOOKUP($B147,'B-1 Site Hedge Baseline'!$B$1:$L$257,6,FALSE)),"",(VLOOKUP($B147,'B-1 Site Hedge Baseline'!$B$1:$L$257,6,FALSE))))</f>
        <v/>
      </c>
      <c r="G147" s="520" t="str">
        <f>IF(B147="","",IF(ISNA(VLOOKUP($B147,'B-1 Site Hedge Baseline'!$B$1:$L$257,7,FALSE)),"",(VLOOKUP($B147,'B-1 Site Hedge Baseline'!$B$1:$L$257,7,FALSE))))</f>
        <v/>
      </c>
      <c r="H147" s="520" t="str">
        <f>IF(B147="","",IF(ISNA(VLOOKUP($B147,'B-1 Site Hedge Baseline'!$B$1:$L$257,8,FALSE)),"",(VLOOKUP($B147,'B-1 Site Hedge Baseline'!$B$1:$L$257,8,FALSE))))</f>
        <v/>
      </c>
      <c r="I147" s="520" t="str">
        <f>IF(B147="","",IF(ISNA(VLOOKUP($B147,'B-1 Site Hedge Baseline'!$B$1:$L$257,10,FALSE)),"",(VLOOKUP($B147,'B-1 Site Hedge Baseline'!$B$1:$L$257,10,FALSE))))</f>
        <v/>
      </c>
      <c r="J147" s="520" t="str">
        <f>IF(B147="","",IF(ISNA(VLOOKUP($B147,'B-1 Site Hedge Baseline'!$B$1:$L$257,11,FALSE)),"",(VLOOKUP($B147,'B-1 Site Hedge Baseline'!$B$1:$L$257,11,FALSE))))</f>
        <v/>
      </c>
      <c r="K147" s="520" t="str">
        <f>IF(B147="","",IF(ISNA(VLOOKUP($B147,'B-1 Site Hedge Baseline'!$B$1:$U$257,13,FALSE)),"",(VLOOKUP($B147,'B-1 Site Hedge Baseline'!$B$1:$U$257,13,FALSE))))</f>
        <v/>
      </c>
      <c r="L147" s="524" t="str">
        <f>IF(B147="","",IF(ISNA(VLOOKUP($B147,'B-1 Site Hedge Baseline'!$B$1:$U$257,12,FALSE)),"",(VLOOKUP($B147,'B-1 Site Hedge Baseline'!$B$1:$U$257,12,FALSE))))</f>
        <v/>
      </c>
      <c r="M147" s="416" t="str">
        <f t="shared" si="23"/>
        <v/>
      </c>
      <c r="N147" s="498" t="str">
        <f>IFERROR(IF(B147="","",INDEX('G-6 Hedgerow Data'!$AN$3:$AZ$15,MATCH(C147,'G-6 Hedgerow Data'!$AM$3:$AM$15,0),MATCH(M147,'G-6 Hedgerow Data'!$AN$2:$AZ$2,0))),"")</f>
        <v/>
      </c>
      <c r="O147" s="499" t="str">
        <f t="shared" si="18"/>
        <v/>
      </c>
      <c r="P147" s="559" t="str">
        <f>IF(B147="","",VLOOKUP(B147,'B-1 Site Hedge Baseline'!$B$10:T392,16,FALSE))</f>
        <v/>
      </c>
      <c r="Q147" s="498" t="str">
        <f>IF(M147="","",VLOOKUP(M147,'G-6 Hedgerow Data'!$B$2:$AG$15,2,FALSE))</f>
        <v/>
      </c>
      <c r="R147" s="499" t="str">
        <f>IF(M147="","",VLOOKUP(M147,'G-6 Hedgerow Data'!$B$2:$AG$15,3,FALSE))</f>
        <v/>
      </c>
      <c r="S147" s="157"/>
      <c r="T147" s="540" t="str">
        <f>IFERROR(VLOOKUP(S147,'G-1 All Habitats'!$Z$2:$AA$9,2,FALSE),"")</f>
        <v/>
      </c>
      <c r="U147" s="154"/>
      <c r="V147" s="520" t="str">
        <f>IF(U147="","",IF(VLOOKUP(U147,'G-3 Multipliers'!$L$3:$N$6,2,FALSE)=0,"Spatial Data Missing ⚠",VLOOKUP(U147,'G-3 Multipliers'!$L$3:$N$6,2,FALSE)))</f>
        <v/>
      </c>
      <c r="W147" s="524"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6"/>
        <v/>
      </c>
      <c r="AD147" s="537" t="str">
        <f>IF(M147="","",VLOOKUP(M147,'G-6 Hedgerow Data'!$B$3:$AG$15,31,FALSE))</f>
        <v/>
      </c>
      <c r="AE147" s="507" t="str">
        <f t="shared" si="21"/>
        <v/>
      </c>
      <c r="AF147" s="507" t="str">
        <f t="shared" si="22"/>
        <v/>
      </c>
      <c r="AG147" s="524" t="str">
        <f>IFERROR(IF(O147="","",VLOOKUP(AD147,'G-3 Multipliers'!$P$3:$Q$6,2,FALSE)),"")</f>
        <v/>
      </c>
      <c r="AH147" s="513" t="str">
        <f t="shared" si="17"/>
        <v/>
      </c>
      <c r="AI147" s="231"/>
      <c r="AJ147" s="150"/>
      <c r="AT147" s="31" t="str">
        <f>IFERROR(INDEX('G-6 Hedgerow Data'!$BJ$3:$BJ$15,MATCH(M147,'G-6 Hedgerow Data'!$B$3:$B$15,0)),"")</f>
        <v/>
      </c>
    </row>
    <row r="148" spans="2:46" ht="13.8" x14ac:dyDescent="0.25">
      <c r="B148" s="531" t="str">
        <f>'B-1 Site Hedge Baseline'!AK146</f>
        <v/>
      </c>
      <c r="C148" s="520" t="str">
        <f>IF(B148="","",IF(ISNA(VLOOKUP($B148,'B-1 Site Hedge Baseline'!$B$1:$L$257,3,FALSE)),"",(VLOOKUP($B148,'B-1 Site Hedge Baseline'!$B$1:$L$257,3,FALSE))))</f>
        <v/>
      </c>
      <c r="D148" s="520" t="str">
        <f>IF(B148="","",IF(ISNA(VLOOKUP($B148,'B-1 Site Hedge Baseline'!$B$1:$L$257,4,FALSE)),"",(VLOOKUP($B148,'B-1 Site Hedge Baseline'!$B$1:$L$257,4,FALSE))))</f>
        <v/>
      </c>
      <c r="E148" s="520" t="str">
        <f>IF(B148="","",IF(ISNA(VLOOKUP($B148,'B-1 Site Hedge Baseline'!$B$1:$L$257,5,FALSE)),"",(VLOOKUP($B148,'B-1 Site Hedge Baseline'!$B$1:$L$257,5,FALSE))))</f>
        <v/>
      </c>
      <c r="F148" s="520" t="str">
        <f>IF(B148="","",IF(ISNA(VLOOKUP($B148,'B-1 Site Hedge Baseline'!$B$1:$L$257,6,FALSE)),"",(VLOOKUP($B148,'B-1 Site Hedge Baseline'!$B$1:$L$257,6,FALSE))))</f>
        <v/>
      </c>
      <c r="G148" s="520" t="str">
        <f>IF(B148="","",IF(ISNA(VLOOKUP($B148,'B-1 Site Hedge Baseline'!$B$1:$L$257,7,FALSE)),"",(VLOOKUP($B148,'B-1 Site Hedge Baseline'!$B$1:$L$257,7,FALSE))))</f>
        <v/>
      </c>
      <c r="H148" s="520" t="str">
        <f>IF(B148="","",IF(ISNA(VLOOKUP($B148,'B-1 Site Hedge Baseline'!$B$1:$L$257,8,FALSE)),"",(VLOOKUP($B148,'B-1 Site Hedge Baseline'!$B$1:$L$257,8,FALSE))))</f>
        <v/>
      </c>
      <c r="I148" s="520" t="str">
        <f>IF(B148="","",IF(ISNA(VLOOKUP($B148,'B-1 Site Hedge Baseline'!$B$1:$L$257,10,FALSE)),"",(VLOOKUP($B148,'B-1 Site Hedge Baseline'!$B$1:$L$257,10,FALSE))))</f>
        <v/>
      </c>
      <c r="J148" s="520" t="str">
        <f>IF(B148="","",IF(ISNA(VLOOKUP($B148,'B-1 Site Hedge Baseline'!$B$1:$L$257,11,FALSE)),"",(VLOOKUP($B148,'B-1 Site Hedge Baseline'!$B$1:$L$257,11,FALSE))))</f>
        <v/>
      </c>
      <c r="K148" s="520" t="str">
        <f>IF(B148="","",IF(ISNA(VLOOKUP($B148,'B-1 Site Hedge Baseline'!$B$1:$U$257,13,FALSE)),"",(VLOOKUP($B148,'B-1 Site Hedge Baseline'!$B$1:$U$257,13,FALSE))))</f>
        <v/>
      </c>
      <c r="L148" s="524" t="str">
        <f>IF(B148="","",IF(ISNA(VLOOKUP($B148,'B-1 Site Hedge Baseline'!$B$1:$U$257,12,FALSE)),"",(VLOOKUP($B148,'B-1 Site Hedge Baseline'!$B$1:$U$257,12,FALSE))))</f>
        <v/>
      </c>
      <c r="M148" s="416" t="str">
        <f t="shared" si="23"/>
        <v/>
      </c>
      <c r="N148" s="498" t="str">
        <f>IFERROR(IF(B148="","",INDEX('G-6 Hedgerow Data'!$AN$3:$AZ$15,MATCH(C148,'G-6 Hedgerow Data'!$AM$3:$AM$15,0),MATCH(M148,'G-6 Hedgerow Data'!$AN$2:$AZ$2,0))),"")</f>
        <v/>
      </c>
      <c r="O148" s="499" t="str">
        <f t="shared" si="18"/>
        <v/>
      </c>
      <c r="P148" s="559" t="str">
        <f>IF(B148="","",VLOOKUP(B148,'B-1 Site Hedge Baseline'!$B$10:T393,16,FALSE))</f>
        <v/>
      </c>
      <c r="Q148" s="498" t="str">
        <f>IF(M148="","",VLOOKUP(M148,'G-6 Hedgerow Data'!$B$2:$AG$15,2,FALSE))</f>
        <v/>
      </c>
      <c r="R148" s="499" t="str">
        <f>IF(M148="","",VLOOKUP(M148,'G-6 Hedgerow Data'!$B$2:$AG$15,3,FALSE))</f>
        <v/>
      </c>
      <c r="S148" s="157"/>
      <c r="T148" s="540" t="str">
        <f>IFERROR(VLOOKUP(S148,'G-1 All Habitats'!$Z$2:$AA$9,2,FALSE),"")</f>
        <v/>
      </c>
      <c r="U148" s="154"/>
      <c r="V148" s="520" t="str">
        <f>IF(U148="","",IF(VLOOKUP(U148,'G-3 Multipliers'!$L$3:$N$6,2,FALSE)=0,"Spatial Data Missing ⚠",VLOOKUP(U148,'G-3 Multipliers'!$L$3:$N$6,2,FALSE)))</f>
        <v/>
      </c>
      <c r="W148" s="524"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6"/>
        <v/>
      </c>
      <c r="AD148" s="537" t="str">
        <f>IF(M148="","",VLOOKUP(M148,'G-6 Hedgerow Data'!$B$3:$AG$15,31,FALSE))</f>
        <v/>
      </c>
      <c r="AE148" s="507" t="str">
        <f t="shared" si="21"/>
        <v/>
      </c>
      <c r="AF148" s="507" t="str">
        <f t="shared" si="22"/>
        <v/>
      </c>
      <c r="AG148" s="524" t="str">
        <f>IFERROR(IF(O148="","",VLOOKUP(AD148,'G-3 Multipliers'!$P$3:$Q$6,2,FALSE)),"")</f>
        <v/>
      </c>
      <c r="AH148" s="513" t="str">
        <f t="shared" si="17"/>
        <v/>
      </c>
      <c r="AI148" s="231"/>
      <c r="AJ148" s="150"/>
      <c r="AT148" s="31" t="str">
        <f>IFERROR(INDEX('G-6 Hedgerow Data'!$BJ$3:$BJ$15,MATCH(M148,'G-6 Hedgerow Data'!$B$3:$B$15,0)),"")</f>
        <v/>
      </c>
    </row>
    <row r="149" spans="2:46" ht="13.8" x14ac:dyDescent="0.25">
      <c r="B149" s="531" t="str">
        <f>'B-1 Site Hedge Baseline'!AK147</f>
        <v/>
      </c>
      <c r="C149" s="520" t="str">
        <f>IF(B149="","",IF(ISNA(VLOOKUP($B149,'B-1 Site Hedge Baseline'!$B$1:$L$257,3,FALSE)),"",(VLOOKUP($B149,'B-1 Site Hedge Baseline'!$B$1:$L$257,3,FALSE))))</f>
        <v/>
      </c>
      <c r="D149" s="520" t="str">
        <f>IF(B149="","",IF(ISNA(VLOOKUP($B149,'B-1 Site Hedge Baseline'!$B$1:$L$257,4,FALSE)),"",(VLOOKUP($B149,'B-1 Site Hedge Baseline'!$B$1:$L$257,4,FALSE))))</f>
        <v/>
      </c>
      <c r="E149" s="520" t="str">
        <f>IF(B149="","",IF(ISNA(VLOOKUP($B149,'B-1 Site Hedge Baseline'!$B$1:$L$257,5,FALSE)),"",(VLOOKUP($B149,'B-1 Site Hedge Baseline'!$B$1:$L$257,5,FALSE))))</f>
        <v/>
      </c>
      <c r="F149" s="520" t="str">
        <f>IF(B149="","",IF(ISNA(VLOOKUP($B149,'B-1 Site Hedge Baseline'!$B$1:$L$257,6,FALSE)),"",(VLOOKUP($B149,'B-1 Site Hedge Baseline'!$B$1:$L$257,6,FALSE))))</f>
        <v/>
      </c>
      <c r="G149" s="520" t="str">
        <f>IF(B149="","",IF(ISNA(VLOOKUP($B149,'B-1 Site Hedge Baseline'!$B$1:$L$257,7,FALSE)),"",(VLOOKUP($B149,'B-1 Site Hedge Baseline'!$B$1:$L$257,7,FALSE))))</f>
        <v/>
      </c>
      <c r="H149" s="520" t="str">
        <f>IF(B149="","",IF(ISNA(VLOOKUP($B149,'B-1 Site Hedge Baseline'!$B$1:$L$257,8,FALSE)),"",(VLOOKUP($B149,'B-1 Site Hedge Baseline'!$B$1:$L$257,8,FALSE))))</f>
        <v/>
      </c>
      <c r="I149" s="520" t="str">
        <f>IF(B149="","",IF(ISNA(VLOOKUP($B149,'B-1 Site Hedge Baseline'!$B$1:$L$257,10,FALSE)),"",(VLOOKUP($B149,'B-1 Site Hedge Baseline'!$B$1:$L$257,10,FALSE))))</f>
        <v/>
      </c>
      <c r="J149" s="520" t="str">
        <f>IF(B149="","",IF(ISNA(VLOOKUP($B149,'B-1 Site Hedge Baseline'!$B$1:$L$257,11,FALSE)),"",(VLOOKUP($B149,'B-1 Site Hedge Baseline'!$B$1:$L$257,11,FALSE))))</f>
        <v/>
      </c>
      <c r="K149" s="520" t="str">
        <f>IF(B149="","",IF(ISNA(VLOOKUP($B149,'B-1 Site Hedge Baseline'!$B$1:$U$257,13,FALSE)),"",(VLOOKUP($B149,'B-1 Site Hedge Baseline'!$B$1:$U$257,13,FALSE))))</f>
        <v/>
      </c>
      <c r="L149" s="524" t="str">
        <f>IF(B149="","",IF(ISNA(VLOOKUP($B149,'B-1 Site Hedge Baseline'!$B$1:$U$257,12,FALSE)),"",(VLOOKUP($B149,'B-1 Site Hedge Baseline'!$B$1:$U$257,12,FALSE))))</f>
        <v/>
      </c>
      <c r="M149" s="416" t="str">
        <f t="shared" si="23"/>
        <v/>
      </c>
      <c r="N149" s="498" t="str">
        <f>IFERROR(IF(B149="","",INDEX('G-6 Hedgerow Data'!$AN$3:$AZ$15,MATCH(C149,'G-6 Hedgerow Data'!$AM$3:$AM$15,0),MATCH(M149,'G-6 Hedgerow Data'!$AN$2:$AZ$2,0))),"")</f>
        <v/>
      </c>
      <c r="O149" s="499" t="str">
        <f t="shared" si="18"/>
        <v/>
      </c>
      <c r="P149" s="559" t="str">
        <f>IF(B149="","",VLOOKUP(B149,'B-1 Site Hedge Baseline'!$B$10:T394,16,FALSE))</f>
        <v/>
      </c>
      <c r="Q149" s="498" t="str">
        <f>IF(M149="","",VLOOKUP(M149,'G-6 Hedgerow Data'!$B$2:$AG$15,2,FALSE))</f>
        <v/>
      </c>
      <c r="R149" s="499" t="str">
        <f>IF(M149="","",VLOOKUP(M149,'G-6 Hedgerow Data'!$B$2:$AG$15,3,FALSE))</f>
        <v/>
      </c>
      <c r="S149" s="157"/>
      <c r="T149" s="540" t="str">
        <f>IFERROR(VLOOKUP(S149,'G-1 All Habitats'!$Z$2:$AA$9,2,FALSE),"")</f>
        <v/>
      </c>
      <c r="U149" s="154"/>
      <c r="V149" s="520" t="str">
        <f>IF(U149="","",IF(VLOOKUP(U149,'G-3 Multipliers'!$L$3:$N$6,2,FALSE)=0,"Spatial Data Missing ⚠",VLOOKUP(U149,'G-3 Multipliers'!$L$3:$N$6,2,FALSE)))</f>
        <v/>
      </c>
      <c r="W149" s="524"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6"/>
        <v/>
      </c>
      <c r="AD149" s="537" t="str">
        <f>IF(M149="","",VLOOKUP(M149,'G-6 Hedgerow Data'!$B$3:$AG$15,31,FALSE))</f>
        <v/>
      </c>
      <c r="AE149" s="507" t="str">
        <f t="shared" si="21"/>
        <v/>
      </c>
      <c r="AF149" s="507" t="str">
        <f t="shared" si="22"/>
        <v/>
      </c>
      <c r="AG149" s="524" t="str">
        <f>IFERROR(IF(O149="","",VLOOKUP(AD149,'G-3 Multipliers'!$P$3:$Q$6,2,FALSE)),"")</f>
        <v/>
      </c>
      <c r="AH149" s="513" t="str">
        <f t="shared" si="17"/>
        <v/>
      </c>
      <c r="AI149" s="231"/>
      <c r="AJ149" s="150"/>
      <c r="AT149" s="31" t="str">
        <f>IFERROR(INDEX('G-6 Hedgerow Data'!$BJ$3:$BJ$15,MATCH(M149,'G-6 Hedgerow Data'!$B$3:$B$15,0)),"")</f>
        <v/>
      </c>
    </row>
    <row r="150" spans="2:46" ht="13.8" x14ac:dyDescent="0.25">
      <c r="B150" s="531" t="str">
        <f>'B-1 Site Hedge Baseline'!AK148</f>
        <v/>
      </c>
      <c r="C150" s="520" t="str">
        <f>IF(B150="","",IF(ISNA(VLOOKUP($B150,'B-1 Site Hedge Baseline'!$B$1:$L$257,3,FALSE)),"",(VLOOKUP($B150,'B-1 Site Hedge Baseline'!$B$1:$L$257,3,FALSE))))</f>
        <v/>
      </c>
      <c r="D150" s="520" t="str">
        <f>IF(B150="","",IF(ISNA(VLOOKUP($B150,'B-1 Site Hedge Baseline'!$B$1:$L$257,4,FALSE)),"",(VLOOKUP($B150,'B-1 Site Hedge Baseline'!$B$1:$L$257,4,FALSE))))</f>
        <v/>
      </c>
      <c r="E150" s="520" t="str">
        <f>IF(B150="","",IF(ISNA(VLOOKUP($B150,'B-1 Site Hedge Baseline'!$B$1:$L$257,5,FALSE)),"",(VLOOKUP($B150,'B-1 Site Hedge Baseline'!$B$1:$L$257,5,FALSE))))</f>
        <v/>
      </c>
      <c r="F150" s="520" t="str">
        <f>IF(B150="","",IF(ISNA(VLOOKUP($B150,'B-1 Site Hedge Baseline'!$B$1:$L$257,6,FALSE)),"",(VLOOKUP($B150,'B-1 Site Hedge Baseline'!$B$1:$L$257,6,FALSE))))</f>
        <v/>
      </c>
      <c r="G150" s="520" t="str">
        <f>IF(B150="","",IF(ISNA(VLOOKUP($B150,'B-1 Site Hedge Baseline'!$B$1:$L$257,7,FALSE)),"",(VLOOKUP($B150,'B-1 Site Hedge Baseline'!$B$1:$L$257,7,FALSE))))</f>
        <v/>
      </c>
      <c r="H150" s="520" t="str">
        <f>IF(B150="","",IF(ISNA(VLOOKUP($B150,'B-1 Site Hedge Baseline'!$B$1:$L$257,8,FALSE)),"",(VLOOKUP($B150,'B-1 Site Hedge Baseline'!$B$1:$L$257,8,FALSE))))</f>
        <v/>
      </c>
      <c r="I150" s="520" t="str">
        <f>IF(B150="","",IF(ISNA(VLOOKUP($B150,'B-1 Site Hedge Baseline'!$B$1:$L$257,10,FALSE)),"",(VLOOKUP($B150,'B-1 Site Hedge Baseline'!$B$1:$L$257,10,FALSE))))</f>
        <v/>
      </c>
      <c r="J150" s="520" t="str">
        <f>IF(B150="","",IF(ISNA(VLOOKUP($B150,'B-1 Site Hedge Baseline'!$B$1:$L$257,11,FALSE)),"",(VLOOKUP($B150,'B-1 Site Hedge Baseline'!$B$1:$L$257,11,FALSE))))</f>
        <v/>
      </c>
      <c r="K150" s="520" t="str">
        <f>IF(B150="","",IF(ISNA(VLOOKUP($B150,'B-1 Site Hedge Baseline'!$B$1:$U$257,13,FALSE)),"",(VLOOKUP($B150,'B-1 Site Hedge Baseline'!$B$1:$U$257,13,FALSE))))</f>
        <v/>
      </c>
      <c r="L150" s="524" t="str">
        <f>IF(B150="","",IF(ISNA(VLOOKUP($B150,'B-1 Site Hedge Baseline'!$B$1:$U$257,12,FALSE)),"",(VLOOKUP($B150,'B-1 Site Hedge Baseline'!$B$1:$U$257,12,FALSE))))</f>
        <v/>
      </c>
      <c r="M150" s="416" t="str">
        <f t="shared" si="23"/>
        <v/>
      </c>
      <c r="N150" s="498" t="str">
        <f>IFERROR(IF(B150="","",INDEX('G-6 Hedgerow Data'!$AN$3:$AZ$15,MATCH(C150,'G-6 Hedgerow Data'!$AM$3:$AM$15,0),MATCH(M150,'G-6 Hedgerow Data'!$AN$2:$AZ$2,0))),"")</f>
        <v/>
      </c>
      <c r="O150" s="499" t="str">
        <f t="shared" si="18"/>
        <v/>
      </c>
      <c r="P150" s="559" t="str">
        <f>IF(B150="","",VLOOKUP(B150,'B-1 Site Hedge Baseline'!$B$10:T395,16,FALSE))</f>
        <v/>
      </c>
      <c r="Q150" s="498" t="str">
        <f>IF(M150="","",VLOOKUP(M150,'G-6 Hedgerow Data'!$B$2:$AG$15,2,FALSE))</f>
        <v/>
      </c>
      <c r="R150" s="499" t="str">
        <f>IF(M150="","",VLOOKUP(M150,'G-6 Hedgerow Data'!$B$2:$AG$15,3,FALSE))</f>
        <v/>
      </c>
      <c r="S150" s="157"/>
      <c r="T150" s="540" t="str">
        <f>IFERROR(VLOOKUP(S150,'G-1 All Habitats'!$Z$2:$AA$9,2,FALSE),"")</f>
        <v/>
      </c>
      <c r="U150" s="154"/>
      <c r="V150" s="520" t="str">
        <f>IF(U150="","",IF(VLOOKUP(U150,'G-3 Multipliers'!$L$3:$N$6,2,FALSE)=0,"Spatial Data Missing ⚠",VLOOKUP(U150,'G-3 Multipliers'!$L$3:$N$6,2,FALSE)))</f>
        <v/>
      </c>
      <c r="W150" s="524"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6"/>
        <v/>
      </c>
      <c r="AD150" s="537" t="str">
        <f>IF(M150="","",VLOOKUP(M150,'G-6 Hedgerow Data'!$B$3:$AG$15,31,FALSE))</f>
        <v/>
      </c>
      <c r="AE150" s="507" t="str">
        <f t="shared" si="21"/>
        <v/>
      </c>
      <c r="AF150" s="507" t="str">
        <f t="shared" si="22"/>
        <v/>
      </c>
      <c r="AG150" s="524" t="str">
        <f>IFERROR(IF(O150="","",VLOOKUP(AD150,'G-3 Multipliers'!$P$3:$Q$6,2,FALSE)),"")</f>
        <v/>
      </c>
      <c r="AH150" s="513" t="str">
        <f t="shared" si="17"/>
        <v/>
      </c>
      <c r="AI150" s="231"/>
      <c r="AJ150" s="150"/>
      <c r="AT150" s="31" t="str">
        <f>IFERROR(INDEX('G-6 Hedgerow Data'!$BJ$3:$BJ$15,MATCH(M150,'G-6 Hedgerow Data'!$B$3:$B$15,0)),"")</f>
        <v/>
      </c>
    </row>
    <row r="151" spans="2:46" ht="13.8" x14ac:dyDescent="0.25">
      <c r="B151" s="531" t="str">
        <f>'B-1 Site Hedge Baseline'!AK149</f>
        <v/>
      </c>
      <c r="C151" s="520" t="str">
        <f>IF(B151="","",IF(ISNA(VLOOKUP($B151,'B-1 Site Hedge Baseline'!$B$1:$L$257,3,FALSE)),"",(VLOOKUP($B151,'B-1 Site Hedge Baseline'!$B$1:$L$257,3,FALSE))))</f>
        <v/>
      </c>
      <c r="D151" s="520" t="str">
        <f>IF(B151="","",IF(ISNA(VLOOKUP($B151,'B-1 Site Hedge Baseline'!$B$1:$L$257,4,FALSE)),"",(VLOOKUP($B151,'B-1 Site Hedge Baseline'!$B$1:$L$257,4,FALSE))))</f>
        <v/>
      </c>
      <c r="E151" s="520" t="str">
        <f>IF(B151="","",IF(ISNA(VLOOKUP($B151,'B-1 Site Hedge Baseline'!$B$1:$L$257,5,FALSE)),"",(VLOOKUP($B151,'B-1 Site Hedge Baseline'!$B$1:$L$257,5,FALSE))))</f>
        <v/>
      </c>
      <c r="F151" s="520" t="str">
        <f>IF(B151="","",IF(ISNA(VLOOKUP($B151,'B-1 Site Hedge Baseline'!$B$1:$L$257,6,FALSE)),"",(VLOOKUP($B151,'B-1 Site Hedge Baseline'!$B$1:$L$257,6,FALSE))))</f>
        <v/>
      </c>
      <c r="G151" s="520" t="str">
        <f>IF(B151="","",IF(ISNA(VLOOKUP($B151,'B-1 Site Hedge Baseline'!$B$1:$L$257,7,FALSE)),"",(VLOOKUP($B151,'B-1 Site Hedge Baseline'!$B$1:$L$257,7,FALSE))))</f>
        <v/>
      </c>
      <c r="H151" s="520" t="str">
        <f>IF(B151="","",IF(ISNA(VLOOKUP($B151,'B-1 Site Hedge Baseline'!$B$1:$L$257,8,FALSE)),"",(VLOOKUP($B151,'B-1 Site Hedge Baseline'!$B$1:$L$257,8,FALSE))))</f>
        <v/>
      </c>
      <c r="I151" s="520" t="str">
        <f>IF(B151="","",IF(ISNA(VLOOKUP($B151,'B-1 Site Hedge Baseline'!$B$1:$L$257,10,FALSE)),"",(VLOOKUP($B151,'B-1 Site Hedge Baseline'!$B$1:$L$257,10,FALSE))))</f>
        <v/>
      </c>
      <c r="J151" s="520" t="str">
        <f>IF(B151="","",IF(ISNA(VLOOKUP($B151,'B-1 Site Hedge Baseline'!$B$1:$L$257,11,FALSE)),"",(VLOOKUP($B151,'B-1 Site Hedge Baseline'!$B$1:$L$257,11,FALSE))))</f>
        <v/>
      </c>
      <c r="K151" s="520" t="str">
        <f>IF(B151="","",IF(ISNA(VLOOKUP($B151,'B-1 Site Hedge Baseline'!$B$1:$U$257,13,FALSE)),"",(VLOOKUP($B151,'B-1 Site Hedge Baseline'!$B$1:$U$257,13,FALSE))))</f>
        <v/>
      </c>
      <c r="L151" s="524" t="str">
        <f>IF(B151="","",IF(ISNA(VLOOKUP($B151,'B-1 Site Hedge Baseline'!$B$1:$U$257,12,FALSE)),"",(VLOOKUP($B151,'B-1 Site Hedge Baseline'!$B$1:$U$257,12,FALSE))))</f>
        <v/>
      </c>
      <c r="M151" s="416" t="str">
        <f t="shared" si="23"/>
        <v/>
      </c>
      <c r="N151" s="498" t="str">
        <f>IFERROR(IF(B151="","",INDEX('G-6 Hedgerow Data'!$AN$3:$AZ$15,MATCH(C151,'G-6 Hedgerow Data'!$AM$3:$AM$15,0),MATCH(M151,'G-6 Hedgerow Data'!$AN$2:$AZ$2,0))),"")</f>
        <v/>
      </c>
      <c r="O151" s="499" t="str">
        <f t="shared" si="18"/>
        <v/>
      </c>
      <c r="P151" s="559" t="str">
        <f>IF(B151="","",VLOOKUP(B151,'B-1 Site Hedge Baseline'!$B$10:T396,16,FALSE))</f>
        <v/>
      </c>
      <c r="Q151" s="498" t="str">
        <f>IF(M151="","",VLOOKUP(M151,'G-6 Hedgerow Data'!$B$2:$AG$15,2,FALSE))</f>
        <v/>
      </c>
      <c r="R151" s="499" t="str">
        <f>IF(M151="","",VLOOKUP(M151,'G-6 Hedgerow Data'!$B$2:$AG$15,3,FALSE))</f>
        <v/>
      </c>
      <c r="S151" s="157"/>
      <c r="T151" s="540" t="str">
        <f>IFERROR(VLOOKUP(S151,'G-1 All Habitats'!$Z$2:$AA$9,2,FALSE),"")</f>
        <v/>
      </c>
      <c r="U151" s="154"/>
      <c r="V151" s="520" t="str">
        <f>IF(U151="","",IF(VLOOKUP(U151,'G-3 Multipliers'!$L$3:$N$6,2,FALSE)=0,"Spatial Data Missing ⚠",VLOOKUP(U151,'G-3 Multipliers'!$L$3:$N$6,2,FALSE)))</f>
        <v/>
      </c>
      <c r="W151" s="524"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6"/>
        <v/>
      </c>
      <c r="AD151" s="537" t="str">
        <f>IF(M151="","",VLOOKUP(M151,'G-6 Hedgerow Data'!$B$3:$AG$15,31,FALSE))</f>
        <v/>
      </c>
      <c r="AE151" s="507" t="str">
        <f t="shared" si="21"/>
        <v/>
      </c>
      <c r="AF151" s="507" t="str">
        <f t="shared" si="22"/>
        <v/>
      </c>
      <c r="AG151" s="524" t="str">
        <f>IFERROR(IF(O151="","",VLOOKUP(AD151,'G-3 Multipliers'!$P$3:$Q$6,2,FALSE)),"")</f>
        <v/>
      </c>
      <c r="AH151" s="513" t="str">
        <f t="shared" si="17"/>
        <v/>
      </c>
      <c r="AI151" s="231"/>
      <c r="AJ151" s="150"/>
      <c r="AT151" s="31" t="str">
        <f>IFERROR(INDEX('G-6 Hedgerow Data'!$BJ$3:$BJ$15,MATCH(M151,'G-6 Hedgerow Data'!$B$3:$B$15,0)),"")</f>
        <v/>
      </c>
    </row>
    <row r="152" spans="2:46" ht="13.8" x14ac:dyDescent="0.25">
      <c r="B152" s="531" t="str">
        <f>'B-1 Site Hedge Baseline'!AK150</f>
        <v/>
      </c>
      <c r="C152" s="520" t="str">
        <f>IF(B152="","",IF(ISNA(VLOOKUP($B152,'B-1 Site Hedge Baseline'!$B$1:$L$257,3,FALSE)),"",(VLOOKUP($B152,'B-1 Site Hedge Baseline'!$B$1:$L$257,3,FALSE))))</f>
        <v/>
      </c>
      <c r="D152" s="520" t="str">
        <f>IF(B152="","",IF(ISNA(VLOOKUP($B152,'B-1 Site Hedge Baseline'!$B$1:$L$257,4,FALSE)),"",(VLOOKUP($B152,'B-1 Site Hedge Baseline'!$B$1:$L$257,4,FALSE))))</f>
        <v/>
      </c>
      <c r="E152" s="520" t="str">
        <f>IF(B152="","",IF(ISNA(VLOOKUP($B152,'B-1 Site Hedge Baseline'!$B$1:$L$257,5,FALSE)),"",(VLOOKUP($B152,'B-1 Site Hedge Baseline'!$B$1:$L$257,5,FALSE))))</f>
        <v/>
      </c>
      <c r="F152" s="520" t="str">
        <f>IF(B152="","",IF(ISNA(VLOOKUP($B152,'B-1 Site Hedge Baseline'!$B$1:$L$257,6,FALSE)),"",(VLOOKUP($B152,'B-1 Site Hedge Baseline'!$B$1:$L$257,6,FALSE))))</f>
        <v/>
      </c>
      <c r="G152" s="520" t="str">
        <f>IF(B152="","",IF(ISNA(VLOOKUP($B152,'B-1 Site Hedge Baseline'!$B$1:$L$257,7,FALSE)),"",(VLOOKUP($B152,'B-1 Site Hedge Baseline'!$B$1:$L$257,7,FALSE))))</f>
        <v/>
      </c>
      <c r="H152" s="520" t="str">
        <f>IF(B152="","",IF(ISNA(VLOOKUP($B152,'B-1 Site Hedge Baseline'!$B$1:$L$257,8,FALSE)),"",(VLOOKUP($B152,'B-1 Site Hedge Baseline'!$B$1:$L$257,8,FALSE))))</f>
        <v/>
      </c>
      <c r="I152" s="520" t="str">
        <f>IF(B152="","",IF(ISNA(VLOOKUP($B152,'B-1 Site Hedge Baseline'!$B$1:$L$257,10,FALSE)),"",(VLOOKUP($B152,'B-1 Site Hedge Baseline'!$B$1:$L$257,10,FALSE))))</f>
        <v/>
      </c>
      <c r="J152" s="520" t="str">
        <f>IF(B152="","",IF(ISNA(VLOOKUP($B152,'B-1 Site Hedge Baseline'!$B$1:$L$257,11,FALSE)),"",(VLOOKUP($B152,'B-1 Site Hedge Baseline'!$B$1:$L$257,11,FALSE))))</f>
        <v/>
      </c>
      <c r="K152" s="520" t="str">
        <f>IF(B152="","",IF(ISNA(VLOOKUP($B152,'B-1 Site Hedge Baseline'!$B$1:$U$257,13,FALSE)),"",(VLOOKUP($B152,'B-1 Site Hedge Baseline'!$B$1:$U$257,13,FALSE))))</f>
        <v/>
      </c>
      <c r="L152" s="524" t="str">
        <f>IF(B152="","",IF(ISNA(VLOOKUP($B152,'B-1 Site Hedge Baseline'!$B$1:$U$257,12,FALSE)),"",(VLOOKUP($B152,'B-1 Site Hedge Baseline'!$B$1:$U$257,12,FALSE))))</f>
        <v/>
      </c>
      <c r="M152" s="416" t="str">
        <f t="shared" si="23"/>
        <v/>
      </c>
      <c r="N152" s="498" t="str">
        <f>IFERROR(IF(B152="","",INDEX('G-6 Hedgerow Data'!$AN$3:$AZ$15,MATCH(C152,'G-6 Hedgerow Data'!$AM$3:$AM$15,0),MATCH(M152,'G-6 Hedgerow Data'!$AN$2:$AZ$2,0))),"")</f>
        <v/>
      </c>
      <c r="O152" s="499" t="str">
        <f t="shared" si="18"/>
        <v/>
      </c>
      <c r="P152" s="559" t="str">
        <f>IF(B152="","",VLOOKUP(B152,'B-1 Site Hedge Baseline'!$B$10:T397,16,FALSE))</f>
        <v/>
      </c>
      <c r="Q152" s="498" t="str">
        <f>IF(M152="","",VLOOKUP(M152,'G-6 Hedgerow Data'!$B$2:$AG$15,2,FALSE))</f>
        <v/>
      </c>
      <c r="R152" s="499" t="str">
        <f>IF(M152="","",VLOOKUP(M152,'G-6 Hedgerow Data'!$B$2:$AG$15,3,FALSE))</f>
        <v/>
      </c>
      <c r="S152" s="157"/>
      <c r="T152" s="540" t="str">
        <f>IFERROR(VLOOKUP(S152,'G-1 All Habitats'!$Z$2:$AA$9,2,FALSE),"")</f>
        <v/>
      </c>
      <c r="U152" s="154"/>
      <c r="V152" s="520" t="str">
        <f>IF(U152="","",IF(VLOOKUP(U152,'G-3 Multipliers'!$L$3:$N$6,2,FALSE)=0,"Spatial Data Missing ⚠",VLOOKUP(U152,'G-3 Multipliers'!$L$3:$N$6,2,FALSE)))</f>
        <v/>
      </c>
      <c r="W152" s="524"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6"/>
        <v/>
      </c>
      <c r="AD152" s="537" t="str">
        <f>IF(M152="","",VLOOKUP(M152,'G-6 Hedgerow Data'!$B$3:$AG$15,31,FALSE))</f>
        <v/>
      </c>
      <c r="AE152" s="507" t="str">
        <f t="shared" si="21"/>
        <v/>
      </c>
      <c r="AF152" s="507" t="str">
        <f t="shared" si="22"/>
        <v/>
      </c>
      <c r="AG152" s="524" t="str">
        <f>IFERROR(IF(O152="","",VLOOKUP(AD152,'G-3 Multipliers'!$P$3:$Q$6,2,FALSE)),"")</f>
        <v/>
      </c>
      <c r="AH152" s="513" t="str">
        <f t="shared" si="17"/>
        <v/>
      </c>
      <c r="AI152" s="231"/>
      <c r="AJ152" s="150"/>
      <c r="AT152" s="31" t="str">
        <f>IFERROR(INDEX('G-6 Hedgerow Data'!$BJ$3:$BJ$15,MATCH(M152,'G-6 Hedgerow Data'!$B$3:$B$15,0)),"")</f>
        <v/>
      </c>
    </row>
    <row r="153" spans="2:46" ht="13.8" x14ac:dyDescent="0.25">
      <c r="B153" s="531" t="str">
        <f>'B-1 Site Hedge Baseline'!AK151</f>
        <v/>
      </c>
      <c r="C153" s="520" t="str">
        <f>IF(B153="","",IF(ISNA(VLOOKUP($B153,'B-1 Site Hedge Baseline'!$B$1:$L$257,3,FALSE)),"",(VLOOKUP($B153,'B-1 Site Hedge Baseline'!$B$1:$L$257,3,FALSE))))</f>
        <v/>
      </c>
      <c r="D153" s="520" t="str">
        <f>IF(B153="","",IF(ISNA(VLOOKUP($B153,'B-1 Site Hedge Baseline'!$B$1:$L$257,4,FALSE)),"",(VLOOKUP($B153,'B-1 Site Hedge Baseline'!$B$1:$L$257,4,FALSE))))</f>
        <v/>
      </c>
      <c r="E153" s="520" t="str">
        <f>IF(B153="","",IF(ISNA(VLOOKUP($B153,'B-1 Site Hedge Baseline'!$B$1:$L$257,5,FALSE)),"",(VLOOKUP($B153,'B-1 Site Hedge Baseline'!$B$1:$L$257,5,FALSE))))</f>
        <v/>
      </c>
      <c r="F153" s="520" t="str">
        <f>IF(B153="","",IF(ISNA(VLOOKUP($B153,'B-1 Site Hedge Baseline'!$B$1:$L$257,6,FALSE)),"",(VLOOKUP($B153,'B-1 Site Hedge Baseline'!$B$1:$L$257,6,FALSE))))</f>
        <v/>
      </c>
      <c r="G153" s="520" t="str">
        <f>IF(B153="","",IF(ISNA(VLOOKUP($B153,'B-1 Site Hedge Baseline'!$B$1:$L$257,7,FALSE)),"",(VLOOKUP($B153,'B-1 Site Hedge Baseline'!$B$1:$L$257,7,FALSE))))</f>
        <v/>
      </c>
      <c r="H153" s="520" t="str">
        <f>IF(B153="","",IF(ISNA(VLOOKUP($B153,'B-1 Site Hedge Baseline'!$B$1:$L$257,8,FALSE)),"",(VLOOKUP($B153,'B-1 Site Hedge Baseline'!$B$1:$L$257,8,FALSE))))</f>
        <v/>
      </c>
      <c r="I153" s="520" t="str">
        <f>IF(B153="","",IF(ISNA(VLOOKUP($B153,'B-1 Site Hedge Baseline'!$B$1:$L$257,10,FALSE)),"",(VLOOKUP($B153,'B-1 Site Hedge Baseline'!$B$1:$L$257,10,FALSE))))</f>
        <v/>
      </c>
      <c r="J153" s="520" t="str">
        <f>IF(B153="","",IF(ISNA(VLOOKUP($B153,'B-1 Site Hedge Baseline'!$B$1:$L$257,11,FALSE)),"",(VLOOKUP($B153,'B-1 Site Hedge Baseline'!$B$1:$L$257,11,FALSE))))</f>
        <v/>
      </c>
      <c r="K153" s="520" t="str">
        <f>IF(B153="","",IF(ISNA(VLOOKUP($B153,'B-1 Site Hedge Baseline'!$B$1:$U$257,13,FALSE)),"",(VLOOKUP($B153,'B-1 Site Hedge Baseline'!$B$1:$U$257,13,FALSE))))</f>
        <v/>
      </c>
      <c r="L153" s="524" t="str">
        <f>IF(B153="","",IF(ISNA(VLOOKUP($B153,'B-1 Site Hedge Baseline'!$B$1:$U$257,12,FALSE)),"",(VLOOKUP($B153,'B-1 Site Hedge Baseline'!$B$1:$U$257,12,FALSE))))</f>
        <v/>
      </c>
      <c r="M153" s="416" t="str">
        <f t="shared" si="23"/>
        <v/>
      </c>
      <c r="N153" s="498" t="str">
        <f>IFERROR(IF(B153="","",INDEX('G-6 Hedgerow Data'!$AN$3:$AZ$15,MATCH(C153,'G-6 Hedgerow Data'!$AM$3:$AM$15,0),MATCH(M153,'G-6 Hedgerow Data'!$AN$2:$AZ$2,0))),"")</f>
        <v/>
      </c>
      <c r="O153" s="499" t="str">
        <f t="shared" si="18"/>
        <v/>
      </c>
      <c r="P153" s="559" t="str">
        <f>IF(B153="","",VLOOKUP(B153,'B-1 Site Hedge Baseline'!$B$10:T398,16,FALSE))</f>
        <v/>
      </c>
      <c r="Q153" s="498" t="str">
        <f>IF(M153="","",VLOOKUP(M153,'G-6 Hedgerow Data'!$B$2:$AG$15,2,FALSE))</f>
        <v/>
      </c>
      <c r="R153" s="499" t="str">
        <f>IF(M153="","",VLOOKUP(M153,'G-6 Hedgerow Data'!$B$2:$AG$15,3,FALSE))</f>
        <v/>
      </c>
      <c r="S153" s="157"/>
      <c r="T153" s="540" t="str">
        <f>IFERROR(VLOOKUP(S153,'G-1 All Habitats'!$Z$2:$AA$9,2,FALSE),"")</f>
        <v/>
      </c>
      <c r="U153" s="154"/>
      <c r="V153" s="520" t="str">
        <f>IF(U153="","",IF(VLOOKUP(U153,'G-3 Multipliers'!$L$3:$N$6,2,FALSE)=0,"Spatial Data Missing ⚠",VLOOKUP(U153,'G-3 Multipliers'!$L$3:$N$6,2,FALSE)))</f>
        <v/>
      </c>
      <c r="W153" s="524"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6"/>
        <v/>
      </c>
      <c r="AD153" s="537" t="str">
        <f>IF(M153="","",VLOOKUP(M153,'G-6 Hedgerow Data'!$B$3:$AG$15,31,FALSE))</f>
        <v/>
      </c>
      <c r="AE153" s="507" t="str">
        <f t="shared" si="21"/>
        <v/>
      </c>
      <c r="AF153" s="507" t="str">
        <f t="shared" si="22"/>
        <v/>
      </c>
      <c r="AG153" s="524" t="str">
        <f>IFERROR(IF(O153="","",VLOOKUP(AD153,'G-3 Multipliers'!$P$3:$Q$6,2,FALSE)),"")</f>
        <v/>
      </c>
      <c r="AH153" s="513" t="str">
        <f t="shared" si="17"/>
        <v/>
      </c>
      <c r="AI153" s="231"/>
      <c r="AJ153" s="150"/>
      <c r="AT153" s="31" t="str">
        <f>IFERROR(INDEX('G-6 Hedgerow Data'!$BJ$3:$BJ$15,MATCH(M153,'G-6 Hedgerow Data'!$B$3:$B$15,0)),"")</f>
        <v/>
      </c>
    </row>
    <row r="154" spans="2:46" ht="13.8" x14ac:dyDescent="0.25">
      <c r="B154" s="531" t="str">
        <f>'B-1 Site Hedge Baseline'!AK152</f>
        <v/>
      </c>
      <c r="C154" s="520" t="str">
        <f>IF(B154="","",IF(ISNA(VLOOKUP($B154,'B-1 Site Hedge Baseline'!$B$1:$L$257,3,FALSE)),"",(VLOOKUP($B154,'B-1 Site Hedge Baseline'!$B$1:$L$257,3,FALSE))))</f>
        <v/>
      </c>
      <c r="D154" s="520" t="str">
        <f>IF(B154="","",IF(ISNA(VLOOKUP($B154,'B-1 Site Hedge Baseline'!$B$1:$L$257,4,FALSE)),"",(VLOOKUP($B154,'B-1 Site Hedge Baseline'!$B$1:$L$257,4,FALSE))))</f>
        <v/>
      </c>
      <c r="E154" s="520" t="str">
        <f>IF(B154="","",IF(ISNA(VLOOKUP($B154,'B-1 Site Hedge Baseline'!$B$1:$L$257,5,FALSE)),"",(VLOOKUP($B154,'B-1 Site Hedge Baseline'!$B$1:$L$257,5,FALSE))))</f>
        <v/>
      </c>
      <c r="F154" s="520" t="str">
        <f>IF(B154="","",IF(ISNA(VLOOKUP($B154,'B-1 Site Hedge Baseline'!$B$1:$L$257,6,FALSE)),"",(VLOOKUP($B154,'B-1 Site Hedge Baseline'!$B$1:$L$257,6,FALSE))))</f>
        <v/>
      </c>
      <c r="G154" s="520" t="str">
        <f>IF(B154="","",IF(ISNA(VLOOKUP($B154,'B-1 Site Hedge Baseline'!$B$1:$L$257,7,FALSE)),"",(VLOOKUP($B154,'B-1 Site Hedge Baseline'!$B$1:$L$257,7,FALSE))))</f>
        <v/>
      </c>
      <c r="H154" s="520" t="str">
        <f>IF(B154="","",IF(ISNA(VLOOKUP($B154,'B-1 Site Hedge Baseline'!$B$1:$L$257,8,FALSE)),"",(VLOOKUP($B154,'B-1 Site Hedge Baseline'!$B$1:$L$257,8,FALSE))))</f>
        <v/>
      </c>
      <c r="I154" s="520" t="str">
        <f>IF(B154="","",IF(ISNA(VLOOKUP($B154,'B-1 Site Hedge Baseline'!$B$1:$L$257,10,FALSE)),"",(VLOOKUP($B154,'B-1 Site Hedge Baseline'!$B$1:$L$257,10,FALSE))))</f>
        <v/>
      </c>
      <c r="J154" s="520" t="str">
        <f>IF(B154="","",IF(ISNA(VLOOKUP($B154,'B-1 Site Hedge Baseline'!$B$1:$L$257,11,FALSE)),"",(VLOOKUP($B154,'B-1 Site Hedge Baseline'!$B$1:$L$257,11,FALSE))))</f>
        <v/>
      </c>
      <c r="K154" s="520" t="str">
        <f>IF(B154="","",IF(ISNA(VLOOKUP($B154,'B-1 Site Hedge Baseline'!$B$1:$U$257,13,FALSE)),"",(VLOOKUP($B154,'B-1 Site Hedge Baseline'!$B$1:$U$257,13,FALSE))))</f>
        <v/>
      </c>
      <c r="L154" s="524" t="str">
        <f>IF(B154="","",IF(ISNA(VLOOKUP($B154,'B-1 Site Hedge Baseline'!$B$1:$U$257,12,FALSE)),"",(VLOOKUP($B154,'B-1 Site Hedge Baseline'!$B$1:$U$257,12,FALSE))))</f>
        <v/>
      </c>
      <c r="M154" s="416" t="str">
        <f t="shared" si="23"/>
        <v/>
      </c>
      <c r="N154" s="498" t="str">
        <f>IFERROR(IF(B154="","",INDEX('G-6 Hedgerow Data'!$AN$3:$AZ$15,MATCH(C154,'G-6 Hedgerow Data'!$AM$3:$AM$15,0),MATCH(M154,'G-6 Hedgerow Data'!$AN$2:$AZ$2,0))),"")</f>
        <v/>
      </c>
      <c r="O154" s="499" t="str">
        <f t="shared" si="18"/>
        <v/>
      </c>
      <c r="P154" s="559" t="str">
        <f>IF(B154="","",VLOOKUP(B154,'B-1 Site Hedge Baseline'!$B$10:T399,16,FALSE))</f>
        <v/>
      </c>
      <c r="Q154" s="498" t="str">
        <f>IF(M154="","",VLOOKUP(M154,'G-6 Hedgerow Data'!$B$2:$AG$15,2,FALSE))</f>
        <v/>
      </c>
      <c r="R154" s="499" t="str">
        <f>IF(M154="","",VLOOKUP(M154,'G-6 Hedgerow Data'!$B$2:$AG$15,3,FALSE))</f>
        <v/>
      </c>
      <c r="S154" s="157"/>
      <c r="T154" s="540" t="str">
        <f>IFERROR(VLOOKUP(S154,'G-1 All Habitats'!$Z$2:$AA$9,2,FALSE),"")</f>
        <v/>
      </c>
      <c r="U154" s="154"/>
      <c r="V154" s="520" t="str">
        <f>IF(U154="","",IF(VLOOKUP(U154,'G-3 Multipliers'!$L$3:$N$6,2,FALSE)=0,"Spatial Data Missing ⚠",VLOOKUP(U154,'G-3 Multipliers'!$L$3:$N$6,2,FALSE)))</f>
        <v/>
      </c>
      <c r="W154" s="524"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6"/>
        <v/>
      </c>
      <c r="AD154" s="537" t="str">
        <f>IF(M154="","",VLOOKUP(M154,'G-6 Hedgerow Data'!$B$3:$AG$15,31,FALSE))</f>
        <v/>
      </c>
      <c r="AE154" s="507" t="str">
        <f t="shared" si="21"/>
        <v/>
      </c>
      <c r="AF154" s="507" t="str">
        <f t="shared" si="22"/>
        <v/>
      </c>
      <c r="AG154" s="524" t="str">
        <f>IFERROR(IF(O154="","",VLOOKUP(AD154,'G-3 Multipliers'!$P$3:$Q$6,2,FALSE)),"")</f>
        <v/>
      </c>
      <c r="AH154" s="513" t="str">
        <f t="shared" si="17"/>
        <v/>
      </c>
      <c r="AI154" s="231"/>
      <c r="AJ154" s="150"/>
      <c r="AT154" s="31" t="str">
        <f>IFERROR(INDEX('G-6 Hedgerow Data'!$BJ$3:$BJ$15,MATCH(M154,'G-6 Hedgerow Data'!$B$3:$B$15,0)),"")</f>
        <v/>
      </c>
    </row>
    <row r="155" spans="2:46" ht="13.8" x14ac:dyDescent="0.25">
      <c r="B155" s="531" t="str">
        <f>'B-1 Site Hedge Baseline'!AK153</f>
        <v/>
      </c>
      <c r="C155" s="520" t="str">
        <f>IF(B155="","",IF(ISNA(VLOOKUP($B155,'B-1 Site Hedge Baseline'!$B$1:$L$257,3,FALSE)),"",(VLOOKUP($B155,'B-1 Site Hedge Baseline'!$B$1:$L$257,3,FALSE))))</f>
        <v/>
      </c>
      <c r="D155" s="520" t="str">
        <f>IF(B155="","",IF(ISNA(VLOOKUP($B155,'B-1 Site Hedge Baseline'!$B$1:$L$257,4,FALSE)),"",(VLOOKUP($B155,'B-1 Site Hedge Baseline'!$B$1:$L$257,4,FALSE))))</f>
        <v/>
      </c>
      <c r="E155" s="520" t="str">
        <f>IF(B155="","",IF(ISNA(VLOOKUP($B155,'B-1 Site Hedge Baseline'!$B$1:$L$257,5,FALSE)),"",(VLOOKUP($B155,'B-1 Site Hedge Baseline'!$B$1:$L$257,5,FALSE))))</f>
        <v/>
      </c>
      <c r="F155" s="520" t="str">
        <f>IF(B155="","",IF(ISNA(VLOOKUP($B155,'B-1 Site Hedge Baseline'!$B$1:$L$257,6,FALSE)),"",(VLOOKUP($B155,'B-1 Site Hedge Baseline'!$B$1:$L$257,6,FALSE))))</f>
        <v/>
      </c>
      <c r="G155" s="520" t="str">
        <f>IF(B155="","",IF(ISNA(VLOOKUP($B155,'B-1 Site Hedge Baseline'!$B$1:$L$257,7,FALSE)),"",(VLOOKUP($B155,'B-1 Site Hedge Baseline'!$B$1:$L$257,7,FALSE))))</f>
        <v/>
      </c>
      <c r="H155" s="520" t="str">
        <f>IF(B155="","",IF(ISNA(VLOOKUP($B155,'B-1 Site Hedge Baseline'!$B$1:$L$257,8,FALSE)),"",(VLOOKUP($B155,'B-1 Site Hedge Baseline'!$B$1:$L$257,8,FALSE))))</f>
        <v/>
      </c>
      <c r="I155" s="520" t="str">
        <f>IF(B155="","",IF(ISNA(VLOOKUP($B155,'B-1 Site Hedge Baseline'!$B$1:$L$257,10,FALSE)),"",(VLOOKUP($B155,'B-1 Site Hedge Baseline'!$B$1:$L$257,10,FALSE))))</f>
        <v/>
      </c>
      <c r="J155" s="520" t="str">
        <f>IF(B155="","",IF(ISNA(VLOOKUP($B155,'B-1 Site Hedge Baseline'!$B$1:$L$257,11,FALSE)),"",(VLOOKUP($B155,'B-1 Site Hedge Baseline'!$B$1:$L$257,11,FALSE))))</f>
        <v/>
      </c>
      <c r="K155" s="520" t="str">
        <f>IF(B155="","",IF(ISNA(VLOOKUP($B155,'B-1 Site Hedge Baseline'!$B$1:$U$257,13,FALSE)),"",(VLOOKUP($B155,'B-1 Site Hedge Baseline'!$B$1:$U$257,13,FALSE))))</f>
        <v/>
      </c>
      <c r="L155" s="524" t="str">
        <f>IF(B155="","",IF(ISNA(VLOOKUP($B155,'B-1 Site Hedge Baseline'!$B$1:$U$257,12,FALSE)),"",(VLOOKUP($B155,'B-1 Site Hedge Baseline'!$B$1:$U$257,12,FALSE))))</f>
        <v/>
      </c>
      <c r="M155" s="416" t="str">
        <f t="shared" si="23"/>
        <v/>
      </c>
      <c r="N155" s="498" t="str">
        <f>IFERROR(IF(B155="","",INDEX('G-6 Hedgerow Data'!$AN$3:$AZ$15,MATCH(C155,'G-6 Hedgerow Data'!$AM$3:$AM$15,0),MATCH(M155,'G-6 Hedgerow Data'!$AN$2:$AZ$2,0))),"")</f>
        <v/>
      </c>
      <c r="O155" s="499" t="str">
        <f t="shared" si="18"/>
        <v/>
      </c>
      <c r="P155" s="559" t="str">
        <f>IF(B155="","",VLOOKUP(B155,'B-1 Site Hedge Baseline'!$B$10:T400,16,FALSE))</f>
        <v/>
      </c>
      <c r="Q155" s="498" t="str">
        <f>IF(M155="","",VLOOKUP(M155,'G-6 Hedgerow Data'!$B$2:$AG$15,2,FALSE))</f>
        <v/>
      </c>
      <c r="R155" s="499" t="str">
        <f>IF(M155="","",VLOOKUP(M155,'G-6 Hedgerow Data'!$B$2:$AG$15,3,FALSE))</f>
        <v/>
      </c>
      <c r="S155" s="157"/>
      <c r="T155" s="540" t="str">
        <f>IFERROR(VLOOKUP(S155,'G-1 All Habitats'!$Z$2:$AA$9,2,FALSE),"")</f>
        <v/>
      </c>
      <c r="U155" s="154"/>
      <c r="V155" s="520" t="str">
        <f>IF(U155="","",IF(VLOOKUP(U155,'G-3 Multipliers'!$L$3:$N$6,2,FALSE)=0,"Spatial Data Missing ⚠",VLOOKUP(U155,'G-3 Multipliers'!$L$3:$N$6,2,FALSE)))</f>
        <v/>
      </c>
      <c r="W155" s="524"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6"/>
        <v/>
      </c>
      <c r="AD155" s="537" t="str">
        <f>IF(M155="","",VLOOKUP(M155,'G-6 Hedgerow Data'!$B$3:$AG$15,31,FALSE))</f>
        <v/>
      </c>
      <c r="AE155" s="507" t="str">
        <f t="shared" si="21"/>
        <v/>
      </c>
      <c r="AF155" s="507" t="str">
        <f t="shared" si="22"/>
        <v/>
      </c>
      <c r="AG155" s="524" t="str">
        <f>IFERROR(IF(O155="","",VLOOKUP(AD155,'G-3 Multipliers'!$P$3:$Q$6,2,FALSE)),"")</f>
        <v/>
      </c>
      <c r="AH155" s="513" t="str">
        <f t="shared" si="17"/>
        <v/>
      </c>
      <c r="AI155" s="231"/>
      <c r="AJ155" s="150"/>
      <c r="AT155" s="31" t="str">
        <f>IFERROR(INDEX('G-6 Hedgerow Data'!$BJ$3:$BJ$15,MATCH(M155,'G-6 Hedgerow Data'!$B$3:$B$15,0)),"")</f>
        <v/>
      </c>
    </row>
    <row r="156" spans="2:46" ht="13.8" x14ac:dyDescent="0.25">
      <c r="B156" s="531" t="str">
        <f>'B-1 Site Hedge Baseline'!AK154</f>
        <v/>
      </c>
      <c r="C156" s="520" t="str">
        <f>IF(B156="","",IF(ISNA(VLOOKUP($B156,'B-1 Site Hedge Baseline'!$B$1:$L$257,3,FALSE)),"",(VLOOKUP($B156,'B-1 Site Hedge Baseline'!$B$1:$L$257,3,FALSE))))</f>
        <v/>
      </c>
      <c r="D156" s="520" t="str">
        <f>IF(B156="","",IF(ISNA(VLOOKUP($B156,'B-1 Site Hedge Baseline'!$B$1:$L$257,4,FALSE)),"",(VLOOKUP($B156,'B-1 Site Hedge Baseline'!$B$1:$L$257,4,FALSE))))</f>
        <v/>
      </c>
      <c r="E156" s="520" t="str">
        <f>IF(B156="","",IF(ISNA(VLOOKUP($B156,'B-1 Site Hedge Baseline'!$B$1:$L$257,5,FALSE)),"",(VLOOKUP($B156,'B-1 Site Hedge Baseline'!$B$1:$L$257,5,FALSE))))</f>
        <v/>
      </c>
      <c r="F156" s="520" t="str">
        <f>IF(B156="","",IF(ISNA(VLOOKUP($B156,'B-1 Site Hedge Baseline'!$B$1:$L$257,6,FALSE)),"",(VLOOKUP($B156,'B-1 Site Hedge Baseline'!$B$1:$L$257,6,FALSE))))</f>
        <v/>
      </c>
      <c r="G156" s="520" t="str">
        <f>IF(B156="","",IF(ISNA(VLOOKUP($B156,'B-1 Site Hedge Baseline'!$B$1:$L$257,7,FALSE)),"",(VLOOKUP($B156,'B-1 Site Hedge Baseline'!$B$1:$L$257,7,FALSE))))</f>
        <v/>
      </c>
      <c r="H156" s="520" t="str">
        <f>IF(B156="","",IF(ISNA(VLOOKUP($B156,'B-1 Site Hedge Baseline'!$B$1:$L$257,8,FALSE)),"",(VLOOKUP($B156,'B-1 Site Hedge Baseline'!$B$1:$L$257,8,FALSE))))</f>
        <v/>
      </c>
      <c r="I156" s="520" t="str">
        <f>IF(B156="","",IF(ISNA(VLOOKUP($B156,'B-1 Site Hedge Baseline'!$B$1:$L$257,10,FALSE)),"",(VLOOKUP($B156,'B-1 Site Hedge Baseline'!$B$1:$L$257,10,FALSE))))</f>
        <v/>
      </c>
      <c r="J156" s="520" t="str">
        <f>IF(B156="","",IF(ISNA(VLOOKUP($B156,'B-1 Site Hedge Baseline'!$B$1:$L$257,11,FALSE)),"",(VLOOKUP($B156,'B-1 Site Hedge Baseline'!$B$1:$L$257,11,FALSE))))</f>
        <v/>
      </c>
      <c r="K156" s="520" t="str">
        <f>IF(B156="","",IF(ISNA(VLOOKUP($B156,'B-1 Site Hedge Baseline'!$B$1:$U$257,13,FALSE)),"",(VLOOKUP($B156,'B-1 Site Hedge Baseline'!$B$1:$U$257,13,FALSE))))</f>
        <v/>
      </c>
      <c r="L156" s="524" t="str">
        <f>IF(B156="","",IF(ISNA(VLOOKUP($B156,'B-1 Site Hedge Baseline'!$B$1:$U$257,12,FALSE)),"",(VLOOKUP($B156,'B-1 Site Hedge Baseline'!$B$1:$U$257,12,FALSE))))</f>
        <v/>
      </c>
      <c r="M156" s="416" t="str">
        <f t="shared" si="23"/>
        <v/>
      </c>
      <c r="N156" s="498" t="str">
        <f>IFERROR(IF(B156="","",INDEX('G-6 Hedgerow Data'!$AN$3:$AZ$15,MATCH(C156,'G-6 Hedgerow Data'!$AM$3:$AM$15,0),MATCH(M156,'G-6 Hedgerow Data'!$AN$2:$AZ$2,0))),"")</f>
        <v/>
      </c>
      <c r="O156" s="499" t="str">
        <f t="shared" si="18"/>
        <v/>
      </c>
      <c r="P156" s="559" t="str">
        <f>IF(B156="","",VLOOKUP(B156,'B-1 Site Hedge Baseline'!$B$10:T401,16,FALSE))</f>
        <v/>
      </c>
      <c r="Q156" s="498" t="str">
        <f>IF(M156="","",VLOOKUP(M156,'G-6 Hedgerow Data'!$B$2:$AG$15,2,FALSE))</f>
        <v/>
      </c>
      <c r="R156" s="499" t="str">
        <f>IF(M156="","",VLOOKUP(M156,'G-6 Hedgerow Data'!$B$2:$AG$15,3,FALSE))</f>
        <v/>
      </c>
      <c r="S156" s="157"/>
      <c r="T156" s="540" t="str">
        <f>IFERROR(VLOOKUP(S156,'G-1 All Habitats'!$Z$2:$AA$9,2,FALSE),"")</f>
        <v/>
      </c>
      <c r="U156" s="154"/>
      <c r="V156" s="520" t="str">
        <f>IF(U156="","",IF(VLOOKUP(U156,'G-3 Multipliers'!$L$3:$N$6,2,FALSE)=0,"Spatial Data Missing ⚠",VLOOKUP(U156,'G-3 Multipliers'!$L$3:$N$6,2,FALSE)))</f>
        <v/>
      </c>
      <c r="W156" s="524"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6"/>
        <v/>
      </c>
      <c r="AD156" s="537" t="str">
        <f>IF(M156="","",VLOOKUP(M156,'G-6 Hedgerow Data'!$B$3:$AG$15,31,FALSE))</f>
        <v/>
      </c>
      <c r="AE156" s="507" t="str">
        <f t="shared" si="21"/>
        <v/>
      </c>
      <c r="AF156" s="507" t="str">
        <f t="shared" si="22"/>
        <v/>
      </c>
      <c r="AG156" s="524" t="str">
        <f>IFERROR(IF(O156="","",VLOOKUP(AD156,'G-3 Multipliers'!$P$3:$Q$6,2,FALSE)),"")</f>
        <v/>
      </c>
      <c r="AH156" s="513" t="str">
        <f t="shared" si="17"/>
        <v/>
      </c>
      <c r="AI156" s="231"/>
      <c r="AJ156" s="150"/>
      <c r="AT156" s="31" t="str">
        <f>IFERROR(INDEX('G-6 Hedgerow Data'!$BJ$3:$BJ$15,MATCH(M156,'G-6 Hedgerow Data'!$B$3:$B$15,0)),"")</f>
        <v/>
      </c>
    </row>
    <row r="157" spans="2:46" ht="13.8" x14ac:dyDescent="0.25">
      <c r="B157" s="531" t="str">
        <f>'B-1 Site Hedge Baseline'!AK155</f>
        <v/>
      </c>
      <c r="C157" s="520" t="str">
        <f>IF(B157="","",IF(ISNA(VLOOKUP($B157,'B-1 Site Hedge Baseline'!$B$1:$L$257,3,FALSE)),"",(VLOOKUP($B157,'B-1 Site Hedge Baseline'!$B$1:$L$257,3,FALSE))))</f>
        <v/>
      </c>
      <c r="D157" s="520" t="str">
        <f>IF(B157="","",IF(ISNA(VLOOKUP($B157,'B-1 Site Hedge Baseline'!$B$1:$L$257,4,FALSE)),"",(VLOOKUP($B157,'B-1 Site Hedge Baseline'!$B$1:$L$257,4,FALSE))))</f>
        <v/>
      </c>
      <c r="E157" s="520" t="str">
        <f>IF(B157="","",IF(ISNA(VLOOKUP($B157,'B-1 Site Hedge Baseline'!$B$1:$L$257,5,FALSE)),"",(VLOOKUP($B157,'B-1 Site Hedge Baseline'!$B$1:$L$257,5,FALSE))))</f>
        <v/>
      </c>
      <c r="F157" s="520" t="str">
        <f>IF(B157="","",IF(ISNA(VLOOKUP($B157,'B-1 Site Hedge Baseline'!$B$1:$L$257,6,FALSE)),"",(VLOOKUP($B157,'B-1 Site Hedge Baseline'!$B$1:$L$257,6,FALSE))))</f>
        <v/>
      </c>
      <c r="G157" s="520" t="str">
        <f>IF(B157="","",IF(ISNA(VLOOKUP($B157,'B-1 Site Hedge Baseline'!$B$1:$L$257,7,FALSE)),"",(VLOOKUP($B157,'B-1 Site Hedge Baseline'!$B$1:$L$257,7,FALSE))))</f>
        <v/>
      </c>
      <c r="H157" s="520" t="str">
        <f>IF(B157="","",IF(ISNA(VLOOKUP($B157,'B-1 Site Hedge Baseline'!$B$1:$L$257,8,FALSE)),"",(VLOOKUP($B157,'B-1 Site Hedge Baseline'!$B$1:$L$257,8,FALSE))))</f>
        <v/>
      </c>
      <c r="I157" s="520" t="str">
        <f>IF(B157="","",IF(ISNA(VLOOKUP($B157,'B-1 Site Hedge Baseline'!$B$1:$L$257,10,FALSE)),"",(VLOOKUP($B157,'B-1 Site Hedge Baseline'!$B$1:$L$257,10,FALSE))))</f>
        <v/>
      </c>
      <c r="J157" s="520" t="str">
        <f>IF(B157="","",IF(ISNA(VLOOKUP($B157,'B-1 Site Hedge Baseline'!$B$1:$L$257,11,FALSE)),"",(VLOOKUP($B157,'B-1 Site Hedge Baseline'!$B$1:$L$257,11,FALSE))))</f>
        <v/>
      </c>
      <c r="K157" s="520" t="str">
        <f>IF(B157="","",IF(ISNA(VLOOKUP($B157,'B-1 Site Hedge Baseline'!$B$1:$U$257,13,FALSE)),"",(VLOOKUP($B157,'B-1 Site Hedge Baseline'!$B$1:$U$257,13,FALSE))))</f>
        <v/>
      </c>
      <c r="L157" s="524" t="str">
        <f>IF(B157="","",IF(ISNA(VLOOKUP($B157,'B-1 Site Hedge Baseline'!$B$1:$U$257,12,FALSE)),"",(VLOOKUP($B157,'B-1 Site Hedge Baseline'!$B$1:$U$257,12,FALSE))))</f>
        <v/>
      </c>
      <c r="M157" s="416" t="str">
        <f t="shared" si="23"/>
        <v/>
      </c>
      <c r="N157" s="498" t="str">
        <f>IFERROR(IF(B157="","",INDEX('G-6 Hedgerow Data'!$AN$3:$AZ$15,MATCH(C157,'G-6 Hedgerow Data'!$AM$3:$AM$15,0),MATCH(M157,'G-6 Hedgerow Data'!$AN$2:$AZ$2,0))),"")</f>
        <v/>
      </c>
      <c r="O157" s="499" t="str">
        <f t="shared" si="18"/>
        <v/>
      </c>
      <c r="P157" s="559" t="str">
        <f>IF(B157="","",VLOOKUP(B157,'B-1 Site Hedge Baseline'!$B$10:T402,16,FALSE))</f>
        <v/>
      </c>
      <c r="Q157" s="498" t="str">
        <f>IF(M157="","",VLOOKUP(M157,'G-6 Hedgerow Data'!$B$2:$AG$15,2,FALSE))</f>
        <v/>
      </c>
      <c r="R157" s="499" t="str">
        <f>IF(M157="","",VLOOKUP(M157,'G-6 Hedgerow Data'!$B$2:$AG$15,3,FALSE))</f>
        <v/>
      </c>
      <c r="S157" s="157"/>
      <c r="T157" s="540" t="str">
        <f>IFERROR(VLOOKUP(S157,'G-1 All Habitats'!$Z$2:$AA$9,2,FALSE),"")</f>
        <v/>
      </c>
      <c r="U157" s="154"/>
      <c r="V157" s="520" t="str">
        <f>IF(U157="","",IF(VLOOKUP(U157,'G-3 Multipliers'!$L$3:$N$6,2,FALSE)=0,"Spatial Data Missing ⚠",VLOOKUP(U157,'G-3 Multipliers'!$L$3:$N$6,2,FALSE)))</f>
        <v/>
      </c>
      <c r="W157" s="524"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6"/>
        <v/>
      </c>
      <c r="AD157" s="537" t="str">
        <f>IF(M157="","",VLOOKUP(M157,'G-6 Hedgerow Data'!$B$3:$AG$15,31,FALSE))</f>
        <v/>
      </c>
      <c r="AE157" s="507" t="str">
        <f t="shared" si="21"/>
        <v/>
      </c>
      <c r="AF157" s="507" t="str">
        <f t="shared" si="22"/>
        <v/>
      </c>
      <c r="AG157" s="524" t="str">
        <f>IFERROR(IF(O157="","",VLOOKUP(AD157,'G-3 Multipliers'!$P$3:$Q$6,2,FALSE)),"")</f>
        <v/>
      </c>
      <c r="AH157" s="513" t="str">
        <f t="shared" si="17"/>
        <v/>
      </c>
      <c r="AI157" s="231"/>
      <c r="AJ157" s="150"/>
      <c r="AT157" s="31" t="str">
        <f>IFERROR(INDEX('G-6 Hedgerow Data'!$BJ$3:$BJ$15,MATCH(M157,'G-6 Hedgerow Data'!$B$3:$B$15,0)),"")</f>
        <v/>
      </c>
    </row>
    <row r="158" spans="2:46" ht="13.8" x14ac:dyDescent="0.25">
      <c r="B158" s="531" t="str">
        <f>'B-1 Site Hedge Baseline'!AK156</f>
        <v/>
      </c>
      <c r="C158" s="520" t="str">
        <f>IF(B158="","",IF(ISNA(VLOOKUP($B158,'B-1 Site Hedge Baseline'!$B$1:$L$257,3,FALSE)),"",(VLOOKUP($B158,'B-1 Site Hedge Baseline'!$B$1:$L$257,3,FALSE))))</f>
        <v/>
      </c>
      <c r="D158" s="520" t="str">
        <f>IF(B158="","",IF(ISNA(VLOOKUP($B158,'B-1 Site Hedge Baseline'!$B$1:$L$257,4,FALSE)),"",(VLOOKUP($B158,'B-1 Site Hedge Baseline'!$B$1:$L$257,4,FALSE))))</f>
        <v/>
      </c>
      <c r="E158" s="520" t="str">
        <f>IF(B158="","",IF(ISNA(VLOOKUP($B158,'B-1 Site Hedge Baseline'!$B$1:$L$257,5,FALSE)),"",(VLOOKUP($B158,'B-1 Site Hedge Baseline'!$B$1:$L$257,5,FALSE))))</f>
        <v/>
      </c>
      <c r="F158" s="520" t="str">
        <f>IF(B158="","",IF(ISNA(VLOOKUP($B158,'B-1 Site Hedge Baseline'!$B$1:$L$257,6,FALSE)),"",(VLOOKUP($B158,'B-1 Site Hedge Baseline'!$B$1:$L$257,6,FALSE))))</f>
        <v/>
      </c>
      <c r="G158" s="520" t="str">
        <f>IF(B158="","",IF(ISNA(VLOOKUP($B158,'B-1 Site Hedge Baseline'!$B$1:$L$257,7,FALSE)),"",(VLOOKUP($B158,'B-1 Site Hedge Baseline'!$B$1:$L$257,7,FALSE))))</f>
        <v/>
      </c>
      <c r="H158" s="520" t="str">
        <f>IF(B158="","",IF(ISNA(VLOOKUP($B158,'B-1 Site Hedge Baseline'!$B$1:$L$257,8,FALSE)),"",(VLOOKUP($B158,'B-1 Site Hedge Baseline'!$B$1:$L$257,8,FALSE))))</f>
        <v/>
      </c>
      <c r="I158" s="520" t="str">
        <f>IF(B158="","",IF(ISNA(VLOOKUP($B158,'B-1 Site Hedge Baseline'!$B$1:$L$257,10,FALSE)),"",(VLOOKUP($B158,'B-1 Site Hedge Baseline'!$B$1:$L$257,10,FALSE))))</f>
        <v/>
      </c>
      <c r="J158" s="520" t="str">
        <f>IF(B158="","",IF(ISNA(VLOOKUP($B158,'B-1 Site Hedge Baseline'!$B$1:$L$257,11,FALSE)),"",(VLOOKUP($B158,'B-1 Site Hedge Baseline'!$B$1:$L$257,11,FALSE))))</f>
        <v/>
      </c>
      <c r="K158" s="520" t="str">
        <f>IF(B158="","",IF(ISNA(VLOOKUP($B158,'B-1 Site Hedge Baseline'!$B$1:$U$257,13,FALSE)),"",(VLOOKUP($B158,'B-1 Site Hedge Baseline'!$B$1:$U$257,13,FALSE))))</f>
        <v/>
      </c>
      <c r="L158" s="524" t="str">
        <f>IF(B158="","",IF(ISNA(VLOOKUP($B158,'B-1 Site Hedge Baseline'!$B$1:$U$257,12,FALSE)),"",(VLOOKUP($B158,'B-1 Site Hedge Baseline'!$B$1:$U$257,12,FALSE))))</f>
        <v/>
      </c>
      <c r="M158" s="416" t="str">
        <f t="shared" si="23"/>
        <v/>
      </c>
      <c r="N158" s="498" t="str">
        <f>IFERROR(IF(B158="","",INDEX('G-6 Hedgerow Data'!$AN$3:$AZ$15,MATCH(C158,'G-6 Hedgerow Data'!$AM$3:$AM$15,0),MATCH(M158,'G-6 Hedgerow Data'!$AN$2:$AZ$2,0))),"")</f>
        <v/>
      </c>
      <c r="O158" s="499" t="str">
        <f t="shared" si="18"/>
        <v/>
      </c>
      <c r="P158" s="559" t="str">
        <f>IF(B158="","",VLOOKUP(B158,'B-1 Site Hedge Baseline'!$B$10:T403,16,FALSE))</f>
        <v/>
      </c>
      <c r="Q158" s="498" t="str">
        <f>IF(M158="","",VLOOKUP(M158,'G-6 Hedgerow Data'!$B$2:$AG$15,2,FALSE))</f>
        <v/>
      </c>
      <c r="R158" s="499" t="str">
        <f>IF(M158="","",VLOOKUP(M158,'G-6 Hedgerow Data'!$B$2:$AG$15,3,FALSE))</f>
        <v/>
      </c>
      <c r="S158" s="157"/>
      <c r="T158" s="540" t="str">
        <f>IFERROR(VLOOKUP(S158,'G-1 All Habitats'!$Z$2:$AA$9,2,FALSE),"")</f>
        <v/>
      </c>
      <c r="U158" s="154"/>
      <c r="V158" s="520" t="str">
        <f>IF(U158="","",IF(VLOOKUP(U158,'G-3 Multipliers'!$L$3:$N$6,2,FALSE)=0,"Spatial Data Missing ⚠",VLOOKUP(U158,'G-3 Multipliers'!$L$3:$N$6,2,FALSE)))</f>
        <v/>
      </c>
      <c r="W158" s="524"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6"/>
        <v/>
      </c>
      <c r="AD158" s="537" t="str">
        <f>IF(M158="","",VLOOKUP(M158,'G-6 Hedgerow Data'!$B$3:$AG$15,31,FALSE))</f>
        <v/>
      </c>
      <c r="AE158" s="507" t="str">
        <f t="shared" si="21"/>
        <v/>
      </c>
      <c r="AF158" s="507" t="str">
        <f t="shared" si="22"/>
        <v/>
      </c>
      <c r="AG158" s="524" t="str">
        <f>IFERROR(IF(O158="","",VLOOKUP(AD158,'G-3 Multipliers'!$P$3:$Q$6,2,FALSE)),"")</f>
        <v/>
      </c>
      <c r="AH158" s="513" t="str">
        <f t="shared" si="17"/>
        <v/>
      </c>
      <c r="AI158" s="231"/>
      <c r="AJ158" s="150"/>
      <c r="AT158" s="31" t="str">
        <f>IFERROR(INDEX('G-6 Hedgerow Data'!$BJ$3:$BJ$15,MATCH(M158,'G-6 Hedgerow Data'!$B$3:$B$15,0)),"")</f>
        <v/>
      </c>
    </row>
    <row r="159" spans="2:46" ht="13.8" x14ac:dyDescent="0.25">
      <c r="B159" s="531" t="str">
        <f>'B-1 Site Hedge Baseline'!AK157</f>
        <v/>
      </c>
      <c r="C159" s="520" t="str">
        <f>IF(B159="","",IF(ISNA(VLOOKUP($B159,'B-1 Site Hedge Baseline'!$B$1:$L$257,3,FALSE)),"",(VLOOKUP($B159,'B-1 Site Hedge Baseline'!$B$1:$L$257,3,FALSE))))</f>
        <v/>
      </c>
      <c r="D159" s="520" t="str">
        <f>IF(B159="","",IF(ISNA(VLOOKUP($B159,'B-1 Site Hedge Baseline'!$B$1:$L$257,4,FALSE)),"",(VLOOKUP($B159,'B-1 Site Hedge Baseline'!$B$1:$L$257,4,FALSE))))</f>
        <v/>
      </c>
      <c r="E159" s="520" t="str">
        <f>IF(B159="","",IF(ISNA(VLOOKUP($B159,'B-1 Site Hedge Baseline'!$B$1:$L$257,5,FALSE)),"",(VLOOKUP($B159,'B-1 Site Hedge Baseline'!$B$1:$L$257,5,FALSE))))</f>
        <v/>
      </c>
      <c r="F159" s="520" t="str">
        <f>IF(B159="","",IF(ISNA(VLOOKUP($B159,'B-1 Site Hedge Baseline'!$B$1:$L$257,6,FALSE)),"",(VLOOKUP($B159,'B-1 Site Hedge Baseline'!$B$1:$L$257,6,FALSE))))</f>
        <v/>
      </c>
      <c r="G159" s="520" t="str">
        <f>IF(B159="","",IF(ISNA(VLOOKUP($B159,'B-1 Site Hedge Baseline'!$B$1:$L$257,7,FALSE)),"",(VLOOKUP($B159,'B-1 Site Hedge Baseline'!$B$1:$L$257,7,FALSE))))</f>
        <v/>
      </c>
      <c r="H159" s="520" t="str">
        <f>IF(B159="","",IF(ISNA(VLOOKUP($B159,'B-1 Site Hedge Baseline'!$B$1:$L$257,8,FALSE)),"",(VLOOKUP($B159,'B-1 Site Hedge Baseline'!$B$1:$L$257,8,FALSE))))</f>
        <v/>
      </c>
      <c r="I159" s="520" t="str">
        <f>IF(B159="","",IF(ISNA(VLOOKUP($B159,'B-1 Site Hedge Baseline'!$B$1:$L$257,10,FALSE)),"",(VLOOKUP($B159,'B-1 Site Hedge Baseline'!$B$1:$L$257,10,FALSE))))</f>
        <v/>
      </c>
      <c r="J159" s="520" t="str">
        <f>IF(B159="","",IF(ISNA(VLOOKUP($B159,'B-1 Site Hedge Baseline'!$B$1:$L$257,11,FALSE)),"",(VLOOKUP($B159,'B-1 Site Hedge Baseline'!$B$1:$L$257,11,FALSE))))</f>
        <v/>
      </c>
      <c r="K159" s="520" t="str">
        <f>IF(B159="","",IF(ISNA(VLOOKUP($B159,'B-1 Site Hedge Baseline'!$B$1:$U$257,13,FALSE)),"",(VLOOKUP($B159,'B-1 Site Hedge Baseline'!$B$1:$U$257,13,FALSE))))</f>
        <v/>
      </c>
      <c r="L159" s="524" t="str">
        <f>IF(B159="","",IF(ISNA(VLOOKUP($B159,'B-1 Site Hedge Baseline'!$B$1:$U$257,12,FALSE)),"",(VLOOKUP($B159,'B-1 Site Hedge Baseline'!$B$1:$U$257,12,FALSE))))</f>
        <v/>
      </c>
      <c r="M159" s="416" t="str">
        <f t="shared" si="23"/>
        <v/>
      </c>
      <c r="N159" s="498" t="str">
        <f>IFERROR(IF(B159="","",INDEX('G-6 Hedgerow Data'!$AN$3:$AZ$15,MATCH(C159,'G-6 Hedgerow Data'!$AM$3:$AM$15,0),MATCH(M159,'G-6 Hedgerow Data'!$AN$2:$AZ$2,0))),"")</f>
        <v/>
      </c>
      <c r="O159" s="499" t="str">
        <f t="shared" si="18"/>
        <v/>
      </c>
      <c r="P159" s="559" t="str">
        <f>IF(B159="","",VLOOKUP(B159,'B-1 Site Hedge Baseline'!$B$10:T404,16,FALSE))</f>
        <v/>
      </c>
      <c r="Q159" s="498" t="str">
        <f>IF(M159="","",VLOOKUP(M159,'G-6 Hedgerow Data'!$B$2:$AG$15,2,FALSE))</f>
        <v/>
      </c>
      <c r="R159" s="499" t="str">
        <f>IF(M159="","",VLOOKUP(M159,'G-6 Hedgerow Data'!$B$2:$AG$15,3,FALSE))</f>
        <v/>
      </c>
      <c r="S159" s="157"/>
      <c r="T159" s="540" t="str">
        <f>IFERROR(VLOOKUP(S159,'G-1 All Habitats'!$Z$2:$AA$9,2,FALSE),"")</f>
        <v/>
      </c>
      <c r="U159" s="154"/>
      <c r="V159" s="520" t="str">
        <f>IF(U159="","",IF(VLOOKUP(U159,'G-3 Multipliers'!$L$3:$N$6,2,FALSE)=0,"Spatial Data Missing ⚠",VLOOKUP(U159,'G-3 Multipliers'!$L$3:$N$6,2,FALSE)))</f>
        <v/>
      </c>
      <c r="W159" s="524"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6"/>
        <v/>
      </c>
      <c r="AD159" s="537" t="str">
        <f>IF(M159="","",VLOOKUP(M159,'G-6 Hedgerow Data'!$B$3:$AG$15,31,FALSE))</f>
        <v/>
      </c>
      <c r="AE159" s="507" t="str">
        <f t="shared" si="21"/>
        <v/>
      </c>
      <c r="AF159" s="507" t="str">
        <f t="shared" si="22"/>
        <v/>
      </c>
      <c r="AG159" s="524" t="str">
        <f>IFERROR(IF(O159="","",VLOOKUP(AD159,'G-3 Multipliers'!$P$3:$Q$6,2,FALSE)),"")</f>
        <v/>
      </c>
      <c r="AH159" s="513" t="str">
        <f t="shared" si="17"/>
        <v/>
      </c>
      <c r="AI159" s="231"/>
      <c r="AJ159" s="150"/>
      <c r="AT159" s="31" t="str">
        <f>IFERROR(INDEX('G-6 Hedgerow Data'!$BJ$3:$BJ$15,MATCH(M159,'G-6 Hedgerow Data'!$B$3:$B$15,0)),"")</f>
        <v/>
      </c>
    </row>
    <row r="160" spans="2:46" ht="13.8" x14ac:dyDescent="0.25">
      <c r="B160" s="531" t="str">
        <f>'B-1 Site Hedge Baseline'!AK158</f>
        <v/>
      </c>
      <c r="C160" s="520" t="str">
        <f>IF(B160="","",IF(ISNA(VLOOKUP($B160,'B-1 Site Hedge Baseline'!$B$1:$L$257,3,FALSE)),"",(VLOOKUP($B160,'B-1 Site Hedge Baseline'!$B$1:$L$257,3,FALSE))))</f>
        <v/>
      </c>
      <c r="D160" s="520" t="str">
        <f>IF(B160="","",IF(ISNA(VLOOKUP($B160,'B-1 Site Hedge Baseline'!$B$1:$L$257,4,FALSE)),"",(VLOOKUP($B160,'B-1 Site Hedge Baseline'!$B$1:$L$257,4,FALSE))))</f>
        <v/>
      </c>
      <c r="E160" s="520" t="str">
        <f>IF(B160="","",IF(ISNA(VLOOKUP($B160,'B-1 Site Hedge Baseline'!$B$1:$L$257,5,FALSE)),"",(VLOOKUP($B160,'B-1 Site Hedge Baseline'!$B$1:$L$257,5,FALSE))))</f>
        <v/>
      </c>
      <c r="F160" s="520" t="str">
        <f>IF(B160="","",IF(ISNA(VLOOKUP($B160,'B-1 Site Hedge Baseline'!$B$1:$L$257,6,FALSE)),"",(VLOOKUP($B160,'B-1 Site Hedge Baseline'!$B$1:$L$257,6,FALSE))))</f>
        <v/>
      </c>
      <c r="G160" s="520" t="str">
        <f>IF(B160="","",IF(ISNA(VLOOKUP($B160,'B-1 Site Hedge Baseline'!$B$1:$L$257,7,FALSE)),"",(VLOOKUP($B160,'B-1 Site Hedge Baseline'!$B$1:$L$257,7,FALSE))))</f>
        <v/>
      </c>
      <c r="H160" s="520" t="str">
        <f>IF(B160="","",IF(ISNA(VLOOKUP($B160,'B-1 Site Hedge Baseline'!$B$1:$L$257,8,FALSE)),"",(VLOOKUP($B160,'B-1 Site Hedge Baseline'!$B$1:$L$257,8,FALSE))))</f>
        <v/>
      </c>
      <c r="I160" s="520" t="str">
        <f>IF(B160="","",IF(ISNA(VLOOKUP($B160,'B-1 Site Hedge Baseline'!$B$1:$L$257,10,FALSE)),"",(VLOOKUP($B160,'B-1 Site Hedge Baseline'!$B$1:$L$257,10,FALSE))))</f>
        <v/>
      </c>
      <c r="J160" s="520" t="str">
        <f>IF(B160="","",IF(ISNA(VLOOKUP($B160,'B-1 Site Hedge Baseline'!$B$1:$L$257,11,FALSE)),"",(VLOOKUP($B160,'B-1 Site Hedge Baseline'!$B$1:$L$257,11,FALSE))))</f>
        <v/>
      </c>
      <c r="K160" s="520" t="str">
        <f>IF(B160="","",IF(ISNA(VLOOKUP($B160,'B-1 Site Hedge Baseline'!$B$1:$U$257,13,FALSE)),"",(VLOOKUP($B160,'B-1 Site Hedge Baseline'!$B$1:$U$257,13,FALSE))))</f>
        <v/>
      </c>
      <c r="L160" s="524" t="str">
        <f>IF(B160="","",IF(ISNA(VLOOKUP($B160,'B-1 Site Hedge Baseline'!$B$1:$U$257,12,FALSE)),"",(VLOOKUP($B160,'B-1 Site Hedge Baseline'!$B$1:$U$257,12,FALSE))))</f>
        <v/>
      </c>
      <c r="M160" s="416" t="str">
        <f t="shared" si="23"/>
        <v/>
      </c>
      <c r="N160" s="498" t="str">
        <f>IFERROR(IF(B160="","",INDEX('G-6 Hedgerow Data'!$AN$3:$AZ$15,MATCH(C160,'G-6 Hedgerow Data'!$AM$3:$AM$15,0),MATCH(M160,'G-6 Hedgerow Data'!$AN$2:$AZ$2,0))),"")</f>
        <v/>
      </c>
      <c r="O160" s="499" t="str">
        <f t="shared" si="18"/>
        <v/>
      </c>
      <c r="P160" s="559" t="str">
        <f>IF(B160="","",VLOOKUP(B160,'B-1 Site Hedge Baseline'!$B$10:T405,16,FALSE))</f>
        <v/>
      </c>
      <c r="Q160" s="498" t="str">
        <f>IF(M160="","",VLOOKUP(M160,'G-6 Hedgerow Data'!$B$2:$AG$15,2,FALSE))</f>
        <v/>
      </c>
      <c r="R160" s="499" t="str">
        <f>IF(M160="","",VLOOKUP(M160,'G-6 Hedgerow Data'!$B$2:$AG$15,3,FALSE))</f>
        <v/>
      </c>
      <c r="S160" s="157"/>
      <c r="T160" s="540" t="str">
        <f>IFERROR(VLOOKUP(S160,'G-1 All Habitats'!$Z$2:$AA$9,2,FALSE),"")</f>
        <v/>
      </c>
      <c r="U160" s="154"/>
      <c r="V160" s="520" t="str">
        <f>IF(U160="","",IF(VLOOKUP(U160,'G-3 Multipliers'!$L$3:$N$6,2,FALSE)=0,"Spatial Data Missing ⚠",VLOOKUP(U160,'G-3 Multipliers'!$L$3:$N$6,2,FALSE)))</f>
        <v/>
      </c>
      <c r="W160" s="524"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6"/>
        <v/>
      </c>
      <c r="AD160" s="537" t="str">
        <f>IF(M160="","",VLOOKUP(M160,'G-6 Hedgerow Data'!$B$3:$AG$15,31,FALSE))</f>
        <v/>
      </c>
      <c r="AE160" s="507" t="str">
        <f t="shared" si="21"/>
        <v/>
      </c>
      <c r="AF160" s="507" t="str">
        <f t="shared" si="22"/>
        <v/>
      </c>
      <c r="AG160" s="524" t="str">
        <f>IFERROR(IF(O160="","",VLOOKUP(AD160,'G-3 Multipliers'!$P$3:$Q$6,2,FALSE)),"")</f>
        <v/>
      </c>
      <c r="AH160" s="513" t="str">
        <f t="shared" si="17"/>
        <v/>
      </c>
      <c r="AI160" s="231"/>
      <c r="AJ160" s="150"/>
      <c r="AT160" s="31" t="str">
        <f>IFERROR(INDEX('G-6 Hedgerow Data'!$BJ$3:$BJ$15,MATCH(M160,'G-6 Hedgerow Data'!$B$3:$B$15,0)),"")</f>
        <v/>
      </c>
    </row>
    <row r="161" spans="2:46" ht="13.8" x14ac:dyDescent="0.25">
      <c r="B161" s="531" t="str">
        <f>'B-1 Site Hedge Baseline'!AK159</f>
        <v/>
      </c>
      <c r="C161" s="520" t="str">
        <f>IF(B161="","",IF(ISNA(VLOOKUP($B161,'B-1 Site Hedge Baseline'!$B$1:$L$257,3,FALSE)),"",(VLOOKUP($B161,'B-1 Site Hedge Baseline'!$B$1:$L$257,3,FALSE))))</f>
        <v/>
      </c>
      <c r="D161" s="520" t="str">
        <f>IF(B161="","",IF(ISNA(VLOOKUP($B161,'B-1 Site Hedge Baseline'!$B$1:$L$257,4,FALSE)),"",(VLOOKUP($B161,'B-1 Site Hedge Baseline'!$B$1:$L$257,4,FALSE))))</f>
        <v/>
      </c>
      <c r="E161" s="520" t="str">
        <f>IF(B161="","",IF(ISNA(VLOOKUP($B161,'B-1 Site Hedge Baseline'!$B$1:$L$257,5,FALSE)),"",(VLOOKUP($B161,'B-1 Site Hedge Baseline'!$B$1:$L$257,5,FALSE))))</f>
        <v/>
      </c>
      <c r="F161" s="520" t="str">
        <f>IF(B161="","",IF(ISNA(VLOOKUP($B161,'B-1 Site Hedge Baseline'!$B$1:$L$257,6,FALSE)),"",(VLOOKUP($B161,'B-1 Site Hedge Baseline'!$B$1:$L$257,6,FALSE))))</f>
        <v/>
      </c>
      <c r="G161" s="520" t="str">
        <f>IF(B161="","",IF(ISNA(VLOOKUP($B161,'B-1 Site Hedge Baseline'!$B$1:$L$257,7,FALSE)),"",(VLOOKUP($B161,'B-1 Site Hedge Baseline'!$B$1:$L$257,7,FALSE))))</f>
        <v/>
      </c>
      <c r="H161" s="520" t="str">
        <f>IF(B161="","",IF(ISNA(VLOOKUP($B161,'B-1 Site Hedge Baseline'!$B$1:$L$257,8,FALSE)),"",(VLOOKUP($B161,'B-1 Site Hedge Baseline'!$B$1:$L$257,8,FALSE))))</f>
        <v/>
      </c>
      <c r="I161" s="520" t="str">
        <f>IF(B161="","",IF(ISNA(VLOOKUP($B161,'B-1 Site Hedge Baseline'!$B$1:$L$257,10,FALSE)),"",(VLOOKUP($B161,'B-1 Site Hedge Baseline'!$B$1:$L$257,10,FALSE))))</f>
        <v/>
      </c>
      <c r="J161" s="520" t="str">
        <f>IF(B161="","",IF(ISNA(VLOOKUP($B161,'B-1 Site Hedge Baseline'!$B$1:$L$257,11,FALSE)),"",(VLOOKUP($B161,'B-1 Site Hedge Baseline'!$B$1:$L$257,11,FALSE))))</f>
        <v/>
      </c>
      <c r="K161" s="520" t="str">
        <f>IF(B161="","",IF(ISNA(VLOOKUP($B161,'B-1 Site Hedge Baseline'!$B$1:$U$257,13,FALSE)),"",(VLOOKUP($B161,'B-1 Site Hedge Baseline'!$B$1:$U$257,13,FALSE))))</f>
        <v/>
      </c>
      <c r="L161" s="524" t="str">
        <f>IF(B161="","",IF(ISNA(VLOOKUP($B161,'B-1 Site Hedge Baseline'!$B$1:$U$257,12,FALSE)),"",(VLOOKUP($B161,'B-1 Site Hedge Baseline'!$B$1:$U$257,12,FALSE))))</f>
        <v/>
      </c>
      <c r="M161" s="416" t="str">
        <f t="shared" si="23"/>
        <v/>
      </c>
      <c r="N161" s="498" t="str">
        <f>IFERROR(IF(B161="","",INDEX('G-6 Hedgerow Data'!$AN$3:$AZ$15,MATCH(C161,'G-6 Hedgerow Data'!$AM$3:$AM$15,0),MATCH(M161,'G-6 Hedgerow Data'!$AN$2:$AZ$2,0))),"")</f>
        <v/>
      </c>
      <c r="O161" s="499" t="str">
        <f t="shared" si="18"/>
        <v/>
      </c>
      <c r="P161" s="559" t="str">
        <f>IF(B161="","",VLOOKUP(B161,'B-1 Site Hedge Baseline'!$B$10:T406,16,FALSE))</f>
        <v/>
      </c>
      <c r="Q161" s="498" t="str">
        <f>IF(M161="","",VLOOKUP(M161,'G-6 Hedgerow Data'!$B$2:$AG$15,2,FALSE))</f>
        <v/>
      </c>
      <c r="R161" s="499" t="str">
        <f>IF(M161="","",VLOOKUP(M161,'G-6 Hedgerow Data'!$B$2:$AG$15,3,FALSE))</f>
        <v/>
      </c>
      <c r="S161" s="157"/>
      <c r="T161" s="540" t="str">
        <f>IFERROR(VLOOKUP(S161,'G-1 All Habitats'!$Z$2:$AA$9,2,FALSE),"")</f>
        <v/>
      </c>
      <c r="U161" s="154"/>
      <c r="V161" s="520" t="str">
        <f>IF(U161="","",IF(VLOOKUP(U161,'G-3 Multipliers'!$L$3:$N$6,2,FALSE)=0,"Spatial Data Missing ⚠",VLOOKUP(U161,'G-3 Multipliers'!$L$3:$N$6,2,FALSE)))</f>
        <v/>
      </c>
      <c r="W161" s="524"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6"/>
        <v/>
      </c>
      <c r="AD161" s="537" t="str">
        <f>IF(M161="","",VLOOKUP(M161,'G-6 Hedgerow Data'!$B$3:$AG$15,31,FALSE))</f>
        <v/>
      </c>
      <c r="AE161" s="507" t="str">
        <f t="shared" si="21"/>
        <v/>
      </c>
      <c r="AF161" s="507" t="str">
        <f t="shared" si="22"/>
        <v/>
      </c>
      <c r="AG161" s="524" t="str">
        <f>IFERROR(IF(O161="","",VLOOKUP(AD161,'G-3 Multipliers'!$P$3:$Q$6,2,FALSE)),"")</f>
        <v/>
      </c>
      <c r="AH161" s="513" t="str">
        <f t="shared" si="17"/>
        <v/>
      </c>
      <c r="AI161" s="231"/>
      <c r="AJ161" s="150"/>
      <c r="AT161" s="31" t="str">
        <f>IFERROR(INDEX('G-6 Hedgerow Data'!$BJ$3:$BJ$15,MATCH(M161,'G-6 Hedgerow Data'!$B$3:$B$15,0)),"")</f>
        <v/>
      </c>
    </row>
    <row r="162" spans="2:46" ht="13.8" x14ac:dyDescent="0.25">
      <c r="B162" s="531" t="str">
        <f>'B-1 Site Hedge Baseline'!AK160</f>
        <v/>
      </c>
      <c r="C162" s="520" t="str">
        <f>IF(B162="","",IF(ISNA(VLOOKUP($B162,'B-1 Site Hedge Baseline'!$B$1:$L$257,3,FALSE)),"",(VLOOKUP($B162,'B-1 Site Hedge Baseline'!$B$1:$L$257,3,FALSE))))</f>
        <v/>
      </c>
      <c r="D162" s="520" t="str">
        <f>IF(B162="","",IF(ISNA(VLOOKUP($B162,'B-1 Site Hedge Baseline'!$B$1:$L$257,4,FALSE)),"",(VLOOKUP($B162,'B-1 Site Hedge Baseline'!$B$1:$L$257,4,FALSE))))</f>
        <v/>
      </c>
      <c r="E162" s="520" t="str">
        <f>IF(B162="","",IF(ISNA(VLOOKUP($B162,'B-1 Site Hedge Baseline'!$B$1:$L$257,5,FALSE)),"",(VLOOKUP($B162,'B-1 Site Hedge Baseline'!$B$1:$L$257,5,FALSE))))</f>
        <v/>
      </c>
      <c r="F162" s="520" t="str">
        <f>IF(B162="","",IF(ISNA(VLOOKUP($B162,'B-1 Site Hedge Baseline'!$B$1:$L$257,6,FALSE)),"",(VLOOKUP($B162,'B-1 Site Hedge Baseline'!$B$1:$L$257,6,FALSE))))</f>
        <v/>
      </c>
      <c r="G162" s="520" t="str">
        <f>IF(B162="","",IF(ISNA(VLOOKUP($B162,'B-1 Site Hedge Baseline'!$B$1:$L$257,7,FALSE)),"",(VLOOKUP($B162,'B-1 Site Hedge Baseline'!$B$1:$L$257,7,FALSE))))</f>
        <v/>
      </c>
      <c r="H162" s="520" t="str">
        <f>IF(B162="","",IF(ISNA(VLOOKUP($B162,'B-1 Site Hedge Baseline'!$B$1:$L$257,8,FALSE)),"",(VLOOKUP($B162,'B-1 Site Hedge Baseline'!$B$1:$L$257,8,FALSE))))</f>
        <v/>
      </c>
      <c r="I162" s="520" t="str">
        <f>IF(B162="","",IF(ISNA(VLOOKUP($B162,'B-1 Site Hedge Baseline'!$B$1:$L$257,10,FALSE)),"",(VLOOKUP($B162,'B-1 Site Hedge Baseline'!$B$1:$L$257,10,FALSE))))</f>
        <v/>
      </c>
      <c r="J162" s="520" t="str">
        <f>IF(B162="","",IF(ISNA(VLOOKUP($B162,'B-1 Site Hedge Baseline'!$B$1:$L$257,11,FALSE)),"",(VLOOKUP($B162,'B-1 Site Hedge Baseline'!$B$1:$L$257,11,FALSE))))</f>
        <v/>
      </c>
      <c r="K162" s="520" t="str">
        <f>IF(B162="","",IF(ISNA(VLOOKUP($B162,'B-1 Site Hedge Baseline'!$B$1:$U$257,13,FALSE)),"",(VLOOKUP($B162,'B-1 Site Hedge Baseline'!$B$1:$U$257,13,FALSE))))</f>
        <v/>
      </c>
      <c r="L162" s="524" t="str">
        <f>IF(B162="","",IF(ISNA(VLOOKUP($B162,'B-1 Site Hedge Baseline'!$B$1:$U$257,12,FALSE)),"",(VLOOKUP($B162,'B-1 Site Hedge Baseline'!$B$1:$U$257,12,FALSE))))</f>
        <v/>
      </c>
      <c r="M162" s="416" t="str">
        <f t="shared" si="23"/>
        <v/>
      </c>
      <c r="N162" s="498" t="str">
        <f>IFERROR(IF(B162="","",INDEX('G-6 Hedgerow Data'!$AN$3:$AZ$15,MATCH(C162,'G-6 Hedgerow Data'!$AM$3:$AM$15,0),MATCH(M162,'G-6 Hedgerow Data'!$AN$2:$AZ$2,0))),"")</f>
        <v/>
      </c>
      <c r="O162" s="499" t="str">
        <f t="shared" si="18"/>
        <v/>
      </c>
      <c r="P162" s="559" t="str">
        <f>IF(B162="","",VLOOKUP(B162,'B-1 Site Hedge Baseline'!$B$10:T407,16,FALSE))</f>
        <v/>
      </c>
      <c r="Q162" s="498" t="str">
        <f>IF(M162="","",VLOOKUP(M162,'G-6 Hedgerow Data'!$B$2:$AG$15,2,FALSE))</f>
        <v/>
      </c>
      <c r="R162" s="499" t="str">
        <f>IF(M162="","",VLOOKUP(M162,'G-6 Hedgerow Data'!$B$2:$AG$15,3,FALSE))</f>
        <v/>
      </c>
      <c r="S162" s="157"/>
      <c r="T162" s="540" t="str">
        <f>IFERROR(VLOOKUP(S162,'G-1 All Habitats'!$Z$2:$AA$9,2,FALSE),"")</f>
        <v/>
      </c>
      <c r="U162" s="154"/>
      <c r="V162" s="520" t="str">
        <f>IF(U162="","",IF(VLOOKUP(U162,'G-3 Multipliers'!$L$3:$N$6,2,FALSE)=0,"Spatial Data Missing ⚠",VLOOKUP(U162,'G-3 Multipliers'!$L$3:$N$6,2,FALSE)))</f>
        <v/>
      </c>
      <c r="W162" s="524"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6"/>
        <v/>
      </c>
      <c r="AD162" s="537" t="str">
        <f>IF(M162="","",VLOOKUP(M162,'G-6 Hedgerow Data'!$B$3:$AG$15,31,FALSE))</f>
        <v/>
      </c>
      <c r="AE162" s="507" t="str">
        <f t="shared" si="21"/>
        <v/>
      </c>
      <c r="AF162" s="507" t="str">
        <f t="shared" si="22"/>
        <v/>
      </c>
      <c r="AG162" s="524" t="str">
        <f>IFERROR(IF(O162="","",VLOOKUP(AD162,'G-3 Multipliers'!$P$3:$Q$6,2,FALSE)),"")</f>
        <v/>
      </c>
      <c r="AH162" s="513" t="str">
        <f t="shared" si="17"/>
        <v/>
      </c>
      <c r="AI162" s="231"/>
      <c r="AJ162" s="150"/>
      <c r="AT162" s="31" t="str">
        <f>IFERROR(INDEX('G-6 Hedgerow Data'!$BJ$3:$BJ$15,MATCH(M162,'G-6 Hedgerow Data'!$B$3:$B$15,0)),"")</f>
        <v/>
      </c>
    </row>
    <row r="163" spans="2:46" ht="13.8" x14ac:dyDescent="0.25">
      <c r="B163" s="531" t="str">
        <f>'B-1 Site Hedge Baseline'!AK161</f>
        <v/>
      </c>
      <c r="C163" s="520" t="str">
        <f>IF(B163="","",IF(ISNA(VLOOKUP($B163,'B-1 Site Hedge Baseline'!$B$1:$L$257,3,FALSE)),"",(VLOOKUP($B163,'B-1 Site Hedge Baseline'!$B$1:$L$257,3,FALSE))))</f>
        <v/>
      </c>
      <c r="D163" s="520" t="str">
        <f>IF(B163="","",IF(ISNA(VLOOKUP($B163,'B-1 Site Hedge Baseline'!$B$1:$L$257,4,FALSE)),"",(VLOOKUP($B163,'B-1 Site Hedge Baseline'!$B$1:$L$257,4,FALSE))))</f>
        <v/>
      </c>
      <c r="E163" s="520" t="str">
        <f>IF(B163="","",IF(ISNA(VLOOKUP($B163,'B-1 Site Hedge Baseline'!$B$1:$L$257,5,FALSE)),"",(VLOOKUP($B163,'B-1 Site Hedge Baseline'!$B$1:$L$257,5,FALSE))))</f>
        <v/>
      </c>
      <c r="F163" s="520" t="str">
        <f>IF(B163="","",IF(ISNA(VLOOKUP($B163,'B-1 Site Hedge Baseline'!$B$1:$L$257,6,FALSE)),"",(VLOOKUP($B163,'B-1 Site Hedge Baseline'!$B$1:$L$257,6,FALSE))))</f>
        <v/>
      </c>
      <c r="G163" s="520" t="str">
        <f>IF(B163="","",IF(ISNA(VLOOKUP($B163,'B-1 Site Hedge Baseline'!$B$1:$L$257,7,FALSE)),"",(VLOOKUP($B163,'B-1 Site Hedge Baseline'!$B$1:$L$257,7,FALSE))))</f>
        <v/>
      </c>
      <c r="H163" s="520" t="str">
        <f>IF(B163="","",IF(ISNA(VLOOKUP($B163,'B-1 Site Hedge Baseline'!$B$1:$L$257,8,FALSE)),"",(VLOOKUP($B163,'B-1 Site Hedge Baseline'!$B$1:$L$257,8,FALSE))))</f>
        <v/>
      </c>
      <c r="I163" s="520" t="str">
        <f>IF(B163="","",IF(ISNA(VLOOKUP($B163,'B-1 Site Hedge Baseline'!$B$1:$L$257,10,FALSE)),"",(VLOOKUP($B163,'B-1 Site Hedge Baseline'!$B$1:$L$257,10,FALSE))))</f>
        <v/>
      </c>
      <c r="J163" s="520" t="str">
        <f>IF(B163="","",IF(ISNA(VLOOKUP($B163,'B-1 Site Hedge Baseline'!$B$1:$L$257,11,FALSE)),"",(VLOOKUP($B163,'B-1 Site Hedge Baseline'!$B$1:$L$257,11,FALSE))))</f>
        <v/>
      </c>
      <c r="K163" s="520" t="str">
        <f>IF(B163="","",IF(ISNA(VLOOKUP($B163,'B-1 Site Hedge Baseline'!$B$1:$U$257,13,FALSE)),"",(VLOOKUP($B163,'B-1 Site Hedge Baseline'!$B$1:$U$257,13,FALSE))))</f>
        <v/>
      </c>
      <c r="L163" s="524" t="str">
        <f>IF(B163="","",IF(ISNA(VLOOKUP($B163,'B-1 Site Hedge Baseline'!$B$1:$U$257,12,FALSE)),"",(VLOOKUP($B163,'B-1 Site Hedge Baseline'!$B$1:$U$257,12,FALSE))))</f>
        <v/>
      </c>
      <c r="M163" s="416" t="str">
        <f t="shared" si="23"/>
        <v/>
      </c>
      <c r="N163" s="498" t="str">
        <f>IFERROR(IF(B163="","",INDEX('G-6 Hedgerow Data'!$AN$3:$AZ$15,MATCH(C163,'G-6 Hedgerow Data'!$AM$3:$AM$15,0),MATCH(M163,'G-6 Hedgerow Data'!$AN$2:$AZ$2,0))),"")</f>
        <v/>
      </c>
      <c r="O163" s="499" t="str">
        <f t="shared" si="18"/>
        <v/>
      </c>
      <c r="P163" s="559" t="str">
        <f>IF(B163="","",VLOOKUP(B163,'B-1 Site Hedge Baseline'!$B$10:T408,16,FALSE))</f>
        <v/>
      </c>
      <c r="Q163" s="498" t="str">
        <f>IF(M163="","",VLOOKUP(M163,'G-6 Hedgerow Data'!$B$2:$AG$15,2,FALSE))</f>
        <v/>
      </c>
      <c r="R163" s="499" t="str">
        <f>IF(M163="","",VLOOKUP(M163,'G-6 Hedgerow Data'!$B$2:$AG$15,3,FALSE))</f>
        <v/>
      </c>
      <c r="S163" s="157"/>
      <c r="T163" s="540" t="str">
        <f>IFERROR(VLOOKUP(S163,'G-1 All Habitats'!$Z$2:$AA$9,2,FALSE),"")</f>
        <v/>
      </c>
      <c r="U163" s="154"/>
      <c r="V163" s="520" t="str">
        <f>IF(U163="","",IF(VLOOKUP(U163,'G-3 Multipliers'!$L$3:$N$6,2,FALSE)=0,"Spatial Data Missing ⚠",VLOOKUP(U163,'G-3 Multipliers'!$L$3:$N$6,2,FALSE)))</f>
        <v/>
      </c>
      <c r="W163" s="524"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6"/>
        <v/>
      </c>
      <c r="AD163" s="537" t="str">
        <f>IF(M163="","",VLOOKUP(M163,'G-6 Hedgerow Data'!$B$3:$AG$15,31,FALSE))</f>
        <v/>
      </c>
      <c r="AE163" s="507" t="str">
        <f t="shared" si="21"/>
        <v/>
      </c>
      <c r="AF163" s="507" t="str">
        <f t="shared" si="22"/>
        <v/>
      </c>
      <c r="AG163" s="524" t="str">
        <f>IFERROR(IF(O163="","",VLOOKUP(AD163,'G-3 Multipliers'!$P$3:$Q$6,2,FALSE)),"")</f>
        <v/>
      </c>
      <c r="AH163" s="513" t="str">
        <f t="shared" si="17"/>
        <v/>
      </c>
      <c r="AI163" s="231"/>
      <c r="AJ163" s="150"/>
      <c r="AT163" s="31" t="str">
        <f>IFERROR(INDEX('G-6 Hedgerow Data'!$BJ$3:$BJ$15,MATCH(M163,'G-6 Hedgerow Data'!$B$3:$B$15,0)),"")</f>
        <v/>
      </c>
    </row>
    <row r="164" spans="2:46" ht="13.8" x14ac:dyDescent="0.25">
      <c r="B164" s="531" t="str">
        <f>'B-1 Site Hedge Baseline'!AK162</f>
        <v/>
      </c>
      <c r="C164" s="520" t="str">
        <f>IF(B164="","",IF(ISNA(VLOOKUP($B164,'B-1 Site Hedge Baseline'!$B$1:$L$257,3,FALSE)),"",(VLOOKUP($B164,'B-1 Site Hedge Baseline'!$B$1:$L$257,3,FALSE))))</f>
        <v/>
      </c>
      <c r="D164" s="520" t="str">
        <f>IF(B164="","",IF(ISNA(VLOOKUP($B164,'B-1 Site Hedge Baseline'!$B$1:$L$257,4,FALSE)),"",(VLOOKUP($B164,'B-1 Site Hedge Baseline'!$B$1:$L$257,4,FALSE))))</f>
        <v/>
      </c>
      <c r="E164" s="520" t="str">
        <f>IF(B164="","",IF(ISNA(VLOOKUP($B164,'B-1 Site Hedge Baseline'!$B$1:$L$257,5,FALSE)),"",(VLOOKUP($B164,'B-1 Site Hedge Baseline'!$B$1:$L$257,5,FALSE))))</f>
        <v/>
      </c>
      <c r="F164" s="520" t="str">
        <f>IF(B164="","",IF(ISNA(VLOOKUP($B164,'B-1 Site Hedge Baseline'!$B$1:$L$257,6,FALSE)),"",(VLOOKUP($B164,'B-1 Site Hedge Baseline'!$B$1:$L$257,6,FALSE))))</f>
        <v/>
      </c>
      <c r="G164" s="520" t="str">
        <f>IF(B164="","",IF(ISNA(VLOOKUP($B164,'B-1 Site Hedge Baseline'!$B$1:$L$257,7,FALSE)),"",(VLOOKUP($B164,'B-1 Site Hedge Baseline'!$B$1:$L$257,7,FALSE))))</f>
        <v/>
      </c>
      <c r="H164" s="520" t="str">
        <f>IF(B164="","",IF(ISNA(VLOOKUP($B164,'B-1 Site Hedge Baseline'!$B$1:$L$257,8,FALSE)),"",(VLOOKUP($B164,'B-1 Site Hedge Baseline'!$B$1:$L$257,8,FALSE))))</f>
        <v/>
      </c>
      <c r="I164" s="520" t="str">
        <f>IF(B164="","",IF(ISNA(VLOOKUP($B164,'B-1 Site Hedge Baseline'!$B$1:$L$257,10,FALSE)),"",(VLOOKUP($B164,'B-1 Site Hedge Baseline'!$B$1:$L$257,10,FALSE))))</f>
        <v/>
      </c>
      <c r="J164" s="520" t="str">
        <f>IF(B164="","",IF(ISNA(VLOOKUP($B164,'B-1 Site Hedge Baseline'!$B$1:$L$257,11,FALSE)),"",(VLOOKUP($B164,'B-1 Site Hedge Baseline'!$B$1:$L$257,11,FALSE))))</f>
        <v/>
      </c>
      <c r="K164" s="520" t="str">
        <f>IF(B164="","",IF(ISNA(VLOOKUP($B164,'B-1 Site Hedge Baseline'!$B$1:$U$257,13,FALSE)),"",(VLOOKUP($B164,'B-1 Site Hedge Baseline'!$B$1:$U$257,13,FALSE))))</f>
        <v/>
      </c>
      <c r="L164" s="524" t="str">
        <f>IF(B164="","",IF(ISNA(VLOOKUP($B164,'B-1 Site Hedge Baseline'!$B$1:$U$257,12,FALSE)),"",(VLOOKUP($B164,'B-1 Site Hedge Baseline'!$B$1:$U$257,12,FALSE))))</f>
        <v/>
      </c>
      <c r="M164" s="416" t="str">
        <f t="shared" si="23"/>
        <v/>
      </c>
      <c r="N164" s="498" t="str">
        <f>IFERROR(IF(B164="","",INDEX('G-6 Hedgerow Data'!$AN$3:$AZ$15,MATCH(C164,'G-6 Hedgerow Data'!$AM$3:$AM$15,0),MATCH(M164,'G-6 Hedgerow Data'!$AN$2:$AZ$2,0))),"")</f>
        <v/>
      </c>
      <c r="O164" s="499" t="str">
        <f t="shared" si="18"/>
        <v/>
      </c>
      <c r="P164" s="559" t="str">
        <f>IF(B164="","",VLOOKUP(B164,'B-1 Site Hedge Baseline'!$B$10:T409,16,FALSE))</f>
        <v/>
      </c>
      <c r="Q164" s="498" t="str">
        <f>IF(M164="","",VLOOKUP(M164,'G-6 Hedgerow Data'!$B$2:$AG$15,2,FALSE))</f>
        <v/>
      </c>
      <c r="R164" s="499" t="str">
        <f>IF(M164="","",VLOOKUP(M164,'G-6 Hedgerow Data'!$B$2:$AG$15,3,FALSE))</f>
        <v/>
      </c>
      <c r="S164" s="157"/>
      <c r="T164" s="540" t="str">
        <f>IFERROR(VLOOKUP(S164,'G-1 All Habitats'!$Z$2:$AA$9,2,FALSE),"")</f>
        <v/>
      </c>
      <c r="U164" s="154"/>
      <c r="V164" s="520" t="str">
        <f>IF(U164="","",IF(VLOOKUP(U164,'G-3 Multipliers'!$L$3:$N$6,2,FALSE)=0,"Spatial Data Missing ⚠",VLOOKUP(U164,'G-3 Multipliers'!$L$3:$N$6,2,FALSE)))</f>
        <v/>
      </c>
      <c r="W164" s="524"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6"/>
        <v/>
      </c>
      <c r="AD164" s="537" t="str">
        <f>IF(M164="","",VLOOKUP(M164,'G-6 Hedgerow Data'!$B$3:$AG$15,31,FALSE))</f>
        <v/>
      </c>
      <c r="AE164" s="507" t="str">
        <f t="shared" si="21"/>
        <v/>
      </c>
      <c r="AF164" s="507" t="str">
        <f t="shared" si="22"/>
        <v/>
      </c>
      <c r="AG164" s="524" t="str">
        <f>IFERROR(IF(O164="","",VLOOKUP(AD164,'G-3 Multipliers'!$P$3:$Q$6,2,FALSE)),"")</f>
        <v/>
      </c>
      <c r="AH164" s="513" t="str">
        <f t="shared" si="17"/>
        <v/>
      </c>
      <c r="AI164" s="231"/>
      <c r="AJ164" s="150"/>
      <c r="AT164" s="31" t="str">
        <f>IFERROR(INDEX('G-6 Hedgerow Data'!$BJ$3:$BJ$15,MATCH(M164,'G-6 Hedgerow Data'!$B$3:$B$15,0)),"")</f>
        <v/>
      </c>
    </row>
    <row r="165" spans="2:46" ht="13.8" x14ac:dyDescent="0.25">
      <c r="B165" s="531" t="str">
        <f>'B-1 Site Hedge Baseline'!AK163</f>
        <v/>
      </c>
      <c r="C165" s="520" t="str">
        <f>IF(B165="","",IF(ISNA(VLOOKUP($B165,'B-1 Site Hedge Baseline'!$B$1:$L$257,3,FALSE)),"",(VLOOKUP($B165,'B-1 Site Hedge Baseline'!$B$1:$L$257,3,FALSE))))</f>
        <v/>
      </c>
      <c r="D165" s="520" t="str">
        <f>IF(B165="","",IF(ISNA(VLOOKUP($B165,'B-1 Site Hedge Baseline'!$B$1:$L$257,4,FALSE)),"",(VLOOKUP($B165,'B-1 Site Hedge Baseline'!$B$1:$L$257,4,FALSE))))</f>
        <v/>
      </c>
      <c r="E165" s="520" t="str">
        <f>IF(B165="","",IF(ISNA(VLOOKUP($B165,'B-1 Site Hedge Baseline'!$B$1:$L$257,5,FALSE)),"",(VLOOKUP($B165,'B-1 Site Hedge Baseline'!$B$1:$L$257,5,FALSE))))</f>
        <v/>
      </c>
      <c r="F165" s="520" t="str">
        <f>IF(B165="","",IF(ISNA(VLOOKUP($B165,'B-1 Site Hedge Baseline'!$B$1:$L$257,6,FALSE)),"",(VLOOKUP($B165,'B-1 Site Hedge Baseline'!$B$1:$L$257,6,FALSE))))</f>
        <v/>
      </c>
      <c r="G165" s="520" t="str">
        <f>IF(B165="","",IF(ISNA(VLOOKUP($B165,'B-1 Site Hedge Baseline'!$B$1:$L$257,7,FALSE)),"",(VLOOKUP($B165,'B-1 Site Hedge Baseline'!$B$1:$L$257,7,FALSE))))</f>
        <v/>
      </c>
      <c r="H165" s="520" t="str">
        <f>IF(B165="","",IF(ISNA(VLOOKUP($B165,'B-1 Site Hedge Baseline'!$B$1:$L$257,8,FALSE)),"",(VLOOKUP($B165,'B-1 Site Hedge Baseline'!$B$1:$L$257,8,FALSE))))</f>
        <v/>
      </c>
      <c r="I165" s="520" t="str">
        <f>IF(B165="","",IF(ISNA(VLOOKUP($B165,'B-1 Site Hedge Baseline'!$B$1:$L$257,10,FALSE)),"",(VLOOKUP($B165,'B-1 Site Hedge Baseline'!$B$1:$L$257,10,FALSE))))</f>
        <v/>
      </c>
      <c r="J165" s="520" t="str">
        <f>IF(B165="","",IF(ISNA(VLOOKUP($B165,'B-1 Site Hedge Baseline'!$B$1:$L$257,11,FALSE)),"",(VLOOKUP($B165,'B-1 Site Hedge Baseline'!$B$1:$L$257,11,FALSE))))</f>
        <v/>
      </c>
      <c r="K165" s="520" t="str">
        <f>IF(B165="","",IF(ISNA(VLOOKUP($B165,'B-1 Site Hedge Baseline'!$B$1:$U$257,13,FALSE)),"",(VLOOKUP($B165,'B-1 Site Hedge Baseline'!$B$1:$U$257,13,FALSE))))</f>
        <v/>
      </c>
      <c r="L165" s="524" t="str">
        <f>IF(B165="","",IF(ISNA(VLOOKUP($B165,'B-1 Site Hedge Baseline'!$B$1:$U$257,12,FALSE)),"",(VLOOKUP($B165,'B-1 Site Hedge Baseline'!$B$1:$U$257,12,FALSE))))</f>
        <v/>
      </c>
      <c r="M165" s="416" t="str">
        <f t="shared" si="23"/>
        <v/>
      </c>
      <c r="N165" s="498" t="str">
        <f>IFERROR(IF(B165="","",INDEX('G-6 Hedgerow Data'!$AN$3:$AZ$15,MATCH(C165,'G-6 Hedgerow Data'!$AM$3:$AM$15,0),MATCH(M165,'G-6 Hedgerow Data'!$AN$2:$AZ$2,0))),"")</f>
        <v/>
      </c>
      <c r="O165" s="499" t="str">
        <f t="shared" si="18"/>
        <v/>
      </c>
      <c r="P165" s="559" t="str">
        <f>IF(B165="","",VLOOKUP(B165,'B-1 Site Hedge Baseline'!$B$10:T410,16,FALSE))</f>
        <v/>
      </c>
      <c r="Q165" s="498" t="str">
        <f>IF(M165="","",VLOOKUP(M165,'G-6 Hedgerow Data'!$B$2:$AG$15,2,FALSE))</f>
        <v/>
      </c>
      <c r="R165" s="499" t="str">
        <f>IF(M165="","",VLOOKUP(M165,'G-6 Hedgerow Data'!$B$2:$AG$15,3,FALSE))</f>
        <v/>
      </c>
      <c r="S165" s="157"/>
      <c r="T165" s="540" t="str">
        <f>IFERROR(VLOOKUP(S165,'G-1 All Habitats'!$Z$2:$AA$9,2,FALSE),"")</f>
        <v/>
      </c>
      <c r="U165" s="154"/>
      <c r="V165" s="520" t="str">
        <f>IF(U165="","",IF(VLOOKUP(U165,'G-3 Multipliers'!$L$3:$N$6,2,FALSE)=0,"Spatial Data Missing ⚠",VLOOKUP(U165,'G-3 Multipliers'!$L$3:$N$6,2,FALSE)))</f>
        <v/>
      </c>
      <c r="W165" s="524"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6"/>
        <v/>
      </c>
      <c r="AD165" s="537" t="str">
        <f>IF(M165="","",VLOOKUP(M165,'G-6 Hedgerow Data'!$B$3:$AG$15,31,FALSE))</f>
        <v/>
      </c>
      <c r="AE165" s="507" t="str">
        <f t="shared" si="21"/>
        <v/>
      </c>
      <c r="AF165" s="507" t="str">
        <f t="shared" si="22"/>
        <v/>
      </c>
      <c r="AG165" s="524" t="str">
        <f>IFERROR(IF(O165="","",VLOOKUP(AD165,'G-3 Multipliers'!$P$3:$Q$6,2,FALSE)),"")</f>
        <v/>
      </c>
      <c r="AH165" s="513" t="str">
        <f t="shared" si="17"/>
        <v/>
      </c>
      <c r="AI165" s="231"/>
      <c r="AJ165" s="150"/>
      <c r="AT165" s="31" t="str">
        <f>IFERROR(INDEX('G-6 Hedgerow Data'!$BJ$3:$BJ$15,MATCH(M165,'G-6 Hedgerow Data'!$B$3:$B$15,0)),"")</f>
        <v/>
      </c>
    </row>
    <row r="166" spans="2:46" ht="13.8" x14ac:dyDescent="0.25">
      <c r="B166" s="531" t="str">
        <f>'B-1 Site Hedge Baseline'!AK164</f>
        <v/>
      </c>
      <c r="C166" s="520" t="str">
        <f>IF(B166="","",IF(ISNA(VLOOKUP($B166,'B-1 Site Hedge Baseline'!$B$1:$L$257,3,FALSE)),"",(VLOOKUP($B166,'B-1 Site Hedge Baseline'!$B$1:$L$257,3,FALSE))))</f>
        <v/>
      </c>
      <c r="D166" s="520" t="str">
        <f>IF(B166="","",IF(ISNA(VLOOKUP($B166,'B-1 Site Hedge Baseline'!$B$1:$L$257,4,FALSE)),"",(VLOOKUP($B166,'B-1 Site Hedge Baseline'!$B$1:$L$257,4,FALSE))))</f>
        <v/>
      </c>
      <c r="E166" s="520" t="str">
        <f>IF(B166="","",IF(ISNA(VLOOKUP($B166,'B-1 Site Hedge Baseline'!$B$1:$L$257,5,FALSE)),"",(VLOOKUP($B166,'B-1 Site Hedge Baseline'!$B$1:$L$257,5,FALSE))))</f>
        <v/>
      </c>
      <c r="F166" s="520" t="str">
        <f>IF(B166="","",IF(ISNA(VLOOKUP($B166,'B-1 Site Hedge Baseline'!$B$1:$L$257,6,FALSE)),"",(VLOOKUP($B166,'B-1 Site Hedge Baseline'!$B$1:$L$257,6,FALSE))))</f>
        <v/>
      </c>
      <c r="G166" s="520" t="str">
        <f>IF(B166="","",IF(ISNA(VLOOKUP($B166,'B-1 Site Hedge Baseline'!$B$1:$L$257,7,FALSE)),"",(VLOOKUP($B166,'B-1 Site Hedge Baseline'!$B$1:$L$257,7,FALSE))))</f>
        <v/>
      </c>
      <c r="H166" s="520" t="str">
        <f>IF(B166="","",IF(ISNA(VLOOKUP($B166,'B-1 Site Hedge Baseline'!$B$1:$L$257,8,FALSE)),"",(VLOOKUP($B166,'B-1 Site Hedge Baseline'!$B$1:$L$257,8,FALSE))))</f>
        <v/>
      </c>
      <c r="I166" s="520" t="str">
        <f>IF(B166="","",IF(ISNA(VLOOKUP($B166,'B-1 Site Hedge Baseline'!$B$1:$L$257,10,FALSE)),"",(VLOOKUP($B166,'B-1 Site Hedge Baseline'!$B$1:$L$257,10,FALSE))))</f>
        <v/>
      </c>
      <c r="J166" s="520" t="str">
        <f>IF(B166="","",IF(ISNA(VLOOKUP($B166,'B-1 Site Hedge Baseline'!$B$1:$L$257,11,FALSE)),"",(VLOOKUP($B166,'B-1 Site Hedge Baseline'!$B$1:$L$257,11,FALSE))))</f>
        <v/>
      </c>
      <c r="K166" s="520" t="str">
        <f>IF(B166="","",IF(ISNA(VLOOKUP($B166,'B-1 Site Hedge Baseline'!$B$1:$U$257,13,FALSE)),"",(VLOOKUP($B166,'B-1 Site Hedge Baseline'!$B$1:$U$257,13,FALSE))))</f>
        <v/>
      </c>
      <c r="L166" s="524" t="str">
        <f>IF(B166="","",IF(ISNA(VLOOKUP($B166,'B-1 Site Hedge Baseline'!$B$1:$U$257,12,FALSE)),"",(VLOOKUP($B166,'B-1 Site Hedge Baseline'!$B$1:$U$257,12,FALSE))))</f>
        <v/>
      </c>
      <c r="M166" s="416" t="str">
        <f t="shared" si="23"/>
        <v/>
      </c>
      <c r="N166" s="498" t="str">
        <f>IFERROR(IF(B166="","",INDEX('G-6 Hedgerow Data'!$AN$3:$AZ$15,MATCH(C166,'G-6 Hedgerow Data'!$AM$3:$AM$15,0),MATCH(M166,'G-6 Hedgerow Data'!$AN$2:$AZ$2,0))),"")</f>
        <v/>
      </c>
      <c r="O166" s="499" t="str">
        <f t="shared" si="18"/>
        <v/>
      </c>
      <c r="P166" s="559" t="str">
        <f>IF(B166="","",VLOOKUP(B166,'B-1 Site Hedge Baseline'!$B$10:T411,16,FALSE))</f>
        <v/>
      </c>
      <c r="Q166" s="498" t="str">
        <f>IF(M166="","",VLOOKUP(M166,'G-6 Hedgerow Data'!$B$2:$AG$15,2,FALSE))</f>
        <v/>
      </c>
      <c r="R166" s="499" t="str">
        <f>IF(M166="","",VLOOKUP(M166,'G-6 Hedgerow Data'!$B$2:$AG$15,3,FALSE))</f>
        <v/>
      </c>
      <c r="S166" s="157"/>
      <c r="T166" s="540" t="str">
        <f>IFERROR(VLOOKUP(S166,'G-1 All Habitats'!$Z$2:$AA$9,2,FALSE),"")</f>
        <v/>
      </c>
      <c r="U166" s="154"/>
      <c r="V166" s="520" t="str">
        <f>IF(U166="","",IF(VLOOKUP(U166,'G-3 Multipliers'!$L$3:$N$6,2,FALSE)=0,"Spatial Data Missing ⚠",VLOOKUP(U166,'G-3 Multipliers'!$L$3:$N$6,2,FALSE)))</f>
        <v/>
      </c>
      <c r="W166" s="524"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6"/>
        <v/>
      </c>
      <c r="AD166" s="537" t="str">
        <f>IF(M166="","",VLOOKUP(M166,'G-6 Hedgerow Data'!$B$3:$AG$15,31,FALSE))</f>
        <v/>
      </c>
      <c r="AE166" s="507" t="str">
        <f t="shared" si="21"/>
        <v/>
      </c>
      <c r="AF166" s="507" t="str">
        <f t="shared" si="22"/>
        <v/>
      </c>
      <c r="AG166" s="524" t="str">
        <f>IFERROR(IF(O166="","",VLOOKUP(AD166,'G-3 Multipliers'!$P$3:$Q$6,2,FALSE)),"")</f>
        <v/>
      </c>
      <c r="AH166" s="513" t="str">
        <f t="shared" si="17"/>
        <v/>
      </c>
      <c r="AI166" s="231"/>
      <c r="AJ166" s="150"/>
      <c r="AT166" s="31" t="str">
        <f>IFERROR(INDEX('G-6 Hedgerow Data'!$BJ$3:$BJ$15,MATCH(M166,'G-6 Hedgerow Data'!$B$3:$B$15,0)),"")</f>
        <v/>
      </c>
    </row>
    <row r="167" spans="2:46" ht="13.8" x14ac:dyDescent="0.25">
      <c r="B167" s="531" t="str">
        <f>'B-1 Site Hedge Baseline'!AK165</f>
        <v/>
      </c>
      <c r="C167" s="520" t="str">
        <f>IF(B167="","",IF(ISNA(VLOOKUP($B167,'B-1 Site Hedge Baseline'!$B$1:$L$257,3,FALSE)),"",(VLOOKUP($B167,'B-1 Site Hedge Baseline'!$B$1:$L$257,3,FALSE))))</f>
        <v/>
      </c>
      <c r="D167" s="520" t="str">
        <f>IF(B167="","",IF(ISNA(VLOOKUP($B167,'B-1 Site Hedge Baseline'!$B$1:$L$257,4,FALSE)),"",(VLOOKUP($B167,'B-1 Site Hedge Baseline'!$B$1:$L$257,4,FALSE))))</f>
        <v/>
      </c>
      <c r="E167" s="520" t="str">
        <f>IF(B167="","",IF(ISNA(VLOOKUP($B167,'B-1 Site Hedge Baseline'!$B$1:$L$257,5,FALSE)),"",(VLOOKUP($B167,'B-1 Site Hedge Baseline'!$B$1:$L$257,5,FALSE))))</f>
        <v/>
      </c>
      <c r="F167" s="520" t="str">
        <f>IF(B167="","",IF(ISNA(VLOOKUP($B167,'B-1 Site Hedge Baseline'!$B$1:$L$257,6,FALSE)),"",(VLOOKUP($B167,'B-1 Site Hedge Baseline'!$B$1:$L$257,6,FALSE))))</f>
        <v/>
      </c>
      <c r="G167" s="520" t="str">
        <f>IF(B167="","",IF(ISNA(VLOOKUP($B167,'B-1 Site Hedge Baseline'!$B$1:$L$257,7,FALSE)),"",(VLOOKUP($B167,'B-1 Site Hedge Baseline'!$B$1:$L$257,7,FALSE))))</f>
        <v/>
      </c>
      <c r="H167" s="520" t="str">
        <f>IF(B167="","",IF(ISNA(VLOOKUP($B167,'B-1 Site Hedge Baseline'!$B$1:$L$257,8,FALSE)),"",(VLOOKUP($B167,'B-1 Site Hedge Baseline'!$B$1:$L$257,8,FALSE))))</f>
        <v/>
      </c>
      <c r="I167" s="520" t="str">
        <f>IF(B167="","",IF(ISNA(VLOOKUP($B167,'B-1 Site Hedge Baseline'!$B$1:$L$257,10,FALSE)),"",(VLOOKUP($B167,'B-1 Site Hedge Baseline'!$B$1:$L$257,10,FALSE))))</f>
        <v/>
      </c>
      <c r="J167" s="520" t="str">
        <f>IF(B167="","",IF(ISNA(VLOOKUP($B167,'B-1 Site Hedge Baseline'!$B$1:$L$257,11,FALSE)),"",(VLOOKUP($B167,'B-1 Site Hedge Baseline'!$B$1:$L$257,11,FALSE))))</f>
        <v/>
      </c>
      <c r="K167" s="520" t="str">
        <f>IF(B167="","",IF(ISNA(VLOOKUP($B167,'B-1 Site Hedge Baseline'!$B$1:$U$257,13,FALSE)),"",(VLOOKUP($B167,'B-1 Site Hedge Baseline'!$B$1:$U$257,13,FALSE))))</f>
        <v/>
      </c>
      <c r="L167" s="524" t="str">
        <f>IF(B167="","",IF(ISNA(VLOOKUP($B167,'B-1 Site Hedge Baseline'!$B$1:$U$257,12,FALSE)),"",(VLOOKUP($B167,'B-1 Site Hedge Baseline'!$B$1:$U$257,12,FALSE))))</f>
        <v/>
      </c>
      <c r="M167" s="416" t="str">
        <f t="shared" si="23"/>
        <v/>
      </c>
      <c r="N167" s="498" t="str">
        <f>IFERROR(IF(B167="","",INDEX('G-6 Hedgerow Data'!$AN$3:$AZ$15,MATCH(C167,'G-6 Hedgerow Data'!$AM$3:$AM$15,0),MATCH(M167,'G-6 Hedgerow Data'!$AN$2:$AZ$2,0))),"")</f>
        <v/>
      </c>
      <c r="O167" s="499" t="str">
        <f t="shared" si="18"/>
        <v/>
      </c>
      <c r="P167" s="559" t="str">
        <f>IF(B167="","",VLOOKUP(B167,'B-1 Site Hedge Baseline'!$B$10:T412,16,FALSE))</f>
        <v/>
      </c>
      <c r="Q167" s="498" t="str">
        <f>IF(M167="","",VLOOKUP(M167,'G-6 Hedgerow Data'!$B$2:$AG$15,2,FALSE))</f>
        <v/>
      </c>
      <c r="R167" s="499" t="str">
        <f>IF(M167="","",VLOOKUP(M167,'G-6 Hedgerow Data'!$B$2:$AG$15,3,FALSE))</f>
        <v/>
      </c>
      <c r="S167" s="157"/>
      <c r="T167" s="540" t="str">
        <f>IFERROR(VLOOKUP(S167,'G-1 All Habitats'!$Z$2:$AA$9,2,FALSE),"")</f>
        <v/>
      </c>
      <c r="U167" s="154"/>
      <c r="V167" s="520" t="str">
        <f>IF(U167="","",IF(VLOOKUP(U167,'G-3 Multipliers'!$L$3:$N$6,2,FALSE)=0,"Spatial Data Missing ⚠",VLOOKUP(U167,'G-3 Multipliers'!$L$3:$N$6,2,FALSE)))</f>
        <v/>
      </c>
      <c r="W167" s="524"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6"/>
        <v/>
      </c>
      <c r="AD167" s="537" t="str">
        <f>IF(M167="","",VLOOKUP(M167,'G-6 Hedgerow Data'!$B$3:$AG$15,31,FALSE))</f>
        <v/>
      </c>
      <c r="AE167" s="507" t="str">
        <f t="shared" si="21"/>
        <v/>
      </c>
      <c r="AF167" s="507" t="str">
        <f t="shared" si="22"/>
        <v/>
      </c>
      <c r="AG167" s="524" t="str">
        <f>IFERROR(IF(O167="","",VLOOKUP(AD167,'G-3 Multipliers'!$P$3:$Q$6,2,FALSE)),"")</f>
        <v/>
      </c>
      <c r="AH167" s="513" t="str">
        <f t="shared" si="17"/>
        <v/>
      </c>
      <c r="AI167" s="231"/>
      <c r="AJ167" s="150"/>
      <c r="AT167" s="31" t="str">
        <f>IFERROR(INDEX('G-6 Hedgerow Data'!$BJ$3:$BJ$15,MATCH(M167,'G-6 Hedgerow Data'!$B$3:$B$15,0)),"")</f>
        <v/>
      </c>
    </row>
    <row r="168" spans="2:46" ht="13.8" x14ac:dyDescent="0.25">
      <c r="B168" s="531" t="str">
        <f>'B-1 Site Hedge Baseline'!AK166</f>
        <v/>
      </c>
      <c r="C168" s="520" t="str">
        <f>IF(B168="","",IF(ISNA(VLOOKUP($B168,'B-1 Site Hedge Baseline'!$B$1:$L$257,3,FALSE)),"",(VLOOKUP($B168,'B-1 Site Hedge Baseline'!$B$1:$L$257,3,FALSE))))</f>
        <v/>
      </c>
      <c r="D168" s="520" t="str">
        <f>IF(B168="","",IF(ISNA(VLOOKUP($B168,'B-1 Site Hedge Baseline'!$B$1:$L$257,4,FALSE)),"",(VLOOKUP($B168,'B-1 Site Hedge Baseline'!$B$1:$L$257,4,FALSE))))</f>
        <v/>
      </c>
      <c r="E168" s="520" t="str">
        <f>IF(B168="","",IF(ISNA(VLOOKUP($B168,'B-1 Site Hedge Baseline'!$B$1:$L$257,5,FALSE)),"",(VLOOKUP($B168,'B-1 Site Hedge Baseline'!$B$1:$L$257,5,FALSE))))</f>
        <v/>
      </c>
      <c r="F168" s="520" t="str">
        <f>IF(B168="","",IF(ISNA(VLOOKUP($B168,'B-1 Site Hedge Baseline'!$B$1:$L$257,6,FALSE)),"",(VLOOKUP($B168,'B-1 Site Hedge Baseline'!$B$1:$L$257,6,FALSE))))</f>
        <v/>
      </c>
      <c r="G168" s="520" t="str">
        <f>IF(B168="","",IF(ISNA(VLOOKUP($B168,'B-1 Site Hedge Baseline'!$B$1:$L$257,7,FALSE)),"",(VLOOKUP($B168,'B-1 Site Hedge Baseline'!$B$1:$L$257,7,FALSE))))</f>
        <v/>
      </c>
      <c r="H168" s="520" t="str">
        <f>IF(B168="","",IF(ISNA(VLOOKUP($B168,'B-1 Site Hedge Baseline'!$B$1:$L$257,8,FALSE)),"",(VLOOKUP($B168,'B-1 Site Hedge Baseline'!$B$1:$L$257,8,FALSE))))</f>
        <v/>
      </c>
      <c r="I168" s="520" t="str">
        <f>IF(B168="","",IF(ISNA(VLOOKUP($B168,'B-1 Site Hedge Baseline'!$B$1:$L$257,10,FALSE)),"",(VLOOKUP($B168,'B-1 Site Hedge Baseline'!$B$1:$L$257,10,FALSE))))</f>
        <v/>
      </c>
      <c r="J168" s="520" t="str">
        <f>IF(B168="","",IF(ISNA(VLOOKUP($B168,'B-1 Site Hedge Baseline'!$B$1:$L$257,11,FALSE)),"",(VLOOKUP($B168,'B-1 Site Hedge Baseline'!$B$1:$L$257,11,FALSE))))</f>
        <v/>
      </c>
      <c r="K168" s="520" t="str">
        <f>IF(B168="","",IF(ISNA(VLOOKUP($B168,'B-1 Site Hedge Baseline'!$B$1:$U$257,13,FALSE)),"",(VLOOKUP($B168,'B-1 Site Hedge Baseline'!$B$1:$U$257,13,FALSE))))</f>
        <v/>
      </c>
      <c r="L168" s="524" t="str">
        <f>IF(B168="","",IF(ISNA(VLOOKUP($B168,'B-1 Site Hedge Baseline'!$B$1:$U$257,12,FALSE)),"",(VLOOKUP($B168,'B-1 Site Hedge Baseline'!$B$1:$U$257,12,FALSE))))</f>
        <v/>
      </c>
      <c r="M168" s="416" t="str">
        <f t="shared" si="23"/>
        <v/>
      </c>
      <c r="N168" s="498" t="str">
        <f>IFERROR(IF(B168="","",INDEX('G-6 Hedgerow Data'!$AN$3:$AZ$15,MATCH(C168,'G-6 Hedgerow Data'!$AM$3:$AM$15,0),MATCH(M168,'G-6 Hedgerow Data'!$AN$2:$AZ$2,0))),"")</f>
        <v/>
      </c>
      <c r="O168" s="499" t="str">
        <f t="shared" si="18"/>
        <v/>
      </c>
      <c r="P168" s="559" t="str">
        <f>IF(B168="","",VLOOKUP(B168,'B-1 Site Hedge Baseline'!$B$10:T413,16,FALSE))</f>
        <v/>
      </c>
      <c r="Q168" s="498" t="str">
        <f>IF(M168="","",VLOOKUP(M168,'G-6 Hedgerow Data'!$B$2:$AG$15,2,FALSE))</f>
        <v/>
      </c>
      <c r="R168" s="499" t="str">
        <f>IF(M168="","",VLOOKUP(M168,'G-6 Hedgerow Data'!$B$2:$AG$15,3,FALSE))</f>
        <v/>
      </c>
      <c r="S168" s="157"/>
      <c r="T168" s="540" t="str">
        <f>IFERROR(VLOOKUP(S168,'G-1 All Habitats'!$Z$2:$AA$9,2,FALSE),"")</f>
        <v/>
      </c>
      <c r="U168" s="154"/>
      <c r="V168" s="520" t="str">
        <f>IF(U168="","",IF(VLOOKUP(U168,'G-3 Multipliers'!$L$3:$N$6,2,FALSE)=0,"Spatial Data Missing ⚠",VLOOKUP(U168,'G-3 Multipliers'!$L$3:$N$6,2,FALSE)))</f>
        <v/>
      </c>
      <c r="W168" s="524"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6"/>
        <v/>
      </c>
      <c r="AD168" s="537" t="str">
        <f>IF(M168="","",VLOOKUP(M168,'G-6 Hedgerow Data'!$B$3:$AG$15,31,FALSE))</f>
        <v/>
      </c>
      <c r="AE168" s="507" t="str">
        <f t="shared" si="21"/>
        <v/>
      </c>
      <c r="AF168" s="507" t="str">
        <f t="shared" si="22"/>
        <v/>
      </c>
      <c r="AG168" s="524" t="str">
        <f>IFERROR(IF(O168="","",VLOOKUP(AD168,'G-3 Multipliers'!$P$3:$Q$6,2,FALSE)),"")</f>
        <v/>
      </c>
      <c r="AH168" s="513" t="str">
        <f t="shared" si="17"/>
        <v/>
      </c>
      <c r="AI168" s="231"/>
      <c r="AJ168" s="150"/>
      <c r="AT168" s="31" t="str">
        <f>IFERROR(INDEX('G-6 Hedgerow Data'!$BJ$3:$BJ$15,MATCH(M168,'G-6 Hedgerow Data'!$B$3:$B$15,0)),"")</f>
        <v/>
      </c>
    </row>
    <row r="169" spans="2:46" ht="13.8" x14ac:dyDescent="0.25">
      <c r="B169" s="531" t="str">
        <f>'B-1 Site Hedge Baseline'!AK167</f>
        <v/>
      </c>
      <c r="C169" s="520" t="str">
        <f>IF(B169="","",IF(ISNA(VLOOKUP($B169,'B-1 Site Hedge Baseline'!$B$1:$L$257,3,FALSE)),"",(VLOOKUP($B169,'B-1 Site Hedge Baseline'!$B$1:$L$257,3,FALSE))))</f>
        <v/>
      </c>
      <c r="D169" s="520" t="str">
        <f>IF(B169="","",IF(ISNA(VLOOKUP($B169,'B-1 Site Hedge Baseline'!$B$1:$L$257,4,FALSE)),"",(VLOOKUP($B169,'B-1 Site Hedge Baseline'!$B$1:$L$257,4,FALSE))))</f>
        <v/>
      </c>
      <c r="E169" s="520" t="str">
        <f>IF(B169="","",IF(ISNA(VLOOKUP($B169,'B-1 Site Hedge Baseline'!$B$1:$L$257,5,FALSE)),"",(VLOOKUP($B169,'B-1 Site Hedge Baseline'!$B$1:$L$257,5,FALSE))))</f>
        <v/>
      </c>
      <c r="F169" s="520" t="str">
        <f>IF(B169="","",IF(ISNA(VLOOKUP($B169,'B-1 Site Hedge Baseline'!$B$1:$L$257,6,FALSE)),"",(VLOOKUP($B169,'B-1 Site Hedge Baseline'!$B$1:$L$257,6,FALSE))))</f>
        <v/>
      </c>
      <c r="G169" s="520" t="str">
        <f>IF(B169="","",IF(ISNA(VLOOKUP($B169,'B-1 Site Hedge Baseline'!$B$1:$L$257,7,FALSE)),"",(VLOOKUP($B169,'B-1 Site Hedge Baseline'!$B$1:$L$257,7,FALSE))))</f>
        <v/>
      </c>
      <c r="H169" s="520" t="str">
        <f>IF(B169="","",IF(ISNA(VLOOKUP($B169,'B-1 Site Hedge Baseline'!$B$1:$L$257,8,FALSE)),"",(VLOOKUP($B169,'B-1 Site Hedge Baseline'!$B$1:$L$257,8,FALSE))))</f>
        <v/>
      </c>
      <c r="I169" s="520" t="str">
        <f>IF(B169="","",IF(ISNA(VLOOKUP($B169,'B-1 Site Hedge Baseline'!$B$1:$L$257,10,FALSE)),"",(VLOOKUP($B169,'B-1 Site Hedge Baseline'!$B$1:$L$257,10,FALSE))))</f>
        <v/>
      </c>
      <c r="J169" s="520" t="str">
        <f>IF(B169="","",IF(ISNA(VLOOKUP($B169,'B-1 Site Hedge Baseline'!$B$1:$L$257,11,FALSE)),"",(VLOOKUP($B169,'B-1 Site Hedge Baseline'!$B$1:$L$257,11,FALSE))))</f>
        <v/>
      </c>
      <c r="K169" s="520" t="str">
        <f>IF(B169="","",IF(ISNA(VLOOKUP($B169,'B-1 Site Hedge Baseline'!$B$1:$U$257,13,FALSE)),"",(VLOOKUP($B169,'B-1 Site Hedge Baseline'!$B$1:$U$257,13,FALSE))))</f>
        <v/>
      </c>
      <c r="L169" s="524" t="str">
        <f>IF(B169="","",IF(ISNA(VLOOKUP($B169,'B-1 Site Hedge Baseline'!$B$1:$U$257,12,FALSE)),"",(VLOOKUP($B169,'B-1 Site Hedge Baseline'!$B$1:$U$257,12,FALSE))))</f>
        <v/>
      </c>
      <c r="M169" s="416" t="str">
        <f t="shared" si="23"/>
        <v/>
      </c>
      <c r="N169" s="498" t="str">
        <f>IFERROR(IF(B169="","",INDEX('G-6 Hedgerow Data'!$AN$3:$AZ$15,MATCH(C169,'G-6 Hedgerow Data'!$AM$3:$AM$15,0),MATCH(M169,'G-6 Hedgerow Data'!$AN$2:$AZ$2,0))),"")</f>
        <v/>
      </c>
      <c r="O169" s="499" t="str">
        <f t="shared" si="18"/>
        <v/>
      </c>
      <c r="P169" s="559" t="str">
        <f>IF(B169="","",VLOOKUP(B169,'B-1 Site Hedge Baseline'!$B$10:T414,16,FALSE))</f>
        <v/>
      </c>
      <c r="Q169" s="498" t="str">
        <f>IF(M169="","",VLOOKUP(M169,'G-6 Hedgerow Data'!$B$2:$AG$15,2,FALSE))</f>
        <v/>
      </c>
      <c r="R169" s="499" t="str">
        <f>IF(M169="","",VLOOKUP(M169,'G-6 Hedgerow Data'!$B$2:$AG$15,3,FALSE))</f>
        <v/>
      </c>
      <c r="S169" s="157"/>
      <c r="T169" s="540" t="str">
        <f>IFERROR(VLOOKUP(S169,'G-1 All Habitats'!$Z$2:$AA$9,2,FALSE),"")</f>
        <v/>
      </c>
      <c r="U169" s="154"/>
      <c r="V169" s="520" t="str">
        <f>IF(U169="","",IF(VLOOKUP(U169,'G-3 Multipliers'!$L$3:$N$6,2,FALSE)=0,"Spatial Data Missing ⚠",VLOOKUP(U169,'G-3 Multipliers'!$L$3:$N$6,2,FALSE)))</f>
        <v/>
      </c>
      <c r="W169" s="524"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6"/>
        <v/>
      </c>
      <c r="AD169" s="537" t="str">
        <f>IF(M169="","",VLOOKUP(M169,'G-6 Hedgerow Data'!$B$3:$AG$15,31,FALSE))</f>
        <v/>
      </c>
      <c r="AE169" s="507" t="str">
        <f t="shared" si="21"/>
        <v/>
      </c>
      <c r="AF169" s="507" t="str">
        <f t="shared" si="22"/>
        <v/>
      </c>
      <c r="AG169" s="524" t="str">
        <f>IFERROR(IF(O169="","",VLOOKUP(AD169,'G-3 Multipliers'!$P$3:$Q$6,2,FALSE)),"")</f>
        <v/>
      </c>
      <c r="AH169" s="513" t="str">
        <f t="shared" si="17"/>
        <v/>
      </c>
      <c r="AI169" s="231"/>
      <c r="AJ169" s="150"/>
      <c r="AT169" s="31" t="str">
        <f>IFERROR(INDEX('G-6 Hedgerow Data'!$BJ$3:$BJ$15,MATCH(M169,'G-6 Hedgerow Data'!$B$3:$B$15,0)),"")</f>
        <v/>
      </c>
    </row>
    <row r="170" spans="2:46" ht="13.8" x14ac:dyDescent="0.25">
      <c r="B170" s="531" t="str">
        <f>'B-1 Site Hedge Baseline'!AK168</f>
        <v/>
      </c>
      <c r="C170" s="520" t="str">
        <f>IF(B170="","",IF(ISNA(VLOOKUP($B170,'B-1 Site Hedge Baseline'!$B$1:$L$257,3,FALSE)),"",(VLOOKUP($B170,'B-1 Site Hedge Baseline'!$B$1:$L$257,3,FALSE))))</f>
        <v/>
      </c>
      <c r="D170" s="520" t="str">
        <f>IF(B170="","",IF(ISNA(VLOOKUP($B170,'B-1 Site Hedge Baseline'!$B$1:$L$257,4,FALSE)),"",(VLOOKUP($B170,'B-1 Site Hedge Baseline'!$B$1:$L$257,4,FALSE))))</f>
        <v/>
      </c>
      <c r="E170" s="520" t="str">
        <f>IF(B170="","",IF(ISNA(VLOOKUP($B170,'B-1 Site Hedge Baseline'!$B$1:$L$257,5,FALSE)),"",(VLOOKUP($B170,'B-1 Site Hedge Baseline'!$B$1:$L$257,5,FALSE))))</f>
        <v/>
      </c>
      <c r="F170" s="520" t="str">
        <f>IF(B170="","",IF(ISNA(VLOOKUP($B170,'B-1 Site Hedge Baseline'!$B$1:$L$257,6,FALSE)),"",(VLOOKUP($B170,'B-1 Site Hedge Baseline'!$B$1:$L$257,6,FALSE))))</f>
        <v/>
      </c>
      <c r="G170" s="520" t="str">
        <f>IF(B170="","",IF(ISNA(VLOOKUP($B170,'B-1 Site Hedge Baseline'!$B$1:$L$257,7,FALSE)),"",(VLOOKUP($B170,'B-1 Site Hedge Baseline'!$B$1:$L$257,7,FALSE))))</f>
        <v/>
      </c>
      <c r="H170" s="520" t="str">
        <f>IF(B170="","",IF(ISNA(VLOOKUP($B170,'B-1 Site Hedge Baseline'!$B$1:$L$257,8,FALSE)),"",(VLOOKUP($B170,'B-1 Site Hedge Baseline'!$B$1:$L$257,8,FALSE))))</f>
        <v/>
      </c>
      <c r="I170" s="520" t="str">
        <f>IF(B170="","",IF(ISNA(VLOOKUP($B170,'B-1 Site Hedge Baseline'!$B$1:$L$257,10,FALSE)),"",(VLOOKUP($B170,'B-1 Site Hedge Baseline'!$B$1:$L$257,10,FALSE))))</f>
        <v/>
      </c>
      <c r="J170" s="520" t="str">
        <f>IF(B170="","",IF(ISNA(VLOOKUP($B170,'B-1 Site Hedge Baseline'!$B$1:$L$257,11,FALSE)),"",(VLOOKUP($B170,'B-1 Site Hedge Baseline'!$B$1:$L$257,11,FALSE))))</f>
        <v/>
      </c>
      <c r="K170" s="520" t="str">
        <f>IF(B170="","",IF(ISNA(VLOOKUP($B170,'B-1 Site Hedge Baseline'!$B$1:$U$257,13,FALSE)),"",(VLOOKUP($B170,'B-1 Site Hedge Baseline'!$B$1:$U$257,13,FALSE))))</f>
        <v/>
      </c>
      <c r="L170" s="524" t="str">
        <f>IF(B170="","",IF(ISNA(VLOOKUP($B170,'B-1 Site Hedge Baseline'!$B$1:$U$257,12,FALSE)),"",(VLOOKUP($B170,'B-1 Site Hedge Baseline'!$B$1:$U$257,12,FALSE))))</f>
        <v/>
      </c>
      <c r="M170" s="416" t="str">
        <f t="shared" si="23"/>
        <v/>
      </c>
      <c r="N170" s="498" t="str">
        <f>IFERROR(IF(B170="","",INDEX('G-6 Hedgerow Data'!$AN$3:$AZ$15,MATCH(C170,'G-6 Hedgerow Data'!$AM$3:$AM$15,0),MATCH(M170,'G-6 Hedgerow Data'!$AN$2:$AZ$2,0))),"")</f>
        <v/>
      </c>
      <c r="O170" s="499" t="str">
        <f t="shared" si="18"/>
        <v/>
      </c>
      <c r="P170" s="559" t="str">
        <f>IF(B170="","",VLOOKUP(B170,'B-1 Site Hedge Baseline'!$B$10:T415,16,FALSE))</f>
        <v/>
      </c>
      <c r="Q170" s="498" t="str">
        <f>IF(M170="","",VLOOKUP(M170,'G-6 Hedgerow Data'!$B$2:$AG$15,2,FALSE))</f>
        <v/>
      </c>
      <c r="R170" s="499" t="str">
        <f>IF(M170="","",VLOOKUP(M170,'G-6 Hedgerow Data'!$B$2:$AG$15,3,FALSE))</f>
        <v/>
      </c>
      <c r="S170" s="157"/>
      <c r="T170" s="540" t="str">
        <f>IFERROR(VLOOKUP(S170,'G-1 All Habitats'!$Z$2:$AA$9,2,FALSE),"")</f>
        <v/>
      </c>
      <c r="U170" s="154"/>
      <c r="V170" s="520" t="str">
        <f>IF(U170="","",IF(VLOOKUP(U170,'G-3 Multipliers'!$L$3:$N$6,2,FALSE)=0,"Spatial Data Missing ⚠",VLOOKUP(U170,'G-3 Multipliers'!$L$3:$N$6,2,FALSE)))</f>
        <v/>
      </c>
      <c r="W170" s="524"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6"/>
        <v/>
      </c>
      <c r="AD170" s="537" t="str">
        <f>IF(M170="","",VLOOKUP(M170,'G-6 Hedgerow Data'!$B$3:$AG$15,31,FALSE))</f>
        <v/>
      </c>
      <c r="AE170" s="507" t="str">
        <f t="shared" si="21"/>
        <v/>
      </c>
      <c r="AF170" s="507" t="str">
        <f t="shared" si="22"/>
        <v/>
      </c>
      <c r="AG170" s="524" t="str">
        <f>IFERROR(IF(O170="","",VLOOKUP(AD170,'G-3 Multipliers'!$P$3:$Q$6,2,FALSE)),"")</f>
        <v/>
      </c>
      <c r="AH170" s="513" t="str">
        <f t="shared" si="17"/>
        <v/>
      </c>
      <c r="AI170" s="231"/>
      <c r="AJ170" s="150"/>
      <c r="AT170" s="31" t="str">
        <f>IFERROR(INDEX('G-6 Hedgerow Data'!$BJ$3:$BJ$15,MATCH(M170,'G-6 Hedgerow Data'!$B$3:$B$15,0)),"")</f>
        <v/>
      </c>
    </row>
    <row r="171" spans="2:46" ht="13.8" x14ac:dyDescent="0.25">
      <c r="B171" s="531" t="str">
        <f>'B-1 Site Hedge Baseline'!AK169</f>
        <v/>
      </c>
      <c r="C171" s="520" t="str">
        <f>IF(B171="","",IF(ISNA(VLOOKUP($B171,'B-1 Site Hedge Baseline'!$B$1:$L$257,3,FALSE)),"",(VLOOKUP($B171,'B-1 Site Hedge Baseline'!$B$1:$L$257,3,FALSE))))</f>
        <v/>
      </c>
      <c r="D171" s="520" t="str">
        <f>IF(B171="","",IF(ISNA(VLOOKUP($B171,'B-1 Site Hedge Baseline'!$B$1:$L$257,4,FALSE)),"",(VLOOKUP($B171,'B-1 Site Hedge Baseline'!$B$1:$L$257,4,FALSE))))</f>
        <v/>
      </c>
      <c r="E171" s="520" t="str">
        <f>IF(B171="","",IF(ISNA(VLOOKUP($B171,'B-1 Site Hedge Baseline'!$B$1:$L$257,5,FALSE)),"",(VLOOKUP($B171,'B-1 Site Hedge Baseline'!$B$1:$L$257,5,FALSE))))</f>
        <v/>
      </c>
      <c r="F171" s="520" t="str">
        <f>IF(B171="","",IF(ISNA(VLOOKUP($B171,'B-1 Site Hedge Baseline'!$B$1:$L$257,6,FALSE)),"",(VLOOKUP($B171,'B-1 Site Hedge Baseline'!$B$1:$L$257,6,FALSE))))</f>
        <v/>
      </c>
      <c r="G171" s="520" t="str">
        <f>IF(B171="","",IF(ISNA(VLOOKUP($B171,'B-1 Site Hedge Baseline'!$B$1:$L$257,7,FALSE)),"",(VLOOKUP($B171,'B-1 Site Hedge Baseline'!$B$1:$L$257,7,FALSE))))</f>
        <v/>
      </c>
      <c r="H171" s="520" t="str">
        <f>IF(B171="","",IF(ISNA(VLOOKUP($B171,'B-1 Site Hedge Baseline'!$B$1:$L$257,8,FALSE)),"",(VLOOKUP($B171,'B-1 Site Hedge Baseline'!$B$1:$L$257,8,FALSE))))</f>
        <v/>
      </c>
      <c r="I171" s="520" t="str">
        <f>IF(B171="","",IF(ISNA(VLOOKUP($B171,'B-1 Site Hedge Baseline'!$B$1:$L$257,10,FALSE)),"",(VLOOKUP($B171,'B-1 Site Hedge Baseline'!$B$1:$L$257,10,FALSE))))</f>
        <v/>
      </c>
      <c r="J171" s="520" t="str">
        <f>IF(B171="","",IF(ISNA(VLOOKUP($B171,'B-1 Site Hedge Baseline'!$B$1:$L$257,11,FALSE)),"",(VLOOKUP($B171,'B-1 Site Hedge Baseline'!$B$1:$L$257,11,FALSE))))</f>
        <v/>
      </c>
      <c r="K171" s="520" t="str">
        <f>IF(B171="","",IF(ISNA(VLOOKUP($B171,'B-1 Site Hedge Baseline'!$B$1:$U$257,13,FALSE)),"",(VLOOKUP($B171,'B-1 Site Hedge Baseline'!$B$1:$U$257,13,FALSE))))</f>
        <v/>
      </c>
      <c r="L171" s="524" t="str">
        <f>IF(B171="","",IF(ISNA(VLOOKUP($B171,'B-1 Site Hedge Baseline'!$B$1:$U$257,12,FALSE)),"",(VLOOKUP($B171,'B-1 Site Hedge Baseline'!$B$1:$U$257,12,FALSE))))</f>
        <v/>
      </c>
      <c r="M171" s="416" t="str">
        <f t="shared" si="23"/>
        <v/>
      </c>
      <c r="N171" s="498" t="str">
        <f>IFERROR(IF(B171="","",INDEX('G-6 Hedgerow Data'!$AN$3:$AZ$15,MATCH(C171,'G-6 Hedgerow Data'!$AM$3:$AM$15,0),MATCH(M171,'G-6 Hedgerow Data'!$AN$2:$AZ$2,0))),"")</f>
        <v/>
      </c>
      <c r="O171" s="499" t="str">
        <f t="shared" si="18"/>
        <v/>
      </c>
      <c r="P171" s="559" t="str">
        <f>IF(B171="","",VLOOKUP(B171,'B-1 Site Hedge Baseline'!$B$10:T416,16,FALSE))</f>
        <v/>
      </c>
      <c r="Q171" s="498" t="str">
        <f>IF(M171="","",VLOOKUP(M171,'G-6 Hedgerow Data'!$B$2:$AG$15,2,FALSE))</f>
        <v/>
      </c>
      <c r="R171" s="499" t="str">
        <f>IF(M171="","",VLOOKUP(M171,'G-6 Hedgerow Data'!$B$2:$AG$15,3,FALSE))</f>
        <v/>
      </c>
      <c r="S171" s="157"/>
      <c r="T171" s="540" t="str">
        <f>IFERROR(VLOOKUP(S171,'G-1 All Habitats'!$Z$2:$AA$9,2,FALSE),"")</f>
        <v/>
      </c>
      <c r="U171" s="154"/>
      <c r="V171" s="520" t="str">
        <f>IF(U171="","",IF(VLOOKUP(U171,'G-3 Multipliers'!$L$3:$N$6,2,FALSE)=0,"Spatial Data Missing ⚠",VLOOKUP(U171,'G-3 Multipliers'!$L$3:$N$6,2,FALSE)))</f>
        <v/>
      </c>
      <c r="W171" s="524"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6"/>
        <v/>
      </c>
      <c r="AD171" s="537" t="str">
        <f>IF(M171="","",VLOOKUP(M171,'G-6 Hedgerow Data'!$B$3:$AG$15,31,FALSE))</f>
        <v/>
      </c>
      <c r="AE171" s="507" t="str">
        <f t="shared" si="21"/>
        <v/>
      </c>
      <c r="AF171" s="507" t="str">
        <f t="shared" si="22"/>
        <v/>
      </c>
      <c r="AG171" s="524" t="str">
        <f>IFERROR(IF(O171="","",VLOOKUP(AD171,'G-3 Multipliers'!$P$3:$Q$6,2,FALSE)),"")</f>
        <v/>
      </c>
      <c r="AH171" s="513" t="str">
        <f t="shared" si="17"/>
        <v/>
      </c>
      <c r="AI171" s="231"/>
      <c r="AJ171" s="150"/>
      <c r="AT171" s="31" t="str">
        <f>IFERROR(INDEX('G-6 Hedgerow Data'!$BJ$3:$BJ$15,MATCH(M171,'G-6 Hedgerow Data'!$B$3:$B$15,0)),"")</f>
        <v/>
      </c>
    </row>
    <row r="172" spans="2:46" ht="13.8" x14ac:dyDescent="0.25">
      <c r="B172" s="531" t="str">
        <f>'B-1 Site Hedge Baseline'!AK170</f>
        <v/>
      </c>
      <c r="C172" s="520" t="str">
        <f>IF(B172="","",IF(ISNA(VLOOKUP($B172,'B-1 Site Hedge Baseline'!$B$1:$L$257,3,FALSE)),"",(VLOOKUP($B172,'B-1 Site Hedge Baseline'!$B$1:$L$257,3,FALSE))))</f>
        <v/>
      </c>
      <c r="D172" s="520" t="str">
        <f>IF(B172="","",IF(ISNA(VLOOKUP($B172,'B-1 Site Hedge Baseline'!$B$1:$L$257,4,FALSE)),"",(VLOOKUP($B172,'B-1 Site Hedge Baseline'!$B$1:$L$257,4,FALSE))))</f>
        <v/>
      </c>
      <c r="E172" s="520" t="str">
        <f>IF(B172="","",IF(ISNA(VLOOKUP($B172,'B-1 Site Hedge Baseline'!$B$1:$L$257,5,FALSE)),"",(VLOOKUP($B172,'B-1 Site Hedge Baseline'!$B$1:$L$257,5,FALSE))))</f>
        <v/>
      </c>
      <c r="F172" s="520" t="str">
        <f>IF(B172="","",IF(ISNA(VLOOKUP($B172,'B-1 Site Hedge Baseline'!$B$1:$L$257,6,FALSE)),"",(VLOOKUP($B172,'B-1 Site Hedge Baseline'!$B$1:$L$257,6,FALSE))))</f>
        <v/>
      </c>
      <c r="G172" s="520" t="str">
        <f>IF(B172="","",IF(ISNA(VLOOKUP($B172,'B-1 Site Hedge Baseline'!$B$1:$L$257,7,FALSE)),"",(VLOOKUP($B172,'B-1 Site Hedge Baseline'!$B$1:$L$257,7,FALSE))))</f>
        <v/>
      </c>
      <c r="H172" s="520" t="str">
        <f>IF(B172="","",IF(ISNA(VLOOKUP($B172,'B-1 Site Hedge Baseline'!$B$1:$L$257,8,FALSE)),"",(VLOOKUP($B172,'B-1 Site Hedge Baseline'!$B$1:$L$257,8,FALSE))))</f>
        <v/>
      </c>
      <c r="I172" s="520" t="str">
        <f>IF(B172="","",IF(ISNA(VLOOKUP($B172,'B-1 Site Hedge Baseline'!$B$1:$L$257,10,FALSE)),"",(VLOOKUP($B172,'B-1 Site Hedge Baseline'!$B$1:$L$257,10,FALSE))))</f>
        <v/>
      </c>
      <c r="J172" s="520" t="str">
        <f>IF(B172="","",IF(ISNA(VLOOKUP($B172,'B-1 Site Hedge Baseline'!$B$1:$L$257,11,FALSE)),"",(VLOOKUP($B172,'B-1 Site Hedge Baseline'!$B$1:$L$257,11,FALSE))))</f>
        <v/>
      </c>
      <c r="K172" s="520" t="str">
        <f>IF(B172="","",IF(ISNA(VLOOKUP($B172,'B-1 Site Hedge Baseline'!$B$1:$U$257,13,FALSE)),"",(VLOOKUP($B172,'B-1 Site Hedge Baseline'!$B$1:$U$257,13,FALSE))))</f>
        <v/>
      </c>
      <c r="L172" s="524" t="str">
        <f>IF(B172="","",IF(ISNA(VLOOKUP($B172,'B-1 Site Hedge Baseline'!$B$1:$U$257,12,FALSE)),"",(VLOOKUP($B172,'B-1 Site Hedge Baseline'!$B$1:$U$257,12,FALSE))))</f>
        <v/>
      </c>
      <c r="M172" s="416" t="str">
        <f t="shared" si="23"/>
        <v/>
      </c>
      <c r="N172" s="498" t="str">
        <f>IFERROR(IF(B172="","",INDEX('G-6 Hedgerow Data'!$AN$3:$AZ$15,MATCH(C172,'G-6 Hedgerow Data'!$AM$3:$AM$15,0),MATCH(M172,'G-6 Hedgerow Data'!$AN$2:$AZ$2,0))),"")</f>
        <v/>
      </c>
      <c r="O172" s="499" t="str">
        <f t="shared" si="18"/>
        <v/>
      </c>
      <c r="P172" s="559" t="str">
        <f>IF(B172="","",VLOOKUP(B172,'B-1 Site Hedge Baseline'!$B$10:T417,16,FALSE))</f>
        <v/>
      </c>
      <c r="Q172" s="498" t="str">
        <f>IF(M172="","",VLOOKUP(M172,'G-6 Hedgerow Data'!$B$2:$AG$15,2,FALSE))</f>
        <v/>
      </c>
      <c r="R172" s="499" t="str">
        <f>IF(M172="","",VLOOKUP(M172,'G-6 Hedgerow Data'!$B$2:$AG$15,3,FALSE))</f>
        <v/>
      </c>
      <c r="S172" s="157"/>
      <c r="T172" s="540" t="str">
        <f>IFERROR(VLOOKUP(S172,'G-1 All Habitats'!$Z$2:$AA$9,2,FALSE),"")</f>
        <v/>
      </c>
      <c r="U172" s="154"/>
      <c r="V172" s="520" t="str">
        <f>IF(U172="","",IF(VLOOKUP(U172,'G-3 Multipliers'!$L$3:$N$6,2,FALSE)=0,"Spatial Data Missing ⚠",VLOOKUP(U172,'G-3 Multipliers'!$L$3:$N$6,2,FALSE)))</f>
        <v/>
      </c>
      <c r="W172" s="524"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6"/>
        <v/>
      </c>
      <c r="AD172" s="537" t="str">
        <f>IF(M172="","",VLOOKUP(M172,'G-6 Hedgerow Data'!$B$3:$AG$15,31,FALSE))</f>
        <v/>
      </c>
      <c r="AE172" s="507" t="str">
        <f t="shared" si="21"/>
        <v/>
      </c>
      <c r="AF172" s="507" t="str">
        <f t="shared" si="22"/>
        <v/>
      </c>
      <c r="AG172" s="524" t="str">
        <f>IFERROR(IF(O172="","",VLOOKUP(AD172,'G-3 Multipliers'!$P$3:$Q$6,2,FALSE)),"")</f>
        <v/>
      </c>
      <c r="AH172" s="513" t="str">
        <f t="shared" si="17"/>
        <v/>
      </c>
      <c r="AI172" s="231"/>
      <c r="AJ172" s="150"/>
      <c r="AT172" s="31" t="str">
        <f>IFERROR(INDEX('G-6 Hedgerow Data'!$BJ$3:$BJ$15,MATCH(M172,'G-6 Hedgerow Data'!$B$3:$B$15,0)),"")</f>
        <v/>
      </c>
    </row>
    <row r="173" spans="2:46" ht="13.8" x14ac:dyDescent="0.25">
      <c r="B173" s="531" t="str">
        <f>'B-1 Site Hedge Baseline'!AK171</f>
        <v/>
      </c>
      <c r="C173" s="520" t="str">
        <f>IF(B173="","",IF(ISNA(VLOOKUP($B173,'B-1 Site Hedge Baseline'!$B$1:$L$257,3,FALSE)),"",(VLOOKUP($B173,'B-1 Site Hedge Baseline'!$B$1:$L$257,3,FALSE))))</f>
        <v/>
      </c>
      <c r="D173" s="520" t="str">
        <f>IF(B173="","",IF(ISNA(VLOOKUP($B173,'B-1 Site Hedge Baseline'!$B$1:$L$257,4,FALSE)),"",(VLOOKUP($B173,'B-1 Site Hedge Baseline'!$B$1:$L$257,4,FALSE))))</f>
        <v/>
      </c>
      <c r="E173" s="520" t="str">
        <f>IF(B173="","",IF(ISNA(VLOOKUP($B173,'B-1 Site Hedge Baseline'!$B$1:$L$257,5,FALSE)),"",(VLOOKUP($B173,'B-1 Site Hedge Baseline'!$B$1:$L$257,5,FALSE))))</f>
        <v/>
      </c>
      <c r="F173" s="520" t="str">
        <f>IF(B173="","",IF(ISNA(VLOOKUP($B173,'B-1 Site Hedge Baseline'!$B$1:$L$257,6,FALSE)),"",(VLOOKUP($B173,'B-1 Site Hedge Baseline'!$B$1:$L$257,6,FALSE))))</f>
        <v/>
      </c>
      <c r="G173" s="520" t="str">
        <f>IF(B173="","",IF(ISNA(VLOOKUP($B173,'B-1 Site Hedge Baseline'!$B$1:$L$257,7,FALSE)),"",(VLOOKUP($B173,'B-1 Site Hedge Baseline'!$B$1:$L$257,7,FALSE))))</f>
        <v/>
      </c>
      <c r="H173" s="520" t="str">
        <f>IF(B173="","",IF(ISNA(VLOOKUP($B173,'B-1 Site Hedge Baseline'!$B$1:$L$257,8,FALSE)),"",(VLOOKUP($B173,'B-1 Site Hedge Baseline'!$B$1:$L$257,8,FALSE))))</f>
        <v/>
      </c>
      <c r="I173" s="520" t="str">
        <f>IF(B173="","",IF(ISNA(VLOOKUP($B173,'B-1 Site Hedge Baseline'!$B$1:$L$257,10,FALSE)),"",(VLOOKUP($B173,'B-1 Site Hedge Baseline'!$B$1:$L$257,10,FALSE))))</f>
        <v/>
      </c>
      <c r="J173" s="520" t="str">
        <f>IF(B173="","",IF(ISNA(VLOOKUP($B173,'B-1 Site Hedge Baseline'!$B$1:$L$257,11,FALSE)),"",(VLOOKUP($B173,'B-1 Site Hedge Baseline'!$B$1:$L$257,11,FALSE))))</f>
        <v/>
      </c>
      <c r="K173" s="520" t="str">
        <f>IF(B173="","",IF(ISNA(VLOOKUP($B173,'B-1 Site Hedge Baseline'!$B$1:$U$257,13,FALSE)),"",(VLOOKUP($B173,'B-1 Site Hedge Baseline'!$B$1:$U$257,13,FALSE))))</f>
        <v/>
      </c>
      <c r="L173" s="524" t="str">
        <f>IF(B173="","",IF(ISNA(VLOOKUP($B173,'B-1 Site Hedge Baseline'!$B$1:$U$257,12,FALSE)),"",(VLOOKUP($B173,'B-1 Site Hedge Baseline'!$B$1:$U$257,12,FALSE))))</f>
        <v/>
      </c>
      <c r="M173" s="416" t="str">
        <f t="shared" si="23"/>
        <v/>
      </c>
      <c r="N173" s="498" t="str">
        <f>IFERROR(IF(B173="","",INDEX('G-6 Hedgerow Data'!$AN$3:$AZ$15,MATCH(C173,'G-6 Hedgerow Data'!$AM$3:$AM$15,0),MATCH(M173,'G-6 Hedgerow Data'!$AN$2:$AZ$2,0))),"")</f>
        <v/>
      </c>
      <c r="O173" s="499" t="str">
        <f t="shared" si="18"/>
        <v/>
      </c>
      <c r="P173" s="559" t="str">
        <f>IF(B173="","",VLOOKUP(B173,'B-1 Site Hedge Baseline'!$B$10:T418,16,FALSE))</f>
        <v/>
      </c>
      <c r="Q173" s="498" t="str">
        <f>IF(M173="","",VLOOKUP(M173,'G-6 Hedgerow Data'!$B$2:$AG$15,2,FALSE))</f>
        <v/>
      </c>
      <c r="R173" s="499" t="str">
        <f>IF(M173="","",VLOOKUP(M173,'G-6 Hedgerow Data'!$B$2:$AG$15,3,FALSE))</f>
        <v/>
      </c>
      <c r="S173" s="157"/>
      <c r="T173" s="540" t="str">
        <f>IFERROR(VLOOKUP(S173,'G-1 All Habitats'!$Z$2:$AA$9,2,FALSE),"")</f>
        <v/>
      </c>
      <c r="U173" s="154"/>
      <c r="V173" s="520" t="str">
        <f>IF(U173="","",IF(VLOOKUP(U173,'G-3 Multipliers'!$L$3:$N$6,2,FALSE)=0,"Spatial Data Missing ⚠",VLOOKUP(U173,'G-3 Multipliers'!$L$3:$N$6,2,FALSE)))</f>
        <v/>
      </c>
      <c r="W173" s="524"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6"/>
        <v/>
      </c>
      <c r="AD173" s="537" t="str">
        <f>IF(M173="","",VLOOKUP(M173,'G-6 Hedgerow Data'!$B$3:$AG$15,31,FALSE))</f>
        <v/>
      </c>
      <c r="AE173" s="507" t="str">
        <f t="shared" si="21"/>
        <v/>
      </c>
      <c r="AF173" s="507" t="str">
        <f t="shared" si="22"/>
        <v/>
      </c>
      <c r="AG173" s="524" t="str">
        <f>IFERROR(IF(O173="","",VLOOKUP(AD173,'G-3 Multipliers'!$P$3:$Q$6,2,FALSE)),"")</f>
        <v/>
      </c>
      <c r="AH173" s="513" t="str">
        <f t="shared" si="17"/>
        <v/>
      </c>
      <c r="AI173" s="231"/>
      <c r="AJ173" s="150"/>
      <c r="AT173" s="31" t="str">
        <f>IFERROR(INDEX('G-6 Hedgerow Data'!$BJ$3:$BJ$15,MATCH(M173,'G-6 Hedgerow Data'!$B$3:$B$15,0)),"")</f>
        <v/>
      </c>
    </row>
    <row r="174" spans="2:46" ht="13.8" x14ac:dyDescent="0.25">
      <c r="B174" s="531" t="str">
        <f>'B-1 Site Hedge Baseline'!AK172</f>
        <v/>
      </c>
      <c r="C174" s="520" t="str">
        <f>IF(B174="","",IF(ISNA(VLOOKUP($B174,'B-1 Site Hedge Baseline'!$B$1:$L$257,3,FALSE)),"",(VLOOKUP($B174,'B-1 Site Hedge Baseline'!$B$1:$L$257,3,FALSE))))</f>
        <v/>
      </c>
      <c r="D174" s="520" t="str">
        <f>IF(B174="","",IF(ISNA(VLOOKUP($B174,'B-1 Site Hedge Baseline'!$B$1:$L$257,4,FALSE)),"",(VLOOKUP($B174,'B-1 Site Hedge Baseline'!$B$1:$L$257,4,FALSE))))</f>
        <v/>
      </c>
      <c r="E174" s="520" t="str">
        <f>IF(B174="","",IF(ISNA(VLOOKUP($B174,'B-1 Site Hedge Baseline'!$B$1:$L$257,5,FALSE)),"",(VLOOKUP($B174,'B-1 Site Hedge Baseline'!$B$1:$L$257,5,FALSE))))</f>
        <v/>
      </c>
      <c r="F174" s="520" t="str">
        <f>IF(B174="","",IF(ISNA(VLOOKUP($B174,'B-1 Site Hedge Baseline'!$B$1:$L$257,6,FALSE)),"",(VLOOKUP($B174,'B-1 Site Hedge Baseline'!$B$1:$L$257,6,FALSE))))</f>
        <v/>
      </c>
      <c r="G174" s="520" t="str">
        <f>IF(B174="","",IF(ISNA(VLOOKUP($B174,'B-1 Site Hedge Baseline'!$B$1:$L$257,7,FALSE)),"",(VLOOKUP($B174,'B-1 Site Hedge Baseline'!$B$1:$L$257,7,FALSE))))</f>
        <v/>
      </c>
      <c r="H174" s="520" t="str">
        <f>IF(B174="","",IF(ISNA(VLOOKUP($B174,'B-1 Site Hedge Baseline'!$B$1:$L$257,8,FALSE)),"",(VLOOKUP($B174,'B-1 Site Hedge Baseline'!$B$1:$L$257,8,FALSE))))</f>
        <v/>
      </c>
      <c r="I174" s="520" t="str">
        <f>IF(B174="","",IF(ISNA(VLOOKUP($B174,'B-1 Site Hedge Baseline'!$B$1:$L$257,10,FALSE)),"",(VLOOKUP($B174,'B-1 Site Hedge Baseline'!$B$1:$L$257,10,FALSE))))</f>
        <v/>
      </c>
      <c r="J174" s="520" t="str">
        <f>IF(B174="","",IF(ISNA(VLOOKUP($B174,'B-1 Site Hedge Baseline'!$B$1:$L$257,11,FALSE)),"",(VLOOKUP($B174,'B-1 Site Hedge Baseline'!$B$1:$L$257,11,FALSE))))</f>
        <v/>
      </c>
      <c r="K174" s="520" t="str">
        <f>IF(B174="","",IF(ISNA(VLOOKUP($B174,'B-1 Site Hedge Baseline'!$B$1:$U$257,13,FALSE)),"",(VLOOKUP($B174,'B-1 Site Hedge Baseline'!$B$1:$U$257,13,FALSE))))</f>
        <v/>
      </c>
      <c r="L174" s="524" t="str">
        <f>IF(B174="","",IF(ISNA(VLOOKUP($B174,'B-1 Site Hedge Baseline'!$B$1:$U$257,12,FALSE)),"",(VLOOKUP($B174,'B-1 Site Hedge Baseline'!$B$1:$U$257,12,FALSE))))</f>
        <v/>
      </c>
      <c r="M174" s="416" t="str">
        <f t="shared" si="23"/>
        <v/>
      </c>
      <c r="N174" s="498" t="str">
        <f>IFERROR(IF(B174="","",INDEX('G-6 Hedgerow Data'!$AN$3:$AZ$15,MATCH(C174,'G-6 Hedgerow Data'!$AM$3:$AM$15,0),MATCH(M174,'G-6 Hedgerow Data'!$AN$2:$AZ$2,0))),"")</f>
        <v/>
      </c>
      <c r="O174" s="499" t="str">
        <f t="shared" si="18"/>
        <v/>
      </c>
      <c r="P174" s="559" t="str">
        <f>IF(B174="","",VLOOKUP(B174,'B-1 Site Hedge Baseline'!$B$10:T419,16,FALSE))</f>
        <v/>
      </c>
      <c r="Q174" s="498" t="str">
        <f>IF(M174="","",VLOOKUP(M174,'G-6 Hedgerow Data'!$B$2:$AG$15,2,FALSE))</f>
        <v/>
      </c>
      <c r="R174" s="499" t="str">
        <f>IF(M174="","",VLOOKUP(M174,'G-6 Hedgerow Data'!$B$2:$AG$15,3,FALSE))</f>
        <v/>
      </c>
      <c r="S174" s="157"/>
      <c r="T174" s="540" t="str">
        <f>IFERROR(VLOOKUP(S174,'G-1 All Habitats'!$Z$2:$AA$9,2,FALSE),"")</f>
        <v/>
      </c>
      <c r="U174" s="154"/>
      <c r="V174" s="520" t="str">
        <f>IF(U174="","",IF(VLOOKUP(U174,'G-3 Multipliers'!$L$3:$N$6,2,FALSE)=0,"Spatial Data Missing ⚠",VLOOKUP(U174,'G-3 Multipliers'!$L$3:$N$6,2,FALSE)))</f>
        <v/>
      </c>
      <c r="W174" s="524"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6"/>
        <v/>
      </c>
      <c r="AD174" s="537" t="str">
        <f>IF(M174="","",VLOOKUP(M174,'G-6 Hedgerow Data'!$B$3:$AG$15,31,FALSE))</f>
        <v/>
      </c>
      <c r="AE174" s="507" t="str">
        <f t="shared" si="21"/>
        <v/>
      </c>
      <c r="AF174" s="507" t="str">
        <f t="shared" si="22"/>
        <v/>
      </c>
      <c r="AG174" s="524" t="str">
        <f>IFERROR(IF(O174="","",VLOOKUP(AD174,'G-3 Multipliers'!$P$3:$Q$6,2,FALSE)),"")</f>
        <v/>
      </c>
      <c r="AH174" s="513" t="str">
        <f t="shared" si="17"/>
        <v/>
      </c>
      <c r="AI174" s="231"/>
      <c r="AJ174" s="150"/>
      <c r="AT174" s="31" t="str">
        <f>IFERROR(INDEX('G-6 Hedgerow Data'!$BJ$3:$BJ$15,MATCH(M174,'G-6 Hedgerow Data'!$B$3:$B$15,0)),"")</f>
        <v/>
      </c>
    </row>
    <row r="175" spans="2:46" ht="13.8" x14ac:dyDescent="0.25">
      <c r="B175" s="531" t="str">
        <f>'B-1 Site Hedge Baseline'!AK173</f>
        <v/>
      </c>
      <c r="C175" s="520" t="str">
        <f>IF(B175="","",IF(ISNA(VLOOKUP($B175,'B-1 Site Hedge Baseline'!$B$1:$L$257,3,FALSE)),"",(VLOOKUP($B175,'B-1 Site Hedge Baseline'!$B$1:$L$257,3,FALSE))))</f>
        <v/>
      </c>
      <c r="D175" s="520" t="str">
        <f>IF(B175="","",IF(ISNA(VLOOKUP($B175,'B-1 Site Hedge Baseline'!$B$1:$L$257,4,FALSE)),"",(VLOOKUP($B175,'B-1 Site Hedge Baseline'!$B$1:$L$257,4,FALSE))))</f>
        <v/>
      </c>
      <c r="E175" s="520" t="str">
        <f>IF(B175="","",IF(ISNA(VLOOKUP($B175,'B-1 Site Hedge Baseline'!$B$1:$L$257,5,FALSE)),"",(VLOOKUP($B175,'B-1 Site Hedge Baseline'!$B$1:$L$257,5,FALSE))))</f>
        <v/>
      </c>
      <c r="F175" s="520" t="str">
        <f>IF(B175="","",IF(ISNA(VLOOKUP($B175,'B-1 Site Hedge Baseline'!$B$1:$L$257,6,FALSE)),"",(VLOOKUP($B175,'B-1 Site Hedge Baseline'!$B$1:$L$257,6,FALSE))))</f>
        <v/>
      </c>
      <c r="G175" s="520" t="str">
        <f>IF(B175="","",IF(ISNA(VLOOKUP($B175,'B-1 Site Hedge Baseline'!$B$1:$L$257,7,FALSE)),"",(VLOOKUP($B175,'B-1 Site Hedge Baseline'!$B$1:$L$257,7,FALSE))))</f>
        <v/>
      </c>
      <c r="H175" s="520" t="str">
        <f>IF(B175="","",IF(ISNA(VLOOKUP($B175,'B-1 Site Hedge Baseline'!$B$1:$L$257,8,FALSE)),"",(VLOOKUP($B175,'B-1 Site Hedge Baseline'!$B$1:$L$257,8,FALSE))))</f>
        <v/>
      </c>
      <c r="I175" s="520" t="str">
        <f>IF(B175="","",IF(ISNA(VLOOKUP($B175,'B-1 Site Hedge Baseline'!$B$1:$L$257,10,FALSE)),"",(VLOOKUP($B175,'B-1 Site Hedge Baseline'!$B$1:$L$257,10,FALSE))))</f>
        <v/>
      </c>
      <c r="J175" s="520" t="str">
        <f>IF(B175="","",IF(ISNA(VLOOKUP($B175,'B-1 Site Hedge Baseline'!$B$1:$L$257,11,FALSE)),"",(VLOOKUP($B175,'B-1 Site Hedge Baseline'!$B$1:$L$257,11,FALSE))))</f>
        <v/>
      </c>
      <c r="K175" s="520" t="str">
        <f>IF(B175="","",IF(ISNA(VLOOKUP($B175,'B-1 Site Hedge Baseline'!$B$1:$U$257,13,FALSE)),"",(VLOOKUP($B175,'B-1 Site Hedge Baseline'!$B$1:$U$257,13,FALSE))))</f>
        <v/>
      </c>
      <c r="L175" s="524" t="str">
        <f>IF(B175="","",IF(ISNA(VLOOKUP($B175,'B-1 Site Hedge Baseline'!$B$1:$U$257,12,FALSE)),"",(VLOOKUP($B175,'B-1 Site Hedge Baseline'!$B$1:$U$257,12,FALSE))))</f>
        <v/>
      </c>
      <c r="M175" s="416" t="str">
        <f t="shared" si="23"/>
        <v/>
      </c>
      <c r="N175" s="498" t="str">
        <f>IFERROR(IF(B175="","",INDEX('G-6 Hedgerow Data'!$AN$3:$AZ$15,MATCH(C175,'G-6 Hedgerow Data'!$AM$3:$AM$15,0),MATCH(M175,'G-6 Hedgerow Data'!$AN$2:$AZ$2,0))),"")</f>
        <v/>
      </c>
      <c r="O175" s="499" t="str">
        <f t="shared" si="18"/>
        <v/>
      </c>
      <c r="P175" s="559" t="str">
        <f>IF(B175="","",VLOOKUP(B175,'B-1 Site Hedge Baseline'!$B$10:T420,16,FALSE))</f>
        <v/>
      </c>
      <c r="Q175" s="498" t="str">
        <f>IF(M175="","",VLOOKUP(M175,'G-6 Hedgerow Data'!$B$2:$AG$15,2,FALSE))</f>
        <v/>
      </c>
      <c r="R175" s="499" t="str">
        <f>IF(M175="","",VLOOKUP(M175,'G-6 Hedgerow Data'!$B$2:$AG$15,3,FALSE))</f>
        <v/>
      </c>
      <c r="S175" s="157"/>
      <c r="T175" s="540" t="str">
        <f>IFERROR(VLOOKUP(S175,'G-1 All Habitats'!$Z$2:$AA$9,2,FALSE),"")</f>
        <v/>
      </c>
      <c r="U175" s="154"/>
      <c r="V175" s="520" t="str">
        <f>IF(U175="","",IF(VLOOKUP(U175,'G-3 Multipliers'!$L$3:$N$6,2,FALSE)=0,"Spatial Data Missing ⚠",VLOOKUP(U175,'G-3 Multipliers'!$L$3:$N$6,2,FALSE)))</f>
        <v/>
      </c>
      <c r="W175" s="524"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6"/>
        <v/>
      </c>
      <c r="AD175" s="537" t="str">
        <f>IF(M175="","",VLOOKUP(M175,'G-6 Hedgerow Data'!$B$3:$AG$15,31,FALSE))</f>
        <v/>
      </c>
      <c r="AE175" s="507" t="str">
        <f t="shared" si="21"/>
        <v/>
      </c>
      <c r="AF175" s="507" t="str">
        <f t="shared" si="22"/>
        <v/>
      </c>
      <c r="AG175" s="524" t="str">
        <f>IFERROR(IF(O175="","",VLOOKUP(AD175,'G-3 Multipliers'!$P$3:$Q$6,2,FALSE)),"")</f>
        <v/>
      </c>
      <c r="AH175" s="513" t="str">
        <f t="shared" si="17"/>
        <v/>
      </c>
      <c r="AI175" s="231"/>
      <c r="AJ175" s="150"/>
      <c r="AT175" s="31" t="str">
        <f>IFERROR(INDEX('G-6 Hedgerow Data'!$BJ$3:$BJ$15,MATCH(M175,'G-6 Hedgerow Data'!$B$3:$B$15,0)),"")</f>
        <v/>
      </c>
    </row>
    <row r="176" spans="2:46" ht="13.8" x14ac:dyDescent="0.25">
      <c r="B176" s="531" t="str">
        <f>'B-1 Site Hedge Baseline'!AK174</f>
        <v/>
      </c>
      <c r="C176" s="520" t="str">
        <f>IF(B176="","",IF(ISNA(VLOOKUP($B176,'B-1 Site Hedge Baseline'!$B$1:$L$257,3,FALSE)),"",(VLOOKUP($B176,'B-1 Site Hedge Baseline'!$B$1:$L$257,3,FALSE))))</f>
        <v/>
      </c>
      <c r="D176" s="520" t="str">
        <f>IF(B176="","",IF(ISNA(VLOOKUP($B176,'B-1 Site Hedge Baseline'!$B$1:$L$257,4,FALSE)),"",(VLOOKUP($B176,'B-1 Site Hedge Baseline'!$B$1:$L$257,4,FALSE))))</f>
        <v/>
      </c>
      <c r="E176" s="520" t="str">
        <f>IF(B176="","",IF(ISNA(VLOOKUP($B176,'B-1 Site Hedge Baseline'!$B$1:$L$257,5,FALSE)),"",(VLOOKUP($B176,'B-1 Site Hedge Baseline'!$B$1:$L$257,5,FALSE))))</f>
        <v/>
      </c>
      <c r="F176" s="520" t="str">
        <f>IF(B176="","",IF(ISNA(VLOOKUP($B176,'B-1 Site Hedge Baseline'!$B$1:$L$257,6,FALSE)),"",(VLOOKUP($B176,'B-1 Site Hedge Baseline'!$B$1:$L$257,6,FALSE))))</f>
        <v/>
      </c>
      <c r="G176" s="520" t="str">
        <f>IF(B176="","",IF(ISNA(VLOOKUP($B176,'B-1 Site Hedge Baseline'!$B$1:$L$257,7,FALSE)),"",(VLOOKUP($B176,'B-1 Site Hedge Baseline'!$B$1:$L$257,7,FALSE))))</f>
        <v/>
      </c>
      <c r="H176" s="520" t="str">
        <f>IF(B176="","",IF(ISNA(VLOOKUP($B176,'B-1 Site Hedge Baseline'!$B$1:$L$257,8,FALSE)),"",(VLOOKUP($B176,'B-1 Site Hedge Baseline'!$B$1:$L$257,8,FALSE))))</f>
        <v/>
      </c>
      <c r="I176" s="520" t="str">
        <f>IF(B176="","",IF(ISNA(VLOOKUP($B176,'B-1 Site Hedge Baseline'!$B$1:$L$257,10,FALSE)),"",(VLOOKUP($B176,'B-1 Site Hedge Baseline'!$B$1:$L$257,10,FALSE))))</f>
        <v/>
      </c>
      <c r="J176" s="520" t="str">
        <f>IF(B176="","",IF(ISNA(VLOOKUP($B176,'B-1 Site Hedge Baseline'!$B$1:$L$257,11,FALSE)),"",(VLOOKUP($B176,'B-1 Site Hedge Baseline'!$B$1:$L$257,11,FALSE))))</f>
        <v/>
      </c>
      <c r="K176" s="520" t="str">
        <f>IF(B176="","",IF(ISNA(VLOOKUP($B176,'B-1 Site Hedge Baseline'!$B$1:$U$257,13,FALSE)),"",(VLOOKUP($B176,'B-1 Site Hedge Baseline'!$B$1:$U$257,13,FALSE))))</f>
        <v/>
      </c>
      <c r="L176" s="524" t="str">
        <f>IF(B176="","",IF(ISNA(VLOOKUP($B176,'B-1 Site Hedge Baseline'!$B$1:$U$257,12,FALSE)),"",(VLOOKUP($B176,'B-1 Site Hedge Baseline'!$B$1:$U$257,12,FALSE))))</f>
        <v/>
      </c>
      <c r="M176" s="416" t="str">
        <f t="shared" si="23"/>
        <v/>
      </c>
      <c r="N176" s="498" t="str">
        <f>IFERROR(IF(B176="","",INDEX('G-6 Hedgerow Data'!$AN$3:$AZ$15,MATCH(C176,'G-6 Hedgerow Data'!$AM$3:$AM$15,0),MATCH(M176,'G-6 Hedgerow Data'!$AN$2:$AZ$2,0))),"")</f>
        <v/>
      </c>
      <c r="O176" s="499" t="str">
        <f t="shared" si="18"/>
        <v/>
      </c>
      <c r="P176" s="559" t="str">
        <f>IF(B176="","",VLOOKUP(B176,'B-1 Site Hedge Baseline'!$B$10:T421,16,FALSE))</f>
        <v/>
      </c>
      <c r="Q176" s="498" t="str">
        <f>IF(M176="","",VLOOKUP(M176,'G-6 Hedgerow Data'!$B$2:$AG$15,2,FALSE))</f>
        <v/>
      </c>
      <c r="R176" s="499" t="str">
        <f>IF(M176="","",VLOOKUP(M176,'G-6 Hedgerow Data'!$B$2:$AG$15,3,FALSE))</f>
        <v/>
      </c>
      <c r="S176" s="157"/>
      <c r="T176" s="540" t="str">
        <f>IFERROR(VLOOKUP(S176,'G-1 All Habitats'!$Z$2:$AA$9,2,FALSE),"")</f>
        <v/>
      </c>
      <c r="U176" s="154"/>
      <c r="V176" s="520" t="str">
        <f>IF(U176="","",IF(VLOOKUP(U176,'G-3 Multipliers'!$L$3:$N$6,2,FALSE)=0,"Spatial Data Missing ⚠",VLOOKUP(U176,'G-3 Multipliers'!$L$3:$N$6,2,FALSE)))</f>
        <v/>
      </c>
      <c r="W176" s="524"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6"/>
        <v/>
      </c>
      <c r="AD176" s="537" t="str">
        <f>IF(M176="","",VLOOKUP(M176,'G-6 Hedgerow Data'!$B$3:$AG$15,31,FALSE))</f>
        <v/>
      </c>
      <c r="AE176" s="507" t="str">
        <f t="shared" si="21"/>
        <v/>
      </c>
      <c r="AF176" s="507" t="str">
        <f t="shared" si="22"/>
        <v/>
      </c>
      <c r="AG176" s="524" t="str">
        <f>IFERROR(IF(O176="","",VLOOKUP(AD176,'G-3 Multipliers'!$P$3:$Q$6,2,FALSE)),"")</f>
        <v/>
      </c>
      <c r="AH176" s="513" t="str">
        <f t="shared" si="17"/>
        <v/>
      </c>
      <c r="AI176" s="231"/>
      <c r="AJ176" s="150"/>
      <c r="AT176" s="31" t="str">
        <f>IFERROR(INDEX('G-6 Hedgerow Data'!$BJ$3:$BJ$15,MATCH(M176,'G-6 Hedgerow Data'!$B$3:$B$15,0)),"")</f>
        <v/>
      </c>
    </row>
    <row r="177" spans="2:46" ht="13.8" x14ac:dyDescent="0.25">
      <c r="B177" s="531" t="str">
        <f>'B-1 Site Hedge Baseline'!AK175</f>
        <v/>
      </c>
      <c r="C177" s="520" t="str">
        <f>IF(B177="","",IF(ISNA(VLOOKUP($B177,'B-1 Site Hedge Baseline'!$B$1:$L$257,3,FALSE)),"",(VLOOKUP($B177,'B-1 Site Hedge Baseline'!$B$1:$L$257,3,FALSE))))</f>
        <v/>
      </c>
      <c r="D177" s="520" t="str">
        <f>IF(B177="","",IF(ISNA(VLOOKUP($B177,'B-1 Site Hedge Baseline'!$B$1:$L$257,4,FALSE)),"",(VLOOKUP($B177,'B-1 Site Hedge Baseline'!$B$1:$L$257,4,FALSE))))</f>
        <v/>
      </c>
      <c r="E177" s="520" t="str">
        <f>IF(B177="","",IF(ISNA(VLOOKUP($B177,'B-1 Site Hedge Baseline'!$B$1:$L$257,5,FALSE)),"",(VLOOKUP($B177,'B-1 Site Hedge Baseline'!$B$1:$L$257,5,FALSE))))</f>
        <v/>
      </c>
      <c r="F177" s="520" t="str">
        <f>IF(B177="","",IF(ISNA(VLOOKUP($B177,'B-1 Site Hedge Baseline'!$B$1:$L$257,6,FALSE)),"",(VLOOKUP($B177,'B-1 Site Hedge Baseline'!$B$1:$L$257,6,FALSE))))</f>
        <v/>
      </c>
      <c r="G177" s="520" t="str">
        <f>IF(B177="","",IF(ISNA(VLOOKUP($B177,'B-1 Site Hedge Baseline'!$B$1:$L$257,7,FALSE)),"",(VLOOKUP($B177,'B-1 Site Hedge Baseline'!$B$1:$L$257,7,FALSE))))</f>
        <v/>
      </c>
      <c r="H177" s="520" t="str">
        <f>IF(B177="","",IF(ISNA(VLOOKUP($B177,'B-1 Site Hedge Baseline'!$B$1:$L$257,8,FALSE)),"",(VLOOKUP($B177,'B-1 Site Hedge Baseline'!$B$1:$L$257,8,FALSE))))</f>
        <v/>
      </c>
      <c r="I177" s="520" t="str">
        <f>IF(B177="","",IF(ISNA(VLOOKUP($B177,'B-1 Site Hedge Baseline'!$B$1:$L$257,10,FALSE)),"",(VLOOKUP($B177,'B-1 Site Hedge Baseline'!$B$1:$L$257,10,FALSE))))</f>
        <v/>
      </c>
      <c r="J177" s="520" t="str">
        <f>IF(B177="","",IF(ISNA(VLOOKUP($B177,'B-1 Site Hedge Baseline'!$B$1:$L$257,11,FALSE)),"",(VLOOKUP($B177,'B-1 Site Hedge Baseline'!$B$1:$L$257,11,FALSE))))</f>
        <v/>
      </c>
      <c r="K177" s="520" t="str">
        <f>IF(B177="","",IF(ISNA(VLOOKUP($B177,'B-1 Site Hedge Baseline'!$B$1:$U$257,13,FALSE)),"",(VLOOKUP($B177,'B-1 Site Hedge Baseline'!$B$1:$U$257,13,FALSE))))</f>
        <v/>
      </c>
      <c r="L177" s="524" t="str">
        <f>IF(B177="","",IF(ISNA(VLOOKUP($B177,'B-1 Site Hedge Baseline'!$B$1:$U$257,12,FALSE)),"",(VLOOKUP($B177,'B-1 Site Hedge Baseline'!$B$1:$U$257,12,FALSE))))</f>
        <v/>
      </c>
      <c r="M177" s="416" t="str">
        <f t="shared" si="23"/>
        <v/>
      </c>
      <c r="N177" s="498" t="str">
        <f>IFERROR(IF(B177="","",INDEX('G-6 Hedgerow Data'!$AN$3:$AZ$15,MATCH(C177,'G-6 Hedgerow Data'!$AM$3:$AM$15,0),MATCH(M177,'G-6 Hedgerow Data'!$AN$2:$AZ$2,0))),"")</f>
        <v/>
      </c>
      <c r="O177" s="499" t="str">
        <f t="shared" si="18"/>
        <v/>
      </c>
      <c r="P177" s="559" t="str">
        <f>IF(B177="","",VLOOKUP(B177,'B-1 Site Hedge Baseline'!$B$10:T422,16,FALSE))</f>
        <v/>
      </c>
      <c r="Q177" s="498" t="str">
        <f>IF(M177="","",VLOOKUP(M177,'G-6 Hedgerow Data'!$B$2:$AG$15,2,FALSE))</f>
        <v/>
      </c>
      <c r="R177" s="499" t="str">
        <f>IF(M177="","",VLOOKUP(M177,'G-6 Hedgerow Data'!$B$2:$AG$15,3,FALSE))</f>
        <v/>
      </c>
      <c r="S177" s="157"/>
      <c r="T177" s="540" t="str">
        <f>IFERROR(VLOOKUP(S177,'G-1 All Habitats'!$Z$2:$AA$9,2,FALSE),"")</f>
        <v/>
      </c>
      <c r="U177" s="154"/>
      <c r="V177" s="520" t="str">
        <f>IF(U177="","",IF(VLOOKUP(U177,'G-3 Multipliers'!$L$3:$N$6,2,FALSE)=0,"Spatial Data Missing ⚠",VLOOKUP(U177,'G-3 Multipliers'!$L$3:$N$6,2,FALSE)))</f>
        <v/>
      </c>
      <c r="W177" s="524"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6"/>
        <v/>
      </c>
      <c r="AD177" s="537" t="str">
        <f>IF(M177="","",VLOOKUP(M177,'G-6 Hedgerow Data'!$B$3:$AG$15,31,FALSE))</f>
        <v/>
      </c>
      <c r="AE177" s="507" t="str">
        <f t="shared" si="21"/>
        <v/>
      </c>
      <c r="AF177" s="507" t="str">
        <f t="shared" si="22"/>
        <v/>
      </c>
      <c r="AG177" s="524" t="str">
        <f>IFERROR(IF(O177="","",VLOOKUP(AD177,'G-3 Multipliers'!$P$3:$Q$6,2,FALSE)),"")</f>
        <v/>
      </c>
      <c r="AH177" s="513" t="str">
        <f t="shared" si="17"/>
        <v/>
      </c>
      <c r="AI177" s="231"/>
      <c r="AJ177" s="150"/>
      <c r="AT177" s="31" t="str">
        <f>IFERROR(INDEX('G-6 Hedgerow Data'!$BJ$3:$BJ$15,MATCH(M177,'G-6 Hedgerow Data'!$B$3:$B$15,0)),"")</f>
        <v/>
      </c>
    </row>
    <row r="178" spans="2:46" ht="13.8" x14ac:dyDescent="0.25">
      <c r="B178" s="531" t="str">
        <f>'B-1 Site Hedge Baseline'!AK176</f>
        <v/>
      </c>
      <c r="C178" s="520" t="str">
        <f>IF(B178="","",IF(ISNA(VLOOKUP($B178,'B-1 Site Hedge Baseline'!$B$1:$L$257,3,FALSE)),"",(VLOOKUP($B178,'B-1 Site Hedge Baseline'!$B$1:$L$257,3,FALSE))))</f>
        <v/>
      </c>
      <c r="D178" s="520" t="str">
        <f>IF(B178="","",IF(ISNA(VLOOKUP($B178,'B-1 Site Hedge Baseline'!$B$1:$L$257,4,FALSE)),"",(VLOOKUP($B178,'B-1 Site Hedge Baseline'!$B$1:$L$257,4,FALSE))))</f>
        <v/>
      </c>
      <c r="E178" s="520" t="str">
        <f>IF(B178="","",IF(ISNA(VLOOKUP($B178,'B-1 Site Hedge Baseline'!$B$1:$L$257,5,FALSE)),"",(VLOOKUP($B178,'B-1 Site Hedge Baseline'!$B$1:$L$257,5,FALSE))))</f>
        <v/>
      </c>
      <c r="F178" s="520" t="str">
        <f>IF(B178="","",IF(ISNA(VLOOKUP($B178,'B-1 Site Hedge Baseline'!$B$1:$L$257,6,FALSE)),"",(VLOOKUP($B178,'B-1 Site Hedge Baseline'!$B$1:$L$257,6,FALSE))))</f>
        <v/>
      </c>
      <c r="G178" s="520" t="str">
        <f>IF(B178="","",IF(ISNA(VLOOKUP($B178,'B-1 Site Hedge Baseline'!$B$1:$L$257,7,FALSE)),"",(VLOOKUP($B178,'B-1 Site Hedge Baseline'!$B$1:$L$257,7,FALSE))))</f>
        <v/>
      </c>
      <c r="H178" s="520" t="str">
        <f>IF(B178="","",IF(ISNA(VLOOKUP($B178,'B-1 Site Hedge Baseline'!$B$1:$L$257,8,FALSE)),"",(VLOOKUP($B178,'B-1 Site Hedge Baseline'!$B$1:$L$257,8,FALSE))))</f>
        <v/>
      </c>
      <c r="I178" s="520" t="str">
        <f>IF(B178="","",IF(ISNA(VLOOKUP($B178,'B-1 Site Hedge Baseline'!$B$1:$L$257,10,FALSE)),"",(VLOOKUP($B178,'B-1 Site Hedge Baseline'!$B$1:$L$257,10,FALSE))))</f>
        <v/>
      </c>
      <c r="J178" s="520" t="str">
        <f>IF(B178="","",IF(ISNA(VLOOKUP($B178,'B-1 Site Hedge Baseline'!$B$1:$L$257,11,FALSE)),"",(VLOOKUP($B178,'B-1 Site Hedge Baseline'!$B$1:$L$257,11,FALSE))))</f>
        <v/>
      </c>
      <c r="K178" s="520" t="str">
        <f>IF(B178="","",IF(ISNA(VLOOKUP($B178,'B-1 Site Hedge Baseline'!$B$1:$U$257,13,FALSE)),"",(VLOOKUP($B178,'B-1 Site Hedge Baseline'!$B$1:$U$257,13,FALSE))))</f>
        <v/>
      </c>
      <c r="L178" s="524" t="str">
        <f>IF(B178="","",IF(ISNA(VLOOKUP($B178,'B-1 Site Hedge Baseline'!$B$1:$U$257,12,FALSE)),"",(VLOOKUP($B178,'B-1 Site Hedge Baseline'!$B$1:$U$257,12,FALSE))))</f>
        <v/>
      </c>
      <c r="M178" s="416" t="str">
        <f t="shared" si="23"/>
        <v/>
      </c>
      <c r="N178" s="498" t="str">
        <f>IFERROR(IF(B178="","",INDEX('G-6 Hedgerow Data'!$AN$3:$AZ$15,MATCH(C178,'G-6 Hedgerow Data'!$AM$3:$AM$15,0),MATCH(M178,'G-6 Hedgerow Data'!$AN$2:$AZ$2,0))),"")</f>
        <v/>
      </c>
      <c r="O178" s="499" t="str">
        <f t="shared" si="18"/>
        <v/>
      </c>
      <c r="P178" s="559" t="str">
        <f>IF(B178="","",VLOOKUP(B178,'B-1 Site Hedge Baseline'!$B$10:T423,16,FALSE))</f>
        <v/>
      </c>
      <c r="Q178" s="498" t="str">
        <f>IF(M178="","",VLOOKUP(M178,'G-6 Hedgerow Data'!$B$2:$AG$15,2,FALSE))</f>
        <v/>
      </c>
      <c r="R178" s="499" t="str">
        <f>IF(M178="","",VLOOKUP(M178,'G-6 Hedgerow Data'!$B$2:$AG$15,3,FALSE))</f>
        <v/>
      </c>
      <c r="S178" s="157"/>
      <c r="T178" s="540" t="str">
        <f>IFERROR(VLOOKUP(S178,'G-1 All Habitats'!$Z$2:$AA$9,2,FALSE),"")</f>
        <v/>
      </c>
      <c r="U178" s="154"/>
      <c r="V178" s="520" t="str">
        <f>IF(U178="","",IF(VLOOKUP(U178,'G-3 Multipliers'!$L$3:$N$6,2,FALSE)=0,"Spatial Data Missing ⚠",VLOOKUP(U178,'G-3 Multipliers'!$L$3:$N$6,2,FALSE)))</f>
        <v/>
      </c>
      <c r="W178" s="524"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6"/>
        <v/>
      </c>
      <c r="AD178" s="537" t="str">
        <f>IF(M178="","",VLOOKUP(M178,'G-6 Hedgerow Data'!$B$3:$AG$15,31,FALSE))</f>
        <v/>
      </c>
      <c r="AE178" s="507" t="str">
        <f t="shared" si="21"/>
        <v/>
      </c>
      <c r="AF178" s="507" t="str">
        <f t="shared" si="22"/>
        <v/>
      </c>
      <c r="AG178" s="524" t="str">
        <f>IFERROR(IF(O178="","",VLOOKUP(AD178,'G-3 Multipliers'!$P$3:$Q$6,2,FALSE)),"")</f>
        <v/>
      </c>
      <c r="AH178" s="513" t="str">
        <f t="shared" si="17"/>
        <v/>
      </c>
      <c r="AI178" s="231"/>
      <c r="AJ178" s="150"/>
      <c r="AT178" s="31" t="str">
        <f>IFERROR(INDEX('G-6 Hedgerow Data'!$BJ$3:$BJ$15,MATCH(M178,'G-6 Hedgerow Data'!$B$3:$B$15,0)),"")</f>
        <v/>
      </c>
    </row>
    <row r="179" spans="2:46" ht="13.8" x14ac:dyDescent="0.25">
      <c r="B179" s="531" t="str">
        <f>'B-1 Site Hedge Baseline'!AK177</f>
        <v/>
      </c>
      <c r="C179" s="520" t="str">
        <f>IF(B179="","",IF(ISNA(VLOOKUP($B179,'B-1 Site Hedge Baseline'!$B$1:$L$257,3,FALSE)),"",(VLOOKUP($B179,'B-1 Site Hedge Baseline'!$B$1:$L$257,3,FALSE))))</f>
        <v/>
      </c>
      <c r="D179" s="520" t="str">
        <f>IF(B179="","",IF(ISNA(VLOOKUP($B179,'B-1 Site Hedge Baseline'!$B$1:$L$257,4,FALSE)),"",(VLOOKUP($B179,'B-1 Site Hedge Baseline'!$B$1:$L$257,4,FALSE))))</f>
        <v/>
      </c>
      <c r="E179" s="520" t="str">
        <f>IF(B179="","",IF(ISNA(VLOOKUP($B179,'B-1 Site Hedge Baseline'!$B$1:$L$257,5,FALSE)),"",(VLOOKUP($B179,'B-1 Site Hedge Baseline'!$B$1:$L$257,5,FALSE))))</f>
        <v/>
      </c>
      <c r="F179" s="520" t="str">
        <f>IF(B179="","",IF(ISNA(VLOOKUP($B179,'B-1 Site Hedge Baseline'!$B$1:$L$257,6,FALSE)),"",(VLOOKUP($B179,'B-1 Site Hedge Baseline'!$B$1:$L$257,6,FALSE))))</f>
        <v/>
      </c>
      <c r="G179" s="520" t="str">
        <f>IF(B179="","",IF(ISNA(VLOOKUP($B179,'B-1 Site Hedge Baseline'!$B$1:$L$257,7,FALSE)),"",(VLOOKUP($B179,'B-1 Site Hedge Baseline'!$B$1:$L$257,7,FALSE))))</f>
        <v/>
      </c>
      <c r="H179" s="520" t="str">
        <f>IF(B179="","",IF(ISNA(VLOOKUP($B179,'B-1 Site Hedge Baseline'!$B$1:$L$257,8,FALSE)),"",(VLOOKUP($B179,'B-1 Site Hedge Baseline'!$B$1:$L$257,8,FALSE))))</f>
        <v/>
      </c>
      <c r="I179" s="520" t="str">
        <f>IF(B179="","",IF(ISNA(VLOOKUP($B179,'B-1 Site Hedge Baseline'!$B$1:$L$257,10,FALSE)),"",(VLOOKUP($B179,'B-1 Site Hedge Baseline'!$B$1:$L$257,10,FALSE))))</f>
        <v/>
      </c>
      <c r="J179" s="520" t="str">
        <f>IF(B179="","",IF(ISNA(VLOOKUP($B179,'B-1 Site Hedge Baseline'!$B$1:$L$257,11,FALSE)),"",(VLOOKUP($B179,'B-1 Site Hedge Baseline'!$B$1:$L$257,11,FALSE))))</f>
        <v/>
      </c>
      <c r="K179" s="520" t="str">
        <f>IF(B179="","",IF(ISNA(VLOOKUP($B179,'B-1 Site Hedge Baseline'!$B$1:$U$257,13,FALSE)),"",(VLOOKUP($B179,'B-1 Site Hedge Baseline'!$B$1:$U$257,13,FALSE))))</f>
        <v/>
      </c>
      <c r="L179" s="524" t="str">
        <f>IF(B179="","",IF(ISNA(VLOOKUP($B179,'B-1 Site Hedge Baseline'!$B$1:$U$257,12,FALSE)),"",(VLOOKUP($B179,'B-1 Site Hedge Baseline'!$B$1:$U$257,12,FALSE))))</f>
        <v/>
      </c>
      <c r="M179" s="416" t="str">
        <f t="shared" si="23"/>
        <v/>
      </c>
      <c r="N179" s="498" t="str">
        <f>IFERROR(IF(B179="","",INDEX('G-6 Hedgerow Data'!$AN$3:$AZ$15,MATCH(C179,'G-6 Hedgerow Data'!$AM$3:$AM$15,0),MATCH(M179,'G-6 Hedgerow Data'!$AN$2:$AZ$2,0))),"")</f>
        <v/>
      </c>
      <c r="O179" s="499" t="str">
        <f t="shared" si="18"/>
        <v/>
      </c>
      <c r="P179" s="559" t="str">
        <f>IF(B179="","",VLOOKUP(B179,'B-1 Site Hedge Baseline'!$B$10:T424,16,FALSE))</f>
        <v/>
      </c>
      <c r="Q179" s="498" t="str">
        <f>IF(M179="","",VLOOKUP(M179,'G-6 Hedgerow Data'!$B$2:$AG$15,2,FALSE))</f>
        <v/>
      </c>
      <c r="R179" s="499" t="str">
        <f>IF(M179="","",VLOOKUP(M179,'G-6 Hedgerow Data'!$B$2:$AG$15,3,FALSE))</f>
        <v/>
      </c>
      <c r="S179" s="157"/>
      <c r="T179" s="540" t="str">
        <f>IFERROR(VLOOKUP(S179,'G-1 All Habitats'!$Z$2:$AA$9,2,FALSE),"")</f>
        <v/>
      </c>
      <c r="U179" s="154"/>
      <c r="V179" s="520" t="str">
        <f>IF(U179="","",IF(VLOOKUP(U179,'G-3 Multipliers'!$L$3:$N$6,2,FALSE)=0,"Spatial Data Missing ⚠",VLOOKUP(U179,'G-3 Multipliers'!$L$3:$N$6,2,FALSE)))</f>
        <v/>
      </c>
      <c r="W179" s="524"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6"/>
        <v/>
      </c>
      <c r="AD179" s="537" t="str">
        <f>IF(M179="","",VLOOKUP(M179,'G-6 Hedgerow Data'!$B$3:$AG$15,31,FALSE))</f>
        <v/>
      </c>
      <c r="AE179" s="507" t="str">
        <f t="shared" si="21"/>
        <v/>
      </c>
      <c r="AF179" s="507" t="str">
        <f t="shared" si="22"/>
        <v/>
      </c>
      <c r="AG179" s="524" t="str">
        <f>IFERROR(IF(O179="","",VLOOKUP(AD179,'G-3 Multipliers'!$P$3:$Q$6,2,FALSE)),"")</f>
        <v/>
      </c>
      <c r="AH179" s="513" t="str">
        <f t="shared" si="17"/>
        <v/>
      </c>
      <c r="AI179" s="231"/>
      <c r="AJ179" s="150"/>
      <c r="AT179" s="31" t="str">
        <f>IFERROR(INDEX('G-6 Hedgerow Data'!$BJ$3:$BJ$15,MATCH(M179,'G-6 Hedgerow Data'!$B$3:$B$15,0)),"")</f>
        <v/>
      </c>
    </row>
    <row r="180" spans="2:46" ht="13.8" x14ac:dyDescent="0.25">
      <c r="B180" s="531" t="str">
        <f>'B-1 Site Hedge Baseline'!AK178</f>
        <v/>
      </c>
      <c r="C180" s="520" t="str">
        <f>IF(B180="","",IF(ISNA(VLOOKUP($B180,'B-1 Site Hedge Baseline'!$B$1:$L$257,3,FALSE)),"",(VLOOKUP($B180,'B-1 Site Hedge Baseline'!$B$1:$L$257,3,FALSE))))</f>
        <v/>
      </c>
      <c r="D180" s="520" t="str">
        <f>IF(B180="","",IF(ISNA(VLOOKUP($B180,'B-1 Site Hedge Baseline'!$B$1:$L$257,4,FALSE)),"",(VLOOKUP($B180,'B-1 Site Hedge Baseline'!$B$1:$L$257,4,FALSE))))</f>
        <v/>
      </c>
      <c r="E180" s="520" t="str">
        <f>IF(B180="","",IF(ISNA(VLOOKUP($B180,'B-1 Site Hedge Baseline'!$B$1:$L$257,5,FALSE)),"",(VLOOKUP($B180,'B-1 Site Hedge Baseline'!$B$1:$L$257,5,FALSE))))</f>
        <v/>
      </c>
      <c r="F180" s="520" t="str">
        <f>IF(B180="","",IF(ISNA(VLOOKUP($B180,'B-1 Site Hedge Baseline'!$B$1:$L$257,6,FALSE)),"",(VLOOKUP($B180,'B-1 Site Hedge Baseline'!$B$1:$L$257,6,FALSE))))</f>
        <v/>
      </c>
      <c r="G180" s="520" t="str">
        <f>IF(B180="","",IF(ISNA(VLOOKUP($B180,'B-1 Site Hedge Baseline'!$B$1:$L$257,7,FALSE)),"",(VLOOKUP($B180,'B-1 Site Hedge Baseline'!$B$1:$L$257,7,FALSE))))</f>
        <v/>
      </c>
      <c r="H180" s="520" t="str">
        <f>IF(B180="","",IF(ISNA(VLOOKUP($B180,'B-1 Site Hedge Baseline'!$B$1:$L$257,8,FALSE)),"",(VLOOKUP($B180,'B-1 Site Hedge Baseline'!$B$1:$L$257,8,FALSE))))</f>
        <v/>
      </c>
      <c r="I180" s="520" t="str">
        <f>IF(B180="","",IF(ISNA(VLOOKUP($B180,'B-1 Site Hedge Baseline'!$B$1:$L$257,10,FALSE)),"",(VLOOKUP($B180,'B-1 Site Hedge Baseline'!$B$1:$L$257,10,FALSE))))</f>
        <v/>
      </c>
      <c r="J180" s="520" t="str">
        <f>IF(B180="","",IF(ISNA(VLOOKUP($B180,'B-1 Site Hedge Baseline'!$B$1:$L$257,11,FALSE)),"",(VLOOKUP($B180,'B-1 Site Hedge Baseline'!$B$1:$L$257,11,FALSE))))</f>
        <v/>
      </c>
      <c r="K180" s="520" t="str">
        <f>IF(B180="","",IF(ISNA(VLOOKUP($B180,'B-1 Site Hedge Baseline'!$B$1:$U$257,13,FALSE)),"",(VLOOKUP($B180,'B-1 Site Hedge Baseline'!$B$1:$U$257,13,FALSE))))</f>
        <v/>
      </c>
      <c r="L180" s="524" t="str">
        <f>IF(B180="","",IF(ISNA(VLOOKUP($B180,'B-1 Site Hedge Baseline'!$B$1:$U$257,12,FALSE)),"",(VLOOKUP($B180,'B-1 Site Hedge Baseline'!$B$1:$U$257,12,FALSE))))</f>
        <v/>
      </c>
      <c r="M180" s="416" t="str">
        <f t="shared" si="23"/>
        <v/>
      </c>
      <c r="N180" s="498" t="str">
        <f>IFERROR(IF(B180="","",INDEX('G-6 Hedgerow Data'!$AN$3:$AZ$15,MATCH(C180,'G-6 Hedgerow Data'!$AM$3:$AM$15,0),MATCH(M180,'G-6 Hedgerow Data'!$AN$2:$AZ$2,0))),"")</f>
        <v/>
      </c>
      <c r="O180" s="499" t="str">
        <f t="shared" si="18"/>
        <v/>
      </c>
      <c r="P180" s="559" t="str">
        <f>IF(B180="","",VLOOKUP(B180,'B-1 Site Hedge Baseline'!$B$10:T425,16,FALSE))</f>
        <v/>
      </c>
      <c r="Q180" s="498" t="str">
        <f>IF(M180="","",VLOOKUP(M180,'G-6 Hedgerow Data'!$B$2:$AG$15,2,FALSE))</f>
        <v/>
      </c>
      <c r="R180" s="499" t="str">
        <f>IF(M180="","",VLOOKUP(M180,'G-6 Hedgerow Data'!$B$2:$AG$15,3,FALSE))</f>
        <v/>
      </c>
      <c r="S180" s="157"/>
      <c r="T180" s="540" t="str">
        <f>IFERROR(VLOOKUP(S180,'G-1 All Habitats'!$Z$2:$AA$9,2,FALSE),"")</f>
        <v/>
      </c>
      <c r="U180" s="154"/>
      <c r="V180" s="520" t="str">
        <f>IF(U180="","",IF(VLOOKUP(U180,'G-3 Multipliers'!$L$3:$N$6,2,FALSE)=0,"Spatial Data Missing ⚠",VLOOKUP(U180,'G-3 Multipliers'!$L$3:$N$6,2,FALSE)))</f>
        <v/>
      </c>
      <c r="W180" s="524"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6"/>
        <v/>
      </c>
      <c r="AD180" s="537" t="str">
        <f>IF(M180="","",VLOOKUP(M180,'G-6 Hedgerow Data'!$B$3:$AG$15,31,FALSE))</f>
        <v/>
      </c>
      <c r="AE180" s="507" t="str">
        <f t="shared" si="21"/>
        <v/>
      </c>
      <c r="AF180" s="507" t="str">
        <f t="shared" si="22"/>
        <v/>
      </c>
      <c r="AG180" s="524" t="str">
        <f>IFERROR(IF(O180="","",VLOOKUP(AD180,'G-3 Multipliers'!$P$3:$Q$6,2,FALSE)),"")</f>
        <v/>
      </c>
      <c r="AH180" s="513" t="str">
        <f t="shared" si="17"/>
        <v/>
      </c>
      <c r="AI180" s="231"/>
      <c r="AJ180" s="150"/>
      <c r="AT180" s="31" t="str">
        <f>IFERROR(INDEX('G-6 Hedgerow Data'!$BJ$3:$BJ$15,MATCH(M180,'G-6 Hedgerow Data'!$B$3:$B$15,0)),"")</f>
        <v/>
      </c>
    </row>
    <row r="181" spans="2:46" ht="13.8" x14ac:dyDescent="0.25">
      <c r="B181" s="531" t="str">
        <f>'B-1 Site Hedge Baseline'!AK179</f>
        <v/>
      </c>
      <c r="C181" s="520" t="str">
        <f>IF(B181="","",IF(ISNA(VLOOKUP($B181,'B-1 Site Hedge Baseline'!$B$1:$L$257,3,FALSE)),"",(VLOOKUP($B181,'B-1 Site Hedge Baseline'!$B$1:$L$257,3,FALSE))))</f>
        <v/>
      </c>
      <c r="D181" s="520" t="str">
        <f>IF(B181="","",IF(ISNA(VLOOKUP($B181,'B-1 Site Hedge Baseline'!$B$1:$L$257,4,FALSE)),"",(VLOOKUP($B181,'B-1 Site Hedge Baseline'!$B$1:$L$257,4,FALSE))))</f>
        <v/>
      </c>
      <c r="E181" s="520" t="str">
        <f>IF(B181="","",IF(ISNA(VLOOKUP($B181,'B-1 Site Hedge Baseline'!$B$1:$L$257,5,FALSE)),"",(VLOOKUP($B181,'B-1 Site Hedge Baseline'!$B$1:$L$257,5,FALSE))))</f>
        <v/>
      </c>
      <c r="F181" s="520" t="str">
        <f>IF(B181="","",IF(ISNA(VLOOKUP($B181,'B-1 Site Hedge Baseline'!$B$1:$L$257,6,FALSE)),"",(VLOOKUP($B181,'B-1 Site Hedge Baseline'!$B$1:$L$257,6,FALSE))))</f>
        <v/>
      </c>
      <c r="G181" s="520" t="str">
        <f>IF(B181="","",IF(ISNA(VLOOKUP($B181,'B-1 Site Hedge Baseline'!$B$1:$L$257,7,FALSE)),"",(VLOOKUP($B181,'B-1 Site Hedge Baseline'!$B$1:$L$257,7,FALSE))))</f>
        <v/>
      </c>
      <c r="H181" s="520" t="str">
        <f>IF(B181="","",IF(ISNA(VLOOKUP($B181,'B-1 Site Hedge Baseline'!$B$1:$L$257,8,FALSE)),"",(VLOOKUP($B181,'B-1 Site Hedge Baseline'!$B$1:$L$257,8,FALSE))))</f>
        <v/>
      </c>
      <c r="I181" s="520" t="str">
        <f>IF(B181="","",IF(ISNA(VLOOKUP($B181,'B-1 Site Hedge Baseline'!$B$1:$L$257,10,FALSE)),"",(VLOOKUP($B181,'B-1 Site Hedge Baseline'!$B$1:$L$257,10,FALSE))))</f>
        <v/>
      </c>
      <c r="J181" s="520" t="str">
        <f>IF(B181="","",IF(ISNA(VLOOKUP($B181,'B-1 Site Hedge Baseline'!$B$1:$L$257,11,FALSE)),"",(VLOOKUP($B181,'B-1 Site Hedge Baseline'!$B$1:$L$257,11,FALSE))))</f>
        <v/>
      </c>
      <c r="K181" s="520" t="str">
        <f>IF(B181="","",IF(ISNA(VLOOKUP($B181,'B-1 Site Hedge Baseline'!$B$1:$U$257,13,FALSE)),"",(VLOOKUP($B181,'B-1 Site Hedge Baseline'!$B$1:$U$257,13,FALSE))))</f>
        <v/>
      </c>
      <c r="L181" s="524" t="str">
        <f>IF(B181="","",IF(ISNA(VLOOKUP($B181,'B-1 Site Hedge Baseline'!$B$1:$U$257,12,FALSE)),"",(VLOOKUP($B181,'B-1 Site Hedge Baseline'!$B$1:$U$257,12,FALSE))))</f>
        <v/>
      </c>
      <c r="M181" s="416" t="str">
        <f t="shared" si="23"/>
        <v/>
      </c>
      <c r="N181" s="498" t="str">
        <f>IFERROR(IF(B181="","",INDEX('G-6 Hedgerow Data'!$AN$3:$AZ$15,MATCH(C181,'G-6 Hedgerow Data'!$AM$3:$AM$15,0),MATCH(M181,'G-6 Hedgerow Data'!$AN$2:$AZ$2,0))),"")</f>
        <v/>
      </c>
      <c r="O181" s="499" t="str">
        <f t="shared" si="18"/>
        <v/>
      </c>
      <c r="P181" s="559" t="str">
        <f>IF(B181="","",VLOOKUP(B181,'B-1 Site Hedge Baseline'!$B$10:T426,16,FALSE))</f>
        <v/>
      </c>
      <c r="Q181" s="498" t="str">
        <f>IF(M181="","",VLOOKUP(M181,'G-6 Hedgerow Data'!$B$2:$AG$15,2,FALSE))</f>
        <v/>
      </c>
      <c r="R181" s="499" t="str">
        <f>IF(M181="","",VLOOKUP(M181,'G-6 Hedgerow Data'!$B$2:$AG$15,3,FALSE))</f>
        <v/>
      </c>
      <c r="S181" s="157"/>
      <c r="T181" s="540" t="str">
        <f>IFERROR(VLOOKUP(S181,'G-1 All Habitats'!$Z$2:$AA$9,2,FALSE),"")</f>
        <v/>
      </c>
      <c r="U181" s="154"/>
      <c r="V181" s="520" t="str">
        <f>IF(U181="","",IF(VLOOKUP(U181,'G-3 Multipliers'!$L$3:$N$6,2,FALSE)=0,"Spatial Data Missing ⚠",VLOOKUP(U181,'G-3 Multipliers'!$L$3:$N$6,2,FALSE)))</f>
        <v/>
      </c>
      <c r="W181" s="524"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6"/>
        <v/>
      </c>
      <c r="AD181" s="537" t="str">
        <f>IF(M181="","",VLOOKUP(M181,'G-6 Hedgerow Data'!$B$3:$AG$15,31,FALSE))</f>
        <v/>
      </c>
      <c r="AE181" s="507" t="str">
        <f t="shared" si="21"/>
        <v/>
      </c>
      <c r="AF181" s="507" t="str">
        <f t="shared" si="22"/>
        <v/>
      </c>
      <c r="AG181" s="524" t="str">
        <f>IFERROR(IF(O181="","",VLOOKUP(AD181,'G-3 Multipliers'!$P$3:$Q$6,2,FALSE)),"")</f>
        <v/>
      </c>
      <c r="AH181" s="513" t="str">
        <f t="shared" si="17"/>
        <v/>
      </c>
      <c r="AI181" s="231"/>
      <c r="AJ181" s="150"/>
      <c r="AT181" s="31" t="str">
        <f>IFERROR(INDEX('G-6 Hedgerow Data'!$BJ$3:$BJ$15,MATCH(M181,'G-6 Hedgerow Data'!$B$3:$B$15,0)),"")</f>
        <v/>
      </c>
    </row>
    <row r="182" spans="2:46" ht="13.8" x14ac:dyDescent="0.25">
      <c r="B182" s="531" t="str">
        <f>'B-1 Site Hedge Baseline'!AK180</f>
        <v/>
      </c>
      <c r="C182" s="520" t="str">
        <f>IF(B182="","",IF(ISNA(VLOOKUP($B182,'B-1 Site Hedge Baseline'!$B$1:$L$257,3,FALSE)),"",(VLOOKUP($B182,'B-1 Site Hedge Baseline'!$B$1:$L$257,3,FALSE))))</f>
        <v/>
      </c>
      <c r="D182" s="520" t="str">
        <f>IF(B182="","",IF(ISNA(VLOOKUP($B182,'B-1 Site Hedge Baseline'!$B$1:$L$257,4,FALSE)),"",(VLOOKUP($B182,'B-1 Site Hedge Baseline'!$B$1:$L$257,4,FALSE))))</f>
        <v/>
      </c>
      <c r="E182" s="520" t="str">
        <f>IF(B182="","",IF(ISNA(VLOOKUP($B182,'B-1 Site Hedge Baseline'!$B$1:$L$257,5,FALSE)),"",(VLOOKUP($B182,'B-1 Site Hedge Baseline'!$B$1:$L$257,5,FALSE))))</f>
        <v/>
      </c>
      <c r="F182" s="520" t="str">
        <f>IF(B182="","",IF(ISNA(VLOOKUP($B182,'B-1 Site Hedge Baseline'!$B$1:$L$257,6,FALSE)),"",(VLOOKUP($B182,'B-1 Site Hedge Baseline'!$B$1:$L$257,6,FALSE))))</f>
        <v/>
      </c>
      <c r="G182" s="520" t="str">
        <f>IF(B182="","",IF(ISNA(VLOOKUP($B182,'B-1 Site Hedge Baseline'!$B$1:$L$257,7,FALSE)),"",(VLOOKUP($B182,'B-1 Site Hedge Baseline'!$B$1:$L$257,7,FALSE))))</f>
        <v/>
      </c>
      <c r="H182" s="520" t="str">
        <f>IF(B182="","",IF(ISNA(VLOOKUP($B182,'B-1 Site Hedge Baseline'!$B$1:$L$257,8,FALSE)),"",(VLOOKUP($B182,'B-1 Site Hedge Baseline'!$B$1:$L$257,8,FALSE))))</f>
        <v/>
      </c>
      <c r="I182" s="520" t="str">
        <f>IF(B182="","",IF(ISNA(VLOOKUP($B182,'B-1 Site Hedge Baseline'!$B$1:$L$257,10,FALSE)),"",(VLOOKUP($B182,'B-1 Site Hedge Baseline'!$B$1:$L$257,10,FALSE))))</f>
        <v/>
      </c>
      <c r="J182" s="520" t="str">
        <f>IF(B182="","",IF(ISNA(VLOOKUP($B182,'B-1 Site Hedge Baseline'!$B$1:$L$257,11,FALSE)),"",(VLOOKUP($B182,'B-1 Site Hedge Baseline'!$B$1:$L$257,11,FALSE))))</f>
        <v/>
      </c>
      <c r="K182" s="520" t="str">
        <f>IF(B182="","",IF(ISNA(VLOOKUP($B182,'B-1 Site Hedge Baseline'!$B$1:$U$257,13,FALSE)),"",(VLOOKUP($B182,'B-1 Site Hedge Baseline'!$B$1:$U$257,13,FALSE))))</f>
        <v/>
      </c>
      <c r="L182" s="524" t="str">
        <f>IF(B182="","",IF(ISNA(VLOOKUP($B182,'B-1 Site Hedge Baseline'!$B$1:$U$257,12,FALSE)),"",(VLOOKUP($B182,'B-1 Site Hedge Baseline'!$B$1:$U$257,12,FALSE))))</f>
        <v/>
      </c>
      <c r="M182" s="416" t="str">
        <f t="shared" si="23"/>
        <v/>
      </c>
      <c r="N182" s="498" t="str">
        <f>IFERROR(IF(B182="","",INDEX('G-6 Hedgerow Data'!$AN$3:$AZ$15,MATCH(C182,'G-6 Hedgerow Data'!$AM$3:$AM$15,0),MATCH(M182,'G-6 Hedgerow Data'!$AN$2:$AZ$2,0))),"")</f>
        <v/>
      </c>
      <c r="O182" s="499" t="str">
        <f t="shared" si="18"/>
        <v/>
      </c>
      <c r="P182" s="559" t="str">
        <f>IF(B182="","",VLOOKUP(B182,'B-1 Site Hedge Baseline'!$B$10:T427,16,FALSE))</f>
        <v/>
      </c>
      <c r="Q182" s="498" t="str">
        <f>IF(M182="","",VLOOKUP(M182,'G-6 Hedgerow Data'!$B$2:$AG$15,2,FALSE))</f>
        <v/>
      </c>
      <c r="R182" s="499" t="str">
        <f>IF(M182="","",VLOOKUP(M182,'G-6 Hedgerow Data'!$B$2:$AG$15,3,FALSE))</f>
        <v/>
      </c>
      <c r="S182" s="157"/>
      <c r="T182" s="540" t="str">
        <f>IFERROR(VLOOKUP(S182,'G-1 All Habitats'!$Z$2:$AA$9,2,FALSE),"")</f>
        <v/>
      </c>
      <c r="U182" s="154"/>
      <c r="V182" s="520" t="str">
        <f>IF(U182="","",IF(VLOOKUP(U182,'G-3 Multipliers'!$L$3:$N$6,2,FALSE)=0,"Spatial Data Missing ⚠",VLOOKUP(U182,'G-3 Multipliers'!$L$3:$N$6,2,FALSE)))</f>
        <v/>
      </c>
      <c r="W182" s="524"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6"/>
        <v/>
      </c>
      <c r="AD182" s="537" t="str">
        <f>IF(M182="","",VLOOKUP(M182,'G-6 Hedgerow Data'!$B$3:$AG$15,31,FALSE))</f>
        <v/>
      </c>
      <c r="AE182" s="507" t="str">
        <f t="shared" si="21"/>
        <v/>
      </c>
      <c r="AF182" s="507" t="str">
        <f t="shared" si="22"/>
        <v/>
      </c>
      <c r="AG182" s="524" t="str">
        <f>IFERROR(IF(O182="","",VLOOKUP(AD182,'G-3 Multipliers'!$P$3:$Q$6,2,FALSE)),"")</f>
        <v/>
      </c>
      <c r="AH182" s="513" t="str">
        <f t="shared" si="17"/>
        <v/>
      </c>
      <c r="AI182" s="231"/>
      <c r="AJ182" s="150"/>
      <c r="AT182" s="31" t="str">
        <f>IFERROR(INDEX('G-6 Hedgerow Data'!$BJ$3:$BJ$15,MATCH(M182,'G-6 Hedgerow Data'!$B$3:$B$15,0)),"")</f>
        <v/>
      </c>
    </row>
    <row r="183" spans="2:46" ht="13.8" x14ac:dyDescent="0.25">
      <c r="B183" s="531" t="str">
        <f>'B-1 Site Hedge Baseline'!AK181</f>
        <v/>
      </c>
      <c r="C183" s="520" t="str">
        <f>IF(B183="","",IF(ISNA(VLOOKUP($B183,'B-1 Site Hedge Baseline'!$B$1:$L$257,3,FALSE)),"",(VLOOKUP($B183,'B-1 Site Hedge Baseline'!$B$1:$L$257,3,FALSE))))</f>
        <v/>
      </c>
      <c r="D183" s="520" t="str">
        <f>IF(B183="","",IF(ISNA(VLOOKUP($B183,'B-1 Site Hedge Baseline'!$B$1:$L$257,4,FALSE)),"",(VLOOKUP($B183,'B-1 Site Hedge Baseline'!$B$1:$L$257,4,FALSE))))</f>
        <v/>
      </c>
      <c r="E183" s="520" t="str">
        <f>IF(B183="","",IF(ISNA(VLOOKUP($B183,'B-1 Site Hedge Baseline'!$B$1:$L$257,5,FALSE)),"",(VLOOKUP($B183,'B-1 Site Hedge Baseline'!$B$1:$L$257,5,FALSE))))</f>
        <v/>
      </c>
      <c r="F183" s="520" t="str">
        <f>IF(B183="","",IF(ISNA(VLOOKUP($B183,'B-1 Site Hedge Baseline'!$B$1:$L$257,6,FALSE)),"",(VLOOKUP($B183,'B-1 Site Hedge Baseline'!$B$1:$L$257,6,FALSE))))</f>
        <v/>
      </c>
      <c r="G183" s="520" t="str">
        <f>IF(B183="","",IF(ISNA(VLOOKUP($B183,'B-1 Site Hedge Baseline'!$B$1:$L$257,7,FALSE)),"",(VLOOKUP($B183,'B-1 Site Hedge Baseline'!$B$1:$L$257,7,FALSE))))</f>
        <v/>
      </c>
      <c r="H183" s="520" t="str">
        <f>IF(B183="","",IF(ISNA(VLOOKUP($B183,'B-1 Site Hedge Baseline'!$B$1:$L$257,8,FALSE)),"",(VLOOKUP($B183,'B-1 Site Hedge Baseline'!$B$1:$L$257,8,FALSE))))</f>
        <v/>
      </c>
      <c r="I183" s="520" t="str">
        <f>IF(B183="","",IF(ISNA(VLOOKUP($B183,'B-1 Site Hedge Baseline'!$B$1:$L$257,10,FALSE)),"",(VLOOKUP($B183,'B-1 Site Hedge Baseline'!$B$1:$L$257,10,FALSE))))</f>
        <v/>
      </c>
      <c r="J183" s="520" t="str">
        <f>IF(B183="","",IF(ISNA(VLOOKUP($B183,'B-1 Site Hedge Baseline'!$B$1:$L$257,11,FALSE)),"",(VLOOKUP($B183,'B-1 Site Hedge Baseline'!$B$1:$L$257,11,FALSE))))</f>
        <v/>
      </c>
      <c r="K183" s="520" t="str">
        <f>IF(B183="","",IF(ISNA(VLOOKUP($B183,'B-1 Site Hedge Baseline'!$B$1:$U$257,13,FALSE)),"",(VLOOKUP($B183,'B-1 Site Hedge Baseline'!$B$1:$U$257,13,FALSE))))</f>
        <v/>
      </c>
      <c r="L183" s="524" t="str">
        <f>IF(B183="","",IF(ISNA(VLOOKUP($B183,'B-1 Site Hedge Baseline'!$B$1:$U$257,12,FALSE)),"",(VLOOKUP($B183,'B-1 Site Hedge Baseline'!$B$1:$U$257,12,FALSE))))</f>
        <v/>
      </c>
      <c r="M183" s="416" t="str">
        <f t="shared" si="23"/>
        <v/>
      </c>
      <c r="N183" s="498" t="str">
        <f>IFERROR(IF(B183="","",INDEX('G-6 Hedgerow Data'!$AN$3:$AZ$15,MATCH(C183,'G-6 Hedgerow Data'!$AM$3:$AM$15,0),MATCH(M183,'G-6 Hedgerow Data'!$AN$2:$AZ$2,0))),"")</f>
        <v/>
      </c>
      <c r="O183" s="499" t="str">
        <f t="shared" si="18"/>
        <v/>
      </c>
      <c r="P183" s="559" t="str">
        <f>IF(B183="","",VLOOKUP(B183,'B-1 Site Hedge Baseline'!$B$10:T428,16,FALSE))</f>
        <v/>
      </c>
      <c r="Q183" s="498" t="str">
        <f>IF(M183="","",VLOOKUP(M183,'G-6 Hedgerow Data'!$B$2:$AG$15,2,FALSE))</f>
        <v/>
      </c>
      <c r="R183" s="499" t="str">
        <f>IF(M183="","",VLOOKUP(M183,'G-6 Hedgerow Data'!$B$2:$AG$15,3,FALSE))</f>
        <v/>
      </c>
      <c r="S183" s="157"/>
      <c r="T183" s="540" t="str">
        <f>IFERROR(VLOOKUP(S183,'G-1 All Habitats'!$Z$2:$AA$9,2,FALSE),"")</f>
        <v/>
      </c>
      <c r="U183" s="154"/>
      <c r="V183" s="520" t="str">
        <f>IF(U183="","",IF(VLOOKUP(U183,'G-3 Multipliers'!$L$3:$N$6,2,FALSE)=0,"Spatial Data Missing ⚠",VLOOKUP(U183,'G-3 Multipliers'!$L$3:$N$6,2,FALSE)))</f>
        <v/>
      </c>
      <c r="W183" s="524"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6"/>
        <v/>
      </c>
      <c r="AD183" s="537" t="str">
        <f>IF(M183="","",VLOOKUP(M183,'G-6 Hedgerow Data'!$B$3:$AG$15,31,FALSE))</f>
        <v/>
      </c>
      <c r="AE183" s="507" t="str">
        <f t="shared" si="21"/>
        <v/>
      </c>
      <c r="AF183" s="507" t="str">
        <f t="shared" si="22"/>
        <v/>
      </c>
      <c r="AG183" s="524" t="str">
        <f>IFERROR(IF(O183="","",VLOOKUP(AD183,'G-3 Multipliers'!$P$3:$Q$6,2,FALSE)),"")</f>
        <v/>
      </c>
      <c r="AH183" s="513" t="str">
        <f t="shared" si="17"/>
        <v/>
      </c>
      <c r="AI183" s="231"/>
      <c r="AJ183" s="150"/>
      <c r="AT183" s="31" t="str">
        <f>IFERROR(INDEX('G-6 Hedgerow Data'!$BJ$3:$BJ$15,MATCH(M183,'G-6 Hedgerow Data'!$B$3:$B$15,0)),"")</f>
        <v/>
      </c>
    </row>
    <row r="184" spans="2:46" ht="13.8" x14ac:dyDescent="0.25">
      <c r="B184" s="531" t="str">
        <f>'B-1 Site Hedge Baseline'!AK182</f>
        <v/>
      </c>
      <c r="C184" s="520" t="str">
        <f>IF(B184="","",IF(ISNA(VLOOKUP($B184,'B-1 Site Hedge Baseline'!$B$1:$L$257,3,FALSE)),"",(VLOOKUP($B184,'B-1 Site Hedge Baseline'!$B$1:$L$257,3,FALSE))))</f>
        <v/>
      </c>
      <c r="D184" s="520" t="str">
        <f>IF(B184="","",IF(ISNA(VLOOKUP($B184,'B-1 Site Hedge Baseline'!$B$1:$L$257,4,FALSE)),"",(VLOOKUP($B184,'B-1 Site Hedge Baseline'!$B$1:$L$257,4,FALSE))))</f>
        <v/>
      </c>
      <c r="E184" s="520" t="str">
        <f>IF(B184="","",IF(ISNA(VLOOKUP($B184,'B-1 Site Hedge Baseline'!$B$1:$L$257,5,FALSE)),"",(VLOOKUP($B184,'B-1 Site Hedge Baseline'!$B$1:$L$257,5,FALSE))))</f>
        <v/>
      </c>
      <c r="F184" s="520" t="str">
        <f>IF(B184="","",IF(ISNA(VLOOKUP($B184,'B-1 Site Hedge Baseline'!$B$1:$L$257,6,FALSE)),"",(VLOOKUP($B184,'B-1 Site Hedge Baseline'!$B$1:$L$257,6,FALSE))))</f>
        <v/>
      </c>
      <c r="G184" s="520" t="str">
        <f>IF(B184="","",IF(ISNA(VLOOKUP($B184,'B-1 Site Hedge Baseline'!$B$1:$L$257,7,FALSE)),"",(VLOOKUP($B184,'B-1 Site Hedge Baseline'!$B$1:$L$257,7,FALSE))))</f>
        <v/>
      </c>
      <c r="H184" s="520" t="str">
        <f>IF(B184="","",IF(ISNA(VLOOKUP($B184,'B-1 Site Hedge Baseline'!$B$1:$L$257,8,FALSE)),"",(VLOOKUP($B184,'B-1 Site Hedge Baseline'!$B$1:$L$257,8,FALSE))))</f>
        <v/>
      </c>
      <c r="I184" s="520" t="str">
        <f>IF(B184="","",IF(ISNA(VLOOKUP($B184,'B-1 Site Hedge Baseline'!$B$1:$L$257,10,FALSE)),"",(VLOOKUP($B184,'B-1 Site Hedge Baseline'!$B$1:$L$257,10,FALSE))))</f>
        <v/>
      </c>
      <c r="J184" s="520" t="str">
        <f>IF(B184="","",IF(ISNA(VLOOKUP($B184,'B-1 Site Hedge Baseline'!$B$1:$L$257,11,FALSE)),"",(VLOOKUP($B184,'B-1 Site Hedge Baseline'!$B$1:$L$257,11,FALSE))))</f>
        <v/>
      </c>
      <c r="K184" s="520" t="str">
        <f>IF(B184="","",IF(ISNA(VLOOKUP($B184,'B-1 Site Hedge Baseline'!$B$1:$U$257,13,FALSE)),"",(VLOOKUP($B184,'B-1 Site Hedge Baseline'!$B$1:$U$257,13,FALSE))))</f>
        <v/>
      </c>
      <c r="L184" s="524" t="str">
        <f>IF(B184="","",IF(ISNA(VLOOKUP($B184,'B-1 Site Hedge Baseline'!$B$1:$U$257,12,FALSE)),"",(VLOOKUP($B184,'B-1 Site Hedge Baseline'!$B$1:$U$257,12,FALSE))))</f>
        <v/>
      </c>
      <c r="M184" s="416" t="str">
        <f t="shared" si="23"/>
        <v/>
      </c>
      <c r="N184" s="498" t="str">
        <f>IFERROR(IF(B184="","",INDEX('G-6 Hedgerow Data'!$AN$3:$AZ$15,MATCH(C184,'G-6 Hedgerow Data'!$AM$3:$AM$15,0),MATCH(M184,'G-6 Hedgerow Data'!$AN$2:$AZ$2,0))),"")</f>
        <v/>
      </c>
      <c r="O184" s="499" t="str">
        <f t="shared" si="18"/>
        <v/>
      </c>
      <c r="P184" s="559" t="str">
        <f>IF(B184="","",VLOOKUP(B184,'B-1 Site Hedge Baseline'!$B$10:T429,16,FALSE))</f>
        <v/>
      </c>
      <c r="Q184" s="498" t="str">
        <f>IF(M184="","",VLOOKUP(M184,'G-6 Hedgerow Data'!$B$2:$AG$15,2,FALSE))</f>
        <v/>
      </c>
      <c r="R184" s="499" t="str">
        <f>IF(M184="","",VLOOKUP(M184,'G-6 Hedgerow Data'!$B$2:$AG$15,3,FALSE))</f>
        <v/>
      </c>
      <c r="S184" s="157"/>
      <c r="T184" s="540" t="str">
        <f>IFERROR(VLOOKUP(S184,'G-1 All Habitats'!$Z$2:$AA$9,2,FALSE),"")</f>
        <v/>
      </c>
      <c r="U184" s="154"/>
      <c r="V184" s="520" t="str">
        <f>IF(U184="","",IF(VLOOKUP(U184,'G-3 Multipliers'!$L$3:$N$6,2,FALSE)=0,"Spatial Data Missing ⚠",VLOOKUP(U184,'G-3 Multipliers'!$L$3:$N$6,2,FALSE)))</f>
        <v/>
      </c>
      <c r="W184" s="524"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6"/>
        <v/>
      </c>
      <c r="AD184" s="537" t="str">
        <f>IF(M184="","",VLOOKUP(M184,'G-6 Hedgerow Data'!$B$3:$AG$15,31,FALSE))</f>
        <v/>
      </c>
      <c r="AE184" s="507" t="str">
        <f t="shared" si="21"/>
        <v/>
      </c>
      <c r="AF184" s="507" t="str">
        <f t="shared" si="22"/>
        <v/>
      </c>
      <c r="AG184" s="524" t="str">
        <f>IFERROR(IF(O184="","",VLOOKUP(AD184,'G-3 Multipliers'!$P$3:$Q$6,2,FALSE)),"")</f>
        <v/>
      </c>
      <c r="AH184" s="513" t="str">
        <f t="shared" si="17"/>
        <v/>
      </c>
      <c r="AI184" s="231"/>
      <c r="AJ184" s="150"/>
      <c r="AT184" s="31" t="str">
        <f>IFERROR(INDEX('G-6 Hedgerow Data'!$BJ$3:$BJ$15,MATCH(M184,'G-6 Hedgerow Data'!$B$3:$B$15,0)),"")</f>
        <v/>
      </c>
    </row>
    <row r="185" spans="2:46" ht="13.8" x14ac:dyDescent="0.25">
      <c r="B185" s="531" t="str">
        <f>'B-1 Site Hedge Baseline'!AK183</f>
        <v/>
      </c>
      <c r="C185" s="520" t="str">
        <f>IF(B185="","",IF(ISNA(VLOOKUP($B185,'B-1 Site Hedge Baseline'!$B$1:$L$257,3,FALSE)),"",(VLOOKUP($B185,'B-1 Site Hedge Baseline'!$B$1:$L$257,3,FALSE))))</f>
        <v/>
      </c>
      <c r="D185" s="520" t="str">
        <f>IF(B185="","",IF(ISNA(VLOOKUP($B185,'B-1 Site Hedge Baseline'!$B$1:$L$257,4,FALSE)),"",(VLOOKUP($B185,'B-1 Site Hedge Baseline'!$B$1:$L$257,4,FALSE))))</f>
        <v/>
      </c>
      <c r="E185" s="520" t="str">
        <f>IF(B185="","",IF(ISNA(VLOOKUP($B185,'B-1 Site Hedge Baseline'!$B$1:$L$257,5,FALSE)),"",(VLOOKUP($B185,'B-1 Site Hedge Baseline'!$B$1:$L$257,5,FALSE))))</f>
        <v/>
      </c>
      <c r="F185" s="520" t="str">
        <f>IF(B185="","",IF(ISNA(VLOOKUP($B185,'B-1 Site Hedge Baseline'!$B$1:$L$257,6,FALSE)),"",(VLOOKUP($B185,'B-1 Site Hedge Baseline'!$B$1:$L$257,6,FALSE))))</f>
        <v/>
      </c>
      <c r="G185" s="520" t="str">
        <f>IF(B185="","",IF(ISNA(VLOOKUP($B185,'B-1 Site Hedge Baseline'!$B$1:$L$257,7,FALSE)),"",(VLOOKUP($B185,'B-1 Site Hedge Baseline'!$B$1:$L$257,7,FALSE))))</f>
        <v/>
      </c>
      <c r="H185" s="520" t="str">
        <f>IF(B185="","",IF(ISNA(VLOOKUP($B185,'B-1 Site Hedge Baseline'!$B$1:$L$257,8,FALSE)),"",(VLOOKUP($B185,'B-1 Site Hedge Baseline'!$B$1:$L$257,8,FALSE))))</f>
        <v/>
      </c>
      <c r="I185" s="520" t="str">
        <f>IF(B185="","",IF(ISNA(VLOOKUP($B185,'B-1 Site Hedge Baseline'!$B$1:$L$257,10,FALSE)),"",(VLOOKUP($B185,'B-1 Site Hedge Baseline'!$B$1:$L$257,10,FALSE))))</f>
        <v/>
      </c>
      <c r="J185" s="520" t="str">
        <f>IF(B185="","",IF(ISNA(VLOOKUP($B185,'B-1 Site Hedge Baseline'!$B$1:$L$257,11,FALSE)),"",(VLOOKUP($B185,'B-1 Site Hedge Baseline'!$B$1:$L$257,11,FALSE))))</f>
        <v/>
      </c>
      <c r="K185" s="520" t="str">
        <f>IF(B185="","",IF(ISNA(VLOOKUP($B185,'B-1 Site Hedge Baseline'!$B$1:$U$257,13,FALSE)),"",(VLOOKUP($B185,'B-1 Site Hedge Baseline'!$B$1:$U$257,13,FALSE))))</f>
        <v/>
      </c>
      <c r="L185" s="524" t="str">
        <f>IF(B185="","",IF(ISNA(VLOOKUP($B185,'B-1 Site Hedge Baseline'!$B$1:$U$257,12,FALSE)),"",(VLOOKUP($B185,'B-1 Site Hedge Baseline'!$B$1:$U$257,12,FALSE))))</f>
        <v/>
      </c>
      <c r="M185" s="416" t="str">
        <f t="shared" si="23"/>
        <v/>
      </c>
      <c r="N185" s="498" t="str">
        <f>IFERROR(IF(B185="","",INDEX('G-6 Hedgerow Data'!$AN$3:$AZ$15,MATCH(C185,'G-6 Hedgerow Data'!$AM$3:$AM$15,0),MATCH(M185,'G-6 Hedgerow Data'!$AN$2:$AZ$2,0))),"")</f>
        <v/>
      </c>
      <c r="O185" s="499" t="str">
        <f t="shared" si="18"/>
        <v/>
      </c>
      <c r="P185" s="559" t="str">
        <f>IF(B185="","",VLOOKUP(B185,'B-1 Site Hedge Baseline'!$B$10:T430,16,FALSE))</f>
        <v/>
      </c>
      <c r="Q185" s="498" t="str">
        <f>IF(M185="","",VLOOKUP(M185,'G-6 Hedgerow Data'!$B$2:$AG$15,2,FALSE))</f>
        <v/>
      </c>
      <c r="R185" s="499" t="str">
        <f>IF(M185="","",VLOOKUP(M185,'G-6 Hedgerow Data'!$B$2:$AG$15,3,FALSE))</f>
        <v/>
      </c>
      <c r="S185" s="157"/>
      <c r="T185" s="540" t="str">
        <f>IFERROR(VLOOKUP(S185,'G-1 All Habitats'!$Z$2:$AA$9,2,FALSE),"")</f>
        <v/>
      </c>
      <c r="U185" s="154"/>
      <c r="V185" s="520" t="str">
        <f>IF(U185="","",IF(VLOOKUP(U185,'G-3 Multipliers'!$L$3:$N$6,2,FALSE)=0,"Spatial Data Missing ⚠",VLOOKUP(U185,'G-3 Multipliers'!$L$3:$N$6,2,FALSE)))</f>
        <v/>
      </c>
      <c r="W185" s="524"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6"/>
        <v/>
      </c>
      <c r="AD185" s="537" t="str">
        <f>IF(M185="","",VLOOKUP(M185,'G-6 Hedgerow Data'!$B$3:$AG$15,31,FALSE))</f>
        <v/>
      </c>
      <c r="AE185" s="507" t="str">
        <f t="shared" si="21"/>
        <v/>
      </c>
      <c r="AF185" s="507" t="str">
        <f t="shared" si="22"/>
        <v/>
      </c>
      <c r="AG185" s="524" t="str">
        <f>IFERROR(IF(O185="","",VLOOKUP(AD185,'G-3 Multipliers'!$P$3:$Q$6,2,FALSE)),"")</f>
        <v/>
      </c>
      <c r="AH185" s="513" t="str">
        <f t="shared" si="17"/>
        <v/>
      </c>
      <c r="AI185" s="231"/>
      <c r="AJ185" s="150"/>
      <c r="AT185" s="31" t="str">
        <f>IFERROR(INDEX('G-6 Hedgerow Data'!$BJ$3:$BJ$15,MATCH(M185,'G-6 Hedgerow Data'!$B$3:$B$15,0)),"")</f>
        <v/>
      </c>
    </row>
    <row r="186" spans="2:46" ht="13.8" x14ac:dyDescent="0.25">
      <c r="B186" s="531" t="str">
        <f>'B-1 Site Hedge Baseline'!AK184</f>
        <v/>
      </c>
      <c r="C186" s="520" t="str">
        <f>IF(B186="","",IF(ISNA(VLOOKUP($B186,'B-1 Site Hedge Baseline'!$B$1:$L$257,3,FALSE)),"",(VLOOKUP($B186,'B-1 Site Hedge Baseline'!$B$1:$L$257,3,FALSE))))</f>
        <v/>
      </c>
      <c r="D186" s="520" t="str">
        <f>IF(B186="","",IF(ISNA(VLOOKUP($B186,'B-1 Site Hedge Baseline'!$B$1:$L$257,4,FALSE)),"",(VLOOKUP($B186,'B-1 Site Hedge Baseline'!$B$1:$L$257,4,FALSE))))</f>
        <v/>
      </c>
      <c r="E186" s="520" t="str">
        <f>IF(B186="","",IF(ISNA(VLOOKUP($B186,'B-1 Site Hedge Baseline'!$B$1:$L$257,5,FALSE)),"",(VLOOKUP($B186,'B-1 Site Hedge Baseline'!$B$1:$L$257,5,FALSE))))</f>
        <v/>
      </c>
      <c r="F186" s="520" t="str">
        <f>IF(B186="","",IF(ISNA(VLOOKUP($B186,'B-1 Site Hedge Baseline'!$B$1:$L$257,6,FALSE)),"",(VLOOKUP($B186,'B-1 Site Hedge Baseline'!$B$1:$L$257,6,FALSE))))</f>
        <v/>
      </c>
      <c r="G186" s="520" t="str">
        <f>IF(B186="","",IF(ISNA(VLOOKUP($B186,'B-1 Site Hedge Baseline'!$B$1:$L$257,7,FALSE)),"",(VLOOKUP($B186,'B-1 Site Hedge Baseline'!$B$1:$L$257,7,FALSE))))</f>
        <v/>
      </c>
      <c r="H186" s="520" t="str">
        <f>IF(B186="","",IF(ISNA(VLOOKUP($B186,'B-1 Site Hedge Baseline'!$B$1:$L$257,8,FALSE)),"",(VLOOKUP($B186,'B-1 Site Hedge Baseline'!$B$1:$L$257,8,FALSE))))</f>
        <v/>
      </c>
      <c r="I186" s="520" t="str">
        <f>IF(B186="","",IF(ISNA(VLOOKUP($B186,'B-1 Site Hedge Baseline'!$B$1:$L$257,10,FALSE)),"",(VLOOKUP($B186,'B-1 Site Hedge Baseline'!$B$1:$L$257,10,FALSE))))</f>
        <v/>
      </c>
      <c r="J186" s="520" t="str">
        <f>IF(B186="","",IF(ISNA(VLOOKUP($B186,'B-1 Site Hedge Baseline'!$B$1:$L$257,11,FALSE)),"",(VLOOKUP($B186,'B-1 Site Hedge Baseline'!$B$1:$L$257,11,FALSE))))</f>
        <v/>
      </c>
      <c r="K186" s="520" t="str">
        <f>IF(B186="","",IF(ISNA(VLOOKUP($B186,'B-1 Site Hedge Baseline'!$B$1:$U$257,13,FALSE)),"",(VLOOKUP($B186,'B-1 Site Hedge Baseline'!$B$1:$U$257,13,FALSE))))</f>
        <v/>
      </c>
      <c r="L186" s="524" t="str">
        <f>IF(B186="","",IF(ISNA(VLOOKUP($B186,'B-1 Site Hedge Baseline'!$B$1:$U$257,12,FALSE)),"",(VLOOKUP($B186,'B-1 Site Hedge Baseline'!$B$1:$U$257,12,FALSE))))</f>
        <v/>
      </c>
      <c r="M186" s="416" t="str">
        <f t="shared" si="23"/>
        <v/>
      </c>
      <c r="N186" s="498" t="str">
        <f>IFERROR(IF(B186="","",INDEX('G-6 Hedgerow Data'!$AN$3:$AZ$15,MATCH(C186,'G-6 Hedgerow Data'!$AM$3:$AM$15,0),MATCH(M186,'G-6 Hedgerow Data'!$AN$2:$AZ$2,0))),"")</f>
        <v/>
      </c>
      <c r="O186" s="499" t="str">
        <f t="shared" si="18"/>
        <v/>
      </c>
      <c r="P186" s="559" t="str">
        <f>IF(B186="","",VLOOKUP(B186,'B-1 Site Hedge Baseline'!$B$10:T431,16,FALSE))</f>
        <v/>
      </c>
      <c r="Q186" s="498" t="str">
        <f>IF(M186="","",VLOOKUP(M186,'G-6 Hedgerow Data'!$B$2:$AG$15,2,FALSE))</f>
        <v/>
      </c>
      <c r="R186" s="499" t="str">
        <f>IF(M186="","",VLOOKUP(M186,'G-6 Hedgerow Data'!$B$2:$AG$15,3,FALSE))</f>
        <v/>
      </c>
      <c r="S186" s="157"/>
      <c r="T186" s="540" t="str">
        <f>IFERROR(VLOOKUP(S186,'G-1 All Habitats'!$Z$2:$AA$9,2,FALSE),"")</f>
        <v/>
      </c>
      <c r="U186" s="154"/>
      <c r="V186" s="520" t="str">
        <f>IF(U186="","",IF(VLOOKUP(U186,'G-3 Multipliers'!$L$3:$N$6,2,FALSE)=0,"Spatial Data Missing ⚠",VLOOKUP(U186,'G-3 Multipliers'!$L$3:$N$6,2,FALSE)))</f>
        <v/>
      </c>
      <c r="W186" s="524"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6"/>
        <v/>
      </c>
      <c r="AD186" s="537" t="str">
        <f>IF(M186="","",VLOOKUP(M186,'G-6 Hedgerow Data'!$B$3:$AG$15,31,FALSE))</f>
        <v/>
      </c>
      <c r="AE186" s="507" t="str">
        <f t="shared" si="21"/>
        <v/>
      </c>
      <c r="AF186" s="507" t="str">
        <f t="shared" si="22"/>
        <v/>
      </c>
      <c r="AG186" s="524" t="str">
        <f>IFERROR(IF(O186="","",VLOOKUP(AD186,'G-3 Multipliers'!$P$3:$Q$6,2,FALSE)),"")</f>
        <v/>
      </c>
      <c r="AH186" s="513" t="str">
        <f t="shared" si="17"/>
        <v/>
      </c>
      <c r="AI186" s="231"/>
      <c r="AJ186" s="150"/>
      <c r="AT186" s="31" t="str">
        <f>IFERROR(INDEX('G-6 Hedgerow Data'!$BJ$3:$BJ$15,MATCH(M186,'G-6 Hedgerow Data'!$B$3:$B$15,0)),"")</f>
        <v/>
      </c>
    </row>
    <row r="187" spans="2:46" ht="13.8" x14ac:dyDescent="0.25">
      <c r="B187" s="531" t="str">
        <f>'B-1 Site Hedge Baseline'!AK185</f>
        <v/>
      </c>
      <c r="C187" s="520" t="str">
        <f>IF(B187="","",IF(ISNA(VLOOKUP($B187,'B-1 Site Hedge Baseline'!$B$1:$L$257,3,FALSE)),"",(VLOOKUP($B187,'B-1 Site Hedge Baseline'!$B$1:$L$257,3,FALSE))))</f>
        <v/>
      </c>
      <c r="D187" s="520" t="str">
        <f>IF(B187="","",IF(ISNA(VLOOKUP($B187,'B-1 Site Hedge Baseline'!$B$1:$L$257,4,FALSE)),"",(VLOOKUP($B187,'B-1 Site Hedge Baseline'!$B$1:$L$257,4,FALSE))))</f>
        <v/>
      </c>
      <c r="E187" s="520" t="str">
        <f>IF(B187="","",IF(ISNA(VLOOKUP($B187,'B-1 Site Hedge Baseline'!$B$1:$L$257,5,FALSE)),"",(VLOOKUP($B187,'B-1 Site Hedge Baseline'!$B$1:$L$257,5,FALSE))))</f>
        <v/>
      </c>
      <c r="F187" s="520" t="str">
        <f>IF(B187="","",IF(ISNA(VLOOKUP($B187,'B-1 Site Hedge Baseline'!$B$1:$L$257,6,FALSE)),"",(VLOOKUP($B187,'B-1 Site Hedge Baseline'!$B$1:$L$257,6,FALSE))))</f>
        <v/>
      </c>
      <c r="G187" s="520" t="str">
        <f>IF(B187="","",IF(ISNA(VLOOKUP($B187,'B-1 Site Hedge Baseline'!$B$1:$L$257,7,FALSE)),"",(VLOOKUP($B187,'B-1 Site Hedge Baseline'!$B$1:$L$257,7,FALSE))))</f>
        <v/>
      </c>
      <c r="H187" s="520" t="str">
        <f>IF(B187="","",IF(ISNA(VLOOKUP($B187,'B-1 Site Hedge Baseline'!$B$1:$L$257,8,FALSE)),"",(VLOOKUP($B187,'B-1 Site Hedge Baseline'!$B$1:$L$257,8,FALSE))))</f>
        <v/>
      </c>
      <c r="I187" s="520" t="str">
        <f>IF(B187="","",IF(ISNA(VLOOKUP($B187,'B-1 Site Hedge Baseline'!$B$1:$L$257,10,FALSE)),"",(VLOOKUP($B187,'B-1 Site Hedge Baseline'!$B$1:$L$257,10,FALSE))))</f>
        <v/>
      </c>
      <c r="J187" s="520" t="str">
        <f>IF(B187="","",IF(ISNA(VLOOKUP($B187,'B-1 Site Hedge Baseline'!$B$1:$L$257,11,FALSE)),"",(VLOOKUP($B187,'B-1 Site Hedge Baseline'!$B$1:$L$257,11,FALSE))))</f>
        <v/>
      </c>
      <c r="K187" s="520" t="str">
        <f>IF(B187="","",IF(ISNA(VLOOKUP($B187,'B-1 Site Hedge Baseline'!$B$1:$U$257,13,FALSE)),"",(VLOOKUP($B187,'B-1 Site Hedge Baseline'!$B$1:$U$257,13,FALSE))))</f>
        <v/>
      </c>
      <c r="L187" s="524" t="str">
        <f>IF(B187="","",IF(ISNA(VLOOKUP($B187,'B-1 Site Hedge Baseline'!$B$1:$U$257,12,FALSE)),"",(VLOOKUP($B187,'B-1 Site Hedge Baseline'!$B$1:$U$257,12,FALSE))))</f>
        <v/>
      </c>
      <c r="M187" s="416" t="str">
        <f t="shared" si="23"/>
        <v/>
      </c>
      <c r="N187" s="498" t="str">
        <f>IFERROR(IF(B187="","",INDEX('G-6 Hedgerow Data'!$AN$3:$AZ$15,MATCH(C187,'G-6 Hedgerow Data'!$AM$3:$AM$15,0),MATCH(M187,'G-6 Hedgerow Data'!$AN$2:$AZ$2,0))),"")</f>
        <v/>
      </c>
      <c r="O187" s="499" t="str">
        <f t="shared" si="18"/>
        <v/>
      </c>
      <c r="P187" s="559" t="str">
        <f>IF(B187="","",VLOOKUP(B187,'B-1 Site Hedge Baseline'!$B$10:T432,16,FALSE))</f>
        <v/>
      </c>
      <c r="Q187" s="498" t="str">
        <f>IF(M187="","",VLOOKUP(M187,'G-6 Hedgerow Data'!$B$2:$AG$15,2,FALSE))</f>
        <v/>
      </c>
      <c r="R187" s="499" t="str">
        <f>IF(M187="","",VLOOKUP(M187,'G-6 Hedgerow Data'!$B$2:$AG$15,3,FALSE))</f>
        <v/>
      </c>
      <c r="S187" s="157"/>
      <c r="T187" s="540" t="str">
        <f>IFERROR(VLOOKUP(S187,'G-1 All Habitats'!$Z$2:$AA$9,2,FALSE),"")</f>
        <v/>
      </c>
      <c r="U187" s="154"/>
      <c r="V187" s="520" t="str">
        <f>IF(U187="","",IF(VLOOKUP(U187,'G-3 Multipliers'!$L$3:$N$6,2,FALSE)=0,"Spatial Data Missing ⚠",VLOOKUP(U187,'G-3 Multipliers'!$L$3:$N$6,2,FALSE)))</f>
        <v/>
      </c>
      <c r="W187" s="524"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6"/>
        <v/>
      </c>
      <c r="AD187" s="537" t="str">
        <f>IF(M187="","",VLOOKUP(M187,'G-6 Hedgerow Data'!$B$3:$AG$15,31,FALSE))</f>
        <v/>
      </c>
      <c r="AE187" s="507" t="str">
        <f t="shared" si="21"/>
        <v/>
      </c>
      <c r="AF187" s="507" t="str">
        <f t="shared" si="22"/>
        <v/>
      </c>
      <c r="AG187" s="524" t="str">
        <f>IFERROR(IF(O187="","",VLOOKUP(AD187,'G-3 Multipliers'!$P$3:$Q$6,2,FALSE)),"")</f>
        <v/>
      </c>
      <c r="AH187" s="513" t="str">
        <f t="shared" si="17"/>
        <v/>
      </c>
      <c r="AI187" s="231"/>
      <c r="AJ187" s="150"/>
      <c r="AT187" s="31" t="str">
        <f>IFERROR(INDEX('G-6 Hedgerow Data'!$BJ$3:$BJ$15,MATCH(M187,'G-6 Hedgerow Data'!$B$3:$B$15,0)),"")</f>
        <v/>
      </c>
    </row>
    <row r="188" spans="2:46" ht="13.8" x14ac:dyDescent="0.25">
      <c r="B188" s="531" t="str">
        <f>'B-1 Site Hedge Baseline'!AK186</f>
        <v/>
      </c>
      <c r="C188" s="520" t="str">
        <f>IF(B188="","",IF(ISNA(VLOOKUP($B188,'B-1 Site Hedge Baseline'!$B$1:$L$257,3,FALSE)),"",(VLOOKUP($B188,'B-1 Site Hedge Baseline'!$B$1:$L$257,3,FALSE))))</f>
        <v/>
      </c>
      <c r="D188" s="520" t="str">
        <f>IF(B188="","",IF(ISNA(VLOOKUP($B188,'B-1 Site Hedge Baseline'!$B$1:$L$257,4,FALSE)),"",(VLOOKUP($B188,'B-1 Site Hedge Baseline'!$B$1:$L$257,4,FALSE))))</f>
        <v/>
      </c>
      <c r="E188" s="520" t="str">
        <f>IF(B188="","",IF(ISNA(VLOOKUP($B188,'B-1 Site Hedge Baseline'!$B$1:$L$257,5,FALSE)),"",(VLOOKUP($B188,'B-1 Site Hedge Baseline'!$B$1:$L$257,5,FALSE))))</f>
        <v/>
      </c>
      <c r="F188" s="520" t="str">
        <f>IF(B188="","",IF(ISNA(VLOOKUP($B188,'B-1 Site Hedge Baseline'!$B$1:$L$257,6,FALSE)),"",(VLOOKUP($B188,'B-1 Site Hedge Baseline'!$B$1:$L$257,6,FALSE))))</f>
        <v/>
      </c>
      <c r="G188" s="520" t="str">
        <f>IF(B188="","",IF(ISNA(VLOOKUP($B188,'B-1 Site Hedge Baseline'!$B$1:$L$257,7,FALSE)),"",(VLOOKUP($B188,'B-1 Site Hedge Baseline'!$B$1:$L$257,7,FALSE))))</f>
        <v/>
      </c>
      <c r="H188" s="520" t="str">
        <f>IF(B188="","",IF(ISNA(VLOOKUP($B188,'B-1 Site Hedge Baseline'!$B$1:$L$257,8,FALSE)),"",(VLOOKUP($B188,'B-1 Site Hedge Baseline'!$B$1:$L$257,8,FALSE))))</f>
        <v/>
      </c>
      <c r="I188" s="520" t="str">
        <f>IF(B188="","",IF(ISNA(VLOOKUP($B188,'B-1 Site Hedge Baseline'!$B$1:$L$257,10,FALSE)),"",(VLOOKUP($B188,'B-1 Site Hedge Baseline'!$B$1:$L$257,10,FALSE))))</f>
        <v/>
      </c>
      <c r="J188" s="520" t="str">
        <f>IF(B188="","",IF(ISNA(VLOOKUP($B188,'B-1 Site Hedge Baseline'!$B$1:$L$257,11,FALSE)),"",(VLOOKUP($B188,'B-1 Site Hedge Baseline'!$B$1:$L$257,11,FALSE))))</f>
        <v/>
      </c>
      <c r="K188" s="520" t="str">
        <f>IF(B188="","",IF(ISNA(VLOOKUP($B188,'B-1 Site Hedge Baseline'!$B$1:$U$257,13,FALSE)),"",(VLOOKUP($B188,'B-1 Site Hedge Baseline'!$B$1:$U$257,13,FALSE))))</f>
        <v/>
      </c>
      <c r="L188" s="524" t="str">
        <f>IF(B188="","",IF(ISNA(VLOOKUP($B188,'B-1 Site Hedge Baseline'!$B$1:$U$257,12,FALSE)),"",(VLOOKUP($B188,'B-1 Site Hedge Baseline'!$B$1:$U$257,12,FALSE))))</f>
        <v/>
      </c>
      <c r="M188" s="416" t="str">
        <f t="shared" si="23"/>
        <v/>
      </c>
      <c r="N188" s="498" t="str">
        <f>IFERROR(IF(B188="","",INDEX('G-6 Hedgerow Data'!$AN$3:$AZ$15,MATCH(C188,'G-6 Hedgerow Data'!$AM$3:$AM$15,0),MATCH(M188,'G-6 Hedgerow Data'!$AN$2:$AZ$2,0))),"")</f>
        <v/>
      </c>
      <c r="O188" s="499" t="str">
        <f t="shared" si="18"/>
        <v/>
      </c>
      <c r="P188" s="559" t="str">
        <f>IF(B188="","",VLOOKUP(B188,'B-1 Site Hedge Baseline'!$B$10:T433,16,FALSE))</f>
        <v/>
      </c>
      <c r="Q188" s="498" t="str">
        <f>IF(M188="","",VLOOKUP(M188,'G-6 Hedgerow Data'!$B$2:$AG$15,2,FALSE))</f>
        <v/>
      </c>
      <c r="R188" s="499" t="str">
        <f>IF(M188="","",VLOOKUP(M188,'G-6 Hedgerow Data'!$B$2:$AG$15,3,FALSE))</f>
        <v/>
      </c>
      <c r="S188" s="157"/>
      <c r="T188" s="540" t="str">
        <f>IFERROR(VLOOKUP(S188,'G-1 All Habitats'!$Z$2:$AA$9,2,FALSE),"")</f>
        <v/>
      </c>
      <c r="U188" s="154"/>
      <c r="V188" s="520" t="str">
        <f>IF(U188="","",IF(VLOOKUP(U188,'G-3 Multipliers'!$L$3:$N$6,2,FALSE)=0,"Spatial Data Missing ⚠",VLOOKUP(U188,'G-3 Multipliers'!$L$3:$N$6,2,FALSE)))</f>
        <v/>
      </c>
      <c r="W188" s="524"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6"/>
        <v/>
      </c>
      <c r="AD188" s="537" t="str">
        <f>IF(M188="","",VLOOKUP(M188,'G-6 Hedgerow Data'!$B$3:$AG$15,31,FALSE))</f>
        <v/>
      </c>
      <c r="AE188" s="507" t="str">
        <f t="shared" si="21"/>
        <v/>
      </c>
      <c r="AF188" s="507" t="str">
        <f t="shared" si="22"/>
        <v/>
      </c>
      <c r="AG188" s="524" t="str">
        <f>IFERROR(IF(O188="","",VLOOKUP(AD188,'G-3 Multipliers'!$P$3:$Q$6,2,FALSE)),"")</f>
        <v/>
      </c>
      <c r="AH188" s="513" t="str">
        <f t="shared" si="17"/>
        <v/>
      </c>
      <c r="AI188" s="231"/>
      <c r="AJ188" s="150"/>
      <c r="AT188" s="31" t="str">
        <f>IFERROR(INDEX('G-6 Hedgerow Data'!$BJ$3:$BJ$15,MATCH(M188,'G-6 Hedgerow Data'!$B$3:$B$15,0)),"")</f>
        <v/>
      </c>
    </row>
    <row r="189" spans="2:46" ht="13.8" x14ac:dyDescent="0.25">
      <c r="B189" s="531" t="str">
        <f>'B-1 Site Hedge Baseline'!AK187</f>
        <v/>
      </c>
      <c r="C189" s="520" t="str">
        <f>IF(B189="","",IF(ISNA(VLOOKUP($B189,'B-1 Site Hedge Baseline'!$B$1:$L$257,3,FALSE)),"",(VLOOKUP($B189,'B-1 Site Hedge Baseline'!$B$1:$L$257,3,FALSE))))</f>
        <v/>
      </c>
      <c r="D189" s="520" t="str">
        <f>IF(B189="","",IF(ISNA(VLOOKUP($B189,'B-1 Site Hedge Baseline'!$B$1:$L$257,4,FALSE)),"",(VLOOKUP($B189,'B-1 Site Hedge Baseline'!$B$1:$L$257,4,FALSE))))</f>
        <v/>
      </c>
      <c r="E189" s="520" t="str">
        <f>IF(B189="","",IF(ISNA(VLOOKUP($B189,'B-1 Site Hedge Baseline'!$B$1:$L$257,5,FALSE)),"",(VLOOKUP($B189,'B-1 Site Hedge Baseline'!$B$1:$L$257,5,FALSE))))</f>
        <v/>
      </c>
      <c r="F189" s="520" t="str">
        <f>IF(B189="","",IF(ISNA(VLOOKUP($B189,'B-1 Site Hedge Baseline'!$B$1:$L$257,6,FALSE)),"",(VLOOKUP($B189,'B-1 Site Hedge Baseline'!$B$1:$L$257,6,FALSE))))</f>
        <v/>
      </c>
      <c r="G189" s="520" t="str">
        <f>IF(B189="","",IF(ISNA(VLOOKUP($B189,'B-1 Site Hedge Baseline'!$B$1:$L$257,7,FALSE)),"",(VLOOKUP($B189,'B-1 Site Hedge Baseline'!$B$1:$L$257,7,FALSE))))</f>
        <v/>
      </c>
      <c r="H189" s="520" t="str">
        <f>IF(B189="","",IF(ISNA(VLOOKUP($B189,'B-1 Site Hedge Baseline'!$B$1:$L$257,8,FALSE)),"",(VLOOKUP($B189,'B-1 Site Hedge Baseline'!$B$1:$L$257,8,FALSE))))</f>
        <v/>
      </c>
      <c r="I189" s="520" t="str">
        <f>IF(B189="","",IF(ISNA(VLOOKUP($B189,'B-1 Site Hedge Baseline'!$B$1:$L$257,10,FALSE)),"",(VLOOKUP($B189,'B-1 Site Hedge Baseline'!$B$1:$L$257,10,FALSE))))</f>
        <v/>
      </c>
      <c r="J189" s="520" t="str">
        <f>IF(B189="","",IF(ISNA(VLOOKUP($B189,'B-1 Site Hedge Baseline'!$B$1:$L$257,11,FALSE)),"",(VLOOKUP($B189,'B-1 Site Hedge Baseline'!$B$1:$L$257,11,FALSE))))</f>
        <v/>
      </c>
      <c r="K189" s="520" t="str">
        <f>IF(B189="","",IF(ISNA(VLOOKUP($B189,'B-1 Site Hedge Baseline'!$B$1:$U$257,13,FALSE)),"",(VLOOKUP($B189,'B-1 Site Hedge Baseline'!$B$1:$U$257,13,FALSE))))</f>
        <v/>
      </c>
      <c r="L189" s="524" t="str">
        <f>IF(B189="","",IF(ISNA(VLOOKUP($B189,'B-1 Site Hedge Baseline'!$B$1:$U$257,12,FALSE)),"",(VLOOKUP($B189,'B-1 Site Hedge Baseline'!$B$1:$U$257,12,FALSE))))</f>
        <v/>
      </c>
      <c r="M189" s="416" t="str">
        <f t="shared" si="23"/>
        <v/>
      </c>
      <c r="N189" s="498" t="str">
        <f>IFERROR(IF(B189="","",INDEX('G-6 Hedgerow Data'!$AN$3:$AZ$15,MATCH(C189,'G-6 Hedgerow Data'!$AM$3:$AM$15,0),MATCH(M189,'G-6 Hedgerow Data'!$AN$2:$AZ$2,0))),"")</f>
        <v/>
      </c>
      <c r="O189" s="499" t="str">
        <f t="shared" si="18"/>
        <v/>
      </c>
      <c r="P189" s="559" t="str">
        <f>IF(B189="","",VLOOKUP(B189,'B-1 Site Hedge Baseline'!$B$10:T434,16,FALSE))</f>
        <v/>
      </c>
      <c r="Q189" s="498" t="str">
        <f>IF(M189="","",VLOOKUP(M189,'G-6 Hedgerow Data'!$B$2:$AG$15,2,FALSE))</f>
        <v/>
      </c>
      <c r="R189" s="499" t="str">
        <f>IF(M189="","",VLOOKUP(M189,'G-6 Hedgerow Data'!$B$2:$AG$15,3,FALSE))</f>
        <v/>
      </c>
      <c r="S189" s="157"/>
      <c r="T189" s="540" t="str">
        <f>IFERROR(VLOOKUP(S189,'G-1 All Habitats'!$Z$2:$AA$9,2,FALSE),"")</f>
        <v/>
      </c>
      <c r="U189" s="154"/>
      <c r="V189" s="520" t="str">
        <f>IF(U189="","",IF(VLOOKUP(U189,'G-3 Multipliers'!$L$3:$N$6,2,FALSE)=0,"Spatial Data Missing ⚠",VLOOKUP(U189,'G-3 Multipliers'!$L$3:$N$6,2,FALSE)))</f>
        <v/>
      </c>
      <c r="W189" s="524"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6"/>
        <v/>
      </c>
      <c r="AD189" s="537" t="str">
        <f>IF(M189="","",VLOOKUP(M189,'G-6 Hedgerow Data'!$B$3:$AG$15,31,FALSE))</f>
        <v/>
      </c>
      <c r="AE189" s="507" t="str">
        <f t="shared" si="21"/>
        <v/>
      </c>
      <c r="AF189" s="507" t="str">
        <f t="shared" si="22"/>
        <v/>
      </c>
      <c r="AG189" s="524" t="str">
        <f>IFERROR(IF(O189="","",VLOOKUP(AD189,'G-3 Multipliers'!$P$3:$Q$6,2,FALSE)),"")</f>
        <v/>
      </c>
      <c r="AH189" s="513" t="str">
        <f t="shared" si="17"/>
        <v/>
      </c>
      <c r="AI189" s="231"/>
      <c r="AJ189" s="150"/>
      <c r="AT189" s="31" t="str">
        <f>IFERROR(INDEX('G-6 Hedgerow Data'!$BJ$3:$BJ$15,MATCH(M189,'G-6 Hedgerow Data'!$B$3:$B$15,0)),"")</f>
        <v/>
      </c>
    </row>
    <row r="190" spans="2:46" ht="13.8" x14ac:dyDescent="0.25">
      <c r="B190" s="531" t="str">
        <f>'B-1 Site Hedge Baseline'!AK188</f>
        <v/>
      </c>
      <c r="C190" s="520" t="str">
        <f>IF(B190="","",IF(ISNA(VLOOKUP($B190,'B-1 Site Hedge Baseline'!$B$1:$L$257,3,FALSE)),"",(VLOOKUP($B190,'B-1 Site Hedge Baseline'!$B$1:$L$257,3,FALSE))))</f>
        <v/>
      </c>
      <c r="D190" s="520" t="str">
        <f>IF(B190="","",IF(ISNA(VLOOKUP($B190,'B-1 Site Hedge Baseline'!$B$1:$L$257,4,FALSE)),"",(VLOOKUP($B190,'B-1 Site Hedge Baseline'!$B$1:$L$257,4,FALSE))))</f>
        <v/>
      </c>
      <c r="E190" s="520" t="str">
        <f>IF(B190="","",IF(ISNA(VLOOKUP($B190,'B-1 Site Hedge Baseline'!$B$1:$L$257,5,FALSE)),"",(VLOOKUP($B190,'B-1 Site Hedge Baseline'!$B$1:$L$257,5,FALSE))))</f>
        <v/>
      </c>
      <c r="F190" s="520" t="str">
        <f>IF(B190="","",IF(ISNA(VLOOKUP($B190,'B-1 Site Hedge Baseline'!$B$1:$L$257,6,FALSE)),"",(VLOOKUP($B190,'B-1 Site Hedge Baseline'!$B$1:$L$257,6,FALSE))))</f>
        <v/>
      </c>
      <c r="G190" s="520" t="str">
        <f>IF(B190="","",IF(ISNA(VLOOKUP($B190,'B-1 Site Hedge Baseline'!$B$1:$L$257,7,FALSE)),"",(VLOOKUP($B190,'B-1 Site Hedge Baseline'!$B$1:$L$257,7,FALSE))))</f>
        <v/>
      </c>
      <c r="H190" s="520" t="str">
        <f>IF(B190="","",IF(ISNA(VLOOKUP($B190,'B-1 Site Hedge Baseline'!$B$1:$L$257,8,FALSE)),"",(VLOOKUP($B190,'B-1 Site Hedge Baseline'!$B$1:$L$257,8,FALSE))))</f>
        <v/>
      </c>
      <c r="I190" s="520" t="str">
        <f>IF(B190="","",IF(ISNA(VLOOKUP($B190,'B-1 Site Hedge Baseline'!$B$1:$L$257,10,FALSE)),"",(VLOOKUP($B190,'B-1 Site Hedge Baseline'!$B$1:$L$257,10,FALSE))))</f>
        <v/>
      </c>
      <c r="J190" s="520" t="str">
        <f>IF(B190="","",IF(ISNA(VLOOKUP($B190,'B-1 Site Hedge Baseline'!$B$1:$L$257,11,FALSE)),"",(VLOOKUP($B190,'B-1 Site Hedge Baseline'!$B$1:$L$257,11,FALSE))))</f>
        <v/>
      </c>
      <c r="K190" s="520" t="str">
        <f>IF(B190="","",IF(ISNA(VLOOKUP($B190,'B-1 Site Hedge Baseline'!$B$1:$U$257,13,FALSE)),"",(VLOOKUP($B190,'B-1 Site Hedge Baseline'!$B$1:$U$257,13,FALSE))))</f>
        <v/>
      </c>
      <c r="L190" s="524" t="str">
        <f>IF(B190="","",IF(ISNA(VLOOKUP($B190,'B-1 Site Hedge Baseline'!$B$1:$U$257,12,FALSE)),"",(VLOOKUP($B190,'B-1 Site Hedge Baseline'!$B$1:$U$257,12,FALSE))))</f>
        <v/>
      </c>
      <c r="M190" s="416" t="str">
        <f t="shared" si="23"/>
        <v/>
      </c>
      <c r="N190" s="498" t="str">
        <f>IFERROR(IF(B190="","",INDEX('G-6 Hedgerow Data'!$AN$3:$AZ$15,MATCH(C190,'G-6 Hedgerow Data'!$AM$3:$AM$15,0),MATCH(M190,'G-6 Hedgerow Data'!$AN$2:$AZ$2,0))),"")</f>
        <v/>
      </c>
      <c r="O190" s="499" t="str">
        <f t="shared" si="18"/>
        <v/>
      </c>
      <c r="P190" s="559" t="str">
        <f>IF(B190="","",VLOOKUP(B190,'B-1 Site Hedge Baseline'!$B$10:T435,16,FALSE))</f>
        <v/>
      </c>
      <c r="Q190" s="498" t="str">
        <f>IF(M190="","",VLOOKUP(M190,'G-6 Hedgerow Data'!$B$2:$AG$15,2,FALSE))</f>
        <v/>
      </c>
      <c r="R190" s="499" t="str">
        <f>IF(M190="","",VLOOKUP(M190,'G-6 Hedgerow Data'!$B$2:$AG$15,3,FALSE))</f>
        <v/>
      </c>
      <c r="S190" s="157"/>
      <c r="T190" s="540" t="str">
        <f>IFERROR(VLOOKUP(S190,'G-1 All Habitats'!$Z$2:$AA$9,2,FALSE),"")</f>
        <v/>
      </c>
      <c r="U190" s="154"/>
      <c r="V190" s="520" t="str">
        <f>IF(U190="","",IF(VLOOKUP(U190,'G-3 Multipliers'!$L$3:$N$6,2,FALSE)=0,"Spatial Data Missing ⚠",VLOOKUP(U190,'G-3 Multipliers'!$L$3:$N$6,2,FALSE)))</f>
        <v/>
      </c>
      <c r="W190" s="524"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6"/>
        <v/>
      </c>
      <c r="AD190" s="537" t="str">
        <f>IF(M190="","",VLOOKUP(M190,'G-6 Hedgerow Data'!$B$3:$AG$15,31,FALSE))</f>
        <v/>
      </c>
      <c r="AE190" s="507" t="str">
        <f t="shared" si="21"/>
        <v/>
      </c>
      <c r="AF190" s="507" t="str">
        <f t="shared" si="22"/>
        <v/>
      </c>
      <c r="AG190" s="524" t="str">
        <f>IFERROR(IF(O190="","",VLOOKUP(AD190,'G-3 Multipliers'!$P$3:$Q$6,2,FALSE)),"")</f>
        <v/>
      </c>
      <c r="AH190" s="513" t="str">
        <f t="shared" si="17"/>
        <v/>
      </c>
      <c r="AI190" s="231"/>
      <c r="AJ190" s="150"/>
      <c r="AT190" s="31" t="str">
        <f>IFERROR(INDEX('G-6 Hedgerow Data'!$BJ$3:$BJ$15,MATCH(M190,'G-6 Hedgerow Data'!$B$3:$B$15,0)),"")</f>
        <v/>
      </c>
    </row>
    <row r="191" spans="2:46" ht="13.8" x14ac:dyDescent="0.25">
      <c r="B191" s="531" t="str">
        <f>'B-1 Site Hedge Baseline'!AK189</f>
        <v/>
      </c>
      <c r="C191" s="520" t="str">
        <f>IF(B191="","",IF(ISNA(VLOOKUP($B191,'B-1 Site Hedge Baseline'!$B$1:$L$257,3,FALSE)),"",(VLOOKUP($B191,'B-1 Site Hedge Baseline'!$B$1:$L$257,3,FALSE))))</f>
        <v/>
      </c>
      <c r="D191" s="520" t="str">
        <f>IF(B191="","",IF(ISNA(VLOOKUP($B191,'B-1 Site Hedge Baseline'!$B$1:$L$257,4,FALSE)),"",(VLOOKUP($B191,'B-1 Site Hedge Baseline'!$B$1:$L$257,4,FALSE))))</f>
        <v/>
      </c>
      <c r="E191" s="520" t="str">
        <f>IF(B191="","",IF(ISNA(VLOOKUP($B191,'B-1 Site Hedge Baseline'!$B$1:$L$257,5,FALSE)),"",(VLOOKUP($B191,'B-1 Site Hedge Baseline'!$B$1:$L$257,5,FALSE))))</f>
        <v/>
      </c>
      <c r="F191" s="520" t="str">
        <f>IF(B191="","",IF(ISNA(VLOOKUP($B191,'B-1 Site Hedge Baseline'!$B$1:$L$257,6,FALSE)),"",(VLOOKUP($B191,'B-1 Site Hedge Baseline'!$B$1:$L$257,6,FALSE))))</f>
        <v/>
      </c>
      <c r="G191" s="520" t="str">
        <f>IF(B191="","",IF(ISNA(VLOOKUP($B191,'B-1 Site Hedge Baseline'!$B$1:$L$257,7,FALSE)),"",(VLOOKUP($B191,'B-1 Site Hedge Baseline'!$B$1:$L$257,7,FALSE))))</f>
        <v/>
      </c>
      <c r="H191" s="520" t="str">
        <f>IF(B191="","",IF(ISNA(VLOOKUP($B191,'B-1 Site Hedge Baseline'!$B$1:$L$257,8,FALSE)),"",(VLOOKUP($B191,'B-1 Site Hedge Baseline'!$B$1:$L$257,8,FALSE))))</f>
        <v/>
      </c>
      <c r="I191" s="520" t="str">
        <f>IF(B191="","",IF(ISNA(VLOOKUP($B191,'B-1 Site Hedge Baseline'!$B$1:$L$257,10,FALSE)),"",(VLOOKUP($B191,'B-1 Site Hedge Baseline'!$B$1:$L$257,10,FALSE))))</f>
        <v/>
      </c>
      <c r="J191" s="520" t="str">
        <f>IF(B191="","",IF(ISNA(VLOOKUP($B191,'B-1 Site Hedge Baseline'!$B$1:$L$257,11,FALSE)),"",(VLOOKUP($B191,'B-1 Site Hedge Baseline'!$B$1:$L$257,11,FALSE))))</f>
        <v/>
      </c>
      <c r="K191" s="520" t="str">
        <f>IF(B191="","",IF(ISNA(VLOOKUP($B191,'B-1 Site Hedge Baseline'!$B$1:$U$257,13,FALSE)),"",(VLOOKUP($B191,'B-1 Site Hedge Baseline'!$B$1:$U$257,13,FALSE))))</f>
        <v/>
      </c>
      <c r="L191" s="524" t="str">
        <f>IF(B191="","",IF(ISNA(VLOOKUP($B191,'B-1 Site Hedge Baseline'!$B$1:$U$257,12,FALSE)),"",(VLOOKUP($B191,'B-1 Site Hedge Baseline'!$B$1:$U$257,12,FALSE))))</f>
        <v/>
      </c>
      <c r="M191" s="416" t="str">
        <f t="shared" si="23"/>
        <v/>
      </c>
      <c r="N191" s="498" t="str">
        <f>IFERROR(IF(B191="","",INDEX('G-6 Hedgerow Data'!$AN$3:$AZ$15,MATCH(C191,'G-6 Hedgerow Data'!$AM$3:$AM$15,0),MATCH(M191,'G-6 Hedgerow Data'!$AN$2:$AZ$2,0))),"")</f>
        <v/>
      </c>
      <c r="O191" s="499" t="str">
        <f t="shared" si="18"/>
        <v/>
      </c>
      <c r="P191" s="559" t="str">
        <f>IF(B191="","",VLOOKUP(B191,'B-1 Site Hedge Baseline'!$B$10:T436,16,FALSE))</f>
        <v/>
      </c>
      <c r="Q191" s="498" t="str">
        <f>IF(M191="","",VLOOKUP(M191,'G-6 Hedgerow Data'!$B$2:$AG$15,2,FALSE))</f>
        <v/>
      </c>
      <c r="R191" s="499" t="str">
        <f>IF(M191="","",VLOOKUP(M191,'G-6 Hedgerow Data'!$B$2:$AG$15,3,FALSE))</f>
        <v/>
      </c>
      <c r="S191" s="157"/>
      <c r="T191" s="540" t="str">
        <f>IFERROR(VLOOKUP(S191,'G-1 All Habitats'!$Z$2:$AA$9,2,FALSE),"")</f>
        <v/>
      </c>
      <c r="U191" s="154"/>
      <c r="V191" s="520" t="str">
        <f>IF(U191="","",IF(VLOOKUP(U191,'G-3 Multipliers'!$L$3:$N$6,2,FALSE)=0,"Spatial Data Missing ⚠",VLOOKUP(U191,'G-3 Multipliers'!$L$3:$N$6,2,FALSE)))</f>
        <v/>
      </c>
      <c r="W191" s="524"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6"/>
        <v/>
      </c>
      <c r="AD191" s="537" t="str">
        <f>IF(M191="","",VLOOKUP(M191,'G-6 Hedgerow Data'!$B$3:$AG$15,31,FALSE))</f>
        <v/>
      </c>
      <c r="AE191" s="507" t="str">
        <f t="shared" si="21"/>
        <v/>
      </c>
      <c r="AF191" s="507" t="str">
        <f t="shared" si="22"/>
        <v/>
      </c>
      <c r="AG191" s="524" t="str">
        <f>IFERROR(IF(O191="","",VLOOKUP(AD191,'G-3 Multipliers'!$P$3:$Q$6,2,FALSE)),"")</f>
        <v/>
      </c>
      <c r="AH191" s="513" t="str">
        <f t="shared" si="17"/>
        <v/>
      </c>
      <c r="AI191" s="231"/>
      <c r="AJ191" s="150"/>
      <c r="AT191" s="31" t="str">
        <f>IFERROR(INDEX('G-6 Hedgerow Data'!$BJ$3:$BJ$15,MATCH(M191,'G-6 Hedgerow Data'!$B$3:$B$15,0)),"")</f>
        <v/>
      </c>
    </row>
    <row r="192" spans="2:46" ht="13.8" x14ac:dyDescent="0.25">
      <c r="B192" s="531" t="str">
        <f>'B-1 Site Hedge Baseline'!AK190</f>
        <v/>
      </c>
      <c r="C192" s="520" t="str">
        <f>IF(B192="","",IF(ISNA(VLOOKUP($B192,'B-1 Site Hedge Baseline'!$B$1:$L$257,3,FALSE)),"",(VLOOKUP($B192,'B-1 Site Hedge Baseline'!$B$1:$L$257,3,FALSE))))</f>
        <v/>
      </c>
      <c r="D192" s="520" t="str">
        <f>IF(B192="","",IF(ISNA(VLOOKUP($B192,'B-1 Site Hedge Baseline'!$B$1:$L$257,4,FALSE)),"",(VLOOKUP($B192,'B-1 Site Hedge Baseline'!$B$1:$L$257,4,FALSE))))</f>
        <v/>
      </c>
      <c r="E192" s="520" t="str">
        <f>IF(B192="","",IF(ISNA(VLOOKUP($B192,'B-1 Site Hedge Baseline'!$B$1:$L$257,5,FALSE)),"",(VLOOKUP($B192,'B-1 Site Hedge Baseline'!$B$1:$L$257,5,FALSE))))</f>
        <v/>
      </c>
      <c r="F192" s="520" t="str">
        <f>IF(B192="","",IF(ISNA(VLOOKUP($B192,'B-1 Site Hedge Baseline'!$B$1:$L$257,6,FALSE)),"",(VLOOKUP($B192,'B-1 Site Hedge Baseline'!$B$1:$L$257,6,FALSE))))</f>
        <v/>
      </c>
      <c r="G192" s="520" t="str">
        <f>IF(B192="","",IF(ISNA(VLOOKUP($B192,'B-1 Site Hedge Baseline'!$B$1:$L$257,7,FALSE)),"",(VLOOKUP($B192,'B-1 Site Hedge Baseline'!$B$1:$L$257,7,FALSE))))</f>
        <v/>
      </c>
      <c r="H192" s="520" t="str">
        <f>IF(B192="","",IF(ISNA(VLOOKUP($B192,'B-1 Site Hedge Baseline'!$B$1:$L$257,8,FALSE)),"",(VLOOKUP($B192,'B-1 Site Hedge Baseline'!$B$1:$L$257,8,FALSE))))</f>
        <v/>
      </c>
      <c r="I192" s="520" t="str">
        <f>IF(B192="","",IF(ISNA(VLOOKUP($B192,'B-1 Site Hedge Baseline'!$B$1:$L$257,10,FALSE)),"",(VLOOKUP($B192,'B-1 Site Hedge Baseline'!$B$1:$L$257,10,FALSE))))</f>
        <v/>
      </c>
      <c r="J192" s="520" t="str">
        <f>IF(B192="","",IF(ISNA(VLOOKUP($B192,'B-1 Site Hedge Baseline'!$B$1:$L$257,11,FALSE)),"",(VLOOKUP($B192,'B-1 Site Hedge Baseline'!$B$1:$L$257,11,FALSE))))</f>
        <v/>
      </c>
      <c r="K192" s="520" t="str">
        <f>IF(B192="","",IF(ISNA(VLOOKUP($B192,'B-1 Site Hedge Baseline'!$B$1:$U$257,13,FALSE)),"",(VLOOKUP($B192,'B-1 Site Hedge Baseline'!$B$1:$U$257,13,FALSE))))</f>
        <v/>
      </c>
      <c r="L192" s="524" t="str">
        <f>IF(B192="","",IF(ISNA(VLOOKUP($B192,'B-1 Site Hedge Baseline'!$B$1:$U$257,12,FALSE)),"",(VLOOKUP($B192,'B-1 Site Hedge Baseline'!$B$1:$U$257,12,FALSE))))</f>
        <v/>
      </c>
      <c r="M192" s="416" t="str">
        <f t="shared" si="23"/>
        <v/>
      </c>
      <c r="N192" s="498" t="str">
        <f>IFERROR(IF(B192="","",INDEX('G-6 Hedgerow Data'!$AN$3:$AZ$15,MATCH(C192,'G-6 Hedgerow Data'!$AM$3:$AM$15,0),MATCH(M192,'G-6 Hedgerow Data'!$AN$2:$AZ$2,0))),"")</f>
        <v/>
      </c>
      <c r="O192" s="499" t="str">
        <f t="shared" si="18"/>
        <v/>
      </c>
      <c r="P192" s="559" t="str">
        <f>IF(B192="","",VLOOKUP(B192,'B-1 Site Hedge Baseline'!$B$10:T437,16,FALSE))</f>
        <v/>
      </c>
      <c r="Q192" s="498" t="str">
        <f>IF(M192="","",VLOOKUP(M192,'G-6 Hedgerow Data'!$B$2:$AG$15,2,FALSE))</f>
        <v/>
      </c>
      <c r="R192" s="499" t="str">
        <f>IF(M192="","",VLOOKUP(M192,'G-6 Hedgerow Data'!$B$2:$AG$15,3,FALSE))</f>
        <v/>
      </c>
      <c r="S192" s="157"/>
      <c r="T192" s="540" t="str">
        <f>IFERROR(VLOOKUP(S192,'G-1 All Habitats'!$Z$2:$AA$9,2,FALSE),"")</f>
        <v/>
      </c>
      <c r="U192" s="154"/>
      <c r="V192" s="520" t="str">
        <f>IF(U192="","",IF(VLOOKUP(U192,'G-3 Multipliers'!$L$3:$N$6,2,FALSE)=0,"Spatial Data Missing ⚠",VLOOKUP(U192,'G-3 Multipliers'!$L$3:$N$6,2,FALSE)))</f>
        <v/>
      </c>
      <c r="W192" s="524"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6"/>
        <v/>
      </c>
      <c r="AD192" s="537" t="str">
        <f>IF(M192="","",VLOOKUP(M192,'G-6 Hedgerow Data'!$B$3:$AG$15,31,FALSE))</f>
        <v/>
      </c>
      <c r="AE192" s="507" t="str">
        <f t="shared" si="21"/>
        <v/>
      </c>
      <c r="AF192" s="507" t="str">
        <f t="shared" si="22"/>
        <v/>
      </c>
      <c r="AG192" s="524" t="str">
        <f>IFERROR(IF(O192="","",VLOOKUP(AD192,'G-3 Multipliers'!$P$3:$Q$6,2,FALSE)),"")</f>
        <v/>
      </c>
      <c r="AH192" s="513" t="str">
        <f t="shared" si="17"/>
        <v/>
      </c>
      <c r="AI192" s="231"/>
      <c r="AJ192" s="150"/>
      <c r="AT192" s="31" t="str">
        <f>IFERROR(INDEX('G-6 Hedgerow Data'!$BJ$3:$BJ$15,MATCH(M192,'G-6 Hedgerow Data'!$B$3:$B$15,0)),"")</f>
        <v/>
      </c>
    </row>
    <row r="193" spans="2:46" ht="13.8" x14ac:dyDescent="0.25">
      <c r="B193" s="531" t="str">
        <f>'B-1 Site Hedge Baseline'!AK191</f>
        <v/>
      </c>
      <c r="C193" s="520" t="str">
        <f>IF(B193="","",IF(ISNA(VLOOKUP($B193,'B-1 Site Hedge Baseline'!$B$1:$L$257,3,FALSE)),"",(VLOOKUP($B193,'B-1 Site Hedge Baseline'!$B$1:$L$257,3,FALSE))))</f>
        <v/>
      </c>
      <c r="D193" s="520" t="str">
        <f>IF(B193="","",IF(ISNA(VLOOKUP($B193,'B-1 Site Hedge Baseline'!$B$1:$L$257,4,FALSE)),"",(VLOOKUP($B193,'B-1 Site Hedge Baseline'!$B$1:$L$257,4,FALSE))))</f>
        <v/>
      </c>
      <c r="E193" s="520" t="str">
        <f>IF(B193="","",IF(ISNA(VLOOKUP($B193,'B-1 Site Hedge Baseline'!$B$1:$L$257,5,FALSE)),"",(VLOOKUP($B193,'B-1 Site Hedge Baseline'!$B$1:$L$257,5,FALSE))))</f>
        <v/>
      </c>
      <c r="F193" s="520" t="str">
        <f>IF(B193="","",IF(ISNA(VLOOKUP($B193,'B-1 Site Hedge Baseline'!$B$1:$L$257,6,FALSE)),"",(VLOOKUP($B193,'B-1 Site Hedge Baseline'!$B$1:$L$257,6,FALSE))))</f>
        <v/>
      </c>
      <c r="G193" s="520" t="str">
        <f>IF(B193="","",IF(ISNA(VLOOKUP($B193,'B-1 Site Hedge Baseline'!$B$1:$L$257,7,FALSE)),"",(VLOOKUP($B193,'B-1 Site Hedge Baseline'!$B$1:$L$257,7,FALSE))))</f>
        <v/>
      </c>
      <c r="H193" s="520" t="str">
        <f>IF(B193="","",IF(ISNA(VLOOKUP($B193,'B-1 Site Hedge Baseline'!$B$1:$L$257,8,FALSE)),"",(VLOOKUP($B193,'B-1 Site Hedge Baseline'!$B$1:$L$257,8,FALSE))))</f>
        <v/>
      </c>
      <c r="I193" s="520" t="str">
        <f>IF(B193="","",IF(ISNA(VLOOKUP($B193,'B-1 Site Hedge Baseline'!$B$1:$L$257,10,FALSE)),"",(VLOOKUP($B193,'B-1 Site Hedge Baseline'!$B$1:$L$257,10,FALSE))))</f>
        <v/>
      </c>
      <c r="J193" s="520" t="str">
        <f>IF(B193="","",IF(ISNA(VLOOKUP($B193,'B-1 Site Hedge Baseline'!$B$1:$L$257,11,FALSE)),"",(VLOOKUP($B193,'B-1 Site Hedge Baseline'!$B$1:$L$257,11,FALSE))))</f>
        <v/>
      </c>
      <c r="K193" s="520" t="str">
        <f>IF(B193="","",IF(ISNA(VLOOKUP($B193,'B-1 Site Hedge Baseline'!$B$1:$U$257,13,FALSE)),"",(VLOOKUP($B193,'B-1 Site Hedge Baseline'!$B$1:$U$257,13,FALSE))))</f>
        <v/>
      </c>
      <c r="L193" s="524" t="str">
        <f>IF(B193="","",IF(ISNA(VLOOKUP($B193,'B-1 Site Hedge Baseline'!$B$1:$U$257,12,FALSE)),"",(VLOOKUP($B193,'B-1 Site Hedge Baseline'!$B$1:$U$257,12,FALSE))))</f>
        <v/>
      </c>
      <c r="M193" s="416" t="str">
        <f t="shared" si="23"/>
        <v/>
      </c>
      <c r="N193" s="498" t="str">
        <f>IFERROR(IF(B193="","",INDEX('G-6 Hedgerow Data'!$AN$3:$AZ$15,MATCH(C193,'G-6 Hedgerow Data'!$AM$3:$AM$15,0),MATCH(M193,'G-6 Hedgerow Data'!$AN$2:$AZ$2,0))),"")</f>
        <v/>
      </c>
      <c r="O193" s="499" t="str">
        <f t="shared" si="18"/>
        <v/>
      </c>
      <c r="P193" s="559" t="str">
        <f>IF(B193="","",VLOOKUP(B193,'B-1 Site Hedge Baseline'!$B$10:T438,16,FALSE))</f>
        <v/>
      </c>
      <c r="Q193" s="498" t="str">
        <f>IF(M193="","",VLOOKUP(M193,'G-6 Hedgerow Data'!$B$2:$AG$15,2,FALSE))</f>
        <v/>
      </c>
      <c r="R193" s="499" t="str">
        <f>IF(M193="","",VLOOKUP(M193,'G-6 Hedgerow Data'!$B$2:$AG$15,3,FALSE))</f>
        <v/>
      </c>
      <c r="S193" s="157"/>
      <c r="T193" s="540" t="str">
        <f>IFERROR(VLOOKUP(S193,'G-1 All Habitats'!$Z$2:$AA$9,2,FALSE),"")</f>
        <v/>
      </c>
      <c r="U193" s="154"/>
      <c r="V193" s="520" t="str">
        <f>IF(U193="","",IF(VLOOKUP(U193,'G-3 Multipliers'!$L$3:$N$6,2,FALSE)=0,"Spatial Data Missing ⚠",VLOOKUP(U193,'G-3 Multipliers'!$L$3:$N$6,2,FALSE)))</f>
        <v/>
      </c>
      <c r="W193" s="524"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6"/>
        <v/>
      </c>
      <c r="AD193" s="537" t="str">
        <f>IF(M193="","",VLOOKUP(M193,'G-6 Hedgerow Data'!$B$3:$AG$15,31,FALSE))</f>
        <v/>
      </c>
      <c r="AE193" s="507" t="str">
        <f t="shared" si="21"/>
        <v/>
      </c>
      <c r="AF193" s="507" t="str">
        <f t="shared" si="22"/>
        <v/>
      </c>
      <c r="AG193" s="524" t="str">
        <f>IFERROR(IF(O193="","",VLOOKUP(AD193,'G-3 Multipliers'!$P$3:$Q$6,2,FALSE)),"")</f>
        <v/>
      </c>
      <c r="AH193" s="513" t="str">
        <f t="shared" si="17"/>
        <v/>
      </c>
      <c r="AI193" s="231"/>
      <c r="AJ193" s="150"/>
      <c r="AT193" s="31" t="str">
        <f>IFERROR(INDEX('G-6 Hedgerow Data'!$BJ$3:$BJ$15,MATCH(M193,'G-6 Hedgerow Data'!$B$3:$B$15,0)),"")</f>
        <v/>
      </c>
    </row>
    <row r="194" spans="2:46" ht="13.8" x14ac:dyDescent="0.25">
      <c r="B194" s="531" t="str">
        <f>'B-1 Site Hedge Baseline'!AK192</f>
        <v/>
      </c>
      <c r="C194" s="520" t="str">
        <f>IF(B194="","",IF(ISNA(VLOOKUP($B194,'B-1 Site Hedge Baseline'!$B$1:$L$257,3,FALSE)),"",(VLOOKUP($B194,'B-1 Site Hedge Baseline'!$B$1:$L$257,3,FALSE))))</f>
        <v/>
      </c>
      <c r="D194" s="520" t="str">
        <f>IF(B194="","",IF(ISNA(VLOOKUP($B194,'B-1 Site Hedge Baseline'!$B$1:$L$257,4,FALSE)),"",(VLOOKUP($B194,'B-1 Site Hedge Baseline'!$B$1:$L$257,4,FALSE))))</f>
        <v/>
      </c>
      <c r="E194" s="520" t="str">
        <f>IF(B194="","",IF(ISNA(VLOOKUP($B194,'B-1 Site Hedge Baseline'!$B$1:$L$257,5,FALSE)),"",(VLOOKUP($B194,'B-1 Site Hedge Baseline'!$B$1:$L$257,5,FALSE))))</f>
        <v/>
      </c>
      <c r="F194" s="520" t="str">
        <f>IF(B194="","",IF(ISNA(VLOOKUP($B194,'B-1 Site Hedge Baseline'!$B$1:$L$257,6,FALSE)),"",(VLOOKUP($B194,'B-1 Site Hedge Baseline'!$B$1:$L$257,6,FALSE))))</f>
        <v/>
      </c>
      <c r="G194" s="520" t="str">
        <f>IF(B194="","",IF(ISNA(VLOOKUP($B194,'B-1 Site Hedge Baseline'!$B$1:$L$257,7,FALSE)),"",(VLOOKUP($B194,'B-1 Site Hedge Baseline'!$B$1:$L$257,7,FALSE))))</f>
        <v/>
      </c>
      <c r="H194" s="520" t="str">
        <f>IF(B194="","",IF(ISNA(VLOOKUP($B194,'B-1 Site Hedge Baseline'!$B$1:$L$257,8,FALSE)),"",(VLOOKUP($B194,'B-1 Site Hedge Baseline'!$B$1:$L$257,8,FALSE))))</f>
        <v/>
      </c>
      <c r="I194" s="520" t="str">
        <f>IF(B194="","",IF(ISNA(VLOOKUP($B194,'B-1 Site Hedge Baseline'!$B$1:$L$257,10,FALSE)),"",(VLOOKUP($B194,'B-1 Site Hedge Baseline'!$B$1:$L$257,10,FALSE))))</f>
        <v/>
      </c>
      <c r="J194" s="520" t="str">
        <f>IF(B194="","",IF(ISNA(VLOOKUP($B194,'B-1 Site Hedge Baseline'!$B$1:$L$257,11,FALSE)),"",(VLOOKUP($B194,'B-1 Site Hedge Baseline'!$B$1:$L$257,11,FALSE))))</f>
        <v/>
      </c>
      <c r="K194" s="520" t="str">
        <f>IF(B194="","",IF(ISNA(VLOOKUP($B194,'B-1 Site Hedge Baseline'!$B$1:$U$257,13,FALSE)),"",(VLOOKUP($B194,'B-1 Site Hedge Baseline'!$B$1:$U$257,13,FALSE))))</f>
        <v/>
      </c>
      <c r="L194" s="524" t="str">
        <f>IF(B194="","",IF(ISNA(VLOOKUP($B194,'B-1 Site Hedge Baseline'!$B$1:$U$257,12,FALSE)),"",(VLOOKUP($B194,'B-1 Site Hedge Baseline'!$B$1:$U$257,12,FALSE))))</f>
        <v/>
      </c>
      <c r="M194" s="416" t="str">
        <f t="shared" si="23"/>
        <v/>
      </c>
      <c r="N194" s="498" t="str">
        <f>IFERROR(IF(B194="","",INDEX('G-6 Hedgerow Data'!$AN$3:$AZ$15,MATCH(C194,'G-6 Hedgerow Data'!$AM$3:$AM$15,0),MATCH(M194,'G-6 Hedgerow Data'!$AN$2:$AZ$2,0))),"")</f>
        <v/>
      </c>
      <c r="O194" s="499" t="str">
        <f t="shared" si="18"/>
        <v/>
      </c>
      <c r="P194" s="559" t="str">
        <f>IF(B194="","",VLOOKUP(B194,'B-1 Site Hedge Baseline'!$B$10:T439,16,FALSE))</f>
        <v/>
      </c>
      <c r="Q194" s="498" t="str">
        <f>IF(M194="","",VLOOKUP(M194,'G-6 Hedgerow Data'!$B$2:$AG$15,2,FALSE))</f>
        <v/>
      </c>
      <c r="R194" s="499" t="str">
        <f>IF(M194="","",VLOOKUP(M194,'G-6 Hedgerow Data'!$B$2:$AG$15,3,FALSE))</f>
        <v/>
      </c>
      <c r="S194" s="157"/>
      <c r="T194" s="540" t="str">
        <f>IFERROR(VLOOKUP(S194,'G-1 All Habitats'!$Z$2:$AA$9,2,FALSE),"")</f>
        <v/>
      </c>
      <c r="U194" s="154"/>
      <c r="V194" s="520" t="str">
        <f>IF(U194="","",IF(VLOOKUP(U194,'G-3 Multipliers'!$L$3:$N$6,2,FALSE)=0,"Spatial Data Missing ⚠",VLOOKUP(U194,'G-3 Multipliers'!$L$3:$N$6,2,FALSE)))</f>
        <v/>
      </c>
      <c r="W194" s="524"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6"/>
        <v/>
      </c>
      <c r="AD194" s="537" t="str">
        <f>IF(M194="","",VLOOKUP(M194,'G-6 Hedgerow Data'!$B$3:$AG$15,31,FALSE))</f>
        <v/>
      </c>
      <c r="AE194" s="507" t="str">
        <f t="shared" si="21"/>
        <v/>
      </c>
      <c r="AF194" s="507" t="str">
        <f t="shared" si="22"/>
        <v/>
      </c>
      <c r="AG194" s="524" t="str">
        <f>IFERROR(IF(O194="","",VLOOKUP(AD194,'G-3 Multipliers'!$P$3:$Q$6,2,FALSE)),"")</f>
        <v/>
      </c>
      <c r="AH194" s="513" t="str">
        <f t="shared" si="17"/>
        <v/>
      </c>
      <c r="AI194" s="231"/>
      <c r="AJ194" s="150"/>
      <c r="AT194" s="31" t="str">
        <f>IFERROR(INDEX('G-6 Hedgerow Data'!$BJ$3:$BJ$15,MATCH(M194,'G-6 Hedgerow Data'!$B$3:$B$15,0)),"")</f>
        <v/>
      </c>
    </row>
    <row r="195" spans="2:46" ht="13.8" x14ac:dyDescent="0.25">
      <c r="B195" s="531" t="str">
        <f>'B-1 Site Hedge Baseline'!AK193</f>
        <v/>
      </c>
      <c r="C195" s="520" t="str">
        <f>IF(B195="","",IF(ISNA(VLOOKUP($B195,'B-1 Site Hedge Baseline'!$B$1:$L$257,3,FALSE)),"",(VLOOKUP($B195,'B-1 Site Hedge Baseline'!$B$1:$L$257,3,FALSE))))</f>
        <v/>
      </c>
      <c r="D195" s="520" t="str">
        <f>IF(B195="","",IF(ISNA(VLOOKUP($B195,'B-1 Site Hedge Baseline'!$B$1:$L$257,4,FALSE)),"",(VLOOKUP($B195,'B-1 Site Hedge Baseline'!$B$1:$L$257,4,FALSE))))</f>
        <v/>
      </c>
      <c r="E195" s="520" t="str">
        <f>IF(B195="","",IF(ISNA(VLOOKUP($B195,'B-1 Site Hedge Baseline'!$B$1:$L$257,5,FALSE)),"",(VLOOKUP($B195,'B-1 Site Hedge Baseline'!$B$1:$L$257,5,FALSE))))</f>
        <v/>
      </c>
      <c r="F195" s="520" t="str">
        <f>IF(B195="","",IF(ISNA(VLOOKUP($B195,'B-1 Site Hedge Baseline'!$B$1:$L$257,6,FALSE)),"",(VLOOKUP($B195,'B-1 Site Hedge Baseline'!$B$1:$L$257,6,FALSE))))</f>
        <v/>
      </c>
      <c r="G195" s="520" t="str">
        <f>IF(B195="","",IF(ISNA(VLOOKUP($B195,'B-1 Site Hedge Baseline'!$B$1:$L$257,7,FALSE)),"",(VLOOKUP($B195,'B-1 Site Hedge Baseline'!$B$1:$L$257,7,FALSE))))</f>
        <v/>
      </c>
      <c r="H195" s="520" t="str">
        <f>IF(B195="","",IF(ISNA(VLOOKUP($B195,'B-1 Site Hedge Baseline'!$B$1:$L$257,8,FALSE)),"",(VLOOKUP($B195,'B-1 Site Hedge Baseline'!$B$1:$L$257,8,FALSE))))</f>
        <v/>
      </c>
      <c r="I195" s="520" t="str">
        <f>IF(B195="","",IF(ISNA(VLOOKUP($B195,'B-1 Site Hedge Baseline'!$B$1:$L$257,10,FALSE)),"",(VLOOKUP($B195,'B-1 Site Hedge Baseline'!$B$1:$L$257,10,FALSE))))</f>
        <v/>
      </c>
      <c r="J195" s="520" t="str">
        <f>IF(B195="","",IF(ISNA(VLOOKUP($B195,'B-1 Site Hedge Baseline'!$B$1:$L$257,11,FALSE)),"",(VLOOKUP($B195,'B-1 Site Hedge Baseline'!$B$1:$L$257,11,FALSE))))</f>
        <v/>
      </c>
      <c r="K195" s="520" t="str">
        <f>IF(B195="","",IF(ISNA(VLOOKUP($B195,'B-1 Site Hedge Baseline'!$B$1:$U$257,13,FALSE)),"",(VLOOKUP($B195,'B-1 Site Hedge Baseline'!$B$1:$U$257,13,FALSE))))</f>
        <v/>
      </c>
      <c r="L195" s="524" t="str">
        <f>IF(B195="","",IF(ISNA(VLOOKUP($B195,'B-1 Site Hedge Baseline'!$B$1:$U$257,12,FALSE)),"",(VLOOKUP($B195,'B-1 Site Hedge Baseline'!$B$1:$U$257,12,FALSE))))</f>
        <v/>
      </c>
      <c r="M195" s="416" t="str">
        <f t="shared" si="23"/>
        <v/>
      </c>
      <c r="N195" s="498" t="str">
        <f>IFERROR(IF(B195="","",INDEX('G-6 Hedgerow Data'!$AN$3:$AZ$15,MATCH(C195,'G-6 Hedgerow Data'!$AM$3:$AM$15,0),MATCH(M195,'G-6 Hedgerow Data'!$AN$2:$AZ$2,0))),"")</f>
        <v/>
      </c>
      <c r="O195" s="499" t="str">
        <f t="shared" si="18"/>
        <v/>
      </c>
      <c r="P195" s="559" t="str">
        <f>IF(B195="","",VLOOKUP(B195,'B-1 Site Hedge Baseline'!$B$10:T440,16,FALSE))</f>
        <v/>
      </c>
      <c r="Q195" s="498" t="str">
        <f>IF(M195="","",VLOOKUP(M195,'G-6 Hedgerow Data'!$B$2:$AG$15,2,FALSE))</f>
        <v/>
      </c>
      <c r="R195" s="499" t="str">
        <f>IF(M195="","",VLOOKUP(M195,'G-6 Hedgerow Data'!$B$2:$AG$15,3,FALSE))</f>
        <v/>
      </c>
      <c r="S195" s="157"/>
      <c r="T195" s="540" t="str">
        <f>IFERROR(VLOOKUP(S195,'G-1 All Habitats'!$Z$2:$AA$9,2,FALSE),"")</f>
        <v/>
      </c>
      <c r="U195" s="154"/>
      <c r="V195" s="520" t="str">
        <f>IF(U195="","",IF(VLOOKUP(U195,'G-3 Multipliers'!$L$3:$N$6,2,FALSE)=0,"Spatial Data Missing ⚠",VLOOKUP(U195,'G-3 Multipliers'!$L$3:$N$6,2,FALSE)))</f>
        <v/>
      </c>
      <c r="W195" s="524"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6"/>
        <v/>
      </c>
      <c r="AD195" s="537" t="str">
        <f>IF(M195="","",VLOOKUP(M195,'G-6 Hedgerow Data'!$B$3:$AG$15,31,FALSE))</f>
        <v/>
      </c>
      <c r="AE195" s="507" t="str">
        <f t="shared" si="21"/>
        <v/>
      </c>
      <c r="AF195" s="507" t="str">
        <f t="shared" si="22"/>
        <v/>
      </c>
      <c r="AG195" s="524" t="str">
        <f>IFERROR(IF(O195="","",VLOOKUP(AD195,'G-3 Multipliers'!$P$3:$Q$6,2,FALSE)),"")</f>
        <v/>
      </c>
      <c r="AH195" s="513" t="str">
        <f t="shared" si="17"/>
        <v/>
      </c>
      <c r="AI195" s="231"/>
      <c r="AJ195" s="150"/>
      <c r="AT195" s="31" t="str">
        <f>IFERROR(INDEX('G-6 Hedgerow Data'!$BJ$3:$BJ$15,MATCH(M195,'G-6 Hedgerow Data'!$B$3:$B$15,0)),"")</f>
        <v/>
      </c>
    </row>
    <row r="196" spans="2:46" ht="13.8" x14ac:dyDescent="0.25">
      <c r="B196" s="531" t="str">
        <f>'B-1 Site Hedge Baseline'!AK194</f>
        <v/>
      </c>
      <c r="C196" s="520" t="str">
        <f>IF(B196="","",IF(ISNA(VLOOKUP($B196,'B-1 Site Hedge Baseline'!$B$1:$L$257,3,FALSE)),"",(VLOOKUP($B196,'B-1 Site Hedge Baseline'!$B$1:$L$257,3,FALSE))))</f>
        <v/>
      </c>
      <c r="D196" s="520" t="str">
        <f>IF(B196="","",IF(ISNA(VLOOKUP($B196,'B-1 Site Hedge Baseline'!$B$1:$L$257,4,FALSE)),"",(VLOOKUP($B196,'B-1 Site Hedge Baseline'!$B$1:$L$257,4,FALSE))))</f>
        <v/>
      </c>
      <c r="E196" s="520" t="str">
        <f>IF(B196="","",IF(ISNA(VLOOKUP($B196,'B-1 Site Hedge Baseline'!$B$1:$L$257,5,FALSE)),"",(VLOOKUP($B196,'B-1 Site Hedge Baseline'!$B$1:$L$257,5,FALSE))))</f>
        <v/>
      </c>
      <c r="F196" s="520" t="str">
        <f>IF(B196="","",IF(ISNA(VLOOKUP($B196,'B-1 Site Hedge Baseline'!$B$1:$L$257,6,FALSE)),"",(VLOOKUP($B196,'B-1 Site Hedge Baseline'!$B$1:$L$257,6,FALSE))))</f>
        <v/>
      </c>
      <c r="G196" s="520" t="str">
        <f>IF(B196="","",IF(ISNA(VLOOKUP($B196,'B-1 Site Hedge Baseline'!$B$1:$L$257,7,FALSE)),"",(VLOOKUP($B196,'B-1 Site Hedge Baseline'!$B$1:$L$257,7,FALSE))))</f>
        <v/>
      </c>
      <c r="H196" s="520" t="str">
        <f>IF(B196="","",IF(ISNA(VLOOKUP($B196,'B-1 Site Hedge Baseline'!$B$1:$L$257,8,FALSE)),"",(VLOOKUP($B196,'B-1 Site Hedge Baseline'!$B$1:$L$257,8,FALSE))))</f>
        <v/>
      </c>
      <c r="I196" s="520" t="str">
        <f>IF(B196="","",IF(ISNA(VLOOKUP($B196,'B-1 Site Hedge Baseline'!$B$1:$L$257,10,FALSE)),"",(VLOOKUP($B196,'B-1 Site Hedge Baseline'!$B$1:$L$257,10,FALSE))))</f>
        <v/>
      </c>
      <c r="J196" s="520" t="str">
        <f>IF(B196="","",IF(ISNA(VLOOKUP($B196,'B-1 Site Hedge Baseline'!$B$1:$L$257,11,FALSE)),"",(VLOOKUP($B196,'B-1 Site Hedge Baseline'!$B$1:$L$257,11,FALSE))))</f>
        <v/>
      </c>
      <c r="K196" s="520" t="str">
        <f>IF(B196="","",IF(ISNA(VLOOKUP($B196,'B-1 Site Hedge Baseline'!$B$1:$U$257,13,FALSE)),"",(VLOOKUP($B196,'B-1 Site Hedge Baseline'!$B$1:$U$257,13,FALSE))))</f>
        <v/>
      </c>
      <c r="L196" s="524" t="str">
        <f>IF(B196="","",IF(ISNA(VLOOKUP($B196,'B-1 Site Hedge Baseline'!$B$1:$U$257,12,FALSE)),"",(VLOOKUP($B196,'B-1 Site Hedge Baseline'!$B$1:$U$257,12,FALSE))))</f>
        <v/>
      </c>
      <c r="M196" s="416" t="str">
        <f t="shared" si="23"/>
        <v/>
      </c>
      <c r="N196" s="498" t="str">
        <f>IFERROR(IF(B196="","",INDEX('G-6 Hedgerow Data'!$AN$3:$AZ$15,MATCH(C196,'G-6 Hedgerow Data'!$AM$3:$AM$15,0),MATCH(M196,'G-6 Hedgerow Data'!$AN$2:$AZ$2,0))),"")</f>
        <v/>
      </c>
      <c r="O196" s="499" t="str">
        <f t="shared" si="18"/>
        <v/>
      </c>
      <c r="P196" s="559" t="str">
        <f>IF(B196="","",VLOOKUP(B196,'B-1 Site Hedge Baseline'!$B$10:T441,16,FALSE))</f>
        <v/>
      </c>
      <c r="Q196" s="498" t="str">
        <f>IF(M196="","",VLOOKUP(M196,'G-6 Hedgerow Data'!$B$2:$AG$15,2,FALSE))</f>
        <v/>
      </c>
      <c r="R196" s="499" t="str">
        <f>IF(M196="","",VLOOKUP(M196,'G-6 Hedgerow Data'!$B$2:$AG$15,3,FALSE))</f>
        <v/>
      </c>
      <c r="S196" s="157"/>
      <c r="T196" s="540" t="str">
        <f>IFERROR(VLOOKUP(S196,'G-1 All Habitats'!$Z$2:$AA$9,2,FALSE),"")</f>
        <v/>
      </c>
      <c r="U196" s="154"/>
      <c r="V196" s="520" t="str">
        <f>IF(U196="","",IF(VLOOKUP(U196,'G-3 Multipliers'!$L$3:$N$6,2,FALSE)=0,"Spatial Data Missing ⚠",VLOOKUP(U196,'G-3 Multipliers'!$L$3:$N$6,2,FALSE)))</f>
        <v/>
      </c>
      <c r="W196" s="524"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6"/>
        <v/>
      </c>
      <c r="AD196" s="537" t="str">
        <f>IF(M196="","",VLOOKUP(M196,'G-6 Hedgerow Data'!$B$3:$AG$15,31,FALSE))</f>
        <v/>
      </c>
      <c r="AE196" s="507" t="str">
        <f t="shared" si="21"/>
        <v/>
      </c>
      <c r="AF196" s="507" t="str">
        <f t="shared" si="22"/>
        <v/>
      </c>
      <c r="AG196" s="524" t="str">
        <f>IFERROR(IF(O196="","",VLOOKUP(AD196,'G-3 Multipliers'!$P$3:$Q$6,2,FALSE)),"")</f>
        <v/>
      </c>
      <c r="AH196" s="513" t="str">
        <f t="shared" si="17"/>
        <v/>
      </c>
      <c r="AI196" s="231"/>
      <c r="AJ196" s="150"/>
      <c r="AT196" s="31" t="str">
        <f>IFERROR(INDEX('G-6 Hedgerow Data'!$BJ$3:$BJ$15,MATCH(M196,'G-6 Hedgerow Data'!$B$3:$B$15,0)),"")</f>
        <v/>
      </c>
    </row>
    <row r="197" spans="2:46" ht="13.8" x14ac:dyDescent="0.25">
      <c r="B197" s="531" t="str">
        <f>'B-1 Site Hedge Baseline'!AK195</f>
        <v/>
      </c>
      <c r="C197" s="520" t="str">
        <f>IF(B197="","",IF(ISNA(VLOOKUP($B197,'B-1 Site Hedge Baseline'!$B$1:$L$257,3,FALSE)),"",(VLOOKUP($B197,'B-1 Site Hedge Baseline'!$B$1:$L$257,3,FALSE))))</f>
        <v/>
      </c>
      <c r="D197" s="520" t="str">
        <f>IF(B197="","",IF(ISNA(VLOOKUP($B197,'B-1 Site Hedge Baseline'!$B$1:$L$257,4,FALSE)),"",(VLOOKUP($B197,'B-1 Site Hedge Baseline'!$B$1:$L$257,4,FALSE))))</f>
        <v/>
      </c>
      <c r="E197" s="520" t="str">
        <f>IF(B197="","",IF(ISNA(VLOOKUP($B197,'B-1 Site Hedge Baseline'!$B$1:$L$257,5,FALSE)),"",(VLOOKUP($B197,'B-1 Site Hedge Baseline'!$B$1:$L$257,5,FALSE))))</f>
        <v/>
      </c>
      <c r="F197" s="520" t="str">
        <f>IF(B197="","",IF(ISNA(VLOOKUP($B197,'B-1 Site Hedge Baseline'!$B$1:$L$257,6,FALSE)),"",(VLOOKUP($B197,'B-1 Site Hedge Baseline'!$B$1:$L$257,6,FALSE))))</f>
        <v/>
      </c>
      <c r="G197" s="520" t="str">
        <f>IF(B197="","",IF(ISNA(VLOOKUP($B197,'B-1 Site Hedge Baseline'!$B$1:$L$257,7,FALSE)),"",(VLOOKUP($B197,'B-1 Site Hedge Baseline'!$B$1:$L$257,7,FALSE))))</f>
        <v/>
      </c>
      <c r="H197" s="520" t="str">
        <f>IF(B197="","",IF(ISNA(VLOOKUP($B197,'B-1 Site Hedge Baseline'!$B$1:$L$257,8,FALSE)),"",(VLOOKUP($B197,'B-1 Site Hedge Baseline'!$B$1:$L$257,8,FALSE))))</f>
        <v/>
      </c>
      <c r="I197" s="520" t="str">
        <f>IF(B197="","",IF(ISNA(VLOOKUP($B197,'B-1 Site Hedge Baseline'!$B$1:$L$257,10,FALSE)),"",(VLOOKUP($B197,'B-1 Site Hedge Baseline'!$B$1:$L$257,10,FALSE))))</f>
        <v/>
      </c>
      <c r="J197" s="520" t="str">
        <f>IF(B197="","",IF(ISNA(VLOOKUP($B197,'B-1 Site Hedge Baseline'!$B$1:$L$257,11,FALSE)),"",(VLOOKUP($B197,'B-1 Site Hedge Baseline'!$B$1:$L$257,11,FALSE))))</f>
        <v/>
      </c>
      <c r="K197" s="520" t="str">
        <f>IF(B197="","",IF(ISNA(VLOOKUP($B197,'B-1 Site Hedge Baseline'!$B$1:$U$257,13,FALSE)),"",(VLOOKUP($B197,'B-1 Site Hedge Baseline'!$B$1:$U$257,13,FALSE))))</f>
        <v/>
      </c>
      <c r="L197" s="524" t="str">
        <f>IF(B197="","",IF(ISNA(VLOOKUP($B197,'B-1 Site Hedge Baseline'!$B$1:$U$257,12,FALSE)),"",(VLOOKUP($B197,'B-1 Site Hedge Baseline'!$B$1:$U$257,12,FALSE))))</f>
        <v/>
      </c>
      <c r="M197" s="416" t="str">
        <f t="shared" si="23"/>
        <v/>
      </c>
      <c r="N197" s="498" t="str">
        <f>IFERROR(IF(B197="","",INDEX('G-6 Hedgerow Data'!$AN$3:$AZ$15,MATCH(C197,'G-6 Hedgerow Data'!$AM$3:$AM$15,0),MATCH(M197,'G-6 Hedgerow Data'!$AN$2:$AZ$2,0))),"")</f>
        <v/>
      </c>
      <c r="O197" s="499" t="str">
        <f t="shared" si="18"/>
        <v/>
      </c>
      <c r="P197" s="559" t="str">
        <f>IF(B197="","",VLOOKUP(B197,'B-1 Site Hedge Baseline'!$B$10:T442,16,FALSE))</f>
        <v/>
      </c>
      <c r="Q197" s="498" t="str">
        <f>IF(M197="","",VLOOKUP(M197,'G-6 Hedgerow Data'!$B$2:$AG$15,2,FALSE))</f>
        <v/>
      </c>
      <c r="R197" s="499" t="str">
        <f>IF(M197="","",VLOOKUP(M197,'G-6 Hedgerow Data'!$B$2:$AG$15,3,FALSE))</f>
        <v/>
      </c>
      <c r="S197" s="157"/>
      <c r="T197" s="540" t="str">
        <f>IFERROR(VLOOKUP(S197,'G-1 All Habitats'!$Z$2:$AA$9,2,FALSE),"")</f>
        <v/>
      </c>
      <c r="U197" s="154"/>
      <c r="V197" s="520" t="str">
        <f>IF(U197="","",IF(VLOOKUP(U197,'G-3 Multipliers'!$L$3:$N$6,2,FALSE)=0,"Spatial Data Missing ⚠",VLOOKUP(U197,'G-3 Multipliers'!$L$3:$N$6,2,FALSE)))</f>
        <v/>
      </c>
      <c r="W197" s="524"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6"/>
        <v/>
      </c>
      <c r="AD197" s="537" t="str">
        <f>IF(M197="","",VLOOKUP(M197,'G-6 Hedgerow Data'!$B$3:$AG$15,31,FALSE))</f>
        <v/>
      </c>
      <c r="AE197" s="507" t="str">
        <f t="shared" si="21"/>
        <v/>
      </c>
      <c r="AF197" s="507" t="str">
        <f t="shared" si="22"/>
        <v/>
      </c>
      <c r="AG197" s="524" t="str">
        <f>IFERROR(IF(O197="","",VLOOKUP(AD197,'G-3 Multipliers'!$P$3:$Q$6,2,FALSE)),"")</f>
        <v/>
      </c>
      <c r="AH197" s="513" t="str">
        <f t="shared" si="17"/>
        <v/>
      </c>
      <c r="AI197" s="231"/>
      <c r="AJ197" s="150"/>
      <c r="AT197" s="31" t="str">
        <f>IFERROR(INDEX('G-6 Hedgerow Data'!$BJ$3:$BJ$15,MATCH(M197,'G-6 Hedgerow Data'!$B$3:$B$15,0)),"")</f>
        <v/>
      </c>
    </row>
    <row r="198" spans="2:46" ht="13.8" x14ac:dyDescent="0.25">
      <c r="B198" s="531" t="str">
        <f>'B-1 Site Hedge Baseline'!AK196</f>
        <v/>
      </c>
      <c r="C198" s="520" t="str">
        <f>IF(B198="","",IF(ISNA(VLOOKUP($B198,'B-1 Site Hedge Baseline'!$B$1:$L$257,3,FALSE)),"",(VLOOKUP($B198,'B-1 Site Hedge Baseline'!$B$1:$L$257,3,FALSE))))</f>
        <v/>
      </c>
      <c r="D198" s="520" t="str">
        <f>IF(B198="","",IF(ISNA(VLOOKUP($B198,'B-1 Site Hedge Baseline'!$B$1:$L$257,4,FALSE)),"",(VLOOKUP($B198,'B-1 Site Hedge Baseline'!$B$1:$L$257,4,FALSE))))</f>
        <v/>
      </c>
      <c r="E198" s="520" t="str">
        <f>IF(B198="","",IF(ISNA(VLOOKUP($B198,'B-1 Site Hedge Baseline'!$B$1:$L$257,5,FALSE)),"",(VLOOKUP($B198,'B-1 Site Hedge Baseline'!$B$1:$L$257,5,FALSE))))</f>
        <v/>
      </c>
      <c r="F198" s="520" t="str">
        <f>IF(B198="","",IF(ISNA(VLOOKUP($B198,'B-1 Site Hedge Baseline'!$B$1:$L$257,6,FALSE)),"",(VLOOKUP($B198,'B-1 Site Hedge Baseline'!$B$1:$L$257,6,FALSE))))</f>
        <v/>
      </c>
      <c r="G198" s="520" t="str">
        <f>IF(B198="","",IF(ISNA(VLOOKUP($B198,'B-1 Site Hedge Baseline'!$B$1:$L$257,7,FALSE)),"",(VLOOKUP($B198,'B-1 Site Hedge Baseline'!$B$1:$L$257,7,FALSE))))</f>
        <v/>
      </c>
      <c r="H198" s="520" t="str">
        <f>IF(B198="","",IF(ISNA(VLOOKUP($B198,'B-1 Site Hedge Baseline'!$B$1:$L$257,8,FALSE)),"",(VLOOKUP($B198,'B-1 Site Hedge Baseline'!$B$1:$L$257,8,FALSE))))</f>
        <v/>
      </c>
      <c r="I198" s="520" t="str">
        <f>IF(B198="","",IF(ISNA(VLOOKUP($B198,'B-1 Site Hedge Baseline'!$B$1:$L$257,10,FALSE)),"",(VLOOKUP($B198,'B-1 Site Hedge Baseline'!$B$1:$L$257,10,FALSE))))</f>
        <v/>
      </c>
      <c r="J198" s="520" t="str">
        <f>IF(B198="","",IF(ISNA(VLOOKUP($B198,'B-1 Site Hedge Baseline'!$B$1:$L$257,11,FALSE)),"",(VLOOKUP($B198,'B-1 Site Hedge Baseline'!$B$1:$L$257,11,FALSE))))</f>
        <v/>
      </c>
      <c r="K198" s="520" t="str">
        <f>IF(B198="","",IF(ISNA(VLOOKUP($B198,'B-1 Site Hedge Baseline'!$B$1:$U$257,13,FALSE)),"",(VLOOKUP($B198,'B-1 Site Hedge Baseline'!$B$1:$U$257,13,FALSE))))</f>
        <v/>
      </c>
      <c r="L198" s="524" t="str">
        <f>IF(B198="","",IF(ISNA(VLOOKUP($B198,'B-1 Site Hedge Baseline'!$B$1:$U$257,12,FALSE)),"",(VLOOKUP($B198,'B-1 Site Hedge Baseline'!$B$1:$U$257,12,FALSE))))</f>
        <v/>
      </c>
      <c r="M198" s="416" t="str">
        <f t="shared" si="23"/>
        <v/>
      </c>
      <c r="N198" s="498" t="str">
        <f>IFERROR(IF(B198="","",INDEX('G-6 Hedgerow Data'!$AN$3:$AZ$15,MATCH(C198,'G-6 Hedgerow Data'!$AM$3:$AM$15,0),MATCH(M198,'G-6 Hedgerow Data'!$AN$2:$AZ$2,0))),"")</f>
        <v/>
      </c>
      <c r="O198" s="499" t="str">
        <f t="shared" si="18"/>
        <v/>
      </c>
      <c r="P198" s="559" t="str">
        <f>IF(B198="","",VLOOKUP(B198,'B-1 Site Hedge Baseline'!$B$10:T443,16,FALSE))</f>
        <v/>
      </c>
      <c r="Q198" s="498" t="str">
        <f>IF(M198="","",VLOOKUP(M198,'G-6 Hedgerow Data'!$B$2:$AG$15,2,FALSE))</f>
        <v/>
      </c>
      <c r="R198" s="499" t="str">
        <f>IF(M198="","",VLOOKUP(M198,'G-6 Hedgerow Data'!$B$2:$AG$15,3,FALSE))</f>
        <v/>
      </c>
      <c r="S198" s="157"/>
      <c r="T198" s="540" t="str">
        <f>IFERROR(VLOOKUP(S198,'G-1 All Habitats'!$Z$2:$AA$9,2,FALSE),"")</f>
        <v/>
      </c>
      <c r="U198" s="154"/>
      <c r="V198" s="520" t="str">
        <f>IF(U198="","",IF(VLOOKUP(U198,'G-3 Multipliers'!$L$3:$N$6,2,FALSE)=0,"Spatial Data Missing ⚠",VLOOKUP(U198,'G-3 Multipliers'!$L$3:$N$6,2,FALSE)))</f>
        <v/>
      </c>
      <c r="W198" s="524"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6"/>
        <v/>
      </c>
      <c r="AD198" s="537" t="str">
        <f>IF(M198="","",VLOOKUP(M198,'G-6 Hedgerow Data'!$B$3:$AG$15,31,FALSE))</f>
        <v/>
      </c>
      <c r="AE198" s="507" t="str">
        <f t="shared" si="21"/>
        <v/>
      </c>
      <c r="AF198" s="507" t="str">
        <f t="shared" si="22"/>
        <v/>
      </c>
      <c r="AG198" s="524" t="str">
        <f>IFERROR(IF(O198="","",VLOOKUP(AD198,'G-3 Multipliers'!$P$3:$Q$6,2,FALSE)),"")</f>
        <v/>
      </c>
      <c r="AH198" s="513" t="str">
        <f t="shared" si="17"/>
        <v/>
      </c>
      <c r="AI198" s="231"/>
      <c r="AJ198" s="150"/>
      <c r="AT198" s="31" t="str">
        <f>IFERROR(INDEX('G-6 Hedgerow Data'!$BJ$3:$BJ$15,MATCH(M198,'G-6 Hedgerow Data'!$B$3:$B$15,0)),"")</f>
        <v/>
      </c>
    </row>
    <row r="199" spans="2:46" ht="13.8" x14ac:dyDescent="0.25">
      <c r="B199" s="531" t="str">
        <f>'B-1 Site Hedge Baseline'!AK197</f>
        <v/>
      </c>
      <c r="C199" s="520" t="str">
        <f>IF(B199="","",IF(ISNA(VLOOKUP($B199,'B-1 Site Hedge Baseline'!$B$1:$L$257,3,FALSE)),"",(VLOOKUP($B199,'B-1 Site Hedge Baseline'!$B$1:$L$257,3,FALSE))))</f>
        <v/>
      </c>
      <c r="D199" s="520" t="str">
        <f>IF(B199="","",IF(ISNA(VLOOKUP($B199,'B-1 Site Hedge Baseline'!$B$1:$L$257,4,FALSE)),"",(VLOOKUP($B199,'B-1 Site Hedge Baseline'!$B$1:$L$257,4,FALSE))))</f>
        <v/>
      </c>
      <c r="E199" s="520" t="str">
        <f>IF(B199="","",IF(ISNA(VLOOKUP($B199,'B-1 Site Hedge Baseline'!$B$1:$L$257,5,FALSE)),"",(VLOOKUP($B199,'B-1 Site Hedge Baseline'!$B$1:$L$257,5,FALSE))))</f>
        <v/>
      </c>
      <c r="F199" s="520" t="str">
        <f>IF(B199="","",IF(ISNA(VLOOKUP($B199,'B-1 Site Hedge Baseline'!$B$1:$L$257,6,FALSE)),"",(VLOOKUP($B199,'B-1 Site Hedge Baseline'!$B$1:$L$257,6,FALSE))))</f>
        <v/>
      </c>
      <c r="G199" s="520" t="str">
        <f>IF(B199="","",IF(ISNA(VLOOKUP($B199,'B-1 Site Hedge Baseline'!$B$1:$L$257,7,FALSE)),"",(VLOOKUP($B199,'B-1 Site Hedge Baseline'!$B$1:$L$257,7,FALSE))))</f>
        <v/>
      </c>
      <c r="H199" s="520" t="str">
        <f>IF(B199="","",IF(ISNA(VLOOKUP($B199,'B-1 Site Hedge Baseline'!$B$1:$L$257,8,FALSE)),"",(VLOOKUP($B199,'B-1 Site Hedge Baseline'!$B$1:$L$257,8,FALSE))))</f>
        <v/>
      </c>
      <c r="I199" s="520" t="str">
        <f>IF(B199="","",IF(ISNA(VLOOKUP($B199,'B-1 Site Hedge Baseline'!$B$1:$L$257,10,FALSE)),"",(VLOOKUP($B199,'B-1 Site Hedge Baseline'!$B$1:$L$257,10,FALSE))))</f>
        <v/>
      </c>
      <c r="J199" s="520" t="str">
        <f>IF(B199="","",IF(ISNA(VLOOKUP($B199,'B-1 Site Hedge Baseline'!$B$1:$L$257,11,FALSE)),"",(VLOOKUP($B199,'B-1 Site Hedge Baseline'!$B$1:$L$257,11,FALSE))))</f>
        <v/>
      </c>
      <c r="K199" s="520" t="str">
        <f>IF(B199="","",IF(ISNA(VLOOKUP($B199,'B-1 Site Hedge Baseline'!$B$1:$U$257,13,FALSE)),"",(VLOOKUP($B199,'B-1 Site Hedge Baseline'!$B$1:$U$257,13,FALSE))))</f>
        <v/>
      </c>
      <c r="L199" s="524" t="str">
        <f>IF(B199="","",IF(ISNA(VLOOKUP($B199,'B-1 Site Hedge Baseline'!$B$1:$U$257,12,FALSE)),"",(VLOOKUP($B199,'B-1 Site Hedge Baseline'!$B$1:$U$257,12,FALSE))))</f>
        <v/>
      </c>
      <c r="M199" s="416" t="str">
        <f t="shared" si="23"/>
        <v/>
      </c>
      <c r="N199" s="498" t="str">
        <f>IFERROR(IF(B199="","",INDEX('G-6 Hedgerow Data'!$AN$3:$AZ$15,MATCH(C199,'G-6 Hedgerow Data'!$AM$3:$AM$15,0),MATCH(M199,'G-6 Hedgerow Data'!$AN$2:$AZ$2,0))),"")</f>
        <v/>
      </c>
      <c r="O199" s="499" t="str">
        <f t="shared" si="18"/>
        <v/>
      </c>
      <c r="P199" s="559" t="str">
        <f>IF(B199="","",VLOOKUP(B199,'B-1 Site Hedge Baseline'!$B$10:T444,16,FALSE))</f>
        <v/>
      </c>
      <c r="Q199" s="498" t="str">
        <f>IF(M199="","",VLOOKUP(M199,'G-6 Hedgerow Data'!$B$2:$AG$15,2,FALSE))</f>
        <v/>
      </c>
      <c r="R199" s="499" t="str">
        <f>IF(M199="","",VLOOKUP(M199,'G-6 Hedgerow Data'!$B$2:$AG$15,3,FALSE))</f>
        <v/>
      </c>
      <c r="S199" s="157"/>
      <c r="T199" s="540" t="str">
        <f>IFERROR(VLOOKUP(S199,'G-1 All Habitats'!$Z$2:$AA$9,2,FALSE),"")</f>
        <v/>
      </c>
      <c r="U199" s="154"/>
      <c r="V199" s="520" t="str">
        <f>IF(U199="","",IF(VLOOKUP(U199,'G-3 Multipliers'!$L$3:$N$6,2,FALSE)=0,"Spatial Data Missing ⚠",VLOOKUP(U199,'G-3 Multipliers'!$L$3:$N$6,2,FALSE)))</f>
        <v/>
      </c>
      <c r="W199" s="524"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6"/>
        <v/>
      </c>
      <c r="AD199" s="537" t="str">
        <f>IF(M199="","",VLOOKUP(M199,'G-6 Hedgerow Data'!$B$3:$AG$15,31,FALSE))</f>
        <v/>
      </c>
      <c r="AE199" s="507" t="str">
        <f t="shared" si="21"/>
        <v/>
      </c>
      <c r="AF199" s="507" t="str">
        <f t="shared" si="22"/>
        <v/>
      </c>
      <c r="AG199" s="524" t="str">
        <f>IFERROR(IF(O199="","",VLOOKUP(AD199,'G-3 Multipliers'!$P$3:$Q$6,2,FALSE)),"")</f>
        <v/>
      </c>
      <c r="AH199" s="513" t="str">
        <f t="shared" si="17"/>
        <v/>
      </c>
      <c r="AI199" s="231"/>
      <c r="AJ199" s="150"/>
      <c r="AT199" s="31" t="str">
        <f>IFERROR(INDEX('G-6 Hedgerow Data'!$BJ$3:$BJ$15,MATCH(M199,'G-6 Hedgerow Data'!$B$3:$B$15,0)),"")</f>
        <v/>
      </c>
    </row>
    <row r="200" spans="2:46" ht="13.8" x14ac:dyDescent="0.25">
      <c r="B200" s="531" t="str">
        <f>'B-1 Site Hedge Baseline'!AK198</f>
        <v/>
      </c>
      <c r="C200" s="520" t="str">
        <f>IF(B200="","",IF(ISNA(VLOOKUP($B200,'B-1 Site Hedge Baseline'!$B$1:$L$257,3,FALSE)),"",(VLOOKUP($B200,'B-1 Site Hedge Baseline'!$B$1:$L$257,3,FALSE))))</f>
        <v/>
      </c>
      <c r="D200" s="520" t="str">
        <f>IF(B200="","",IF(ISNA(VLOOKUP($B200,'B-1 Site Hedge Baseline'!$B$1:$L$257,4,FALSE)),"",(VLOOKUP($B200,'B-1 Site Hedge Baseline'!$B$1:$L$257,4,FALSE))))</f>
        <v/>
      </c>
      <c r="E200" s="520" t="str">
        <f>IF(B200="","",IF(ISNA(VLOOKUP($B200,'B-1 Site Hedge Baseline'!$B$1:$L$257,5,FALSE)),"",(VLOOKUP($B200,'B-1 Site Hedge Baseline'!$B$1:$L$257,5,FALSE))))</f>
        <v/>
      </c>
      <c r="F200" s="520" t="str">
        <f>IF(B200="","",IF(ISNA(VLOOKUP($B200,'B-1 Site Hedge Baseline'!$B$1:$L$257,6,FALSE)),"",(VLOOKUP($B200,'B-1 Site Hedge Baseline'!$B$1:$L$257,6,FALSE))))</f>
        <v/>
      </c>
      <c r="G200" s="520" t="str">
        <f>IF(B200="","",IF(ISNA(VLOOKUP($B200,'B-1 Site Hedge Baseline'!$B$1:$L$257,7,FALSE)),"",(VLOOKUP($B200,'B-1 Site Hedge Baseline'!$B$1:$L$257,7,FALSE))))</f>
        <v/>
      </c>
      <c r="H200" s="520" t="str">
        <f>IF(B200="","",IF(ISNA(VLOOKUP($B200,'B-1 Site Hedge Baseline'!$B$1:$L$257,8,FALSE)),"",(VLOOKUP($B200,'B-1 Site Hedge Baseline'!$B$1:$L$257,8,FALSE))))</f>
        <v/>
      </c>
      <c r="I200" s="520" t="str">
        <f>IF(B200="","",IF(ISNA(VLOOKUP($B200,'B-1 Site Hedge Baseline'!$B$1:$L$257,10,FALSE)),"",(VLOOKUP($B200,'B-1 Site Hedge Baseline'!$B$1:$L$257,10,FALSE))))</f>
        <v/>
      </c>
      <c r="J200" s="520" t="str">
        <f>IF(B200="","",IF(ISNA(VLOOKUP($B200,'B-1 Site Hedge Baseline'!$B$1:$L$257,11,FALSE)),"",(VLOOKUP($B200,'B-1 Site Hedge Baseline'!$B$1:$L$257,11,FALSE))))</f>
        <v/>
      </c>
      <c r="K200" s="520" t="str">
        <f>IF(B200="","",IF(ISNA(VLOOKUP($B200,'B-1 Site Hedge Baseline'!$B$1:$U$257,13,FALSE)),"",(VLOOKUP($B200,'B-1 Site Hedge Baseline'!$B$1:$U$257,13,FALSE))))</f>
        <v/>
      </c>
      <c r="L200" s="524" t="str">
        <f>IF(B200="","",IF(ISNA(VLOOKUP($B200,'B-1 Site Hedge Baseline'!$B$1:$U$257,12,FALSE)),"",(VLOOKUP($B200,'B-1 Site Hedge Baseline'!$B$1:$U$257,12,FALSE))))</f>
        <v/>
      </c>
      <c r="M200" s="416" t="str">
        <f t="shared" si="23"/>
        <v/>
      </c>
      <c r="N200" s="498" t="str">
        <f>IFERROR(IF(B200="","",INDEX('G-6 Hedgerow Data'!$AN$3:$AZ$15,MATCH(C200,'G-6 Hedgerow Data'!$AM$3:$AM$15,0),MATCH(M200,'G-6 Hedgerow Data'!$AN$2:$AZ$2,0))),"")</f>
        <v/>
      </c>
      <c r="O200" s="499" t="str">
        <f t="shared" si="18"/>
        <v/>
      </c>
      <c r="P200" s="559" t="str">
        <f>IF(B200="","",VLOOKUP(B200,'B-1 Site Hedge Baseline'!$B$10:T445,16,FALSE))</f>
        <v/>
      </c>
      <c r="Q200" s="498" t="str">
        <f>IF(M200="","",VLOOKUP(M200,'G-6 Hedgerow Data'!$B$2:$AG$15,2,FALSE))</f>
        <v/>
      </c>
      <c r="R200" s="499" t="str">
        <f>IF(M200="","",VLOOKUP(M200,'G-6 Hedgerow Data'!$B$2:$AG$15,3,FALSE))</f>
        <v/>
      </c>
      <c r="S200" s="157"/>
      <c r="T200" s="540" t="str">
        <f>IFERROR(VLOOKUP(S200,'G-1 All Habitats'!$Z$2:$AA$9,2,FALSE),"")</f>
        <v/>
      </c>
      <c r="U200" s="154"/>
      <c r="V200" s="520" t="str">
        <f>IF(U200="","",IF(VLOOKUP(U200,'G-3 Multipliers'!$L$3:$N$6,2,FALSE)=0,"Spatial Data Missing ⚠",VLOOKUP(U200,'G-3 Multipliers'!$L$3:$N$6,2,FALSE)))</f>
        <v/>
      </c>
      <c r="W200" s="524"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6"/>
        <v/>
      </c>
      <c r="AD200" s="537" t="str">
        <f>IF(M200="","",VLOOKUP(M200,'G-6 Hedgerow Data'!$B$3:$AG$15,31,FALSE))</f>
        <v/>
      </c>
      <c r="AE200" s="507" t="str">
        <f t="shared" si="21"/>
        <v/>
      </c>
      <c r="AF200" s="507" t="str">
        <f t="shared" si="22"/>
        <v/>
      </c>
      <c r="AG200" s="524" t="str">
        <f>IFERROR(IF(O200="","",VLOOKUP(AD200,'G-3 Multipliers'!$P$3:$Q$6,2,FALSE)),"")</f>
        <v/>
      </c>
      <c r="AH200" s="513" t="str">
        <f t="shared" si="17"/>
        <v/>
      </c>
      <c r="AI200" s="231"/>
      <c r="AJ200" s="150"/>
      <c r="AT200" s="31" t="str">
        <f>IFERROR(INDEX('G-6 Hedgerow Data'!$BJ$3:$BJ$15,MATCH(M200,'G-6 Hedgerow Data'!$B$3:$B$15,0)),"")</f>
        <v/>
      </c>
    </row>
    <row r="201" spans="2:46" ht="13.8" x14ac:dyDescent="0.25">
      <c r="B201" s="531" t="str">
        <f>'B-1 Site Hedge Baseline'!AK199</f>
        <v/>
      </c>
      <c r="C201" s="520" t="str">
        <f>IF(B201="","",IF(ISNA(VLOOKUP($B201,'B-1 Site Hedge Baseline'!$B$1:$L$257,3,FALSE)),"",(VLOOKUP($B201,'B-1 Site Hedge Baseline'!$B$1:$L$257,3,FALSE))))</f>
        <v/>
      </c>
      <c r="D201" s="520" t="str">
        <f>IF(B201="","",IF(ISNA(VLOOKUP($B201,'B-1 Site Hedge Baseline'!$B$1:$L$257,4,FALSE)),"",(VLOOKUP($B201,'B-1 Site Hedge Baseline'!$B$1:$L$257,4,FALSE))))</f>
        <v/>
      </c>
      <c r="E201" s="520" t="str">
        <f>IF(B201="","",IF(ISNA(VLOOKUP($B201,'B-1 Site Hedge Baseline'!$B$1:$L$257,5,FALSE)),"",(VLOOKUP($B201,'B-1 Site Hedge Baseline'!$B$1:$L$257,5,FALSE))))</f>
        <v/>
      </c>
      <c r="F201" s="520" t="str">
        <f>IF(B201="","",IF(ISNA(VLOOKUP($B201,'B-1 Site Hedge Baseline'!$B$1:$L$257,6,FALSE)),"",(VLOOKUP($B201,'B-1 Site Hedge Baseline'!$B$1:$L$257,6,FALSE))))</f>
        <v/>
      </c>
      <c r="G201" s="520" t="str">
        <f>IF(B201="","",IF(ISNA(VLOOKUP($B201,'B-1 Site Hedge Baseline'!$B$1:$L$257,7,FALSE)),"",(VLOOKUP($B201,'B-1 Site Hedge Baseline'!$B$1:$L$257,7,FALSE))))</f>
        <v/>
      </c>
      <c r="H201" s="520" t="str">
        <f>IF(B201="","",IF(ISNA(VLOOKUP($B201,'B-1 Site Hedge Baseline'!$B$1:$L$257,8,FALSE)),"",(VLOOKUP($B201,'B-1 Site Hedge Baseline'!$B$1:$L$257,8,FALSE))))</f>
        <v/>
      </c>
      <c r="I201" s="520" t="str">
        <f>IF(B201="","",IF(ISNA(VLOOKUP($B201,'B-1 Site Hedge Baseline'!$B$1:$L$257,10,FALSE)),"",(VLOOKUP($B201,'B-1 Site Hedge Baseline'!$B$1:$L$257,10,FALSE))))</f>
        <v/>
      </c>
      <c r="J201" s="520" t="str">
        <f>IF(B201="","",IF(ISNA(VLOOKUP($B201,'B-1 Site Hedge Baseline'!$B$1:$L$257,11,FALSE)),"",(VLOOKUP($B201,'B-1 Site Hedge Baseline'!$B$1:$L$257,11,FALSE))))</f>
        <v/>
      </c>
      <c r="K201" s="520" t="str">
        <f>IF(B201="","",IF(ISNA(VLOOKUP($B201,'B-1 Site Hedge Baseline'!$B$1:$U$257,13,FALSE)),"",(VLOOKUP($B201,'B-1 Site Hedge Baseline'!$B$1:$U$257,13,FALSE))))</f>
        <v/>
      </c>
      <c r="L201" s="524" t="str">
        <f>IF(B201="","",IF(ISNA(VLOOKUP($B201,'B-1 Site Hedge Baseline'!$B$1:$U$257,12,FALSE)),"",(VLOOKUP($B201,'B-1 Site Hedge Baseline'!$B$1:$U$257,12,FALSE))))</f>
        <v/>
      </c>
      <c r="M201" s="416" t="str">
        <f t="shared" si="23"/>
        <v/>
      </c>
      <c r="N201" s="498" t="str">
        <f>IFERROR(IF(B201="","",INDEX('G-6 Hedgerow Data'!$AN$3:$AZ$15,MATCH(C201,'G-6 Hedgerow Data'!$AM$3:$AM$15,0),MATCH(M201,'G-6 Hedgerow Data'!$AN$2:$AZ$2,0))),"")</f>
        <v/>
      </c>
      <c r="O201" s="499" t="str">
        <f t="shared" si="18"/>
        <v/>
      </c>
      <c r="P201" s="559" t="str">
        <f>IF(B201="","",VLOOKUP(B201,'B-1 Site Hedge Baseline'!$B$10:T446,16,FALSE))</f>
        <v/>
      </c>
      <c r="Q201" s="498" t="str">
        <f>IF(M201="","",VLOOKUP(M201,'G-6 Hedgerow Data'!$B$2:$AG$15,2,FALSE))</f>
        <v/>
      </c>
      <c r="R201" s="499" t="str">
        <f>IF(M201="","",VLOOKUP(M201,'G-6 Hedgerow Data'!$B$2:$AG$15,3,FALSE))</f>
        <v/>
      </c>
      <c r="S201" s="157"/>
      <c r="T201" s="540" t="str">
        <f>IFERROR(VLOOKUP(S201,'G-1 All Habitats'!$Z$2:$AA$9,2,FALSE),"")</f>
        <v/>
      </c>
      <c r="U201" s="154"/>
      <c r="V201" s="520" t="str">
        <f>IF(U201="","",IF(VLOOKUP(U201,'G-3 Multipliers'!$L$3:$N$6,2,FALSE)=0,"Spatial Data Missing ⚠",VLOOKUP(U201,'G-3 Multipliers'!$L$3:$N$6,2,FALSE)))</f>
        <v/>
      </c>
      <c r="W201" s="524"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6"/>
        <v/>
      </c>
      <c r="AD201" s="537" t="str">
        <f>IF(M201="","",VLOOKUP(M201,'G-6 Hedgerow Data'!$B$3:$AG$15,31,FALSE))</f>
        <v/>
      </c>
      <c r="AE201" s="507" t="str">
        <f t="shared" si="21"/>
        <v/>
      </c>
      <c r="AF201" s="507" t="str">
        <f t="shared" si="22"/>
        <v/>
      </c>
      <c r="AG201" s="524" t="str">
        <f>IFERROR(IF(O201="","",VLOOKUP(AD201,'G-3 Multipliers'!$P$3:$Q$6,2,FALSE)),"")</f>
        <v/>
      </c>
      <c r="AH201" s="513" t="str">
        <f t="shared" si="17"/>
        <v/>
      </c>
      <c r="AI201" s="231"/>
      <c r="AJ201" s="150"/>
      <c r="AT201" s="31" t="str">
        <f>IFERROR(INDEX('G-6 Hedgerow Data'!$BJ$3:$BJ$15,MATCH(M201,'G-6 Hedgerow Data'!$B$3:$B$15,0)),"")</f>
        <v/>
      </c>
    </row>
    <row r="202" spans="2:46" ht="13.8" x14ac:dyDescent="0.25">
      <c r="B202" s="531" t="str">
        <f>'B-1 Site Hedge Baseline'!AK200</f>
        <v/>
      </c>
      <c r="C202" s="520" t="str">
        <f>IF(B202="","",IF(ISNA(VLOOKUP($B202,'B-1 Site Hedge Baseline'!$B$1:$L$257,3,FALSE)),"",(VLOOKUP($B202,'B-1 Site Hedge Baseline'!$B$1:$L$257,3,FALSE))))</f>
        <v/>
      </c>
      <c r="D202" s="520" t="str">
        <f>IF(B202="","",IF(ISNA(VLOOKUP($B202,'B-1 Site Hedge Baseline'!$B$1:$L$257,4,FALSE)),"",(VLOOKUP($B202,'B-1 Site Hedge Baseline'!$B$1:$L$257,4,FALSE))))</f>
        <v/>
      </c>
      <c r="E202" s="520" t="str">
        <f>IF(B202="","",IF(ISNA(VLOOKUP($B202,'B-1 Site Hedge Baseline'!$B$1:$L$257,5,FALSE)),"",(VLOOKUP($B202,'B-1 Site Hedge Baseline'!$B$1:$L$257,5,FALSE))))</f>
        <v/>
      </c>
      <c r="F202" s="520" t="str">
        <f>IF(B202="","",IF(ISNA(VLOOKUP($B202,'B-1 Site Hedge Baseline'!$B$1:$L$257,6,FALSE)),"",(VLOOKUP($B202,'B-1 Site Hedge Baseline'!$B$1:$L$257,6,FALSE))))</f>
        <v/>
      </c>
      <c r="G202" s="520" t="str">
        <f>IF(B202="","",IF(ISNA(VLOOKUP($B202,'B-1 Site Hedge Baseline'!$B$1:$L$257,7,FALSE)),"",(VLOOKUP($B202,'B-1 Site Hedge Baseline'!$B$1:$L$257,7,FALSE))))</f>
        <v/>
      </c>
      <c r="H202" s="520" t="str">
        <f>IF(B202="","",IF(ISNA(VLOOKUP($B202,'B-1 Site Hedge Baseline'!$B$1:$L$257,8,FALSE)),"",(VLOOKUP($B202,'B-1 Site Hedge Baseline'!$B$1:$L$257,8,FALSE))))</f>
        <v/>
      </c>
      <c r="I202" s="520" t="str">
        <f>IF(B202="","",IF(ISNA(VLOOKUP($B202,'B-1 Site Hedge Baseline'!$B$1:$L$257,10,FALSE)),"",(VLOOKUP($B202,'B-1 Site Hedge Baseline'!$B$1:$L$257,10,FALSE))))</f>
        <v/>
      </c>
      <c r="J202" s="520" t="str">
        <f>IF(B202="","",IF(ISNA(VLOOKUP($B202,'B-1 Site Hedge Baseline'!$B$1:$L$257,11,FALSE)),"",(VLOOKUP($B202,'B-1 Site Hedge Baseline'!$B$1:$L$257,11,FALSE))))</f>
        <v/>
      </c>
      <c r="K202" s="520" t="str">
        <f>IF(B202="","",IF(ISNA(VLOOKUP($B202,'B-1 Site Hedge Baseline'!$B$1:$U$257,13,FALSE)),"",(VLOOKUP($B202,'B-1 Site Hedge Baseline'!$B$1:$U$257,13,FALSE))))</f>
        <v/>
      </c>
      <c r="L202" s="524" t="str">
        <f>IF(B202="","",IF(ISNA(VLOOKUP($B202,'B-1 Site Hedge Baseline'!$B$1:$U$257,12,FALSE)),"",(VLOOKUP($B202,'B-1 Site Hedge Baseline'!$B$1:$U$257,12,FALSE))))</f>
        <v/>
      </c>
      <c r="M202" s="416" t="str">
        <f t="shared" si="23"/>
        <v/>
      </c>
      <c r="N202" s="498" t="str">
        <f>IFERROR(IF(B202="","",INDEX('G-6 Hedgerow Data'!$AN$3:$AZ$15,MATCH(C202,'G-6 Hedgerow Data'!$AM$3:$AM$15,0),MATCH(M202,'G-6 Hedgerow Data'!$AN$2:$AZ$2,0))),"")</f>
        <v/>
      </c>
      <c r="O202" s="499" t="str">
        <f t="shared" si="18"/>
        <v/>
      </c>
      <c r="P202" s="559" t="str">
        <f>IF(B202="","",VLOOKUP(B202,'B-1 Site Hedge Baseline'!$B$10:T447,16,FALSE))</f>
        <v/>
      </c>
      <c r="Q202" s="498" t="str">
        <f>IF(M202="","",VLOOKUP(M202,'G-6 Hedgerow Data'!$B$2:$AG$15,2,FALSE))</f>
        <v/>
      </c>
      <c r="R202" s="499" t="str">
        <f>IF(M202="","",VLOOKUP(M202,'G-6 Hedgerow Data'!$B$2:$AG$15,3,FALSE))</f>
        <v/>
      </c>
      <c r="S202" s="157"/>
      <c r="T202" s="540" t="str">
        <f>IFERROR(VLOOKUP(S202,'G-1 All Habitats'!$Z$2:$AA$9,2,FALSE),"")</f>
        <v/>
      </c>
      <c r="U202" s="154"/>
      <c r="V202" s="520" t="str">
        <f>IF(U202="","",IF(VLOOKUP(U202,'G-3 Multipliers'!$L$3:$N$6,2,FALSE)=0,"Spatial Data Missing ⚠",VLOOKUP(U202,'G-3 Multipliers'!$L$3:$N$6,2,FALSE)))</f>
        <v/>
      </c>
      <c r="W202" s="524"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6"/>
        <v/>
      </c>
      <c r="AD202" s="537" t="str">
        <f>IF(M202="","",VLOOKUP(M202,'G-6 Hedgerow Data'!$B$3:$AG$15,31,FALSE))</f>
        <v/>
      </c>
      <c r="AE202" s="507" t="str">
        <f t="shared" si="21"/>
        <v/>
      </c>
      <c r="AF202" s="507" t="str">
        <f t="shared" si="22"/>
        <v/>
      </c>
      <c r="AG202" s="524" t="str">
        <f>IFERROR(IF(O202="","",VLOOKUP(AD202,'G-3 Multipliers'!$P$3:$Q$6,2,FALSE)),"")</f>
        <v/>
      </c>
      <c r="AH202" s="513" t="str">
        <f t="shared" si="17"/>
        <v/>
      </c>
      <c r="AI202" s="231"/>
      <c r="AJ202" s="150"/>
      <c r="AT202" s="31" t="str">
        <f>IFERROR(INDEX('G-6 Hedgerow Data'!$BJ$3:$BJ$15,MATCH(M202,'G-6 Hedgerow Data'!$B$3:$B$15,0)),"")</f>
        <v/>
      </c>
    </row>
    <row r="203" spans="2:46" ht="13.8" x14ac:dyDescent="0.25">
      <c r="B203" s="531" t="str">
        <f>'B-1 Site Hedge Baseline'!AK201</f>
        <v/>
      </c>
      <c r="C203" s="520" t="str">
        <f>IF(B203="","",IF(ISNA(VLOOKUP($B203,'B-1 Site Hedge Baseline'!$B$1:$L$257,3,FALSE)),"",(VLOOKUP($B203,'B-1 Site Hedge Baseline'!$B$1:$L$257,3,FALSE))))</f>
        <v/>
      </c>
      <c r="D203" s="520" t="str">
        <f>IF(B203="","",IF(ISNA(VLOOKUP($B203,'B-1 Site Hedge Baseline'!$B$1:$L$257,4,FALSE)),"",(VLOOKUP($B203,'B-1 Site Hedge Baseline'!$B$1:$L$257,4,FALSE))))</f>
        <v/>
      </c>
      <c r="E203" s="520" t="str">
        <f>IF(B203="","",IF(ISNA(VLOOKUP($B203,'B-1 Site Hedge Baseline'!$B$1:$L$257,5,FALSE)),"",(VLOOKUP($B203,'B-1 Site Hedge Baseline'!$B$1:$L$257,5,FALSE))))</f>
        <v/>
      </c>
      <c r="F203" s="520" t="str">
        <f>IF(B203="","",IF(ISNA(VLOOKUP($B203,'B-1 Site Hedge Baseline'!$B$1:$L$257,6,FALSE)),"",(VLOOKUP($B203,'B-1 Site Hedge Baseline'!$B$1:$L$257,6,FALSE))))</f>
        <v/>
      </c>
      <c r="G203" s="520" t="str">
        <f>IF(B203="","",IF(ISNA(VLOOKUP($B203,'B-1 Site Hedge Baseline'!$B$1:$L$257,7,FALSE)),"",(VLOOKUP($B203,'B-1 Site Hedge Baseline'!$B$1:$L$257,7,FALSE))))</f>
        <v/>
      </c>
      <c r="H203" s="520" t="str">
        <f>IF(B203="","",IF(ISNA(VLOOKUP($B203,'B-1 Site Hedge Baseline'!$B$1:$L$257,8,FALSE)),"",(VLOOKUP($B203,'B-1 Site Hedge Baseline'!$B$1:$L$257,8,FALSE))))</f>
        <v/>
      </c>
      <c r="I203" s="520" t="str">
        <f>IF(B203="","",IF(ISNA(VLOOKUP($B203,'B-1 Site Hedge Baseline'!$B$1:$L$257,10,FALSE)),"",(VLOOKUP($B203,'B-1 Site Hedge Baseline'!$B$1:$L$257,10,FALSE))))</f>
        <v/>
      </c>
      <c r="J203" s="520" t="str">
        <f>IF(B203="","",IF(ISNA(VLOOKUP($B203,'B-1 Site Hedge Baseline'!$B$1:$L$257,11,FALSE)),"",(VLOOKUP($B203,'B-1 Site Hedge Baseline'!$B$1:$L$257,11,FALSE))))</f>
        <v/>
      </c>
      <c r="K203" s="520" t="str">
        <f>IF(B203="","",IF(ISNA(VLOOKUP($B203,'B-1 Site Hedge Baseline'!$B$1:$U$257,13,FALSE)),"",(VLOOKUP($B203,'B-1 Site Hedge Baseline'!$B$1:$U$257,13,FALSE))))</f>
        <v/>
      </c>
      <c r="L203" s="524" t="str">
        <f>IF(B203="","",IF(ISNA(VLOOKUP($B203,'B-1 Site Hedge Baseline'!$B$1:$U$257,12,FALSE)),"",(VLOOKUP($B203,'B-1 Site Hedge Baseline'!$B$1:$U$257,12,FALSE))))</f>
        <v/>
      </c>
      <c r="M203" s="416" t="str">
        <f t="shared" si="23"/>
        <v/>
      </c>
      <c r="N203" s="498" t="str">
        <f>IFERROR(IF(B203="","",INDEX('G-6 Hedgerow Data'!$AN$3:$AZ$15,MATCH(C203,'G-6 Hedgerow Data'!$AM$3:$AM$15,0),MATCH(M203,'G-6 Hedgerow Data'!$AN$2:$AZ$2,0))),"")</f>
        <v/>
      </c>
      <c r="O203" s="499" t="str">
        <f t="shared" si="18"/>
        <v/>
      </c>
      <c r="P203" s="559" t="str">
        <f>IF(B203="","",VLOOKUP(B203,'B-1 Site Hedge Baseline'!$B$10:T448,16,FALSE))</f>
        <v/>
      </c>
      <c r="Q203" s="498" t="str">
        <f>IF(M203="","",VLOOKUP(M203,'G-6 Hedgerow Data'!$B$2:$AG$15,2,FALSE))</f>
        <v/>
      </c>
      <c r="R203" s="499" t="str">
        <f>IF(M203="","",VLOOKUP(M203,'G-6 Hedgerow Data'!$B$2:$AG$15,3,FALSE))</f>
        <v/>
      </c>
      <c r="S203" s="157"/>
      <c r="T203" s="540" t="str">
        <f>IFERROR(VLOOKUP(S203,'G-1 All Habitats'!$Z$2:$AA$9,2,FALSE),"")</f>
        <v/>
      </c>
      <c r="U203" s="154"/>
      <c r="V203" s="520" t="str">
        <f>IF(U203="","",IF(VLOOKUP(U203,'G-3 Multipliers'!$L$3:$N$6,2,FALSE)=0,"Spatial Data Missing ⚠",VLOOKUP(U203,'G-3 Multipliers'!$L$3:$N$6,2,FALSE)))</f>
        <v/>
      </c>
      <c r="W203" s="524"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6"/>
        <v/>
      </c>
      <c r="AD203" s="537" t="str">
        <f>IF(M203="","",VLOOKUP(M203,'G-6 Hedgerow Data'!$B$3:$AG$15,31,FALSE))</f>
        <v/>
      </c>
      <c r="AE203" s="507" t="str">
        <f t="shared" si="21"/>
        <v/>
      </c>
      <c r="AF203" s="507" t="str">
        <f t="shared" si="22"/>
        <v/>
      </c>
      <c r="AG203" s="524" t="str">
        <f>IFERROR(IF(O203="","",VLOOKUP(AD203,'G-3 Multipliers'!$P$3:$Q$6,2,FALSE)),"")</f>
        <v/>
      </c>
      <c r="AH203" s="513" t="str">
        <f t="shared" si="17"/>
        <v/>
      </c>
      <c r="AI203" s="231"/>
      <c r="AJ203" s="150"/>
      <c r="AT203" s="31" t="str">
        <f>IFERROR(INDEX('G-6 Hedgerow Data'!$BJ$3:$BJ$15,MATCH(M203,'G-6 Hedgerow Data'!$B$3:$B$15,0)),"")</f>
        <v/>
      </c>
    </row>
    <row r="204" spans="2:46" ht="13.8" x14ac:dyDescent="0.25">
      <c r="B204" s="531" t="str">
        <f>'B-1 Site Hedge Baseline'!AK202</f>
        <v/>
      </c>
      <c r="C204" s="520" t="str">
        <f>IF(B204="","",IF(ISNA(VLOOKUP($B204,'B-1 Site Hedge Baseline'!$B$1:$L$257,3,FALSE)),"",(VLOOKUP($B204,'B-1 Site Hedge Baseline'!$B$1:$L$257,3,FALSE))))</f>
        <v/>
      </c>
      <c r="D204" s="520" t="str">
        <f>IF(B204="","",IF(ISNA(VLOOKUP($B204,'B-1 Site Hedge Baseline'!$B$1:$L$257,4,FALSE)),"",(VLOOKUP($B204,'B-1 Site Hedge Baseline'!$B$1:$L$257,4,FALSE))))</f>
        <v/>
      </c>
      <c r="E204" s="520" t="str">
        <f>IF(B204="","",IF(ISNA(VLOOKUP($B204,'B-1 Site Hedge Baseline'!$B$1:$L$257,5,FALSE)),"",(VLOOKUP($B204,'B-1 Site Hedge Baseline'!$B$1:$L$257,5,FALSE))))</f>
        <v/>
      </c>
      <c r="F204" s="520" t="str">
        <f>IF(B204="","",IF(ISNA(VLOOKUP($B204,'B-1 Site Hedge Baseline'!$B$1:$L$257,6,FALSE)),"",(VLOOKUP($B204,'B-1 Site Hedge Baseline'!$B$1:$L$257,6,FALSE))))</f>
        <v/>
      </c>
      <c r="G204" s="520" t="str">
        <f>IF(B204="","",IF(ISNA(VLOOKUP($B204,'B-1 Site Hedge Baseline'!$B$1:$L$257,7,FALSE)),"",(VLOOKUP($B204,'B-1 Site Hedge Baseline'!$B$1:$L$257,7,FALSE))))</f>
        <v/>
      </c>
      <c r="H204" s="520" t="str">
        <f>IF(B204="","",IF(ISNA(VLOOKUP($B204,'B-1 Site Hedge Baseline'!$B$1:$L$257,8,FALSE)),"",(VLOOKUP($B204,'B-1 Site Hedge Baseline'!$B$1:$L$257,8,FALSE))))</f>
        <v/>
      </c>
      <c r="I204" s="520" t="str">
        <f>IF(B204="","",IF(ISNA(VLOOKUP($B204,'B-1 Site Hedge Baseline'!$B$1:$L$257,10,FALSE)),"",(VLOOKUP($B204,'B-1 Site Hedge Baseline'!$B$1:$L$257,10,FALSE))))</f>
        <v/>
      </c>
      <c r="J204" s="520" t="str">
        <f>IF(B204="","",IF(ISNA(VLOOKUP($B204,'B-1 Site Hedge Baseline'!$B$1:$L$257,11,FALSE)),"",(VLOOKUP($B204,'B-1 Site Hedge Baseline'!$B$1:$L$257,11,FALSE))))</f>
        <v/>
      </c>
      <c r="K204" s="520" t="str">
        <f>IF(B204="","",IF(ISNA(VLOOKUP($B204,'B-1 Site Hedge Baseline'!$B$1:$U$257,13,FALSE)),"",(VLOOKUP($B204,'B-1 Site Hedge Baseline'!$B$1:$U$257,13,FALSE))))</f>
        <v/>
      </c>
      <c r="L204" s="524" t="str">
        <f>IF(B204="","",IF(ISNA(VLOOKUP($B204,'B-1 Site Hedge Baseline'!$B$1:$U$257,12,FALSE)),"",(VLOOKUP($B204,'B-1 Site Hedge Baseline'!$B$1:$U$257,12,FALSE))))</f>
        <v/>
      </c>
      <c r="M204" s="416" t="str">
        <f t="shared" si="23"/>
        <v/>
      </c>
      <c r="N204" s="498" t="str">
        <f>IFERROR(IF(B204="","",INDEX('G-6 Hedgerow Data'!$AN$3:$AZ$15,MATCH(C204,'G-6 Hedgerow Data'!$AM$3:$AM$15,0),MATCH(M204,'G-6 Hedgerow Data'!$AN$2:$AZ$2,0))),"")</f>
        <v/>
      </c>
      <c r="O204" s="499" t="str">
        <f t="shared" si="18"/>
        <v/>
      </c>
      <c r="P204" s="559" t="str">
        <f>IF(B204="","",VLOOKUP(B204,'B-1 Site Hedge Baseline'!$B$10:T449,16,FALSE))</f>
        <v/>
      </c>
      <c r="Q204" s="498" t="str">
        <f>IF(M204="","",VLOOKUP(M204,'G-6 Hedgerow Data'!$B$2:$AG$15,2,FALSE))</f>
        <v/>
      </c>
      <c r="R204" s="499" t="str">
        <f>IF(M204="","",VLOOKUP(M204,'G-6 Hedgerow Data'!$B$2:$AG$15,3,FALSE))</f>
        <v/>
      </c>
      <c r="S204" s="157"/>
      <c r="T204" s="540" t="str">
        <f>IFERROR(VLOOKUP(S204,'G-1 All Habitats'!$Z$2:$AA$9,2,FALSE),"")</f>
        <v/>
      </c>
      <c r="U204" s="154"/>
      <c r="V204" s="520" t="str">
        <f>IF(U204="","",IF(VLOOKUP(U204,'G-3 Multipliers'!$L$3:$N$6,2,FALSE)=0,"Spatial Data Missing ⚠",VLOOKUP(U204,'G-3 Multipliers'!$L$3:$N$6,2,FALSE)))</f>
        <v/>
      </c>
      <c r="W204" s="524"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4">IF(OR(S204="",M204=""),"",IF(LEFT(AB204,5)="Error ▲","Check Data ⚠",IF(AB204="Check Data ⚠","Check Data ⚠",VLOOKUP(AB204,TemporalMultipliers,3,FALSE))))</f>
        <v/>
      </c>
      <c r="AD204" s="537" t="str">
        <f>IF(M204="","",VLOOKUP(M204,'G-6 Hedgerow Data'!$B$3:$AG$15,31,FALSE))</f>
        <v/>
      </c>
      <c r="AE204" s="507" t="str">
        <f t="shared" si="21"/>
        <v/>
      </c>
      <c r="AF204" s="507" t="str">
        <f t="shared" si="22"/>
        <v/>
      </c>
      <c r="AG204" s="524" t="str">
        <f>IFERROR(IF(O204="","",VLOOKUP(AD204,'G-3 Multipliers'!$P$3:$Q$6,2,FALSE)),"")</f>
        <v/>
      </c>
      <c r="AH204" s="513" t="str">
        <f t="shared" ref="AH204:AH257" si="25">IFERROR(IF(OR(M204="",S204="",U204=""),"",(((((P204*R204*T204)-(P204*F204*H204))*(AG204*AC204))+(P204*F204*H204))*(W204))),"")</f>
        <v/>
      </c>
      <c r="AI204" s="231"/>
      <c r="AJ204" s="150"/>
      <c r="AT204" s="31" t="str">
        <f>IFERROR(INDEX('G-6 Hedgerow Data'!$BJ$3:$BJ$15,MATCH(M204,'G-6 Hedgerow Data'!$B$3:$B$15,0)),"")</f>
        <v/>
      </c>
    </row>
    <row r="205" spans="2:46" ht="13.8" x14ac:dyDescent="0.25">
      <c r="B205" s="531" t="str">
        <f>'B-1 Site Hedge Baseline'!AK203</f>
        <v/>
      </c>
      <c r="C205" s="520" t="str">
        <f>IF(B205="","",IF(ISNA(VLOOKUP($B205,'B-1 Site Hedge Baseline'!$B$1:$L$257,3,FALSE)),"",(VLOOKUP($B205,'B-1 Site Hedge Baseline'!$B$1:$L$257,3,FALSE))))</f>
        <v/>
      </c>
      <c r="D205" s="520" t="str">
        <f>IF(B205="","",IF(ISNA(VLOOKUP($B205,'B-1 Site Hedge Baseline'!$B$1:$L$257,4,FALSE)),"",(VLOOKUP($B205,'B-1 Site Hedge Baseline'!$B$1:$L$257,4,FALSE))))</f>
        <v/>
      </c>
      <c r="E205" s="520" t="str">
        <f>IF(B205="","",IF(ISNA(VLOOKUP($B205,'B-1 Site Hedge Baseline'!$B$1:$L$257,5,FALSE)),"",(VLOOKUP($B205,'B-1 Site Hedge Baseline'!$B$1:$L$257,5,FALSE))))</f>
        <v/>
      </c>
      <c r="F205" s="520" t="str">
        <f>IF(B205="","",IF(ISNA(VLOOKUP($B205,'B-1 Site Hedge Baseline'!$B$1:$L$257,6,FALSE)),"",(VLOOKUP($B205,'B-1 Site Hedge Baseline'!$B$1:$L$257,6,FALSE))))</f>
        <v/>
      </c>
      <c r="G205" s="520" t="str">
        <f>IF(B205="","",IF(ISNA(VLOOKUP($B205,'B-1 Site Hedge Baseline'!$B$1:$L$257,7,FALSE)),"",(VLOOKUP($B205,'B-1 Site Hedge Baseline'!$B$1:$L$257,7,FALSE))))</f>
        <v/>
      </c>
      <c r="H205" s="520" t="str">
        <f>IF(B205="","",IF(ISNA(VLOOKUP($B205,'B-1 Site Hedge Baseline'!$B$1:$L$257,8,FALSE)),"",(VLOOKUP($B205,'B-1 Site Hedge Baseline'!$B$1:$L$257,8,FALSE))))</f>
        <v/>
      </c>
      <c r="I205" s="520" t="str">
        <f>IF(B205="","",IF(ISNA(VLOOKUP($B205,'B-1 Site Hedge Baseline'!$B$1:$L$257,10,FALSE)),"",(VLOOKUP($B205,'B-1 Site Hedge Baseline'!$B$1:$L$257,10,FALSE))))</f>
        <v/>
      </c>
      <c r="J205" s="520" t="str">
        <f>IF(B205="","",IF(ISNA(VLOOKUP($B205,'B-1 Site Hedge Baseline'!$B$1:$L$257,11,FALSE)),"",(VLOOKUP($B205,'B-1 Site Hedge Baseline'!$B$1:$L$257,11,FALSE))))</f>
        <v/>
      </c>
      <c r="K205" s="520" t="str">
        <f>IF(B205="","",IF(ISNA(VLOOKUP($B205,'B-1 Site Hedge Baseline'!$B$1:$U$257,13,FALSE)),"",(VLOOKUP($B205,'B-1 Site Hedge Baseline'!$B$1:$U$257,13,FALSE))))</f>
        <v/>
      </c>
      <c r="L205" s="524" t="str">
        <f>IF(B205="","",IF(ISNA(VLOOKUP($B205,'B-1 Site Hedge Baseline'!$B$1:$U$257,12,FALSE)),"",(VLOOKUP($B205,'B-1 Site Hedge Baseline'!$B$1:$U$257,12,FALSE))))</f>
        <v/>
      </c>
      <c r="M205" s="416" t="str">
        <f t="shared" si="23"/>
        <v/>
      </c>
      <c r="N205" s="498" t="str">
        <f>IFERROR(IF(B205="","",INDEX('G-6 Hedgerow Data'!$AN$3:$AZ$15,MATCH(C205,'G-6 Hedgerow Data'!$AM$3:$AM$15,0),MATCH(M205,'G-6 Hedgerow Data'!$AN$2:$AZ$2,0))),"")</f>
        <v/>
      </c>
      <c r="O205" s="499"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9" t="str">
        <f>IF(B205="","",VLOOKUP(B205,'B-1 Site Hedge Baseline'!$B$10:T450,16,FALSE))</f>
        <v/>
      </c>
      <c r="Q205" s="498" t="str">
        <f>IF(M205="","",VLOOKUP(M205,'G-6 Hedgerow Data'!$B$2:$AG$15,2,FALSE))</f>
        <v/>
      </c>
      <c r="R205" s="499" t="str">
        <f>IF(M205="","",VLOOKUP(M205,'G-6 Hedgerow Data'!$B$2:$AG$15,3,FALSE))</f>
        <v/>
      </c>
      <c r="S205" s="157"/>
      <c r="T205" s="540" t="str">
        <f>IFERROR(VLOOKUP(S205,'G-1 All Habitats'!$Z$2:$AA$9,2,FALSE),"")</f>
        <v/>
      </c>
      <c r="U205" s="154"/>
      <c r="V205" s="520" t="str">
        <f>IF(U205="","",IF(VLOOKUP(U205,'G-3 Multipliers'!$L$3:$N$6,2,FALSE)=0,"Spatial Data Missing ⚠",VLOOKUP(U205,'G-3 Multipliers'!$L$3:$N$6,2,FALSE)))</f>
        <v/>
      </c>
      <c r="W205" s="524"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6" si="28">IF(X205="","",IF(AA205="Check Data ⚠","Check Data ⚠",IF(Y205="30+",0,IF(Z205="30+","30+ ⚠",IF(X205+Z205&gt;30,"30+ ⚠",IF(LEFT(AA205,5)="Error ▲","Check Data ⚠",IF(X205+Z205-Y205&gt;0,X205+Z205-Y205,IF(X205-Y205&lt;=0,0,))))))))</f>
        <v/>
      </c>
      <c r="AC205" s="522" t="str">
        <f t="shared" si="24"/>
        <v/>
      </c>
      <c r="AD205" s="537" t="str">
        <f>IF(M205="","",VLOOKUP(M205,'G-6 Hedgerow Data'!$B$3:$AG$15,31,FALSE))</f>
        <v/>
      </c>
      <c r="AE205" s="507"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7" t="str">
        <f t="shared" ref="AF205:AF257" si="30">(IF(AND(AE205="Standard difficulty applied",X205&gt;Y205),AD205,IF(AND(AE205="Low Difficulty - only applicable if all habitat created before losses ⚠",Y205&gt;=X205),"Low",AD205)))</f>
        <v/>
      </c>
      <c r="AG205" s="524" t="str">
        <f>IFERROR(IF(O205="","",VLOOKUP(AD205,'G-3 Multipliers'!$P$3:$Q$6,2,FALSE)),"")</f>
        <v/>
      </c>
      <c r="AH205" s="513" t="str">
        <f t="shared" si="25"/>
        <v/>
      </c>
      <c r="AI205" s="231"/>
      <c r="AJ205" s="150"/>
      <c r="AT205" s="31" t="str">
        <f>IFERROR(INDEX('G-6 Hedgerow Data'!$BJ$3:$BJ$15,MATCH(M205,'G-6 Hedgerow Data'!$B$3:$B$15,0)),"")</f>
        <v/>
      </c>
    </row>
    <row r="206" spans="2:46" ht="13.8" x14ac:dyDescent="0.25">
      <c r="B206" s="531" t="str">
        <f>'B-1 Site Hedge Baseline'!AK204</f>
        <v/>
      </c>
      <c r="C206" s="520" t="str">
        <f>IF(B206="","",IF(ISNA(VLOOKUP($B206,'B-1 Site Hedge Baseline'!$B$1:$L$257,3,FALSE)),"",(VLOOKUP($B206,'B-1 Site Hedge Baseline'!$B$1:$L$257,3,FALSE))))</f>
        <v/>
      </c>
      <c r="D206" s="520" t="str">
        <f>IF(B206="","",IF(ISNA(VLOOKUP($B206,'B-1 Site Hedge Baseline'!$B$1:$L$257,4,FALSE)),"",(VLOOKUP($B206,'B-1 Site Hedge Baseline'!$B$1:$L$257,4,FALSE))))</f>
        <v/>
      </c>
      <c r="E206" s="520" t="str">
        <f>IF(B206="","",IF(ISNA(VLOOKUP($B206,'B-1 Site Hedge Baseline'!$B$1:$L$257,5,FALSE)),"",(VLOOKUP($B206,'B-1 Site Hedge Baseline'!$B$1:$L$257,5,FALSE))))</f>
        <v/>
      </c>
      <c r="F206" s="520" t="str">
        <f>IF(B206="","",IF(ISNA(VLOOKUP($B206,'B-1 Site Hedge Baseline'!$B$1:$L$257,6,FALSE)),"",(VLOOKUP($B206,'B-1 Site Hedge Baseline'!$B$1:$L$257,6,FALSE))))</f>
        <v/>
      </c>
      <c r="G206" s="520" t="str">
        <f>IF(B206="","",IF(ISNA(VLOOKUP($B206,'B-1 Site Hedge Baseline'!$B$1:$L$257,7,FALSE)),"",(VLOOKUP($B206,'B-1 Site Hedge Baseline'!$B$1:$L$257,7,FALSE))))</f>
        <v/>
      </c>
      <c r="H206" s="520" t="str">
        <f>IF(B206="","",IF(ISNA(VLOOKUP($B206,'B-1 Site Hedge Baseline'!$B$1:$L$257,8,FALSE)),"",(VLOOKUP($B206,'B-1 Site Hedge Baseline'!$B$1:$L$257,8,FALSE))))</f>
        <v/>
      </c>
      <c r="I206" s="520" t="str">
        <f>IF(B206="","",IF(ISNA(VLOOKUP($B206,'B-1 Site Hedge Baseline'!$B$1:$L$257,10,FALSE)),"",(VLOOKUP($B206,'B-1 Site Hedge Baseline'!$B$1:$L$257,10,FALSE))))</f>
        <v/>
      </c>
      <c r="J206" s="520" t="str">
        <f>IF(B206="","",IF(ISNA(VLOOKUP($B206,'B-1 Site Hedge Baseline'!$B$1:$L$257,11,FALSE)),"",(VLOOKUP($B206,'B-1 Site Hedge Baseline'!$B$1:$L$257,11,FALSE))))</f>
        <v/>
      </c>
      <c r="K206" s="520" t="str">
        <f>IF(B206="","",IF(ISNA(VLOOKUP($B206,'B-1 Site Hedge Baseline'!$B$1:$U$257,13,FALSE)),"",(VLOOKUP($B206,'B-1 Site Hedge Baseline'!$B$1:$U$257,13,FALSE))))</f>
        <v/>
      </c>
      <c r="L206" s="524" t="str">
        <f>IF(B206="","",IF(ISNA(VLOOKUP($B206,'B-1 Site Hedge Baseline'!$B$1:$U$257,12,FALSE)),"",(VLOOKUP($B206,'B-1 Site Hedge Baseline'!$B$1:$U$257,12,FALSE))))</f>
        <v/>
      </c>
      <c r="M206" s="416" t="str">
        <f t="shared" ref="M206:M257" si="31">IF(B206="","",C206)</f>
        <v/>
      </c>
      <c r="N206" s="498" t="str">
        <f>IFERROR(IF(B206="","",INDEX('G-6 Hedgerow Data'!$AN$3:$AZ$15,MATCH(C206,'G-6 Hedgerow Data'!$AM$3:$AM$15,0),MATCH(M206,'G-6 Hedgerow Data'!$AN$2:$AZ$2,0))),"")</f>
        <v/>
      </c>
      <c r="O206" s="499" t="str">
        <f t="shared" si="26"/>
        <v/>
      </c>
      <c r="P206" s="559" t="str">
        <f>IF(B206="","",VLOOKUP(B206,'B-1 Site Hedge Baseline'!$B$10:T451,16,FALSE))</f>
        <v/>
      </c>
      <c r="Q206" s="498" t="str">
        <f>IF(M206="","",VLOOKUP(M206,'G-6 Hedgerow Data'!$B$2:$AG$15,2,FALSE))</f>
        <v/>
      </c>
      <c r="R206" s="499" t="str">
        <f>IF(M206="","",VLOOKUP(M206,'G-6 Hedgerow Data'!$B$2:$AG$15,3,FALSE))</f>
        <v/>
      </c>
      <c r="S206" s="157"/>
      <c r="T206" s="540" t="str">
        <f>IFERROR(VLOOKUP(S206,'G-1 All Habitats'!$Z$2:$AA$9,2,FALSE),"")</f>
        <v/>
      </c>
      <c r="U206" s="154"/>
      <c r="V206" s="520" t="str">
        <f>IF(U206="","",IF(VLOOKUP(U206,'G-3 Multipliers'!$L$3:$N$6,2,FALSE)=0,"Spatial Data Missing ⚠",VLOOKUP(U206,'G-3 Multipliers'!$L$3:$N$6,2,FALSE)))</f>
        <v/>
      </c>
      <c r="W206" s="524"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4"/>
        <v/>
      </c>
      <c r="AD206" s="537" t="str">
        <f>IF(M206="","",VLOOKUP(M206,'G-6 Hedgerow Data'!$B$3:$AG$15,31,FALSE))</f>
        <v/>
      </c>
      <c r="AE206" s="507" t="str">
        <f t="shared" si="29"/>
        <v/>
      </c>
      <c r="AF206" s="507" t="str">
        <f t="shared" si="30"/>
        <v/>
      </c>
      <c r="AG206" s="524" t="str">
        <f>IFERROR(IF(O206="","",VLOOKUP(AD206,'G-3 Multipliers'!$P$3:$Q$6,2,FALSE)),"")</f>
        <v/>
      </c>
      <c r="AH206" s="513" t="str">
        <f t="shared" si="25"/>
        <v/>
      </c>
      <c r="AI206" s="231"/>
      <c r="AJ206" s="150"/>
      <c r="AT206" s="31" t="str">
        <f>IFERROR(INDEX('G-6 Hedgerow Data'!$BJ$3:$BJ$15,MATCH(M206,'G-6 Hedgerow Data'!$B$3:$B$15,0)),"")</f>
        <v/>
      </c>
    </row>
    <row r="207" spans="2:46" ht="13.8" x14ac:dyDescent="0.25">
      <c r="B207" s="531" t="str">
        <f>'B-1 Site Hedge Baseline'!AK205</f>
        <v/>
      </c>
      <c r="C207" s="520" t="str">
        <f>IF(B207="","",IF(ISNA(VLOOKUP($B207,'B-1 Site Hedge Baseline'!$B$1:$L$257,3,FALSE)),"",(VLOOKUP($B207,'B-1 Site Hedge Baseline'!$B$1:$L$257,3,FALSE))))</f>
        <v/>
      </c>
      <c r="D207" s="520" t="str">
        <f>IF(B207="","",IF(ISNA(VLOOKUP($B207,'B-1 Site Hedge Baseline'!$B$1:$L$257,4,FALSE)),"",(VLOOKUP($B207,'B-1 Site Hedge Baseline'!$B$1:$L$257,4,FALSE))))</f>
        <v/>
      </c>
      <c r="E207" s="520" t="str">
        <f>IF(B207="","",IF(ISNA(VLOOKUP($B207,'B-1 Site Hedge Baseline'!$B$1:$L$257,5,FALSE)),"",(VLOOKUP($B207,'B-1 Site Hedge Baseline'!$B$1:$L$257,5,FALSE))))</f>
        <v/>
      </c>
      <c r="F207" s="520" t="str">
        <f>IF(B207="","",IF(ISNA(VLOOKUP($B207,'B-1 Site Hedge Baseline'!$B$1:$L$257,6,FALSE)),"",(VLOOKUP($B207,'B-1 Site Hedge Baseline'!$B$1:$L$257,6,FALSE))))</f>
        <v/>
      </c>
      <c r="G207" s="520" t="str">
        <f>IF(B207="","",IF(ISNA(VLOOKUP($B207,'B-1 Site Hedge Baseline'!$B$1:$L$257,7,FALSE)),"",(VLOOKUP($B207,'B-1 Site Hedge Baseline'!$B$1:$L$257,7,FALSE))))</f>
        <v/>
      </c>
      <c r="H207" s="520" t="str">
        <f>IF(B207="","",IF(ISNA(VLOOKUP($B207,'B-1 Site Hedge Baseline'!$B$1:$L$257,8,FALSE)),"",(VLOOKUP($B207,'B-1 Site Hedge Baseline'!$B$1:$L$257,8,FALSE))))</f>
        <v/>
      </c>
      <c r="I207" s="520" t="str">
        <f>IF(B207="","",IF(ISNA(VLOOKUP($B207,'B-1 Site Hedge Baseline'!$B$1:$L$257,10,FALSE)),"",(VLOOKUP($B207,'B-1 Site Hedge Baseline'!$B$1:$L$257,10,FALSE))))</f>
        <v/>
      </c>
      <c r="J207" s="520" t="str">
        <f>IF(B207="","",IF(ISNA(VLOOKUP($B207,'B-1 Site Hedge Baseline'!$B$1:$L$257,11,FALSE)),"",(VLOOKUP($B207,'B-1 Site Hedge Baseline'!$B$1:$L$257,11,FALSE))))</f>
        <v/>
      </c>
      <c r="K207" s="520" t="str">
        <f>IF(B207="","",IF(ISNA(VLOOKUP($B207,'B-1 Site Hedge Baseline'!$B$1:$U$257,13,FALSE)),"",(VLOOKUP($B207,'B-1 Site Hedge Baseline'!$B$1:$U$257,13,FALSE))))</f>
        <v/>
      </c>
      <c r="L207" s="524" t="str">
        <f>IF(B207="","",IF(ISNA(VLOOKUP($B207,'B-1 Site Hedge Baseline'!$B$1:$U$257,12,FALSE)),"",(VLOOKUP($B207,'B-1 Site Hedge Baseline'!$B$1:$U$257,12,FALSE))))</f>
        <v/>
      </c>
      <c r="M207" s="416" t="str">
        <f t="shared" si="31"/>
        <v/>
      </c>
      <c r="N207" s="498" t="str">
        <f>IFERROR(IF(B207="","",INDEX('G-6 Hedgerow Data'!$AN$3:$AZ$15,MATCH(C207,'G-6 Hedgerow Data'!$AM$3:$AM$15,0),MATCH(M207,'G-6 Hedgerow Data'!$AN$2:$AZ$2,0))),"")</f>
        <v/>
      </c>
      <c r="O207" s="499" t="str">
        <f t="shared" si="26"/>
        <v/>
      </c>
      <c r="P207" s="559" t="str">
        <f>IF(B207="","",VLOOKUP(B207,'B-1 Site Hedge Baseline'!$B$10:T452,16,FALSE))</f>
        <v/>
      </c>
      <c r="Q207" s="498" t="str">
        <f>IF(M207="","",VLOOKUP(M207,'G-6 Hedgerow Data'!$B$2:$AG$15,2,FALSE))</f>
        <v/>
      </c>
      <c r="R207" s="499" t="str">
        <f>IF(M207="","",VLOOKUP(M207,'G-6 Hedgerow Data'!$B$2:$AG$15,3,FALSE))</f>
        <v/>
      </c>
      <c r="S207" s="157"/>
      <c r="T207" s="540" t="str">
        <f>IFERROR(VLOOKUP(S207,'G-1 All Habitats'!$Z$2:$AA$9,2,FALSE),"")</f>
        <v/>
      </c>
      <c r="U207" s="154"/>
      <c r="V207" s="520" t="str">
        <f>IF(U207="","",IF(VLOOKUP(U207,'G-3 Multipliers'!$L$3:$N$6,2,FALSE)=0,"Spatial Data Missing ⚠",VLOOKUP(U207,'G-3 Multipliers'!$L$3:$N$6,2,FALSE)))</f>
        <v/>
      </c>
      <c r="W207" s="524"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4"/>
        <v/>
      </c>
      <c r="AD207" s="537" t="str">
        <f>IF(M207="","",VLOOKUP(M207,'G-6 Hedgerow Data'!$B$3:$AG$15,31,FALSE))</f>
        <v/>
      </c>
      <c r="AE207" s="507" t="str">
        <f t="shared" si="29"/>
        <v/>
      </c>
      <c r="AF207" s="507" t="str">
        <f t="shared" si="30"/>
        <v/>
      </c>
      <c r="AG207" s="524" t="str">
        <f>IFERROR(IF(O207="","",VLOOKUP(AD207,'G-3 Multipliers'!$P$3:$Q$6,2,FALSE)),"")</f>
        <v/>
      </c>
      <c r="AH207" s="513" t="str">
        <f t="shared" si="25"/>
        <v/>
      </c>
      <c r="AI207" s="231"/>
      <c r="AJ207" s="150"/>
      <c r="AT207" s="31" t="str">
        <f>IFERROR(INDEX('G-6 Hedgerow Data'!$BJ$3:$BJ$15,MATCH(M207,'G-6 Hedgerow Data'!$B$3:$B$15,0)),"")</f>
        <v/>
      </c>
    </row>
    <row r="208" spans="2:46" ht="13.8" x14ac:dyDescent="0.25">
      <c r="B208" s="531" t="str">
        <f>'B-1 Site Hedge Baseline'!AK206</f>
        <v/>
      </c>
      <c r="C208" s="520" t="str">
        <f>IF(B208="","",IF(ISNA(VLOOKUP($B208,'B-1 Site Hedge Baseline'!$B$1:$L$257,3,FALSE)),"",(VLOOKUP($B208,'B-1 Site Hedge Baseline'!$B$1:$L$257,3,FALSE))))</f>
        <v/>
      </c>
      <c r="D208" s="520" t="str">
        <f>IF(B208="","",IF(ISNA(VLOOKUP($B208,'B-1 Site Hedge Baseline'!$B$1:$L$257,4,FALSE)),"",(VLOOKUP($B208,'B-1 Site Hedge Baseline'!$B$1:$L$257,4,FALSE))))</f>
        <v/>
      </c>
      <c r="E208" s="520" t="str">
        <f>IF(B208="","",IF(ISNA(VLOOKUP($B208,'B-1 Site Hedge Baseline'!$B$1:$L$257,5,FALSE)),"",(VLOOKUP($B208,'B-1 Site Hedge Baseline'!$B$1:$L$257,5,FALSE))))</f>
        <v/>
      </c>
      <c r="F208" s="520" t="str">
        <f>IF(B208="","",IF(ISNA(VLOOKUP($B208,'B-1 Site Hedge Baseline'!$B$1:$L$257,6,FALSE)),"",(VLOOKUP($B208,'B-1 Site Hedge Baseline'!$B$1:$L$257,6,FALSE))))</f>
        <v/>
      </c>
      <c r="G208" s="520" t="str">
        <f>IF(B208="","",IF(ISNA(VLOOKUP($B208,'B-1 Site Hedge Baseline'!$B$1:$L$257,7,FALSE)),"",(VLOOKUP($B208,'B-1 Site Hedge Baseline'!$B$1:$L$257,7,FALSE))))</f>
        <v/>
      </c>
      <c r="H208" s="520" t="str">
        <f>IF(B208="","",IF(ISNA(VLOOKUP($B208,'B-1 Site Hedge Baseline'!$B$1:$L$257,8,FALSE)),"",(VLOOKUP($B208,'B-1 Site Hedge Baseline'!$B$1:$L$257,8,FALSE))))</f>
        <v/>
      </c>
      <c r="I208" s="520" t="str">
        <f>IF(B208="","",IF(ISNA(VLOOKUP($B208,'B-1 Site Hedge Baseline'!$B$1:$L$257,10,FALSE)),"",(VLOOKUP($B208,'B-1 Site Hedge Baseline'!$B$1:$L$257,10,FALSE))))</f>
        <v/>
      </c>
      <c r="J208" s="520" t="str">
        <f>IF(B208="","",IF(ISNA(VLOOKUP($B208,'B-1 Site Hedge Baseline'!$B$1:$L$257,11,FALSE)),"",(VLOOKUP($B208,'B-1 Site Hedge Baseline'!$B$1:$L$257,11,FALSE))))</f>
        <v/>
      </c>
      <c r="K208" s="520" t="str">
        <f>IF(B208="","",IF(ISNA(VLOOKUP($B208,'B-1 Site Hedge Baseline'!$B$1:$U$257,13,FALSE)),"",(VLOOKUP($B208,'B-1 Site Hedge Baseline'!$B$1:$U$257,13,FALSE))))</f>
        <v/>
      </c>
      <c r="L208" s="524" t="str">
        <f>IF(B208="","",IF(ISNA(VLOOKUP($B208,'B-1 Site Hedge Baseline'!$B$1:$U$257,12,FALSE)),"",(VLOOKUP($B208,'B-1 Site Hedge Baseline'!$B$1:$U$257,12,FALSE))))</f>
        <v/>
      </c>
      <c r="M208" s="416" t="str">
        <f t="shared" si="31"/>
        <v/>
      </c>
      <c r="N208" s="498" t="str">
        <f>IFERROR(IF(B208="","",INDEX('G-6 Hedgerow Data'!$AN$3:$AZ$15,MATCH(C208,'G-6 Hedgerow Data'!$AM$3:$AM$15,0),MATCH(M208,'G-6 Hedgerow Data'!$AN$2:$AZ$2,0))),"")</f>
        <v/>
      </c>
      <c r="O208" s="499" t="str">
        <f t="shared" si="26"/>
        <v/>
      </c>
      <c r="P208" s="559" t="str">
        <f>IF(B208="","",VLOOKUP(B208,'B-1 Site Hedge Baseline'!$B$10:T453,16,FALSE))</f>
        <v/>
      </c>
      <c r="Q208" s="498" t="str">
        <f>IF(M208="","",VLOOKUP(M208,'G-6 Hedgerow Data'!$B$2:$AG$15,2,FALSE))</f>
        <v/>
      </c>
      <c r="R208" s="499" t="str">
        <f>IF(M208="","",VLOOKUP(M208,'G-6 Hedgerow Data'!$B$2:$AG$15,3,FALSE))</f>
        <v/>
      </c>
      <c r="S208" s="157"/>
      <c r="T208" s="540" t="str">
        <f>IFERROR(VLOOKUP(S208,'G-1 All Habitats'!$Z$2:$AA$9,2,FALSE),"")</f>
        <v/>
      </c>
      <c r="U208" s="154"/>
      <c r="V208" s="520" t="str">
        <f>IF(U208="","",IF(VLOOKUP(U208,'G-3 Multipliers'!$L$3:$N$6,2,FALSE)=0,"Spatial Data Missing ⚠",VLOOKUP(U208,'G-3 Multipliers'!$L$3:$N$6,2,FALSE)))</f>
        <v/>
      </c>
      <c r="W208" s="524"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4"/>
        <v/>
      </c>
      <c r="AD208" s="537" t="str">
        <f>IF(M208="","",VLOOKUP(M208,'G-6 Hedgerow Data'!$B$3:$AG$15,31,FALSE))</f>
        <v/>
      </c>
      <c r="AE208" s="507" t="str">
        <f t="shared" si="29"/>
        <v/>
      </c>
      <c r="AF208" s="507" t="str">
        <f t="shared" si="30"/>
        <v/>
      </c>
      <c r="AG208" s="524" t="str">
        <f>IFERROR(IF(O208="","",VLOOKUP(AD208,'G-3 Multipliers'!$P$3:$Q$6,2,FALSE)),"")</f>
        <v/>
      </c>
      <c r="AH208" s="513" t="str">
        <f t="shared" si="25"/>
        <v/>
      </c>
      <c r="AI208" s="231"/>
      <c r="AJ208" s="150"/>
      <c r="AT208" s="31" t="str">
        <f>IFERROR(INDEX('G-6 Hedgerow Data'!$BJ$3:$BJ$15,MATCH(M208,'G-6 Hedgerow Data'!$B$3:$B$15,0)),"")</f>
        <v/>
      </c>
    </row>
    <row r="209" spans="2:46" ht="13.8" x14ac:dyDescent="0.25">
      <c r="B209" s="531" t="str">
        <f>'B-1 Site Hedge Baseline'!AK207</f>
        <v/>
      </c>
      <c r="C209" s="520" t="str">
        <f>IF(B209="","",IF(ISNA(VLOOKUP($B209,'B-1 Site Hedge Baseline'!$B$1:$L$257,3,FALSE)),"",(VLOOKUP($B209,'B-1 Site Hedge Baseline'!$B$1:$L$257,3,FALSE))))</f>
        <v/>
      </c>
      <c r="D209" s="520" t="str">
        <f>IF(B209="","",IF(ISNA(VLOOKUP($B209,'B-1 Site Hedge Baseline'!$B$1:$L$257,4,FALSE)),"",(VLOOKUP($B209,'B-1 Site Hedge Baseline'!$B$1:$L$257,4,FALSE))))</f>
        <v/>
      </c>
      <c r="E209" s="520" t="str">
        <f>IF(B209="","",IF(ISNA(VLOOKUP($B209,'B-1 Site Hedge Baseline'!$B$1:$L$257,5,FALSE)),"",(VLOOKUP($B209,'B-1 Site Hedge Baseline'!$B$1:$L$257,5,FALSE))))</f>
        <v/>
      </c>
      <c r="F209" s="520" t="str">
        <f>IF(B209="","",IF(ISNA(VLOOKUP($B209,'B-1 Site Hedge Baseline'!$B$1:$L$257,6,FALSE)),"",(VLOOKUP($B209,'B-1 Site Hedge Baseline'!$B$1:$L$257,6,FALSE))))</f>
        <v/>
      </c>
      <c r="G209" s="520" t="str">
        <f>IF(B209="","",IF(ISNA(VLOOKUP($B209,'B-1 Site Hedge Baseline'!$B$1:$L$257,7,FALSE)),"",(VLOOKUP($B209,'B-1 Site Hedge Baseline'!$B$1:$L$257,7,FALSE))))</f>
        <v/>
      </c>
      <c r="H209" s="520" t="str">
        <f>IF(B209="","",IF(ISNA(VLOOKUP($B209,'B-1 Site Hedge Baseline'!$B$1:$L$257,8,FALSE)),"",(VLOOKUP($B209,'B-1 Site Hedge Baseline'!$B$1:$L$257,8,FALSE))))</f>
        <v/>
      </c>
      <c r="I209" s="520" t="str">
        <f>IF(B209="","",IF(ISNA(VLOOKUP($B209,'B-1 Site Hedge Baseline'!$B$1:$L$257,10,FALSE)),"",(VLOOKUP($B209,'B-1 Site Hedge Baseline'!$B$1:$L$257,10,FALSE))))</f>
        <v/>
      </c>
      <c r="J209" s="520" t="str">
        <f>IF(B209="","",IF(ISNA(VLOOKUP($B209,'B-1 Site Hedge Baseline'!$B$1:$L$257,11,FALSE)),"",(VLOOKUP($B209,'B-1 Site Hedge Baseline'!$B$1:$L$257,11,FALSE))))</f>
        <v/>
      </c>
      <c r="K209" s="520" t="str">
        <f>IF(B209="","",IF(ISNA(VLOOKUP($B209,'B-1 Site Hedge Baseline'!$B$1:$U$257,13,FALSE)),"",(VLOOKUP($B209,'B-1 Site Hedge Baseline'!$B$1:$U$257,13,FALSE))))</f>
        <v/>
      </c>
      <c r="L209" s="524" t="str">
        <f>IF(B209="","",IF(ISNA(VLOOKUP($B209,'B-1 Site Hedge Baseline'!$B$1:$U$257,12,FALSE)),"",(VLOOKUP($B209,'B-1 Site Hedge Baseline'!$B$1:$U$257,12,FALSE))))</f>
        <v/>
      </c>
      <c r="M209" s="416" t="str">
        <f t="shared" si="31"/>
        <v/>
      </c>
      <c r="N209" s="498" t="str">
        <f>IFERROR(IF(B209="","",INDEX('G-6 Hedgerow Data'!$AN$3:$AZ$15,MATCH(C209,'G-6 Hedgerow Data'!$AM$3:$AM$15,0),MATCH(M209,'G-6 Hedgerow Data'!$AN$2:$AZ$2,0))),"")</f>
        <v/>
      </c>
      <c r="O209" s="499" t="str">
        <f t="shared" si="26"/>
        <v/>
      </c>
      <c r="P209" s="559" t="str">
        <f>IF(B209="","",VLOOKUP(B209,'B-1 Site Hedge Baseline'!$B$10:T454,16,FALSE))</f>
        <v/>
      </c>
      <c r="Q209" s="498" t="str">
        <f>IF(M209="","",VLOOKUP(M209,'G-6 Hedgerow Data'!$B$2:$AG$15,2,FALSE))</f>
        <v/>
      </c>
      <c r="R209" s="499" t="str">
        <f>IF(M209="","",VLOOKUP(M209,'G-6 Hedgerow Data'!$B$2:$AG$15,3,FALSE))</f>
        <v/>
      </c>
      <c r="S209" s="157"/>
      <c r="T209" s="540" t="str">
        <f>IFERROR(VLOOKUP(S209,'G-1 All Habitats'!$Z$2:$AA$9,2,FALSE),"")</f>
        <v/>
      </c>
      <c r="U209" s="154"/>
      <c r="V209" s="520" t="str">
        <f>IF(U209="","",IF(VLOOKUP(U209,'G-3 Multipliers'!$L$3:$N$6,2,FALSE)=0,"Spatial Data Missing ⚠",VLOOKUP(U209,'G-3 Multipliers'!$L$3:$N$6,2,FALSE)))</f>
        <v/>
      </c>
      <c r="W209" s="524"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4"/>
        <v/>
      </c>
      <c r="AD209" s="537" t="str">
        <f>IF(M209="","",VLOOKUP(M209,'G-6 Hedgerow Data'!$B$3:$AG$15,31,FALSE))</f>
        <v/>
      </c>
      <c r="AE209" s="507" t="str">
        <f t="shared" si="29"/>
        <v/>
      </c>
      <c r="AF209" s="507" t="str">
        <f t="shared" si="30"/>
        <v/>
      </c>
      <c r="AG209" s="524" t="str">
        <f>IFERROR(IF(O209="","",VLOOKUP(AD209,'G-3 Multipliers'!$P$3:$Q$6,2,FALSE)),"")</f>
        <v/>
      </c>
      <c r="AH209" s="513" t="str">
        <f t="shared" si="25"/>
        <v/>
      </c>
      <c r="AI209" s="231"/>
      <c r="AJ209" s="150"/>
      <c r="AT209" s="31" t="str">
        <f>IFERROR(INDEX('G-6 Hedgerow Data'!$BJ$3:$BJ$15,MATCH(M209,'G-6 Hedgerow Data'!$B$3:$B$15,0)),"")</f>
        <v/>
      </c>
    </row>
    <row r="210" spans="2:46" ht="13.8" x14ac:dyDescent="0.25">
      <c r="B210" s="531" t="str">
        <f>'B-1 Site Hedge Baseline'!AK208</f>
        <v/>
      </c>
      <c r="C210" s="520" t="str">
        <f>IF(B210="","",IF(ISNA(VLOOKUP($B210,'B-1 Site Hedge Baseline'!$B$1:$L$257,3,FALSE)),"",(VLOOKUP($B210,'B-1 Site Hedge Baseline'!$B$1:$L$257,3,FALSE))))</f>
        <v/>
      </c>
      <c r="D210" s="520" t="str">
        <f>IF(B210="","",IF(ISNA(VLOOKUP($B210,'B-1 Site Hedge Baseline'!$B$1:$L$257,4,FALSE)),"",(VLOOKUP($B210,'B-1 Site Hedge Baseline'!$B$1:$L$257,4,FALSE))))</f>
        <v/>
      </c>
      <c r="E210" s="520" t="str">
        <f>IF(B210="","",IF(ISNA(VLOOKUP($B210,'B-1 Site Hedge Baseline'!$B$1:$L$257,5,FALSE)),"",(VLOOKUP($B210,'B-1 Site Hedge Baseline'!$B$1:$L$257,5,FALSE))))</f>
        <v/>
      </c>
      <c r="F210" s="520" t="str">
        <f>IF(B210="","",IF(ISNA(VLOOKUP($B210,'B-1 Site Hedge Baseline'!$B$1:$L$257,6,FALSE)),"",(VLOOKUP($B210,'B-1 Site Hedge Baseline'!$B$1:$L$257,6,FALSE))))</f>
        <v/>
      </c>
      <c r="G210" s="520" t="str">
        <f>IF(B210="","",IF(ISNA(VLOOKUP($B210,'B-1 Site Hedge Baseline'!$B$1:$L$257,7,FALSE)),"",(VLOOKUP($B210,'B-1 Site Hedge Baseline'!$B$1:$L$257,7,FALSE))))</f>
        <v/>
      </c>
      <c r="H210" s="520" t="str">
        <f>IF(B210="","",IF(ISNA(VLOOKUP($B210,'B-1 Site Hedge Baseline'!$B$1:$L$257,8,FALSE)),"",(VLOOKUP($B210,'B-1 Site Hedge Baseline'!$B$1:$L$257,8,FALSE))))</f>
        <v/>
      </c>
      <c r="I210" s="520" t="str">
        <f>IF(B210="","",IF(ISNA(VLOOKUP($B210,'B-1 Site Hedge Baseline'!$B$1:$L$257,10,FALSE)),"",(VLOOKUP($B210,'B-1 Site Hedge Baseline'!$B$1:$L$257,10,FALSE))))</f>
        <v/>
      </c>
      <c r="J210" s="520" t="str">
        <f>IF(B210="","",IF(ISNA(VLOOKUP($B210,'B-1 Site Hedge Baseline'!$B$1:$L$257,11,FALSE)),"",(VLOOKUP($B210,'B-1 Site Hedge Baseline'!$B$1:$L$257,11,FALSE))))</f>
        <v/>
      </c>
      <c r="K210" s="520" t="str">
        <f>IF(B210="","",IF(ISNA(VLOOKUP($B210,'B-1 Site Hedge Baseline'!$B$1:$U$257,13,FALSE)),"",(VLOOKUP($B210,'B-1 Site Hedge Baseline'!$B$1:$U$257,13,FALSE))))</f>
        <v/>
      </c>
      <c r="L210" s="524" t="str">
        <f>IF(B210="","",IF(ISNA(VLOOKUP($B210,'B-1 Site Hedge Baseline'!$B$1:$U$257,12,FALSE)),"",(VLOOKUP($B210,'B-1 Site Hedge Baseline'!$B$1:$U$257,12,FALSE))))</f>
        <v/>
      </c>
      <c r="M210" s="416" t="str">
        <f t="shared" si="31"/>
        <v/>
      </c>
      <c r="N210" s="498" t="str">
        <f>IFERROR(IF(B210="","",INDEX('G-6 Hedgerow Data'!$AN$3:$AZ$15,MATCH(C210,'G-6 Hedgerow Data'!$AM$3:$AM$15,0),MATCH(M210,'G-6 Hedgerow Data'!$AN$2:$AZ$2,0))),"")</f>
        <v/>
      </c>
      <c r="O210" s="499" t="str">
        <f t="shared" si="26"/>
        <v/>
      </c>
      <c r="P210" s="559" t="str">
        <f>IF(B210="","",VLOOKUP(B210,'B-1 Site Hedge Baseline'!$B$10:T455,16,FALSE))</f>
        <v/>
      </c>
      <c r="Q210" s="498" t="str">
        <f>IF(M210="","",VLOOKUP(M210,'G-6 Hedgerow Data'!$B$2:$AG$15,2,FALSE))</f>
        <v/>
      </c>
      <c r="R210" s="499" t="str">
        <f>IF(M210="","",VLOOKUP(M210,'G-6 Hedgerow Data'!$B$2:$AG$15,3,FALSE))</f>
        <v/>
      </c>
      <c r="S210" s="157"/>
      <c r="T210" s="540" t="str">
        <f>IFERROR(VLOOKUP(S210,'G-1 All Habitats'!$Z$2:$AA$9,2,FALSE),"")</f>
        <v/>
      </c>
      <c r="U210" s="154"/>
      <c r="V210" s="520" t="str">
        <f>IF(U210="","",IF(VLOOKUP(U210,'G-3 Multipliers'!$L$3:$N$6,2,FALSE)=0,"Spatial Data Missing ⚠",VLOOKUP(U210,'G-3 Multipliers'!$L$3:$N$6,2,FALSE)))</f>
        <v/>
      </c>
      <c r="W210" s="524"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4"/>
        <v/>
      </c>
      <c r="AD210" s="537" t="str">
        <f>IF(M210="","",VLOOKUP(M210,'G-6 Hedgerow Data'!$B$3:$AG$15,31,FALSE))</f>
        <v/>
      </c>
      <c r="AE210" s="507" t="str">
        <f t="shared" si="29"/>
        <v/>
      </c>
      <c r="AF210" s="507" t="str">
        <f t="shared" si="30"/>
        <v/>
      </c>
      <c r="AG210" s="524" t="str">
        <f>IFERROR(IF(O210="","",VLOOKUP(AD210,'G-3 Multipliers'!$P$3:$Q$6,2,FALSE)),"")</f>
        <v/>
      </c>
      <c r="AH210" s="513" t="str">
        <f t="shared" si="25"/>
        <v/>
      </c>
      <c r="AI210" s="231"/>
      <c r="AJ210" s="150"/>
      <c r="AT210" s="31" t="str">
        <f>IFERROR(INDEX('G-6 Hedgerow Data'!$BJ$3:$BJ$15,MATCH(M210,'G-6 Hedgerow Data'!$B$3:$B$15,0)),"")</f>
        <v/>
      </c>
    </row>
    <row r="211" spans="2:46" ht="13.8" x14ac:dyDescent="0.25">
      <c r="B211" s="531" t="str">
        <f>'B-1 Site Hedge Baseline'!AK209</f>
        <v/>
      </c>
      <c r="C211" s="520" t="str">
        <f>IF(B211="","",IF(ISNA(VLOOKUP($B211,'B-1 Site Hedge Baseline'!$B$1:$L$257,3,FALSE)),"",(VLOOKUP($B211,'B-1 Site Hedge Baseline'!$B$1:$L$257,3,FALSE))))</f>
        <v/>
      </c>
      <c r="D211" s="520" t="str">
        <f>IF(B211="","",IF(ISNA(VLOOKUP($B211,'B-1 Site Hedge Baseline'!$B$1:$L$257,4,FALSE)),"",(VLOOKUP($B211,'B-1 Site Hedge Baseline'!$B$1:$L$257,4,FALSE))))</f>
        <v/>
      </c>
      <c r="E211" s="520" t="str">
        <f>IF(B211="","",IF(ISNA(VLOOKUP($B211,'B-1 Site Hedge Baseline'!$B$1:$L$257,5,FALSE)),"",(VLOOKUP($B211,'B-1 Site Hedge Baseline'!$B$1:$L$257,5,FALSE))))</f>
        <v/>
      </c>
      <c r="F211" s="520" t="str">
        <f>IF(B211="","",IF(ISNA(VLOOKUP($B211,'B-1 Site Hedge Baseline'!$B$1:$L$257,6,FALSE)),"",(VLOOKUP($B211,'B-1 Site Hedge Baseline'!$B$1:$L$257,6,FALSE))))</f>
        <v/>
      </c>
      <c r="G211" s="520" t="str">
        <f>IF(B211="","",IF(ISNA(VLOOKUP($B211,'B-1 Site Hedge Baseline'!$B$1:$L$257,7,FALSE)),"",(VLOOKUP($B211,'B-1 Site Hedge Baseline'!$B$1:$L$257,7,FALSE))))</f>
        <v/>
      </c>
      <c r="H211" s="520" t="str">
        <f>IF(B211="","",IF(ISNA(VLOOKUP($B211,'B-1 Site Hedge Baseline'!$B$1:$L$257,8,FALSE)),"",(VLOOKUP($B211,'B-1 Site Hedge Baseline'!$B$1:$L$257,8,FALSE))))</f>
        <v/>
      </c>
      <c r="I211" s="520" t="str">
        <f>IF(B211="","",IF(ISNA(VLOOKUP($B211,'B-1 Site Hedge Baseline'!$B$1:$L$257,10,FALSE)),"",(VLOOKUP($B211,'B-1 Site Hedge Baseline'!$B$1:$L$257,10,FALSE))))</f>
        <v/>
      </c>
      <c r="J211" s="520" t="str">
        <f>IF(B211="","",IF(ISNA(VLOOKUP($B211,'B-1 Site Hedge Baseline'!$B$1:$L$257,11,FALSE)),"",(VLOOKUP($B211,'B-1 Site Hedge Baseline'!$B$1:$L$257,11,FALSE))))</f>
        <v/>
      </c>
      <c r="K211" s="520" t="str">
        <f>IF(B211="","",IF(ISNA(VLOOKUP($B211,'B-1 Site Hedge Baseline'!$B$1:$U$257,13,FALSE)),"",(VLOOKUP($B211,'B-1 Site Hedge Baseline'!$B$1:$U$257,13,FALSE))))</f>
        <v/>
      </c>
      <c r="L211" s="524" t="str">
        <f>IF(B211="","",IF(ISNA(VLOOKUP($B211,'B-1 Site Hedge Baseline'!$B$1:$U$257,12,FALSE)),"",(VLOOKUP($B211,'B-1 Site Hedge Baseline'!$B$1:$U$257,12,FALSE))))</f>
        <v/>
      </c>
      <c r="M211" s="416" t="str">
        <f t="shared" si="31"/>
        <v/>
      </c>
      <c r="N211" s="498" t="str">
        <f>IFERROR(IF(B211="","",INDEX('G-6 Hedgerow Data'!$AN$3:$AZ$15,MATCH(C211,'G-6 Hedgerow Data'!$AM$3:$AM$15,0),MATCH(M211,'G-6 Hedgerow Data'!$AN$2:$AZ$2,0))),"")</f>
        <v/>
      </c>
      <c r="O211" s="499" t="str">
        <f t="shared" si="26"/>
        <v/>
      </c>
      <c r="P211" s="559" t="str">
        <f>IF(B211="","",VLOOKUP(B211,'B-1 Site Hedge Baseline'!$B$10:T456,16,FALSE))</f>
        <v/>
      </c>
      <c r="Q211" s="498" t="str">
        <f>IF(M211="","",VLOOKUP(M211,'G-6 Hedgerow Data'!$B$2:$AG$15,2,FALSE))</f>
        <v/>
      </c>
      <c r="R211" s="499" t="str">
        <f>IF(M211="","",VLOOKUP(M211,'G-6 Hedgerow Data'!$B$2:$AG$15,3,FALSE))</f>
        <v/>
      </c>
      <c r="S211" s="157"/>
      <c r="T211" s="540" t="str">
        <f>IFERROR(VLOOKUP(S211,'G-1 All Habitats'!$Z$2:$AA$9,2,FALSE),"")</f>
        <v/>
      </c>
      <c r="U211" s="154"/>
      <c r="V211" s="520" t="str">
        <f>IF(U211="","",IF(VLOOKUP(U211,'G-3 Multipliers'!$L$3:$N$6,2,FALSE)=0,"Spatial Data Missing ⚠",VLOOKUP(U211,'G-3 Multipliers'!$L$3:$N$6,2,FALSE)))</f>
        <v/>
      </c>
      <c r="W211" s="524"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4"/>
        <v/>
      </c>
      <c r="AD211" s="537" t="str">
        <f>IF(M211="","",VLOOKUP(M211,'G-6 Hedgerow Data'!$B$3:$AG$15,31,FALSE))</f>
        <v/>
      </c>
      <c r="AE211" s="507" t="str">
        <f t="shared" si="29"/>
        <v/>
      </c>
      <c r="AF211" s="507" t="str">
        <f t="shared" si="30"/>
        <v/>
      </c>
      <c r="AG211" s="524" t="str">
        <f>IFERROR(IF(O211="","",VLOOKUP(AD211,'G-3 Multipliers'!$P$3:$Q$6,2,FALSE)),"")</f>
        <v/>
      </c>
      <c r="AH211" s="513" t="str">
        <f t="shared" si="25"/>
        <v/>
      </c>
      <c r="AI211" s="231"/>
      <c r="AJ211" s="150"/>
      <c r="AT211" s="31" t="str">
        <f>IFERROR(INDEX('G-6 Hedgerow Data'!$BJ$3:$BJ$15,MATCH(M211,'G-6 Hedgerow Data'!$B$3:$B$15,0)),"")</f>
        <v/>
      </c>
    </row>
    <row r="212" spans="2:46" ht="13.8" x14ac:dyDescent="0.25">
      <c r="B212" s="531" t="str">
        <f>'B-1 Site Hedge Baseline'!AK210</f>
        <v/>
      </c>
      <c r="C212" s="520" t="str">
        <f>IF(B212="","",IF(ISNA(VLOOKUP($B212,'B-1 Site Hedge Baseline'!$B$1:$L$257,3,FALSE)),"",(VLOOKUP($B212,'B-1 Site Hedge Baseline'!$B$1:$L$257,3,FALSE))))</f>
        <v/>
      </c>
      <c r="D212" s="520" t="str">
        <f>IF(B212="","",IF(ISNA(VLOOKUP($B212,'B-1 Site Hedge Baseline'!$B$1:$L$257,4,FALSE)),"",(VLOOKUP($B212,'B-1 Site Hedge Baseline'!$B$1:$L$257,4,FALSE))))</f>
        <v/>
      </c>
      <c r="E212" s="520" t="str">
        <f>IF(B212="","",IF(ISNA(VLOOKUP($B212,'B-1 Site Hedge Baseline'!$B$1:$L$257,5,FALSE)),"",(VLOOKUP($B212,'B-1 Site Hedge Baseline'!$B$1:$L$257,5,FALSE))))</f>
        <v/>
      </c>
      <c r="F212" s="520" t="str">
        <f>IF(B212="","",IF(ISNA(VLOOKUP($B212,'B-1 Site Hedge Baseline'!$B$1:$L$257,6,FALSE)),"",(VLOOKUP($B212,'B-1 Site Hedge Baseline'!$B$1:$L$257,6,FALSE))))</f>
        <v/>
      </c>
      <c r="G212" s="520" t="str">
        <f>IF(B212="","",IF(ISNA(VLOOKUP($B212,'B-1 Site Hedge Baseline'!$B$1:$L$257,7,FALSE)),"",(VLOOKUP($B212,'B-1 Site Hedge Baseline'!$B$1:$L$257,7,FALSE))))</f>
        <v/>
      </c>
      <c r="H212" s="520" t="str">
        <f>IF(B212="","",IF(ISNA(VLOOKUP($B212,'B-1 Site Hedge Baseline'!$B$1:$L$257,8,FALSE)),"",(VLOOKUP($B212,'B-1 Site Hedge Baseline'!$B$1:$L$257,8,FALSE))))</f>
        <v/>
      </c>
      <c r="I212" s="520" t="str">
        <f>IF(B212="","",IF(ISNA(VLOOKUP($B212,'B-1 Site Hedge Baseline'!$B$1:$L$257,10,FALSE)),"",(VLOOKUP($B212,'B-1 Site Hedge Baseline'!$B$1:$L$257,10,FALSE))))</f>
        <v/>
      </c>
      <c r="J212" s="520" t="str">
        <f>IF(B212="","",IF(ISNA(VLOOKUP($B212,'B-1 Site Hedge Baseline'!$B$1:$L$257,11,FALSE)),"",(VLOOKUP($B212,'B-1 Site Hedge Baseline'!$B$1:$L$257,11,FALSE))))</f>
        <v/>
      </c>
      <c r="K212" s="520" t="str">
        <f>IF(B212="","",IF(ISNA(VLOOKUP($B212,'B-1 Site Hedge Baseline'!$B$1:$U$257,13,FALSE)),"",(VLOOKUP($B212,'B-1 Site Hedge Baseline'!$B$1:$U$257,13,FALSE))))</f>
        <v/>
      </c>
      <c r="L212" s="524" t="str">
        <f>IF(B212="","",IF(ISNA(VLOOKUP($B212,'B-1 Site Hedge Baseline'!$B$1:$U$257,12,FALSE)),"",(VLOOKUP($B212,'B-1 Site Hedge Baseline'!$B$1:$U$257,12,FALSE))))</f>
        <v/>
      </c>
      <c r="M212" s="416" t="str">
        <f t="shared" si="31"/>
        <v/>
      </c>
      <c r="N212" s="498" t="str">
        <f>IFERROR(IF(B212="","",INDEX('G-6 Hedgerow Data'!$AN$3:$AZ$15,MATCH(C212,'G-6 Hedgerow Data'!$AM$3:$AM$15,0),MATCH(M212,'G-6 Hedgerow Data'!$AN$2:$AZ$2,0))),"")</f>
        <v/>
      </c>
      <c r="O212" s="499" t="str">
        <f t="shared" si="26"/>
        <v/>
      </c>
      <c r="P212" s="559" t="str">
        <f>IF(B212="","",VLOOKUP(B212,'B-1 Site Hedge Baseline'!$B$10:T457,16,FALSE))</f>
        <v/>
      </c>
      <c r="Q212" s="498" t="str">
        <f>IF(M212="","",VLOOKUP(M212,'G-6 Hedgerow Data'!$B$2:$AG$15,2,FALSE))</f>
        <v/>
      </c>
      <c r="R212" s="499" t="str">
        <f>IF(M212="","",VLOOKUP(M212,'G-6 Hedgerow Data'!$B$2:$AG$15,3,FALSE))</f>
        <v/>
      </c>
      <c r="S212" s="157"/>
      <c r="T212" s="540" t="str">
        <f>IFERROR(VLOOKUP(S212,'G-1 All Habitats'!$Z$2:$AA$9,2,FALSE),"")</f>
        <v/>
      </c>
      <c r="U212" s="154"/>
      <c r="V212" s="520" t="str">
        <f>IF(U212="","",IF(VLOOKUP(U212,'G-3 Multipliers'!$L$3:$N$6,2,FALSE)=0,"Spatial Data Missing ⚠",VLOOKUP(U212,'G-3 Multipliers'!$L$3:$N$6,2,FALSE)))</f>
        <v/>
      </c>
      <c r="W212" s="524"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4"/>
        <v/>
      </c>
      <c r="AD212" s="537" t="str">
        <f>IF(M212="","",VLOOKUP(M212,'G-6 Hedgerow Data'!$B$3:$AG$15,31,FALSE))</f>
        <v/>
      </c>
      <c r="AE212" s="507" t="str">
        <f t="shared" si="29"/>
        <v/>
      </c>
      <c r="AF212" s="507" t="str">
        <f t="shared" si="30"/>
        <v/>
      </c>
      <c r="AG212" s="524" t="str">
        <f>IFERROR(IF(O212="","",VLOOKUP(AD212,'G-3 Multipliers'!$P$3:$Q$6,2,FALSE)),"")</f>
        <v/>
      </c>
      <c r="AH212" s="513" t="str">
        <f t="shared" si="25"/>
        <v/>
      </c>
      <c r="AI212" s="231"/>
      <c r="AJ212" s="150"/>
      <c r="AT212" s="31" t="str">
        <f>IFERROR(INDEX('G-6 Hedgerow Data'!$BJ$3:$BJ$15,MATCH(M212,'G-6 Hedgerow Data'!$B$3:$B$15,0)),"")</f>
        <v/>
      </c>
    </row>
    <row r="213" spans="2:46" ht="13.8" x14ac:dyDescent="0.25">
      <c r="B213" s="531" t="str">
        <f>'B-1 Site Hedge Baseline'!AK211</f>
        <v/>
      </c>
      <c r="C213" s="520" t="str">
        <f>IF(B213="","",IF(ISNA(VLOOKUP($B213,'B-1 Site Hedge Baseline'!$B$1:$L$257,3,FALSE)),"",(VLOOKUP($B213,'B-1 Site Hedge Baseline'!$B$1:$L$257,3,FALSE))))</f>
        <v/>
      </c>
      <c r="D213" s="520" t="str">
        <f>IF(B213="","",IF(ISNA(VLOOKUP($B213,'B-1 Site Hedge Baseline'!$B$1:$L$257,4,FALSE)),"",(VLOOKUP($B213,'B-1 Site Hedge Baseline'!$B$1:$L$257,4,FALSE))))</f>
        <v/>
      </c>
      <c r="E213" s="520" t="str">
        <f>IF(B213="","",IF(ISNA(VLOOKUP($B213,'B-1 Site Hedge Baseline'!$B$1:$L$257,5,FALSE)),"",(VLOOKUP($B213,'B-1 Site Hedge Baseline'!$B$1:$L$257,5,FALSE))))</f>
        <v/>
      </c>
      <c r="F213" s="520" t="str">
        <f>IF(B213="","",IF(ISNA(VLOOKUP($B213,'B-1 Site Hedge Baseline'!$B$1:$L$257,6,FALSE)),"",(VLOOKUP($B213,'B-1 Site Hedge Baseline'!$B$1:$L$257,6,FALSE))))</f>
        <v/>
      </c>
      <c r="G213" s="520" t="str">
        <f>IF(B213="","",IF(ISNA(VLOOKUP($B213,'B-1 Site Hedge Baseline'!$B$1:$L$257,7,FALSE)),"",(VLOOKUP($B213,'B-1 Site Hedge Baseline'!$B$1:$L$257,7,FALSE))))</f>
        <v/>
      </c>
      <c r="H213" s="520" t="str">
        <f>IF(B213="","",IF(ISNA(VLOOKUP($B213,'B-1 Site Hedge Baseline'!$B$1:$L$257,8,FALSE)),"",(VLOOKUP($B213,'B-1 Site Hedge Baseline'!$B$1:$L$257,8,FALSE))))</f>
        <v/>
      </c>
      <c r="I213" s="520" t="str">
        <f>IF(B213="","",IF(ISNA(VLOOKUP($B213,'B-1 Site Hedge Baseline'!$B$1:$L$257,10,FALSE)),"",(VLOOKUP($B213,'B-1 Site Hedge Baseline'!$B$1:$L$257,10,FALSE))))</f>
        <v/>
      </c>
      <c r="J213" s="520" t="str">
        <f>IF(B213="","",IF(ISNA(VLOOKUP($B213,'B-1 Site Hedge Baseline'!$B$1:$L$257,11,FALSE)),"",(VLOOKUP($B213,'B-1 Site Hedge Baseline'!$B$1:$L$257,11,FALSE))))</f>
        <v/>
      </c>
      <c r="K213" s="520" t="str">
        <f>IF(B213="","",IF(ISNA(VLOOKUP($B213,'B-1 Site Hedge Baseline'!$B$1:$U$257,13,FALSE)),"",(VLOOKUP($B213,'B-1 Site Hedge Baseline'!$B$1:$U$257,13,FALSE))))</f>
        <v/>
      </c>
      <c r="L213" s="524" t="str">
        <f>IF(B213="","",IF(ISNA(VLOOKUP($B213,'B-1 Site Hedge Baseline'!$B$1:$U$257,12,FALSE)),"",(VLOOKUP($B213,'B-1 Site Hedge Baseline'!$B$1:$U$257,12,FALSE))))</f>
        <v/>
      </c>
      <c r="M213" s="416" t="str">
        <f t="shared" si="31"/>
        <v/>
      </c>
      <c r="N213" s="498" t="str">
        <f>IFERROR(IF(B213="","",INDEX('G-6 Hedgerow Data'!$AN$3:$AZ$15,MATCH(C213,'G-6 Hedgerow Data'!$AM$3:$AM$15,0),MATCH(M213,'G-6 Hedgerow Data'!$AN$2:$AZ$2,0))),"")</f>
        <v/>
      </c>
      <c r="O213" s="499" t="str">
        <f t="shared" si="26"/>
        <v/>
      </c>
      <c r="P213" s="559" t="str">
        <f>IF(B213="","",VLOOKUP(B213,'B-1 Site Hedge Baseline'!$B$10:T458,16,FALSE))</f>
        <v/>
      </c>
      <c r="Q213" s="498" t="str">
        <f>IF(M213="","",VLOOKUP(M213,'G-6 Hedgerow Data'!$B$2:$AG$15,2,FALSE))</f>
        <v/>
      </c>
      <c r="R213" s="499" t="str">
        <f>IF(M213="","",VLOOKUP(M213,'G-6 Hedgerow Data'!$B$2:$AG$15,3,FALSE))</f>
        <v/>
      </c>
      <c r="S213" s="157"/>
      <c r="T213" s="540" t="str">
        <f>IFERROR(VLOOKUP(S213,'G-1 All Habitats'!$Z$2:$AA$9,2,FALSE),"")</f>
        <v/>
      </c>
      <c r="U213" s="154"/>
      <c r="V213" s="520" t="str">
        <f>IF(U213="","",IF(VLOOKUP(U213,'G-3 Multipliers'!$L$3:$N$6,2,FALSE)=0,"Spatial Data Missing ⚠",VLOOKUP(U213,'G-3 Multipliers'!$L$3:$N$6,2,FALSE)))</f>
        <v/>
      </c>
      <c r="W213" s="524"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4"/>
        <v/>
      </c>
      <c r="AD213" s="537" t="str">
        <f>IF(M213="","",VLOOKUP(M213,'G-6 Hedgerow Data'!$B$3:$AG$15,31,FALSE))</f>
        <v/>
      </c>
      <c r="AE213" s="507" t="str">
        <f t="shared" si="29"/>
        <v/>
      </c>
      <c r="AF213" s="507" t="str">
        <f t="shared" si="30"/>
        <v/>
      </c>
      <c r="AG213" s="524" t="str">
        <f>IFERROR(IF(O213="","",VLOOKUP(AD213,'G-3 Multipliers'!$P$3:$Q$6,2,FALSE)),"")</f>
        <v/>
      </c>
      <c r="AH213" s="513" t="str">
        <f t="shared" si="25"/>
        <v/>
      </c>
      <c r="AI213" s="231"/>
      <c r="AJ213" s="150"/>
      <c r="AT213" s="31" t="str">
        <f>IFERROR(INDEX('G-6 Hedgerow Data'!$BJ$3:$BJ$15,MATCH(M213,'G-6 Hedgerow Data'!$B$3:$B$15,0)),"")</f>
        <v/>
      </c>
    </row>
    <row r="214" spans="2:46" ht="13.8" x14ac:dyDescent="0.25">
      <c r="B214" s="531" t="str">
        <f>'B-1 Site Hedge Baseline'!AK212</f>
        <v/>
      </c>
      <c r="C214" s="520" t="str">
        <f>IF(B214="","",IF(ISNA(VLOOKUP($B214,'B-1 Site Hedge Baseline'!$B$1:$L$257,3,FALSE)),"",(VLOOKUP($B214,'B-1 Site Hedge Baseline'!$B$1:$L$257,3,FALSE))))</f>
        <v/>
      </c>
      <c r="D214" s="520" t="str">
        <f>IF(B214="","",IF(ISNA(VLOOKUP($B214,'B-1 Site Hedge Baseline'!$B$1:$L$257,4,FALSE)),"",(VLOOKUP($B214,'B-1 Site Hedge Baseline'!$B$1:$L$257,4,FALSE))))</f>
        <v/>
      </c>
      <c r="E214" s="520" t="str">
        <f>IF(B214="","",IF(ISNA(VLOOKUP($B214,'B-1 Site Hedge Baseline'!$B$1:$L$257,5,FALSE)),"",(VLOOKUP($B214,'B-1 Site Hedge Baseline'!$B$1:$L$257,5,FALSE))))</f>
        <v/>
      </c>
      <c r="F214" s="520" t="str">
        <f>IF(B214="","",IF(ISNA(VLOOKUP($B214,'B-1 Site Hedge Baseline'!$B$1:$L$257,6,FALSE)),"",(VLOOKUP($B214,'B-1 Site Hedge Baseline'!$B$1:$L$257,6,FALSE))))</f>
        <v/>
      </c>
      <c r="G214" s="520" t="str">
        <f>IF(B214="","",IF(ISNA(VLOOKUP($B214,'B-1 Site Hedge Baseline'!$B$1:$L$257,7,FALSE)),"",(VLOOKUP($B214,'B-1 Site Hedge Baseline'!$B$1:$L$257,7,FALSE))))</f>
        <v/>
      </c>
      <c r="H214" s="520" t="str">
        <f>IF(B214="","",IF(ISNA(VLOOKUP($B214,'B-1 Site Hedge Baseline'!$B$1:$L$257,8,FALSE)),"",(VLOOKUP($B214,'B-1 Site Hedge Baseline'!$B$1:$L$257,8,FALSE))))</f>
        <v/>
      </c>
      <c r="I214" s="520" t="str">
        <f>IF(B214="","",IF(ISNA(VLOOKUP($B214,'B-1 Site Hedge Baseline'!$B$1:$L$257,10,FALSE)),"",(VLOOKUP($B214,'B-1 Site Hedge Baseline'!$B$1:$L$257,10,FALSE))))</f>
        <v/>
      </c>
      <c r="J214" s="520" t="str">
        <f>IF(B214="","",IF(ISNA(VLOOKUP($B214,'B-1 Site Hedge Baseline'!$B$1:$L$257,11,FALSE)),"",(VLOOKUP($B214,'B-1 Site Hedge Baseline'!$B$1:$L$257,11,FALSE))))</f>
        <v/>
      </c>
      <c r="K214" s="520" t="str">
        <f>IF(B214="","",IF(ISNA(VLOOKUP($B214,'B-1 Site Hedge Baseline'!$B$1:$U$257,13,FALSE)),"",(VLOOKUP($B214,'B-1 Site Hedge Baseline'!$B$1:$U$257,13,FALSE))))</f>
        <v/>
      </c>
      <c r="L214" s="524" t="str">
        <f>IF(B214="","",IF(ISNA(VLOOKUP($B214,'B-1 Site Hedge Baseline'!$B$1:$U$257,12,FALSE)),"",(VLOOKUP($B214,'B-1 Site Hedge Baseline'!$B$1:$U$257,12,FALSE))))</f>
        <v/>
      </c>
      <c r="M214" s="416" t="str">
        <f t="shared" si="31"/>
        <v/>
      </c>
      <c r="N214" s="498" t="str">
        <f>IFERROR(IF(B214="","",INDEX('G-6 Hedgerow Data'!$AN$3:$AZ$15,MATCH(C214,'G-6 Hedgerow Data'!$AM$3:$AM$15,0),MATCH(M214,'G-6 Hedgerow Data'!$AN$2:$AZ$2,0))),"")</f>
        <v/>
      </c>
      <c r="O214" s="499" t="str">
        <f t="shared" si="26"/>
        <v/>
      </c>
      <c r="P214" s="559" t="str">
        <f>IF(B214="","",VLOOKUP(B214,'B-1 Site Hedge Baseline'!$B$10:T459,16,FALSE))</f>
        <v/>
      </c>
      <c r="Q214" s="498" t="str">
        <f>IF(M214="","",VLOOKUP(M214,'G-6 Hedgerow Data'!$B$2:$AG$15,2,FALSE))</f>
        <v/>
      </c>
      <c r="R214" s="499" t="str">
        <f>IF(M214="","",VLOOKUP(M214,'G-6 Hedgerow Data'!$B$2:$AG$15,3,FALSE))</f>
        <v/>
      </c>
      <c r="S214" s="157"/>
      <c r="T214" s="540" t="str">
        <f>IFERROR(VLOOKUP(S214,'G-1 All Habitats'!$Z$2:$AA$9,2,FALSE),"")</f>
        <v/>
      </c>
      <c r="U214" s="154"/>
      <c r="V214" s="520" t="str">
        <f>IF(U214="","",IF(VLOOKUP(U214,'G-3 Multipliers'!$L$3:$N$6,2,FALSE)=0,"Spatial Data Missing ⚠",VLOOKUP(U214,'G-3 Multipliers'!$L$3:$N$6,2,FALSE)))</f>
        <v/>
      </c>
      <c r="W214" s="524"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4"/>
        <v/>
      </c>
      <c r="AD214" s="537" t="str">
        <f>IF(M214="","",VLOOKUP(M214,'G-6 Hedgerow Data'!$B$3:$AG$15,31,FALSE))</f>
        <v/>
      </c>
      <c r="AE214" s="507" t="str">
        <f t="shared" si="29"/>
        <v/>
      </c>
      <c r="AF214" s="507" t="str">
        <f t="shared" si="30"/>
        <v/>
      </c>
      <c r="AG214" s="524" t="str">
        <f>IFERROR(IF(O214="","",VLOOKUP(AD214,'G-3 Multipliers'!$P$3:$Q$6,2,FALSE)),"")</f>
        <v/>
      </c>
      <c r="AH214" s="513" t="str">
        <f t="shared" si="25"/>
        <v/>
      </c>
      <c r="AI214" s="231"/>
      <c r="AJ214" s="150"/>
      <c r="AT214" s="31" t="str">
        <f>IFERROR(INDEX('G-6 Hedgerow Data'!$BJ$3:$BJ$15,MATCH(M214,'G-6 Hedgerow Data'!$B$3:$B$15,0)),"")</f>
        <v/>
      </c>
    </row>
    <row r="215" spans="2:46" ht="13.8" x14ac:dyDescent="0.25">
      <c r="B215" s="531" t="str">
        <f>'B-1 Site Hedge Baseline'!AK213</f>
        <v/>
      </c>
      <c r="C215" s="520" t="str">
        <f>IF(B215="","",IF(ISNA(VLOOKUP($B215,'B-1 Site Hedge Baseline'!$B$1:$L$257,3,FALSE)),"",(VLOOKUP($B215,'B-1 Site Hedge Baseline'!$B$1:$L$257,3,FALSE))))</f>
        <v/>
      </c>
      <c r="D215" s="520" t="str">
        <f>IF(B215="","",IF(ISNA(VLOOKUP($B215,'B-1 Site Hedge Baseline'!$B$1:$L$257,4,FALSE)),"",(VLOOKUP($B215,'B-1 Site Hedge Baseline'!$B$1:$L$257,4,FALSE))))</f>
        <v/>
      </c>
      <c r="E215" s="520" t="str">
        <f>IF(B215="","",IF(ISNA(VLOOKUP($B215,'B-1 Site Hedge Baseline'!$B$1:$L$257,5,FALSE)),"",(VLOOKUP($B215,'B-1 Site Hedge Baseline'!$B$1:$L$257,5,FALSE))))</f>
        <v/>
      </c>
      <c r="F215" s="520" t="str">
        <f>IF(B215="","",IF(ISNA(VLOOKUP($B215,'B-1 Site Hedge Baseline'!$B$1:$L$257,6,FALSE)),"",(VLOOKUP($B215,'B-1 Site Hedge Baseline'!$B$1:$L$257,6,FALSE))))</f>
        <v/>
      </c>
      <c r="G215" s="520" t="str">
        <f>IF(B215="","",IF(ISNA(VLOOKUP($B215,'B-1 Site Hedge Baseline'!$B$1:$L$257,7,FALSE)),"",(VLOOKUP($B215,'B-1 Site Hedge Baseline'!$B$1:$L$257,7,FALSE))))</f>
        <v/>
      </c>
      <c r="H215" s="520" t="str">
        <f>IF(B215="","",IF(ISNA(VLOOKUP($B215,'B-1 Site Hedge Baseline'!$B$1:$L$257,8,FALSE)),"",(VLOOKUP($B215,'B-1 Site Hedge Baseline'!$B$1:$L$257,8,FALSE))))</f>
        <v/>
      </c>
      <c r="I215" s="520" t="str">
        <f>IF(B215="","",IF(ISNA(VLOOKUP($B215,'B-1 Site Hedge Baseline'!$B$1:$L$257,10,FALSE)),"",(VLOOKUP($B215,'B-1 Site Hedge Baseline'!$B$1:$L$257,10,FALSE))))</f>
        <v/>
      </c>
      <c r="J215" s="520" t="str">
        <f>IF(B215="","",IF(ISNA(VLOOKUP($B215,'B-1 Site Hedge Baseline'!$B$1:$L$257,11,FALSE)),"",(VLOOKUP($B215,'B-1 Site Hedge Baseline'!$B$1:$L$257,11,FALSE))))</f>
        <v/>
      </c>
      <c r="K215" s="520" t="str">
        <f>IF(B215="","",IF(ISNA(VLOOKUP($B215,'B-1 Site Hedge Baseline'!$B$1:$U$257,13,FALSE)),"",(VLOOKUP($B215,'B-1 Site Hedge Baseline'!$B$1:$U$257,13,FALSE))))</f>
        <v/>
      </c>
      <c r="L215" s="524" t="str">
        <f>IF(B215="","",IF(ISNA(VLOOKUP($B215,'B-1 Site Hedge Baseline'!$B$1:$U$257,12,FALSE)),"",(VLOOKUP($B215,'B-1 Site Hedge Baseline'!$B$1:$U$257,12,FALSE))))</f>
        <v/>
      </c>
      <c r="M215" s="416" t="str">
        <f t="shared" si="31"/>
        <v/>
      </c>
      <c r="N215" s="498" t="str">
        <f>IFERROR(IF(B215="","",INDEX('G-6 Hedgerow Data'!$AN$3:$AZ$15,MATCH(C215,'G-6 Hedgerow Data'!$AM$3:$AM$15,0),MATCH(M215,'G-6 Hedgerow Data'!$AN$2:$AZ$2,0))),"")</f>
        <v/>
      </c>
      <c r="O215" s="499" t="str">
        <f t="shared" si="26"/>
        <v/>
      </c>
      <c r="P215" s="559" t="str">
        <f>IF(B215="","",VLOOKUP(B215,'B-1 Site Hedge Baseline'!$B$10:T460,16,FALSE))</f>
        <v/>
      </c>
      <c r="Q215" s="498" t="str">
        <f>IF(M215="","",VLOOKUP(M215,'G-6 Hedgerow Data'!$B$2:$AG$15,2,FALSE))</f>
        <v/>
      </c>
      <c r="R215" s="499" t="str">
        <f>IF(M215="","",VLOOKUP(M215,'G-6 Hedgerow Data'!$B$2:$AG$15,3,FALSE))</f>
        <v/>
      </c>
      <c r="S215" s="157"/>
      <c r="T215" s="540" t="str">
        <f>IFERROR(VLOOKUP(S215,'G-1 All Habitats'!$Z$2:$AA$9,2,FALSE),"")</f>
        <v/>
      </c>
      <c r="U215" s="154"/>
      <c r="V215" s="520" t="str">
        <f>IF(U215="","",IF(VLOOKUP(U215,'G-3 Multipliers'!$L$3:$N$6,2,FALSE)=0,"Spatial Data Missing ⚠",VLOOKUP(U215,'G-3 Multipliers'!$L$3:$N$6,2,FALSE)))</f>
        <v/>
      </c>
      <c r="W215" s="524"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4"/>
        <v/>
      </c>
      <c r="AD215" s="537" t="str">
        <f>IF(M215="","",VLOOKUP(M215,'G-6 Hedgerow Data'!$B$3:$AG$15,31,FALSE))</f>
        <v/>
      </c>
      <c r="AE215" s="507" t="str">
        <f t="shared" si="29"/>
        <v/>
      </c>
      <c r="AF215" s="507" t="str">
        <f t="shared" si="30"/>
        <v/>
      </c>
      <c r="AG215" s="524" t="str">
        <f>IFERROR(IF(O215="","",VLOOKUP(AD215,'G-3 Multipliers'!$P$3:$Q$6,2,FALSE)),"")</f>
        <v/>
      </c>
      <c r="AH215" s="513" t="str">
        <f t="shared" si="25"/>
        <v/>
      </c>
      <c r="AI215" s="231"/>
      <c r="AJ215" s="150"/>
      <c r="AT215" s="31" t="str">
        <f>IFERROR(INDEX('G-6 Hedgerow Data'!$BJ$3:$BJ$15,MATCH(M215,'G-6 Hedgerow Data'!$B$3:$B$15,0)),"")</f>
        <v/>
      </c>
    </row>
    <row r="216" spans="2:46" ht="13.8" x14ac:dyDescent="0.25">
      <c r="B216" s="531" t="str">
        <f>'B-1 Site Hedge Baseline'!AK214</f>
        <v/>
      </c>
      <c r="C216" s="520" t="str">
        <f>IF(B216="","",IF(ISNA(VLOOKUP($B216,'B-1 Site Hedge Baseline'!$B$1:$L$257,3,FALSE)),"",(VLOOKUP($B216,'B-1 Site Hedge Baseline'!$B$1:$L$257,3,FALSE))))</f>
        <v/>
      </c>
      <c r="D216" s="520" t="str">
        <f>IF(B216="","",IF(ISNA(VLOOKUP($B216,'B-1 Site Hedge Baseline'!$B$1:$L$257,4,FALSE)),"",(VLOOKUP($B216,'B-1 Site Hedge Baseline'!$B$1:$L$257,4,FALSE))))</f>
        <v/>
      </c>
      <c r="E216" s="520" t="str">
        <f>IF(B216="","",IF(ISNA(VLOOKUP($B216,'B-1 Site Hedge Baseline'!$B$1:$L$257,5,FALSE)),"",(VLOOKUP($B216,'B-1 Site Hedge Baseline'!$B$1:$L$257,5,FALSE))))</f>
        <v/>
      </c>
      <c r="F216" s="520" t="str">
        <f>IF(B216="","",IF(ISNA(VLOOKUP($B216,'B-1 Site Hedge Baseline'!$B$1:$L$257,6,FALSE)),"",(VLOOKUP($B216,'B-1 Site Hedge Baseline'!$B$1:$L$257,6,FALSE))))</f>
        <v/>
      </c>
      <c r="G216" s="520" t="str">
        <f>IF(B216="","",IF(ISNA(VLOOKUP($B216,'B-1 Site Hedge Baseline'!$B$1:$L$257,7,FALSE)),"",(VLOOKUP($B216,'B-1 Site Hedge Baseline'!$B$1:$L$257,7,FALSE))))</f>
        <v/>
      </c>
      <c r="H216" s="520" t="str">
        <f>IF(B216="","",IF(ISNA(VLOOKUP($B216,'B-1 Site Hedge Baseline'!$B$1:$L$257,8,FALSE)),"",(VLOOKUP($B216,'B-1 Site Hedge Baseline'!$B$1:$L$257,8,FALSE))))</f>
        <v/>
      </c>
      <c r="I216" s="520" t="str">
        <f>IF(B216="","",IF(ISNA(VLOOKUP($B216,'B-1 Site Hedge Baseline'!$B$1:$L$257,10,FALSE)),"",(VLOOKUP($B216,'B-1 Site Hedge Baseline'!$B$1:$L$257,10,FALSE))))</f>
        <v/>
      </c>
      <c r="J216" s="520" t="str">
        <f>IF(B216="","",IF(ISNA(VLOOKUP($B216,'B-1 Site Hedge Baseline'!$B$1:$L$257,11,FALSE)),"",(VLOOKUP($B216,'B-1 Site Hedge Baseline'!$B$1:$L$257,11,FALSE))))</f>
        <v/>
      </c>
      <c r="K216" s="520" t="str">
        <f>IF(B216="","",IF(ISNA(VLOOKUP($B216,'B-1 Site Hedge Baseline'!$B$1:$U$257,13,FALSE)),"",(VLOOKUP($B216,'B-1 Site Hedge Baseline'!$B$1:$U$257,13,FALSE))))</f>
        <v/>
      </c>
      <c r="L216" s="524" t="str">
        <f>IF(B216="","",IF(ISNA(VLOOKUP($B216,'B-1 Site Hedge Baseline'!$B$1:$U$257,12,FALSE)),"",(VLOOKUP($B216,'B-1 Site Hedge Baseline'!$B$1:$U$257,12,FALSE))))</f>
        <v/>
      </c>
      <c r="M216" s="416" t="str">
        <f t="shared" si="31"/>
        <v/>
      </c>
      <c r="N216" s="498" t="str">
        <f>IFERROR(IF(B216="","",INDEX('G-6 Hedgerow Data'!$AN$3:$AZ$15,MATCH(C216,'G-6 Hedgerow Data'!$AM$3:$AM$15,0),MATCH(M216,'G-6 Hedgerow Data'!$AN$2:$AZ$2,0))),"")</f>
        <v/>
      </c>
      <c r="O216" s="499" t="str">
        <f t="shared" si="26"/>
        <v/>
      </c>
      <c r="P216" s="559" t="str">
        <f>IF(B216="","",VLOOKUP(B216,'B-1 Site Hedge Baseline'!$B$10:T461,16,FALSE))</f>
        <v/>
      </c>
      <c r="Q216" s="498" t="str">
        <f>IF(M216="","",VLOOKUP(M216,'G-6 Hedgerow Data'!$B$2:$AG$15,2,FALSE))</f>
        <v/>
      </c>
      <c r="R216" s="499" t="str">
        <f>IF(M216="","",VLOOKUP(M216,'G-6 Hedgerow Data'!$B$2:$AG$15,3,FALSE))</f>
        <v/>
      </c>
      <c r="S216" s="157"/>
      <c r="T216" s="540" t="str">
        <f>IFERROR(VLOOKUP(S216,'G-1 All Habitats'!$Z$2:$AA$9,2,FALSE),"")</f>
        <v/>
      </c>
      <c r="U216" s="154"/>
      <c r="V216" s="520" t="str">
        <f>IF(U216="","",IF(VLOOKUP(U216,'G-3 Multipliers'!$L$3:$N$6,2,FALSE)=0,"Spatial Data Missing ⚠",VLOOKUP(U216,'G-3 Multipliers'!$L$3:$N$6,2,FALSE)))</f>
        <v/>
      </c>
      <c r="W216" s="524"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4"/>
        <v/>
      </c>
      <c r="AD216" s="537" t="str">
        <f>IF(M216="","",VLOOKUP(M216,'G-6 Hedgerow Data'!$B$3:$AG$15,31,FALSE))</f>
        <v/>
      </c>
      <c r="AE216" s="507" t="str">
        <f t="shared" si="29"/>
        <v/>
      </c>
      <c r="AF216" s="507" t="str">
        <f t="shared" si="30"/>
        <v/>
      </c>
      <c r="AG216" s="524" t="str">
        <f>IFERROR(IF(O216="","",VLOOKUP(AD216,'G-3 Multipliers'!$P$3:$Q$6,2,FALSE)),"")</f>
        <v/>
      </c>
      <c r="AH216" s="513" t="str">
        <f t="shared" si="25"/>
        <v/>
      </c>
      <c r="AI216" s="231"/>
      <c r="AJ216" s="150"/>
      <c r="AT216" s="31" t="str">
        <f>IFERROR(INDEX('G-6 Hedgerow Data'!$BJ$3:$BJ$15,MATCH(M216,'G-6 Hedgerow Data'!$B$3:$B$15,0)),"")</f>
        <v/>
      </c>
    </row>
    <row r="217" spans="2:46" ht="13.8" x14ac:dyDescent="0.25">
      <c r="B217" s="531" t="str">
        <f>'B-1 Site Hedge Baseline'!AK215</f>
        <v/>
      </c>
      <c r="C217" s="520" t="str">
        <f>IF(B217="","",IF(ISNA(VLOOKUP($B217,'B-1 Site Hedge Baseline'!$B$1:$L$257,3,FALSE)),"",(VLOOKUP($B217,'B-1 Site Hedge Baseline'!$B$1:$L$257,3,FALSE))))</f>
        <v/>
      </c>
      <c r="D217" s="520" t="str">
        <f>IF(B217="","",IF(ISNA(VLOOKUP($B217,'B-1 Site Hedge Baseline'!$B$1:$L$257,4,FALSE)),"",(VLOOKUP($B217,'B-1 Site Hedge Baseline'!$B$1:$L$257,4,FALSE))))</f>
        <v/>
      </c>
      <c r="E217" s="520" t="str">
        <f>IF(B217="","",IF(ISNA(VLOOKUP($B217,'B-1 Site Hedge Baseline'!$B$1:$L$257,5,FALSE)),"",(VLOOKUP($B217,'B-1 Site Hedge Baseline'!$B$1:$L$257,5,FALSE))))</f>
        <v/>
      </c>
      <c r="F217" s="520" t="str">
        <f>IF(B217="","",IF(ISNA(VLOOKUP($B217,'B-1 Site Hedge Baseline'!$B$1:$L$257,6,FALSE)),"",(VLOOKUP($B217,'B-1 Site Hedge Baseline'!$B$1:$L$257,6,FALSE))))</f>
        <v/>
      </c>
      <c r="G217" s="520" t="str">
        <f>IF(B217="","",IF(ISNA(VLOOKUP($B217,'B-1 Site Hedge Baseline'!$B$1:$L$257,7,FALSE)),"",(VLOOKUP($B217,'B-1 Site Hedge Baseline'!$B$1:$L$257,7,FALSE))))</f>
        <v/>
      </c>
      <c r="H217" s="520" t="str">
        <f>IF(B217="","",IF(ISNA(VLOOKUP($B217,'B-1 Site Hedge Baseline'!$B$1:$L$257,8,FALSE)),"",(VLOOKUP($B217,'B-1 Site Hedge Baseline'!$B$1:$L$257,8,FALSE))))</f>
        <v/>
      </c>
      <c r="I217" s="520" t="str">
        <f>IF(B217="","",IF(ISNA(VLOOKUP($B217,'B-1 Site Hedge Baseline'!$B$1:$L$257,10,FALSE)),"",(VLOOKUP($B217,'B-1 Site Hedge Baseline'!$B$1:$L$257,10,FALSE))))</f>
        <v/>
      </c>
      <c r="J217" s="520" t="str">
        <f>IF(B217="","",IF(ISNA(VLOOKUP($B217,'B-1 Site Hedge Baseline'!$B$1:$L$257,11,FALSE)),"",(VLOOKUP($B217,'B-1 Site Hedge Baseline'!$B$1:$L$257,11,FALSE))))</f>
        <v/>
      </c>
      <c r="K217" s="520" t="str">
        <f>IF(B217="","",IF(ISNA(VLOOKUP($B217,'B-1 Site Hedge Baseline'!$B$1:$U$257,13,FALSE)),"",(VLOOKUP($B217,'B-1 Site Hedge Baseline'!$B$1:$U$257,13,FALSE))))</f>
        <v/>
      </c>
      <c r="L217" s="524" t="str">
        <f>IF(B217="","",IF(ISNA(VLOOKUP($B217,'B-1 Site Hedge Baseline'!$B$1:$U$257,12,FALSE)),"",(VLOOKUP($B217,'B-1 Site Hedge Baseline'!$B$1:$U$257,12,FALSE))))</f>
        <v/>
      </c>
      <c r="M217" s="416" t="str">
        <f t="shared" si="31"/>
        <v/>
      </c>
      <c r="N217" s="498" t="str">
        <f>IFERROR(IF(B217="","",INDEX('G-6 Hedgerow Data'!$AN$3:$AZ$15,MATCH(C217,'G-6 Hedgerow Data'!$AM$3:$AM$15,0),MATCH(M217,'G-6 Hedgerow Data'!$AN$2:$AZ$2,0))),"")</f>
        <v/>
      </c>
      <c r="O217" s="499" t="str">
        <f t="shared" si="26"/>
        <v/>
      </c>
      <c r="P217" s="559" t="str">
        <f>IF(B217="","",VLOOKUP(B217,'B-1 Site Hedge Baseline'!$B$10:T462,16,FALSE))</f>
        <v/>
      </c>
      <c r="Q217" s="498" t="str">
        <f>IF(M217="","",VLOOKUP(M217,'G-6 Hedgerow Data'!$B$2:$AG$15,2,FALSE))</f>
        <v/>
      </c>
      <c r="R217" s="499" t="str">
        <f>IF(M217="","",VLOOKUP(M217,'G-6 Hedgerow Data'!$B$2:$AG$15,3,FALSE))</f>
        <v/>
      </c>
      <c r="S217" s="157"/>
      <c r="T217" s="540" t="str">
        <f>IFERROR(VLOOKUP(S217,'G-1 All Habitats'!$Z$2:$AA$9,2,FALSE),"")</f>
        <v/>
      </c>
      <c r="U217" s="154"/>
      <c r="V217" s="520" t="str">
        <f>IF(U217="","",IF(VLOOKUP(U217,'G-3 Multipliers'!$L$3:$N$6,2,FALSE)=0,"Spatial Data Missing ⚠",VLOOKUP(U217,'G-3 Multipliers'!$L$3:$N$6,2,FALSE)))</f>
        <v/>
      </c>
      <c r="W217" s="524"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4"/>
        <v/>
      </c>
      <c r="AD217" s="537" t="str">
        <f>IF(M217="","",VLOOKUP(M217,'G-6 Hedgerow Data'!$B$3:$AG$15,31,FALSE))</f>
        <v/>
      </c>
      <c r="AE217" s="507" t="str">
        <f t="shared" si="29"/>
        <v/>
      </c>
      <c r="AF217" s="507" t="str">
        <f t="shared" si="30"/>
        <v/>
      </c>
      <c r="AG217" s="524" t="str">
        <f>IFERROR(IF(O217="","",VLOOKUP(AD217,'G-3 Multipliers'!$P$3:$Q$6,2,FALSE)),"")</f>
        <v/>
      </c>
      <c r="AH217" s="513" t="str">
        <f t="shared" si="25"/>
        <v/>
      </c>
      <c r="AI217" s="231"/>
      <c r="AJ217" s="150"/>
      <c r="AT217" s="31" t="str">
        <f>IFERROR(INDEX('G-6 Hedgerow Data'!$BJ$3:$BJ$15,MATCH(M217,'G-6 Hedgerow Data'!$B$3:$B$15,0)),"")</f>
        <v/>
      </c>
    </row>
    <row r="218" spans="2:46" ht="13.8" x14ac:dyDescent="0.25">
      <c r="B218" s="531" t="str">
        <f>'B-1 Site Hedge Baseline'!AK216</f>
        <v/>
      </c>
      <c r="C218" s="520" t="str">
        <f>IF(B218="","",IF(ISNA(VLOOKUP($B218,'B-1 Site Hedge Baseline'!$B$1:$L$257,3,FALSE)),"",(VLOOKUP($B218,'B-1 Site Hedge Baseline'!$B$1:$L$257,3,FALSE))))</f>
        <v/>
      </c>
      <c r="D218" s="520" t="str">
        <f>IF(B218="","",IF(ISNA(VLOOKUP($B218,'B-1 Site Hedge Baseline'!$B$1:$L$257,4,FALSE)),"",(VLOOKUP($B218,'B-1 Site Hedge Baseline'!$B$1:$L$257,4,FALSE))))</f>
        <v/>
      </c>
      <c r="E218" s="520" t="str">
        <f>IF(B218="","",IF(ISNA(VLOOKUP($B218,'B-1 Site Hedge Baseline'!$B$1:$L$257,5,FALSE)),"",(VLOOKUP($B218,'B-1 Site Hedge Baseline'!$B$1:$L$257,5,FALSE))))</f>
        <v/>
      </c>
      <c r="F218" s="520" t="str">
        <f>IF(B218="","",IF(ISNA(VLOOKUP($B218,'B-1 Site Hedge Baseline'!$B$1:$L$257,6,FALSE)),"",(VLOOKUP($B218,'B-1 Site Hedge Baseline'!$B$1:$L$257,6,FALSE))))</f>
        <v/>
      </c>
      <c r="G218" s="520" t="str">
        <f>IF(B218="","",IF(ISNA(VLOOKUP($B218,'B-1 Site Hedge Baseline'!$B$1:$L$257,7,FALSE)),"",(VLOOKUP($B218,'B-1 Site Hedge Baseline'!$B$1:$L$257,7,FALSE))))</f>
        <v/>
      </c>
      <c r="H218" s="520" t="str">
        <f>IF(B218="","",IF(ISNA(VLOOKUP($B218,'B-1 Site Hedge Baseline'!$B$1:$L$257,8,FALSE)),"",(VLOOKUP($B218,'B-1 Site Hedge Baseline'!$B$1:$L$257,8,FALSE))))</f>
        <v/>
      </c>
      <c r="I218" s="520" t="str">
        <f>IF(B218="","",IF(ISNA(VLOOKUP($B218,'B-1 Site Hedge Baseline'!$B$1:$L$257,10,FALSE)),"",(VLOOKUP($B218,'B-1 Site Hedge Baseline'!$B$1:$L$257,10,FALSE))))</f>
        <v/>
      </c>
      <c r="J218" s="520" t="str">
        <f>IF(B218="","",IF(ISNA(VLOOKUP($B218,'B-1 Site Hedge Baseline'!$B$1:$L$257,11,FALSE)),"",(VLOOKUP($B218,'B-1 Site Hedge Baseline'!$B$1:$L$257,11,FALSE))))</f>
        <v/>
      </c>
      <c r="K218" s="520" t="str">
        <f>IF(B218="","",IF(ISNA(VLOOKUP($B218,'B-1 Site Hedge Baseline'!$B$1:$U$257,13,FALSE)),"",(VLOOKUP($B218,'B-1 Site Hedge Baseline'!$B$1:$U$257,13,FALSE))))</f>
        <v/>
      </c>
      <c r="L218" s="524" t="str">
        <f>IF(B218="","",IF(ISNA(VLOOKUP($B218,'B-1 Site Hedge Baseline'!$B$1:$U$257,12,FALSE)),"",(VLOOKUP($B218,'B-1 Site Hedge Baseline'!$B$1:$U$257,12,FALSE))))</f>
        <v/>
      </c>
      <c r="M218" s="416" t="str">
        <f t="shared" si="31"/>
        <v/>
      </c>
      <c r="N218" s="498" t="str">
        <f>IFERROR(IF(B218="","",INDEX('G-6 Hedgerow Data'!$AN$3:$AZ$15,MATCH(C218,'G-6 Hedgerow Data'!$AM$3:$AM$15,0),MATCH(M218,'G-6 Hedgerow Data'!$AN$2:$AZ$2,0))),"")</f>
        <v/>
      </c>
      <c r="O218" s="499" t="str">
        <f t="shared" si="26"/>
        <v/>
      </c>
      <c r="P218" s="559" t="str">
        <f>IF(B218="","",VLOOKUP(B218,'B-1 Site Hedge Baseline'!$B$10:T463,16,FALSE))</f>
        <v/>
      </c>
      <c r="Q218" s="498" t="str">
        <f>IF(M218="","",VLOOKUP(M218,'G-6 Hedgerow Data'!$B$2:$AG$15,2,FALSE))</f>
        <v/>
      </c>
      <c r="R218" s="499" t="str">
        <f>IF(M218="","",VLOOKUP(M218,'G-6 Hedgerow Data'!$B$2:$AG$15,3,FALSE))</f>
        <v/>
      </c>
      <c r="S218" s="157"/>
      <c r="T218" s="540" t="str">
        <f>IFERROR(VLOOKUP(S218,'G-1 All Habitats'!$Z$2:$AA$9,2,FALSE),"")</f>
        <v/>
      </c>
      <c r="U218" s="154"/>
      <c r="V218" s="520" t="str">
        <f>IF(U218="","",IF(VLOOKUP(U218,'G-3 Multipliers'!$L$3:$N$6,2,FALSE)=0,"Spatial Data Missing ⚠",VLOOKUP(U218,'G-3 Multipliers'!$L$3:$N$6,2,FALSE)))</f>
        <v/>
      </c>
      <c r="W218" s="524"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4"/>
        <v/>
      </c>
      <c r="AD218" s="537" t="str">
        <f>IF(M218="","",VLOOKUP(M218,'G-6 Hedgerow Data'!$B$3:$AG$15,31,FALSE))</f>
        <v/>
      </c>
      <c r="AE218" s="507" t="str">
        <f t="shared" si="29"/>
        <v/>
      </c>
      <c r="AF218" s="507" t="str">
        <f t="shared" si="30"/>
        <v/>
      </c>
      <c r="AG218" s="524" t="str">
        <f>IFERROR(IF(O218="","",VLOOKUP(AD218,'G-3 Multipliers'!$P$3:$Q$6,2,FALSE)),"")</f>
        <v/>
      </c>
      <c r="AH218" s="513" t="str">
        <f t="shared" si="25"/>
        <v/>
      </c>
      <c r="AI218" s="231"/>
      <c r="AJ218" s="150"/>
      <c r="AT218" s="31" t="str">
        <f>IFERROR(INDEX('G-6 Hedgerow Data'!$BJ$3:$BJ$15,MATCH(M218,'G-6 Hedgerow Data'!$B$3:$B$15,0)),"")</f>
        <v/>
      </c>
    </row>
    <row r="219" spans="2:46" ht="13.8" x14ac:dyDescent="0.25">
      <c r="B219" s="531" t="str">
        <f>'B-1 Site Hedge Baseline'!AK217</f>
        <v/>
      </c>
      <c r="C219" s="520" t="str">
        <f>IF(B219="","",IF(ISNA(VLOOKUP($B219,'B-1 Site Hedge Baseline'!$B$1:$L$257,3,FALSE)),"",(VLOOKUP($B219,'B-1 Site Hedge Baseline'!$B$1:$L$257,3,FALSE))))</f>
        <v/>
      </c>
      <c r="D219" s="520" t="str">
        <f>IF(B219="","",IF(ISNA(VLOOKUP($B219,'B-1 Site Hedge Baseline'!$B$1:$L$257,4,FALSE)),"",(VLOOKUP($B219,'B-1 Site Hedge Baseline'!$B$1:$L$257,4,FALSE))))</f>
        <v/>
      </c>
      <c r="E219" s="520" t="str">
        <f>IF(B219="","",IF(ISNA(VLOOKUP($B219,'B-1 Site Hedge Baseline'!$B$1:$L$257,5,FALSE)),"",(VLOOKUP($B219,'B-1 Site Hedge Baseline'!$B$1:$L$257,5,FALSE))))</f>
        <v/>
      </c>
      <c r="F219" s="520" t="str">
        <f>IF(B219="","",IF(ISNA(VLOOKUP($B219,'B-1 Site Hedge Baseline'!$B$1:$L$257,6,FALSE)),"",(VLOOKUP($B219,'B-1 Site Hedge Baseline'!$B$1:$L$257,6,FALSE))))</f>
        <v/>
      </c>
      <c r="G219" s="520" t="str">
        <f>IF(B219="","",IF(ISNA(VLOOKUP($B219,'B-1 Site Hedge Baseline'!$B$1:$L$257,7,FALSE)),"",(VLOOKUP($B219,'B-1 Site Hedge Baseline'!$B$1:$L$257,7,FALSE))))</f>
        <v/>
      </c>
      <c r="H219" s="520" t="str">
        <f>IF(B219="","",IF(ISNA(VLOOKUP($B219,'B-1 Site Hedge Baseline'!$B$1:$L$257,8,FALSE)),"",(VLOOKUP($B219,'B-1 Site Hedge Baseline'!$B$1:$L$257,8,FALSE))))</f>
        <v/>
      </c>
      <c r="I219" s="520" t="str">
        <f>IF(B219="","",IF(ISNA(VLOOKUP($B219,'B-1 Site Hedge Baseline'!$B$1:$L$257,10,FALSE)),"",(VLOOKUP($B219,'B-1 Site Hedge Baseline'!$B$1:$L$257,10,FALSE))))</f>
        <v/>
      </c>
      <c r="J219" s="520" t="str">
        <f>IF(B219="","",IF(ISNA(VLOOKUP($B219,'B-1 Site Hedge Baseline'!$B$1:$L$257,11,FALSE)),"",(VLOOKUP($B219,'B-1 Site Hedge Baseline'!$B$1:$L$257,11,FALSE))))</f>
        <v/>
      </c>
      <c r="K219" s="520" t="str">
        <f>IF(B219="","",IF(ISNA(VLOOKUP($B219,'B-1 Site Hedge Baseline'!$B$1:$U$257,13,FALSE)),"",(VLOOKUP($B219,'B-1 Site Hedge Baseline'!$B$1:$U$257,13,FALSE))))</f>
        <v/>
      </c>
      <c r="L219" s="524" t="str">
        <f>IF(B219="","",IF(ISNA(VLOOKUP($B219,'B-1 Site Hedge Baseline'!$B$1:$U$257,12,FALSE)),"",(VLOOKUP($B219,'B-1 Site Hedge Baseline'!$B$1:$U$257,12,FALSE))))</f>
        <v/>
      </c>
      <c r="M219" s="416" t="str">
        <f t="shared" si="31"/>
        <v/>
      </c>
      <c r="N219" s="498" t="str">
        <f>IFERROR(IF(B219="","",INDEX('G-6 Hedgerow Data'!$AN$3:$AZ$15,MATCH(C219,'G-6 Hedgerow Data'!$AM$3:$AM$15,0),MATCH(M219,'G-6 Hedgerow Data'!$AN$2:$AZ$2,0))),"")</f>
        <v/>
      </c>
      <c r="O219" s="499" t="str">
        <f t="shared" si="26"/>
        <v/>
      </c>
      <c r="P219" s="559" t="str">
        <f>IF(B219="","",VLOOKUP(B219,'B-1 Site Hedge Baseline'!$B$10:T464,16,FALSE))</f>
        <v/>
      </c>
      <c r="Q219" s="498" t="str">
        <f>IF(M219="","",VLOOKUP(M219,'G-6 Hedgerow Data'!$B$2:$AG$15,2,FALSE))</f>
        <v/>
      </c>
      <c r="R219" s="499" t="str">
        <f>IF(M219="","",VLOOKUP(M219,'G-6 Hedgerow Data'!$B$2:$AG$15,3,FALSE))</f>
        <v/>
      </c>
      <c r="S219" s="157"/>
      <c r="T219" s="540" t="str">
        <f>IFERROR(VLOOKUP(S219,'G-1 All Habitats'!$Z$2:$AA$9,2,FALSE),"")</f>
        <v/>
      </c>
      <c r="U219" s="154"/>
      <c r="V219" s="520" t="str">
        <f>IF(U219="","",IF(VLOOKUP(U219,'G-3 Multipliers'!$L$3:$N$6,2,FALSE)=0,"Spatial Data Missing ⚠",VLOOKUP(U219,'G-3 Multipliers'!$L$3:$N$6,2,FALSE)))</f>
        <v/>
      </c>
      <c r="W219" s="524"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4"/>
        <v/>
      </c>
      <c r="AD219" s="537" t="str">
        <f>IF(M219="","",VLOOKUP(M219,'G-6 Hedgerow Data'!$B$3:$AG$15,31,FALSE))</f>
        <v/>
      </c>
      <c r="AE219" s="507" t="str">
        <f t="shared" si="29"/>
        <v/>
      </c>
      <c r="AF219" s="507" t="str">
        <f t="shared" si="30"/>
        <v/>
      </c>
      <c r="AG219" s="524" t="str">
        <f>IFERROR(IF(O219="","",VLOOKUP(AD219,'G-3 Multipliers'!$P$3:$Q$6,2,FALSE)),"")</f>
        <v/>
      </c>
      <c r="AH219" s="513" t="str">
        <f t="shared" si="25"/>
        <v/>
      </c>
      <c r="AI219" s="231"/>
      <c r="AJ219" s="150"/>
      <c r="AT219" s="31" t="str">
        <f>IFERROR(INDEX('G-6 Hedgerow Data'!$BJ$3:$BJ$15,MATCH(M219,'G-6 Hedgerow Data'!$B$3:$B$15,0)),"")</f>
        <v/>
      </c>
    </row>
    <row r="220" spans="2:46" ht="13.8" x14ac:dyDescent="0.25">
      <c r="B220" s="531" t="str">
        <f>'B-1 Site Hedge Baseline'!AK218</f>
        <v/>
      </c>
      <c r="C220" s="520" t="str">
        <f>IF(B220="","",IF(ISNA(VLOOKUP($B220,'B-1 Site Hedge Baseline'!$B$1:$L$257,3,FALSE)),"",(VLOOKUP($B220,'B-1 Site Hedge Baseline'!$B$1:$L$257,3,FALSE))))</f>
        <v/>
      </c>
      <c r="D220" s="520" t="str">
        <f>IF(B220="","",IF(ISNA(VLOOKUP($B220,'B-1 Site Hedge Baseline'!$B$1:$L$257,4,FALSE)),"",(VLOOKUP($B220,'B-1 Site Hedge Baseline'!$B$1:$L$257,4,FALSE))))</f>
        <v/>
      </c>
      <c r="E220" s="520" t="str">
        <f>IF(B220="","",IF(ISNA(VLOOKUP($B220,'B-1 Site Hedge Baseline'!$B$1:$L$257,5,FALSE)),"",(VLOOKUP($B220,'B-1 Site Hedge Baseline'!$B$1:$L$257,5,FALSE))))</f>
        <v/>
      </c>
      <c r="F220" s="520" t="str">
        <f>IF(B220="","",IF(ISNA(VLOOKUP($B220,'B-1 Site Hedge Baseline'!$B$1:$L$257,6,FALSE)),"",(VLOOKUP($B220,'B-1 Site Hedge Baseline'!$B$1:$L$257,6,FALSE))))</f>
        <v/>
      </c>
      <c r="G220" s="520" t="str">
        <f>IF(B220="","",IF(ISNA(VLOOKUP($B220,'B-1 Site Hedge Baseline'!$B$1:$L$257,7,FALSE)),"",(VLOOKUP($B220,'B-1 Site Hedge Baseline'!$B$1:$L$257,7,FALSE))))</f>
        <v/>
      </c>
      <c r="H220" s="520" t="str">
        <f>IF(B220="","",IF(ISNA(VLOOKUP($B220,'B-1 Site Hedge Baseline'!$B$1:$L$257,8,FALSE)),"",(VLOOKUP($B220,'B-1 Site Hedge Baseline'!$B$1:$L$257,8,FALSE))))</f>
        <v/>
      </c>
      <c r="I220" s="520" t="str">
        <f>IF(B220="","",IF(ISNA(VLOOKUP($B220,'B-1 Site Hedge Baseline'!$B$1:$L$257,10,FALSE)),"",(VLOOKUP($B220,'B-1 Site Hedge Baseline'!$B$1:$L$257,10,FALSE))))</f>
        <v/>
      </c>
      <c r="J220" s="520" t="str">
        <f>IF(B220="","",IF(ISNA(VLOOKUP($B220,'B-1 Site Hedge Baseline'!$B$1:$L$257,11,FALSE)),"",(VLOOKUP($B220,'B-1 Site Hedge Baseline'!$B$1:$L$257,11,FALSE))))</f>
        <v/>
      </c>
      <c r="K220" s="520" t="str">
        <f>IF(B220="","",IF(ISNA(VLOOKUP($B220,'B-1 Site Hedge Baseline'!$B$1:$U$257,13,FALSE)),"",(VLOOKUP($B220,'B-1 Site Hedge Baseline'!$B$1:$U$257,13,FALSE))))</f>
        <v/>
      </c>
      <c r="L220" s="524" t="str">
        <f>IF(B220="","",IF(ISNA(VLOOKUP($B220,'B-1 Site Hedge Baseline'!$B$1:$U$257,12,FALSE)),"",(VLOOKUP($B220,'B-1 Site Hedge Baseline'!$B$1:$U$257,12,FALSE))))</f>
        <v/>
      </c>
      <c r="M220" s="416" t="str">
        <f t="shared" si="31"/>
        <v/>
      </c>
      <c r="N220" s="498" t="str">
        <f>IFERROR(IF(B220="","",INDEX('G-6 Hedgerow Data'!$AN$3:$AZ$15,MATCH(C220,'G-6 Hedgerow Data'!$AM$3:$AM$15,0),MATCH(M220,'G-6 Hedgerow Data'!$AN$2:$AZ$2,0))),"")</f>
        <v/>
      </c>
      <c r="O220" s="499" t="str">
        <f t="shared" si="26"/>
        <v/>
      </c>
      <c r="P220" s="559" t="str">
        <f>IF(B220="","",VLOOKUP(B220,'B-1 Site Hedge Baseline'!$B$10:T465,16,FALSE))</f>
        <v/>
      </c>
      <c r="Q220" s="498" t="str">
        <f>IF(M220="","",VLOOKUP(M220,'G-6 Hedgerow Data'!$B$2:$AG$15,2,FALSE))</f>
        <v/>
      </c>
      <c r="R220" s="499" t="str">
        <f>IF(M220="","",VLOOKUP(M220,'G-6 Hedgerow Data'!$B$2:$AG$15,3,FALSE))</f>
        <v/>
      </c>
      <c r="S220" s="157"/>
      <c r="T220" s="540" t="str">
        <f>IFERROR(VLOOKUP(S220,'G-1 All Habitats'!$Z$2:$AA$9,2,FALSE),"")</f>
        <v/>
      </c>
      <c r="U220" s="154"/>
      <c r="V220" s="520" t="str">
        <f>IF(U220="","",IF(VLOOKUP(U220,'G-3 Multipliers'!$L$3:$N$6,2,FALSE)=0,"Spatial Data Missing ⚠",VLOOKUP(U220,'G-3 Multipliers'!$L$3:$N$6,2,FALSE)))</f>
        <v/>
      </c>
      <c r="W220" s="524"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4"/>
        <v/>
      </c>
      <c r="AD220" s="537" t="str">
        <f>IF(M220="","",VLOOKUP(M220,'G-6 Hedgerow Data'!$B$3:$AG$15,31,FALSE))</f>
        <v/>
      </c>
      <c r="AE220" s="507" t="str">
        <f t="shared" si="29"/>
        <v/>
      </c>
      <c r="AF220" s="507" t="str">
        <f t="shared" si="30"/>
        <v/>
      </c>
      <c r="AG220" s="524" t="str">
        <f>IFERROR(IF(O220="","",VLOOKUP(AD220,'G-3 Multipliers'!$P$3:$Q$6,2,FALSE)),"")</f>
        <v/>
      </c>
      <c r="AH220" s="513" t="str">
        <f t="shared" si="25"/>
        <v/>
      </c>
      <c r="AI220" s="231"/>
      <c r="AJ220" s="150"/>
      <c r="AT220" s="31" t="str">
        <f>IFERROR(INDEX('G-6 Hedgerow Data'!$BJ$3:$BJ$15,MATCH(M220,'G-6 Hedgerow Data'!$B$3:$B$15,0)),"")</f>
        <v/>
      </c>
    </row>
    <row r="221" spans="2:46" ht="13.8" x14ac:dyDescent="0.25">
      <c r="B221" s="531" t="str">
        <f>'B-1 Site Hedge Baseline'!AK219</f>
        <v/>
      </c>
      <c r="C221" s="520" t="str">
        <f>IF(B221="","",IF(ISNA(VLOOKUP($B221,'B-1 Site Hedge Baseline'!$B$1:$L$257,3,FALSE)),"",(VLOOKUP($B221,'B-1 Site Hedge Baseline'!$B$1:$L$257,3,FALSE))))</f>
        <v/>
      </c>
      <c r="D221" s="520" t="str">
        <f>IF(B221="","",IF(ISNA(VLOOKUP($B221,'B-1 Site Hedge Baseline'!$B$1:$L$257,4,FALSE)),"",(VLOOKUP($B221,'B-1 Site Hedge Baseline'!$B$1:$L$257,4,FALSE))))</f>
        <v/>
      </c>
      <c r="E221" s="520" t="str">
        <f>IF(B221="","",IF(ISNA(VLOOKUP($B221,'B-1 Site Hedge Baseline'!$B$1:$L$257,5,FALSE)),"",(VLOOKUP($B221,'B-1 Site Hedge Baseline'!$B$1:$L$257,5,FALSE))))</f>
        <v/>
      </c>
      <c r="F221" s="520" t="str">
        <f>IF(B221="","",IF(ISNA(VLOOKUP($B221,'B-1 Site Hedge Baseline'!$B$1:$L$257,6,FALSE)),"",(VLOOKUP($B221,'B-1 Site Hedge Baseline'!$B$1:$L$257,6,FALSE))))</f>
        <v/>
      </c>
      <c r="G221" s="520" t="str">
        <f>IF(B221="","",IF(ISNA(VLOOKUP($B221,'B-1 Site Hedge Baseline'!$B$1:$L$257,7,FALSE)),"",(VLOOKUP($B221,'B-1 Site Hedge Baseline'!$B$1:$L$257,7,FALSE))))</f>
        <v/>
      </c>
      <c r="H221" s="520" t="str">
        <f>IF(B221="","",IF(ISNA(VLOOKUP($B221,'B-1 Site Hedge Baseline'!$B$1:$L$257,8,FALSE)),"",(VLOOKUP($B221,'B-1 Site Hedge Baseline'!$B$1:$L$257,8,FALSE))))</f>
        <v/>
      </c>
      <c r="I221" s="520" t="str">
        <f>IF(B221="","",IF(ISNA(VLOOKUP($B221,'B-1 Site Hedge Baseline'!$B$1:$L$257,10,FALSE)),"",(VLOOKUP($B221,'B-1 Site Hedge Baseline'!$B$1:$L$257,10,FALSE))))</f>
        <v/>
      </c>
      <c r="J221" s="520" t="str">
        <f>IF(B221="","",IF(ISNA(VLOOKUP($B221,'B-1 Site Hedge Baseline'!$B$1:$L$257,11,FALSE)),"",(VLOOKUP($B221,'B-1 Site Hedge Baseline'!$B$1:$L$257,11,FALSE))))</f>
        <v/>
      </c>
      <c r="K221" s="520" t="str">
        <f>IF(B221="","",IF(ISNA(VLOOKUP($B221,'B-1 Site Hedge Baseline'!$B$1:$U$257,13,FALSE)),"",(VLOOKUP($B221,'B-1 Site Hedge Baseline'!$B$1:$U$257,13,FALSE))))</f>
        <v/>
      </c>
      <c r="L221" s="524" t="str">
        <f>IF(B221="","",IF(ISNA(VLOOKUP($B221,'B-1 Site Hedge Baseline'!$B$1:$U$257,12,FALSE)),"",(VLOOKUP($B221,'B-1 Site Hedge Baseline'!$B$1:$U$257,12,FALSE))))</f>
        <v/>
      </c>
      <c r="M221" s="416" t="str">
        <f t="shared" si="31"/>
        <v/>
      </c>
      <c r="N221" s="498" t="str">
        <f>IFERROR(IF(B221="","",INDEX('G-6 Hedgerow Data'!$AN$3:$AZ$15,MATCH(C221,'G-6 Hedgerow Data'!$AM$3:$AM$15,0),MATCH(M221,'G-6 Hedgerow Data'!$AN$2:$AZ$2,0))),"")</f>
        <v/>
      </c>
      <c r="O221" s="499" t="str">
        <f t="shared" si="26"/>
        <v/>
      </c>
      <c r="P221" s="559" t="str">
        <f>IF(B221="","",VLOOKUP(B221,'B-1 Site Hedge Baseline'!$B$10:T466,16,FALSE))</f>
        <v/>
      </c>
      <c r="Q221" s="498" t="str">
        <f>IF(M221="","",VLOOKUP(M221,'G-6 Hedgerow Data'!$B$2:$AG$15,2,FALSE))</f>
        <v/>
      </c>
      <c r="R221" s="499" t="str">
        <f>IF(M221="","",VLOOKUP(M221,'G-6 Hedgerow Data'!$B$2:$AG$15,3,FALSE))</f>
        <v/>
      </c>
      <c r="S221" s="157"/>
      <c r="T221" s="540" t="str">
        <f>IFERROR(VLOOKUP(S221,'G-1 All Habitats'!$Z$2:$AA$9,2,FALSE),"")</f>
        <v/>
      </c>
      <c r="U221" s="154"/>
      <c r="V221" s="520" t="str">
        <f>IF(U221="","",IF(VLOOKUP(U221,'G-3 Multipliers'!$L$3:$N$6,2,FALSE)=0,"Spatial Data Missing ⚠",VLOOKUP(U221,'G-3 Multipliers'!$L$3:$N$6,2,FALSE)))</f>
        <v/>
      </c>
      <c r="W221" s="524"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4"/>
        <v/>
      </c>
      <c r="AD221" s="537" t="str">
        <f>IF(M221="","",VLOOKUP(M221,'G-6 Hedgerow Data'!$B$3:$AG$15,31,FALSE))</f>
        <v/>
      </c>
      <c r="AE221" s="507" t="str">
        <f t="shared" si="29"/>
        <v/>
      </c>
      <c r="AF221" s="507" t="str">
        <f t="shared" si="30"/>
        <v/>
      </c>
      <c r="AG221" s="524" t="str">
        <f>IFERROR(IF(O221="","",VLOOKUP(AD221,'G-3 Multipliers'!$P$3:$Q$6,2,FALSE)),"")</f>
        <v/>
      </c>
      <c r="AH221" s="513" t="str">
        <f t="shared" si="25"/>
        <v/>
      </c>
      <c r="AI221" s="231"/>
      <c r="AJ221" s="150"/>
      <c r="AT221" s="31" t="str">
        <f>IFERROR(INDEX('G-6 Hedgerow Data'!$BJ$3:$BJ$15,MATCH(M221,'G-6 Hedgerow Data'!$B$3:$B$15,0)),"")</f>
        <v/>
      </c>
    </row>
    <row r="222" spans="2:46" ht="13.8" x14ac:dyDescent="0.25">
      <c r="B222" s="531" t="str">
        <f>'B-1 Site Hedge Baseline'!AK220</f>
        <v/>
      </c>
      <c r="C222" s="520" t="str">
        <f>IF(B222="","",IF(ISNA(VLOOKUP($B222,'B-1 Site Hedge Baseline'!$B$1:$L$257,3,FALSE)),"",(VLOOKUP($B222,'B-1 Site Hedge Baseline'!$B$1:$L$257,3,FALSE))))</f>
        <v/>
      </c>
      <c r="D222" s="520" t="str">
        <f>IF(B222="","",IF(ISNA(VLOOKUP($B222,'B-1 Site Hedge Baseline'!$B$1:$L$257,4,FALSE)),"",(VLOOKUP($B222,'B-1 Site Hedge Baseline'!$B$1:$L$257,4,FALSE))))</f>
        <v/>
      </c>
      <c r="E222" s="520" t="str">
        <f>IF(B222="","",IF(ISNA(VLOOKUP($B222,'B-1 Site Hedge Baseline'!$B$1:$L$257,5,FALSE)),"",(VLOOKUP($B222,'B-1 Site Hedge Baseline'!$B$1:$L$257,5,FALSE))))</f>
        <v/>
      </c>
      <c r="F222" s="520" t="str">
        <f>IF(B222="","",IF(ISNA(VLOOKUP($B222,'B-1 Site Hedge Baseline'!$B$1:$L$257,6,FALSE)),"",(VLOOKUP($B222,'B-1 Site Hedge Baseline'!$B$1:$L$257,6,FALSE))))</f>
        <v/>
      </c>
      <c r="G222" s="520" t="str">
        <f>IF(B222="","",IF(ISNA(VLOOKUP($B222,'B-1 Site Hedge Baseline'!$B$1:$L$257,7,FALSE)),"",(VLOOKUP($B222,'B-1 Site Hedge Baseline'!$B$1:$L$257,7,FALSE))))</f>
        <v/>
      </c>
      <c r="H222" s="520" t="str">
        <f>IF(B222="","",IF(ISNA(VLOOKUP($B222,'B-1 Site Hedge Baseline'!$B$1:$L$257,8,FALSE)),"",(VLOOKUP($B222,'B-1 Site Hedge Baseline'!$B$1:$L$257,8,FALSE))))</f>
        <v/>
      </c>
      <c r="I222" s="520" t="str">
        <f>IF(B222="","",IF(ISNA(VLOOKUP($B222,'B-1 Site Hedge Baseline'!$B$1:$L$257,10,FALSE)),"",(VLOOKUP($B222,'B-1 Site Hedge Baseline'!$B$1:$L$257,10,FALSE))))</f>
        <v/>
      </c>
      <c r="J222" s="520" t="str">
        <f>IF(B222="","",IF(ISNA(VLOOKUP($B222,'B-1 Site Hedge Baseline'!$B$1:$L$257,11,FALSE)),"",(VLOOKUP($B222,'B-1 Site Hedge Baseline'!$B$1:$L$257,11,FALSE))))</f>
        <v/>
      </c>
      <c r="K222" s="520" t="str">
        <f>IF(B222="","",IF(ISNA(VLOOKUP($B222,'B-1 Site Hedge Baseline'!$B$1:$U$257,13,FALSE)),"",(VLOOKUP($B222,'B-1 Site Hedge Baseline'!$B$1:$U$257,13,FALSE))))</f>
        <v/>
      </c>
      <c r="L222" s="524" t="str">
        <f>IF(B222="","",IF(ISNA(VLOOKUP($B222,'B-1 Site Hedge Baseline'!$B$1:$U$257,12,FALSE)),"",(VLOOKUP($B222,'B-1 Site Hedge Baseline'!$B$1:$U$257,12,FALSE))))</f>
        <v/>
      </c>
      <c r="M222" s="416" t="str">
        <f t="shared" si="31"/>
        <v/>
      </c>
      <c r="N222" s="498" t="str">
        <f>IFERROR(IF(B222="","",INDEX('G-6 Hedgerow Data'!$AN$3:$AZ$15,MATCH(C222,'G-6 Hedgerow Data'!$AM$3:$AM$15,0),MATCH(M222,'G-6 Hedgerow Data'!$AN$2:$AZ$2,0))),"")</f>
        <v/>
      </c>
      <c r="O222" s="499" t="str">
        <f t="shared" si="26"/>
        <v/>
      </c>
      <c r="P222" s="559" t="str">
        <f>IF(B222="","",VLOOKUP(B222,'B-1 Site Hedge Baseline'!$B$10:T467,16,FALSE))</f>
        <v/>
      </c>
      <c r="Q222" s="498" t="str">
        <f>IF(M222="","",VLOOKUP(M222,'G-6 Hedgerow Data'!$B$2:$AG$15,2,FALSE))</f>
        <v/>
      </c>
      <c r="R222" s="499" t="str">
        <f>IF(M222="","",VLOOKUP(M222,'G-6 Hedgerow Data'!$B$2:$AG$15,3,FALSE))</f>
        <v/>
      </c>
      <c r="S222" s="157"/>
      <c r="T222" s="540" t="str">
        <f>IFERROR(VLOOKUP(S222,'G-1 All Habitats'!$Z$2:$AA$9,2,FALSE),"")</f>
        <v/>
      </c>
      <c r="U222" s="154"/>
      <c r="V222" s="520" t="str">
        <f>IF(U222="","",IF(VLOOKUP(U222,'G-3 Multipliers'!$L$3:$N$6,2,FALSE)=0,"Spatial Data Missing ⚠",VLOOKUP(U222,'G-3 Multipliers'!$L$3:$N$6,2,FALSE)))</f>
        <v/>
      </c>
      <c r="W222" s="524"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4"/>
        <v/>
      </c>
      <c r="AD222" s="537" t="str">
        <f>IF(M222="","",VLOOKUP(M222,'G-6 Hedgerow Data'!$B$3:$AG$15,31,FALSE))</f>
        <v/>
      </c>
      <c r="AE222" s="507" t="str">
        <f t="shared" si="29"/>
        <v/>
      </c>
      <c r="AF222" s="507" t="str">
        <f t="shared" si="30"/>
        <v/>
      </c>
      <c r="AG222" s="524" t="str">
        <f>IFERROR(IF(O222="","",VLOOKUP(AD222,'G-3 Multipliers'!$P$3:$Q$6,2,FALSE)),"")</f>
        <v/>
      </c>
      <c r="AH222" s="513" t="str">
        <f t="shared" si="25"/>
        <v/>
      </c>
      <c r="AI222" s="231"/>
      <c r="AJ222" s="150"/>
      <c r="AT222" s="31" t="str">
        <f>IFERROR(INDEX('G-6 Hedgerow Data'!$BJ$3:$BJ$15,MATCH(M222,'G-6 Hedgerow Data'!$B$3:$B$15,0)),"")</f>
        <v/>
      </c>
    </row>
    <row r="223" spans="2:46" ht="13.8" x14ac:dyDescent="0.25">
      <c r="B223" s="531" t="str">
        <f>'B-1 Site Hedge Baseline'!AK221</f>
        <v/>
      </c>
      <c r="C223" s="520" t="str">
        <f>IF(B223="","",IF(ISNA(VLOOKUP($B223,'B-1 Site Hedge Baseline'!$B$1:$L$257,3,FALSE)),"",(VLOOKUP($B223,'B-1 Site Hedge Baseline'!$B$1:$L$257,3,FALSE))))</f>
        <v/>
      </c>
      <c r="D223" s="520" t="str">
        <f>IF(B223="","",IF(ISNA(VLOOKUP($B223,'B-1 Site Hedge Baseline'!$B$1:$L$257,4,FALSE)),"",(VLOOKUP($B223,'B-1 Site Hedge Baseline'!$B$1:$L$257,4,FALSE))))</f>
        <v/>
      </c>
      <c r="E223" s="520" t="str">
        <f>IF(B223="","",IF(ISNA(VLOOKUP($B223,'B-1 Site Hedge Baseline'!$B$1:$L$257,5,FALSE)),"",(VLOOKUP($B223,'B-1 Site Hedge Baseline'!$B$1:$L$257,5,FALSE))))</f>
        <v/>
      </c>
      <c r="F223" s="520" t="str">
        <f>IF(B223="","",IF(ISNA(VLOOKUP($B223,'B-1 Site Hedge Baseline'!$B$1:$L$257,6,FALSE)),"",(VLOOKUP($B223,'B-1 Site Hedge Baseline'!$B$1:$L$257,6,FALSE))))</f>
        <v/>
      </c>
      <c r="G223" s="520" t="str">
        <f>IF(B223="","",IF(ISNA(VLOOKUP($B223,'B-1 Site Hedge Baseline'!$B$1:$L$257,7,FALSE)),"",(VLOOKUP($B223,'B-1 Site Hedge Baseline'!$B$1:$L$257,7,FALSE))))</f>
        <v/>
      </c>
      <c r="H223" s="520" t="str">
        <f>IF(B223="","",IF(ISNA(VLOOKUP($B223,'B-1 Site Hedge Baseline'!$B$1:$L$257,8,FALSE)),"",(VLOOKUP($B223,'B-1 Site Hedge Baseline'!$B$1:$L$257,8,FALSE))))</f>
        <v/>
      </c>
      <c r="I223" s="520" t="str">
        <f>IF(B223="","",IF(ISNA(VLOOKUP($B223,'B-1 Site Hedge Baseline'!$B$1:$L$257,10,FALSE)),"",(VLOOKUP($B223,'B-1 Site Hedge Baseline'!$B$1:$L$257,10,FALSE))))</f>
        <v/>
      </c>
      <c r="J223" s="520" t="str">
        <f>IF(B223="","",IF(ISNA(VLOOKUP($B223,'B-1 Site Hedge Baseline'!$B$1:$L$257,11,FALSE)),"",(VLOOKUP($B223,'B-1 Site Hedge Baseline'!$B$1:$L$257,11,FALSE))))</f>
        <v/>
      </c>
      <c r="K223" s="520" t="str">
        <f>IF(B223="","",IF(ISNA(VLOOKUP($B223,'B-1 Site Hedge Baseline'!$B$1:$U$257,13,FALSE)),"",(VLOOKUP($B223,'B-1 Site Hedge Baseline'!$B$1:$U$257,13,FALSE))))</f>
        <v/>
      </c>
      <c r="L223" s="524" t="str">
        <f>IF(B223="","",IF(ISNA(VLOOKUP($B223,'B-1 Site Hedge Baseline'!$B$1:$U$257,12,FALSE)),"",(VLOOKUP($B223,'B-1 Site Hedge Baseline'!$B$1:$U$257,12,FALSE))))</f>
        <v/>
      </c>
      <c r="M223" s="416" t="str">
        <f t="shared" si="31"/>
        <v/>
      </c>
      <c r="N223" s="498" t="str">
        <f>IFERROR(IF(B223="","",INDEX('G-6 Hedgerow Data'!$AN$3:$AZ$15,MATCH(C223,'G-6 Hedgerow Data'!$AM$3:$AM$15,0),MATCH(M223,'G-6 Hedgerow Data'!$AN$2:$AZ$2,0))),"")</f>
        <v/>
      </c>
      <c r="O223" s="499" t="str">
        <f t="shared" si="26"/>
        <v/>
      </c>
      <c r="P223" s="559" t="str">
        <f>IF(B223="","",VLOOKUP(B223,'B-1 Site Hedge Baseline'!$B$10:T468,16,FALSE))</f>
        <v/>
      </c>
      <c r="Q223" s="498" t="str">
        <f>IF(M223="","",VLOOKUP(M223,'G-6 Hedgerow Data'!$B$2:$AG$15,2,FALSE))</f>
        <v/>
      </c>
      <c r="R223" s="499" t="str">
        <f>IF(M223="","",VLOOKUP(M223,'G-6 Hedgerow Data'!$B$2:$AG$15,3,FALSE))</f>
        <v/>
      </c>
      <c r="S223" s="157"/>
      <c r="T223" s="540" t="str">
        <f>IFERROR(VLOOKUP(S223,'G-1 All Habitats'!$Z$2:$AA$9,2,FALSE),"")</f>
        <v/>
      </c>
      <c r="U223" s="154"/>
      <c r="V223" s="520" t="str">
        <f>IF(U223="","",IF(VLOOKUP(U223,'G-3 Multipliers'!$L$3:$N$6,2,FALSE)=0,"Spatial Data Missing ⚠",VLOOKUP(U223,'G-3 Multipliers'!$L$3:$N$6,2,FALSE)))</f>
        <v/>
      </c>
      <c r="W223" s="524"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4"/>
        <v/>
      </c>
      <c r="AD223" s="537" t="str">
        <f>IF(M223="","",VLOOKUP(M223,'G-6 Hedgerow Data'!$B$3:$AG$15,31,FALSE))</f>
        <v/>
      </c>
      <c r="AE223" s="507" t="str">
        <f t="shared" si="29"/>
        <v/>
      </c>
      <c r="AF223" s="507" t="str">
        <f t="shared" si="30"/>
        <v/>
      </c>
      <c r="AG223" s="524" t="str">
        <f>IFERROR(IF(O223="","",VLOOKUP(AD223,'G-3 Multipliers'!$P$3:$Q$6,2,FALSE)),"")</f>
        <v/>
      </c>
      <c r="AH223" s="513" t="str">
        <f t="shared" si="25"/>
        <v/>
      </c>
      <c r="AI223" s="231"/>
      <c r="AJ223" s="150"/>
      <c r="AT223" s="31" t="str">
        <f>IFERROR(INDEX('G-6 Hedgerow Data'!$BJ$3:$BJ$15,MATCH(M223,'G-6 Hedgerow Data'!$B$3:$B$15,0)),"")</f>
        <v/>
      </c>
    </row>
    <row r="224" spans="2:46" ht="13.8" x14ac:dyDescent="0.25">
      <c r="B224" s="531" t="str">
        <f>'B-1 Site Hedge Baseline'!AK222</f>
        <v/>
      </c>
      <c r="C224" s="520" t="str">
        <f>IF(B224="","",IF(ISNA(VLOOKUP($B224,'B-1 Site Hedge Baseline'!$B$1:$L$257,3,FALSE)),"",(VLOOKUP($B224,'B-1 Site Hedge Baseline'!$B$1:$L$257,3,FALSE))))</f>
        <v/>
      </c>
      <c r="D224" s="520" t="str">
        <f>IF(B224="","",IF(ISNA(VLOOKUP($B224,'B-1 Site Hedge Baseline'!$B$1:$L$257,4,FALSE)),"",(VLOOKUP($B224,'B-1 Site Hedge Baseline'!$B$1:$L$257,4,FALSE))))</f>
        <v/>
      </c>
      <c r="E224" s="520" t="str">
        <f>IF(B224="","",IF(ISNA(VLOOKUP($B224,'B-1 Site Hedge Baseline'!$B$1:$L$257,5,FALSE)),"",(VLOOKUP($B224,'B-1 Site Hedge Baseline'!$B$1:$L$257,5,FALSE))))</f>
        <v/>
      </c>
      <c r="F224" s="520" t="str">
        <f>IF(B224="","",IF(ISNA(VLOOKUP($B224,'B-1 Site Hedge Baseline'!$B$1:$L$257,6,FALSE)),"",(VLOOKUP($B224,'B-1 Site Hedge Baseline'!$B$1:$L$257,6,FALSE))))</f>
        <v/>
      </c>
      <c r="G224" s="520" t="str">
        <f>IF(B224="","",IF(ISNA(VLOOKUP($B224,'B-1 Site Hedge Baseline'!$B$1:$L$257,7,FALSE)),"",(VLOOKUP($B224,'B-1 Site Hedge Baseline'!$B$1:$L$257,7,FALSE))))</f>
        <v/>
      </c>
      <c r="H224" s="520" t="str">
        <f>IF(B224="","",IF(ISNA(VLOOKUP($B224,'B-1 Site Hedge Baseline'!$B$1:$L$257,8,FALSE)),"",(VLOOKUP($B224,'B-1 Site Hedge Baseline'!$B$1:$L$257,8,FALSE))))</f>
        <v/>
      </c>
      <c r="I224" s="520" t="str">
        <f>IF(B224="","",IF(ISNA(VLOOKUP($B224,'B-1 Site Hedge Baseline'!$B$1:$L$257,10,FALSE)),"",(VLOOKUP($B224,'B-1 Site Hedge Baseline'!$B$1:$L$257,10,FALSE))))</f>
        <v/>
      </c>
      <c r="J224" s="520" t="str">
        <f>IF(B224="","",IF(ISNA(VLOOKUP($B224,'B-1 Site Hedge Baseline'!$B$1:$L$257,11,FALSE)),"",(VLOOKUP($B224,'B-1 Site Hedge Baseline'!$B$1:$L$257,11,FALSE))))</f>
        <v/>
      </c>
      <c r="K224" s="520" t="str">
        <f>IF(B224="","",IF(ISNA(VLOOKUP($B224,'B-1 Site Hedge Baseline'!$B$1:$U$257,13,FALSE)),"",(VLOOKUP($B224,'B-1 Site Hedge Baseline'!$B$1:$U$257,13,FALSE))))</f>
        <v/>
      </c>
      <c r="L224" s="524" t="str">
        <f>IF(B224="","",IF(ISNA(VLOOKUP($B224,'B-1 Site Hedge Baseline'!$B$1:$U$257,12,FALSE)),"",(VLOOKUP($B224,'B-1 Site Hedge Baseline'!$B$1:$U$257,12,FALSE))))</f>
        <v/>
      </c>
      <c r="M224" s="416" t="str">
        <f t="shared" si="31"/>
        <v/>
      </c>
      <c r="N224" s="498" t="str">
        <f>IFERROR(IF(B224="","",INDEX('G-6 Hedgerow Data'!$AN$3:$AZ$15,MATCH(C224,'G-6 Hedgerow Data'!$AM$3:$AM$15,0),MATCH(M224,'G-6 Hedgerow Data'!$AN$2:$AZ$2,0))),"")</f>
        <v/>
      </c>
      <c r="O224" s="499" t="str">
        <f t="shared" si="26"/>
        <v/>
      </c>
      <c r="P224" s="559" t="str">
        <f>IF(B224="","",VLOOKUP(B224,'B-1 Site Hedge Baseline'!$B$10:T469,16,FALSE))</f>
        <v/>
      </c>
      <c r="Q224" s="498" t="str">
        <f>IF(M224="","",VLOOKUP(M224,'G-6 Hedgerow Data'!$B$2:$AG$15,2,FALSE))</f>
        <v/>
      </c>
      <c r="R224" s="499" t="str">
        <f>IF(M224="","",VLOOKUP(M224,'G-6 Hedgerow Data'!$B$2:$AG$15,3,FALSE))</f>
        <v/>
      </c>
      <c r="S224" s="157"/>
      <c r="T224" s="540" t="str">
        <f>IFERROR(VLOOKUP(S224,'G-1 All Habitats'!$Z$2:$AA$9,2,FALSE),"")</f>
        <v/>
      </c>
      <c r="U224" s="154"/>
      <c r="V224" s="520" t="str">
        <f>IF(U224="","",IF(VLOOKUP(U224,'G-3 Multipliers'!$L$3:$N$6,2,FALSE)=0,"Spatial Data Missing ⚠",VLOOKUP(U224,'G-3 Multipliers'!$L$3:$N$6,2,FALSE)))</f>
        <v/>
      </c>
      <c r="W224" s="524"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4"/>
        <v/>
      </c>
      <c r="AD224" s="537" t="str">
        <f>IF(M224="","",VLOOKUP(M224,'G-6 Hedgerow Data'!$B$3:$AG$15,31,FALSE))</f>
        <v/>
      </c>
      <c r="AE224" s="507" t="str">
        <f t="shared" si="29"/>
        <v/>
      </c>
      <c r="AF224" s="507" t="str">
        <f t="shared" si="30"/>
        <v/>
      </c>
      <c r="AG224" s="524" t="str">
        <f>IFERROR(IF(O224="","",VLOOKUP(AD224,'G-3 Multipliers'!$P$3:$Q$6,2,FALSE)),"")</f>
        <v/>
      </c>
      <c r="AH224" s="513" t="str">
        <f t="shared" si="25"/>
        <v/>
      </c>
      <c r="AI224" s="231"/>
      <c r="AJ224" s="150"/>
      <c r="AT224" s="31" t="str">
        <f>IFERROR(INDEX('G-6 Hedgerow Data'!$BJ$3:$BJ$15,MATCH(M224,'G-6 Hedgerow Data'!$B$3:$B$15,0)),"")</f>
        <v/>
      </c>
    </row>
    <row r="225" spans="2:46" ht="13.8" x14ac:dyDescent="0.25">
      <c r="B225" s="531" t="str">
        <f>'B-1 Site Hedge Baseline'!AK223</f>
        <v/>
      </c>
      <c r="C225" s="520" t="str">
        <f>IF(B225="","",IF(ISNA(VLOOKUP($B225,'B-1 Site Hedge Baseline'!$B$1:$L$257,3,FALSE)),"",(VLOOKUP($B225,'B-1 Site Hedge Baseline'!$B$1:$L$257,3,FALSE))))</f>
        <v/>
      </c>
      <c r="D225" s="520" t="str">
        <f>IF(B225="","",IF(ISNA(VLOOKUP($B225,'B-1 Site Hedge Baseline'!$B$1:$L$257,4,FALSE)),"",(VLOOKUP($B225,'B-1 Site Hedge Baseline'!$B$1:$L$257,4,FALSE))))</f>
        <v/>
      </c>
      <c r="E225" s="520" t="str">
        <f>IF(B225="","",IF(ISNA(VLOOKUP($B225,'B-1 Site Hedge Baseline'!$B$1:$L$257,5,FALSE)),"",(VLOOKUP($B225,'B-1 Site Hedge Baseline'!$B$1:$L$257,5,FALSE))))</f>
        <v/>
      </c>
      <c r="F225" s="520" t="str">
        <f>IF(B225="","",IF(ISNA(VLOOKUP($B225,'B-1 Site Hedge Baseline'!$B$1:$L$257,6,FALSE)),"",(VLOOKUP($B225,'B-1 Site Hedge Baseline'!$B$1:$L$257,6,FALSE))))</f>
        <v/>
      </c>
      <c r="G225" s="520" t="str">
        <f>IF(B225="","",IF(ISNA(VLOOKUP($B225,'B-1 Site Hedge Baseline'!$B$1:$L$257,7,FALSE)),"",(VLOOKUP($B225,'B-1 Site Hedge Baseline'!$B$1:$L$257,7,FALSE))))</f>
        <v/>
      </c>
      <c r="H225" s="520" t="str">
        <f>IF(B225="","",IF(ISNA(VLOOKUP($B225,'B-1 Site Hedge Baseline'!$B$1:$L$257,8,FALSE)),"",(VLOOKUP($B225,'B-1 Site Hedge Baseline'!$B$1:$L$257,8,FALSE))))</f>
        <v/>
      </c>
      <c r="I225" s="520" t="str">
        <f>IF(B225="","",IF(ISNA(VLOOKUP($B225,'B-1 Site Hedge Baseline'!$B$1:$L$257,10,FALSE)),"",(VLOOKUP($B225,'B-1 Site Hedge Baseline'!$B$1:$L$257,10,FALSE))))</f>
        <v/>
      </c>
      <c r="J225" s="520" t="str">
        <f>IF(B225="","",IF(ISNA(VLOOKUP($B225,'B-1 Site Hedge Baseline'!$B$1:$L$257,11,FALSE)),"",(VLOOKUP($B225,'B-1 Site Hedge Baseline'!$B$1:$L$257,11,FALSE))))</f>
        <v/>
      </c>
      <c r="K225" s="520" t="str">
        <f>IF(B225="","",IF(ISNA(VLOOKUP($B225,'B-1 Site Hedge Baseline'!$B$1:$U$257,13,FALSE)),"",(VLOOKUP($B225,'B-1 Site Hedge Baseline'!$B$1:$U$257,13,FALSE))))</f>
        <v/>
      </c>
      <c r="L225" s="524" t="str">
        <f>IF(B225="","",IF(ISNA(VLOOKUP($B225,'B-1 Site Hedge Baseline'!$B$1:$U$257,12,FALSE)),"",(VLOOKUP($B225,'B-1 Site Hedge Baseline'!$B$1:$U$257,12,FALSE))))</f>
        <v/>
      </c>
      <c r="M225" s="416" t="str">
        <f t="shared" si="31"/>
        <v/>
      </c>
      <c r="N225" s="498" t="str">
        <f>IFERROR(IF(B225="","",INDEX('G-6 Hedgerow Data'!$AN$3:$AZ$15,MATCH(C225,'G-6 Hedgerow Data'!$AM$3:$AM$15,0),MATCH(M225,'G-6 Hedgerow Data'!$AN$2:$AZ$2,0))),"")</f>
        <v/>
      </c>
      <c r="O225" s="499" t="str">
        <f t="shared" si="26"/>
        <v/>
      </c>
      <c r="P225" s="559" t="str">
        <f>IF(B225="","",VLOOKUP(B225,'B-1 Site Hedge Baseline'!$B$10:T470,16,FALSE))</f>
        <v/>
      </c>
      <c r="Q225" s="498" t="str">
        <f>IF(M225="","",VLOOKUP(M225,'G-6 Hedgerow Data'!$B$2:$AG$15,2,FALSE))</f>
        <v/>
      </c>
      <c r="R225" s="499" t="str">
        <f>IF(M225="","",VLOOKUP(M225,'G-6 Hedgerow Data'!$B$2:$AG$15,3,FALSE))</f>
        <v/>
      </c>
      <c r="S225" s="157"/>
      <c r="T225" s="540" t="str">
        <f>IFERROR(VLOOKUP(S225,'G-1 All Habitats'!$Z$2:$AA$9,2,FALSE),"")</f>
        <v/>
      </c>
      <c r="U225" s="154"/>
      <c r="V225" s="520" t="str">
        <f>IF(U225="","",IF(VLOOKUP(U225,'G-3 Multipliers'!$L$3:$N$6,2,FALSE)=0,"Spatial Data Missing ⚠",VLOOKUP(U225,'G-3 Multipliers'!$L$3:$N$6,2,FALSE)))</f>
        <v/>
      </c>
      <c r="W225" s="524"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4"/>
        <v/>
      </c>
      <c r="AD225" s="537" t="str">
        <f>IF(M225="","",VLOOKUP(M225,'G-6 Hedgerow Data'!$B$3:$AG$15,31,FALSE))</f>
        <v/>
      </c>
      <c r="AE225" s="507" t="str">
        <f t="shared" si="29"/>
        <v/>
      </c>
      <c r="AF225" s="507" t="str">
        <f t="shared" si="30"/>
        <v/>
      </c>
      <c r="AG225" s="524" t="str">
        <f>IFERROR(IF(O225="","",VLOOKUP(AD225,'G-3 Multipliers'!$P$3:$Q$6,2,FALSE)),"")</f>
        <v/>
      </c>
      <c r="AH225" s="513" t="str">
        <f t="shared" si="25"/>
        <v/>
      </c>
      <c r="AI225" s="231"/>
      <c r="AJ225" s="150"/>
      <c r="AT225" s="31" t="str">
        <f>IFERROR(INDEX('G-6 Hedgerow Data'!$BJ$3:$BJ$15,MATCH(M225,'G-6 Hedgerow Data'!$B$3:$B$15,0)),"")</f>
        <v/>
      </c>
    </row>
    <row r="226" spans="2:46" ht="13.8" x14ac:dyDescent="0.25">
      <c r="B226" s="531" t="str">
        <f>'B-1 Site Hedge Baseline'!AK224</f>
        <v/>
      </c>
      <c r="C226" s="520" t="str">
        <f>IF(B226="","",IF(ISNA(VLOOKUP($B226,'B-1 Site Hedge Baseline'!$B$1:$L$257,3,FALSE)),"",(VLOOKUP($B226,'B-1 Site Hedge Baseline'!$B$1:$L$257,3,FALSE))))</f>
        <v/>
      </c>
      <c r="D226" s="520" t="str">
        <f>IF(B226="","",IF(ISNA(VLOOKUP($B226,'B-1 Site Hedge Baseline'!$B$1:$L$257,4,FALSE)),"",(VLOOKUP($B226,'B-1 Site Hedge Baseline'!$B$1:$L$257,4,FALSE))))</f>
        <v/>
      </c>
      <c r="E226" s="520" t="str">
        <f>IF(B226="","",IF(ISNA(VLOOKUP($B226,'B-1 Site Hedge Baseline'!$B$1:$L$257,5,FALSE)),"",(VLOOKUP($B226,'B-1 Site Hedge Baseline'!$B$1:$L$257,5,FALSE))))</f>
        <v/>
      </c>
      <c r="F226" s="520" t="str">
        <f>IF(B226="","",IF(ISNA(VLOOKUP($B226,'B-1 Site Hedge Baseline'!$B$1:$L$257,6,FALSE)),"",(VLOOKUP($B226,'B-1 Site Hedge Baseline'!$B$1:$L$257,6,FALSE))))</f>
        <v/>
      </c>
      <c r="G226" s="520" t="str">
        <f>IF(B226="","",IF(ISNA(VLOOKUP($B226,'B-1 Site Hedge Baseline'!$B$1:$L$257,7,FALSE)),"",(VLOOKUP($B226,'B-1 Site Hedge Baseline'!$B$1:$L$257,7,FALSE))))</f>
        <v/>
      </c>
      <c r="H226" s="520" t="str">
        <f>IF(B226="","",IF(ISNA(VLOOKUP($B226,'B-1 Site Hedge Baseline'!$B$1:$L$257,8,FALSE)),"",(VLOOKUP($B226,'B-1 Site Hedge Baseline'!$B$1:$L$257,8,FALSE))))</f>
        <v/>
      </c>
      <c r="I226" s="520" t="str">
        <f>IF(B226="","",IF(ISNA(VLOOKUP($B226,'B-1 Site Hedge Baseline'!$B$1:$L$257,10,FALSE)),"",(VLOOKUP($B226,'B-1 Site Hedge Baseline'!$B$1:$L$257,10,FALSE))))</f>
        <v/>
      </c>
      <c r="J226" s="520" t="str">
        <f>IF(B226="","",IF(ISNA(VLOOKUP($B226,'B-1 Site Hedge Baseline'!$B$1:$L$257,11,FALSE)),"",(VLOOKUP($B226,'B-1 Site Hedge Baseline'!$B$1:$L$257,11,FALSE))))</f>
        <v/>
      </c>
      <c r="K226" s="520" t="str">
        <f>IF(B226="","",IF(ISNA(VLOOKUP($B226,'B-1 Site Hedge Baseline'!$B$1:$U$257,13,FALSE)),"",(VLOOKUP($B226,'B-1 Site Hedge Baseline'!$B$1:$U$257,13,FALSE))))</f>
        <v/>
      </c>
      <c r="L226" s="524" t="str">
        <f>IF(B226="","",IF(ISNA(VLOOKUP($B226,'B-1 Site Hedge Baseline'!$B$1:$U$257,12,FALSE)),"",(VLOOKUP($B226,'B-1 Site Hedge Baseline'!$B$1:$U$257,12,FALSE))))</f>
        <v/>
      </c>
      <c r="M226" s="416" t="str">
        <f t="shared" si="31"/>
        <v/>
      </c>
      <c r="N226" s="498" t="str">
        <f>IFERROR(IF(B226="","",INDEX('G-6 Hedgerow Data'!$AN$3:$AZ$15,MATCH(C226,'G-6 Hedgerow Data'!$AM$3:$AM$15,0),MATCH(M226,'G-6 Hedgerow Data'!$AN$2:$AZ$2,0))),"")</f>
        <v/>
      </c>
      <c r="O226" s="499" t="str">
        <f t="shared" si="26"/>
        <v/>
      </c>
      <c r="P226" s="559" t="str">
        <f>IF(B226="","",VLOOKUP(B226,'B-1 Site Hedge Baseline'!$B$10:T471,16,FALSE))</f>
        <v/>
      </c>
      <c r="Q226" s="498" t="str">
        <f>IF(M226="","",VLOOKUP(M226,'G-6 Hedgerow Data'!$B$2:$AG$15,2,FALSE))</f>
        <v/>
      </c>
      <c r="R226" s="499" t="str">
        <f>IF(M226="","",VLOOKUP(M226,'G-6 Hedgerow Data'!$B$2:$AG$15,3,FALSE))</f>
        <v/>
      </c>
      <c r="S226" s="157"/>
      <c r="T226" s="540" t="str">
        <f>IFERROR(VLOOKUP(S226,'G-1 All Habitats'!$Z$2:$AA$9,2,FALSE),"")</f>
        <v/>
      </c>
      <c r="U226" s="154"/>
      <c r="V226" s="520" t="str">
        <f>IF(U226="","",IF(VLOOKUP(U226,'G-3 Multipliers'!$L$3:$N$6,2,FALSE)=0,"Spatial Data Missing ⚠",VLOOKUP(U226,'G-3 Multipliers'!$L$3:$N$6,2,FALSE)))</f>
        <v/>
      </c>
      <c r="W226" s="524"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4"/>
        <v/>
      </c>
      <c r="AD226" s="537" t="str">
        <f>IF(M226="","",VLOOKUP(M226,'G-6 Hedgerow Data'!$B$3:$AG$15,31,FALSE))</f>
        <v/>
      </c>
      <c r="AE226" s="507" t="str">
        <f t="shared" si="29"/>
        <v/>
      </c>
      <c r="AF226" s="507" t="str">
        <f t="shared" si="30"/>
        <v/>
      </c>
      <c r="AG226" s="524" t="str">
        <f>IFERROR(IF(O226="","",VLOOKUP(AD226,'G-3 Multipliers'!$P$3:$Q$6,2,FALSE)),"")</f>
        <v/>
      </c>
      <c r="AH226" s="513" t="str">
        <f t="shared" si="25"/>
        <v/>
      </c>
      <c r="AI226" s="231"/>
      <c r="AJ226" s="150"/>
      <c r="AT226" s="31" t="str">
        <f>IFERROR(INDEX('G-6 Hedgerow Data'!$BJ$3:$BJ$15,MATCH(M226,'G-6 Hedgerow Data'!$B$3:$B$15,0)),"")</f>
        <v/>
      </c>
    </row>
    <row r="227" spans="2:46" ht="13.8" x14ac:dyDescent="0.25">
      <c r="B227" s="531" t="str">
        <f>'B-1 Site Hedge Baseline'!AK225</f>
        <v/>
      </c>
      <c r="C227" s="520" t="str">
        <f>IF(B227="","",IF(ISNA(VLOOKUP($B227,'B-1 Site Hedge Baseline'!$B$1:$L$257,3,FALSE)),"",(VLOOKUP($B227,'B-1 Site Hedge Baseline'!$B$1:$L$257,3,FALSE))))</f>
        <v/>
      </c>
      <c r="D227" s="520" t="str">
        <f>IF(B227="","",IF(ISNA(VLOOKUP($B227,'B-1 Site Hedge Baseline'!$B$1:$L$257,4,FALSE)),"",(VLOOKUP($B227,'B-1 Site Hedge Baseline'!$B$1:$L$257,4,FALSE))))</f>
        <v/>
      </c>
      <c r="E227" s="520" t="str">
        <f>IF(B227="","",IF(ISNA(VLOOKUP($B227,'B-1 Site Hedge Baseline'!$B$1:$L$257,5,FALSE)),"",(VLOOKUP($B227,'B-1 Site Hedge Baseline'!$B$1:$L$257,5,FALSE))))</f>
        <v/>
      </c>
      <c r="F227" s="520" t="str">
        <f>IF(B227="","",IF(ISNA(VLOOKUP($B227,'B-1 Site Hedge Baseline'!$B$1:$L$257,6,FALSE)),"",(VLOOKUP($B227,'B-1 Site Hedge Baseline'!$B$1:$L$257,6,FALSE))))</f>
        <v/>
      </c>
      <c r="G227" s="520" t="str">
        <f>IF(B227="","",IF(ISNA(VLOOKUP($B227,'B-1 Site Hedge Baseline'!$B$1:$L$257,7,FALSE)),"",(VLOOKUP($B227,'B-1 Site Hedge Baseline'!$B$1:$L$257,7,FALSE))))</f>
        <v/>
      </c>
      <c r="H227" s="520" t="str">
        <f>IF(B227="","",IF(ISNA(VLOOKUP($B227,'B-1 Site Hedge Baseline'!$B$1:$L$257,8,FALSE)),"",(VLOOKUP($B227,'B-1 Site Hedge Baseline'!$B$1:$L$257,8,FALSE))))</f>
        <v/>
      </c>
      <c r="I227" s="520" t="str">
        <f>IF(B227="","",IF(ISNA(VLOOKUP($B227,'B-1 Site Hedge Baseline'!$B$1:$L$257,10,FALSE)),"",(VLOOKUP($B227,'B-1 Site Hedge Baseline'!$B$1:$L$257,10,FALSE))))</f>
        <v/>
      </c>
      <c r="J227" s="520" t="str">
        <f>IF(B227="","",IF(ISNA(VLOOKUP($B227,'B-1 Site Hedge Baseline'!$B$1:$L$257,11,FALSE)),"",(VLOOKUP($B227,'B-1 Site Hedge Baseline'!$B$1:$L$257,11,FALSE))))</f>
        <v/>
      </c>
      <c r="K227" s="520" t="str">
        <f>IF(B227="","",IF(ISNA(VLOOKUP($B227,'B-1 Site Hedge Baseline'!$B$1:$U$257,13,FALSE)),"",(VLOOKUP($B227,'B-1 Site Hedge Baseline'!$B$1:$U$257,13,FALSE))))</f>
        <v/>
      </c>
      <c r="L227" s="524" t="str">
        <f>IF(B227="","",IF(ISNA(VLOOKUP($B227,'B-1 Site Hedge Baseline'!$B$1:$U$257,12,FALSE)),"",(VLOOKUP($B227,'B-1 Site Hedge Baseline'!$B$1:$U$257,12,FALSE))))</f>
        <v/>
      </c>
      <c r="M227" s="416" t="str">
        <f t="shared" si="31"/>
        <v/>
      </c>
      <c r="N227" s="498" t="str">
        <f>IFERROR(IF(B227="","",INDEX('G-6 Hedgerow Data'!$AN$3:$AZ$15,MATCH(C227,'G-6 Hedgerow Data'!$AM$3:$AM$15,0),MATCH(M227,'G-6 Hedgerow Data'!$AN$2:$AZ$2,0))),"")</f>
        <v/>
      </c>
      <c r="O227" s="499" t="str">
        <f t="shared" si="26"/>
        <v/>
      </c>
      <c r="P227" s="559" t="str">
        <f>IF(B227="","",VLOOKUP(B227,'B-1 Site Hedge Baseline'!$B$10:T472,16,FALSE))</f>
        <v/>
      </c>
      <c r="Q227" s="498" t="str">
        <f>IF(M227="","",VLOOKUP(M227,'G-6 Hedgerow Data'!$B$2:$AG$15,2,FALSE))</f>
        <v/>
      </c>
      <c r="R227" s="499" t="str">
        <f>IF(M227="","",VLOOKUP(M227,'G-6 Hedgerow Data'!$B$2:$AG$15,3,FALSE))</f>
        <v/>
      </c>
      <c r="S227" s="157"/>
      <c r="T227" s="540" t="str">
        <f>IFERROR(VLOOKUP(S227,'G-1 All Habitats'!$Z$2:$AA$9,2,FALSE),"")</f>
        <v/>
      </c>
      <c r="U227" s="154"/>
      <c r="V227" s="520" t="str">
        <f>IF(U227="","",IF(VLOOKUP(U227,'G-3 Multipliers'!$L$3:$N$6,2,FALSE)=0,"Spatial Data Missing ⚠",VLOOKUP(U227,'G-3 Multipliers'!$L$3:$N$6,2,FALSE)))</f>
        <v/>
      </c>
      <c r="W227" s="524"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4"/>
        <v/>
      </c>
      <c r="AD227" s="537" t="str">
        <f>IF(M227="","",VLOOKUP(M227,'G-6 Hedgerow Data'!$B$3:$AG$15,31,FALSE))</f>
        <v/>
      </c>
      <c r="AE227" s="507" t="str">
        <f t="shared" si="29"/>
        <v/>
      </c>
      <c r="AF227" s="507" t="str">
        <f t="shared" si="30"/>
        <v/>
      </c>
      <c r="AG227" s="524" t="str">
        <f>IFERROR(IF(O227="","",VLOOKUP(AD227,'G-3 Multipliers'!$P$3:$Q$6,2,FALSE)),"")</f>
        <v/>
      </c>
      <c r="AH227" s="513" t="str">
        <f t="shared" si="25"/>
        <v/>
      </c>
      <c r="AI227" s="231"/>
      <c r="AJ227" s="150"/>
      <c r="AT227" s="31" t="str">
        <f>IFERROR(INDEX('G-6 Hedgerow Data'!$BJ$3:$BJ$15,MATCH(M227,'G-6 Hedgerow Data'!$B$3:$B$15,0)),"")</f>
        <v/>
      </c>
    </row>
    <row r="228" spans="2:46" ht="13.8" x14ac:dyDescent="0.25">
      <c r="B228" s="531" t="str">
        <f>'B-1 Site Hedge Baseline'!AK226</f>
        <v/>
      </c>
      <c r="C228" s="520" t="str">
        <f>IF(B228="","",IF(ISNA(VLOOKUP($B228,'B-1 Site Hedge Baseline'!$B$1:$L$257,3,FALSE)),"",(VLOOKUP($B228,'B-1 Site Hedge Baseline'!$B$1:$L$257,3,FALSE))))</f>
        <v/>
      </c>
      <c r="D228" s="520" t="str">
        <f>IF(B228="","",IF(ISNA(VLOOKUP($B228,'B-1 Site Hedge Baseline'!$B$1:$L$257,4,FALSE)),"",(VLOOKUP($B228,'B-1 Site Hedge Baseline'!$B$1:$L$257,4,FALSE))))</f>
        <v/>
      </c>
      <c r="E228" s="520" t="str">
        <f>IF(B228="","",IF(ISNA(VLOOKUP($B228,'B-1 Site Hedge Baseline'!$B$1:$L$257,5,FALSE)),"",(VLOOKUP($B228,'B-1 Site Hedge Baseline'!$B$1:$L$257,5,FALSE))))</f>
        <v/>
      </c>
      <c r="F228" s="520" t="str">
        <f>IF(B228="","",IF(ISNA(VLOOKUP($B228,'B-1 Site Hedge Baseline'!$B$1:$L$257,6,FALSE)),"",(VLOOKUP($B228,'B-1 Site Hedge Baseline'!$B$1:$L$257,6,FALSE))))</f>
        <v/>
      </c>
      <c r="G228" s="520" t="str">
        <f>IF(B228="","",IF(ISNA(VLOOKUP($B228,'B-1 Site Hedge Baseline'!$B$1:$L$257,7,FALSE)),"",(VLOOKUP($B228,'B-1 Site Hedge Baseline'!$B$1:$L$257,7,FALSE))))</f>
        <v/>
      </c>
      <c r="H228" s="520" t="str">
        <f>IF(B228="","",IF(ISNA(VLOOKUP($B228,'B-1 Site Hedge Baseline'!$B$1:$L$257,8,FALSE)),"",(VLOOKUP($B228,'B-1 Site Hedge Baseline'!$B$1:$L$257,8,FALSE))))</f>
        <v/>
      </c>
      <c r="I228" s="520" t="str">
        <f>IF(B228="","",IF(ISNA(VLOOKUP($B228,'B-1 Site Hedge Baseline'!$B$1:$L$257,10,FALSE)),"",(VLOOKUP($B228,'B-1 Site Hedge Baseline'!$B$1:$L$257,10,FALSE))))</f>
        <v/>
      </c>
      <c r="J228" s="520" t="str">
        <f>IF(B228="","",IF(ISNA(VLOOKUP($B228,'B-1 Site Hedge Baseline'!$B$1:$L$257,11,FALSE)),"",(VLOOKUP($B228,'B-1 Site Hedge Baseline'!$B$1:$L$257,11,FALSE))))</f>
        <v/>
      </c>
      <c r="K228" s="520" t="str">
        <f>IF(B228="","",IF(ISNA(VLOOKUP($B228,'B-1 Site Hedge Baseline'!$B$1:$U$257,13,FALSE)),"",(VLOOKUP($B228,'B-1 Site Hedge Baseline'!$B$1:$U$257,13,FALSE))))</f>
        <v/>
      </c>
      <c r="L228" s="524" t="str">
        <f>IF(B228="","",IF(ISNA(VLOOKUP($B228,'B-1 Site Hedge Baseline'!$B$1:$U$257,12,FALSE)),"",(VLOOKUP($B228,'B-1 Site Hedge Baseline'!$B$1:$U$257,12,FALSE))))</f>
        <v/>
      </c>
      <c r="M228" s="416" t="str">
        <f t="shared" si="31"/>
        <v/>
      </c>
      <c r="N228" s="498" t="str">
        <f>IFERROR(IF(B228="","",INDEX('G-6 Hedgerow Data'!$AN$3:$AZ$15,MATCH(C228,'G-6 Hedgerow Data'!$AM$3:$AM$15,0),MATCH(M228,'G-6 Hedgerow Data'!$AN$2:$AZ$2,0))),"")</f>
        <v/>
      </c>
      <c r="O228" s="499" t="str">
        <f t="shared" si="26"/>
        <v/>
      </c>
      <c r="P228" s="559" t="str">
        <f>IF(B228="","",VLOOKUP(B228,'B-1 Site Hedge Baseline'!$B$10:T473,16,FALSE))</f>
        <v/>
      </c>
      <c r="Q228" s="498" t="str">
        <f>IF(M228="","",VLOOKUP(M228,'G-6 Hedgerow Data'!$B$2:$AG$15,2,FALSE))</f>
        <v/>
      </c>
      <c r="R228" s="499" t="str">
        <f>IF(M228="","",VLOOKUP(M228,'G-6 Hedgerow Data'!$B$2:$AG$15,3,FALSE))</f>
        <v/>
      </c>
      <c r="S228" s="157"/>
      <c r="T228" s="540" t="str">
        <f>IFERROR(VLOOKUP(S228,'G-1 All Habitats'!$Z$2:$AA$9,2,FALSE),"")</f>
        <v/>
      </c>
      <c r="U228" s="154"/>
      <c r="V228" s="520" t="str">
        <f>IF(U228="","",IF(VLOOKUP(U228,'G-3 Multipliers'!$L$3:$N$6,2,FALSE)=0,"Spatial Data Missing ⚠",VLOOKUP(U228,'G-3 Multipliers'!$L$3:$N$6,2,FALSE)))</f>
        <v/>
      </c>
      <c r="W228" s="524"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4"/>
        <v/>
      </c>
      <c r="AD228" s="537" t="str">
        <f>IF(M228="","",VLOOKUP(M228,'G-6 Hedgerow Data'!$B$3:$AG$15,31,FALSE))</f>
        <v/>
      </c>
      <c r="AE228" s="507" t="str">
        <f t="shared" si="29"/>
        <v/>
      </c>
      <c r="AF228" s="507" t="str">
        <f t="shared" si="30"/>
        <v/>
      </c>
      <c r="AG228" s="524" t="str">
        <f>IFERROR(IF(O228="","",VLOOKUP(AD228,'G-3 Multipliers'!$P$3:$Q$6,2,FALSE)),"")</f>
        <v/>
      </c>
      <c r="AH228" s="513" t="str">
        <f t="shared" si="25"/>
        <v/>
      </c>
      <c r="AI228" s="231"/>
      <c r="AJ228" s="150"/>
      <c r="AT228" s="31" t="str">
        <f>IFERROR(INDEX('G-6 Hedgerow Data'!$BJ$3:$BJ$15,MATCH(M228,'G-6 Hedgerow Data'!$B$3:$B$15,0)),"")</f>
        <v/>
      </c>
    </row>
    <row r="229" spans="2:46" ht="13.8" x14ac:dyDescent="0.25">
      <c r="B229" s="531" t="str">
        <f>'B-1 Site Hedge Baseline'!AK227</f>
        <v/>
      </c>
      <c r="C229" s="520" t="str">
        <f>IF(B229="","",IF(ISNA(VLOOKUP($B229,'B-1 Site Hedge Baseline'!$B$1:$L$257,3,FALSE)),"",(VLOOKUP($B229,'B-1 Site Hedge Baseline'!$B$1:$L$257,3,FALSE))))</f>
        <v/>
      </c>
      <c r="D229" s="520" t="str">
        <f>IF(B229="","",IF(ISNA(VLOOKUP($B229,'B-1 Site Hedge Baseline'!$B$1:$L$257,4,FALSE)),"",(VLOOKUP($B229,'B-1 Site Hedge Baseline'!$B$1:$L$257,4,FALSE))))</f>
        <v/>
      </c>
      <c r="E229" s="520" t="str">
        <f>IF(B229="","",IF(ISNA(VLOOKUP($B229,'B-1 Site Hedge Baseline'!$B$1:$L$257,5,FALSE)),"",(VLOOKUP($B229,'B-1 Site Hedge Baseline'!$B$1:$L$257,5,FALSE))))</f>
        <v/>
      </c>
      <c r="F229" s="520" t="str">
        <f>IF(B229="","",IF(ISNA(VLOOKUP($B229,'B-1 Site Hedge Baseline'!$B$1:$L$257,6,FALSE)),"",(VLOOKUP($B229,'B-1 Site Hedge Baseline'!$B$1:$L$257,6,FALSE))))</f>
        <v/>
      </c>
      <c r="G229" s="520" t="str">
        <f>IF(B229="","",IF(ISNA(VLOOKUP($B229,'B-1 Site Hedge Baseline'!$B$1:$L$257,7,FALSE)),"",(VLOOKUP($B229,'B-1 Site Hedge Baseline'!$B$1:$L$257,7,FALSE))))</f>
        <v/>
      </c>
      <c r="H229" s="520" t="str">
        <f>IF(B229="","",IF(ISNA(VLOOKUP($B229,'B-1 Site Hedge Baseline'!$B$1:$L$257,8,FALSE)),"",(VLOOKUP($B229,'B-1 Site Hedge Baseline'!$B$1:$L$257,8,FALSE))))</f>
        <v/>
      </c>
      <c r="I229" s="520" t="str">
        <f>IF(B229="","",IF(ISNA(VLOOKUP($B229,'B-1 Site Hedge Baseline'!$B$1:$L$257,10,FALSE)),"",(VLOOKUP($B229,'B-1 Site Hedge Baseline'!$B$1:$L$257,10,FALSE))))</f>
        <v/>
      </c>
      <c r="J229" s="520" t="str">
        <f>IF(B229="","",IF(ISNA(VLOOKUP($B229,'B-1 Site Hedge Baseline'!$B$1:$L$257,11,FALSE)),"",(VLOOKUP($B229,'B-1 Site Hedge Baseline'!$B$1:$L$257,11,FALSE))))</f>
        <v/>
      </c>
      <c r="K229" s="520" t="str">
        <f>IF(B229="","",IF(ISNA(VLOOKUP($B229,'B-1 Site Hedge Baseline'!$B$1:$U$257,13,FALSE)),"",(VLOOKUP($B229,'B-1 Site Hedge Baseline'!$B$1:$U$257,13,FALSE))))</f>
        <v/>
      </c>
      <c r="L229" s="524" t="str">
        <f>IF(B229="","",IF(ISNA(VLOOKUP($B229,'B-1 Site Hedge Baseline'!$B$1:$U$257,12,FALSE)),"",(VLOOKUP($B229,'B-1 Site Hedge Baseline'!$B$1:$U$257,12,FALSE))))</f>
        <v/>
      </c>
      <c r="M229" s="416" t="str">
        <f t="shared" si="31"/>
        <v/>
      </c>
      <c r="N229" s="498" t="str">
        <f>IFERROR(IF(B229="","",INDEX('G-6 Hedgerow Data'!$AN$3:$AZ$15,MATCH(C229,'G-6 Hedgerow Data'!$AM$3:$AM$15,0),MATCH(M229,'G-6 Hedgerow Data'!$AN$2:$AZ$2,0))),"")</f>
        <v/>
      </c>
      <c r="O229" s="499" t="str">
        <f t="shared" si="26"/>
        <v/>
      </c>
      <c r="P229" s="559" t="str">
        <f>IF(B229="","",VLOOKUP(B229,'B-1 Site Hedge Baseline'!$B$10:T474,16,FALSE))</f>
        <v/>
      </c>
      <c r="Q229" s="498" t="str">
        <f>IF(M229="","",VLOOKUP(M229,'G-6 Hedgerow Data'!$B$2:$AG$15,2,FALSE))</f>
        <v/>
      </c>
      <c r="R229" s="499" t="str">
        <f>IF(M229="","",VLOOKUP(M229,'G-6 Hedgerow Data'!$B$2:$AG$15,3,FALSE))</f>
        <v/>
      </c>
      <c r="S229" s="157"/>
      <c r="T229" s="540" t="str">
        <f>IFERROR(VLOOKUP(S229,'G-1 All Habitats'!$Z$2:$AA$9,2,FALSE),"")</f>
        <v/>
      </c>
      <c r="U229" s="154"/>
      <c r="V229" s="520" t="str">
        <f>IF(U229="","",IF(VLOOKUP(U229,'G-3 Multipliers'!$L$3:$N$6,2,FALSE)=0,"Spatial Data Missing ⚠",VLOOKUP(U229,'G-3 Multipliers'!$L$3:$N$6,2,FALSE)))</f>
        <v/>
      </c>
      <c r="W229" s="524"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4"/>
        <v/>
      </c>
      <c r="AD229" s="537" t="str">
        <f>IF(M229="","",VLOOKUP(M229,'G-6 Hedgerow Data'!$B$3:$AG$15,31,FALSE))</f>
        <v/>
      </c>
      <c r="AE229" s="507" t="str">
        <f t="shared" si="29"/>
        <v/>
      </c>
      <c r="AF229" s="507" t="str">
        <f t="shared" si="30"/>
        <v/>
      </c>
      <c r="AG229" s="524" t="str">
        <f>IFERROR(IF(O229="","",VLOOKUP(AD229,'G-3 Multipliers'!$P$3:$Q$6,2,FALSE)),"")</f>
        <v/>
      </c>
      <c r="AH229" s="513" t="str">
        <f t="shared" si="25"/>
        <v/>
      </c>
      <c r="AI229" s="231"/>
      <c r="AJ229" s="150"/>
      <c r="AT229" s="31" t="str">
        <f>IFERROR(INDEX('G-6 Hedgerow Data'!$BJ$3:$BJ$15,MATCH(M229,'G-6 Hedgerow Data'!$B$3:$B$15,0)),"")</f>
        <v/>
      </c>
    </row>
    <row r="230" spans="2:46" ht="13.8" x14ac:dyDescent="0.25">
      <c r="B230" s="531" t="str">
        <f>'B-1 Site Hedge Baseline'!AK228</f>
        <v/>
      </c>
      <c r="C230" s="520" t="str">
        <f>IF(B230="","",IF(ISNA(VLOOKUP($B230,'B-1 Site Hedge Baseline'!$B$1:$L$257,3,FALSE)),"",(VLOOKUP($B230,'B-1 Site Hedge Baseline'!$B$1:$L$257,3,FALSE))))</f>
        <v/>
      </c>
      <c r="D230" s="520" t="str">
        <f>IF(B230="","",IF(ISNA(VLOOKUP($B230,'B-1 Site Hedge Baseline'!$B$1:$L$257,4,FALSE)),"",(VLOOKUP($B230,'B-1 Site Hedge Baseline'!$B$1:$L$257,4,FALSE))))</f>
        <v/>
      </c>
      <c r="E230" s="520" t="str">
        <f>IF(B230="","",IF(ISNA(VLOOKUP($B230,'B-1 Site Hedge Baseline'!$B$1:$L$257,5,FALSE)),"",(VLOOKUP($B230,'B-1 Site Hedge Baseline'!$B$1:$L$257,5,FALSE))))</f>
        <v/>
      </c>
      <c r="F230" s="520" t="str">
        <f>IF(B230="","",IF(ISNA(VLOOKUP($B230,'B-1 Site Hedge Baseline'!$B$1:$L$257,6,FALSE)),"",(VLOOKUP($B230,'B-1 Site Hedge Baseline'!$B$1:$L$257,6,FALSE))))</f>
        <v/>
      </c>
      <c r="G230" s="520" t="str">
        <f>IF(B230="","",IF(ISNA(VLOOKUP($B230,'B-1 Site Hedge Baseline'!$B$1:$L$257,7,FALSE)),"",(VLOOKUP($B230,'B-1 Site Hedge Baseline'!$B$1:$L$257,7,FALSE))))</f>
        <v/>
      </c>
      <c r="H230" s="520" t="str">
        <f>IF(B230="","",IF(ISNA(VLOOKUP($B230,'B-1 Site Hedge Baseline'!$B$1:$L$257,8,FALSE)),"",(VLOOKUP($B230,'B-1 Site Hedge Baseline'!$B$1:$L$257,8,FALSE))))</f>
        <v/>
      </c>
      <c r="I230" s="520" t="str">
        <f>IF(B230="","",IF(ISNA(VLOOKUP($B230,'B-1 Site Hedge Baseline'!$B$1:$L$257,10,FALSE)),"",(VLOOKUP($B230,'B-1 Site Hedge Baseline'!$B$1:$L$257,10,FALSE))))</f>
        <v/>
      </c>
      <c r="J230" s="520" t="str">
        <f>IF(B230="","",IF(ISNA(VLOOKUP($B230,'B-1 Site Hedge Baseline'!$B$1:$L$257,11,FALSE)),"",(VLOOKUP($B230,'B-1 Site Hedge Baseline'!$B$1:$L$257,11,FALSE))))</f>
        <v/>
      </c>
      <c r="K230" s="520" t="str">
        <f>IF(B230="","",IF(ISNA(VLOOKUP($B230,'B-1 Site Hedge Baseline'!$B$1:$U$257,13,FALSE)),"",(VLOOKUP($B230,'B-1 Site Hedge Baseline'!$B$1:$U$257,13,FALSE))))</f>
        <v/>
      </c>
      <c r="L230" s="524" t="str">
        <f>IF(B230="","",IF(ISNA(VLOOKUP($B230,'B-1 Site Hedge Baseline'!$B$1:$U$257,12,FALSE)),"",(VLOOKUP($B230,'B-1 Site Hedge Baseline'!$B$1:$U$257,12,FALSE))))</f>
        <v/>
      </c>
      <c r="M230" s="416" t="str">
        <f t="shared" si="31"/>
        <v/>
      </c>
      <c r="N230" s="498" t="str">
        <f>IFERROR(IF(B230="","",INDEX('G-6 Hedgerow Data'!$AN$3:$AZ$15,MATCH(C230,'G-6 Hedgerow Data'!$AM$3:$AM$15,0),MATCH(M230,'G-6 Hedgerow Data'!$AN$2:$AZ$2,0))),"")</f>
        <v/>
      </c>
      <c r="O230" s="499" t="str">
        <f t="shared" si="26"/>
        <v/>
      </c>
      <c r="P230" s="559" t="str">
        <f>IF(B230="","",VLOOKUP(B230,'B-1 Site Hedge Baseline'!$B$10:T475,16,FALSE))</f>
        <v/>
      </c>
      <c r="Q230" s="498" t="str">
        <f>IF(M230="","",VLOOKUP(M230,'G-6 Hedgerow Data'!$B$2:$AG$15,2,FALSE))</f>
        <v/>
      </c>
      <c r="R230" s="499" t="str">
        <f>IF(M230="","",VLOOKUP(M230,'G-6 Hedgerow Data'!$B$2:$AG$15,3,FALSE))</f>
        <v/>
      </c>
      <c r="S230" s="157"/>
      <c r="T230" s="540" t="str">
        <f>IFERROR(VLOOKUP(S230,'G-1 All Habitats'!$Z$2:$AA$9,2,FALSE),"")</f>
        <v/>
      </c>
      <c r="U230" s="154"/>
      <c r="V230" s="520" t="str">
        <f>IF(U230="","",IF(VLOOKUP(U230,'G-3 Multipliers'!$L$3:$N$6,2,FALSE)=0,"Spatial Data Missing ⚠",VLOOKUP(U230,'G-3 Multipliers'!$L$3:$N$6,2,FALSE)))</f>
        <v/>
      </c>
      <c r="W230" s="524"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4"/>
        <v/>
      </c>
      <c r="AD230" s="537" t="str">
        <f>IF(M230="","",VLOOKUP(M230,'G-6 Hedgerow Data'!$B$3:$AG$15,31,FALSE))</f>
        <v/>
      </c>
      <c r="AE230" s="507" t="str">
        <f t="shared" si="29"/>
        <v/>
      </c>
      <c r="AF230" s="507" t="str">
        <f t="shared" si="30"/>
        <v/>
      </c>
      <c r="AG230" s="524" t="str">
        <f>IFERROR(IF(O230="","",VLOOKUP(AD230,'G-3 Multipliers'!$P$3:$Q$6,2,FALSE)),"")</f>
        <v/>
      </c>
      <c r="AH230" s="513" t="str">
        <f t="shared" si="25"/>
        <v/>
      </c>
      <c r="AI230" s="231"/>
      <c r="AJ230" s="150"/>
      <c r="AT230" s="31" t="str">
        <f>IFERROR(INDEX('G-6 Hedgerow Data'!$BJ$3:$BJ$15,MATCH(M230,'G-6 Hedgerow Data'!$B$3:$B$15,0)),"")</f>
        <v/>
      </c>
    </row>
    <row r="231" spans="2:46" ht="13.8" x14ac:dyDescent="0.25">
      <c r="B231" s="531" t="str">
        <f>'B-1 Site Hedge Baseline'!AK229</f>
        <v/>
      </c>
      <c r="C231" s="520" t="str">
        <f>IF(B231="","",IF(ISNA(VLOOKUP($B231,'B-1 Site Hedge Baseline'!$B$1:$L$257,3,FALSE)),"",(VLOOKUP($B231,'B-1 Site Hedge Baseline'!$B$1:$L$257,3,FALSE))))</f>
        <v/>
      </c>
      <c r="D231" s="520" t="str">
        <f>IF(B231="","",IF(ISNA(VLOOKUP($B231,'B-1 Site Hedge Baseline'!$B$1:$L$257,4,FALSE)),"",(VLOOKUP($B231,'B-1 Site Hedge Baseline'!$B$1:$L$257,4,FALSE))))</f>
        <v/>
      </c>
      <c r="E231" s="520" t="str">
        <f>IF(B231="","",IF(ISNA(VLOOKUP($B231,'B-1 Site Hedge Baseline'!$B$1:$L$257,5,FALSE)),"",(VLOOKUP($B231,'B-1 Site Hedge Baseline'!$B$1:$L$257,5,FALSE))))</f>
        <v/>
      </c>
      <c r="F231" s="520" t="str">
        <f>IF(B231="","",IF(ISNA(VLOOKUP($B231,'B-1 Site Hedge Baseline'!$B$1:$L$257,6,FALSE)),"",(VLOOKUP($B231,'B-1 Site Hedge Baseline'!$B$1:$L$257,6,FALSE))))</f>
        <v/>
      </c>
      <c r="G231" s="520" t="str">
        <f>IF(B231="","",IF(ISNA(VLOOKUP($B231,'B-1 Site Hedge Baseline'!$B$1:$L$257,7,FALSE)),"",(VLOOKUP($B231,'B-1 Site Hedge Baseline'!$B$1:$L$257,7,FALSE))))</f>
        <v/>
      </c>
      <c r="H231" s="520" t="str">
        <f>IF(B231="","",IF(ISNA(VLOOKUP($B231,'B-1 Site Hedge Baseline'!$B$1:$L$257,8,FALSE)),"",(VLOOKUP($B231,'B-1 Site Hedge Baseline'!$B$1:$L$257,8,FALSE))))</f>
        <v/>
      </c>
      <c r="I231" s="520" t="str">
        <f>IF(B231="","",IF(ISNA(VLOOKUP($B231,'B-1 Site Hedge Baseline'!$B$1:$L$257,10,FALSE)),"",(VLOOKUP($B231,'B-1 Site Hedge Baseline'!$B$1:$L$257,10,FALSE))))</f>
        <v/>
      </c>
      <c r="J231" s="520" t="str">
        <f>IF(B231="","",IF(ISNA(VLOOKUP($B231,'B-1 Site Hedge Baseline'!$B$1:$L$257,11,FALSE)),"",(VLOOKUP($B231,'B-1 Site Hedge Baseline'!$B$1:$L$257,11,FALSE))))</f>
        <v/>
      </c>
      <c r="K231" s="520" t="str">
        <f>IF(B231="","",IF(ISNA(VLOOKUP($B231,'B-1 Site Hedge Baseline'!$B$1:$U$257,13,FALSE)),"",(VLOOKUP($B231,'B-1 Site Hedge Baseline'!$B$1:$U$257,13,FALSE))))</f>
        <v/>
      </c>
      <c r="L231" s="524" t="str">
        <f>IF(B231="","",IF(ISNA(VLOOKUP($B231,'B-1 Site Hedge Baseline'!$B$1:$U$257,12,FALSE)),"",(VLOOKUP($B231,'B-1 Site Hedge Baseline'!$B$1:$U$257,12,FALSE))))</f>
        <v/>
      </c>
      <c r="M231" s="416" t="str">
        <f t="shared" si="31"/>
        <v/>
      </c>
      <c r="N231" s="498" t="str">
        <f>IFERROR(IF(B231="","",INDEX('G-6 Hedgerow Data'!$AN$3:$AZ$15,MATCH(C231,'G-6 Hedgerow Data'!$AM$3:$AM$15,0),MATCH(M231,'G-6 Hedgerow Data'!$AN$2:$AZ$2,0))),"")</f>
        <v/>
      </c>
      <c r="O231" s="499" t="str">
        <f t="shared" si="26"/>
        <v/>
      </c>
      <c r="P231" s="559" t="str">
        <f>IF(B231="","",VLOOKUP(B231,'B-1 Site Hedge Baseline'!$B$10:T476,16,FALSE))</f>
        <v/>
      </c>
      <c r="Q231" s="498" t="str">
        <f>IF(M231="","",VLOOKUP(M231,'G-6 Hedgerow Data'!$B$2:$AG$15,2,FALSE))</f>
        <v/>
      </c>
      <c r="R231" s="499" t="str">
        <f>IF(M231="","",VLOOKUP(M231,'G-6 Hedgerow Data'!$B$2:$AG$15,3,FALSE))</f>
        <v/>
      </c>
      <c r="S231" s="157"/>
      <c r="T231" s="540" t="str">
        <f>IFERROR(VLOOKUP(S231,'G-1 All Habitats'!$Z$2:$AA$9,2,FALSE),"")</f>
        <v/>
      </c>
      <c r="U231" s="154"/>
      <c r="V231" s="520" t="str">
        <f>IF(U231="","",IF(VLOOKUP(U231,'G-3 Multipliers'!$L$3:$N$6,2,FALSE)=0,"Spatial Data Missing ⚠",VLOOKUP(U231,'G-3 Multipliers'!$L$3:$N$6,2,FALSE)))</f>
        <v/>
      </c>
      <c r="W231" s="524"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4"/>
        <v/>
      </c>
      <c r="AD231" s="537" t="str">
        <f>IF(M231="","",VLOOKUP(M231,'G-6 Hedgerow Data'!$B$3:$AG$15,31,FALSE))</f>
        <v/>
      </c>
      <c r="AE231" s="507" t="str">
        <f t="shared" si="29"/>
        <v/>
      </c>
      <c r="AF231" s="507" t="str">
        <f t="shared" si="30"/>
        <v/>
      </c>
      <c r="AG231" s="524" t="str">
        <f>IFERROR(IF(O231="","",VLOOKUP(AD231,'G-3 Multipliers'!$P$3:$Q$6,2,FALSE)),"")</f>
        <v/>
      </c>
      <c r="AH231" s="513" t="str">
        <f t="shared" si="25"/>
        <v/>
      </c>
      <c r="AI231" s="231"/>
      <c r="AJ231" s="150"/>
      <c r="AT231" s="31" t="str">
        <f>IFERROR(INDEX('G-6 Hedgerow Data'!$BJ$3:$BJ$15,MATCH(M231,'G-6 Hedgerow Data'!$B$3:$B$15,0)),"")</f>
        <v/>
      </c>
    </row>
    <row r="232" spans="2:46" ht="13.8" x14ac:dyDescent="0.25">
      <c r="B232" s="531" t="str">
        <f>'B-1 Site Hedge Baseline'!AK230</f>
        <v/>
      </c>
      <c r="C232" s="520" t="str">
        <f>IF(B232="","",IF(ISNA(VLOOKUP($B232,'B-1 Site Hedge Baseline'!$B$1:$L$257,3,FALSE)),"",(VLOOKUP($B232,'B-1 Site Hedge Baseline'!$B$1:$L$257,3,FALSE))))</f>
        <v/>
      </c>
      <c r="D232" s="520" t="str">
        <f>IF(B232="","",IF(ISNA(VLOOKUP($B232,'B-1 Site Hedge Baseline'!$B$1:$L$257,4,FALSE)),"",(VLOOKUP($B232,'B-1 Site Hedge Baseline'!$B$1:$L$257,4,FALSE))))</f>
        <v/>
      </c>
      <c r="E232" s="520" t="str">
        <f>IF(B232="","",IF(ISNA(VLOOKUP($B232,'B-1 Site Hedge Baseline'!$B$1:$L$257,5,FALSE)),"",(VLOOKUP($B232,'B-1 Site Hedge Baseline'!$B$1:$L$257,5,FALSE))))</f>
        <v/>
      </c>
      <c r="F232" s="520" t="str">
        <f>IF(B232="","",IF(ISNA(VLOOKUP($B232,'B-1 Site Hedge Baseline'!$B$1:$L$257,6,FALSE)),"",(VLOOKUP($B232,'B-1 Site Hedge Baseline'!$B$1:$L$257,6,FALSE))))</f>
        <v/>
      </c>
      <c r="G232" s="520" t="str">
        <f>IF(B232="","",IF(ISNA(VLOOKUP($B232,'B-1 Site Hedge Baseline'!$B$1:$L$257,7,FALSE)),"",(VLOOKUP($B232,'B-1 Site Hedge Baseline'!$B$1:$L$257,7,FALSE))))</f>
        <v/>
      </c>
      <c r="H232" s="520" t="str">
        <f>IF(B232="","",IF(ISNA(VLOOKUP($B232,'B-1 Site Hedge Baseline'!$B$1:$L$257,8,FALSE)),"",(VLOOKUP($B232,'B-1 Site Hedge Baseline'!$B$1:$L$257,8,FALSE))))</f>
        <v/>
      </c>
      <c r="I232" s="520" t="str">
        <f>IF(B232="","",IF(ISNA(VLOOKUP($B232,'B-1 Site Hedge Baseline'!$B$1:$L$257,10,FALSE)),"",(VLOOKUP($B232,'B-1 Site Hedge Baseline'!$B$1:$L$257,10,FALSE))))</f>
        <v/>
      </c>
      <c r="J232" s="520" t="str">
        <f>IF(B232="","",IF(ISNA(VLOOKUP($B232,'B-1 Site Hedge Baseline'!$B$1:$L$257,11,FALSE)),"",(VLOOKUP($B232,'B-1 Site Hedge Baseline'!$B$1:$L$257,11,FALSE))))</f>
        <v/>
      </c>
      <c r="K232" s="520" t="str">
        <f>IF(B232="","",IF(ISNA(VLOOKUP($B232,'B-1 Site Hedge Baseline'!$B$1:$U$257,13,FALSE)),"",(VLOOKUP($B232,'B-1 Site Hedge Baseline'!$B$1:$U$257,13,FALSE))))</f>
        <v/>
      </c>
      <c r="L232" s="524" t="str">
        <f>IF(B232="","",IF(ISNA(VLOOKUP($B232,'B-1 Site Hedge Baseline'!$B$1:$U$257,12,FALSE)),"",(VLOOKUP($B232,'B-1 Site Hedge Baseline'!$B$1:$U$257,12,FALSE))))</f>
        <v/>
      </c>
      <c r="M232" s="416" t="str">
        <f t="shared" si="31"/>
        <v/>
      </c>
      <c r="N232" s="498" t="str">
        <f>IFERROR(IF(B232="","",INDEX('G-6 Hedgerow Data'!$AN$3:$AZ$15,MATCH(C232,'G-6 Hedgerow Data'!$AM$3:$AM$15,0),MATCH(M232,'G-6 Hedgerow Data'!$AN$2:$AZ$2,0))),"")</f>
        <v/>
      </c>
      <c r="O232" s="499" t="str">
        <f t="shared" si="26"/>
        <v/>
      </c>
      <c r="P232" s="559" t="str">
        <f>IF(B232="","",VLOOKUP(B232,'B-1 Site Hedge Baseline'!$B$10:T477,16,FALSE))</f>
        <v/>
      </c>
      <c r="Q232" s="498" t="str">
        <f>IF(M232="","",VLOOKUP(M232,'G-6 Hedgerow Data'!$B$2:$AG$15,2,FALSE))</f>
        <v/>
      </c>
      <c r="R232" s="499" t="str">
        <f>IF(M232="","",VLOOKUP(M232,'G-6 Hedgerow Data'!$B$2:$AG$15,3,FALSE))</f>
        <v/>
      </c>
      <c r="S232" s="157"/>
      <c r="T232" s="540" t="str">
        <f>IFERROR(VLOOKUP(S232,'G-1 All Habitats'!$Z$2:$AA$9,2,FALSE),"")</f>
        <v/>
      </c>
      <c r="U232" s="154"/>
      <c r="V232" s="520" t="str">
        <f>IF(U232="","",IF(VLOOKUP(U232,'G-3 Multipliers'!$L$3:$N$6,2,FALSE)=0,"Spatial Data Missing ⚠",VLOOKUP(U232,'G-3 Multipliers'!$L$3:$N$6,2,FALSE)))</f>
        <v/>
      </c>
      <c r="W232" s="524"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4"/>
        <v/>
      </c>
      <c r="AD232" s="537" t="str">
        <f>IF(M232="","",VLOOKUP(M232,'G-6 Hedgerow Data'!$B$3:$AG$15,31,FALSE))</f>
        <v/>
      </c>
      <c r="AE232" s="507" t="str">
        <f t="shared" si="29"/>
        <v/>
      </c>
      <c r="AF232" s="507" t="str">
        <f t="shared" si="30"/>
        <v/>
      </c>
      <c r="AG232" s="524" t="str">
        <f>IFERROR(IF(O232="","",VLOOKUP(AD232,'G-3 Multipliers'!$P$3:$Q$6,2,FALSE)),"")</f>
        <v/>
      </c>
      <c r="AH232" s="513" t="str">
        <f t="shared" si="25"/>
        <v/>
      </c>
      <c r="AI232" s="231"/>
      <c r="AJ232" s="150"/>
      <c r="AT232" s="31" t="str">
        <f>IFERROR(INDEX('G-6 Hedgerow Data'!$BJ$3:$BJ$15,MATCH(M232,'G-6 Hedgerow Data'!$B$3:$B$15,0)),"")</f>
        <v/>
      </c>
    </row>
    <row r="233" spans="2:46" ht="13.8" x14ac:dyDescent="0.25">
      <c r="B233" s="531" t="str">
        <f>'B-1 Site Hedge Baseline'!AK231</f>
        <v/>
      </c>
      <c r="C233" s="520" t="str">
        <f>IF(B233="","",IF(ISNA(VLOOKUP($B233,'B-1 Site Hedge Baseline'!$B$1:$L$257,3,FALSE)),"",(VLOOKUP($B233,'B-1 Site Hedge Baseline'!$B$1:$L$257,3,FALSE))))</f>
        <v/>
      </c>
      <c r="D233" s="520" t="str">
        <f>IF(B233="","",IF(ISNA(VLOOKUP($B233,'B-1 Site Hedge Baseline'!$B$1:$L$257,4,FALSE)),"",(VLOOKUP($B233,'B-1 Site Hedge Baseline'!$B$1:$L$257,4,FALSE))))</f>
        <v/>
      </c>
      <c r="E233" s="520" t="str">
        <f>IF(B233="","",IF(ISNA(VLOOKUP($B233,'B-1 Site Hedge Baseline'!$B$1:$L$257,5,FALSE)),"",(VLOOKUP($B233,'B-1 Site Hedge Baseline'!$B$1:$L$257,5,FALSE))))</f>
        <v/>
      </c>
      <c r="F233" s="520" t="str">
        <f>IF(B233="","",IF(ISNA(VLOOKUP($B233,'B-1 Site Hedge Baseline'!$B$1:$L$257,6,FALSE)),"",(VLOOKUP($B233,'B-1 Site Hedge Baseline'!$B$1:$L$257,6,FALSE))))</f>
        <v/>
      </c>
      <c r="G233" s="520" t="str">
        <f>IF(B233="","",IF(ISNA(VLOOKUP($B233,'B-1 Site Hedge Baseline'!$B$1:$L$257,7,FALSE)),"",(VLOOKUP($B233,'B-1 Site Hedge Baseline'!$B$1:$L$257,7,FALSE))))</f>
        <v/>
      </c>
      <c r="H233" s="520" t="str">
        <f>IF(B233="","",IF(ISNA(VLOOKUP($B233,'B-1 Site Hedge Baseline'!$B$1:$L$257,8,FALSE)),"",(VLOOKUP($B233,'B-1 Site Hedge Baseline'!$B$1:$L$257,8,FALSE))))</f>
        <v/>
      </c>
      <c r="I233" s="520" t="str">
        <f>IF(B233="","",IF(ISNA(VLOOKUP($B233,'B-1 Site Hedge Baseline'!$B$1:$L$257,10,FALSE)),"",(VLOOKUP($B233,'B-1 Site Hedge Baseline'!$B$1:$L$257,10,FALSE))))</f>
        <v/>
      </c>
      <c r="J233" s="520" t="str">
        <f>IF(B233="","",IF(ISNA(VLOOKUP($B233,'B-1 Site Hedge Baseline'!$B$1:$L$257,11,FALSE)),"",(VLOOKUP($B233,'B-1 Site Hedge Baseline'!$B$1:$L$257,11,FALSE))))</f>
        <v/>
      </c>
      <c r="K233" s="520" t="str">
        <f>IF(B233="","",IF(ISNA(VLOOKUP($B233,'B-1 Site Hedge Baseline'!$B$1:$U$257,13,FALSE)),"",(VLOOKUP($B233,'B-1 Site Hedge Baseline'!$B$1:$U$257,13,FALSE))))</f>
        <v/>
      </c>
      <c r="L233" s="524" t="str">
        <f>IF(B233="","",IF(ISNA(VLOOKUP($B233,'B-1 Site Hedge Baseline'!$B$1:$U$257,12,FALSE)),"",(VLOOKUP($B233,'B-1 Site Hedge Baseline'!$B$1:$U$257,12,FALSE))))</f>
        <v/>
      </c>
      <c r="M233" s="416" t="str">
        <f t="shared" si="31"/>
        <v/>
      </c>
      <c r="N233" s="498" t="str">
        <f>IFERROR(IF(B233="","",INDEX('G-6 Hedgerow Data'!$AN$3:$AZ$15,MATCH(C233,'G-6 Hedgerow Data'!$AM$3:$AM$15,0),MATCH(M233,'G-6 Hedgerow Data'!$AN$2:$AZ$2,0))),"")</f>
        <v/>
      </c>
      <c r="O233" s="499" t="str">
        <f t="shared" si="26"/>
        <v/>
      </c>
      <c r="P233" s="559" t="str">
        <f>IF(B233="","",VLOOKUP(B233,'B-1 Site Hedge Baseline'!$B$10:T478,16,FALSE))</f>
        <v/>
      </c>
      <c r="Q233" s="498" t="str">
        <f>IF(M233="","",VLOOKUP(M233,'G-6 Hedgerow Data'!$B$2:$AG$15,2,FALSE))</f>
        <v/>
      </c>
      <c r="R233" s="499" t="str">
        <f>IF(M233="","",VLOOKUP(M233,'G-6 Hedgerow Data'!$B$2:$AG$15,3,FALSE))</f>
        <v/>
      </c>
      <c r="S233" s="157"/>
      <c r="T233" s="540" t="str">
        <f>IFERROR(VLOOKUP(S233,'G-1 All Habitats'!$Z$2:$AA$9,2,FALSE),"")</f>
        <v/>
      </c>
      <c r="U233" s="154"/>
      <c r="V233" s="520" t="str">
        <f>IF(U233="","",IF(VLOOKUP(U233,'G-3 Multipliers'!$L$3:$N$6,2,FALSE)=0,"Spatial Data Missing ⚠",VLOOKUP(U233,'G-3 Multipliers'!$L$3:$N$6,2,FALSE)))</f>
        <v/>
      </c>
      <c r="W233" s="524"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4"/>
        <v/>
      </c>
      <c r="AD233" s="537" t="str">
        <f>IF(M233="","",VLOOKUP(M233,'G-6 Hedgerow Data'!$B$3:$AG$15,31,FALSE))</f>
        <v/>
      </c>
      <c r="AE233" s="507" t="str">
        <f t="shared" si="29"/>
        <v/>
      </c>
      <c r="AF233" s="507" t="str">
        <f t="shared" si="30"/>
        <v/>
      </c>
      <c r="AG233" s="524" t="str">
        <f>IFERROR(IF(O233="","",VLOOKUP(AD233,'G-3 Multipliers'!$P$3:$Q$6,2,FALSE)),"")</f>
        <v/>
      </c>
      <c r="AH233" s="513" t="str">
        <f t="shared" si="25"/>
        <v/>
      </c>
      <c r="AI233" s="231"/>
      <c r="AJ233" s="150"/>
      <c r="AT233" s="31" t="str">
        <f>IFERROR(INDEX('G-6 Hedgerow Data'!$BJ$3:$BJ$15,MATCH(M233,'G-6 Hedgerow Data'!$B$3:$B$15,0)),"")</f>
        <v/>
      </c>
    </row>
    <row r="234" spans="2:46" ht="13.8" x14ac:dyDescent="0.25">
      <c r="B234" s="531" t="str">
        <f>'B-1 Site Hedge Baseline'!AK232</f>
        <v/>
      </c>
      <c r="C234" s="520" t="str">
        <f>IF(B234="","",IF(ISNA(VLOOKUP($B234,'B-1 Site Hedge Baseline'!$B$1:$L$257,3,FALSE)),"",(VLOOKUP($B234,'B-1 Site Hedge Baseline'!$B$1:$L$257,3,FALSE))))</f>
        <v/>
      </c>
      <c r="D234" s="520" t="str">
        <f>IF(B234="","",IF(ISNA(VLOOKUP($B234,'B-1 Site Hedge Baseline'!$B$1:$L$257,4,FALSE)),"",(VLOOKUP($B234,'B-1 Site Hedge Baseline'!$B$1:$L$257,4,FALSE))))</f>
        <v/>
      </c>
      <c r="E234" s="520" t="str">
        <f>IF(B234="","",IF(ISNA(VLOOKUP($B234,'B-1 Site Hedge Baseline'!$B$1:$L$257,5,FALSE)),"",(VLOOKUP($B234,'B-1 Site Hedge Baseline'!$B$1:$L$257,5,FALSE))))</f>
        <v/>
      </c>
      <c r="F234" s="520" t="str">
        <f>IF(B234="","",IF(ISNA(VLOOKUP($B234,'B-1 Site Hedge Baseline'!$B$1:$L$257,6,FALSE)),"",(VLOOKUP($B234,'B-1 Site Hedge Baseline'!$B$1:$L$257,6,FALSE))))</f>
        <v/>
      </c>
      <c r="G234" s="520" t="str">
        <f>IF(B234="","",IF(ISNA(VLOOKUP($B234,'B-1 Site Hedge Baseline'!$B$1:$L$257,7,FALSE)),"",(VLOOKUP($B234,'B-1 Site Hedge Baseline'!$B$1:$L$257,7,FALSE))))</f>
        <v/>
      </c>
      <c r="H234" s="520" t="str">
        <f>IF(B234="","",IF(ISNA(VLOOKUP($B234,'B-1 Site Hedge Baseline'!$B$1:$L$257,8,FALSE)),"",(VLOOKUP($B234,'B-1 Site Hedge Baseline'!$B$1:$L$257,8,FALSE))))</f>
        <v/>
      </c>
      <c r="I234" s="520" t="str">
        <f>IF(B234="","",IF(ISNA(VLOOKUP($B234,'B-1 Site Hedge Baseline'!$B$1:$L$257,10,FALSE)),"",(VLOOKUP($B234,'B-1 Site Hedge Baseline'!$B$1:$L$257,10,FALSE))))</f>
        <v/>
      </c>
      <c r="J234" s="520" t="str">
        <f>IF(B234="","",IF(ISNA(VLOOKUP($B234,'B-1 Site Hedge Baseline'!$B$1:$L$257,11,FALSE)),"",(VLOOKUP($B234,'B-1 Site Hedge Baseline'!$B$1:$L$257,11,FALSE))))</f>
        <v/>
      </c>
      <c r="K234" s="520" t="str">
        <f>IF(B234="","",IF(ISNA(VLOOKUP($B234,'B-1 Site Hedge Baseline'!$B$1:$U$257,13,FALSE)),"",(VLOOKUP($B234,'B-1 Site Hedge Baseline'!$B$1:$U$257,13,FALSE))))</f>
        <v/>
      </c>
      <c r="L234" s="524" t="str">
        <f>IF(B234="","",IF(ISNA(VLOOKUP($B234,'B-1 Site Hedge Baseline'!$B$1:$U$257,12,FALSE)),"",(VLOOKUP($B234,'B-1 Site Hedge Baseline'!$B$1:$U$257,12,FALSE))))</f>
        <v/>
      </c>
      <c r="M234" s="416" t="str">
        <f t="shared" si="31"/>
        <v/>
      </c>
      <c r="N234" s="498" t="str">
        <f>IFERROR(IF(B234="","",INDEX('G-6 Hedgerow Data'!$AN$3:$AZ$15,MATCH(C234,'G-6 Hedgerow Data'!$AM$3:$AM$15,0),MATCH(M234,'G-6 Hedgerow Data'!$AN$2:$AZ$2,0))),"")</f>
        <v/>
      </c>
      <c r="O234" s="499" t="str">
        <f t="shared" si="26"/>
        <v/>
      </c>
      <c r="P234" s="559" t="str">
        <f>IF(B234="","",VLOOKUP(B234,'B-1 Site Hedge Baseline'!$B$10:T479,16,FALSE))</f>
        <v/>
      </c>
      <c r="Q234" s="498" t="str">
        <f>IF(M234="","",VLOOKUP(M234,'G-6 Hedgerow Data'!$B$2:$AG$15,2,FALSE))</f>
        <v/>
      </c>
      <c r="R234" s="499" t="str">
        <f>IF(M234="","",VLOOKUP(M234,'G-6 Hedgerow Data'!$B$2:$AG$15,3,FALSE))</f>
        <v/>
      </c>
      <c r="S234" s="157"/>
      <c r="T234" s="540" t="str">
        <f>IFERROR(VLOOKUP(S234,'G-1 All Habitats'!$Z$2:$AA$9,2,FALSE),"")</f>
        <v/>
      </c>
      <c r="U234" s="154"/>
      <c r="V234" s="520" t="str">
        <f>IF(U234="","",IF(VLOOKUP(U234,'G-3 Multipliers'!$L$3:$N$6,2,FALSE)=0,"Spatial Data Missing ⚠",VLOOKUP(U234,'G-3 Multipliers'!$L$3:$N$6,2,FALSE)))</f>
        <v/>
      </c>
      <c r="W234" s="524"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4"/>
        <v/>
      </c>
      <c r="AD234" s="537" t="str">
        <f>IF(M234="","",VLOOKUP(M234,'G-6 Hedgerow Data'!$B$3:$AG$15,31,FALSE))</f>
        <v/>
      </c>
      <c r="AE234" s="507" t="str">
        <f t="shared" si="29"/>
        <v/>
      </c>
      <c r="AF234" s="507" t="str">
        <f t="shared" si="30"/>
        <v/>
      </c>
      <c r="AG234" s="524" t="str">
        <f>IFERROR(IF(O234="","",VLOOKUP(AD234,'G-3 Multipliers'!$P$3:$Q$6,2,FALSE)),"")</f>
        <v/>
      </c>
      <c r="AH234" s="513" t="str">
        <f t="shared" si="25"/>
        <v/>
      </c>
      <c r="AI234" s="231"/>
      <c r="AJ234" s="150"/>
      <c r="AT234" s="31" t="str">
        <f>IFERROR(INDEX('G-6 Hedgerow Data'!$BJ$3:$BJ$15,MATCH(M234,'G-6 Hedgerow Data'!$B$3:$B$15,0)),"")</f>
        <v/>
      </c>
    </row>
    <row r="235" spans="2:46" ht="13.8" x14ac:dyDescent="0.25">
      <c r="B235" s="531" t="str">
        <f>'B-1 Site Hedge Baseline'!AK233</f>
        <v/>
      </c>
      <c r="C235" s="520" t="str">
        <f>IF(B235="","",IF(ISNA(VLOOKUP($B235,'B-1 Site Hedge Baseline'!$B$1:$L$257,3,FALSE)),"",(VLOOKUP($B235,'B-1 Site Hedge Baseline'!$B$1:$L$257,3,FALSE))))</f>
        <v/>
      </c>
      <c r="D235" s="520" t="str">
        <f>IF(B235="","",IF(ISNA(VLOOKUP($B235,'B-1 Site Hedge Baseline'!$B$1:$L$257,4,FALSE)),"",(VLOOKUP($B235,'B-1 Site Hedge Baseline'!$B$1:$L$257,4,FALSE))))</f>
        <v/>
      </c>
      <c r="E235" s="520" t="str">
        <f>IF(B235="","",IF(ISNA(VLOOKUP($B235,'B-1 Site Hedge Baseline'!$B$1:$L$257,5,FALSE)),"",(VLOOKUP($B235,'B-1 Site Hedge Baseline'!$B$1:$L$257,5,FALSE))))</f>
        <v/>
      </c>
      <c r="F235" s="520" t="str">
        <f>IF(B235="","",IF(ISNA(VLOOKUP($B235,'B-1 Site Hedge Baseline'!$B$1:$L$257,6,FALSE)),"",(VLOOKUP($B235,'B-1 Site Hedge Baseline'!$B$1:$L$257,6,FALSE))))</f>
        <v/>
      </c>
      <c r="G235" s="520" t="str">
        <f>IF(B235="","",IF(ISNA(VLOOKUP($B235,'B-1 Site Hedge Baseline'!$B$1:$L$257,7,FALSE)),"",(VLOOKUP($B235,'B-1 Site Hedge Baseline'!$B$1:$L$257,7,FALSE))))</f>
        <v/>
      </c>
      <c r="H235" s="520" t="str">
        <f>IF(B235="","",IF(ISNA(VLOOKUP($B235,'B-1 Site Hedge Baseline'!$B$1:$L$257,8,FALSE)),"",(VLOOKUP($B235,'B-1 Site Hedge Baseline'!$B$1:$L$257,8,FALSE))))</f>
        <v/>
      </c>
      <c r="I235" s="520" t="str">
        <f>IF(B235="","",IF(ISNA(VLOOKUP($B235,'B-1 Site Hedge Baseline'!$B$1:$L$257,10,FALSE)),"",(VLOOKUP($B235,'B-1 Site Hedge Baseline'!$B$1:$L$257,10,FALSE))))</f>
        <v/>
      </c>
      <c r="J235" s="520" t="str">
        <f>IF(B235="","",IF(ISNA(VLOOKUP($B235,'B-1 Site Hedge Baseline'!$B$1:$L$257,11,FALSE)),"",(VLOOKUP($B235,'B-1 Site Hedge Baseline'!$B$1:$L$257,11,FALSE))))</f>
        <v/>
      </c>
      <c r="K235" s="520" t="str">
        <f>IF(B235="","",IF(ISNA(VLOOKUP($B235,'B-1 Site Hedge Baseline'!$B$1:$U$257,13,FALSE)),"",(VLOOKUP($B235,'B-1 Site Hedge Baseline'!$B$1:$U$257,13,FALSE))))</f>
        <v/>
      </c>
      <c r="L235" s="524" t="str">
        <f>IF(B235="","",IF(ISNA(VLOOKUP($B235,'B-1 Site Hedge Baseline'!$B$1:$U$257,12,FALSE)),"",(VLOOKUP($B235,'B-1 Site Hedge Baseline'!$B$1:$U$257,12,FALSE))))</f>
        <v/>
      </c>
      <c r="M235" s="416" t="str">
        <f t="shared" si="31"/>
        <v/>
      </c>
      <c r="N235" s="498" t="str">
        <f>IFERROR(IF(B235="","",INDEX('G-6 Hedgerow Data'!$AN$3:$AZ$15,MATCH(C235,'G-6 Hedgerow Data'!$AM$3:$AM$15,0),MATCH(M235,'G-6 Hedgerow Data'!$AN$2:$AZ$2,0))),"")</f>
        <v/>
      </c>
      <c r="O235" s="499" t="str">
        <f t="shared" si="26"/>
        <v/>
      </c>
      <c r="P235" s="559" t="str">
        <f>IF(B235="","",VLOOKUP(B235,'B-1 Site Hedge Baseline'!$B$10:T480,16,FALSE))</f>
        <v/>
      </c>
      <c r="Q235" s="498" t="str">
        <f>IF(M235="","",VLOOKUP(M235,'G-6 Hedgerow Data'!$B$2:$AG$15,2,FALSE))</f>
        <v/>
      </c>
      <c r="R235" s="499" t="str">
        <f>IF(M235="","",VLOOKUP(M235,'G-6 Hedgerow Data'!$B$2:$AG$15,3,FALSE))</f>
        <v/>
      </c>
      <c r="S235" s="157"/>
      <c r="T235" s="540" t="str">
        <f>IFERROR(VLOOKUP(S235,'G-1 All Habitats'!$Z$2:$AA$9,2,FALSE),"")</f>
        <v/>
      </c>
      <c r="U235" s="154"/>
      <c r="V235" s="520" t="str">
        <f>IF(U235="","",IF(VLOOKUP(U235,'G-3 Multipliers'!$L$3:$N$6,2,FALSE)=0,"Spatial Data Missing ⚠",VLOOKUP(U235,'G-3 Multipliers'!$L$3:$N$6,2,FALSE)))</f>
        <v/>
      </c>
      <c r="W235" s="524"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4"/>
        <v/>
      </c>
      <c r="AD235" s="537" t="str">
        <f>IF(M235="","",VLOOKUP(M235,'G-6 Hedgerow Data'!$B$3:$AG$15,31,FALSE))</f>
        <v/>
      </c>
      <c r="AE235" s="507" t="str">
        <f t="shared" si="29"/>
        <v/>
      </c>
      <c r="AF235" s="507" t="str">
        <f t="shared" si="30"/>
        <v/>
      </c>
      <c r="AG235" s="524" t="str">
        <f>IFERROR(IF(O235="","",VLOOKUP(AD235,'G-3 Multipliers'!$P$3:$Q$6,2,FALSE)),"")</f>
        <v/>
      </c>
      <c r="AH235" s="513" t="str">
        <f t="shared" si="25"/>
        <v/>
      </c>
      <c r="AI235" s="231"/>
      <c r="AJ235" s="150"/>
      <c r="AT235" s="31" t="str">
        <f>IFERROR(INDEX('G-6 Hedgerow Data'!$BJ$3:$BJ$15,MATCH(M235,'G-6 Hedgerow Data'!$B$3:$B$15,0)),"")</f>
        <v/>
      </c>
    </row>
    <row r="236" spans="2:46" ht="13.8" x14ac:dyDescent="0.25">
      <c r="B236" s="531" t="str">
        <f>'B-1 Site Hedge Baseline'!AK234</f>
        <v/>
      </c>
      <c r="C236" s="520" t="str">
        <f>IF(B236="","",IF(ISNA(VLOOKUP($B236,'B-1 Site Hedge Baseline'!$B$1:$L$257,3,FALSE)),"",(VLOOKUP($B236,'B-1 Site Hedge Baseline'!$B$1:$L$257,3,FALSE))))</f>
        <v/>
      </c>
      <c r="D236" s="520" t="str">
        <f>IF(B236="","",IF(ISNA(VLOOKUP($B236,'B-1 Site Hedge Baseline'!$B$1:$L$257,4,FALSE)),"",(VLOOKUP($B236,'B-1 Site Hedge Baseline'!$B$1:$L$257,4,FALSE))))</f>
        <v/>
      </c>
      <c r="E236" s="520" t="str">
        <f>IF(B236="","",IF(ISNA(VLOOKUP($B236,'B-1 Site Hedge Baseline'!$B$1:$L$257,5,FALSE)),"",(VLOOKUP($B236,'B-1 Site Hedge Baseline'!$B$1:$L$257,5,FALSE))))</f>
        <v/>
      </c>
      <c r="F236" s="520" t="str">
        <f>IF(B236="","",IF(ISNA(VLOOKUP($B236,'B-1 Site Hedge Baseline'!$B$1:$L$257,6,FALSE)),"",(VLOOKUP($B236,'B-1 Site Hedge Baseline'!$B$1:$L$257,6,FALSE))))</f>
        <v/>
      </c>
      <c r="G236" s="520" t="str">
        <f>IF(B236="","",IF(ISNA(VLOOKUP($B236,'B-1 Site Hedge Baseline'!$B$1:$L$257,7,FALSE)),"",(VLOOKUP($B236,'B-1 Site Hedge Baseline'!$B$1:$L$257,7,FALSE))))</f>
        <v/>
      </c>
      <c r="H236" s="520" t="str">
        <f>IF(B236="","",IF(ISNA(VLOOKUP($B236,'B-1 Site Hedge Baseline'!$B$1:$L$257,8,FALSE)),"",(VLOOKUP($B236,'B-1 Site Hedge Baseline'!$B$1:$L$257,8,FALSE))))</f>
        <v/>
      </c>
      <c r="I236" s="520" t="str">
        <f>IF(B236="","",IF(ISNA(VLOOKUP($B236,'B-1 Site Hedge Baseline'!$B$1:$L$257,10,FALSE)),"",(VLOOKUP($B236,'B-1 Site Hedge Baseline'!$B$1:$L$257,10,FALSE))))</f>
        <v/>
      </c>
      <c r="J236" s="520" t="str">
        <f>IF(B236="","",IF(ISNA(VLOOKUP($B236,'B-1 Site Hedge Baseline'!$B$1:$L$257,11,FALSE)),"",(VLOOKUP($B236,'B-1 Site Hedge Baseline'!$B$1:$L$257,11,FALSE))))</f>
        <v/>
      </c>
      <c r="K236" s="520" t="str">
        <f>IF(B236="","",IF(ISNA(VLOOKUP($B236,'B-1 Site Hedge Baseline'!$B$1:$U$257,13,FALSE)),"",(VLOOKUP($B236,'B-1 Site Hedge Baseline'!$B$1:$U$257,13,FALSE))))</f>
        <v/>
      </c>
      <c r="L236" s="524" t="str">
        <f>IF(B236="","",IF(ISNA(VLOOKUP($B236,'B-1 Site Hedge Baseline'!$B$1:$U$257,12,FALSE)),"",(VLOOKUP($B236,'B-1 Site Hedge Baseline'!$B$1:$U$257,12,FALSE))))</f>
        <v/>
      </c>
      <c r="M236" s="416" t="str">
        <f t="shared" si="31"/>
        <v/>
      </c>
      <c r="N236" s="498" t="str">
        <f>IFERROR(IF(B236="","",INDEX('G-6 Hedgerow Data'!$AN$3:$AZ$15,MATCH(C236,'G-6 Hedgerow Data'!$AM$3:$AM$15,0),MATCH(M236,'G-6 Hedgerow Data'!$AN$2:$AZ$2,0))),"")</f>
        <v/>
      </c>
      <c r="O236" s="499" t="str">
        <f t="shared" si="26"/>
        <v/>
      </c>
      <c r="P236" s="559" t="str">
        <f>IF(B236="","",VLOOKUP(B236,'B-1 Site Hedge Baseline'!$B$10:T481,16,FALSE))</f>
        <v/>
      </c>
      <c r="Q236" s="498" t="str">
        <f>IF(M236="","",VLOOKUP(M236,'G-6 Hedgerow Data'!$B$2:$AG$15,2,FALSE))</f>
        <v/>
      </c>
      <c r="R236" s="499" t="str">
        <f>IF(M236="","",VLOOKUP(M236,'G-6 Hedgerow Data'!$B$2:$AG$15,3,FALSE))</f>
        <v/>
      </c>
      <c r="S236" s="157"/>
      <c r="T236" s="540" t="str">
        <f>IFERROR(VLOOKUP(S236,'G-1 All Habitats'!$Z$2:$AA$9,2,FALSE),"")</f>
        <v/>
      </c>
      <c r="U236" s="154"/>
      <c r="V236" s="520" t="str">
        <f>IF(U236="","",IF(VLOOKUP(U236,'G-3 Multipliers'!$L$3:$N$6,2,FALSE)=0,"Spatial Data Missing ⚠",VLOOKUP(U236,'G-3 Multipliers'!$L$3:$N$6,2,FALSE)))</f>
        <v/>
      </c>
      <c r="W236" s="524"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4"/>
        <v/>
      </c>
      <c r="AD236" s="537" t="str">
        <f>IF(M236="","",VLOOKUP(M236,'G-6 Hedgerow Data'!$B$3:$AG$15,31,FALSE))</f>
        <v/>
      </c>
      <c r="AE236" s="507" t="str">
        <f t="shared" si="29"/>
        <v/>
      </c>
      <c r="AF236" s="507" t="str">
        <f t="shared" si="30"/>
        <v/>
      </c>
      <c r="AG236" s="524" t="str">
        <f>IFERROR(IF(O236="","",VLOOKUP(AD236,'G-3 Multipliers'!$P$3:$Q$6,2,FALSE)),"")</f>
        <v/>
      </c>
      <c r="AH236" s="513" t="str">
        <f t="shared" si="25"/>
        <v/>
      </c>
      <c r="AI236" s="231"/>
      <c r="AJ236" s="150"/>
      <c r="AT236" s="31" t="str">
        <f>IFERROR(INDEX('G-6 Hedgerow Data'!$BJ$3:$BJ$15,MATCH(M236,'G-6 Hedgerow Data'!$B$3:$B$15,0)),"")</f>
        <v/>
      </c>
    </row>
    <row r="237" spans="2:46" ht="13.8" x14ac:dyDescent="0.25">
      <c r="B237" s="531" t="str">
        <f>'B-1 Site Hedge Baseline'!AK235</f>
        <v/>
      </c>
      <c r="C237" s="520" t="str">
        <f>IF(B237="","",IF(ISNA(VLOOKUP($B237,'B-1 Site Hedge Baseline'!$B$1:$L$257,3,FALSE)),"",(VLOOKUP($B237,'B-1 Site Hedge Baseline'!$B$1:$L$257,3,FALSE))))</f>
        <v/>
      </c>
      <c r="D237" s="520" t="str">
        <f>IF(B237="","",IF(ISNA(VLOOKUP($B237,'B-1 Site Hedge Baseline'!$B$1:$L$257,4,FALSE)),"",(VLOOKUP($B237,'B-1 Site Hedge Baseline'!$B$1:$L$257,4,FALSE))))</f>
        <v/>
      </c>
      <c r="E237" s="520" t="str">
        <f>IF(B237="","",IF(ISNA(VLOOKUP($B237,'B-1 Site Hedge Baseline'!$B$1:$L$257,5,FALSE)),"",(VLOOKUP($B237,'B-1 Site Hedge Baseline'!$B$1:$L$257,5,FALSE))))</f>
        <v/>
      </c>
      <c r="F237" s="520" t="str">
        <f>IF(B237="","",IF(ISNA(VLOOKUP($B237,'B-1 Site Hedge Baseline'!$B$1:$L$257,6,FALSE)),"",(VLOOKUP($B237,'B-1 Site Hedge Baseline'!$B$1:$L$257,6,FALSE))))</f>
        <v/>
      </c>
      <c r="G237" s="520" t="str">
        <f>IF(B237="","",IF(ISNA(VLOOKUP($B237,'B-1 Site Hedge Baseline'!$B$1:$L$257,7,FALSE)),"",(VLOOKUP($B237,'B-1 Site Hedge Baseline'!$B$1:$L$257,7,FALSE))))</f>
        <v/>
      </c>
      <c r="H237" s="520" t="str">
        <f>IF(B237="","",IF(ISNA(VLOOKUP($B237,'B-1 Site Hedge Baseline'!$B$1:$L$257,8,FALSE)),"",(VLOOKUP($B237,'B-1 Site Hedge Baseline'!$B$1:$L$257,8,FALSE))))</f>
        <v/>
      </c>
      <c r="I237" s="520" t="str">
        <f>IF(B237="","",IF(ISNA(VLOOKUP($B237,'B-1 Site Hedge Baseline'!$B$1:$L$257,10,FALSE)),"",(VLOOKUP($B237,'B-1 Site Hedge Baseline'!$B$1:$L$257,10,FALSE))))</f>
        <v/>
      </c>
      <c r="J237" s="520" t="str">
        <f>IF(B237="","",IF(ISNA(VLOOKUP($B237,'B-1 Site Hedge Baseline'!$B$1:$L$257,11,FALSE)),"",(VLOOKUP($B237,'B-1 Site Hedge Baseline'!$B$1:$L$257,11,FALSE))))</f>
        <v/>
      </c>
      <c r="K237" s="520" t="str">
        <f>IF(B237="","",IF(ISNA(VLOOKUP($B237,'B-1 Site Hedge Baseline'!$B$1:$U$257,13,FALSE)),"",(VLOOKUP($B237,'B-1 Site Hedge Baseline'!$B$1:$U$257,13,FALSE))))</f>
        <v/>
      </c>
      <c r="L237" s="524" t="str">
        <f>IF(B237="","",IF(ISNA(VLOOKUP($B237,'B-1 Site Hedge Baseline'!$B$1:$U$257,12,FALSE)),"",(VLOOKUP($B237,'B-1 Site Hedge Baseline'!$B$1:$U$257,12,FALSE))))</f>
        <v/>
      </c>
      <c r="M237" s="416" t="str">
        <f t="shared" si="31"/>
        <v/>
      </c>
      <c r="N237" s="498" t="str">
        <f>IFERROR(IF(B237="","",INDEX('G-6 Hedgerow Data'!$AN$3:$AZ$15,MATCH(C237,'G-6 Hedgerow Data'!$AM$3:$AM$15,0),MATCH(M237,'G-6 Hedgerow Data'!$AN$2:$AZ$2,0))),"")</f>
        <v/>
      </c>
      <c r="O237" s="499" t="str">
        <f t="shared" si="26"/>
        <v/>
      </c>
      <c r="P237" s="559" t="str">
        <f>IF(B237="","",VLOOKUP(B237,'B-1 Site Hedge Baseline'!$B$10:T482,16,FALSE))</f>
        <v/>
      </c>
      <c r="Q237" s="498" t="str">
        <f>IF(M237="","",VLOOKUP(M237,'G-6 Hedgerow Data'!$B$2:$AG$15,2,FALSE))</f>
        <v/>
      </c>
      <c r="R237" s="499" t="str">
        <f>IF(M237="","",VLOOKUP(M237,'G-6 Hedgerow Data'!$B$2:$AG$15,3,FALSE))</f>
        <v/>
      </c>
      <c r="S237" s="157"/>
      <c r="T237" s="540" t="str">
        <f>IFERROR(VLOOKUP(S237,'G-1 All Habitats'!$Z$2:$AA$9,2,FALSE),"")</f>
        <v/>
      </c>
      <c r="U237" s="154"/>
      <c r="V237" s="520" t="str">
        <f>IF(U237="","",IF(VLOOKUP(U237,'G-3 Multipliers'!$L$3:$N$6,2,FALSE)=0,"Spatial Data Missing ⚠",VLOOKUP(U237,'G-3 Multipliers'!$L$3:$N$6,2,FALSE)))</f>
        <v/>
      </c>
      <c r="W237" s="524"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4"/>
        <v/>
      </c>
      <c r="AD237" s="537" t="str">
        <f>IF(M237="","",VLOOKUP(M237,'G-6 Hedgerow Data'!$B$3:$AG$15,31,FALSE))</f>
        <v/>
      </c>
      <c r="AE237" s="507" t="str">
        <f t="shared" si="29"/>
        <v/>
      </c>
      <c r="AF237" s="507" t="str">
        <f t="shared" si="30"/>
        <v/>
      </c>
      <c r="AG237" s="524" t="str">
        <f>IFERROR(IF(O237="","",VLOOKUP(AD237,'G-3 Multipliers'!$P$3:$Q$6,2,FALSE)),"")</f>
        <v/>
      </c>
      <c r="AH237" s="513" t="str">
        <f t="shared" si="25"/>
        <v/>
      </c>
      <c r="AI237" s="231"/>
      <c r="AJ237" s="150"/>
      <c r="AT237" s="31" t="str">
        <f>IFERROR(INDEX('G-6 Hedgerow Data'!$BJ$3:$BJ$15,MATCH(M237,'G-6 Hedgerow Data'!$B$3:$B$15,0)),"")</f>
        <v/>
      </c>
    </row>
    <row r="238" spans="2:46" ht="13.8" x14ac:dyDescent="0.25">
      <c r="B238" s="531" t="str">
        <f>'B-1 Site Hedge Baseline'!AK236</f>
        <v/>
      </c>
      <c r="C238" s="520" t="str">
        <f>IF(B238="","",IF(ISNA(VLOOKUP($B238,'B-1 Site Hedge Baseline'!$B$1:$L$257,3,FALSE)),"",(VLOOKUP($B238,'B-1 Site Hedge Baseline'!$B$1:$L$257,3,FALSE))))</f>
        <v/>
      </c>
      <c r="D238" s="520" t="str">
        <f>IF(B238="","",IF(ISNA(VLOOKUP($B238,'B-1 Site Hedge Baseline'!$B$1:$L$257,4,FALSE)),"",(VLOOKUP($B238,'B-1 Site Hedge Baseline'!$B$1:$L$257,4,FALSE))))</f>
        <v/>
      </c>
      <c r="E238" s="520" t="str">
        <f>IF(B238="","",IF(ISNA(VLOOKUP($B238,'B-1 Site Hedge Baseline'!$B$1:$L$257,5,FALSE)),"",(VLOOKUP($B238,'B-1 Site Hedge Baseline'!$B$1:$L$257,5,FALSE))))</f>
        <v/>
      </c>
      <c r="F238" s="520" t="str">
        <f>IF(B238="","",IF(ISNA(VLOOKUP($B238,'B-1 Site Hedge Baseline'!$B$1:$L$257,6,FALSE)),"",(VLOOKUP($B238,'B-1 Site Hedge Baseline'!$B$1:$L$257,6,FALSE))))</f>
        <v/>
      </c>
      <c r="G238" s="520" t="str">
        <f>IF(B238="","",IF(ISNA(VLOOKUP($B238,'B-1 Site Hedge Baseline'!$B$1:$L$257,7,FALSE)),"",(VLOOKUP($B238,'B-1 Site Hedge Baseline'!$B$1:$L$257,7,FALSE))))</f>
        <v/>
      </c>
      <c r="H238" s="520" t="str">
        <f>IF(B238="","",IF(ISNA(VLOOKUP($B238,'B-1 Site Hedge Baseline'!$B$1:$L$257,8,FALSE)),"",(VLOOKUP($B238,'B-1 Site Hedge Baseline'!$B$1:$L$257,8,FALSE))))</f>
        <v/>
      </c>
      <c r="I238" s="520" t="str">
        <f>IF(B238="","",IF(ISNA(VLOOKUP($B238,'B-1 Site Hedge Baseline'!$B$1:$L$257,10,FALSE)),"",(VLOOKUP($B238,'B-1 Site Hedge Baseline'!$B$1:$L$257,10,FALSE))))</f>
        <v/>
      </c>
      <c r="J238" s="520" t="str">
        <f>IF(B238="","",IF(ISNA(VLOOKUP($B238,'B-1 Site Hedge Baseline'!$B$1:$L$257,11,FALSE)),"",(VLOOKUP($B238,'B-1 Site Hedge Baseline'!$B$1:$L$257,11,FALSE))))</f>
        <v/>
      </c>
      <c r="K238" s="520" t="str">
        <f>IF(B238="","",IF(ISNA(VLOOKUP($B238,'B-1 Site Hedge Baseline'!$B$1:$U$257,13,FALSE)),"",(VLOOKUP($B238,'B-1 Site Hedge Baseline'!$B$1:$U$257,13,FALSE))))</f>
        <v/>
      </c>
      <c r="L238" s="524" t="str">
        <f>IF(B238="","",IF(ISNA(VLOOKUP($B238,'B-1 Site Hedge Baseline'!$B$1:$U$257,12,FALSE)),"",(VLOOKUP($B238,'B-1 Site Hedge Baseline'!$B$1:$U$257,12,FALSE))))</f>
        <v/>
      </c>
      <c r="M238" s="416" t="str">
        <f t="shared" si="31"/>
        <v/>
      </c>
      <c r="N238" s="498" t="str">
        <f>IFERROR(IF(B238="","",INDEX('G-6 Hedgerow Data'!$AN$3:$AZ$15,MATCH(C238,'G-6 Hedgerow Data'!$AM$3:$AM$15,0),MATCH(M238,'G-6 Hedgerow Data'!$AN$2:$AZ$2,0))),"")</f>
        <v/>
      </c>
      <c r="O238" s="499" t="str">
        <f t="shared" si="26"/>
        <v/>
      </c>
      <c r="P238" s="559" t="str">
        <f>IF(B238="","",VLOOKUP(B238,'B-1 Site Hedge Baseline'!$B$10:T483,16,FALSE))</f>
        <v/>
      </c>
      <c r="Q238" s="498" t="str">
        <f>IF(M238="","",VLOOKUP(M238,'G-6 Hedgerow Data'!$B$2:$AG$15,2,FALSE))</f>
        <v/>
      </c>
      <c r="R238" s="499" t="str">
        <f>IF(M238="","",VLOOKUP(M238,'G-6 Hedgerow Data'!$B$2:$AG$15,3,FALSE))</f>
        <v/>
      </c>
      <c r="S238" s="157"/>
      <c r="T238" s="540" t="str">
        <f>IFERROR(VLOOKUP(S238,'G-1 All Habitats'!$Z$2:$AA$9,2,FALSE),"")</f>
        <v/>
      </c>
      <c r="U238" s="154"/>
      <c r="V238" s="520" t="str">
        <f>IF(U238="","",IF(VLOOKUP(U238,'G-3 Multipliers'!$L$3:$N$6,2,FALSE)=0,"Spatial Data Missing ⚠",VLOOKUP(U238,'G-3 Multipliers'!$L$3:$N$6,2,FALSE)))</f>
        <v/>
      </c>
      <c r="W238" s="524"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4"/>
        <v/>
      </c>
      <c r="AD238" s="537" t="str">
        <f>IF(M238="","",VLOOKUP(M238,'G-6 Hedgerow Data'!$B$3:$AG$15,31,FALSE))</f>
        <v/>
      </c>
      <c r="AE238" s="507" t="str">
        <f t="shared" si="29"/>
        <v/>
      </c>
      <c r="AF238" s="507" t="str">
        <f t="shared" si="30"/>
        <v/>
      </c>
      <c r="AG238" s="524" t="str">
        <f>IFERROR(IF(O238="","",VLOOKUP(AD238,'G-3 Multipliers'!$P$3:$Q$6,2,FALSE)),"")</f>
        <v/>
      </c>
      <c r="AH238" s="513" t="str">
        <f t="shared" si="25"/>
        <v/>
      </c>
      <c r="AI238" s="231"/>
      <c r="AJ238" s="150"/>
      <c r="AT238" s="31" t="str">
        <f>IFERROR(INDEX('G-6 Hedgerow Data'!$BJ$3:$BJ$15,MATCH(M238,'G-6 Hedgerow Data'!$B$3:$B$15,0)),"")</f>
        <v/>
      </c>
    </row>
    <row r="239" spans="2:46" ht="13.8" x14ac:dyDescent="0.25">
      <c r="B239" s="531" t="str">
        <f>'B-1 Site Hedge Baseline'!AK237</f>
        <v/>
      </c>
      <c r="C239" s="520" t="str">
        <f>IF(B239="","",IF(ISNA(VLOOKUP($B239,'B-1 Site Hedge Baseline'!$B$1:$L$257,3,FALSE)),"",(VLOOKUP($B239,'B-1 Site Hedge Baseline'!$B$1:$L$257,3,FALSE))))</f>
        <v/>
      </c>
      <c r="D239" s="520" t="str">
        <f>IF(B239="","",IF(ISNA(VLOOKUP($B239,'B-1 Site Hedge Baseline'!$B$1:$L$257,4,FALSE)),"",(VLOOKUP($B239,'B-1 Site Hedge Baseline'!$B$1:$L$257,4,FALSE))))</f>
        <v/>
      </c>
      <c r="E239" s="520" t="str">
        <f>IF(B239="","",IF(ISNA(VLOOKUP($B239,'B-1 Site Hedge Baseline'!$B$1:$L$257,5,FALSE)),"",(VLOOKUP($B239,'B-1 Site Hedge Baseline'!$B$1:$L$257,5,FALSE))))</f>
        <v/>
      </c>
      <c r="F239" s="520" t="str">
        <f>IF(B239="","",IF(ISNA(VLOOKUP($B239,'B-1 Site Hedge Baseline'!$B$1:$L$257,6,FALSE)),"",(VLOOKUP($B239,'B-1 Site Hedge Baseline'!$B$1:$L$257,6,FALSE))))</f>
        <v/>
      </c>
      <c r="G239" s="520" t="str">
        <f>IF(B239="","",IF(ISNA(VLOOKUP($B239,'B-1 Site Hedge Baseline'!$B$1:$L$257,7,FALSE)),"",(VLOOKUP($B239,'B-1 Site Hedge Baseline'!$B$1:$L$257,7,FALSE))))</f>
        <v/>
      </c>
      <c r="H239" s="520" t="str">
        <f>IF(B239="","",IF(ISNA(VLOOKUP($B239,'B-1 Site Hedge Baseline'!$B$1:$L$257,8,FALSE)),"",(VLOOKUP($B239,'B-1 Site Hedge Baseline'!$B$1:$L$257,8,FALSE))))</f>
        <v/>
      </c>
      <c r="I239" s="520" t="str">
        <f>IF(B239="","",IF(ISNA(VLOOKUP($B239,'B-1 Site Hedge Baseline'!$B$1:$L$257,10,FALSE)),"",(VLOOKUP($B239,'B-1 Site Hedge Baseline'!$B$1:$L$257,10,FALSE))))</f>
        <v/>
      </c>
      <c r="J239" s="520" t="str">
        <f>IF(B239="","",IF(ISNA(VLOOKUP($B239,'B-1 Site Hedge Baseline'!$B$1:$L$257,11,FALSE)),"",(VLOOKUP($B239,'B-1 Site Hedge Baseline'!$B$1:$L$257,11,FALSE))))</f>
        <v/>
      </c>
      <c r="K239" s="520" t="str">
        <f>IF(B239="","",IF(ISNA(VLOOKUP($B239,'B-1 Site Hedge Baseline'!$B$1:$U$257,13,FALSE)),"",(VLOOKUP($B239,'B-1 Site Hedge Baseline'!$B$1:$U$257,13,FALSE))))</f>
        <v/>
      </c>
      <c r="L239" s="524" t="str">
        <f>IF(B239="","",IF(ISNA(VLOOKUP($B239,'B-1 Site Hedge Baseline'!$B$1:$U$257,12,FALSE)),"",(VLOOKUP($B239,'B-1 Site Hedge Baseline'!$B$1:$U$257,12,FALSE))))</f>
        <v/>
      </c>
      <c r="M239" s="416" t="str">
        <f t="shared" si="31"/>
        <v/>
      </c>
      <c r="N239" s="498" t="str">
        <f>IFERROR(IF(B239="","",INDEX('G-6 Hedgerow Data'!$AN$3:$AZ$15,MATCH(C239,'G-6 Hedgerow Data'!$AM$3:$AM$15,0),MATCH(M239,'G-6 Hedgerow Data'!$AN$2:$AZ$2,0))),"")</f>
        <v/>
      </c>
      <c r="O239" s="499" t="str">
        <f t="shared" si="26"/>
        <v/>
      </c>
      <c r="P239" s="559" t="str">
        <f>IF(B239="","",VLOOKUP(B239,'B-1 Site Hedge Baseline'!$B$10:T484,16,FALSE))</f>
        <v/>
      </c>
      <c r="Q239" s="498" t="str">
        <f>IF(M239="","",VLOOKUP(M239,'G-6 Hedgerow Data'!$B$2:$AG$15,2,FALSE))</f>
        <v/>
      </c>
      <c r="R239" s="499" t="str">
        <f>IF(M239="","",VLOOKUP(M239,'G-6 Hedgerow Data'!$B$2:$AG$15,3,FALSE))</f>
        <v/>
      </c>
      <c r="S239" s="157"/>
      <c r="T239" s="540" t="str">
        <f>IFERROR(VLOOKUP(S239,'G-1 All Habitats'!$Z$2:$AA$9,2,FALSE),"")</f>
        <v/>
      </c>
      <c r="U239" s="154"/>
      <c r="V239" s="520" t="str">
        <f>IF(U239="","",IF(VLOOKUP(U239,'G-3 Multipliers'!$L$3:$N$6,2,FALSE)=0,"Spatial Data Missing ⚠",VLOOKUP(U239,'G-3 Multipliers'!$L$3:$N$6,2,FALSE)))</f>
        <v/>
      </c>
      <c r="W239" s="524"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4"/>
        <v/>
      </c>
      <c r="AD239" s="537" t="str">
        <f>IF(M239="","",VLOOKUP(M239,'G-6 Hedgerow Data'!$B$3:$AG$15,31,FALSE))</f>
        <v/>
      </c>
      <c r="AE239" s="507" t="str">
        <f t="shared" si="29"/>
        <v/>
      </c>
      <c r="AF239" s="507" t="str">
        <f t="shared" si="30"/>
        <v/>
      </c>
      <c r="AG239" s="524" t="str">
        <f>IFERROR(IF(O239="","",VLOOKUP(AD239,'G-3 Multipliers'!$P$3:$Q$6,2,FALSE)),"")</f>
        <v/>
      </c>
      <c r="AH239" s="513" t="str">
        <f t="shared" si="25"/>
        <v/>
      </c>
      <c r="AI239" s="231"/>
      <c r="AJ239" s="150"/>
      <c r="AT239" s="31" t="str">
        <f>IFERROR(INDEX('G-6 Hedgerow Data'!$BJ$3:$BJ$15,MATCH(M239,'G-6 Hedgerow Data'!$B$3:$B$15,0)),"")</f>
        <v/>
      </c>
    </row>
    <row r="240" spans="2:46" ht="13.8" x14ac:dyDescent="0.25">
      <c r="B240" s="531" t="str">
        <f>'B-1 Site Hedge Baseline'!AK238</f>
        <v/>
      </c>
      <c r="C240" s="520" t="str">
        <f>IF(B240="","",IF(ISNA(VLOOKUP($B240,'B-1 Site Hedge Baseline'!$B$1:$L$257,3,FALSE)),"",(VLOOKUP($B240,'B-1 Site Hedge Baseline'!$B$1:$L$257,3,FALSE))))</f>
        <v/>
      </c>
      <c r="D240" s="520" t="str">
        <f>IF(B240="","",IF(ISNA(VLOOKUP($B240,'B-1 Site Hedge Baseline'!$B$1:$L$257,4,FALSE)),"",(VLOOKUP($B240,'B-1 Site Hedge Baseline'!$B$1:$L$257,4,FALSE))))</f>
        <v/>
      </c>
      <c r="E240" s="520" t="str">
        <f>IF(B240="","",IF(ISNA(VLOOKUP($B240,'B-1 Site Hedge Baseline'!$B$1:$L$257,5,FALSE)),"",(VLOOKUP($B240,'B-1 Site Hedge Baseline'!$B$1:$L$257,5,FALSE))))</f>
        <v/>
      </c>
      <c r="F240" s="520" t="str">
        <f>IF(B240="","",IF(ISNA(VLOOKUP($B240,'B-1 Site Hedge Baseline'!$B$1:$L$257,6,FALSE)),"",(VLOOKUP($B240,'B-1 Site Hedge Baseline'!$B$1:$L$257,6,FALSE))))</f>
        <v/>
      </c>
      <c r="G240" s="520" t="str">
        <f>IF(B240="","",IF(ISNA(VLOOKUP($B240,'B-1 Site Hedge Baseline'!$B$1:$L$257,7,FALSE)),"",(VLOOKUP($B240,'B-1 Site Hedge Baseline'!$B$1:$L$257,7,FALSE))))</f>
        <v/>
      </c>
      <c r="H240" s="520" t="str">
        <f>IF(B240="","",IF(ISNA(VLOOKUP($B240,'B-1 Site Hedge Baseline'!$B$1:$L$257,8,FALSE)),"",(VLOOKUP($B240,'B-1 Site Hedge Baseline'!$B$1:$L$257,8,FALSE))))</f>
        <v/>
      </c>
      <c r="I240" s="520" t="str">
        <f>IF(B240="","",IF(ISNA(VLOOKUP($B240,'B-1 Site Hedge Baseline'!$B$1:$L$257,10,FALSE)),"",(VLOOKUP($B240,'B-1 Site Hedge Baseline'!$B$1:$L$257,10,FALSE))))</f>
        <v/>
      </c>
      <c r="J240" s="520" t="str">
        <f>IF(B240="","",IF(ISNA(VLOOKUP($B240,'B-1 Site Hedge Baseline'!$B$1:$L$257,11,FALSE)),"",(VLOOKUP($B240,'B-1 Site Hedge Baseline'!$B$1:$L$257,11,FALSE))))</f>
        <v/>
      </c>
      <c r="K240" s="520" t="str">
        <f>IF(B240="","",IF(ISNA(VLOOKUP($B240,'B-1 Site Hedge Baseline'!$B$1:$U$257,13,FALSE)),"",(VLOOKUP($B240,'B-1 Site Hedge Baseline'!$B$1:$U$257,13,FALSE))))</f>
        <v/>
      </c>
      <c r="L240" s="524" t="str">
        <f>IF(B240="","",IF(ISNA(VLOOKUP($B240,'B-1 Site Hedge Baseline'!$B$1:$U$257,12,FALSE)),"",(VLOOKUP($B240,'B-1 Site Hedge Baseline'!$B$1:$U$257,12,FALSE))))</f>
        <v/>
      </c>
      <c r="M240" s="416" t="str">
        <f t="shared" si="31"/>
        <v/>
      </c>
      <c r="N240" s="498" t="str">
        <f>IFERROR(IF(B240="","",INDEX('G-6 Hedgerow Data'!$AN$3:$AZ$15,MATCH(C240,'G-6 Hedgerow Data'!$AM$3:$AM$15,0),MATCH(M240,'G-6 Hedgerow Data'!$AN$2:$AZ$2,0))),"")</f>
        <v/>
      </c>
      <c r="O240" s="499" t="str">
        <f t="shared" si="26"/>
        <v/>
      </c>
      <c r="P240" s="559" t="str">
        <f>IF(B240="","",VLOOKUP(B240,'B-1 Site Hedge Baseline'!$B$10:T485,16,FALSE))</f>
        <v/>
      </c>
      <c r="Q240" s="498" t="str">
        <f>IF(M240="","",VLOOKUP(M240,'G-6 Hedgerow Data'!$B$2:$AG$15,2,FALSE))</f>
        <v/>
      </c>
      <c r="R240" s="499" t="str">
        <f>IF(M240="","",VLOOKUP(M240,'G-6 Hedgerow Data'!$B$2:$AG$15,3,FALSE))</f>
        <v/>
      </c>
      <c r="S240" s="157"/>
      <c r="T240" s="540" t="str">
        <f>IFERROR(VLOOKUP(S240,'G-1 All Habitats'!$Z$2:$AA$9,2,FALSE),"")</f>
        <v/>
      </c>
      <c r="U240" s="154"/>
      <c r="V240" s="520" t="str">
        <f>IF(U240="","",IF(VLOOKUP(U240,'G-3 Multipliers'!$L$3:$N$6,2,FALSE)=0,"Spatial Data Missing ⚠",VLOOKUP(U240,'G-3 Multipliers'!$L$3:$N$6,2,FALSE)))</f>
        <v/>
      </c>
      <c r="W240" s="524"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4"/>
        <v/>
      </c>
      <c r="AD240" s="537" t="str">
        <f>IF(M240="","",VLOOKUP(M240,'G-6 Hedgerow Data'!$B$3:$AG$15,31,FALSE))</f>
        <v/>
      </c>
      <c r="AE240" s="507" t="str">
        <f t="shared" si="29"/>
        <v/>
      </c>
      <c r="AF240" s="507" t="str">
        <f t="shared" si="30"/>
        <v/>
      </c>
      <c r="AG240" s="524" t="str">
        <f>IFERROR(IF(O240="","",VLOOKUP(AD240,'G-3 Multipliers'!$P$3:$Q$6,2,FALSE)),"")</f>
        <v/>
      </c>
      <c r="AH240" s="513" t="str">
        <f t="shared" si="25"/>
        <v/>
      </c>
      <c r="AI240" s="231"/>
      <c r="AJ240" s="150"/>
      <c r="AT240" s="31" t="str">
        <f>IFERROR(INDEX('G-6 Hedgerow Data'!$BJ$3:$BJ$15,MATCH(M240,'G-6 Hedgerow Data'!$B$3:$B$15,0)),"")</f>
        <v/>
      </c>
    </row>
    <row r="241" spans="2:46" ht="13.8" x14ac:dyDescent="0.25">
      <c r="B241" s="531" t="str">
        <f>'B-1 Site Hedge Baseline'!AK239</f>
        <v/>
      </c>
      <c r="C241" s="520" t="str">
        <f>IF(B241="","",IF(ISNA(VLOOKUP($B241,'B-1 Site Hedge Baseline'!$B$1:$L$257,3,FALSE)),"",(VLOOKUP($B241,'B-1 Site Hedge Baseline'!$B$1:$L$257,3,FALSE))))</f>
        <v/>
      </c>
      <c r="D241" s="520" t="str">
        <f>IF(B241="","",IF(ISNA(VLOOKUP($B241,'B-1 Site Hedge Baseline'!$B$1:$L$257,4,FALSE)),"",(VLOOKUP($B241,'B-1 Site Hedge Baseline'!$B$1:$L$257,4,FALSE))))</f>
        <v/>
      </c>
      <c r="E241" s="520" t="str">
        <f>IF(B241="","",IF(ISNA(VLOOKUP($B241,'B-1 Site Hedge Baseline'!$B$1:$L$257,5,FALSE)),"",(VLOOKUP($B241,'B-1 Site Hedge Baseline'!$B$1:$L$257,5,FALSE))))</f>
        <v/>
      </c>
      <c r="F241" s="520" t="str">
        <f>IF(B241="","",IF(ISNA(VLOOKUP($B241,'B-1 Site Hedge Baseline'!$B$1:$L$257,6,FALSE)),"",(VLOOKUP($B241,'B-1 Site Hedge Baseline'!$B$1:$L$257,6,FALSE))))</f>
        <v/>
      </c>
      <c r="G241" s="520" t="str">
        <f>IF(B241="","",IF(ISNA(VLOOKUP($B241,'B-1 Site Hedge Baseline'!$B$1:$L$257,7,FALSE)),"",(VLOOKUP($B241,'B-1 Site Hedge Baseline'!$B$1:$L$257,7,FALSE))))</f>
        <v/>
      </c>
      <c r="H241" s="520" t="str">
        <f>IF(B241="","",IF(ISNA(VLOOKUP($B241,'B-1 Site Hedge Baseline'!$B$1:$L$257,8,FALSE)),"",(VLOOKUP($B241,'B-1 Site Hedge Baseline'!$B$1:$L$257,8,FALSE))))</f>
        <v/>
      </c>
      <c r="I241" s="520" t="str">
        <f>IF(B241="","",IF(ISNA(VLOOKUP($B241,'B-1 Site Hedge Baseline'!$B$1:$L$257,10,FALSE)),"",(VLOOKUP($B241,'B-1 Site Hedge Baseline'!$B$1:$L$257,10,FALSE))))</f>
        <v/>
      </c>
      <c r="J241" s="520" t="str">
        <f>IF(B241="","",IF(ISNA(VLOOKUP($B241,'B-1 Site Hedge Baseline'!$B$1:$L$257,11,FALSE)),"",(VLOOKUP($B241,'B-1 Site Hedge Baseline'!$B$1:$L$257,11,FALSE))))</f>
        <v/>
      </c>
      <c r="K241" s="520" t="str">
        <f>IF(B241="","",IF(ISNA(VLOOKUP($B241,'B-1 Site Hedge Baseline'!$B$1:$U$257,13,FALSE)),"",(VLOOKUP($B241,'B-1 Site Hedge Baseline'!$B$1:$U$257,13,FALSE))))</f>
        <v/>
      </c>
      <c r="L241" s="524" t="str">
        <f>IF(B241="","",IF(ISNA(VLOOKUP($B241,'B-1 Site Hedge Baseline'!$B$1:$U$257,12,FALSE)),"",(VLOOKUP($B241,'B-1 Site Hedge Baseline'!$B$1:$U$257,12,FALSE))))</f>
        <v/>
      </c>
      <c r="M241" s="416" t="str">
        <f t="shared" si="31"/>
        <v/>
      </c>
      <c r="N241" s="498" t="str">
        <f>IFERROR(IF(B241="","",INDEX('G-6 Hedgerow Data'!$AN$3:$AZ$15,MATCH(C241,'G-6 Hedgerow Data'!$AM$3:$AM$15,0),MATCH(M241,'G-6 Hedgerow Data'!$AN$2:$AZ$2,0))),"")</f>
        <v/>
      </c>
      <c r="O241" s="499" t="str">
        <f t="shared" si="26"/>
        <v/>
      </c>
      <c r="P241" s="559" t="str">
        <f>IF(B241="","",VLOOKUP(B241,'B-1 Site Hedge Baseline'!$B$10:T486,16,FALSE))</f>
        <v/>
      </c>
      <c r="Q241" s="498" t="str">
        <f>IF(M241="","",VLOOKUP(M241,'G-6 Hedgerow Data'!$B$2:$AG$15,2,FALSE))</f>
        <v/>
      </c>
      <c r="R241" s="499" t="str">
        <f>IF(M241="","",VLOOKUP(M241,'G-6 Hedgerow Data'!$B$2:$AG$15,3,FALSE))</f>
        <v/>
      </c>
      <c r="S241" s="157"/>
      <c r="T241" s="540" t="str">
        <f>IFERROR(VLOOKUP(S241,'G-1 All Habitats'!$Z$2:$AA$9,2,FALSE),"")</f>
        <v/>
      </c>
      <c r="U241" s="154"/>
      <c r="V241" s="520" t="str">
        <f>IF(U241="","",IF(VLOOKUP(U241,'G-3 Multipliers'!$L$3:$N$6,2,FALSE)=0,"Spatial Data Missing ⚠",VLOOKUP(U241,'G-3 Multipliers'!$L$3:$N$6,2,FALSE)))</f>
        <v/>
      </c>
      <c r="W241" s="524"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4"/>
        <v/>
      </c>
      <c r="AD241" s="537" t="str">
        <f>IF(M241="","",VLOOKUP(M241,'G-6 Hedgerow Data'!$B$3:$AG$15,31,FALSE))</f>
        <v/>
      </c>
      <c r="AE241" s="507" t="str">
        <f t="shared" si="29"/>
        <v/>
      </c>
      <c r="AF241" s="507" t="str">
        <f t="shared" si="30"/>
        <v/>
      </c>
      <c r="AG241" s="524" t="str">
        <f>IFERROR(IF(O241="","",VLOOKUP(AD241,'G-3 Multipliers'!$P$3:$Q$6,2,FALSE)),"")</f>
        <v/>
      </c>
      <c r="AH241" s="513" t="str">
        <f t="shared" si="25"/>
        <v/>
      </c>
      <c r="AI241" s="231"/>
      <c r="AJ241" s="150"/>
      <c r="AT241" s="31" t="str">
        <f>IFERROR(INDEX('G-6 Hedgerow Data'!$BJ$3:$BJ$15,MATCH(M241,'G-6 Hedgerow Data'!$B$3:$B$15,0)),"")</f>
        <v/>
      </c>
    </row>
    <row r="242" spans="2:46" ht="13.8" x14ac:dyDescent="0.25">
      <c r="B242" s="531" t="str">
        <f>'B-1 Site Hedge Baseline'!AK240</f>
        <v/>
      </c>
      <c r="C242" s="520" t="str">
        <f>IF(B242="","",IF(ISNA(VLOOKUP($B242,'B-1 Site Hedge Baseline'!$B$1:$L$257,3,FALSE)),"",(VLOOKUP($B242,'B-1 Site Hedge Baseline'!$B$1:$L$257,3,FALSE))))</f>
        <v/>
      </c>
      <c r="D242" s="520" t="str">
        <f>IF(B242="","",IF(ISNA(VLOOKUP($B242,'B-1 Site Hedge Baseline'!$B$1:$L$257,4,FALSE)),"",(VLOOKUP($B242,'B-1 Site Hedge Baseline'!$B$1:$L$257,4,FALSE))))</f>
        <v/>
      </c>
      <c r="E242" s="520" t="str">
        <f>IF(B242="","",IF(ISNA(VLOOKUP($B242,'B-1 Site Hedge Baseline'!$B$1:$L$257,5,FALSE)),"",(VLOOKUP($B242,'B-1 Site Hedge Baseline'!$B$1:$L$257,5,FALSE))))</f>
        <v/>
      </c>
      <c r="F242" s="520" t="str">
        <f>IF(B242="","",IF(ISNA(VLOOKUP($B242,'B-1 Site Hedge Baseline'!$B$1:$L$257,6,FALSE)),"",(VLOOKUP($B242,'B-1 Site Hedge Baseline'!$B$1:$L$257,6,FALSE))))</f>
        <v/>
      </c>
      <c r="G242" s="520" t="str">
        <f>IF(B242="","",IF(ISNA(VLOOKUP($B242,'B-1 Site Hedge Baseline'!$B$1:$L$257,7,FALSE)),"",(VLOOKUP($B242,'B-1 Site Hedge Baseline'!$B$1:$L$257,7,FALSE))))</f>
        <v/>
      </c>
      <c r="H242" s="520" t="str">
        <f>IF(B242="","",IF(ISNA(VLOOKUP($B242,'B-1 Site Hedge Baseline'!$B$1:$L$257,8,FALSE)),"",(VLOOKUP($B242,'B-1 Site Hedge Baseline'!$B$1:$L$257,8,FALSE))))</f>
        <v/>
      </c>
      <c r="I242" s="520" t="str">
        <f>IF(B242="","",IF(ISNA(VLOOKUP($B242,'B-1 Site Hedge Baseline'!$B$1:$L$257,10,FALSE)),"",(VLOOKUP($B242,'B-1 Site Hedge Baseline'!$B$1:$L$257,10,FALSE))))</f>
        <v/>
      </c>
      <c r="J242" s="520" t="str">
        <f>IF(B242="","",IF(ISNA(VLOOKUP($B242,'B-1 Site Hedge Baseline'!$B$1:$L$257,11,FALSE)),"",(VLOOKUP($B242,'B-1 Site Hedge Baseline'!$B$1:$L$257,11,FALSE))))</f>
        <v/>
      </c>
      <c r="K242" s="520" t="str">
        <f>IF(B242="","",IF(ISNA(VLOOKUP($B242,'B-1 Site Hedge Baseline'!$B$1:$U$257,13,FALSE)),"",(VLOOKUP($B242,'B-1 Site Hedge Baseline'!$B$1:$U$257,13,FALSE))))</f>
        <v/>
      </c>
      <c r="L242" s="524" t="str">
        <f>IF(B242="","",IF(ISNA(VLOOKUP($B242,'B-1 Site Hedge Baseline'!$B$1:$U$257,12,FALSE)),"",(VLOOKUP($B242,'B-1 Site Hedge Baseline'!$B$1:$U$257,12,FALSE))))</f>
        <v/>
      </c>
      <c r="M242" s="416" t="str">
        <f t="shared" si="31"/>
        <v/>
      </c>
      <c r="N242" s="498" t="str">
        <f>IFERROR(IF(B242="","",INDEX('G-6 Hedgerow Data'!$AN$3:$AZ$15,MATCH(C242,'G-6 Hedgerow Data'!$AM$3:$AM$15,0),MATCH(M242,'G-6 Hedgerow Data'!$AN$2:$AZ$2,0))),"")</f>
        <v/>
      </c>
      <c r="O242" s="499" t="str">
        <f t="shared" si="26"/>
        <v/>
      </c>
      <c r="P242" s="559" t="str">
        <f>IF(B242="","",VLOOKUP(B242,'B-1 Site Hedge Baseline'!$B$10:T487,16,FALSE))</f>
        <v/>
      </c>
      <c r="Q242" s="498" t="str">
        <f>IF(M242="","",VLOOKUP(M242,'G-6 Hedgerow Data'!$B$2:$AG$15,2,FALSE))</f>
        <v/>
      </c>
      <c r="R242" s="499" t="str">
        <f>IF(M242="","",VLOOKUP(M242,'G-6 Hedgerow Data'!$B$2:$AG$15,3,FALSE))</f>
        <v/>
      </c>
      <c r="S242" s="157"/>
      <c r="T242" s="540" t="str">
        <f>IFERROR(VLOOKUP(S242,'G-1 All Habitats'!$Z$2:$AA$9,2,FALSE),"")</f>
        <v/>
      </c>
      <c r="U242" s="154"/>
      <c r="V242" s="520" t="str">
        <f>IF(U242="","",IF(VLOOKUP(U242,'G-3 Multipliers'!$L$3:$N$6,2,FALSE)=0,"Spatial Data Missing ⚠",VLOOKUP(U242,'G-3 Multipliers'!$L$3:$N$6,2,FALSE)))</f>
        <v/>
      </c>
      <c r="W242" s="524"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4"/>
        <v/>
      </c>
      <c r="AD242" s="537" t="str">
        <f>IF(M242="","",VLOOKUP(M242,'G-6 Hedgerow Data'!$B$3:$AG$15,31,FALSE))</f>
        <v/>
      </c>
      <c r="AE242" s="507" t="str">
        <f t="shared" si="29"/>
        <v/>
      </c>
      <c r="AF242" s="507" t="str">
        <f t="shared" si="30"/>
        <v/>
      </c>
      <c r="AG242" s="524" t="str">
        <f>IFERROR(IF(O242="","",VLOOKUP(AD242,'G-3 Multipliers'!$P$3:$Q$6,2,FALSE)),"")</f>
        <v/>
      </c>
      <c r="AH242" s="513" t="str">
        <f t="shared" si="25"/>
        <v/>
      </c>
      <c r="AI242" s="231"/>
      <c r="AJ242" s="150"/>
      <c r="AT242" s="31" t="str">
        <f>IFERROR(INDEX('G-6 Hedgerow Data'!$BJ$3:$BJ$15,MATCH(M242,'G-6 Hedgerow Data'!$B$3:$B$15,0)),"")</f>
        <v/>
      </c>
    </row>
    <row r="243" spans="2:46" ht="13.8" x14ac:dyDescent="0.25">
      <c r="B243" s="531" t="str">
        <f>'B-1 Site Hedge Baseline'!AK241</f>
        <v/>
      </c>
      <c r="C243" s="520" t="str">
        <f>IF(B243="","",IF(ISNA(VLOOKUP($B243,'B-1 Site Hedge Baseline'!$B$1:$L$257,3,FALSE)),"",(VLOOKUP($B243,'B-1 Site Hedge Baseline'!$B$1:$L$257,3,FALSE))))</f>
        <v/>
      </c>
      <c r="D243" s="520" t="str">
        <f>IF(B243="","",IF(ISNA(VLOOKUP($B243,'B-1 Site Hedge Baseline'!$B$1:$L$257,4,FALSE)),"",(VLOOKUP($B243,'B-1 Site Hedge Baseline'!$B$1:$L$257,4,FALSE))))</f>
        <v/>
      </c>
      <c r="E243" s="520" t="str">
        <f>IF(B243="","",IF(ISNA(VLOOKUP($B243,'B-1 Site Hedge Baseline'!$B$1:$L$257,5,FALSE)),"",(VLOOKUP($B243,'B-1 Site Hedge Baseline'!$B$1:$L$257,5,FALSE))))</f>
        <v/>
      </c>
      <c r="F243" s="520" t="str">
        <f>IF(B243="","",IF(ISNA(VLOOKUP($B243,'B-1 Site Hedge Baseline'!$B$1:$L$257,6,FALSE)),"",(VLOOKUP($B243,'B-1 Site Hedge Baseline'!$B$1:$L$257,6,FALSE))))</f>
        <v/>
      </c>
      <c r="G243" s="520" t="str">
        <f>IF(B243="","",IF(ISNA(VLOOKUP($B243,'B-1 Site Hedge Baseline'!$B$1:$L$257,7,FALSE)),"",(VLOOKUP($B243,'B-1 Site Hedge Baseline'!$B$1:$L$257,7,FALSE))))</f>
        <v/>
      </c>
      <c r="H243" s="520" t="str">
        <f>IF(B243="","",IF(ISNA(VLOOKUP($B243,'B-1 Site Hedge Baseline'!$B$1:$L$257,8,FALSE)),"",(VLOOKUP($B243,'B-1 Site Hedge Baseline'!$B$1:$L$257,8,FALSE))))</f>
        <v/>
      </c>
      <c r="I243" s="520" t="str">
        <f>IF(B243="","",IF(ISNA(VLOOKUP($B243,'B-1 Site Hedge Baseline'!$B$1:$L$257,10,FALSE)),"",(VLOOKUP($B243,'B-1 Site Hedge Baseline'!$B$1:$L$257,10,FALSE))))</f>
        <v/>
      </c>
      <c r="J243" s="520" t="str">
        <f>IF(B243="","",IF(ISNA(VLOOKUP($B243,'B-1 Site Hedge Baseline'!$B$1:$L$257,11,FALSE)),"",(VLOOKUP($B243,'B-1 Site Hedge Baseline'!$B$1:$L$257,11,FALSE))))</f>
        <v/>
      </c>
      <c r="K243" s="520" t="str">
        <f>IF(B243="","",IF(ISNA(VLOOKUP($B243,'B-1 Site Hedge Baseline'!$B$1:$U$257,13,FALSE)),"",(VLOOKUP($B243,'B-1 Site Hedge Baseline'!$B$1:$U$257,13,FALSE))))</f>
        <v/>
      </c>
      <c r="L243" s="524" t="str">
        <f>IF(B243="","",IF(ISNA(VLOOKUP($B243,'B-1 Site Hedge Baseline'!$B$1:$U$257,12,FALSE)),"",(VLOOKUP($B243,'B-1 Site Hedge Baseline'!$B$1:$U$257,12,FALSE))))</f>
        <v/>
      </c>
      <c r="M243" s="416" t="str">
        <f t="shared" si="31"/>
        <v/>
      </c>
      <c r="N243" s="498" t="str">
        <f>IFERROR(IF(B243="","",INDEX('G-6 Hedgerow Data'!$AN$3:$AZ$15,MATCH(C243,'G-6 Hedgerow Data'!$AM$3:$AM$15,0),MATCH(M243,'G-6 Hedgerow Data'!$AN$2:$AZ$2,0))),"")</f>
        <v/>
      </c>
      <c r="O243" s="499" t="str">
        <f t="shared" si="26"/>
        <v/>
      </c>
      <c r="P243" s="559" t="str">
        <f>IF(B243="","",VLOOKUP(B243,'B-1 Site Hedge Baseline'!$B$10:T488,16,FALSE))</f>
        <v/>
      </c>
      <c r="Q243" s="498" t="str">
        <f>IF(M243="","",VLOOKUP(M243,'G-6 Hedgerow Data'!$B$2:$AG$15,2,FALSE))</f>
        <v/>
      </c>
      <c r="R243" s="499" t="str">
        <f>IF(M243="","",VLOOKUP(M243,'G-6 Hedgerow Data'!$B$2:$AG$15,3,FALSE))</f>
        <v/>
      </c>
      <c r="S243" s="157"/>
      <c r="T243" s="540" t="str">
        <f>IFERROR(VLOOKUP(S243,'G-1 All Habitats'!$Z$2:$AA$9,2,FALSE),"")</f>
        <v/>
      </c>
      <c r="U243" s="154"/>
      <c r="V243" s="520" t="str">
        <f>IF(U243="","",IF(VLOOKUP(U243,'G-3 Multipliers'!$L$3:$N$6,2,FALSE)=0,"Spatial Data Missing ⚠",VLOOKUP(U243,'G-3 Multipliers'!$L$3:$N$6,2,FALSE)))</f>
        <v/>
      </c>
      <c r="W243" s="524"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4"/>
        <v/>
      </c>
      <c r="AD243" s="537" t="str">
        <f>IF(M243="","",VLOOKUP(M243,'G-6 Hedgerow Data'!$B$3:$AG$15,31,FALSE))</f>
        <v/>
      </c>
      <c r="AE243" s="507" t="str">
        <f t="shared" si="29"/>
        <v/>
      </c>
      <c r="AF243" s="507" t="str">
        <f t="shared" si="30"/>
        <v/>
      </c>
      <c r="AG243" s="524" t="str">
        <f>IFERROR(IF(O243="","",VLOOKUP(AD243,'G-3 Multipliers'!$P$3:$Q$6,2,FALSE)),"")</f>
        <v/>
      </c>
      <c r="AH243" s="513" t="str">
        <f t="shared" si="25"/>
        <v/>
      </c>
      <c r="AI243" s="231"/>
      <c r="AJ243" s="150"/>
      <c r="AT243" s="31" t="str">
        <f>IFERROR(INDEX('G-6 Hedgerow Data'!$BJ$3:$BJ$15,MATCH(M243,'G-6 Hedgerow Data'!$B$3:$B$15,0)),"")</f>
        <v/>
      </c>
    </row>
    <row r="244" spans="2:46" ht="13.8" x14ac:dyDescent="0.25">
      <c r="B244" s="531" t="str">
        <f>'B-1 Site Hedge Baseline'!AK242</f>
        <v/>
      </c>
      <c r="C244" s="520" t="str">
        <f>IF(B244="","",IF(ISNA(VLOOKUP($B244,'B-1 Site Hedge Baseline'!$B$1:$L$257,3,FALSE)),"",(VLOOKUP($B244,'B-1 Site Hedge Baseline'!$B$1:$L$257,3,FALSE))))</f>
        <v/>
      </c>
      <c r="D244" s="520" t="str">
        <f>IF(B244="","",IF(ISNA(VLOOKUP($B244,'B-1 Site Hedge Baseline'!$B$1:$L$257,4,FALSE)),"",(VLOOKUP($B244,'B-1 Site Hedge Baseline'!$B$1:$L$257,4,FALSE))))</f>
        <v/>
      </c>
      <c r="E244" s="520" t="str">
        <f>IF(B244="","",IF(ISNA(VLOOKUP($B244,'B-1 Site Hedge Baseline'!$B$1:$L$257,5,FALSE)),"",(VLOOKUP($B244,'B-1 Site Hedge Baseline'!$B$1:$L$257,5,FALSE))))</f>
        <v/>
      </c>
      <c r="F244" s="520" t="str">
        <f>IF(B244="","",IF(ISNA(VLOOKUP($B244,'B-1 Site Hedge Baseline'!$B$1:$L$257,6,FALSE)),"",(VLOOKUP($B244,'B-1 Site Hedge Baseline'!$B$1:$L$257,6,FALSE))))</f>
        <v/>
      </c>
      <c r="G244" s="520" t="str">
        <f>IF(B244="","",IF(ISNA(VLOOKUP($B244,'B-1 Site Hedge Baseline'!$B$1:$L$257,7,FALSE)),"",(VLOOKUP($B244,'B-1 Site Hedge Baseline'!$B$1:$L$257,7,FALSE))))</f>
        <v/>
      </c>
      <c r="H244" s="520" t="str">
        <f>IF(B244="","",IF(ISNA(VLOOKUP($B244,'B-1 Site Hedge Baseline'!$B$1:$L$257,8,FALSE)),"",(VLOOKUP($B244,'B-1 Site Hedge Baseline'!$B$1:$L$257,8,FALSE))))</f>
        <v/>
      </c>
      <c r="I244" s="520" t="str">
        <f>IF(B244="","",IF(ISNA(VLOOKUP($B244,'B-1 Site Hedge Baseline'!$B$1:$L$257,10,FALSE)),"",(VLOOKUP($B244,'B-1 Site Hedge Baseline'!$B$1:$L$257,10,FALSE))))</f>
        <v/>
      </c>
      <c r="J244" s="520" t="str">
        <f>IF(B244="","",IF(ISNA(VLOOKUP($B244,'B-1 Site Hedge Baseline'!$B$1:$L$257,11,FALSE)),"",(VLOOKUP($B244,'B-1 Site Hedge Baseline'!$B$1:$L$257,11,FALSE))))</f>
        <v/>
      </c>
      <c r="K244" s="520" t="str">
        <f>IF(B244="","",IF(ISNA(VLOOKUP($B244,'B-1 Site Hedge Baseline'!$B$1:$U$257,13,FALSE)),"",(VLOOKUP($B244,'B-1 Site Hedge Baseline'!$B$1:$U$257,13,FALSE))))</f>
        <v/>
      </c>
      <c r="L244" s="524" t="str">
        <f>IF(B244="","",IF(ISNA(VLOOKUP($B244,'B-1 Site Hedge Baseline'!$B$1:$U$257,12,FALSE)),"",(VLOOKUP($B244,'B-1 Site Hedge Baseline'!$B$1:$U$257,12,FALSE))))</f>
        <v/>
      </c>
      <c r="M244" s="416" t="str">
        <f t="shared" si="31"/>
        <v/>
      </c>
      <c r="N244" s="498" t="str">
        <f>IFERROR(IF(B244="","",INDEX('G-6 Hedgerow Data'!$AN$3:$AZ$15,MATCH(C244,'G-6 Hedgerow Data'!$AM$3:$AM$15,0),MATCH(M244,'G-6 Hedgerow Data'!$AN$2:$AZ$2,0))),"")</f>
        <v/>
      </c>
      <c r="O244" s="499" t="str">
        <f t="shared" si="26"/>
        <v/>
      </c>
      <c r="P244" s="559" t="str">
        <f>IF(B244="","",VLOOKUP(B244,'B-1 Site Hedge Baseline'!$B$10:T489,16,FALSE))</f>
        <v/>
      </c>
      <c r="Q244" s="498" t="str">
        <f>IF(M244="","",VLOOKUP(M244,'G-6 Hedgerow Data'!$B$2:$AG$15,2,FALSE))</f>
        <v/>
      </c>
      <c r="R244" s="499" t="str">
        <f>IF(M244="","",VLOOKUP(M244,'G-6 Hedgerow Data'!$B$2:$AG$15,3,FALSE))</f>
        <v/>
      </c>
      <c r="S244" s="157"/>
      <c r="T244" s="540" t="str">
        <f>IFERROR(VLOOKUP(S244,'G-1 All Habitats'!$Z$2:$AA$9,2,FALSE),"")</f>
        <v/>
      </c>
      <c r="U244" s="154"/>
      <c r="V244" s="520" t="str">
        <f>IF(U244="","",IF(VLOOKUP(U244,'G-3 Multipliers'!$L$3:$N$6,2,FALSE)=0,"Spatial Data Missing ⚠",VLOOKUP(U244,'G-3 Multipliers'!$L$3:$N$6,2,FALSE)))</f>
        <v/>
      </c>
      <c r="W244" s="524"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4"/>
        <v/>
      </c>
      <c r="AD244" s="537" t="str">
        <f>IF(M244="","",VLOOKUP(M244,'G-6 Hedgerow Data'!$B$3:$AG$15,31,FALSE))</f>
        <v/>
      </c>
      <c r="AE244" s="507" t="str">
        <f t="shared" si="29"/>
        <v/>
      </c>
      <c r="AF244" s="507" t="str">
        <f t="shared" si="30"/>
        <v/>
      </c>
      <c r="AG244" s="524" t="str">
        <f>IFERROR(IF(O244="","",VLOOKUP(AD244,'G-3 Multipliers'!$P$3:$Q$6,2,FALSE)),"")</f>
        <v/>
      </c>
      <c r="AH244" s="513" t="str">
        <f t="shared" si="25"/>
        <v/>
      </c>
      <c r="AI244" s="231"/>
      <c r="AJ244" s="150"/>
      <c r="AT244" s="31" t="str">
        <f>IFERROR(INDEX('G-6 Hedgerow Data'!$BJ$3:$BJ$15,MATCH(M244,'G-6 Hedgerow Data'!$B$3:$B$15,0)),"")</f>
        <v/>
      </c>
    </row>
    <row r="245" spans="2:46" ht="13.8" x14ac:dyDescent="0.25">
      <c r="B245" s="531" t="str">
        <f>'B-1 Site Hedge Baseline'!AK243</f>
        <v/>
      </c>
      <c r="C245" s="520" t="str">
        <f>IF(B245="","",IF(ISNA(VLOOKUP($B245,'B-1 Site Hedge Baseline'!$B$1:$L$257,3,FALSE)),"",(VLOOKUP($B245,'B-1 Site Hedge Baseline'!$B$1:$L$257,3,FALSE))))</f>
        <v/>
      </c>
      <c r="D245" s="520" t="str">
        <f>IF(B245="","",IF(ISNA(VLOOKUP($B245,'B-1 Site Hedge Baseline'!$B$1:$L$257,4,FALSE)),"",(VLOOKUP($B245,'B-1 Site Hedge Baseline'!$B$1:$L$257,4,FALSE))))</f>
        <v/>
      </c>
      <c r="E245" s="520" t="str">
        <f>IF(B245="","",IF(ISNA(VLOOKUP($B245,'B-1 Site Hedge Baseline'!$B$1:$L$257,5,FALSE)),"",(VLOOKUP($B245,'B-1 Site Hedge Baseline'!$B$1:$L$257,5,FALSE))))</f>
        <v/>
      </c>
      <c r="F245" s="520" t="str">
        <f>IF(B245="","",IF(ISNA(VLOOKUP($B245,'B-1 Site Hedge Baseline'!$B$1:$L$257,6,FALSE)),"",(VLOOKUP($B245,'B-1 Site Hedge Baseline'!$B$1:$L$257,6,FALSE))))</f>
        <v/>
      </c>
      <c r="G245" s="520" t="str">
        <f>IF(B245="","",IF(ISNA(VLOOKUP($B245,'B-1 Site Hedge Baseline'!$B$1:$L$257,7,FALSE)),"",(VLOOKUP($B245,'B-1 Site Hedge Baseline'!$B$1:$L$257,7,FALSE))))</f>
        <v/>
      </c>
      <c r="H245" s="520" t="str">
        <f>IF(B245="","",IF(ISNA(VLOOKUP($B245,'B-1 Site Hedge Baseline'!$B$1:$L$257,8,FALSE)),"",(VLOOKUP($B245,'B-1 Site Hedge Baseline'!$B$1:$L$257,8,FALSE))))</f>
        <v/>
      </c>
      <c r="I245" s="520" t="str">
        <f>IF(B245="","",IF(ISNA(VLOOKUP($B245,'B-1 Site Hedge Baseline'!$B$1:$L$257,10,FALSE)),"",(VLOOKUP($B245,'B-1 Site Hedge Baseline'!$B$1:$L$257,10,FALSE))))</f>
        <v/>
      </c>
      <c r="J245" s="520" t="str">
        <f>IF(B245="","",IF(ISNA(VLOOKUP($B245,'B-1 Site Hedge Baseline'!$B$1:$L$257,11,FALSE)),"",(VLOOKUP($B245,'B-1 Site Hedge Baseline'!$B$1:$L$257,11,FALSE))))</f>
        <v/>
      </c>
      <c r="K245" s="520" t="str">
        <f>IF(B245="","",IF(ISNA(VLOOKUP($B245,'B-1 Site Hedge Baseline'!$B$1:$U$257,13,FALSE)),"",(VLOOKUP($B245,'B-1 Site Hedge Baseline'!$B$1:$U$257,13,FALSE))))</f>
        <v/>
      </c>
      <c r="L245" s="524" t="str">
        <f>IF(B245="","",IF(ISNA(VLOOKUP($B245,'B-1 Site Hedge Baseline'!$B$1:$U$257,12,FALSE)),"",(VLOOKUP($B245,'B-1 Site Hedge Baseline'!$B$1:$U$257,12,FALSE))))</f>
        <v/>
      </c>
      <c r="M245" s="416" t="str">
        <f t="shared" si="31"/>
        <v/>
      </c>
      <c r="N245" s="498" t="str">
        <f>IFERROR(IF(B245="","",INDEX('G-6 Hedgerow Data'!$AN$3:$AZ$15,MATCH(C245,'G-6 Hedgerow Data'!$AM$3:$AM$15,0),MATCH(M245,'G-6 Hedgerow Data'!$AN$2:$AZ$2,0))),"")</f>
        <v/>
      </c>
      <c r="O245" s="499" t="str">
        <f t="shared" si="26"/>
        <v/>
      </c>
      <c r="P245" s="559" t="str">
        <f>IF(B245="","",VLOOKUP(B245,'B-1 Site Hedge Baseline'!$B$10:T490,16,FALSE))</f>
        <v/>
      </c>
      <c r="Q245" s="498" t="str">
        <f>IF(M245="","",VLOOKUP(M245,'G-6 Hedgerow Data'!$B$2:$AG$15,2,FALSE))</f>
        <v/>
      </c>
      <c r="R245" s="499" t="str">
        <f>IF(M245="","",VLOOKUP(M245,'G-6 Hedgerow Data'!$B$2:$AG$15,3,FALSE))</f>
        <v/>
      </c>
      <c r="S245" s="157"/>
      <c r="T245" s="540" t="str">
        <f>IFERROR(VLOOKUP(S245,'G-1 All Habitats'!$Z$2:$AA$9,2,FALSE),"")</f>
        <v/>
      </c>
      <c r="U245" s="154"/>
      <c r="V245" s="520" t="str">
        <f>IF(U245="","",IF(VLOOKUP(U245,'G-3 Multipliers'!$L$3:$N$6,2,FALSE)=0,"Spatial Data Missing ⚠",VLOOKUP(U245,'G-3 Multipliers'!$L$3:$N$6,2,FALSE)))</f>
        <v/>
      </c>
      <c r="W245" s="524"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4"/>
        <v/>
      </c>
      <c r="AD245" s="537" t="str">
        <f>IF(M245="","",VLOOKUP(M245,'G-6 Hedgerow Data'!$B$3:$AG$15,31,FALSE))</f>
        <v/>
      </c>
      <c r="AE245" s="507" t="str">
        <f t="shared" si="29"/>
        <v/>
      </c>
      <c r="AF245" s="507" t="str">
        <f t="shared" si="30"/>
        <v/>
      </c>
      <c r="AG245" s="524" t="str">
        <f>IFERROR(IF(O245="","",VLOOKUP(AD245,'G-3 Multipliers'!$P$3:$Q$6,2,FALSE)),"")</f>
        <v/>
      </c>
      <c r="AH245" s="513" t="str">
        <f t="shared" si="25"/>
        <v/>
      </c>
      <c r="AI245" s="231"/>
      <c r="AJ245" s="150"/>
      <c r="AT245" s="31" t="str">
        <f>IFERROR(INDEX('G-6 Hedgerow Data'!$BJ$3:$BJ$15,MATCH(M245,'G-6 Hedgerow Data'!$B$3:$B$15,0)),"")</f>
        <v/>
      </c>
    </row>
    <row r="246" spans="2:46" ht="13.8" x14ac:dyDescent="0.25">
      <c r="B246" s="531" t="str">
        <f>'B-1 Site Hedge Baseline'!AK244</f>
        <v/>
      </c>
      <c r="C246" s="520" t="str">
        <f>IF(B246="","",IF(ISNA(VLOOKUP($B246,'B-1 Site Hedge Baseline'!$B$1:$L$257,3,FALSE)),"",(VLOOKUP($B246,'B-1 Site Hedge Baseline'!$B$1:$L$257,3,FALSE))))</f>
        <v/>
      </c>
      <c r="D246" s="520" t="str">
        <f>IF(B246="","",IF(ISNA(VLOOKUP($B246,'B-1 Site Hedge Baseline'!$B$1:$L$257,4,FALSE)),"",(VLOOKUP($B246,'B-1 Site Hedge Baseline'!$B$1:$L$257,4,FALSE))))</f>
        <v/>
      </c>
      <c r="E246" s="520" t="str">
        <f>IF(B246="","",IF(ISNA(VLOOKUP($B246,'B-1 Site Hedge Baseline'!$B$1:$L$257,5,FALSE)),"",(VLOOKUP($B246,'B-1 Site Hedge Baseline'!$B$1:$L$257,5,FALSE))))</f>
        <v/>
      </c>
      <c r="F246" s="520" t="str">
        <f>IF(B246="","",IF(ISNA(VLOOKUP($B246,'B-1 Site Hedge Baseline'!$B$1:$L$257,6,FALSE)),"",(VLOOKUP($B246,'B-1 Site Hedge Baseline'!$B$1:$L$257,6,FALSE))))</f>
        <v/>
      </c>
      <c r="G246" s="520" t="str">
        <f>IF(B246="","",IF(ISNA(VLOOKUP($B246,'B-1 Site Hedge Baseline'!$B$1:$L$257,7,FALSE)),"",(VLOOKUP($B246,'B-1 Site Hedge Baseline'!$B$1:$L$257,7,FALSE))))</f>
        <v/>
      </c>
      <c r="H246" s="520" t="str">
        <f>IF(B246="","",IF(ISNA(VLOOKUP($B246,'B-1 Site Hedge Baseline'!$B$1:$L$257,8,FALSE)),"",(VLOOKUP($B246,'B-1 Site Hedge Baseline'!$B$1:$L$257,8,FALSE))))</f>
        <v/>
      </c>
      <c r="I246" s="520" t="str">
        <f>IF(B246="","",IF(ISNA(VLOOKUP($B246,'B-1 Site Hedge Baseline'!$B$1:$L$257,10,FALSE)),"",(VLOOKUP($B246,'B-1 Site Hedge Baseline'!$B$1:$L$257,10,FALSE))))</f>
        <v/>
      </c>
      <c r="J246" s="520" t="str">
        <f>IF(B246="","",IF(ISNA(VLOOKUP($B246,'B-1 Site Hedge Baseline'!$B$1:$L$257,11,FALSE)),"",(VLOOKUP($B246,'B-1 Site Hedge Baseline'!$B$1:$L$257,11,FALSE))))</f>
        <v/>
      </c>
      <c r="K246" s="520" t="str">
        <f>IF(B246="","",IF(ISNA(VLOOKUP($B246,'B-1 Site Hedge Baseline'!$B$1:$U$257,13,FALSE)),"",(VLOOKUP($B246,'B-1 Site Hedge Baseline'!$B$1:$U$257,13,FALSE))))</f>
        <v/>
      </c>
      <c r="L246" s="524" t="str">
        <f>IF(B246="","",IF(ISNA(VLOOKUP($B246,'B-1 Site Hedge Baseline'!$B$1:$U$257,12,FALSE)),"",(VLOOKUP($B246,'B-1 Site Hedge Baseline'!$B$1:$U$257,12,FALSE))))</f>
        <v/>
      </c>
      <c r="M246" s="416" t="str">
        <f t="shared" si="31"/>
        <v/>
      </c>
      <c r="N246" s="498" t="str">
        <f>IFERROR(IF(B246="","",INDEX('G-6 Hedgerow Data'!$AN$3:$AZ$15,MATCH(C246,'G-6 Hedgerow Data'!$AM$3:$AM$15,0),MATCH(M246,'G-6 Hedgerow Data'!$AN$2:$AZ$2,0))),"")</f>
        <v/>
      </c>
      <c r="O246" s="499" t="str">
        <f t="shared" si="26"/>
        <v/>
      </c>
      <c r="P246" s="559" t="str">
        <f>IF(B246="","",VLOOKUP(B246,'B-1 Site Hedge Baseline'!$B$10:T491,16,FALSE))</f>
        <v/>
      </c>
      <c r="Q246" s="498" t="str">
        <f>IF(M246="","",VLOOKUP(M246,'G-6 Hedgerow Data'!$B$2:$AG$15,2,FALSE))</f>
        <v/>
      </c>
      <c r="R246" s="499" t="str">
        <f>IF(M246="","",VLOOKUP(M246,'G-6 Hedgerow Data'!$B$2:$AG$15,3,FALSE))</f>
        <v/>
      </c>
      <c r="S246" s="157"/>
      <c r="T246" s="540" t="str">
        <f>IFERROR(VLOOKUP(S246,'G-1 All Habitats'!$Z$2:$AA$9,2,FALSE),"")</f>
        <v/>
      </c>
      <c r="U246" s="154"/>
      <c r="V246" s="520" t="str">
        <f>IF(U246="","",IF(VLOOKUP(U246,'G-3 Multipliers'!$L$3:$N$6,2,FALSE)=0,"Spatial Data Missing ⚠",VLOOKUP(U246,'G-3 Multipliers'!$L$3:$N$6,2,FALSE)))</f>
        <v/>
      </c>
      <c r="W246" s="524"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4"/>
        <v/>
      </c>
      <c r="AD246" s="537" t="str">
        <f>IF(M246="","",VLOOKUP(M246,'G-6 Hedgerow Data'!$B$3:$AG$15,31,FALSE))</f>
        <v/>
      </c>
      <c r="AE246" s="507" t="str">
        <f t="shared" si="29"/>
        <v/>
      </c>
      <c r="AF246" s="507" t="str">
        <f t="shared" si="30"/>
        <v/>
      </c>
      <c r="AG246" s="524" t="str">
        <f>IFERROR(IF(O246="","",VLOOKUP(AD246,'G-3 Multipliers'!$P$3:$Q$6,2,FALSE)),"")</f>
        <v/>
      </c>
      <c r="AH246" s="513" t="str">
        <f t="shared" si="25"/>
        <v/>
      </c>
      <c r="AI246" s="231"/>
      <c r="AJ246" s="150"/>
      <c r="AT246" s="31" t="str">
        <f>IFERROR(INDEX('G-6 Hedgerow Data'!$BJ$3:$BJ$15,MATCH(M246,'G-6 Hedgerow Data'!$B$3:$B$15,0)),"")</f>
        <v/>
      </c>
    </row>
    <row r="247" spans="2:46" ht="13.8" x14ac:dyDescent="0.25">
      <c r="B247" s="531" t="str">
        <f>'B-1 Site Hedge Baseline'!AK245</f>
        <v/>
      </c>
      <c r="C247" s="520" t="str">
        <f>IF(B247="","",IF(ISNA(VLOOKUP($B247,'B-1 Site Hedge Baseline'!$B$1:$L$257,3,FALSE)),"",(VLOOKUP($B247,'B-1 Site Hedge Baseline'!$B$1:$L$257,3,FALSE))))</f>
        <v/>
      </c>
      <c r="D247" s="520" t="str">
        <f>IF(B247="","",IF(ISNA(VLOOKUP($B247,'B-1 Site Hedge Baseline'!$B$1:$L$257,4,FALSE)),"",(VLOOKUP($B247,'B-1 Site Hedge Baseline'!$B$1:$L$257,4,FALSE))))</f>
        <v/>
      </c>
      <c r="E247" s="520" t="str">
        <f>IF(B247="","",IF(ISNA(VLOOKUP($B247,'B-1 Site Hedge Baseline'!$B$1:$L$257,5,FALSE)),"",(VLOOKUP($B247,'B-1 Site Hedge Baseline'!$B$1:$L$257,5,FALSE))))</f>
        <v/>
      </c>
      <c r="F247" s="520" t="str">
        <f>IF(B247="","",IF(ISNA(VLOOKUP($B247,'B-1 Site Hedge Baseline'!$B$1:$L$257,6,FALSE)),"",(VLOOKUP($B247,'B-1 Site Hedge Baseline'!$B$1:$L$257,6,FALSE))))</f>
        <v/>
      </c>
      <c r="G247" s="520" t="str">
        <f>IF(B247="","",IF(ISNA(VLOOKUP($B247,'B-1 Site Hedge Baseline'!$B$1:$L$257,7,FALSE)),"",(VLOOKUP($B247,'B-1 Site Hedge Baseline'!$B$1:$L$257,7,FALSE))))</f>
        <v/>
      </c>
      <c r="H247" s="520" t="str">
        <f>IF(B247="","",IF(ISNA(VLOOKUP($B247,'B-1 Site Hedge Baseline'!$B$1:$L$257,8,FALSE)),"",(VLOOKUP($B247,'B-1 Site Hedge Baseline'!$B$1:$L$257,8,FALSE))))</f>
        <v/>
      </c>
      <c r="I247" s="520" t="str">
        <f>IF(B247="","",IF(ISNA(VLOOKUP($B247,'B-1 Site Hedge Baseline'!$B$1:$L$257,10,FALSE)),"",(VLOOKUP($B247,'B-1 Site Hedge Baseline'!$B$1:$L$257,10,FALSE))))</f>
        <v/>
      </c>
      <c r="J247" s="520" t="str">
        <f>IF(B247="","",IF(ISNA(VLOOKUP($B247,'B-1 Site Hedge Baseline'!$B$1:$L$257,11,FALSE)),"",(VLOOKUP($B247,'B-1 Site Hedge Baseline'!$B$1:$L$257,11,FALSE))))</f>
        <v/>
      </c>
      <c r="K247" s="520" t="str">
        <f>IF(B247="","",IF(ISNA(VLOOKUP($B247,'B-1 Site Hedge Baseline'!$B$1:$U$257,13,FALSE)),"",(VLOOKUP($B247,'B-1 Site Hedge Baseline'!$B$1:$U$257,13,FALSE))))</f>
        <v/>
      </c>
      <c r="L247" s="524" t="str">
        <f>IF(B247="","",IF(ISNA(VLOOKUP($B247,'B-1 Site Hedge Baseline'!$B$1:$U$257,12,FALSE)),"",(VLOOKUP($B247,'B-1 Site Hedge Baseline'!$B$1:$U$257,12,FALSE))))</f>
        <v/>
      </c>
      <c r="M247" s="416" t="str">
        <f t="shared" si="31"/>
        <v/>
      </c>
      <c r="N247" s="498" t="str">
        <f>IFERROR(IF(B247="","",INDEX('G-6 Hedgerow Data'!$AN$3:$AZ$15,MATCH(C247,'G-6 Hedgerow Data'!$AM$3:$AM$15,0),MATCH(M247,'G-6 Hedgerow Data'!$AN$2:$AZ$2,0))),"")</f>
        <v/>
      </c>
      <c r="O247" s="499" t="str">
        <f t="shared" si="26"/>
        <v/>
      </c>
      <c r="P247" s="559" t="str">
        <f>IF(B247="","",VLOOKUP(B247,'B-1 Site Hedge Baseline'!$B$10:T492,16,FALSE))</f>
        <v/>
      </c>
      <c r="Q247" s="498" t="str">
        <f>IF(M247="","",VLOOKUP(M247,'G-6 Hedgerow Data'!$B$2:$AG$15,2,FALSE))</f>
        <v/>
      </c>
      <c r="R247" s="499" t="str">
        <f>IF(M247="","",VLOOKUP(M247,'G-6 Hedgerow Data'!$B$2:$AG$15,3,FALSE))</f>
        <v/>
      </c>
      <c r="S247" s="157"/>
      <c r="T247" s="540" t="str">
        <f>IFERROR(VLOOKUP(S247,'G-1 All Habitats'!$Z$2:$AA$9,2,FALSE),"")</f>
        <v/>
      </c>
      <c r="U247" s="154"/>
      <c r="V247" s="520" t="str">
        <f>IF(U247="","",IF(VLOOKUP(U247,'G-3 Multipliers'!$L$3:$N$6,2,FALSE)=0,"Spatial Data Missing ⚠",VLOOKUP(U247,'G-3 Multipliers'!$L$3:$N$6,2,FALSE)))</f>
        <v/>
      </c>
      <c r="W247" s="524"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4"/>
        <v/>
      </c>
      <c r="AD247" s="537" t="str">
        <f>IF(M247="","",VLOOKUP(M247,'G-6 Hedgerow Data'!$B$3:$AG$15,31,FALSE))</f>
        <v/>
      </c>
      <c r="AE247" s="507" t="str">
        <f t="shared" si="29"/>
        <v/>
      </c>
      <c r="AF247" s="507" t="str">
        <f t="shared" si="30"/>
        <v/>
      </c>
      <c r="AG247" s="524" t="str">
        <f>IFERROR(IF(O247="","",VLOOKUP(AD247,'G-3 Multipliers'!$P$3:$Q$6,2,FALSE)),"")</f>
        <v/>
      </c>
      <c r="AH247" s="513" t="str">
        <f t="shared" si="25"/>
        <v/>
      </c>
      <c r="AI247" s="231"/>
      <c r="AJ247" s="150"/>
      <c r="AT247" s="31" t="str">
        <f>IFERROR(INDEX('G-6 Hedgerow Data'!$BJ$3:$BJ$15,MATCH(M247,'G-6 Hedgerow Data'!$B$3:$B$15,0)),"")</f>
        <v/>
      </c>
    </row>
    <row r="248" spans="2:46" ht="13.8" x14ac:dyDescent="0.25">
      <c r="B248" s="531" t="str">
        <f>'B-1 Site Hedge Baseline'!AK246</f>
        <v/>
      </c>
      <c r="C248" s="520" t="str">
        <f>IF(B248="","",IF(ISNA(VLOOKUP($B248,'B-1 Site Hedge Baseline'!$B$1:$L$257,3,FALSE)),"",(VLOOKUP($B248,'B-1 Site Hedge Baseline'!$B$1:$L$257,3,FALSE))))</f>
        <v/>
      </c>
      <c r="D248" s="520" t="str">
        <f>IF(B248="","",IF(ISNA(VLOOKUP($B248,'B-1 Site Hedge Baseline'!$B$1:$L$257,4,FALSE)),"",(VLOOKUP($B248,'B-1 Site Hedge Baseline'!$B$1:$L$257,4,FALSE))))</f>
        <v/>
      </c>
      <c r="E248" s="520" t="str">
        <f>IF(B248="","",IF(ISNA(VLOOKUP($B248,'B-1 Site Hedge Baseline'!$B$1:$L$257,5,FALSE)),"",(VLOOKUP($B248,'B-1 Site Hedge Baseline'!$B$1:$L$257,5,FALSE))))</f>
        <v/>
      </c>
      <c r="F248" s="520" t="str">
        <f>IF(B248="","",IF(ISNA(VLOOKUP($B248,'B-1 Site Hedge Baseline'!$B$1:$L$257,6,FALSE)),"",(VLOOKUP($B248,'B-1 Site Hedge Baseline'!$B$1:$L$257,6,FALSE))))</f>
        <v/>
      </c>
      <c r="G248" s="520" t="str">
        <f>IF(B248="","",IF(ISNA(VLOOKUP($B248,'B-1 Site Hedge Baseline'!$B$1:$L$257,7,FALSE)),"",(VLOOKUP($B248,'B-1 Site Hedge Baseline'!$B$1:$L$257,7,FALSE))))</f>
        <v/>
      </c>
      <c r="H248" s="520" t="str">
        <f>IF(B248="","",IF(ISNA(VLOOKUP($B248,'B-1 Site Hedge Baseline'!$B$1:$L$257,8,FALSE)),"",(VLOOKUP($B248,'B-1 Site Hedge Baseline'!$B$1:$L$257,8,FALSE))))</f>
        <v/>
      </c>
      <c r="I248" s="520" t="str">
        <f>IF(B248="","",IF(ISNA(VLOOKUP($B248,'B-1 Site Hedge Baseline'!$B$1:$L$257,10,FALSE)),"",(VLOOKUP($B248,'B-1 Site Hedge Baseline'!$B$1:$L$257,10,FALSE))))</f>
        <v/>
      </c>
      <c r="J248" s="520" t="str">
        <f>IF(B248="","",IF(ISNA(VLOOKUP($B248,'B-1 Site Hedge Baseline'!$B$1:$L$257,11,FALSE)),"",(VLOOKUP($B248,'B-1 Site Hedge Baseline'!$B$1:$L$257,11,FALSE))))</f>
        <v/>
      </c>
      <c r="K248" s="520" t="str">
        <f>IF(B248="","",IF(ISNA(VLOOKUP($B248,'B-1 Site Hedge Baseline'!$B$1:$U$257,13,FALSE)),"",(VLOOKUP($B248,'B-1 Site Hedge Baseline'!$B$1:$U$257,13,FALSE))))</f>
        <v/>
      </c>
      <c r="L248" s="524" t="str">
        <f>IF(B248="","",IF(ISNA(VLOOKUP($B248,'B-1 Site Hedge Baseline'!$B$1:$U$257,12,FALSE)),"",(VLOOKUP($B248,'B-1 Site Hedge Baseline'!$B$1:$U$257,12,FALSE))))</f>
        <v/>
      </c>
      <c r="M248" s="416" t="str">
        <f t="shared" si="31"/>
        <v/>
      </c>
      <c r="N248" s="498" t="str">
        <f>IFERROR(IF(B248="","",INDEX('G-6 Hedgerow Data'!$AN$3:$AZ$15,MATCH(C248,'G-6 Hedgerow Data'!$AM$3:$AM$15,0),MATCH(M248,'G-6 Hedgerow Data'!$AN$2:$AZ$2,0))),"")</f>
        <v/>
      </c>
      <c r="O248" s="499" t="str">
        <f t="shared" si="26"/>
        <v/>
      </c>
      <c r="P248" s="559" t="str">
        <f>IF(B248="","",VLOOKUP(B248,'B-1 Site Hedge Baseline'!$B$10:T493,16,FALSE))</f>
        <v/>
      </c>
      <c r="Q248" s="498" t="str">
        <f>IF(M248="","",VLOOKUP(M248,'G-6 Hedgerow Data'!$B$2:$AG$15,2,FALSE))</f>
        <v/>
      </c>
      <c r="R248" s="499" t="str">
        <f>IF(M248="","",VLOOKUP(M248,'G-6 Hedgerow Data'!$B$2:$AG$15,3,FALSE))</f>
        <v/>
      </c>
      <c r="S248" s="157"/>
      <c r="T248" s="540" t="str">
        <f>IFERROR(VLOOKUP(S248,'G-1 All Habitats'!$Z$2:$AA$9,2,FALSE),"")</f>
        <v/>
      </c>
      <c r="U248" s="154"/>
      <c r="V248" s="520" t="str">
        <f>IF(U248="","",IF(VLOOKUP(U248,'G-3 Multipliers'!$L$3:$N$6,2,FALSE)=0,"Spatial Data Missing ⚠",VLOOKUP(U248,'G-3 Multipliers'!$L$3:$N$6,2,FALSE)))</f>
        <v/>
      </c>
      <c r="W248" s="524"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4"/>
        <v/>
      </c>
      <c r="AD248" s="537" t="str">
        <f>IF(M248="","",VLOOKUP(M248,'G-6 Hedgerow Data'!$B$3:$AG$15,31,FALSE))</f>
        <v/>
      </c>
      <c r="AE248" s="507" t="str">
        <f t="shared" si="29"/>
        <v/>
      </c>
      <c r="AF248" s="507" t="str">
        <f t="shared" si="30"/>
        <v/>
      </c>
      <c r="AG248" s="524" t="str">
        <f>IFERROR(IF(O248="","",VLOOKUP(AD248,'G-3 Multipliers'!$P$3:$Q$6,2,FALSE)),"")</f>
        <v/>
      </c>
      <c r="AH248" s="513" t="str">
        <f t="shared" si="25"/>
        <v/>
      </c>
      <c r="AI248" s="231"/>
      <c r="AJ248" s="150"/>
      <c r="AT248" s="31" t="str">
        <f>IFERROR(INDEX('G-6 Hedgerow Data'!$BJ$3:$BJ$15,MATCH(M248,'G-6 Hedgerow Data'!$B$3:$B$15,0)),"")</f>
        <v/>
      </c>
    </row>
    <row r="249" spans="2:46" ht="13.8" x14ac:dyDescent="0.25">
      <c r="B249" s="531" t="str">
        <f>'B-1 Site Hedge Baseline'!AK247</f>
        <v/>
      </c>
      <c r="C249" s="520" t="str">
        <f>IF(B249="","",IF(ISNA(VLOOKUP($B249,'B-1 Site Hedge Baseline'!$B$1:$L$257,3,FALSE)),"",(VLOOKUP($B249,'B-1 Site Hedge Baseline'!$B$1:$L$257,3,FALSE))))</f>
        <v/>
      </c>
      <c r="D249" s="520" t="str">
        <f>IF(B249="","",IF(ISNA(VLOOKUP($B249,'B-1 Site Hedge Baseline'!$B$1:$L$257,4,FALSE)),"",(VLOOKUP($B249,'B-1 Site Hedge Baseline'!$B$1:$L$257,4,FALSE))))</f>
        <v/>
      </c>
      <c r="E249" s="520" t="str">
        <f>IF(B249="","",IF(ISNA(VLOOKUP($B249,'B-1 Site Hedge Baseline'!$B$1:$L$257,5,FALSE)),"",(VLOOKUP($B249,'B-1 Site Hedge Baseline'!$B$1:$L$257,5,FALSE))))</f>
        <v/>
      </c>
      <c r="F249" s="520" t="str">
        <f>IF(B249="","",IF(ISNA(VLOOKUP($B249,'B-1 Site Hedge Baseline'!$B$1:$L$257,6,FALSE)),"",(VLOOKUP($B249,'B-1 Site Hedge Baseline'!$B$1:$L$257,6,FALSE))))</f>
        <v/>
      </c>
      <c r="G249" s="520" t="str">
        <f>IF(B249="","",IF(ISNA(VLOOKUP($B249,'B-1 Site Hedge Baseline'!$B$1:$L$257,7,FALSE)),"",(VLOOKUP($B249,'B-1 Site Hedge Baseline'!$B$1:$L$257,7,FALSE))))</f>
        <v/>
      </c>
      <c r="H249" s="520" t="str">
        <f>IF(B249="","",IF(ISNA(VLOOKUP($B249,'B-1 Site Hedge Baseline'!$B$1:$L$257,8,FALSE)),"",(VLOOKUP($B249,'B-1 Site Hedge Baseline'!$B$1:$L$257,8,FALSE))))</f>
        <v/>
      </c>
      <c r="I249" s="520" t="str">
        <f>IF(B249="","",IF(ISNA(VLOOKUP($B249,'B-1 Site Hedge Baseline'!$B$1:$L$257,10,FALSE)),"",(VLOOKUP($B249,'B-1 Site Hedge Baseline'!$B$1:$L$257,10,FALSE))))</f>
        <v/>
      </c>
      <c r="J249" s="520" t="str">
        <f>IF(B249="","",IF(ISNA(VLOOKUP($B249,'B-1 Site Hedge Baseline'!$B$1:$L$257,11,FALSE)),"",(VLOOKUP($B249,'B-1 Site Hedge Baseline'!$B$1:$L$257,11,FALSE))))</f>
        <v/>
      </c>
      <c r="K249" s="520" t="str">
        <f>IF(B249="","",IF(ISNA(VLOOKUP($B249,'B-1 Site Hedge Baseline'!$B$1:$U$257,13,FALSE)),"",(VLOOKUP($B249,'B-1 Site Hedge Baseline'!$B$1:$U$257,13,FALSE))))</f>
        <v/>
      </c>
      <c r="L249" s="524" t="str">
        <f>IF(B249="","",IF(ISNA(VLOOKUP($B249,'B-1 Site Hedge Baseline'!$B$1:$U$257,12,FALSE)),"",(VLOOKUP($B249,'B-1 Site Hedge Baseline'!$B$1:$U$257,12,FALSE))))</f>
        <v/>
      </c>
      <c r="M249" s="416" t="str">
        <f t="shared" si="31"/>
        <v/>
      </c>
      <c r="N249" s="498" t="str">
        <f>IFERROR(IF(B249="","",INDEX('G-6 Hedgerow Data'!$AN$3:$AZ$15,MATCH(C249,'G-6 Hedgerow Data'!$AM$3:$AM$15,0),MATCH(M249,'G-6 Hedgerow Data'!$AN$2:$AZ$2,0))),"")</f>
        <v/>
      </c>
      <c r="O249" s="499" t="str">
        <f t="shared" si="26"/>
        <v/>
      </c>
      <c r="P249" s="559" t="str">
        <f>IF(B249="","",VLOOKUP(B249,'B-1 Site Hedge Baseline'!$B$10:T494,16,FALSE))</f>
        <v/>
      </c>
      <c r="Q249" s="498" t="str">
        <f>IF(M249="","",VLOOKUP(M249,'G-6 Hedgerow Data'!$B$2:$AG$15,2,FALSE))</f>
        <v/>
      </c>
      <c r="R249" s="499" t="str">
        <f>IF(M249="","",VLOOKUP(M249,'G-6 Hedgerow Data'!$B$2:$AG$15,3,FALSE))</f>
        <v/>
      </c>
      <c r="S249" s="157"/>
      <c r="T249" s="540" t="str">
        <f>IFERROR(VLOOKUP(S249,'G-1 All Habitats'!$Z$2:$AA$9,2,FALSE),"")</f>
        <v/>
      </c>
      <c r="U249" s="154"/>
      <c r="V249" s="520" t="str">
        <f>IF(U249="","",IF(VLOOKUP(U249,'G-3 Multipliers'!$L$3:$N$6,2,FALSE)=0,"Spatial Data Missing ⚠",VLOOKUP(U249,'G-3 Multipliers'!$L$3:$N$6,2,FALSE)))</f>
        <v/>
      </c>
      <c r="W249" s="524"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4"/>
        <v/>
      </c>
      <c r="AD249" s="537" t="str">
        <f>IF(M249="","",VLOOKUP(M249,'G-6 Hedgerow Data'!$B$3:$AG$15,31,FALSE))</f>
        <v/>
      </c>
      <c r="AE249" s="507" t="str">
        <f t="shared" si="29"/>
        <v/>
      </c>
      <c r="AF249" s="507" t="str">
        <f t="shared" si="30"/>
        <v/>
      </c>
      <c r="AG249" s="524" t="str">
        <f>IFERROR(IF(O249="","",VLOOKUP(AD249,'G-3 Multipliers'!$P$3:$Q$6,2,FALSE)),"")</f>
        <v/>
      </c>
      <c r="AH249" s="513" t="str">
        <f t="shared" si="25"/>
        <v/>
      </c>
      <c r="AI249" s="231"/>
      <c r="AJ249" s="150"/>
      <c r="AT249" s="31" t="str">
        <f>IFERROR(INDEX('G-6 Hedgerow Data'!$BJ$3:$BJ$15,MATCH(M249,'G-6 Hedgerow Data'!$B$3:$B$15,0)),"")</f>
        <v/>
      </c>
    </row>
    <row r="250" spans="2:46" ht="13.8" x14ac:dyDescent="0.25">
      <c r="B250" s="531" t="str">
        <f>'B-1 Site Hedge Baseline'!AK248</f>
        <v/>
      </c>
      <c r="C250" s="520" t="str">
        <f>IF(B250="","",IF(ISNA(VLOOKUP($B250,'B-1 Site Hedge Baseline'!$B$1:$L$257,3,FALSE)),"",(VLOOKUP($B250,'B-1 Site Hedge Baseline'!$B$1:$L$257,3,FALSE))))</f>
        <v/>
      </c>
      <c r="D250" s="520" t="str">
        <f>IF(B250="","",IF(ISNA(VLOOKUP($B250,'B-1 Site Hedge Baseline'!$B$1:$L$257,4,FALSE)),"",(VLOOKUP($B250,'B-1 Site Hedge Baseline'!$B$1:$L$257,4,FALSE))))</f>
        <v/>
      </c>
      <c r="E250" s="520" t="str">
        <f>IF(B250="","",IF(ISNA(VLOOKUP($B250,'B-1 Site Hedge Baseline'!$B$1:$L$257,5,FALSE)),"",(VLOOKUP($B250,'B-1 Site Hedge Baseline'!$B$1:$L$257,5,FALSE))))</f>
        <v/>
      </c>
      <c r="F250" s="520" t="str">
        <f>IF(B250="","",IF(ISNA(VLOOKUP($B250,'B-1 Site Hedge Baseline'!$B$1:$L$257,6,FALSE)),"",(VLOOKUP($B250,'B-1 Site Hedge Baseline'!$B$1:$L$257,6,FALSE))))</f>
        <v/>
      </c>
      <c r="G250" s="520" t="str">
        <f>IF(B250="","",IF(ISNA(VLOOKUP($B250,'B-1 Site Hedge Baseline'!$B$1:$L$257,7,FALSE)),"",(VLOOKUP($B250,'B-1 Site Hedge Baseline'!$B$1:$L$257,7,FALSE))))</f>
        <v/>
      </c>
      <c r="H250" s="520" t="str">
        <f>IF(B250="","",IF(ISNA(VLOOKUP($B250,'B-1 Site Hedge Baseline'!$B$1:$L$257,8,FALSE)),"",(VLOOKUP($B250,'B-1 Site Hedge Baseline'!$B$1:$L$257,8,FALSE))))</f>
        <v/>
      </c>
      <c r="I250" s="520" t="str">
        <f>IF(B250="","",IF(ISNA(VLOOKUP($B250,'B-1 Site Hedge Baseline'!$B$1:$L$257,10,FALSE)),"",(VLOOKUP($B250,'B-1 Site Hedge Baseline'!$B$1:$L$257,10,FALSE))))</f>
        <v/>
      </c>
      <c r="J250" s="520" t="str">
        <f>IF(B250="","",IF(ISNA(VLOOKUP($B250,'B-1 Site Hedge Baseline'!$B$1:$L$257,11,FALSE)),"",(VLOOKUP($B250,'B-1 Site Hedge Baseline'!$B$1:$L$257,11,FALSE))))</f>
        <v/>
      </c>
      <c r="K250" s="520" t="str">
        <f>IF(B250="","",IF(ISNA(VLOOKUP($B250,'B-1 Site Hedge Baseline'!$B$1:$U$257,13,FALSE)),"",(VLOOKUP($B250,'B-1 Site Hedge Baseline'!$B$1:$U$257,13,FALSE))))</f>
        <v/>
      </c>
      <c r="L250" s="524" t="str">
        <f>IF(B250="","",IF(ISNA(VLOOKUP($B250,'B-1 Site Hedge Baseline'!$B$1:$U$257,12,FALSE)),"",(VLOOKUP($B250,'B-1 Site Hedge Baseline'!$B$1:$U$257,12,FALSE))))</f>
        <v/>
      </c>
      <c r="M250" s="416" t="str">
        <f t="shared" si="31"/>
        <v/>
      </c>
      <c r="N250" s="498" t="str">
        <f>IFERROR(IF(B250="","",INDEX('G-6 Hedgerow Data'!$AN$3:$AZ$15,MATCH(C250,'G-6 Hedgerow Data'!$AM$3:$AM$15,0),MATCH(M250,'G-6 Hedgerow Data'!$AN$2:$AZ$2,0))),"")</f>
        <v/>
      </c>
      <c r="O250" s="499" t="str">
        <f t="shared" si="26"/>
        <v/>
      </c>
      <c r="P250" s="559" t="str">
        <f>IF(B250="","",VLOOKUP(B250,'B-1 Site Hedge Baseline'!$B$10:T495,16,FALSE))</f>
        <v/>
      </c>
      <c r="Q250" s="498" t="str">
        <f>IF(M250="","",VLOOKUP(M250,'G-6 Hedgerow Data'!$B$2:$AG$15,2,FALSE))</f>
        <v/>
      </c>
      <c r="R250" s="499" t="str">
        <f>IF(M250="","",VLOOKUP(M250,'G-6 Hedgerow Data'!$B$2:$AG$15,3,FALSE))</f>
        <v/>
      </c>
      <c r="S250" s="157"/>
      <c r="T250" s="540" t="str">
        <f>IFERROR(VLOOKUP(S250,'G-1 All Habitats'!$Z$2:$AA$9,2,FALSE),"")</f>
        <v/>
      </c>
      <c r="U250" s="154"/>
      <c r="V250" s="520" t="str">
        <f>IF(U250="","",IF(VLOOKUP(U250,'G-3 Multipliers'!$L$3:$N$6,2,FALSE)=0,"Spatial Data Missing ⚠",VLOOKUP(U250,'G-3 Multipliers'!$L$3:$N$6,2,FALSE)))</f>
        <v/>
      </c>
      <c r="W250" s="524"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4"/>
        <v/>
      </c>
      <c r="AD250" s="537" t="str">
        <f>IF(M250="","",VLOOKUP(M250,'G-6 Hedgerow Data'!$B$3:$AG$15,31,FALSE))</f>
        <v/>
      </c>
      <c r="AE250" s="507" t="str">
        <f t="shared" si="29"/>
        <v/>
      </c>
      <c r="AF250" s="507" t="str">
        <f t="shared" si="30"/>
        <v/>
      </c>
      <c r="AG250" s="524" t="str">
        <f>IFERROR(IF(O250="","",VLOOKUP(AD250,'G-3 Multipliers'!$P$3:$Q$6,2,FALSE)),"")</f>
        <v/>
      </c>
      <c r="AH250" s="513" t="str">
        <f t="shared" si="25"/>
        <v/>
      </c>
      <c r="AI250" s="231"/>
      <c r="AJ250" s="150"/>
      <c r="AT250" s="31" t="str">
        <f>IFERROR(INDEX('G-6 Hedgerow Data'!$BJ$3:$BJ$15,MATCH(M250,'G-6 Hedgerow Data'!$B$3:$B$15,0)),"")</f>
        <v/>
      </c>
    </row>
    <row r="251" spans="2:46" ht="13.8" x14ac:dyDescent="0.25">
      <c r="B251" s="531" t="str">
        <f>'B-1 Site Hedge Baseline'!AK249</f>
        <v/>
      </c>
      <c r="C251" s="520" t="str">
        <f>IF(B251="","",IF(ISNA(VLOOKUP($B251,'B-1 Site Hedge Baseline'!$B$1:$L$257,3,FALSE)),"",(VLOOKUP($B251,'B-1 Site Hedge Baseline'!$B$1:$L$257,3,FALSE))))</f>
        <v/>
      </c>
      <c r="D251" s="520" t="str">
        <f>IF(B251="","",IF(ISNA(VLOOKUP($B251,'B-1 Site Hedge Baseline'!$B$1:$L$257,4,FALSE)),"",(VLOOKUP($B251,'B-1 Site Hedge Baseline'!$B$1:$L$257,4,FALSE))))</f>
        <v/>
      </c>
      <c r="E251" s="520" t="str">
        <f>IF(B251="","",IF(ISNA(VLOOKUP($B251,'B-1 Site Hedge Baseline'!$B$1:$L$257,5,FALSE)),"",(VLOOKUP($B251,'B-1 Site Hedge Baseline'!$B$1:$L$257,5,FALSE))))</f>
        <v/>
      </c>
      <c r="F251" s="520" t="str">
        <f>IF(B251="","",IF(ISNA(VLOOKUP($B251,'B-1 Site Hedge Baseline'!$B$1:$L$257,6,FALSE)),"",(VLOOKUP($B251,'B-1 Site Hedge Baseline'!$B$1:$L$257,6,FALSE))))</f>
        <v/>
      </c>
      <c r="G251" s="520" t="str">
        <f>IF(B251="","",IF(ISNA(VLOOKUP($B251,'B-1 Site Hedge Baseline'!$B$1:$L$257,7,FALSE)),"",(VLOOKUP($B251,'B-1 Site Hedge Baseline'!$B$1:$L$257,7,FALSE))))</f>
        <v/>
      </c>
      <c r="H251" s="520" t="str">
        <f>IF(B251="","",IF(ISNA(VLOOKUP($B251,'B-1 Site Hedge Baseline'!$B$1:$L$257,8,FALSE)),"",(VLOOKUP($B251,'B-1 Site Hedge Baseline'!$B$1:$L$257,8,FALSE))))</f>
        <v/>
      </c>
      <c r="I251" s="520" t="str">
        <f>IF(B251="","",IF(ISNA(VLOOKUP($B251,'B-1 Site Hedge Baseline'!$B$1:$L$257,10,FALSE)),"",(VLOOKUP($B251,'B-1 Site Hedge Baseline'!$B$1:$L$257,10,FALSE))))</f>
        <v/>
      </c>
      <c r="J251" s="520" t="str">
        <f>IF(B251="","",IF(ISNA(VLOOKUP($B251,'B-1 Site Hedge Baseline'!$B$1:$L$257,11,FALSE)),"",(VLOOKUP($B251,'B-1 Site Hedge Baseline'!$B$1:$L$257,11,FALSE))))</f>
        <v/>
      </c>
      <c r="K251" s="520" t="str">
        <f>IF(B251="","",IF(ISNA(VLOOKUP($B251,'B-1 Site Hedge Baseline'!$B$1:$U$257,13,FALSE)),"",(VLOOKUP($B251,'B-1 Site Hedge Baseline'!$B$1:$U$257,13,FALSE))))</f>
        <v/>
      </c>
      <c r="L251" s="524" t="str">
        <f>IF(B251="","",IF(ISNA(VLOOKUP($B251,'B-1 Site Hedge Baseline'!$B$1:$U$257,12,FALSE)),"",(VLOOKUP($B251,'B-1 Site Hedge Baseline'!$B$1:$U$257,12,FALSE))))</f>
        <v/>
      </c>
      <c r="M251" s="416" t="str">
        <f t="shared" si="31"/>
        <v/>
      </c>
      <c r="N251" s="498" t="str">
        <f>IFERROR(IF(B251="","",INDEX('G-6 Hedgerow Data'!$AN$3:$AZ$15,MATCH(C251,'G-6 Hedgerow Data'!$AM$3:$AM$15,0),MATCH(M251,'G-6 Hedgerow Data'!$AN$2:$AZ$2,0))),"")</f>
        <v/>
      </c>
      <c r="O251" s="499" t="str">
        <f t="shared" si="26"/>
        <v/>
      </c>
      <c r="P251" s="559" t="str">
        <f>IF(B251="","",VLOOKUP(B251,'B-1 Site Hedge Baseline'!$B$10:T496,16,FALSE))</f>
        <v/>
      </c>
      <c r="Q251" s="498" t="str">
        <f>IF(M251="","",VLOOKUP(M251,'G-6 Hedgerow Data'!$B$2:$AG$15,2,FALSE))</f>
        <v/>
      </c>
      <c r="R251" s="499" t="str">
        <f>IF(M251="","",VLOOKUP(M251,'G-6 Hedgerow Data'!$B$2:$AG$15,3,FALSE))</f>
        <v/>
      </c>
      <c r="S251" s="157"/>
      <c r="T251" s="540" t="str">
        <f>IFERROR(VLOOKUP(S251,'G-1 All Habitats'!$Z$2:$AA$9,2,FALSE),"")</f>
        <v/>
      </c>
      <c r="U251" s="154"/>
      <c r="V251" s="520" t="str">
        <f>IF(U251="","",IF(VLOOKUP(U251,'G-3 Multipliers'!$L$3:$N$6,2,FALSE)=0,"Spatial Data Missing ⚠",VLOOKUP(U251,'G-3 Multipliers'!$L$3:$N$6,2,FALSE)))</f>
        <v/>
      </c>
      <c r="W251" s="524"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4"/>
        <v/>
      </c>
      <c r="AD251" s="537" t="str">
        <f>IF(M251="","",VLOOKUP(M251,'G-6 Hedgerow Data'!$B$3:$AG$15,31,FALSE))</f>
        <v/>
      </c>
      <c r="AE251" s="507" t="str">
        <f t="shared" si="29"/>
        <v/>
      </c>
      <c r="AF251" s="507" t="str">
        <f t="shared" si="30"/>
        <v/>
      </c>
      <c r="AG251" s="524" t="str">
        <f>IFERROR(IF(O251="","",VLOOKUP(AD251,'G-3 Multipliers'!$P$3:$Q$6,2,FALSE)),"")</f>
        <v/>
      </c>
      <c r="AH251" s="513" t="str">
        <f t="shared" si="25"/>
        <v/>
      </c>
      <c r="AI251" s="231"/>
      <c r="AJ251" s="150"/>
      <c r="AT251" s="31" t="str">
        <f>IFERROR(INDEX('G-6 Hedgerow Data'!$BJ$3:$BJ$15,MATCH(M251,'G-6 Hedgerow Data'!$B$3:$B$15,0)),"")</f>
        <v/>
      </c>
    </row>
    <row r="252" spans="2:46" ht="13.8" x14ac:dyDescent="0.25">
      <c r="B252" s="531" t="str">
        <f>'B-1 Site Hedge Baseline'!AK250</f>
        <v/>
      </c>
      <c r="C252" s="520" t="str">
        <f>IF(B252="","",IF(ISNA(VLOOKUP($B252,'B-1 Site Hedge Baseline'!$B$1:$L$257,3,FALSE)),"",(VLOOKUP($B252,'B-1 Site Hedge Baseline'!$B$1:$L$257,3,FALSE))))</f>
        <v/>
      </c>
      <c r="D252" s="520" t="str">
        <f>IF(B252="","",IF(ISNA(VLOOKUP($B252,'B-1 Site Hedge Baseline'!$B$1:$L$257,4,FALSE)),"",(VLOOKUP($B252,'B-1 Site Hedge Baseline'!$B$1:$L$257,4,FALSE))))</f>
        <v/>
      </c>
      <c r="E252" s="520" t="str">
        <f>IF(B252="","",IF(ISNA(VLOOKUP($B252,'B-1 Site Hedge Baseline'!$B$1:$L$257,5,FALSE)),"",(VLOOKUP($B252,'B-1 Site Hedge Baseline'!$B$1:$L$257,5,FALSE))))</f>
        <v/>
      </c>
      <c r="F252" s="520" t="str">
        <f>IF(B252="","",IF(ISNA(VLOOKUP($B252,'B-1 Site Hedge Baseline'!$B$1:$L$257,6,FALSE)),"",(VLOOKUP($B252,'B-1 Site Hedge Baseline'!$B$1:$L$257,6,FALSE))))</f>
        <v/>
      </c>
      <c r="G252" s="520" t="str">
        <f>IF(B252="","",IF(ISNA(VLOOKUP($B252,'B-1 Site Hedge Baseline'!$B$1:$L$257,7,FALSE)),"",(VLOOKUP($B252,'B-1 Site Hedge Baseline'!$B$1:$L$257,7,FALSE))))</f>
        <v/>
      </c>
      <c r="H252" s="520" t="str">
        <f>IF(B252="","",IF(ISNA(VLOOKUP($B252,'B-1 Site Hedge Baseline'!$B$1:$L$257,8,FALSE)),"",(VLOOKUP($B252,'B-1 Site Hedge Baseline'!$B$1:$L$257,8,FALSE))))</f>
        <v/>
      </c>
      <c r="I252" s="520" t="str">
        <f>IF(B252="","",IF(ISNA(VLOOKUP($B252,'B-1 Site Hedge Baseline'!$B$1:$L$257,10,FALSE)),"",(VLOOKUP($B252,'B-1 Site Hedge Baseline'!$B$1:$L$257,10,FALSE))))</f>
        <v/>
      </c>
      <c r="J252" s="520" t="str">
        <f>IF(B252="","",IF(ISNA(VLOOKUP($B252,'B-1 Site Hedge Baseline'!$B$1:$L$257,11,FALSE)),"",(VLOOKUP($B252,'B-1 Site Hedge Baseline'!$B$1:$L$257,11,FALSE))))</f>
        <v/>
      </c>
      <c r="K252" s="520" t="str">
        <f>IF(B252="","",IF(ISNA(VLOOKUP($B252,'B-1 Site Hedge Baseline'!$B$1:$U$257,13,FALSE)),"",(VLOOKUP($B252,'B-1 Site Hedge Baseline'!$B$1:$U$257,13,FALSE))))</f>
        <v/>
      </c>
      <c r="L252" s="524" t="str">
        <f>IF(B252="","",IF(ISNA(VLOOKUP($B252,'B-1 Site Hedge Baseline'!$B$1:$U$257,12,FALSE)),"",(VLOOKUP($B252,'B-1 Site Hedge Baseline'!$B$1:$U$257,12,FALSE))))</f>
        <v/>
      </c>
      <c r="M252" s="416" t="str">
        <f t="shared" si="31"/>
        <v/>
      </c>
      <c r="N252" s="498" t="str">
        <f>IFERROR(IF(B252="","",INDEX('G-6 Hedgerow Data'!$AN$3:$AZ$15,MATCH(C252,'G-6 Hedgerow Data'!$AM$3:$AM$15,0),MATCH(M252,'G-6 Hedgerow Data'!$AN$2:$AZ$2,0))),"")</f>
        <v/>
      </c>
      <c r="O252" s="499" t="str">
        <f t="shared" si="26"/>
        <v/>
      </c>
      <c r="P252" s="559" t="str">
        <f>IF(B252="","",VLOOKUP(B252,'B-1 Site Hedge Baseline'!$B$10:T497,16,FALSE))</f>
        <v/>
      </c>
      <c r="Q252" s="498" t="str">
        <f>IF(M252="","",VLOOKUP(M252,'G-6 Hedgerow Data'!$B$2:$AG$15,2,FALSE))</f>
        <v/>
      </c>
      <c r="R252" s="499" t="str">
        <f>IF(M252="","",VLOOKUP(M252,'G-6 Hedgerow Data'!$B$2:$AG$15,3,FALSE))</f>
        <v/>
      </c>
      <c r="S252" s="157"/>
      <c r="T252" s="540" t="str">
        <f>IFERROR(VLOOKUP(S252,'G-1 All Habitats'!$Z$2:$AA$9,2,FALSE),"")</f>
        <v/>
      </c>
      <c r="U252" s="154"/>
      <c r="V252" s="520" t="str">
        <f>IF(U252="","",IF(VLOOKUP(U252,'G-3 Multipliers'!$L$3:$N$6,2,FALSE)=0,"Spatial Data Missing ⚠",VLOOKUP(U252,'G-3 Multipliers'!$L$3:$N$6,2,FALSE)))</f>
        <v/>
      </c>
      <c r="W252" s="524"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4"/>
        <v/>
      </c>
      <c r="AD252" s="537" t="str">
        <f>IF(M252="","",VLOOKUP(M252,'G-6 Hedgerow Data'!$B$3:$AG$15,31,FALSE))</f>
        <v/>
      </c>
      <c r="AE252" s="507" t="str">
        <f t="shared" si="29"/>
        <v/>
      </c>
      <c r="AF252" s="507" t="str">
        <f t="shared" si="30"/>
        <v/>
      </c>
      <c r="AG252" s="524" t="str">
        <f>IFERROR(IF(O252="","",VLOOKUP(AD252,'G-3 Multipliers'!$P$3:$Q$6,2,FALSE)),"")</f>
        <v/>
      </c>
      <c r="AH252" s="513" t="str">
        <f t="shared" si="25"/>
        <v/>
      </c>
      <c r="AI252" s="231"/>
      <c r="AJ252" s="150"/>
      <c r="AT252" s="31" t="str">
        <f>IFERROR(INDEX('G-6 Hedgerow Data'!$BJ$3:$BJ$15,MATCH(M252,'G-6 Hedgerow Data'!$B$3:$B$15,0)),"")</f>
        <v/>
      </c>
    </row>
    <row r="253" spans="2:46" ht="13.8" x14ac:dyDescent="0.25">
      <c r="B253" s="531" t="str">
        <f>'B-1 Site Hedge Baseline'!AK251</f>
        <v/>
      </c>
      <c r="C253" s="520" t="str">
        <f>IF(B253="","",IF(ISNA(VLOOKUP($B253,'B-1 Site Hedge Baseline'!$B$1:$L$257,3,FALSE)),"",(VLOOKUP($B253,'B-1 Site Hedge Baseline'!$B$1:$L$257,3,FALSE))))</f>
        <v/>
      </c>
      <c r="D253" s="520" t="str">
        <f>IF(B253="","",IF(ISNA(VLOOKUP($B253,'B-1 Site Hedge Baseline'!$B$1:$L$257,4,FALSE)),"",(VLOOKUP($B253,'B-1 Site Hedge Baseline'!$B$1:$L$257,4,FALSE))))</f>
        <v/>
      </c>
      <c r="E253" s="520" t="str">
        <f>IF(B253="","",IF(ISNA(VLOOKUP($B253,'B-1 Site Hedge Baseline'!$B$1:$L$257,5,FALSE)),"",(VLOOKUP($B253,'B-1 Site Hedge Baseline'!$B$1:$L$257,5,FALSE))))</f>
        <v/>
      </c>
      <c r="F253" s="520" t="str">
        <f>IF(B253="","",IF(ISNA(VLOOKUP($B253,'B-1 Site Hedge Baseline'!$B$1:$L$257,6,FALSE)),"",(VLOOKUP($B253,'B-1 Site Hedge Baseline'!$B$1:$L$257,6,FALSE))))</f>
        <v/>
      </c>
      <c r="G253" s="520" t="str">
        <f>IF(B253="","",IF(ISNA(VLOOKUP($B253,'B-1 Site Hedge Baseline'!$B$1:$L$257,7,FALSE)),"",(VLOOKUP($B253,'B-1 Site Hedge Baseline'!$B$1:$L$257,7,FALSE))))</f>
        <v/>
      </c>
      <c r="H253" s="520" t="str">
        <f>IF(B253="","",IF(ISNA(VLOOKUP($B253,'B-1 Site Hedge Baseline'!$B$1:$L$257,8,FALSE)),"",(VLOOKUP($B253,'B-1 Site Hedge Baseline'!$B$1:$L$257,8,FALSE))))</f>
        <v/>
      </c>
      <c r="I253" s="520" t="str">
        <f>IF(B253="","",IF(ISNA(VLOOKUP($B253,'B-1 Site Hedge Baseline'!$B$1:$L$257,10,FALSE)),"",(VLOOKUP($B253,'B-1 Site Hedge Baseline'!$B$1:$L$257,10,FALSE))))</f>
        <v/>
      </c>
      <c r="J253" s="520" t="str">
        <f>IF(B253="","",IF(ISNA(VLOOKUP($B253,'B-1 Site Hedge Baseline'!$B$1:$L$257,11,FALSE)),"",(VLOOKUP($B253,'B-1 Site Hedge Baseline'!$B$1:$L$257,11,FALSE))))</f>
        <v/>
      </c>
      <c r="K253" s="520" t="str">
        <f>IF(B253="","",IF(ISNA(VLOOKUP($B253,'B-1 Site Hedge Baseline'!$B$1:$U$257,13,FALSE)),"",(VLOOKUP($B253,'B-1 Site Hedge Baseline'!$B$1:$U$257,13,FALSE))))</f>
        <v/>
      </c>
      <c r="L253" s="524" t="str">
        <f>IF(B253="","",IF(ISNA(VLOOKUP($B253,'B-1 Site Hedge Baseline'!$B$1:$U$257,12,FALSE)),"",(VLOOKUP($B253,'B-1 Site Hedge Baseline'!$B$1:$U$257,12,FALSE))))</f>
        <v/>
      </c>
      <c r="M253" s="416" t="str">
        <f t="shared" si="31"/>
        <v/>
      </c>
      <c r="N253" s="498" t="str">
        <f>IFERROR(IF(B253="","",INDEX('G-6 Hedgerow Data'!$AN$3:$AZ$15,MATCH(C253,'G-6 Hedgerow Data'!$AM$3:$AM$15,0),MATCH(M253,'G-6 Hedgerow Data'!$AN$2:$AZ$2,0))),"")</f>
        <v/>
      </c>
      <c r="O253" s="499" t="str">
        <f t="shared" si="26"/>
        <v/>
      </c>
      <c r="P253" s="559" t="str">
        <f>IF(B253="","",VLOOKUP(B253,'B-1 Site Hedge Baseline'!$B$10:T498,16,FALSE))</f>
        <v/>
      </c>
      <c r="Q253" s="498" t="str">
        <f>IF(M253="","",VLOOKUP(M253,'G-6 Hedgerow Data'!$B$2:$AG$15,2,FALSE))</f>
        <v/>
      </c>
      <c r="R253" s="499" t="str">
        <f>IF(M253="","",VLOOKUP(M253,'G-6 Hedgerow Data'!$B$2:$AG$15,3,FALSE))</f>
        <v/>
      </c>
      <c r="S253" s="157"/>
      <c r="T253" s="540" t="str">
        <f>IFERROR(VLOOKUP(S253,'G-1 All Habitats'!$Z$2:$AA$9,2,FALSE),"")</f>
        <v/>
      </c>
      <c r="U253" s="154"/>
      <c r="V253" s="520" t="str">
        <f>IF(U253="","",IF(VLOOKUP(U253,'G-3 Multipliers'!$L$3:$N$6,2,FALSE)=0,"Spatial Data Missing ⚠",VLOOKUP(U253,'G-3 Multipliers'!$L$3:$N$6,2,FALSE)))</f>
        <v/>
      </c>
      <c r="W253" s="524"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4"/>
        <v/>
      </c>
      <c r="AD253" s="537" t="str">
        <f>IF(M253="","",VLOOKUP(M253,'G-6 Hedgerow Data'!$B$3:$AG$15,31,FALSE))</f>
        <v/>
      </c>
      <c r="AE253" s="507" t="str">
        <f t="shared" si="29"/>
        <v/>
      </c>
      <c r="AF253" s="507" t="str">
        <f t="shared" si="30"/>
        <v/>
      </c>
      <c r="AG253" s="524" t="str">
        <f>IFERROR(IF(O253="","",VLOOKUP(AD253,'G-3 Multipliers'!$P$3:$Q$6,2,FALSE)),"")</f>
        <v/>
      </c>
      <c r="AH253" s="513" t="str">
        <f t="shared" si="25"/>
        <v/>
      </c>
      <c r="AI253" s="231"/>
      <c r="AJ253" s="150"/>
      <c r="AT253" s="31" t="str">
        <f>IFERROR(INDEX('G-6 Hedgerow Data'!$BJ$3:$BJ$15,MATCH(M253,'G-6 Hedgerow Data'!$B$3:$B$15,0)),"")</f>
        <v/>
      </c>
    </row>
    <row r="254" spans="2:46" ht="13.8" x14ac:dyDescent="0.25">
      <c r="B254" s="531" t="str">
        <f>'B-1 Site Hedge Baseline'!AK252</f>
        <v/>
      </c>
      <c r="C254" s="520" t="str">
        <f>IF(B254="","",IF(ISNA(VLOOKUP($B254,'B-1 Site Hedge Baseline'!$B$1:$L$257,3,FALSE)),"",(VLOOKUP($B254,'B-1 Site Hedge Baseline'!$B$1:$L$257,3,FALSE))))</f>
        <v/>
      </c>
      <c r="D254" s="520" t="str">
        <f>IF(B254="","",IF(ISNA(VLOOKUP($B254,'B-1 Site Hedge Baseline'!$B$1:$L$257,4,FALSE)),"",(VLOOKUP($B254,'B-1 Site Hedge Baseline'!$B$1:$L$257,4,FALSE))))</f>
        <v/>
      </c>
      <c r="E254" s="520" t="str">
        <f>IF(B254="","",IF(ISNA(VLOOKUP($B254,'B-1 Site Hedge Baseline'!$B$1:$L$257,5,FALSE)),"",(VLOOKUP($B254,'B-1 Site Hedge Baseline'!$B$1:$L$257,5,FALSE))))</f>
        <v/>
      </c>
      <c r="F254" s="520" t="str">
        <f>IF(B254="","",IF(ISNA(VLOOKUP($B254,'B-1 Site Hedge Baseline'!$B$1:$L$257,6,FALSE)),"",(VLOOKUP($B254,'B-1 Site Hedge Baseline'!$B$1:$L$257,6,FALSE))))</f>
        <v/>
      </c>
      <c r="G254" s="520" t="str">
        <f>IF(B254="","",IF(ISNA(VLOOKUP($B254,'B-1 Site Hedge Baseline'!$B$1:$L$257,7,FALSE)),"",(VLOOKUP($B254,'B-1 Site Hedge Baseline'!$B$1:$L$257,7,FALSE))))</f>
        <v/>
      </c>
      <c r="H254" s="520" t="str">
        <f>IF(B254="","",IF(ISNA(VLOOKUP($B254,'B-1 Site Hedge Baseline'!$B$1:$L$257,8,FALSE)),"",(VLOOKUP($B254,'B-1 Site Hedge Baseline'!$B$1:$L$257,8,FALSE))))</f>
        <v/>
      </c>
      <c r="I254" s="520" t="str">
        <f>IF(B254="","",IF(ISNA(VLOOKUP($B254,'B-1 Site Hedge Baseline'!$B$1:$L$257,10,FALSE)),"",(VLOOKUP($B254,'B-1 Site Hedge Baseline'!$B$1:$L$257,10,FALSE))))</f>
        <v/>
      </c>
      <c r="J254" s="520" t="str">
        <f>IF(B254="","",IF(ISNA(VLOOKUP($B254,'B-1 Site Hedge Baseline'!$B$1:$L$257,11,FALSE)),"",(VLOOKUP($B254,'B-1 Site Hedge Baseline'!$B$1:$L$257,11,FALSE))))</f>
        <v/>
      </c>
      <c r="K254" s="520" t="str">
        <f>IF(B254="","",IF(ISNA(VLOOKUP($B254,'B-1 Site Hedge Baseline'!$B$1:$U$257,13,FALSE)),"",(VLOOKUP($B254,'B-1 Site Hedge Baseline'!$B$1:$U$257,13,FALSE))))</f>
        <v/>
      </c>
      <c r="L254" s="524" t="str">
        <f>IF(B254="","",IF(ISNA(VLOOKUP($B254,'B-1 Site Hedge Baseline'!$B$1:$U$257,12,FALSE)),"",(VLOOKUP($B254,'B-1 Site Hedge Baseline'!$B$1:$U$257,12,FALSE))))</f>
        <v/>
      </c>
      <c r="M254" s="416" t="str">
        <f t="shared" si="31"/>
        <v/>
      </c>
      <c r="N254" s="498" t="str">
        <f>IFERROR(IF(B254="","",INDEX('G-6 Hedgerow Data'!$AN$3:$AZ$15,MATCH(C254,'G-6 Hedgerow Data'!$AM$3:$AM$15,0),MATCH(M254,'G-6 Hedgerow Data'!$AN$2:$AZ$2,0))),"")</f>
        <v/>
      </c>
      <c r="O254" s="499" t="str">
        <f t="shared" si="26"/>
        <v/>
      </c>
      <c r="P254" s="559" t="str">
        <f>IF(B254="","",VLOOKUP(B254,'B-1 Site Hedge Baseline'!$B$10:T499,16,FALSE))</f>
        <v/>
      </c>
      <c r="Q254" s="498" t="str">
        <f>IF(M254="","",VLOOKUP(M254,'G-6 Hedgerow Data'!$B$2:$AG$15,2,FALSE))</f>
        <v/>
      </c>
      <c r="R254" s="499" t="str">
        <f>IF(M254="","",VLOOKUP(M254,'G-6 Hedgerow Data'!$B$2:$AG$15,3,FALSE))</f>
        <v/>
      </c>
      <c r="S254" s="157"/>
      <c r="T254" s="540" t="str">
        <f>IFERROR(VLOOKUP(S254,'G-1 All Habitats'!$Z$2:$AA$9,2,FALSE),"")</f>
        <v/>
      </c>
      <c r="U254" s="154"/>
      <c r="V254" s="520" t="str">
        <f>IF(U254="","",IF(VLOOKUP(U254,'G-3 Multipliers'!$L$3:$N$6,2,FALSE)=0,"Spatial Data Missing ⚠",VLOOKUP(U254,'G-3 Multipliers'!$L$3:$N$6,2,FALSE)))</f>
        <v/>
      </c>
      <c r="W254" s="524"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4"/>
        <v/>
      </c>
      <c r="AD254" s="537" t="str">
        <f>IF(M254="","",VLOOKUP(M254,'G-6 Hedgerow Data'!$B$3:$AG$15,31,FALSE))</f>
        <v/>
      </c>
      <c r="AE254" s="507" t="str">
        <f t="shared" si="29"/>
        <v/>
      </c>
      <c r="AF254" s="507" t="str">
        <f t="shared" si="30"/>
        <v/>
      </c>
      <c r="AG254" s="524" t="str">
        <f>IFERROR(IF(O254="","",VLOOKUP(AD254,'G-3 Multipliers'!$P$3:$Q$6,2,FALSE)),"")</f>
        <v/>
      </c>
      <c r="AH254" s="513" t="str">
        <f t="shared" si="25"/>
        <v/>
      </c>
      <c r="AI254" s="231"/>
      <c r="AJ254" s="150"/>
      <c r="AT254" s="31" t="str">
        <f>IFERROR(INDEX('G-6 Hedgerow Data'!$BJ$3:$BJ$15,MATCH(M254,'G-6 Hedgerow Data'!$B$3:$B$15,0)),"")</f>
        <v/>
      </c>
    </row>
    <row r="255" spans="2:46" ht="13.8" x14ac:dyDescent="0.25">
      <c r="B255" s="531" t="str">
        <f>'B-1 Site Hedge Baseline'!AK253</f>
        <v/>
      </c>
      <c r="C255" s="520" t="str">
        <f>IF(B255="","",IF(ISNA(VLOOKUP($B255,'B-1 Site Hedge Baseline'!$B$1:$L$257,3,FALSE)),"",(VLOOKUP($B255,'B-1 Site Hedge Baseline'!$B$1:$L$257,3,FALSE))))</f>
        <v/>
      </c>
      <c r="D255" s="520" t="str">
        <f>IF(B255="","",IF(ISNA(VLOOKUP($B255,'B-1 Site Hedge Baseline'!$B$1:$L$257,4,FALSE)),"",(VLOOKUP($B255,'B-1 Site Hedge Baseline'!$B$1:$L$257,4,FALSE))))</f>
        <v/>
      </c>
      <c r="E255" s="520" t="str">
        <f>IF(B255="","",IF(ISNA(VLOOKUP($B255,'B-1 Site Hedge Baseline'!$B$1:$L$257,5,FALSE)),"",(VLOOKUP($B255,'B-1 Site Hedge Baseline'!$B$1:$L$257,5,FALSE))))</f>
        <v/>
      </c>
      <c r="F255" s="520" t="str">
        <f>IF(B255="","",IF(ISNA(VLOOKUP($B255,'B-1 Site Hedge Baseline'!$B$1:$L$257,6,FALSE)),"",(VLOOKUP($B255,'B-1 Site Hedge Baseline'!$B$1:$L$257,6,FALSE))))</f>
        <v/>
      </c>
      <c r="G255" s="520" t="str">
        <f>IF(B255="","",IF(ISNA(VLOOKUP($B255,'B-1 Site Hedge Baseline'!$B$1:$L$257,7,FALSE)),"",(VLOOKUP($B255,'B-1 Site Hedge Baseline'!$B$1:$L$257,7,FALSE))))</f>
        <v/>
      </c>
      <c r="H255" s="520" t="str">
        <f>IF(B255="","",IF(ISNA(VLOOKUP($B255,'B-1 Site Hedge Baseline'!$B$1:$L$257,8,FALSE)),"",(VLOOKUP($B255,'B-1 Site Hedge Baseline'!$B$1:$L$257,8,FALSE))))</f>
        <v/>
      </c>
      <c r="I255" s="520" t="str">
        <f>IF(B255="","",IF(ISNA(VLOOKUP($B255,'B-1 Site Hedge Baseline'!$B$1:$L$257,10,FALSE)),"",(VLOOKUP($B255,'B-1 Site Hedge Baseline'!$B$1:$L$257,10,FALSE))))</f>
        <v/>
      </c>
      <c r="J255" s="520" t="str">
        <f>IF(B255="","",IF(ISNA(VLOOKUP($B255,'B-1 Site Hedge Baseline'!$B$1:$L$257,11,FALSE)),"",(VLOOKUP($B255,'B-1 Site Hedge Baseline'!$B$1:$L$257,11,FALSE))))</f>
        <v/>
      </c>
      <c r="K255" s="520" t="str">
        <f>IF(B255="","",IF(ISNA(VLOOKUP($B255,'B-1 Site Hedge Baseline'!$B$1:$U$257,13,FALSE)),"",(VLOOKUP($B255,'B-1 Site Hedge Baseline'!$B$1:$U$257,13,FALSE))))</f>
        <v/>
      </c>
      <c r="L255" s="524" t="str">
        <f>IF(B255="","",IF(ISNA(VLOOKUP($B255,'B-1 Site Hedge Baseline'!$B$1:$U$257,12,FALSE)),"",(VLOOKUP($B255,'B-1 Site Hedge Baseline'!$B$1:$U$257,12,FALSE))))</f>
        <v/>
      </c>
      <c r="M255" s="416" t="str">
        <f t="shared" si="31"/>
        <v/>
      </c>
      <c r="N255" s="498" t="str">
        <f>IFERROR(IF(B255="","",INDEX('G-6 Hedgerow Data'!$AN$3:$AZ$15,MATCH(C255,'G-6 Hedgerow Data'!$AM$3:$AM$15,0),MATCH(M255,'G-6 Hedgerow Data'!$AN$2:$AZ$2,0))),"")</f>
        <v/>
      </c>
      <c r="O255" s="499" t="str">
        <f t="shared" si="26"/>
        <v/>
      </c>
      <c r="P255" s="559" t="str">
        <f>IF(B255="","",VLOOKUP(B255,'B-1 Site Hedge Baseline'!$B$10:T500,16,FALSE))</f>
        <v/>
      </c>
      <c r="Q255" s="498" t="str">
        <f>IF(M255="","",VLOOKUP(M255,'G-6 Hedgerow Data'!$B$2:$AG$15,2,FALSE))</f>
        <v/>
      </c>
      <c r="R255" s="499" t="str">
        <f>IF(M255="","",VLOOKUP(M255,'G-6 Hedgerow Data'!$B$2:$AG$15,3,FALSE))</f>
        <v/>
      </c>
      <c r="S255" s="157"/>
      <c r="T255" s="540" t="str">
        <f>IFERROR(VLOOKUP(S255,'G-1 All Habitats'!$Z$2:$AA$9,2,FALSE),"")</f>
        <v/>
      </c>
      <c r="U255" s="154"/>
      <c r="V255" s="520" t="str">
        <f>IF(U255="","",IF(VLOOKUP(U255,'G-3 Multipliers'!$L$3:$N$6,2,FALSE)=0,"Spatial Data Missing ⚠",VLOOKUP(U255,'G-3 Multipliers'!$L$3:$N$6,2,FALSE)))</f>
        <v/>
      </c>
      <c r="W255" s="524"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4"/>
        <v/>
      </c>
      <c r="AD255" s="537" t="str">
        <f>IF(M255="","",VLOOKUP(M255,'G-6 Hedgerow Data'!$B$3:$AG$15,31,FALSE))</f>
        <v/>
      </c>
      <c r="AE255" s="507" t="str">
        <f t="shared" si="29"/>
        <v/>
      </c>
      <c r="AF255" s="507" t="str">
        <f t="shared" si="30"/>
        <v/>
      </c>
      <c r="AG255" s="524" t="str">
        <f>IFERROR(IF(O255="","",VLOOKUP(AD255,'G-3 Multipliers'!$P$3:$Q$6,2,FALSE)),"")</f>
        <v/>
      </c>
      <c r="AH255" s="513" t="str">
        <f t="shared" si="25"/>
        <v/>
      </c>
      <c r="AI255" s="231"/>
      <c r="AJ255" s="150"/>
      <c r="AT255" s="31" t="str">
        <f>IFERROR(INDEX('G-6 Hedgerow Data'!$BJ$3:$BJ$15,MATCH(M255,'G-6 Hedgerow Data'!$B$3:$B$15,0)),"")</f>
        <v/>
      </c>
    </row>
    <row r="256" spans="2:46" ht="13.8" x14ac:dyDescent="0.25">
      <c r="B256" s="531" t="str">
        <f>'B-1 Site Hedge Baseline'!AK254</f>
        <v/>
      </c>
      <c r="C256" s="520" t="str">
        <f>IF(B256="","",IF(ISNA(VLOOKUP($B256,'B-1 Site Hedge Baseline'!$B$1:$L$257,3,FALSE)),"",(VLOOKUP($B256,'B-1 Site Hedge Baseline'!$B$1:$L$257,3,FALSE))))</f>
        <v/>
      </c>
      <c r="D256" s="520" t="str">
        <f>IF(B256="","",IF(ISNA(VLOOKUP($B256,'B-1 Site Hedge Baseline'!$B$1:$L$257,4,FALSE)),"",(VLOOKUP($B256,'B-1 Site Hedge Baseline'!$B$1:$L$257,4,FALSE))))</f>
        <v/>
      </c>
      <c r="E256" s="520" t="str">
        <f>IF(B256="","",IF(ISNA(VLOOKUP($B256,'B-1 Site Hedge Baseline'!$B$1:$L$257,5,FALSE)),"",(VLOOKUP($B256,'B-1 Site Hedge Baseline'!$B$1:$L$257,5,FALSE))))</f>
        <v/>
      </c>
      <c r="F256" s="520" t="str">
        <f>IF(B256="","",IF(ISNA(VLOOKUP($B256,'B-1 Site Hedge Baseline'!$B$1:$L$257,6,FALSE)),"",(VLOOKUP($B256,'B-1 Site Hedge Baseline'!$B$1:$L$257,6,FALSE))))</f>
        <v/>
      </c>
      <c r="G256" s="520" t="str">
        <f>IF(B256="","",IF(ISNA(VLOOKUP($B256,'B-1 Site Hedge Baseline'!$B$1:$L$257,7,FALSE)),"",(VLOOKUP($B256,'B-1 Site Hedge Baseline'!$B$1:$L$257,7,FALSE))))</f>
        <v/>
      </c>
      <c r="H256" s="520" t="str">
        <f>IF(B256="","",IF(ISNA(VLOOKUP($B256,'B-1 Site Hedge Baseline'!$B$1:$L$257,8,FALSE)),"",(VLOOKUP($B256,'B-1 Site Hedge Baseline'!$B$1:$L$257,8,FALSE))))</f>
        <v/>
      </c>
      <c r="I256" s="520" t="str">
        <f>IF(B256="","",IF(ISNA(VLOOKUP($B256,'B-1 Site Hedge Baseline'!$B$1:$L$257,10,FALSE)),"",(VLOOKUP($B256,'B-1 Site Hedge Baseline'!$B$1:$L$257,10,FALSE))))</f>
        <v/>
      </c>
      <c r="J256" s="520" t="str">
        <f>IF(B256="","",IF(ISNA(VLOOKUP($B256,'B-1 Site Hedge Baseline'!$B$1:$L$257,11,FALSE)),"",(VLOOKUP($B256,'B-1 Site Hedge Baseline'!$B$1:$L$257,11,FALSE))))</f>
        <v/>
      </c>
      <c r="K256" s="520" t="str">
        <f>IF(B256="","",IF(ISNA(VLOOKUP($B256,'B-1 Site Hedge Baseline'!$B$1:$U$257,13,FALSE)),"",(VLOOKUP($B256,'B-1 Site Hedge Baseline'!$B$1:$U$257,13,FALSE))))</f>
        <v/>
      </c>
      <c r="L256" s="524" t="str">
        <f>IF(B256="","",IF(ISNA(VLOOKUP($B256,'B-1 Site Hedge Baseline'!$B$1:$U$257,12,FALSE)),"",(VLOOKUP($B256,'B-1 Site Hedge Baseline'!$B$1:$U$257,12,FALSE))))</f>
        <v/>
      </c>
      <c r="M256" s="416" t="str">
        <f t="shared" si="31"/>
        <v/>
      </c>
      <c r="N256" s="498" t="str">
        <f>IFERROR(IF(B256="","",INDEX('G-6 Hedgerow Data'!$AN$3:$AZ$15,MATCH(C256,'G-6 Hedgerow Data'!$AM$3:$AM$15,0),MATCH(M256,'G-6 Hedgerow Data'!$AN$2:$AZ$2,0))),"")</f>
        <v/>
      </c>
      <c r="O256" s="499" t="str">
        <f t="shared" si="26"/>
        <v/>
      </c>
      <c r="P256" s="559" t="str">
        <f>IF(B256="","",VLOOKUP(B256,'B-1 Site Hedge Baseline'!$B$10:T501,16,FALSE))</f>
        <v/>
      </c>
      <c r="Q256" s="498" t="str">
        <f>IF(M256="","",VLOOKUP(M256,'G-6 Hedgerow Data'!$B$2:$AG$15,2,FALSE))</f>
        <v/>
      </c>
      <c r="R256" s="499" t="str">
        <f>IF(M256="","",VLOOKUP(M256,'G-6 Hedgerow Data'!$B$2:$AG$15,3,FALSE))</f>
        <v/>
      </c>
      <c r="S256" s="157"/>
      <c r="T256" s="540" t="str">
        <f>IFERROR(VLOOKUP(S256,'G-1 All Habitats'!$Z$2:$AA$9,2,FALSE),"")</f>
        <v/>
      </c>
      <c r="U256" s="154"/>
      <c r="V256" s="520" t="str">
        <f>IF(U256="","",IF(VLOOKUP(U256,'G-3 Multipliers'!$L$3:$N$6,2,FALSE)=0,"Spatial Data Missing ⚠",VLOOKUP(U256,'G-3 Multipliers'!$L$3:$N$6,2,FALSE)))</f>
        <v/>
      </c>
      <c r="W256" s="524"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4"/>
        <v/>
      </c>
      <c r="AD256" s="537" t="str">
        <f>IF(M256="","",VLOOKUP(M256,'G-6 Hedgerow Data'!$B$3:$AG$15,31,FALSE))</f>
        <v/>
      </c>
      <c r="AE256" s="507" t="str">
        <f t="shared" si="29"/>
        <v/>
      </c>
      <c r="AF256" s="507" t="str">
        <f t="shared" si="30"/>
        <v/>
      </c>
      <c r="AG256" s="524" t="str">
        <f>IFERROR(IF(O256="","",VLOOKUP(AD256,'G-3 Multipliers'!$P$3:$Q$6,2,FALSE)),"")</f>
        <v/>
      </c>
      <c r="AH256" s="513" t="str">
        <f t="shared" si="25"/>
        <v/>
      </c>
      <c r="AI256" s="231"/>
      <c r="AJ256" s="150"/>
      <c r="AT256" s="31" t="str">
        <f>IFERROR(INDEX('G-6 Hedgerow Data'!$BJ$3:$BJ$15,MATCH(M256,'G-6 Hedgerow Data'!$B$3:$B$15,0)),"")</f>
        <v/>
      </c>
    </row>
    <row r="257" spans="2:46" ht="14.4" thickBot="1" x14ac:dyDescent="0.3">
      <c r="B257" s="558" t="str">
        <f>'B-1 Site Hedge Baseline'!AK255</f>
        <v/>
      </c>
      <c r="C257" s="508" t="str">
        <f>IF(B257="","",IF(ISNA(VLOOKUP($B257,'B-1 Site Hedge Baseline'!$B$1:$L$257,3,FALSE)),"",(VLOOKUP($B257,'B-1 Site Hedge Baseline'!$B$1:$L$257,3,FALSE))))</f>
        <v/>
      </c>
      <c r="D257" s="508" t="str">
        <f>IF(B257="","",IF(ISNA(VLOOKUP($B257,'B-1 Site Hedge Baseline'!$B$1:$L$257,4,FALSE)),"",(VLOOKUP($B257,'B-1 Site Hedge Baseline'!$B$1:$L$257,4,FALSE))))</f>
        <v/>
      </c>
      <c r="E257" s="508" t="str">
        <f>IF(B257="","",IF(ISNA(VLOOKUP($B257,'B-1 Site Hedge Baseline'!$B$1:$L$257,5,FALSE)),"",(VLOOKUP($B257,'B-1 Site Hedge Baseline'!$B$1:$L$257,5,FALSE))))</f>
        <v/>
      </c>
      <c r="F257" s="508" t="str">
        <f>IF(B257="","",IF(ISNA(VLOOKUP($B257,'B-1 Site Hedge Baseline'!$B$1:$L$257,6,FALSE)),"",(VLOOKUP($B257,'B-1 Site Hedge Baseline'!$B$1:$L$257,6,FALSE))))</f>
        <v/>
      </c>
      <c r="G257" s="508" t="str">
        <f>IF(B257="","",IF(ISNA(VLOOKUP($B257,'B-1 Site Hedge Baseline'!$B$1:$L$257,7,FALSE)),"",(VLOOKUP($B257,'B-1 Site Hedge Baseline'!$B$1:$L$257,7,FALSE))))</f>
        <v/>
      </c>
      <c r="H257" s="508" t="str">
        <f>IF(B257="","",IF(ISNA(VLOOKUP($B257,'B-1 Site Hedge Baseline'!$B$1:$L$257,8,FALSE)),"",(VLOOKUP($B257,'B-1 Site Hedge Baseline'!$B$1:$L$257,8,FALSE))))</f>
        <v/>
      </c>
      <c r="I257" s="508" t="str">
        <f>IF(B257="","",IF(ISNA(VLOOKUP($B257,'B-1 Site Hedge Baseline'!$B$1:$L$257,10,FALSE)),"",(VLOOKUP($B257,'B-1 Site Hedge Baseline'!$B$1:$L$257,10,FALSE))))</f>
        <v/>
      </c>
      <c r="J257" s="508" t="str">
        <f>IF(B257="","",IF(ISNA(VLOOKUP($B257,'B-1 Site Hedge Baseline'!$B$1:$L$257,11,FALSE)),"",(VLOOKUP($B257,'B-1 Site Hedge Baseline'!$B$1:$L$257,11,FALSE))))</f>
        <v/>
      </c>
      <c r="K257" s="508" t="str">
        <f>IF(B257="","",IF(ISNA(VLOOKUP($B257,'B-1 Site Hedge Baseline'!$B$1:$U$257,13,FALSE)),"",(VLOOKUP($B257,'B-1 Site Hedge Baseline'!$B$1:$U$257,13,FALSE))))</f>
        <v/>
      </c>
      <c r="L257" s="501" t="str">
        <f>IF(B257="","",IF(ISNA(VLOOKUP($B257,'B-1 Site Hedge Baseline'!$B$1:$U$257,12,FALSE)),"",(VLOOKUP($B257,'B-1 Site Hedge Baseline'!$B$1:$U$257,12,FALSE))))</f>
        <v/>
      </c>
      <c r="M257" s="417" t="str">
        <f t="shared" si="31"/>
        <v/>
      </c>
      <c r="N257" s="500" t="str">
        <f>IFERROR(IF(B257="","",INDEX('G-6 Hedgerow Data'!$AN$3:$AZ$15,MATCH(C257,'G-6 Hedgerow Data'!$AM$3:$AM$15,0),MATCH(M257,'G-6 Hedgerow Data'!$AN$2:$AZ$2,0))),"")</f>
        <v/>
      </c>
      <c r="O257" s="501"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60" t="str">
        <f>IF(B257="","",VLOOKUP(B257,'B-1 Site Hedge Baseline'!$B$10:T502,16,FALSE))</f>
        <v/>
      </c>
      <c r="Q257" s="500" t="str">
        <f>IF(M257="","",VLOOKUP(M257,'G-6 Hedgerow Data'!$B$2:$AG$15,2,FALSE))</f>
        <v/>
      </c>
      <c r="R257" s="499" t="str">
        <f>IF(M257="","",VLOOKUP(M257,'G-6 Hedgerow Data'!$B$2:$AG$15,3,FALSE))</f>
        <v/>
      </c>
      <c r="S257" s="270"/>
      <c r="T257" s="501" t="str">
        <f>IFERROR(VLOOKUP(S257,'G-1 All Habitats'!$Z$2:$AA$9,2,FALSE),"")</f>
        <v/>
      </c>
      <c r="U257" s="161"/>
      <c r="V257" s="508" t="str">
        <f>IF(U257="","",IF(VLOOKUP(U257,'G-3 Multipliers'!$L$3:$N$6,2,FALSE)=0,"Spatial Data Missing ⚠",VLOOKUP(U257,'G-3 Multipliers'!$L$3:$N$6,2,FALSE)))</f>
        <v/>
      </c>
      <c r="W257" s="501" t="str">
        <f>IF(U257="","",IF(VLOOKUP(U257,'G-3 Multipliers'!$L$3:$N$6,3,FALSE)=0,"Spatial Data Missing ⚠",VLOOKUP(U257,'G-3 Multipliers'!$L$3:$N$6,3,FALSE)))</f>
        <v/>
      </c>
      <c r="X257" s="500"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6"/>
      <c r="AA257" s="507" t="str">
        <f t="shared" si="27"/>
        <v/>
      </c>
      <c r="AB257" s="521" t="str">
        <f>IF(X257="","",IF(AA257="Check Data ⚠","Check Data ⚠",IF(Y257="30+",0,IF(Z257="30+","30+ ⚠",IF(X257+Z257&gt;30,"30+ ⚠",IF(LEFT(AA257,5)="Error ▲","Check Data ⚠",IF(X257+Z257-Y257&gt;0,X257+Z257-Y257,IF(X257-Y257&lt;=0,0,))))))))</f>
        <v/>
      </c>
      <c r="AC257" s="522" t="str">
        <f t="shared" si="24"/>
        <v/>
      </c>
      <c r="AD257" s="500" t="str">
        <f>IF(M257="","",VLOOKUP(M257,'G-6 Hedgerow Data'!$B$3:$AG$15,31,FALSE))</f>
        <v/>
      </c>
      <c r="AE257" s="507" t="str">
        <f t="shared" si="29"/>
        <v/>
      </c>
      <c r="AF257" s="507" t="str">
        <f t="shared" si="30"/>
        <v/>
      </c>
      <c r="AG257" s="501" t="str">
        <f>IFERROR(IF(O257="","",VLOOKUP(AD257,'G-3 Multipliers'!$P$3:$Q$6,2,FALSE)),"")</f>
        <v/>
      </c>
      <c r="AH257" s="480" t="str">
        <f t="shared" si="25"/>
        <v/>
      </c>
      <c r="AI257" s="163"/>
      <c r="AJ257" s="164"/>
      <c r="AT257" s="31" t="str">
        <f>IFERROR(INDEX('G-6 Hedgerow Data'!$BJ$3:$BJ$15,MATCH(M257,'G-6 Hedgerow Data'!$B$3:$B$15,0)),"")</f>
        <v/>
      </c>
    </row>
    <row r="258" spans="2:46" ht="14.4" thickBot="1" x14ac:dyDescent="0.3">
      <c r="B258" s="46"/>
      <c r="C258" s="46"/>
      <c r="D258" s="46"/>
      <c r="E258" s="46"/>
      <c r="F258" s="46"/>
      <c r="G258" s="46"/>
      <c r="H258" s="46"/>
      <c r="I258" s="46"/>
      <c r="J258" s="46"/>
      <c r="K258" s="46"/>
      <c r="L258" s="46"/>
      <c r="M258" s="46"/>
      <c r="N258" s="46"/>
      <c r="O258" s="428"/>
      <c r="P258" s="503">
        <f>SUM(P12:P257)</f>
        <v>0</v>
      </c>
      <c r="Q258" s="46"/>
      <c r="R258" s="46"/>
      <c r="S258" s="46"/>
      <c r="T258" s="46"/>
      <c r="U258" s="46"/>
      <c r="V258" s="46"/>
      <c r="W258" s="46"/>
      <c r="X258" s="46"/>
      <c r="Y258" s="46"/>
      <c r="Z258" s="46"/>
      <c r="AA258" s="46"/>
      <c r="AB258" s="46"/>
      <c r="AC258" s="46"/>
      <c r="AD258" s="46"/>
      <c r="AE258" s="46"/>
      <c r="AF258" s="427"/>
      <c r="AG258" s="427"/>
      <c r="AH258" s="503">
        <f>SUM(AH12:AH257)</f>
        <v>0</v>
      </c>
      <c r="AI258" s="46"/>
      <c r="AJ258" s="46"/>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AYrZXoRdiFCu2IXQX/Nsn48O9HFbR2wnrpkjRozV4HId6Yk49625q5Dweklhuy8+m3PRse/+P+K44IqVRSbhmg==" saltValue="6bGlhOQSQyyQKYFHeAHML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112" priority="24" operator="containsText" text="Existing Value Not Required">
      <formula>NOT(ISERROR(SEARCH("Existing Value Not Required",AH258)))</formula>
    </cfRule>
    <cfRule type="containsText" dxfId="111" priority="25" operator="containsText" text="Existing Value Required">
      <formula>NOT(ISERROR(SEARCH("Existing Value Required",AH258)))</formula>
    </cfRule>
  </conditionalFormatting>
  <conditionalFormatting sqref="AH12:AH257">
    <cfRule type="containsText" dxfId="110" priority="20" operator="containsText" text="Existing Value Not Required">
      <formula>NOT(ISERROR(SEARCH("Existing Value Not Required",AH12)))</formula>
    </cfRule>
    <cfRule type="containsText" dxfId="109" priority="21" operator="containsText" text="Existing Value Required">
      <formula>NOT(ISERROR(SEARCH("Existing Value Required",AH12)))</formula>
    </cfRule>
  </conditionalFormatting>
  <conditionalFormatting sqref="L12:L257">
    <cfRule type="cellIs" dxfId="108" priority="17" operator="equal">
      <formula>"Same distinctiveness band or better"</formula>
    </cfRule>
    <cfRule type="cellIs" dxfId="107" priority="18" operator="equal">
      <formula>"Like for like or better"</formula>
    </cfRule>
    <cfRule type="cellIs" dxfId="106" priority="19" operator="equal">
      <formula>"Like for Like"</formula>
    </cfRule>
  </conditionalFormatting>
  <conditionalFormatting sqref="N12:N257">
    <cfRule type="beginsWith" dxfId="105" priority="16" operator="beginsWith" text="Error">
      <formula>LEFT(N12,LEN("Error"))="Error"</formula>
    </cfRule>
  </conditionalFormatting>
  <conditionalFormatting sqref="O12:O257">
    <cfRule type="beginsWith" dxfId="104" priority="15" operator="beginsWith" text="Error">
      <formula>LEFT(O12,LEN("Error"))="Error"</formula>
    </cfRule>
  </conditionalFormatting>
  <conditionalFormatting sqref="V12:V257">
    <cfRule type="containsText" dxfId="103" priority="14" operator="containsText" text="Spatial">
      <formula>NOT(ISERROR(SEARCH("Spatial",V12)))</formula>
    </cfRule>
  </conditionalFormatting>
  <conditionalFormatting sqref="W12:W257">
    <cfRule type="containsText" dxfId="102" priority="13" operator="containsText" text="Spatial">
      <formula>NOT(ISERROR(SEARCH("Spatial",W12)))</formula>
    </cfRule>
  </conditionalFormatting>
  <conditionalFormatting sqref="X12:X257">
    <cfRule type="containsText" dxfId="101" priority="11" operator="containsText" text="Error">
      <formula>NOT(ISERROR(SEARCH("Error",X12)))</formula>
    </cfRule>
    <cfRule type="containsText" dxfId="100" priority="12" operator="containsText" text="Check">
      <formula>NOT(ISERROR(SEARCH("Check",X12)))</formula>
    </cfRule>
  </conditionalFormatting>
  <conditionalFormatting sqref="AA12:AA257">
    <cfRule type="containsText" dxfId="99" priority="9" operator="containsText" text="Error">
      <formula>NOT(ISERROR(SEARCH("Error",AA12)))</formula>
    </cfRule>
    <cfRule type="containsText" dxfId="98" priority="10" operator="containsText" text="Check">
      <formula>NOT(ISERROR(SEARCH("Check",AA12)))</formula>
    </cfRule>
  </conditionalFormatting>
  <conditionalFormatting sqref="AB12:AB257">
    <cfRule type="cellIs" dxfId="97" priority="1" operator="equal">
      <formula>"30+ ⚠"</formula>
    </cfRule>
    <cfRule type="containsText" dxfId="96" priority="7" operator="containsText" text="Error">
      <formula>NOT(ISERROR(SEARCH("Error",AB12)))</formula>
    </cfRule>
    <cfRule type="containsText" dxfId="95" priority="8" operator="containsText" text="Check">
      <formula>NOT(ISERROR(SEARCH("Check",AB12)))</formula>
    </cfRule>
  </conditionalFormatting>
  <conditionalFormatting sqref="AC12:AC257">
    <cfRule type="containsText" dxfId="94" priority="5" operator="containsText" text="Error">
      <formula>NOT(ISERROR(SEARCH("Error",AC12)))</formula>
    </cfRule>
    <cfRule type="containsText" dxfId="93" priority="6" operator="containsText" text="Check">
      <formula>NOT(ISERROR(SEARCH("Check",AC12)))</formula>
    </cfRule>
  </conditionalFormatting>
  <conditionalFormatting sqref="AE12:AE257">
    <cfRule type="beginsWith" dxfId="92" priority="3" operator="beginsWith" text="No - Low Difficulty">
      <formula>LEFT(AE12,LEN("No - Low Difficulty"))="No - Low Difficulty"</formula>
    </cfRule>
    <cfRule type="containsText" dxfId="91" priority="4" operator="containsText" text="Check">
      <formula>NOT(ISERROR(SEARCH("Check",AE12)))</formula>
    </cfRule>
  </conditionalFormatting>
  <conditionalFormatting sqref="X5:AB6 X2">
    <cfRule type="containsText" dxfId="90"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4140625" style="31" customWidth="1"/>
    <col min="3" max="3" width="9.5546875" style="31" bestFit="1" customWidth="1"/>
    <col min="4" max="4" width="53.6640625" style="31" bestFit="1" customWidth="1"/>
    <col min="5" max="5" width="8.88671875" style="31" customWidth="1"/>
    <col min="6" max="6" width="17.5546875" style="31" customWidth="1"/>
    <col min="7" max="7" width="8.44140625" style="31" customWidth="1"/>
    <col min="8" max="8" width="11.6640625" style="31" bestFit="1" customWidth="1"/>
    <col min="9" max="9" width="8.6640625" style="31" customWidth="1"/>
    <col min="10" max="10" width="41.6640625" style="31" customWidth="1"/>
    <col min="11" max="11" width="14.5546875" style="31" customWidth="1"/>
    <col min="12" max="12" width="11.88671875" style="31" customWidth="1"/>
    <col min="13" max="13" width="21.109375" style="31" bestFit="1" customWidth="1"/>
    <col min="14" max="14" width="13.109375" style="31" customWidth="1"/>
    <col min="15" max="15" width="3.6640625" style="31" customWidth="1"/>
    <col min="16" max="16" width="10.33203125" style="31" bestFit="1" customWidth="1"/>
    <col min="17" max="17" width="11.6640625" style="31" customWidth="1"/>
    <col min="18" max="18" width="10.5546875" style="31" customWidth="1"/>
    <col min="19" max="19" width="11.6640625" style="31" customWidth="1"/>
    <col min="20" max="20" width="13.5546875" style="31" customWidth="1"/>
    <col min="21" max="21" width="8.33203125" style="31" customWidth="1"/>
    <col min="22" max="22" width="23.109375" style="31" bestFit="1" customWidth="1"/>
    <col min="23" max="23" width="23.44140625" style="31" bestFit="1" customWidth="1"/>
    <col min="24" max="27" width="8.88671875" style="31" customWidth="1"/>
    <col min="28" max="28" width="19.5546875" style="31" hidden="1" customWidth="1"/>
    <col min="29" max="30" width="8.88671875" style="31" hidden="1"/>
    <col min="31" max="31" width="9.33203125" style="31" hidden="1" customWidth="1"/>
    <col min="32" max="32" width="10.44140625" style="31" hidden="1" customWidth="1"/>
    <col min="33" max="33" width="8.88671875" style="31" hidden="1"/>
    <col min="34" max="34" width="12.44140625" style="31" hidden="1" customWidth="1"/>
    <col min="35" max="35" width="8.88671875" style="31" hidden="1"/>
    <col min="36" max="36" width="9.33203125" style="31" hidden="1" customWidth="1"/>
    <col min="37" max="37" width="10.44140625" style="31" hidden="1" customWidth="1"/>
    <col min="38" max="16384" width="8.88671875" style="31" hidden="1"/>
  </cols>
  <sheetData>
    <row r="1" spans="2:37" ht="15.75" customHeight="1" thickBot="1" x14ac:dyDescent="0.3"/>
    <row r="2" spans="2:37" ht="15.75" customHeight="1" thickBot="1" x14ac:dyDescent="0.3">
      <c r="B2" s="786" t="str">
        <f>IF(Start!$F$12="","",Start!$F$12)</f>
        <v>Land at Doncaster Road, Goldthorpe, Rotherham</v>
      </c>
      <c r="C2" s="787"/>
      <c r="D2" s="788"/>
    </row>
    <row r="3" spans="2:37" ht="15.75" customHeight="1" x14ac:dyDescent="0.25">
      <c r="B3" s="975" t="str">
        <f ca="1">MID(CELL("filename",A1),FIND("]",CELL("filename",A1))+1,256)</f>
        <v>E-1 Off Site Hedge Baseline</v>
      </c>
      <c r="C3" s="976"/>
      <c r="D3" s="977"/>
    </row>
    <row r="4" spans="2:37" ht="15.75" customHeight="1" thickBot="1" x14ac:dyDescent="0.3">
      <c r="B4" s="978"/>
      <c r="C4" s="979"/>
      <c r="D4" s="980"/>
    </row>
    <row r="5" spans="2:37" ht="37.950000000000003" customHeight="1" x14ac:dyDescent="0.25"/>
    <row r="6" spans="2:37" ht="28.95" customHeight="1" x14ac:dyDescent="0.25"/>
    <row r="7" spans="2:37" ht="15.75" customHeight="1" thickBot="1" x14ac:dyDescent="0.3">
      <c r="B7" s="132"/>
      <c r="C7" s="132"/>
      <c r="D7" s="131"/>
    </row>
    <row r="8" spans="2:37" s="42" customFormat="1" ht="28.2" thickBot="1" x14ac:dyDescent="0.3">
      <c r="B8" s="40"/>
      <c r="C8" s="970" t="s">
        <v>315</v>
      </c>
      <c r="D8" s="971"/>
      <c r="E8" s="972"/>
      <c r="F8" s="970" t="s">
        <v>272</v>
      </c>
      <c r="G8" s="972"/>
      <c r="H8" s="970" t="s">
        <v>273</v>
      </c>
      <c r="I8" s="972"/>
      <c r="J8" s="970" t="s">
        <v>191</v>
      </c>
      <c r="K8" s="971"/>
      <c r="L8" s="972"/>
      <c r="M8" s="973" t="s">
        <v>309</v>
      </c>
      <c r="N8" s="167" t="s">
        <v>193</v>
      </c>
      <c r="O8" s="138"/>
      <c r="P8" s="994" t="s">
        <v>194</v>
      </c>
      <c r="Q8" s="996"/>
      <c r="R8" s="996"/>
      <c r="S8" s="996"/>
      <c r="T8" s="996"/>
      <c r="U8" s="995"/>
      <c r="V8" s="994" t="s">
        <v>196</v>
      </c>
      <c r="W8" s="995"/>
    </row>
    <row r="9" spans="2:37" ht="42" thickBot="1" x14ac:dyDescent="0.3">
      <c r="B9" s="135" t="s">
        <v>254</v>
      </c>
      <c r="C9" s="201" t="s">
        <v>293</v>
      </c>
      <c r="D9" s="201" t="s">
        <v>99</v>
      </c>
      <c r="E9" s="202" t="s">
        <v>294</v>
      </c>
      <c r="F9" s="368" t="s">
        <v>189</v>
      </c>
      <c r="G9" s="202" t="s">
        <v>206</v>
      </c>
      <c r="H9" s="368" t="s">
        <v>190</v>
      </c>
      <c r="I9" s="202" t="s">
        <v>206</v>
      </c>
      <c r="J9" s="368" t="s">
        <v>191</v>
      </c>
      <c r="K9" s="201" t="s">
        <v>191</v>
      </c>
      <c r="L9" s="202" t="s">
        <v>231</v>
      </c>
      <c r="M9" s="997"/>
      <c r="N9" s="207" t="s">
        <v>295</v>
      </c>
      <c r="O9" s="138"/>
      <c r="P9" s="406" t="s">
        <v>296</v>
      </c>
      <c r="Q9" s="407" t="s">
        <v>297</v>
      </c>
      <c r="R9" s="408" t="s">
        <v>298</v>
      </c>
      <c r="S9" s="408" t="s">
        <v>299</v>
      </c>
      <c r="T9" s="408" t="s">
        <v>300</v>
      </c>
      <c r="U9" s="409" t="s">
        <v>214</v>
      </c>
      <c r="V9" s="406" t="s">
        <v>215</v>
      </c>
      <c r="W9" s="409" t="s">
        <v>216</v>
      </c>
      <c r="AB9" s="131" t="s">
        <v>200</v>
      </c>
      <c r="AE9" s="156" t="s">
        <v>219</v>
      </c>
      <c r="AF9" s="156" t="s">
        <v>220</v>
      </c>
      <c r="AH9" s="156" t="s">
        <v>222</v>
      </c>
      <c r="AJ9" s="156" t="s">
        <v>219</v>
      </c>
      <c r="AK9" s="156" t="s">
        <v>220</v>
      </c>
    </row>
    <row r="10" spans="2:37" ht="13.8" x14ac:dyDescent="0.25">
      <c r="B10" s="141">
        <v>1</v>
      </c>
      <c r="C10" s="203"/>
      <c r="D10" s="203"/>
      <c r="E10" s="153"/>
      <c r="F10" s="498" t="str">
        <f>IF(D10="","",VLOOKUP(D10,'G-6 Hedgerow Data'!$B$2:$AG$15,2,FALSE))</f>
        <v/>
      </c>
      <c r="G10" s="499" t="str">
        <f>IF(D10="","",VLOOKUP(D10,'G-6 Hedgerow Data'!$B$2:$AG$15,3,FALSE))</f>
        <v/>
      </c>
      <c r="H10" s="71"/>
      <c r="I10" s="499" t="str">
        <f>IFERROR(IF(AND(F10="V.Low",OR(H10="Good",H10="Moderate")),"Error ▲",VLOOKUP(H10,'G-1 All Habitats'!$Z$2:$AA$9,2,FALSE)),"")</f>
        <v/>
      </c>
      <c r="J10" s="154"/>
      <c r="K10" s="520" t="str">
        <f>IF(J10="","",IF(VLOOKUP(J10,'G-3 Multipliers'!$L$3:$N$6,2,FALSE)=0,"Spatial Data Missing ⚠",VLOOKUP(J10,'G-3 Multipliers'!$L$3:$N$6,2,FALSE)))</f>
        <v/>
      </c>
      <c r="L10" s="524" t="str">
        <f>IF(J10="","",IF(VLOOKUP(J10,'G-3 Multipliers'!$L$3:$N$6,3,FALSE)=0,"Spatial Data Missing ⚠",VLOOKUP(J10,'G-3 Multipliers'!$L$3:$N$6,3,FALSE)))</f>
        <v/>
      </c>
      <c r="M10" s="506" t="str">
        <f>IF(D10="","",VLOOKUP(D10,'G-6 Hedgerow Data'!$B$1:$AH$15,33,FALSE))</f>
        <v/>
      </c>
      <c r="N10" s="513" t="str">
        <f>IFERROR(E10*G10*I10*L10,"")</f>
        <v/>
      </c>
      <c r="O10" s="40"/>
      <c r="P10" s="71"/>
      <c r="Q10" s="72"/>
      <c r="R10" s="507" t="str">
        <f>IFERROR(P10*G10*I10*L10,"")</f>
        <v/>
      </c>
      <c r="S10" s="507" t="str">
        <f>IFERROR(Q10*G10*I10*L10,"")</f>
        <v/>
      </c>
      <c r="T10" s="511" t="str">
        <f>IF(D10="","",IF(E10&lt;P10+Q10,"Error in Lengths ▲",E10-P10-Q10))</f>
        <v/>
      </c>
      <c r="U10" s="515"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8" x14ac:dyDescent="0.25">
      <c r="B11" s="141">
        <v>2</v>
      </c>
      <c r="C11" s="203"/>
      <c r="D11" s="203"/>
      <c r="E11" s="153"/>
      <c r="F11" s="498" t="str">
        <f>IF(D11="","",VLOOKUP(D11,'G-6 Hedgerow Data'!$B$2:$AG$15,2,FALSE))</f>
        <v/>
      </c>
      <c r="G11" s="499" t="str">
        <f>IF(D11="","",VLOOKUP(D11,'G-6 Hedgerow Data'!$B$2:$AG$15,3,FALSE))</f>
        <v/>
      </c>
      <c r="H11" s="71"/>
      <c r="I11" s="499" t="str">
        <f>IFERROR(IF(AND(F11="V.Low",OR(H11="Good",H11="Moderate")),"Error ▲",VLOOKUP(H11,'G-1 All Habitats'!$Z$2:$AA$9,2,FALSE)),"")</f>
        <v/>
      </c>
      <c r="J11" s="154"/>
      <c r="K11" s="520" t="str">
        <f>IF(J11="","",IF(VLOOKUP(J11,'G-3 Multipliers'!$L$3:$N$6,2,FALSE)=0,"Spatial Data Missing ⚠",VLOOKUP(J11,'G-3 Multipliers'!$L$3:$N$6,2,FALSE)))</f>
        <v/>
      </c>
      <c r="L11" s="524" t="str">
        <f>IF(J11="","",IF(VLOOKUP(J11,'G-3 Multipliers'!$L$3:$N$6,3,FALSE)=0,"Spatial Data Missing ⚠",VLOOKUP(J11,'G-3 Multipliers'!$L$3:$N$6,3,FALSE)))</f>
        <v/>
      </c>
      <c r="M11" s="506" t="str">
        <f>IF(D11="","",VLOOKUP(D11,'G-6 Hedgerow Data'!$B$1:$AH$15,33,FALSE))</f>
        <v/>
      </c>
      <c r="N11" s="513" t="str">
        <f t="shared" ref="N11:N74" si="2">IFERROR(E11*G11*I11*L11,"")</f>
        <v/>
      </c>
      <c r="O11" s="40"/>
      <c r="P11" s="71"/>
      <c r="Q11" s="72"/>
      <c r="R11" s="507" t="str">
        <f t="shared" ref="R11:R74" si="3">IFERROR(P11*G11*I11*L11,"")</f>
        <v/>
      </c>
      <c r="S11" s="507" t="str">
        <f t="shared" ref="S11:S74" si="4">IFERROR(Q11*G11*I11*L11,"")</f>
        <v/>
      </c>
      <c r="T11" s="511" t="str">
        <f t="shared" ref="T11:T74" si="5">IF(D11="","",IF(E11&lt;P11+Q11,"Error in Lengths ▲",E11-P11-Q11))</f>
        <v/>
      </c>
      <c r="U11" s="515"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8" x14ac:dyDescent="0.25">
      <c r="B12" s="141">
        <v>3</v>
      </c>
      <c r="C12" s="203"/>
      <c r="D12" s="203"/>
      <c r="E12" s="153"/>
      <c r="F12" s="498" t="str">
        <f>IF(D12="","",VLOOKUP(D12,'G-6 Hedgerow Data'!$B$2:$AG$15,2,FALSE))</f>
        <v/>
      </c>
      <c r="G12" s="499" t="str">
        <f>IF(D12="","",VLOOKUP(D12,'G-6 Hedgerow Data'!$B$2:$AG$15,3,FALSE))</f>
        <v/>
      </c>
      <c r="H12" s="71"/>
      <c r="I12" s="499" t="str">
        <f>IFERROR(IF(AND(F12="V.Low",OR(H12="Good",H12="Moderate")),"Error ▲",VLOOKUP(H12,'G-1 All Habitats'!$Z$2:$AA$9,2,FALSE)),"")</f>
        <v/>
      </c>
      <c r="J12" s="154"/>
      <c r="K12" s="520" t="str">
        <f>IF(J12="","",IF(VLOOKUP(J12,'G-3 Multipliers'!$L$3:$N$6,2,FALSE)=0,"Spatial Data Missing ⚠",VLOOKUP(J12,'G-3 Multipliers'!$L$3:$N$6,2,FALSE)))</f>
        <v/>
      </c>
      <c r="L12" s="524" t="str">
        <f>IF(J12="","",IF(VLOOKUP(J12,'G-3 Multipliers'!$L$3:$N$6,3,FALSE)=0,"Spatial Data Missing ⚠",VLOOKUP(J12,'G-3 Multipliers'!$L$3:$N$6,3,FALSE)))</f>
        <v/>
      </c>
      <c r="M12" s="506" t="str">
        <f>IF(D12="","",VLOOKUP(D12,'G-6 Hedgerow Data'!$B$1:$AH$15,33,FALSE))</f>
        <v/>
      </c>
      <c r="N12" s="513" t="str">
        <f t="shared" si="2"/>
        <v/>
      </c>
      <c r="O12" s="40"/>
      <c r="P12" s="71"/>
      <c r="Q12" s="72"/>
      <c r="R12" s="507" t="str">
        <f t="shared" si="3"/>
        <v/>
      </c>
      <c r="S12" s="507" t="str">
        <f t="shared" si="4"/>
        <v/>
      </c>
      <c r="T12" s="511" t="str">
        <f t="shared" si="5"/>
        <v/>
      </c>
      <c r="U12" s="515"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8" x14ac:dyDescent="0.25">
      <c r="B13" s="141">
        <v>4</v>
      </c>
      <c r="C13" s="203"/>
      <c r="D13" s="203"/>
      <c r="E13" s="153"/>
      <c r="F13" s="498" t="str">
        <f>IF(D13="","",VLOOKUP(D13,'G-6 Hedgerow Data'!$B$2:$AG$15,2,FALSE))</f>
        <v/>
      </c>
      <c r="G13" s="499" t="str">
        <f>IF(D13="","",VLOOKUP(D13,'G-6 Hedgerow Data'!$B$2:$AG$15,3,FALSE))</f>
        <v/>
      </c>
      <c r="H13" s="71"/>
      <c r="I13" s="499" t="str">
        <f>IFERROR(IF(AND(F13="V.Low",OR(H13="Good",H13="Moderate")),"Error ▲",VLOOKUP(H13,'G-1 All Habitats'!$Z$2:$AA$9,2,FALSE)),"")</f>
        <v/>
      </c>
      <c r="J13" s="154"/>
      <c r="K13" s="520" t="str">
        <f>IF(J13="","",IF(VLOOKUP(J13,'G-3 Multipliers'!$L$3:$N$6,2,FALSE)=0,"Spatial Data Missing ⚠",VLOOKUP(J13,'G-3 Multipliers'!$L$3:$N$6,2,FALSE)))</f>
        <v/>
      </c>
      <c r="L13" s="524" t="str">
        <f>IF(J13="","",IF(VLOOKUP(J13,'G-3 Multipliers'!$L$3:$N$6,3,FALSE)=0,"Spatial Data Missing ⚠",VLOOKUP(J13,'G-3 Multipliers'!$L$3:$N$6,3,FALSE)))</f>
        <v/>
      </c>
      <c r="M13" s="506" t="str">
        <f>IF(D13="","",VLOOKUP(D13,'G-6 Hedgerow Data'!$B$1:$AH$15,33,FALSE))</f>
        <v/>
      </c>
      <c r="N13" s="513" t="str">
        <f t="shared" si="2"/>
        <v/>
      </c>
      <c r="O13" s="40"/>
      <c r="P13" s="71"/>
      <c r="Q13" s="72"/>
      <c r="R13" s="507" t="str">
        <f t="shared" si="3"/>
        <v/>
      </c>
      <c r="S13" s="507" t="str">
        <f t="shared" si="4"/>
        <v/>
      </c>
      <c r="T13" s="511" t="str">
        <f t="shared" si="5"/>
        <v/>
      </c>
      <c r="U13" s="515"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8" x14ac:dyDescent="0.25">
      <c r="B14" s="141">
        <v>5</v>
      </c>
      <c r="C14" s="203"/>
      <c r="D14" s="203"/>
      <c r="E14" s="153"/>
      <c r="F14" s="498" t="str">
        <f>IF(D14="","",VLOOKUP(D14,'G-6 Hedgerow Data'!$B$2:$AG$15,2,FALSE))</f>
        <v/>
      </c>
      <c r="G14" s="499" t="str">
        <f>IF(D14="","",VLOOKUP(D14,'G-6 Hedgerow Data'!$B$2:$AG$15,3,FALSE))</f>
        <v/>
      </c>
      <c r="H14" s="145"/>
      <c r="I14" s="499" t="str">
        <f>IFERROR(IF(AND(F14="V.Low",OR(H14="Good",H14="Moderate")),"Error ▲",VLOOKUP(H14,'G-1 All Habitats'!$Z$2:$AA$9,2,FALSE)),"")</f>
        <v/>
      </c>
      <c r="J14" s="154"/>
      <c r="K14" s="520" t="str">
        <f>IF(J14="","",IF(VLOOKUP(J14,'G-3 Multipliers'!$L$3:$N$6,2,FALSE)=0,"Spatial Data Missing ⚠",VLOOKUP(J14,'G-3 Multipliers'!$L$3:$N$6,2,FALSE)))</f>
        <v/>
      </c>
      <c r="L14" s="524" t="str">
        <f>IF(J14="","",IF(VLOOKUP(J14,'G-3 Multipliers'!$L$3:$N$6,3,FALSE)=0,"Spatial Data Missing ⚠",VLOOKUP(J14,'G-3 Multipliers'!$L$3:$N$6,3,FALSE)))</f>
        <v/>
      </c>
      <c r="M14" s="506" t="str">
        <f>IF(D14="","",VLOOKUP(D14,'G-6 Hedgerow Data'!$B$1:$AH$15,33,FALSE))</f>
        <v/>
      </c>
      <c r="N14" s="513" t="str">
        <f t="shared" si="2"/>
        <v/>
      </c>
      <c r="O14" s="40"/>
      <c r="P14" s="71"/>
      <c r="Q14" s="72"/>
      <c r="R14" s="507" t="str">
        <f t="shared" si="3"/>
        <v/>
      </c>
      <c r="S14" s="507" t="str">
        <f t="shared" si="4"/>
        <v/>
      </c>
      <c r="T14" s="511" t="str">
        <f t="shared" si="5"/>
        <v/>
      </c>
      <c r="U14" s="515"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8" x14ac:dyDescent="0.25">
      <c r="B15" s="141">
        <v>6</v>
      </c>
      <c r="C15" s="203"/>
      <c r="D15" s="203"/>
      <c r="E15" s="153"/>
      <c r="F15" s="498" t="str">
        <f>IF(D15="","",VLOOKUP(D15,'G-6 Hedgerow Data'!$B$2:$AG$15,2,FALSE))</f>
        <v/>
      </c>
      <c r="G15" s="499" t="str">
        <f>IF(D15="","",VLOOKUP(D15,'G-6 Hedgerow Data'!$B$2:$AG$15,3,FALSE))</f>
        <v/>
      </c>
      <c r="H15" s="145"/>
      <c r="I15" s="499" t="str">
        <f>IFERROR(IF(AND(F15="V.Low",OR(H15="Good",H15="Moderate")),"Error ▲",VLOOKUP(H15,'G-1 All Habitats'!$Z$2:$AA$9,2,FALSE)),"")</f>
        <v/>
      </c>
      <c r="J15" s="154"/>
      <c r="K15" s="520" t="str">
        <f>IF(J15="","",IF(VLOOKUP(J15,'G-3 Multipliers'!$L$3:$N$6,2,FALSE)=0,"Spatial Data Missing ⚠",VLOOKUP(J15,'G-3 Multipliers'!$L$3:$N$6,2,FALSE)))</f>
        <v/>
      </c>
      <c r="L15" s="524" t="str">
        <f>IF(J15="","",IF(VLOOKUP(J15,'G-3 Multipliers'!$L$3:$N$6,3,FALSE)=0,"Spatial Data Missing ⚠",VLOOKUP(J15,'G-3 Multipliers'!$L$3:$N$6,3,FALSE)))</f>
        <v/>
      </c>
      <c r="M15" s="506" t="str">
        <f>IF(D15="","",VLOOKUP(D15,'G-6 Hedgerow Data'!$B$1:$AH$15,33,FALSE))</f>
        <v/>
      </c>
      <c r="N15" s="513" t="str">
        <f t="shared" si="2"/>
        <v/>
      </c>
      <c r="O15" s="40"/>
      <c r="P15" s="145"/>
      <c r="Q15" s="72"/>
      <c r="R15" s="507" t="str">
        <f t="shared" si="3"/>
        <v/>
      </c>
      <c r="S15" s="507" t="str">
        <f t="shared" si="4"/>
        <v/>
      </c>
      <c r="T15" s="511" t="str">
        <f t="shared" si="5"/>
        <v/>
      </c>
      <c r="U15" s="515"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8" x14ac:dyDescent="0.25">
      <c r="B16" s="141">
        <v>7</v>
      </c>
      <c r="C16" s="203"/>
      <c r="D16" s="203"/>
      <c r="E16" s="153"/>
      <c r="F16" s="498" t="str">
        <f>IF(D16="","",VLOOKUP(D16,'G-6 Hedgerow Data'!$B$2:$AG$15,2,FALSE))</f>
        <v/>
      </c>
      <c r="G16" s="499" t="str">
        <f>IF(D16="","",VLOOKUP(D16,'G-6 Hedgerow Data'!$B$2:$AG$15,3,FALSE))</f>
        <v/>
      </c>
      <c r="H16" s="145"/>
      <c r="I16" s="499" t="str">
        <f>IFERROR(IF(AND(F16="V.Low",OR(H16="Good",H16="Moderate")),"Error ▲",VLOOKUP(H16,'G-1 All Habitats'!$Z$2:$AA$9,2,FALSE)),"")</f>
        <v/>
      </c>
      <c r="J16" s="154"/>
      <c r="K16" s="520" t="str">
        <f>IF(J16="","",IF(VLOOKUP(J16,'G-3 Multipliers'!$L$3:$N$6,2,FALSE)=0,"Spatial Data Missing ⚠",VLOOKUP(J16,'G-3 Multipliers'!$L$3:$N$6,2,FALSE)))</f>
        <v/>
      </c>
      <c r="L16" s="524" t="str">
        <f>IF(J16="","",IF(VLOOKUP(J16,'G-3 Multipliers'!$L$3:$N$6,3,FALSE)=0,"Spatial Data Missing ⚠",VLOOKUP(J16,'G-3 Multipliers'!$L$3:$N$6,3,FALSE)))</f>
        <v/>
      </c>
      <c r="M16" s="506" t="str">
        <f>IF(D16="","",VLOOKUP(D16,'G-6 Hedgerow Data'!$B$1:$AH$15,33,FALSE))</f>
        <v/>
      </c>
      <c r="N16" s="513" t="str">
        <f t="shared" si="2"/>
        <v/>
      </c>
      <c r="O16" s="40"/>
      <c r="P16" s="145"/>
      <c r="Q16" s="72"/>
      <c r="R16" s="507" t="str">
        <f t="shared" si="3"/>
        <v/>
      </c>
      <c r="S16" s="507" t="str">
        <f t="shared" si="4"/>
        <v/>
      </c>
      <c r="T16" s="511" t="str">
        <f t="shared" si="5"/>
        <v/>
      </c>
      <c r="U16" s="515"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8" x14ac:dyDescent="0.25">
      <c r="B17" s="141">
        <v>8</v>
      </c>
      <c r="C17" s="203"/>
      <c r="D17" s="203"/>
      <c r="E17" s="153"/>
      <c r="F17" s="498" t="str">
        <f>IF(D17="","",VLOOKUP(D17,'G-6 Hedgerow Data'!$B$2:$AG$15,2,FALSE))</f>
        <v/>
      </c>
      <c r="G17" s="499" t="str">
        <f>IF(D17="","",VLOOKUP(D17,'G-6 Hedgerow Data'!$B$2:$AG$15,3,FALSE))</f>
        <v/>
      </c>
      <c r="H17" s="145"/>
      <c r="I17" s="499" t="str">
        <f>IFERROR(IF(AND(F17="V.Low",OR(H17="Good",H17="Moderate")),"Error ▲",VLOOKUP(H17,'G-1 All Habitats'!$Z$2:$AA$9,2,FALSE)),"")</f>
        <v/>
      </c>
      <c r="J17" s="154"/>
      <c r="K17" s="520" t="str">
        <f>IF(J17="","",IF(VLOOKUP(J17,'G-3 Multipliers'!$L$3:$N$6,2,FALSE)=0,"Spatial Data Missing ⚠",VLOOKUP(J17,'G-3 Multipliers'!$L$3:$N$6,2,FALSE)))</f>
        <v/>
      </c>
      <c r="L17" s="524" t="str">
        <f>IF(J17="","",IF(VLOOKUP(J17,'G-3 Multipliers'!$L$3:$N$6,3,FALSE)=0,"Spatial Data Missing ⚠",VLOOKUP(J17,'G-3 Multipliers'!$L$3:$N$6,3,FALSE)))</f>
        <v/>
      </c>
      <c r="M17" s="506" t="str">
        <f>IF(D17="","",VLOOKUP(D17,'G-6 Hedgerow Data'!$B$1:$AH$15,33,FALSE))</f>
        <v/>
      </c>
      <c r="N17" s="513" t="str">
        <f t="shared" si="2"/>
        <v/>
      </c>
      <c r="O17" s="40"/>
      <c r="P17" s="145"/>
      <c r="Q17" s="72"/>
      <c r="R17" s="507" t="str">
        <f t="shared" si="3"/>
        <v/>
      </c>
      <c r="S17" s="507" t="str">
        <f t="shared" si="4"/>
        <v/>
      </c>
      <c r="T17" s="511" t="str">
        <f t="shared" si="5"/>
        <v/>
      </c>
      <c r="U17" s="515"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8" x14ac:dyDescent="0.25">
      <c r="B18" s="141">
        <v>9</v>
      </c>
      <c r="C18" s="203"/>
      <c r="D18" s="203"/>
      <c r="E18" s="153"/>
      <c r="F18" s="498" t="str">
        <f>IF(D18="","",VLOOKUP(D18,'G-6 Hedgerow Data'!$B$2:$AG$15,2,FALSE))</f>
        <v/>
      </c>
      <c r="G18" s="499" t="str">
        <f>IF(D18="","",VLOOKUP(D18,'G-6 Hedgerow Data'!$B$2:$AG$15,3,FALSE))</f>
        <v/>
      </c>
      <c r="H18" s="145"/>
      <c r="I18" s="499" t="str">
        <f>IFERROR(IF(AND(F18="V.Low",OR(H18="Good",H18="Moderate")),"Error ▲",VLOOKUP(H18,'G-1 All Habitats'!$Z$2:$AA$9,2,FALSE)),"")</f>
        <v/>
      </c>
      <c r="J18" s="154"/>
      <c r="K18" s="520" t="str">
        <f>IF(J18="","",IF(VLOOKUP(J18,'G-3 Multipliers'!$L$3:$N$6,2,FALSE)=0,"Spatial Data Missing ⚠",VLOOKUP(J18,'G-3 Multipliers'!$L$3:$N$6,2,FALSE)))</f>
        <v/>
      </c>
      <c r="L18" s="524" t="str">
        <f>IF(J18="","",IF(VLOOKUP(J18,'G-3 Multipliers'!$L$3:$N$6,3,FALSE)=0,"Spatial Data Missing ⚠",VLOOKUP(J18,'G-3 Multipliers'!$L$3:$N$6,3,FALSE)))</f>
        <v/>
      </c>
      <c r="M18" s="506" t="str">
        <f>IF(D18="","",VLOOKUP(D18,'G-6 Hedgerow Data'!$B$1:$AH$15,33,FALSE))</f>
        <v/>
      </c>
      <c r="N18" s="513" t="str">
        <f t="shared" si="2"/>
        <v/>
      </c>
      <c r="O18" s="40"/>
      <c r="P18" s="145"/>
      <c r="Q18" s="72"/>
      <c r="R18" s="507" t="str">
        <f t="shared" si="3"/>
        <v/>
      </c>
      <c r="S18" s="507" t="str">
        <f t="shared" si="4"/>
        <v/>
      </c>
      <c r="T18" s="511" t="str">
        <f t="shared" si="5"/>
        <v/>
      </c>
      <c r="U18" s="515"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8" x14ac:dyDescent="0.25">
      <c r="B19" s="141">
        <v>10</v>
      </c>
      <c r="C19" s="203"/>
      <c r="D19" s="203"/>
      <c r="E19" s="153"/>
      <c r="F19" s="498" t="str">
        <f>IF(D19="","",VLOOKUP(D19,'G-6 Hedgerow Data'!$B$2:$AG$15,2,FALSE))</f>
        <v/>
      </c>
      <c r="G19" s="499" t="str">
        <f>IF(D19="","",VLOOKUP(D19,'G-6 Hedgerow Data'!$B$2:$AG$15,3,FALSE))</f>
        <v/>
      </c>
      <c r="H19" s="145"/>
      <c r="I19" s="499" t="str">
        <f>IFERROR(IF(AND(F19="V.Low",OR(H19="Good",H19="Moderate")),"Error ▲",VLOOKUP(H19,'G-1 All Habitats'!$Z$2:$AA$9,2,FALSE)),"")</f>
        <v/>
      </c>
      <c r="J19" s="154"/>
      <c r="K19" s="520" t="str">
        <f>IF(J19="","",IF(VLOOKUP(J19,'G-3 Multipliers'!$L$3:$N$6,2,FALSE)=0,"Spatial Data Missing ⚠",VLOOKUP(J19,'G-3 Multipliers'!$L$3:$N$6,2,FALSE)))</f>
        <v/>
      </c>
      <c r="L19" s="524" t="str">
        <f>IF(J19="","",IF(VLOOKUP(J19,'G-3 Multipliers'!$L$3:$N$6,3,FALSE)=0,"Spatial Data Missing ⚠",VLOOKUP(J19,'G-3 Multipliers'!$L$3:$N$6,3,FALSE)))</f>
        <v/>
      </c>
      <c r="M19" s="506" t="str">
        <f>IF(D19="","",VLOOKUP(D19,'G-6 Hedgerow Data'!$B$1:$AH$15,33,FALSE))</f>
        <v/>
      </c>
      <c r="N19" s="513" t="str">
        <f t="shared" si="2"/>
        <v/>
      </c>
      <c r="O19" s="40"/>
      <c r="P19" s="145"/>
      <c r="Q19" s="72"/>
      <c r="R19" s="507" t="str">
        <f t="shared" si="3"/>
        <v/>
      </c>
      <c r="S19" s="507" t="str">
        <f t="shared" si="4"/>
        <v/>
      </c>
      <c r="T19" s="511" t="str">
        <f t="shared" si="5"/>
        <v/>
      </c>
      <c r="U19" s="515"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8" x14ac:dyDescent="0.25">
      <c r="B20" s="141">
        <v>11</v>
      </c>
      <c r="C20" s="203"/>
      <c r="D20" s="203"/>
      <c r="E20" s="153"/>
      <c r="F20" s="498" t="str">
        <f>IF(D20="","",VLOOKUP(D20,'G-6 Hedgerow Data'!$B$2:$AG$15,2,FALSE))</f>
        <v/>
      </c>
      <c r="G20" s="499" t="str">
        <f>IF(D20="","",VLOOKUP(D20,'G-6 Hedgerow Data'!$B$2:$AG$15,3,FALSE))</f>
        <v/>
      </c>
      <c r="H20" s="145"/>
      <c r="I20" s="499" t="str">
        <f>IFERROR(IF(AND(F20="V.Low",OR(H20="Good",H20="Moderate")),"Error ▲",VLOOKUP(H20,'G-1 All Habitats'!$Z$2:$AA$9,2,FALSE)),"")</f>
        <v/>
      </c>
      <c r="J20" s="154"/>
      <c r="K20" s="520" t="str">
        <f>IF(J20="","",IF(VLOOKUP(J20,'G-3 Multipliers'!$L$3:$N$6,2,FALSE)=0,"Spatial Data Missing ⚠",VLOOKUP(J20,'G-3 Multipliers'!$L$3:$N$6,2,FALSE)))</f>
        <v/>
      </c>
      <c r="L20" s="524" t="str">
        <f>IF(J20="","",IF(VLOOKUP(J20,'G-3 Multipliers'!$L$3:$N$6,3,FALSE)=0,"Spatial Data Missing ⚠",VLOOKUP(J20,'G-3 Multipliers'!$L$3:$N$6,3,FALSE)))</f>
        <v/>
      </c>
      <c r="M20" s="506" t="str">
        <f>IF(D20="","",VLOOKUP(D20,'G-6 Hedgerow Data'!$B$1:$AH$15,33,FALSE))</f>
        <v/>
      </c>
      <c r="N20" s="513" t="str">
        <f t="shared" si="2"/>
        <v/>
      </c>
      <c r="O20" s="40"/>
      <c r="P20" s="145"/>
      <c r="Q20" s="72"/>
      <c r="R20" s="507" t="str">
        <f t="shared" si="3"/>
        <v/>
      </c>
      <c r="S20" s="507" t="str">
        <f t="shared" si="4"/>
        <v/>
      </c>
      <c r="T20" s="511" t="str">
        <f t="shared" si="5"/>
        <v/>
      </c>
      <c r="U20" s="515"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8" x14ac:dyDescent="0.25">
      <c r="B21" s="141">
        <v>12</v>
      </c>
      <c r="C21" s="203"/>
      <c r="D21" s="203"/>
      <c r="E21" s="153"/>
      <c r="F21" s="498" t="str">
        <f>IF(D21="","",VLOOKUP(D21,'G-6 Hedgerow Data'!$B$2:$AG$15,2,FALSE))</f>
        <v/>
      </c>
      <c r="G21" s="499" t="str">
        <f>IF(D21="","",VLOOKUP(D21,'G-6 Hedgerow Data'!$B$2:$AG$15,3,FALSE))</f>
        <v/>
      </c>
      <c r="H21" s="145"/>
      <c r="I21" s="499" t="str">
        <f>IFERROR(IF(AND(F21="V.Low",OR(H21="Good",H21="Moderate")),"Error ▲",VLOOKUP(H21,'G-1 All Habitats'!$Z$2:$AA$9,2,FALSE)),"")</f>
        <v/>
      </c>
      <c r="J21" s="154"/>
      <c r="K21" s="520" t="str">
        <f>IF(J21="","",IF(VLOOKUP(J21,'G-3 Multipliers'!$L$3:$N$6,2,FALSE)=0,"Spatial Data Missing ⚠",VLOOKUP(J21,'G-3 Multipliers'!$L$3:$N$6,2,FALSE)))</f>
        <v/>
      </c>
      <c r="L21" s="524" t="str">
        <f>IF(J21="","",IF(VLOOKUP(J21,'G-3 Multipliers'!$L$3:$N$6,3,FALSE)=0,"Spatial Data Missing ⚠",VLOOKUP(J21,'G-3 Multipliers'!$L$3:$N$6,3,FALSE)))</f>
        <v/>
      </c>
      <c r="M21" s="506" t="str">
        <f>IF(D21="","",VLOOKUP(D21,'G-6 Hedgerow Data'!$B$1:$AH$15,33,FALSE))</f>
        <v/>
      </c>
      <c r="N21" s="513" t="str">
        <f t="shared" si="2"/>
        <v/>
      </c>
      <c r="O21" s="40"/>
      <c r="P21" s="145"/>
      <c r="Q21" s="72"/>
      <c r="R21" s="507" t="str">
        <f t="shared" si="3"/>
        <v/>
      </c>
      <c r="S21" s="507" t="str">
        <f t="shared" si="4"/>
        <v/>
      </c>
      <c r="T21" s="511" t="str">
        <f t="shared" si="5"/>
        <v/>
      </c>
      <c r="U21" s="515"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8" x14ac:dyDescent="0.25">
      <c r="B22" s="141">
        <v>13</v>
      </c>
      <c r="C22" s="203"/>
      <c r="D22" s="203"/>
      <c r="E22" s="153"/>
      <c r="F22" s="498" t="str">
        <f>IF(D22="","",VLOOKUP(D22,'G-6 Hedgerow Data'!$B$2:$AG$15,2,FALSE))</f>
        <v/>
      </c>
      <c r="G22" s="499" t="str">
        <f>IF(D22="","",VLOOKUP(D22,'G-6 Hedgerow Data'!$B$2:$AG$15,3,FALSE))</f>
        <v/>
      </c>
      <c r="H22" s="145"/>
      <c r="I22" s="499" t="str">
        <f>IFERROR(IF(AND(F22="V.Low",OR(H22="Good",H22="Moderate")),"Error ▲",VLOOKUP(H22,'G-1 All Habitats'!$Z$2:$AA$9,2,FALSE)),"")</f>
        <v/>
      </c>
      <c r="J22" s="154"/>
      <c r="K22" s="520" t="str">
        <f>IF(J22="","",IF(VLOOKUP(J22,'G-3 Multipliers'!$L$3:$N$6,2,FALSE)=0,"Spatial Data Missing ⚠",VLOOKUP(J22,'G-3 Multipliers'!$L$3:$N$6,2,FALSE)))</f>
        <v/>
      </c>
      <c r="L22" s="524" t="str">
        <f>IF(J22="","",IF(VLOOKUP(J22,'G-3 Multipliers'!$L$3:$N$6,3,FALSE)=0,"Spatial Data Missing ⚠",VLOOKUP(J22,'G-3 Multipliers'!$L$3:$N$6,3,FALSE)))</f>
        <v/>
      </c>
      <c r="M22" s="506" t="str">
        <f>IF(D22="","",VLOOKUP(D22,'G-6 Hedgerow Data'!$B$1:$AH$15,33,FALSE))</f>
        <v/>
      </c>
      <c r="N22" s="513" t="str">
        <f t="shared" si="2"/>
        <v/>
      </c>
      <c r="O22" s="40"/>
      <c r="P22" s="145"/>
      <c r="Q22" s="157"/>
      <c r="R22" s="507" t="str">
        <f t="shared" si="3"/>
        <v/>
      </c>
      <c r="S22" s="507" t="str">
        <f t="shared" si="4"/>
        <v/>
      </c>
      <c r="T22" s="511" t="str">
        <f t="shared" si="5"/>
        <v/>
      </c>
      <c r="U22" s="515"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8" x14ac:dyDescent="0.25">
      <c r="B23" s="141">
        <v>14</v>
      </c>
      <c r="C23" s="203"/>
      <c r="D23" s="203"/>
      <c r="E23" s="153"/>
      <c r="F23" s="498" t="str">
        <f>IF(D23="","",VLOOKUP(D23,'G-6 Hedgerow Data'!$B$2:$AG$15,2,FALSE))</f>
        <v/>
      </c>
      <c r="G23" s="499" t="str">
        <f>IF(D23="","",VLOOKUP(D23,'G-6 Hedgerow Data'!$B$2:$AG$15,3,FALSE))</f>
        <v/>
      </c>
      <c r="H23" s="145"/>
      <c r="I23" s="499" t="str">
        <f>IFERROR(IF(AND(F23="V.Low",OR(H23="Good",H23="Moderate")),"Error ▲",VLOOKUP(H23,'G-1 All Habitats'!$Z$2:$AA$9,2,FALSE)),"")</f>
        <v/>
      </c>
      <c r="J23" s="154"/>
      <c r="K23" s="520" t="str">
        <f>IF(J23="","",IF(VLOOKUP(J23,'G-3 Multipliers'!$L$3:$N$6,2,FALSE)=0,"Spatial Data Missing ⚠",VLOOKUP(J23,'G-3 Multipliers'!$L$3:$N$6,2,FALSE)))</f>
        <v/>
      </c>
      <c r="L23" s="524" t="str">
        <f>IF(J23="","",IF(VLOOKUP(J23,'G-3 Multipliers'!$L$3:$N$6,3,FALSE)=0,"Spatial Data Missing ⚠",VLOOKUP(J23,'G-3 Multipliers'!$L$3:$N$6,3,FALSE)))</f>
        <v/>
      </c>
      <c r="M23" s="506" t="str">
        <f>IF(D23="","",VLOOKUP(D23,'G-6 Hedgerow Data'!$B$1:$AH$15,33,FALSE))</f>
        <v/>
      </c>
      <c r="N23" s="513" t="str">
        <f t="shared" si="2"/>
        <v/>
      </c>
      <c r="O23" s="40"/>
      <c r="P23" s="145"/>
      <c r="Q23" s="157"/>
      <c r="R23" s="507" t="str">
        <f t="shared" si="3"/>
        <v/>
      </c>
      <c r="S23" s="507" t="str">
        <f t="shared" si="4"/>
        <v/>
      </c>
      <c r="T23" s="511" t="str">
        <f t="shared" si="5"/>
        <v/>
      </c>
      <c r="U23" s="515"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8" x14ac:dyDescent="0.25">
      <c r="B24" s="141">
        <v>15</v>
      </c>
      <c r="C24" s="203"/>
      <c r="D24" s="203"/>
      <c r="E24" s="153"/>
      <c r="F24" s="498" t="str">
        <f>IF(D24="","",VLOOKUP(D24,'G-6 Hedgerow Data'!$B$2:$AG$15,2,FALSE))</f>
        <v/>
      </c>
      <c r="G24" s="499" t="str">
        <f>IF(D24="","",VLOOKUP(D24,'G-6 Hedgerow Data'!$B$2:$AG$15,3,FALSE))</f>
        <v/>
      </c>
      <c r="H24" s="145"/>
      <c r="I24" s="499" t="str">
        <f>IFERROR(IF(AND(F24="V.Low",OR(H24="Good",H24="Moderate")),"Error ▲",VLOOKUP(H24,'G-1 All Habitats'!$Z$2:$AA$9,2,FALSE)),"")</f>
        <v/>
      </c>
      <c r="J24" s="154"/>
      <c r="K24" s="520" t="str">
        <f>IF(J24="","",IF(VLOOKUP(J24,'G-3 Multipliers'!$L$3:$N$6,2,FALSE)=0,"Spatial Data Missing ⚠",VLOOKUP(J24,'G-3 Multipliers'!$L$3:$N$6,2,FALSE)))</f>
        <v/>
      </c>
      <c r="L24" s="524" t="str">
        <f>IF(J24="","",IF(VLOOKUP(J24,'G-3 Multipliers'!$L$3:$N$6,3,FALSE)=0,"Spatial Data Missing ⚠",VLOOKUP(J24,'G-3 Multipliers'!$L$3:$N$6,3,FALSE)))</f>
        <v/>
      </c>
      <c r="M24" s="506" t="str">
        <f>IF(D24="","",VLOOKUP(D24,'G-6 Hedgerow Data'!$B$1:$AH$15,33,FALSE))</f>
        <v/>
      </c>
      <c r="N24" s="513" t="str">
        <f t="shared" si="2"/>
        <v/>
      </c>
      <c r="O24" s="40"/>
      <c r="P24" s="145"/>
      <c r="Q24" s="157"/>
      <c r="R24" s="507" t="str">
        <f t="shared" si="3"/>
        <v/>
      </c>
      <c r="S24" s="507" t="str">
        <f t="shared" si="4"/>
        <v/>
      </c>
      <c r="T24" s="511" t="str">
        <f t="shared" si="5"/>
        <v/>
      </c>
      <c r="U24" s="515"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8" x14ac:dyDescent="0.25">
      <c r="B25" s="141">
        <v>16</v>
      </c>
      <c r="C25" s="203"/>
      <c r="D25" s="203"/>
      <c r="E25" s="153"/>
      <c r="F25" s="498" t="str">
        <f>IF(D25="","",VLOOKUP(D25,'G-6 Hedgerow Data'!$B$2:$AG$15,2,FALSE))</f>
        <v/>
      </c>
      <c r="G25" s="499" t="str">
        <f>IF(D25="","",VLOOKUP(D25,'G-6 Hedgerow Data'!$B$2:$AG$15,3,FALSE))</f>
        <v/>
      </c>
      <c r="H25" s="145"/>
      <c r="I25" s="499" t="str">
        <f>IFERROR(IF(AND(F25="V.Low",OR(H25="Good",H25="Moderate")),"Error ▲",VLOOKUP(H25,'G-1 All Habitats'!$Z$2:$AA$9,2,FALSE)),"")</f>
        <v/>
      </c>
      <c r="J25" s="154"/>
      <c r="K25" s="520" t="str">
        <f>IF(J25="","",IF(VLOOKUP(J25,'G-3 Multipliers'!$L$3:$N$6,2,FALSE)=0,"Spatial Data Missing ⚠",VLOOKUP(J25,'G-3 Multipliers'!$L$3:$N$6,2,FALSE)))</f>
        <v/>
      </c>
      <c r="L25" s="524" t="str">
        <f>IF(J25="","",IF(VLOOKUP(J25,'G-3 Multipliers'!$L$3:$N$6,3,FALSE)=0,"Spatial Data Missing ⚠",VLOOKUP(J25,'G-3 Multipliers'!$L$3:$N$6,3,FALSE)))</f>
        <v/>
      </c>
      <c r="M25" s="506" t="str">
        <f>IF(D25="","",VLOOKUP(D25,'G-6 Hedgerow Data'!$B$1:$AH$15,33,FALSE))</f>
        <v/>
      </c>
      <c r="N25" s="513" t="str">
        <f t="shared" si="2"/>
        <v/>
      </c>
      <c r="O25" s="40"/>
      <c r="P25" s="145"/>
      <c r="Q25" s="157"/>
      <c r="R25" s="507" t="str">
        <f t="shared" si="3"/>
        <v/>
      </c>
      <c r="S25" s="507" t="str">
        <f t="shared" si="4"/>
        <v/>
      </c>
      <c r="T25" s="511" t="str">
        <f t="shared" si="5"/>
        <v/>
      </c>
      <c r="U25" s="515"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8" x14ac:dyDescent="0.25">
      <c r="B26" s="141">
        <v>17</v>
      </c>
      <c r="C26" s="203"/>
      <c r="D26" s="203"/>
      <c r="E26" s="153"/>
      <c r="F26" s="498" t="str">
        <f>IF(D26="","",VLOOKUP(D26,'G-6 Hedgerow Data'!$B$2:$AG$15,2,FALSE))</f>
        <v/>
      </c>
      <c r="G26" s="499" t="str">
        <f>IF(D26="","",VLOOKUP(D26,'G-6 Hedgerow Data'!$B$2:$AG$15,3,FALSE))</f>
        <v/>
      </c>
      <c r="H26" s="145"/>
      <c r="I26" s="499" t="str">
        <f>IFERROR(IF(AND(F26="V.Low",OR(H26="Good",H26="Moderate")),"Error ▲",VLOOKUP(H26,'G-1 All Habitats'!$Z$2:$AA$9,2,FALSE)),"")</f>
        <v/>
      </c>
      <c r="J26" s="154"/>
      <c r="K26" s="520" t="str">
        <f>IF(J26="","",IF(VLOOKUP(J26,'G-3 Multipliers'!$L$3:$N$6,2,FALSE)=0,"Spatial Data Missing ⚠",VLOOKUP(J26,'G-3 Multipliers'!$L$3:$N$6,2,FALSE)))</f>
        <v/>
      </c>
      <c r="L26" s="524" t="str">
        <f>IF(J26="","",IF(VLOOKUP(J26,'G-3 Multipliers'!$L$3:$N$6,3,FALSE)=0,"Spatial Data Missing ⚠",VLOOKUP(J26,'G-3 Multipliers'!$L$3:$N$6,3,FALSE)))</f>
        <v/>
      </c>
      <c r="M26" s="506" t="str">
        <f>IF(D26="","",VLOOKUP(D26,'G-6 Hedgerow Data'!$B$1:$AH$15,33,FALSE))</f>
        <v/>
      </c>
      <c r="N26" s="513" t="str">
        <f t="shared" si="2"/>
        <v/>
      </c>
      <c r="O26" s="40"/>
      <c r="P26" s="145"/>
      <c r="Q26" s="157"/>
      <c r="R26" s="507" t="str">
        <f t="shared" si="3"/>
        <v/>
      </c>
      <c r="S26" s="507" t="str">
        <f t="shared" si="4"/>
        <v/>
      </c>
      <c r="T26" s="511" t="str">
        <f t="shared" si="5"/>
        <v/>
      </c>
      <c r="U26" s="515"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8" x14ac:dyDescent="0.25">
      <c r="B27" s="141">
        <v>18</v>
      </c>
      <c r="C27" s="203"/>
      <c r="D27" s="203"/>
      <c r="E27" s="153"/>
      <c r="F27" s="498" t="str">
        <f>IF(D27="","",VLOOKUP(D27,'G-6 Hedgerow Data'!$B$2:$AG$15,2,FALSE))</f>
        <v/>
      </c>
      <c r="G27" s="499" t="str">
        <f>IF(D27="","",VLOOKUP(D27,'G-6 Hedgerow Data'!$B$2:$AG$15,3,FALSE))</f>
        <v/>
      </c>
      <c r="H27" s="145"/>
      <c r="I27" s="499" t="str">
        <f>IFERROR(IF(AND(F27="V.Low",OR(H27="Good",H27="Moderate")),"Error ▲",VLOOKUP(H27,'G-1 All Habitats'!$Z$2:$AA$9,2,FALSE)),"")</f>
        <v/>
      </c>
      <c r="J27" s="154"/>
      <c r="K27" s="520" t="str">
        <f>IF(J27="","",IF(VLOOKUP(J27,'G-3 Multipliers'!$L$3:$N$6,2,FALSE)=0,"Spatial Data Missing ⚠",VLOOKUP(J27,'G-3 Multipliers'!$L$3:$N$6,2,FALSE)))</f>
        <v/>
      </c>
      <c r="L27" s="524" t="str">
        <f>IF(J27="","",IF(VLOOKUP(J27,'G-3 Multipliers'!$L$3:$N$6,3,FALSE)=0,"Spatial Data Missing ⚠",VLOOKUP(J27,'G-3 Multipliers'!$L$3:$N$6,3,FALSE)))</f>
        <v/>
      </c>
      <c r="M27" s="506" t="str">
        <f>IF(D27="","",VLOOKUP(D27,'G-6 Hedgerow Data'!$B$1:$AH$15,33,FALSE))</f>
        <v/>
      </c>
      <c r="N27" s="513" t="str">
        <f t="shared" si="2"/>
        <v/>
      </c>
      <c r="O27" s="40"/>
      <c r="P27" s="145"/>
      <c r="Q27" s="157"/>
      <c r="R27" s="507" t="str">
        <f t="shared" si="3"/>
        <v/>
      </c>
      <c r="S27" s="507" t="str">
        <f t="shared" si="4"/>
        <v/>
      </c>
      <c r="T27" s="511" t="str">
        <f t="shared" si="5"/>
        <v/>
      </c>
      <c r="U27" s="515"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8" x14ac:dyDescent="0.25">
      <c r="B28" s="141">
        <v>19</v>
      </c>
      <c r="C28" s="203"/>
      <c r="D28" s="203"/>
      <c r="E28" s="153"/>
      <c r="F28" s="498" t="str">
        <f>IF(D28="","",VLOOKUP(D28,'G-6 Hedgerow Data'!$B$2:$AG$15,2,FALSE))</f>
        <v/>
      </c>
      <c r="G28" s="499" t="str">
        <f>IF(D28="","",VLOOKUP(D28,'G-6 Hedgerow Data'!$B$2:$AG$15,3,FALSE))</f>
        <v/>
      </c>
      <c r="H28" s="145"/>
      <c r="I28" s="499" t="str">
        <f>IFERROR(IF(AND(F28="V.Low",OR(H28="Good",H28="Moderate")),"Error ▲",VLOOKUP(H28,'G-1 All Habitats'!$Z$2:$AA$9,2,FALSE)),"")</f>
        <v/>
      </c>
      <c r="J28" s="154"/>
      <c r="K28" s="520" t="str">
        <f>IF(J28="","",IF(VLOOKUP(J28,'G-3 Multipliers'!$L$3:$N$6,2,FALSE)=0,"Spatial Data Missing ⚠",VLOOKUP(J28,'G-3 Multipliers'!$L$3:$N$6,2,FALSE)))</f>
        <v/>
      </c>
      <c r="L28" s="524" t="str">
        <f>IF(J28="","",IF(VLOOKUP(J28,'G-3 Multipliers'!$L$3:$N$6,3,FALSE)=0,"Spatial Data Missing ⚠",VLOOKUP(J28,'G-3 Multipliers'!$L$3:$N$6,3,FALSE)))</f>
        <v/>
      </c>
      <c r="M28" s="506" t="str">
        <f>IF(D28="","",VLOOKUP(D28,'G-6 Hedgerow Data'!$B$1:$AH$15,33,FALSE))</f>
        <v/>
      </c>
      <c r="N28" s="513" t="str">
        <f t="shared" si="2"/>
        <v/>
      </c>
      <c r="O28" s="40"/>
      <c r="P28" s="145"/>
      <c r="Q28" s="157"/>
      <c r="R28" s="507" t="str">
        <f t="shared" si="3"/>
        <v/>
      </c>
      <c r="S28" s="507" t="str">
        <f t="shared" si="4"/>
        <v/>
      </c>
      <c r="T28" s="511" t="str">
        <f t="shared" si="5"/>
        <v/>
      </c>
      <c r="U28" s="515"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8" x14ac:dyDescent="0.25">
      <c r="B29" s="141">
        <v>20</v>
      </c>
      <c r="C29" s="203"/>
      <c r="D29" s="203"/>
      <c r="E29" s="153"/>
      <c r="F29" s="498" t="str">
        <f>IF(D29="","",VLOOKUP(D29,'G-6 Hedgerow Data'!$B$2:$AG$15,2,FALSE))</f>
        <v/>
      </c>
      <c r="G29" s="499" t="str">
        <f>IF(D29="","",VLOOKUP(D29,'G-6 Hedgerow Data'!$B$2:$AG$15,3,FALSE))</f>
        <v/>
      </c>
      <c r="H29" s="145"/>
      <c r="I29" s="499" t="str">
        <f>IFERROR(IF(AND(F29="V.Low",OR(H29="Good",H29="Moderate")),"Error ▲",VLOOKUP(H29,'G-1 All Habitats'!$Z$2:$AA$9,2,FALSE)),"")</f>
        <v/>
      </c>
      <c r="J29" s="154"/>
      <c r="K29" s="520" t="str">
        <f>IF(J29="","",IF(VLOOKUP(J29,'G-3 Multipliers'!$L$3:$N$6,2,FALSE)=0,"Spatial Data Missing ⚠",VLOOKUP(J29,'G-3 Multipliers'!$L$3:$N$6,2,FALSE)))</f>
        <v/>
      </c>
      <c r="L29" s="524" t="str">
        <f>IF(J29="","",IF(VLOOKUP(J29,'G-3 Multipliers'!$L$3:$N$6,3,FALSE)=0,"Spatial Data Missing ⚠",VLOOKUP(J29,'G-3 Multipliers'!$L$3:$N$6,3,FALSE)))</f>
        <v/>
      </c>
      <c r="M29" s="506" t="str">
        <f>IF(D29="","",VLOOKUP(D29,'G-6 Hedgerow Data'!$B$1:$AH$15,33,FALSE))</f>
        <v/>
      </c>
      <c r="N29" s="513" t="str">
        <f t="shared" si="2"/>
        <v/>
      </c>
      <c r="O29" s="40"/>
      <c r="P29" s="145"/>
      <c r="Q29" s="157"/>
      <c r="R29" s="507" t="str">
        <f t="shared" si="3"/>
        <v/>
      </c>
      <c r="S29" s="507" t="str">
        <f t="shared" si="4"/>
        <v/>
      </c>
      <c r="T29" s="511" t="str">
        <f t="shared" si="5"/>
        <v/>
      </c>
      <c r="U29" s="515"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8" x14ac:dyDescent="0.25">
      <c r="B30" s="141">
        <v>21</v>
      </c>
      <c r="C30" s="203"/>
      <c r="D30" s="203"/>
      <c r="E30" s="153"/>
      <c r="F30" s="498" t="str">
        <f>IF(D30="","",VLOOKUP(D30,'G-6 Hedgerow Data'!$B$2:$AG$15,2,FALSE))</f>
        <v/>
      </c>
      <c r="G30" s="499" t="str">
        <f>IF(D30="","",VLOOKUP(D30,'G-6 Hedgerow Data'!$B$2:$AG$15,3,FALSE))</f>
        <v/>
      </c>
      <c r="H30" s="145"/>
      <c r="I30" s="499" t="str">
        <f>IFERROR(IF(AND(F30="V.Low",OR(H30="Good",H30="Moderate")),"Error ▲",VLOOKUP(H30,'G-1 All Habitats'!$Z$2:$AA$9,2,FALSE)),"")</f>
        <v/>
      </c>
      <c r="J30" s="154"/>
      <c r="K30" s="520" t="str">
        <f>IF(J30="","",IF(VLOOKUP(J30,'G-3 Multipliers'!$L$3:$N$6,2,FALSE)=0,"Spatial Data Missing ⚠",VLOOKUP(J30,'G-3 Multipliers'!$L$3:$N$6,2,FALSE)))</f>
        <v/>
      </c>
      <c r="L30" s="524" t="str">
        <f>IF(J30="","",IF(VLOOKUP(J30,'G-3 Multipliers'!$L$3:$N$6,3,FALSE)=0,"Spatial Data Missing ⚠",VLOOKUP(J30,'G-3 Multipliers'!$L$3:$N$6,3,FALSE)))</f>
        <v/>
      </c>
      <c r="M30" s="506" t="str">
        <f>IF(D30="","",VLOOKUP(D30,'G-6 Hedgerow Data'!$B$1:$AH$15,33,FALSE))</f>
        <v/>
      </c>
      <c r="N30" s="513" t="str">
        <f t="shared" si="2"/>
        <v/>
      </c>
      <c r="O30" s="40"/>
      <c r="P30" s="145"/>
      <c r="Q30" s="157"/>
      <c r="R30" s="507" t="str">
        <f t="shared" si="3"/>
        <v/>
      </c>
      <c r="S30" s="507" t="str">
        <f t="shared" si="4"/>
        <v/>
      </c>
      <c r="T30" s="511" t="str">
        <f t="shared" si="5"/>
        <v/>
      </c>
      <c r="U30" s="515"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8" x14ac:dyDescent="0.25">
      <c r="B31" s="141">
        <v>22</v>
      </c>
      <c r="C31" s="203"/>
      <c r="D31" s="203"/>
      <c r="E31" s="153"/>
      <c r="F31" s="498" t="str">
        <f>IF(D31="","",VLOOKUP(D31,'G-6 Hedgerow Data'!$B$2:$AG$15,2,FALSE))</f>
        <v/>
      </c>
      <c r="G31" s="499" t="str">
        <f>IF(D31="","",VLOOKUP(D31,'G-6 Hedgerow Data'!$B$2:$AG$15,3,FALSE))</f>
        <v/>
      </c>
      <c r="H31" s="145"/>
      <c r="I31" s="499" t="str">
        <f>IFERROR(IF(AND(F31="V.Low",OR(H31="Good",H31="Moderate")),"Error ▲",VLOOKUP(H31,'G-1 All Habitats'!$Z$2:$AA$9,2,FALSE)),"")</f>
        <v/>
      </c>
      <c r="J31" s="154"/>
      <c r="K31" s="520" t="str">
        <f>IF(J31="","",IF(VLOOKUP(J31,'G-3 Multipliers'!$L$3:$N$6,2,FALSE)=0,"Spatial Data Missing ⚠",VLOOKUP(J31,'G-3 Multipliers'!$L$3:$N$6,2,FALSE)))</f>
        <v/>
      </c>
      <c r="L31" s="524" t="str">
        <f>IF(J31="","",IF(VLOOKUP(J31,'G-3 Multipliers'!$L$3:$N$6,3,FALSE)=0,"Spatial Data Missing ⚠",VLOOKUP(J31,'G-3 Multipliers'!$L$3:$N$6,3,FALSE)))</f>
        <v/>
      </c>
      <c r="M31" s="506" t="str">
        <f>IF(D31="","",VLOOKUP(D31,'G-6 Hedgerow Data'!$B$1:$AH$15,33,FALSE))</f>
        <v/>
      </c>
      <c r="N31" s="513" t="str">
        <f t="shared" si="2"/>
        <v/>
      </c>
      <c r="O31" s="40"/>
      <c r="P31" s="145"/>
      <c r="Q31" s="157"/>
      <c r="R31" s="507" t="str">
        <f t="shared" si="3"/>
        <v/>
      </c>
      <c r="S31" s="507" t="str">
        <f t="shared" si="4"/>
        <v/>
      </c>
      <c r="T31" s="511" t="str">
        <f t="shared" si="5"/>
        <v/>
      </c>
      <c r="U31" s="515"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8" x14ac:dyDescent="0.25">
      <c r="B32" s="141">
        <v>23</v>
      </c>
      <c r="C32" s="203"/>
      <c r="D32" s="203"/>
      <c r="E32" s="153"/>
      <c r="F32" s="498" t="str">
        <f>IF(D32="","",VLOOKUP(D32,'G-6 Hedgerow Data'!$B$2:$AG$15,2,FALSE))</f>
        <v/>
      </c>
      <c r="G32" s="499" t="str">
        <f>IF(D32="","",VLOOKUP(D32,'G-6 Hedgerow Data'!$B$2:$AG$15,3,FALSE))</f>
        <v/>
      </c>
      <c r="H32" s="145"/>
      <c r="I32" s="499" t="str">
        <f>IFERROR(IF(AND(F32="V.Low",OR(H32="Good",H32="Moderate")),"Error ▲",VLOOKUP(H32,'G-1 All Habitats'!$Z$2:$AA$9,2,FALSE)),"")</f>
        <v/>
      </c>
      <c r="J32" s="154"/>
      <c r="K32" s="520" t="str">
        <f>IF(J32="","",IF(VLOOKUP(J32,'G-3 Multipliers'!$L$3:$N$6,2,FALSE)=0,"Spatial Data Missing ⚠",VLOOKUP(J32,'G-3 Multipliers'!$L$3:$N$6,2,FALSE)))</f>
        <v/>
      </c>
      <c r="L32" s="524" t="str">
        <f>IF(J32="","",IF(VLOOKUP(J32,'G-3 Multipliers'!$L$3:$N$6,3,FALSE)=0,"Spatial Data Missing ⚠",VLOOKUP(J32,'G-3 Multipliers'!$L$3:$N$6,3,FALSE)))</f>
        <v/>
      </c>
      <c r="M32" s="506" t="str">
        <f>IF(D32="","",VLOOKUP(D32,'G-6 Hedgerow Data'!$B$1:$AH$15,33,FALSE))</f>
        <v/>
      </c>
      <c r="N32" s="513" t="str">
        <f t="shared" si="2"/>
        <v/>
      </c>
      <c r="O32" s="40"/>
      <c r="P32" s="145"/>
      <c r="Q32" s="157"/>
      <c r="R32" s="507" t="str">
        <f t="shared" si="3"/>
        <v/>
      </c>
      <c r="S32" s="507" t="str">
        <f t="shared" si="4"/>
        <v/>
      </c>
      <c r="T32" s="511" t="str">
        <f t="shared" si="5"/>
        <v/>
      </c>
      <c r="U32" s="515"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8" x14ac:dyDescent="0.25">
      <c r="B33" s="141">
        <v>24</v>
      </c>
      <c r="C33" s="203"/>
      <c r="D33" s="203"/>
      <c r="E33" s="153"/>
      <c r="F33" s="498" t="str">
        <f>IF(D33="","",VLOOKUP(D33,'G-6 Hedgerow Data'!$B$2:$AG$15,2,FALSE))</f>
        <v/>
      </c>
      <c r="G33" s="499" t="str">
        <f>IF(D33="","",VLOOKUP(D33,'G-6 Hedgerow Data'!$B$2:$AG$15,3,FALSE))</f>
        <v/>
      </c>
      <c r="H33" s="145"/>
      <c r="I33" s="499" t="str">
        <f>IFERROR(IF(AND(F33="V.Low",OR(H33="Good",H33="Moderate")),"Error ▲",VLOOKUP(H33,'G-1 All Habitats'!$Z$2:$AA$9,2,FALSE)),"")</f>
        <v/>
      </c>
      <c r="J33" s="154"/>
      <c r="K33" s="520" t="str">
        <f>IF(J33="","",IF(VLOOKUP(J33,'G-3 Multipliers'!$L$3:$N$6,2,FALSE)=0,"Spatial Data Missing ⚠",VLOOKUP(J33,'G-3 Multipliers'!$L$3:$N$6,2,FALSE)))</f>
        <v/>
      </c>
      <c r="L33" s="524" t="str">
        <f>IF(J33="","",IF(VLOOKUP(J33,'G-3 Multipliers'!$L$3:$N$6,3,FALSE)=0,"Spatial Data Missing ⚠",VLOOKUP(J33,'G-3 Multipliers'!$L$3:$N$6,3,FALSE)))</f>
        <v/>
      </c>
      <c r="M33" s="506" t="str">
        <f>IF(D33="","",VLOOKUP(D33,'G-6 Hedgerow Data'!$B$1:$AH$15,33,FALSE))</f>
        <v/>
      </c>
      <c r="N33" s="513" t="str">
        <f t="shared" si="2"/>
        <v/>
      </c>
      <c r="O33" s="40"/>
      <c r="P33" s="145"/>
      <c r="Q33" s="157"/>
      <c r="R33" s="507" t="str">
        <f t="shared" si="3"/>
        <v/>
      </c>
      <c r="S33" s="507" t="str">
        <f t="shared" si="4"/>
        <v/>
      </c>
      <c r="T33" s="511" t="str">
        <f t="shared" si="5"/>
        <v/>
      </c>
      <c r="U33" s="515"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8" x14ac:dyDescent="0.25">
      <c r="B34" s="141">
        <v>25</v>
      </c>
      <c r="C34" s="203"/>
      <c r="D34" s="203"/>
      <c r="E34" s="153"/>
      <c r="F34" s="498" t="str">
        <f>IF(D34="","",VLOOKUP(D34,'G-6 Hedgerow Data'!$B$2:$AG$15,2,FALSE))</f>
        <v/>
      </c>
      <c r="G34" s="499" t="str">
        <f>IF(D34="","",VLOOKUP(D34,'G-6 Hedgerow Data'!$B$2:$AG$15,3,FALSE))</f>
        <v/>
      </c>
      <c r="H34" s="145"/>
      <c r="I34" s="499" t="str">
        <f>IFERROR(IF(AND(F34="V.Low",OR(H34="Good",H34="Moderate")),"Error ▲",VLOOKUP(H34,'G-1 All Habitats'!$Z$2:$AA$9,2,FALSE)),"")</f>
        <v/>
      </c>
      <c r="J34" s="154"/>
      <c r="K34" s="520" t="str">
        <f>IF(J34="","",IF(VLOOKUP(J34,'G-3 Multipliers'!$L$3:$N$6,2,FALSE)=0,"Spatial Data Missing ⚠",VLOOKUP(J34,'G-3 Multipliers'!$L$3:$N$6,2,FALSE)))</f>
        <v/>
      </c>
      <c r="L34" s="524" t="str">
        <f>IF(J34="","",IF(VLOOKUP(J34,'G-3 Multipliers'!$L$3:$N$6,3,FALSE)=0,"Spatial Data Missing ⚠",VLOOKUP(J34,'G-3 Multipliers'!$L$3:$N$6,3,FALSE)))</f>
        <v/>
      </c>
      <c r="M34" s="506" t="str">
        <f>IF(D34="","",VLOOKUP(D34,'G-6 Hedgerow Data'!$B$1:$AH$15,33,FALSE))</f>
        <v/>
      </c>
      <c r="N34" s="513" t="str">
        <f t="shared" si="2"/>
        <v/>
      </c>
      <c r="O34" s="40"/>
      <c r="P34" s="145"/>
      <c r="Q34" s="157"/>
      <c r="R34" s="507" t="str">
        <f t="shared" si="3"/>
        <v/>
      </c>
      <c r="S34" s="507" t="str">
        <f t="shared" si="4"/>
        <v/>
      </c>
      <c r="T34" s="511" t="str">
        <f t="shared" si="5"/>
        <v/>
      </c>
      <c r="U34" s="515"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8" x14ac:dyDescent="0.25">
      <c r="B35" s="141">
        <v>26</v>
      </c>
      <c r="C35" s="203"/>
      <c r="D35" s="203"/>
      <c r="E35" s="153"/>
      <c r="F35" s="498" t="str">
        <f>IF(D35="","",VLOOKUP(D35,'G-6 Hedgerow Data'!$B$2:$AG$15,2,FALSE))</f>
        <v/>
      </c>
      <c r="G35" s="499" t="str">
        <f>IF(D35="","",VLOOKUP(D35,'G-6 Hedgerow Data'!$B$2:$AG$15,3,FALSE))</f>
        <v/>
      </c>
      <c r="H35" s="145"/>
      <c r="I35" s="499" t="str">
        <f>IFERROR(IF(AND(F35="V.Low",OR(H35="Good",H35="Moderate")),"Error ▲",VLOOKUP(H35,'G-1 All Habitats'!$Z$2:$AA$9,2,FALSE)),"")</f>
        <v/>
      </c>
      <c r="J35" s="154"/>
      <c r="K35" s="520" t="str">
        <f>IF(J35="","",IF(VLOOKUP(J35,'G-3 Multipliers'!$L$3:$N$6,2,FALSE)=0,"Spatial Data Missing ⚠",VLOOKUP(J35,'G-3 Multipliers'!$L$3:$N$6,2,FALSE)))</f>
        <v/>
      </c>
      <c r="L35" s="524" t="str">
        <f>IF(J35="","",IF(VLOOKUP(J35,'G-3 Multipliers'!$L$3:$N$6,3,FALSE)=0,"Spatial Data Missing ⚠",VLOOKUP(J35,'G-3 Multipliers'!$L$3:$N$6,3,FALSE)))</f>
        <v/>
      </c>
      <c r="M35" s="506" t="str">
        <f>IF(D35="","",VLOOKUP(D35,'G-6 Hedgerow Data'!$B$1:$AH$15,33,FALSE))</f>
        <v/>
      </c>
      <c r="N35" s="513" t="str">
        <f t="shared" si="2"/>
        <v/>
      </c>
      <c r="O35" s="40"/>
      <c r="P35" s="145"/>
      <c r="Q35" s="157"/>
      <c r="R35" s="507" t="str">
        <f t="shared" si="3"/>
        <v/>
      </c>
      <c r="S35" s="507" t="str">
        <f t="shared" si="4"/>
        <v/>
      </c>
      <c r="T35" s="511" t="str">
        <f t="shared" si="5"/>
        <v/>
      </c>
      <c r="U35" s="515"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8" x14ac:dyDescent="0.25">
      <c r="B36" s="141">
        <v>27</v>
      </c>
      <c r="C36" s="203"/>
      <c r="D36" s="203"/>
      <c r="E36" s="153"/>
      <c r="F36" s="498" t="str">
        <f>IF(D36="","",VLOOKUP(D36,'G-6 Hedgerow Data'!$B$2:$AG$15,2,FALSE))</f>
        <v/>
      </c>
      <c r="G36" s="499" t="str">
        <f>IF(D36="","",VLOOKUP(D36,'G-6 Hedgerow Data'!$B$2:$AG$15,3,FALSE))</f>
        <v/>
      </c>
      <c r="H36" s="145"/>
      <c r="I36" s="499" t="str">
        <f>IFERROR(IF(AND(F36="V.Low",OR(H36="Good",H36="Moderate")),"Error ▲",VLOOKUP(H36,'G-1 All Habitats'!$Z$2:$AA$9,2,FALSE)),"")</f>
        <v/>
      </c>
      <c r="J36" s="154"/>
      <c r="K36" s="520" t="str">
        <f>IF(J36="","",IF(VLOOKUP(J36,'G-3 Multipliers'!$L$3:$N$6,2,FALSE)=0,"Spatial Data Missing ⚠",VLOOKUP(J36,'G-3 Multipliers'!$L$3:$N$6,2,FALSE)))</f>
        <v/>
      </c>
      <c r="L36" s="524" t="str">
        <f>IF(J36="","",IF(VLOOKUP(J36,'G-3 Multipliers'!$L$3:$N$6,3,FALSE)=0,"Spatial Data Missing ⚠",VLOOKUP(J36,'G-3 Multipliers'!$L$3:$N$6,3,FALSE)))</f>
        <v/>
      </c>
      <c r="M36" s="506" t="str">
        <f>IF(D36="","",VLOOKUP(D36,'G-6 Hedgerow Data'!$B$1:$AH$15,33,FALSE))</f>
        <v/>
      </c>
      <c r="N36" s="513" t="str">
        <f t="shared" si="2"/>
        <v/>
      </c>
      <c r="O36" s="40"/>
      <c r="P36" s="145"/>
      <c r="Q36" s="157"/>
      <c r="R36" s="507" t="str">
        <f t="shared" si="3"/>
        <v/>
      </c>
      <c r="S36" s="507" t="str">
        <f t="shared" si="4"/>
        <v/>
      </c>
      <c r="T36" s="511" t="str">
        <f t="shared" si="5"/>
        <v/>
      </c>
      <c r="U36" s="515"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8" x14ac:dyDescent="0.25">
      <c r="B37" s="141">
        <v>28</v>
      </c>
      <c r="C37" s="203"/>
      <c r="D37" s="203"/>
      <c r="E37" s="153"/>
      <c r="F37" s="498" t="str">
        <f>IF(D37="","",VLOOKUP(D37,'G-6 Hedgerow Data'!$B$2:$AG$15,2,FALSE))</f>
        <v/>
      </c>
      <c r="G37" s="499" t="str">
        <f>IF(D37="","",VLOOKUP(D37,'G-6 Hedgerow Data'!$B$2:$AG$15,3,FALSE))</f>
        <v/>
      </c>
      <c r="H37" s="145"/>
      <c r="I37" s="499" t="str">
        <f>IFERROR(IF(AND(F37="V.Low",OR(H37="Good",H37="Moderate")),"Error ▲",VLOOKUP(H37,'G-1 All Habitats'!$Z$2:$AA$9,2,FALSE)),"")</f>
        <v/>
      </c>
      <c r="J37" s="154"/>
      <c r="K37" s="520" t="str">
        <f>IF(J37="","",IF(VLOOKUP(J37,'G-3 Multipliers'!$L$3:$N$6,2,FALSE)=0,"Spatial Data Missing ⚠",VLOOKUP(J37,'G-3 Multipliers'!$L$3:$N$6,2,FALSE)))</f>
        <v/>
      </c>
      <c r="L37" s="524" t="str">
        <f>IF(J37="","",IF(VLOOKUP(J37,'G-3 Multipliers'!$L$3:$N$6,3,FALSE)=0,"Spatial Data Missing ⚠",VLOOKUP(J37,'G-3 Multipliers'!$L$3:$N$6,3,FALSE)))</f>
        <v/>
      </c>
      <c r="M37" s="506" t="str">
        <f>IF(D37="","",VLOOKUP(D37,'G-6 Hedgerow Data'!$B$1:$AH$15,33,FALSE))</f>
        <v/>
      </c>
      <c r="N37" s="513" t="str">
        <f t="shared" si="2"/>
        <v/>
      </c>
      <c r="O37" s="40"/>
      <c r="P37" s="145"/>
      <c r="Q37" s="157"/>
      <c r="R37" s="507" t="str">
        <f t="shared" si="3"/>
        <v/>
      </c>
      <c r="S37" s="507" t="str">
        <f t="shared" si="4"/>
        <v/>
      </c>
      <c r="T37" s="511" t="str">
        <f t="shared" si="5"/>
        <v/>
      </c>
      <c r="U37" s="515"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8" x14ac:dyDescent="0.25">
      <c r="B38" s="141">
        <v>29</v>
      </c>
      <c r="C38" s="203"/>
      <c r="D38" s="203"/>
      <c r="E38" s="153"/>
      <c r="F38" s="498" t="str">
        <f>IF(D38="","",VLOOKUP(D38,'G-6 Hedgerow Data'!$B$2:$AG$15,2,FALSE))</f>
        <v/>
      </c>
      <c r="G38" s="499" t="str">
        <f>IF(D38="","",VLOOKUP(D38,'G-6 Hedgerow Data'!$B$2:$AG$15,3,FALSE))</f>
        <v/>
      </c>
      <c r="H38" s="145"/>
      <c r="I38" s="499" t="str">
        <f>IFERROR(IF(AND(F38="V.Low",OR(H38="Good",H38="Moderate")),"Error ▲",VLOOKUP(H38,'G-1 All Habitats'!$Z$2:$AA$9,2,FALSE)),"")</f>
        <v/>
      </c>
      <c r="J38" s="154"/>
      <c r="K38" s="520" t="str">
        <f>IF(J38="","",IF(VLOOKUP(J38,'G-3 Multipliers'!$L$3:$N$6,2,FALSE)=0,"Spatial Data Missing ⚠",VLOOKUP(J38,'G-3 Multipliers'!$L$3:$N$6,2,FALSE)))</f>
        <v/>
      </c>
      <c r="L38" s="524" t="str">
        <f>IF(J38="","",IF(VLOOKUP(J38,'G-3 Multipliers'!$L$3:$N$6,3,FALSE)=0,"Spatial Data Missing ⚠",VLOOKUP(J38,'G-3 Multipliers'!$L$3:$N$6,3,FALSE)))</f>
        <v/>
      </c>
      <c r="M38" s="506" t="str">
        <f>IF(D38="","",VLOOKUP(D38,'G-6 Hedgerow Data'!$B$1:$AH$15,33,FALSE))</f>
        <v/>
      </c>
      <c r="N38" s="513" t="str">
        <f t="shared" si="2"/>
        <v/>
      </c>
      <c r="O38" s="40"/>
      <c r="P38" s="145"/>
      <c r="Q38" s="157"/>
      <c r="R38" s="507" t="str">
        <f t="shared" si="3"/>
        <v/>
      </c>
      <c r="S38" s="507" t="str">
        <f t="shared" si="4"/>
        <v/>
      </c>
      <c r="T38" s="511" t="str">
        <f t="shared" si="5"/>
        <v/>
      </c>
      <c r="U38" s="515"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8" x14ac:dyDescent="0.25">
      <c r="B39" s="141">
        <v>30</v>
      </c>
      <c r="C39" s="203"/>
      <c r="D39" s="203"/>
      <c r="E39" s="153"/>
      <c r="F39" s="498" t="str">
        <f>IF(D39="","",VLOOKUP(D39,'G-6 Hedgerow Data'!$B$2:$AG$15,2,FALSE))</f>
        <v/>
      </c>
      <c r="G39" s="499" t="str">
        <f>IF(D39="","",VLOOKUP(D39,'G-6 Hedgerow Data'!$B$2:$AG$15,3,FALSE))</f>
        <v/>
      </c>
      <c r="H39" s="145"/>
      <c r="I39" s="499" t="str">
        <f>IFERROR(IF(AND(F39="V.Low",OR(H39="Good",H39="Moderate")),"Error ▲",VLOOKUP(H39,'G-1 All Habitats'!$Z$2:$AA$9,2,FALSE)),"")</f>
        <v/>
      </c>
      <c r="J39" s="154"/>
      <c r="K39" s="520" t="str">
        <f>IF(J39="","",IF(VLOOKUP(J39,'G-3 Multipliers'!$L$3:$N$6,2,FALSE)=0,"Spatial Data Missing ⚠",VLOOKUP(J39,'G-3 Multipliers'!$L$3:$N$6,2,FALSE)))</f>
        <v/>
      </c>
      <c r="L39" s="524" t="str">
        <f>IF(J39="","",IF(VLOOKUP(J39,'G-3 Multipliers'!$L$3:$N$6,3,FALSE)=0,"Spatial Data Missing ⚠",VLOOKUP(J39,'G-3 Multipliers'!$L$3:$N$6,3,FALSE)))</f>
        <v/>
      </c>
      <c r="M39" s="506" t="str">
        <f>IF(D39="","",VLOOKUP(D39,'G-6 Hedgerow Data'!$B$1:$AH$15,33,FALSE))</f>
        <v/>
      </c>
      <c r="N39" s="513" t="str">
        <f t="shared" si="2"/>
        <v/>
      </c>
      <c r="O39" s="40"/>
      <c r="P39" s="145"/>
      <c r="Q39" s="157"/>
      <c r="R39" s="507" t="str">
        <f t="shared" si="3"/>
        <v/>
      </c>
      <c r="S39" s="507" t="str">
        <f t="shared" si="4"/>
        <v/>
      </c>
      <c r="T39" s="511" t="str">
        <f t="shared" si="5"/>
        <v/>
      </c>
      <c r="U39" s="515"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8" x14ac:dyDescent="0.25">
      <c r="B40" s="141">
        <v>31</v>
      </c>
      <c r="C40" s="203"/>
      <c r="D40" s="203"/>
      <c r="E40" s="153"/>
      <c r="F40" s="498" t="str">
        <f>IF(D40="","",VLOOKUP(D40,'G-6 Hedgerow Data'!$B$2:$AG$15,2,FALSE))</f>
        <v/>
      </c>
      <c r="G40" s="499" t="str">
        <f>IF(D40="","",VLOOKUP(D40,'G-6 Hedgerow Data'!$B$2:$AG$15,3,FALSE))</f>
        <v/>
      </c>
      <c r="H40" s="145"/>
      <c r="I40" s="499" t="str">
        <f>IFERROR(IF(AND(F40="V.Low",OR(H40="Good",H40="Moderate")),"Error ▲",VLOOKUP(H40,'G-1 All Habitats'!$Z$2:$AA$9,2,FALSE)),"")</f>
        <v/>
      </c>
      <c r="J40" s="154"/>
      <c r="K40" s="520" t="str">
        <f>IF(J40="","",IF(VLOOKUP(J40,'G-3 Multipliers'!$L$3:$N$6,2,FALSE)=0,"Spatial Data Missing ⚠",VLOOKUP(J40,'G-3 Multipliers'!$L$3:$N$6,2,FALSE)))</f>
        <v/>
      </c>
      <c r="L40" s="524" t="str">
        <f>IF(J40="","",IF(VLOOKUP(J40,'G-3 Multipliers'!$L$3:$N$6,3,FALSE)=0,"Spatial Data Missing ⚠",VLOOKUP(J40,'G-3 Multipliers'!$L$3:$N$6,3,FALSE)))</f>
        <v/>
      </c>
      <c r="M40" s="506" t="str">
        <f>IF(D40="","",VLOOKUP(D40,'G-6 Hedgerow Data'!$B$1:$AH$15,33,FALSE))</f>
        <v/>
      </c>
      <c r="N40" s="513" t="str">
        <f t="shared" si="2"/>
        <v/>
      </c>
      <c r="O40" s="40"/>
      <c r="P40" s="145"/>
      <c r="Q40" s="157"/>
      <c r="R40" s="507" t="str">
        <f t="shared" si="3"/>
        <v/>
      </c>
      <c r="S40" s="507" t="str">
        <f t="shared" si="4"/>
        <v/>
      </c>
      <c r="T40" s="511" t="str">
        <f t="shared" si="5"/>
        <v/>
      </c>
      <c r="U40" s="515"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8" x14ac:dyDescent="0.25">
      <c r="B41" s="141">
        <v>32</v>
      </c>
      <c r="C41" s="203"/>
      <c r="D41" s="203"/>
      <c r="E41" s="153"/>
      <c r="F41" s="498" t="str">
        <f>IF(D41="","",VLOOKUP(D41,'G-6 Hedgerow Data'!$B$2:$AG$15,2,FALSE))</f>
        <v/>
      </c>
      <c r="G41" s="499" t="str">
        <f>IF(D41="","",VLOOKUP(D41,'G-6 Hedgerow Data'!$B$2:$AG$15,3,FALSE))</f>
        <v/>
      </c>
      <c r="H41" s="145"/>
      <c r="I41" s="499" t="str">
        <f>IFERROR(IF(AND(F41="V.Low",OR(H41="Good",H41="Moderate")),"Error ▲",VLOOKUP(H41,'G-1 All Habitats'!$Z$2:$AA$9,2,FALSE)),"")</f>
        <v/>
      </c>
      <c r="J41" s="154"/>
      <c r="K41" s="520" t="str">
        <f>IF(J41="","",IF(VLOOKUP(J41,'G-3 Multipliers'!$L$3:$N$6,2,FALSE)=0,"Spatial Data Missing ⚠",VLOOKUP(J41,'G-3 Multipliers'!$L$3:$N$6,2,FALSE)))</f>
        <v/>
      </c>
      <c r="L41" s="524" t="str">
        <f>IF(J41="","",IF(VLOOKUP(J41,'G-3 Multipliers'!$L$3:$N$6,3,FALSE)=0,"Spatial Data Missing ⚠",VLOOKUP(J41,'G-3 Multipliers'!$L$3:$N$6,3,FALSE)))</f>
        <v/>
      </c>
      <c r="M41" s="506" t="str">
        <f>IF(D41="","",VLOOKUP(D41,'G-6 Hedgerow Data'!$B$1:$AH$15,33,FALSE))</f>
        <v/>
      </c>
      <c r="N41" s="513" t="str">
        <f t="shared" si="2"/>
        <v/>
      </c>
      <c r="O41" s="40"/>
      <c r="P41" s="145"/>
      <c r="Q41" s="157"/>
      <c r="R41" s="507" t="str">
        <f t="shared" si="3"/>
        <v/>
      </c>
      <c r="S41" s="507" t="str">
        <f t="shared" si="4"/>
        <v/>
      </c>
      <c r="T41" s="511" t="str">
        <f t="shared" si="5"/>
        <v/>
      </c>
      <c r="U41" s="515"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8" x14ac:dyDescent="0.25">
      <c r="B42" s="141">
        <v>33</v>
      </c>
      <c r="C42" s="203"/>
      <c r="D42" s="203"/>
      <c r="E42" s="153"/>
      <c r="F42" s="498" t="str">
        <f>IF(D42="","",VLOOKUP(D42,'G-6 Hedgerow Data'!$B$2:$AG$15,2,FALSE))</f>
        <v/>
      </c>
      <c r="G42" s="499" t="str">
        <f>IF(D42="","",VLOOKUP(D42,'G-6 Hedgerow Data'!$B$2:$AG$15,3,FALSE))</f>
        <v/>
      </c>
      <c r="H42" s="145"/>
      <c r="I42" s="499" t="str">
        <f>IFERROR(IF(AND(F42="V.Low",OR(H42="Good",H42="Moderate")),"Error ▲",VLOOKUP(H42,'G-1 All Habitats'!$Z$2:$AA$9,2,FALSE)),"")</f>
        <v/>
      </c>
      <c r="J42" s="154"/>
      <c r="K42" s="520" t="str">
        <f>IF(J42="","",IF(VLOOKUP(J42,'G-3 Multipliers'!$L$3:$N$6,2,FALSE)=0,"Spatial Data Missing ⚠",VLOOKUP(J42,'G-3 Multipliers'!$L$3:$N$6,2,FALSE)))</f>
        <v/>
      </c>
      <c r="L42" s="524" t="str">
        <f>IF(J42="","",IF(VLOOKUP(J42,'G-3 Multipliers'!$L$3:$N$6,3,FALSE)=0,"Spatial Data Missing ⚠",VLOOKUP(J42,'G-3 Multipliers'!$L$3:$N$6,3,FALSE)))</f>
        <v/>
      </c>
      <c r="M42" s="506" t="str">
        <f>IF(D42="","",VLOOKUP(D42,'G-6 Hedgerow Data'!$B$1:$AH$15,33,FALSE))</f>
        <v/>
      </c>
      <c r="N42" s="513" t="str">
        <f t="shared" si="2"/>
        <v/>
      </c>
      <c r="O42" s="40"/>
      <c r="P42" s="145"/>
      <c r="Q42" s="157"/>
      <c r="R42" s="507" t="str">
        <f t="shared" si="3"/>
        <v/>
      </c>
      <c r="S42" s="507" t="str">
        <f t="shared" si="4"/>
        <v/>
      </c>
      <c r="T42" s="511" t="str">
        <f t="shared" si="5"/>
        <v/>
      </c>
      <c r="U42" s="515"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8" x14ac:dyDescent="0.25">
      <c r="B43" s="141">
        <v>34</v>
      </c>
      <c r="C43" s="203"/>
      <c r="D43" s="203"/>
      <c r="E43" s="153"/>
      <c r="F43" s="498" t="str">
        <f>IF(D43="","",VLOOKUP(D43,'G-6 Hedgerow Data'!$B$2:$AG$15,2,FALSE))</f>
        <v/>
      </c>
      <c r="G43" s="499" t="str">
        <f>IF(D43="","",VLOOKUP(D43,'G-6 Hedgerow Data'!$B$2:$AG$15,3,FALSE))</f>
        <v/>
      </c>
      <c r="H43" s="145"/>
      <c r="I43" s="499" t="str">
        <f>IFERROR(IF(AND(F43="V.Low",OR(H43="Good",H43="Moderate")),"Error ▲",VLOOKUP(H43,'G-1 All Habitats'!$Z$2:$AA$9,2,FALSE)),"")</f>
        <v/>
      </c>
      <c r="J43" s="154"/>
      <c r="K43" s="520" t="str">
        <f>IF(J43="","",IF(VLOOKUP(J43,'G-3 Multipliers'!$L$3:$N$6,2,FALSE)=0,"Spatial Data Missing ⚠",VLOOKUP(J43,'G-3 Multipliers'!$L$3:$N$6,2,FALSE)))</f>
        <v/>
      </c>
      <c r="L43" s="524" t="str">
        <f>IF(J43="","",IF(VLOOKUP(J43,'G-3 Multipliers'!$L$3:$N$6,3,FALSE)=0,"Spatial Data Missing ⚠",VLOOKUP(J43,'G-3 Multipliers'!$L$3:$N$6,3,FALSE)))</f>
        <v/>
      </c>
      <c r="M43" s="506" t="str">
        <f>IF(D43="","",VLOOKUP(D43,'G-6 Hedgerow Data'!$B$1:$AH$15,33,FALSE))</f>
        <v/>
      </c>
      <c r="N43" s="513" t="str">
        <f t="shared" si="2"/>
        <v/>
      </c>
      <c r="O43" s="40"/>
      <c r="P43" s="145"/>
      <c r="Q43" s="157"/>
      <c r="R43" s="507" t="str">
        <f t="shared" si="3"/>
        <v/>
      </c>
      <c r="S43" s="507" t="str">
        <f t="shared" si="4"/>
        <v/>
      </c>
      <c r="T43" s="511" t="str">
        <f t="shared" si="5"/>
        <v/>
      </c>
      <c r="U43" s="515"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8" x14ac:dyDescent="0.25">
      <c r="B44" s="141">
        <v>35</v>
      </c>
      <c r="C44" s="203"/>
      <c r="D44" s="203"/>
      <c r="E44" s="153"/>
      <c r="F44" s="498" t="str">
        <f>IF(D44="","",VLOOKUP(D44,'G-6 Hedgerow Data'!$B$2:$AG$15,2,FALSE))</f>
        <v/>
      </c>
      <c r="G44" s="499" t="str">
        <f>IF(D44="","",VLOOKUP(D44,'G-6 Hedgerow Data'!$B$2:$AG$15,3,FALSE))</f>
        <v/>
      </c>
      <c r="H44" s="145"/>
      <c r="I44" s="499" t="str">
        <f>IFERROR(IF(AND(F44="V.Low",OR(H44="Good",H44="Moderate")),"Error ▲",VLOOKUP(H44,'G-1 All Habitats'!$Z$2:$AA$9,2,FALSE)),"")</f>
        <v/>
      </c>
      <c r="J44" s="154"/>
      <c r="K44" s="520" t="str">
        <f>IF(J44="","",IF(VLOOKUP(J44,'G-3 Multipliers'!$L$3:$N$6,2,FALSE)=0,"Spatial Data Missing ⚠",VLOOKUP(J44,'G-3 Multipliers'!$L$3:$N$6,2,FALSE)))</f>
        <v/>
      </c>
      <c r="L44" s="524" t="str">
        <f>IF(J44="","",IF(VLOOKUP(J44,'G-3 Multipliers'!$L$3:$N$6,3,FALSE)=0,"Spatial Data Missing ⚠",VLOOKUP(J44,'G-3 Multipliers'!$L$3:$N$6,3,FALSE)))</f>
        <v/>
      </c>
      <c r="M44" s="506" t="str">
        <f>IF(D44="","",VLOOKUP(D44,'G-6 Hedgerow Data'!$B$1:$AH$15,33,FALSE))</f>
        <v/>
      </c>
      <c r="N44" s="513" t="str">
        <f t="shared" si="2"/>
        <v/>
      </c>
      <c r="O44" s="40"/>
      <c r="P44" s="145"/>
      <c r="Q44" s="157"/>
      <c r="R44" s="507" t="str">
        <f t="shared" si="3"/>
        <v/>
      </c>
      <c r="S44" s="507" t="str">
        <f t="shared" si="4"/>
        <v/>
      </c>
      <c r="T44" s="511" t="str">
        <f t="shared" si="5"/>
        <v/>
      </c>
      <c r="U44" s="515"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8" x14ac:dyDescent="0.25">
      <c r="B45" s="141">
        <v>36</v>
      </c>
      <c r="C45" s="203"/>
      <c r="D45" s="203"/>
      <c r="E45" s="153"/>
      <c r="F45" s="498" t="str">
        <f>IF(D45="","",VLOOKUP(D45,'G-6 Hedgerow Data'!$B$2:$AG$15,2,FALSE))</f>
        <v/>
      </c>
      <c r="G45" s="499" t="str">
        <f>IF(D45="","",VLOOKUP(D45,'G-6 Hedgerow Data'!$B$2:$AG$15,3,FALSE))</f>
        <v/>
      </c>
      <c r="H45" s="145"/>
      <c r="I45" s="499" t="str">
        <f>IFERROR(IF(AND(F45="V.Low",OR(H45="Good",H45="Moderate")),"Error ▲",VLOOKUP(H45,'G-1 All Habitats'!$Z$2:$AA$9,2,FALSE)),"")</f>
        <v/>
      </c>
      <c r="J45" s="154"/>
      <c r="K45" s="520" t="str">
        <f>IF(J45="","",IF(VLOOKUP(J45,'G-3 Multipliers'!$L$3:$N$6,2,FALSE)=0,"Spatial Data Missing ⚠",VLOOKUP(J45,'G-3 Multipliers'!$L$3:$N$6,2,FALSE)))</f>
        <v/>
      </c>
      <c r="L45" s="524" t="str">
        <f>IF(J45="","",IF(VLOOKUP(J45,'G-3 Multipliers'!$L$3:$N$6,3,FALSE)=0,"Spatial Data Missing ⚠",VLOOKUP(J45,'G-3 Multipliers'!$L$3:$N$6,3,FALSE)))</f>
        <v/>
      </c>
      <c r="M45" s="506" t="str">
        <f>IF(D45="","",VLOOKUP(D45,'G-6 Hedgerow Data'!$B$1:$AH$15,33,FALSE))</f>
        <v/>
      </c>
      <c r="N45" s="513" t="str">
        <f t="shared" si="2"/>
        <v/>
      </c>
      <c r="O45" s="40"/>
      <c r="P45" s="145"/>
      <c r="Q45" s="157"/>
      <c r="R45" s="507" t="str">
        <f t="shared" si="3"/>
        <v/>
      </c>
      <c r="S45" s="507" t="str">
        <f t="shared" si="4"/>
        <v/>
      </c>
      <c r="T45" s="511" t="str">
        <f t="shared" si="5"/>
        <v/>
      </c>
      <c r="U45" s="515"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8" x14ac:dyDescent="0.25">
      <c r="B46" s="141">
        <v>37</v>
      </c>
      <c r="C46" s="203"/>
      <c r="D46" s="203"/>
      <c r="E46" s="153"/>
      <c r="F46" s="498" t="str">
        <f>IF(D46="","",VLOOKUP(D46,'G-6 Hedgerow Data'!$B$2:$AG$15,2,FALSE))</f>
        <v/>
      </c>
      <c r="G46" s="499" t="str">
        <f>IF(D46="","",VLOOKUP(D46,'G-6 Hedgerow Data'!$B$2:$AG$15,3,FALSE))</f>
        <v/>
      </c>
      <c r="H46" s="145"/>
      <c r="I46" s="499" t="str">
        <f>IFERROR(IF(AND(F46="V.Low",OR(H46="Good",H46="Moderate")),"Error ▲",VLOOKUP(H46,'G-1 All Habitats'!$Z$2:$AA$9,2,FALSE)),"")</f>
        <v/>
      </c>
      <c r="J46" s="154"/>
      <c r="K46" s="520" t="str">
        <f>IF(J46="","",IF(VLOOKUP(J46,'G-3 Multipliers'!$L$3:$N$6,2,FALSE)=0,"Spatial Data Missing ⚠",VLOOKUP(J46,'G-3 Multipliers'!$L$3:$N$6,2,FALSE)))</f>
        <v/>
      </c>
      <c r="L46" s="524" t="str">
        <f>IF(J46="","",IF(VLOOKUP(J46,'G-3 Multipliers'!$L$3:$N$6,3,FALSE)=0,"Spatial Data Missing ⚠",VLOOKUP(J46,'G-3 Multipliers'!$L$3:$N$6,3,FALSE)))</f>
        <v/>
      </c>
      <c r="M46" s="506" t="str">
        <f>IF(D46="","",VLOOKUP(D46,'G-6 Hedgerow Data'!$B$1:$AH$15,33,FALSE))</f>
        <v/>
      </c>
      <c r="N46" s="513" t="str">
        <f t="shared" si="2"/>
        <v/>
      </c>
      <c r="O46" s="40"/>
      <c r="P46" s="145"/>
      <c r="Q46" s="157"/>
      <c r="R46" s="507" t="str">
        <f t="shared" si="3"/>
        <v/>
      </c>
      <c r="S46" s="507" t="str">
        <f t="shared" si="4"/>
        <v/>
      </c>
      <c r="T46" s="511" t="str">
        <f t="shared" si="5"/>
        <v/>
      </c>
      <c r="U46" s="515"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8" x14ac:dyDescent="0.25">
      <c r="B47" s="141">
        <v>38</v>
      </c>
      <c r="C47" s="203"/>
      <c r="D47" s="203"/>
      <c r="E47" s="153"/>
      <c r="F47" s="498" t="str">
        <f>IF(D47="","",VLOOKUP(D47,'G-6 Hedgerow Data'!$B$2:$AG$15,2,FALSE))</f>
        <v/>
      </c>
      <c r="G47" s="499" t="str">
        <f>IF(D47="","",VLOOKUP(D47,'G-6 Hedgerow Data'!$B$2:$AG$15,3,FALSE))</f>
        <v/>
      </c>
      <c r="H47" s="145"/>
      <c r="I47" s="499" t="str">
        <f>IFERROR(IF(AND(F47="V.Low",OR(H47="Good",H47="Moderate")),"Error ▲",VLOOKUP(H47,'G-1 All Habitats'!$Z$2:$AA$9,2,FALSE)),"")</f>
        <v/>
      </c>
      <c r="J47" s="154"/>
      <c r="K47" s="520" t="str">
        <f>IF(J47="","",IF(VLOOKUP(J47,'G-3 Multipliers'!$L$3:$N$6,2,FALSE)=0,"Spatial Data Missing ⚠",VLOOKUP(J47,'G-3 Multipliers'!$L$3:$N$6,2,FALSE)))</f>
        <v/>
      </c>
      <c r="L47" s="524" t="str">
        <f>IF(J47="","",IF(VLOOKUP(J47,'G-3 Multipliers'!$L$3:$N$6,3,FALSE)=0,"Spatial Data Missing ⚠",VLOOKUP(J47,'G-3 Multipliers'!$L$3:$N$6,3,FALSE)))</f>
        <v/>
      </c>
      <c r="M47" s="506" t="str">
        <f>IF(D47="","",VLOOKUP(D47,'G-6 Hedgerow Data'!$B$1:$AH$15,33,FALSE))</f>
        <v/>
      </c>
      <c r="N47" s="513" t="str">
        <f t="shared" si="2"/>
        <v/>
      </c>
      <c r="O47" s="40"/>
      <c r="P47" s="145"/>
      <c r="Q47" s="157"/>
      <c r="R47" s="507" t="str">
        <f t="shared" si="3"/>
        <v/>
      </c>
      <c r="S47" s="507" t="str">
        <f t="shared" si="4"/>
        <v/>
      </c>
      <c r="T47" s="511" t="str">
        <f t="shared" si="5"/>
        <v/>
      </c>
      <c r="U47" s="515"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8" x14ac:dyDescent="0.25">
      <c r="B48" s="141">
        <v>39</v>
      </c>
      <c r="C48" s="203"/>
      <c r="D48" s="203"/>
      <c r="E48" s="153"/>
      <c r="F48" s="498" t="str">
        <f>IF(D48="","",VLOOKUP(D48,'G-6 Hedgerow Data'!$B$2:$AG$15,2,FALSE))</f>
        <v/>
      </c>
      <c r="G48" s="499" t="str">
        <f>IF(D48="","",VLOOKUP(D48,'G-6 Hedgerow Data'!$B$2:$AG$15,3,FALSE))</f>
        <v/>
      </c>
      <c r="H48" s="145"/>
      <c r="I48" s="499" t="str">
        <f>IFERROR(IF(AND(F48="V.Low",OR(H48="Good",H48="Moderate")),"Error ▲",VLOOKUP(H48,'G-1 All Habitats'!$Z$2:$AA$9,2,FALSE)),"")</f>
        <v/>
      </c>
      <c r="J48" s="154"/>
      <c r="K48" s="520" t="str">
        <f>IF(J48="","",IF(VLOOKUP(J48,'G-3 Multipliers'!$L$3:$N$6,2,FALSE)=0,"Spatial Data Missing ⚠",VLOOKUP(J48,'G-3 Multipliers'!$L$3:$N$6,2,FALSE)))</f>
        <v/>
      </c>
      <c r="L48" s="524" t="str">
        <f>IF(J48="","",IF(VLOOKUP(J48,'G-3 Multipliers'!$L$3:$N$6,3,FALSE)=0,"Spatial Data Missing ⚠",VLOOKUP(J48,'G-3 Multipliers'!$L$3:$N$6,3,FALSE)))</f>
        <v/>
      </c>
      <c r="M48" s="506" t="str">
        <f>IF(D48="","",VLOOKUP(D48,'G-6 Hedgerow Data'!$B$1:$AH$15,33,FALSE))</f>
        <v/>
      </c>
      <c r="N48" s="513" t="str">
        <f t="shared" si="2"/>
        <v/>
      </c>
      <c r="O48" s="40"/>
      <c r="P48" s="145"/>
      <c r="Q48" s="157"/>
      <c r="R48" s="507" t="str">
        <f t="shared" si="3"/>
        <v/>
      </c>
      <c r="S48" s="507" t="str">
        <f t="shared" si="4"/>
        <v/>
      </c>
      <c r="T48" s="511" t="str">
        <f t="shared" si="5"/>
        <v/>
      </c>
      <c r="U48" s="515"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8" x14ac:dyDescent="0.25">
      <c r="B49" s="141">
        <v>40</v>
      </c>
      <c r="C49" s="203"/>
      <c r="D49" s="203"/>
      <c r="E49" s="153"/>
      <c r="F49" s="498" t="str">
        <f>IF(D49="","",VLOOKUP(D49,'G-6 Hedgerow Data'!$B$2:$AG$15,2,FALSE))</f>
        <v/>
      </c>
      <c r="G49" s="499" t="str">
        <f>IF(D49="","",VLOOKUP(D49,'G-6 Hedgerow Data'!$B$2:$AG$15,3,FALSE))</f>
        <v/>
      </c>
      <c r="H49" s="145"/>
      <c r="I49" s="499" t="str">
        <f>IFERROR(IF(AND(F49="V.Low",OR(H49="Good",H49="Moderate")),"Error ▲",VLOOKUP(H49,'G-1 All Habitats'!$Z$2:$AA$9,2,FALSE)),"")</f>
        <v/>
      </c>
      <c r="J49" s="154"/>
      <c r="K49" s="520" t="str">
        <f>IF(J49="","",IF(VLOOKUP(J49,'G-3 Multipliers'!$L$3:$N$6,2,FALSE)=0,"Spatial Data Missing ⚠",VLOOKUP(J49,'G-3 Multipliers'!$L$3:$N$6,2,FALSE)))</f>
        <v/>
      </c>
      <c r="L49" s="524" t="str">
        <f>IF(J49="","",IF(VLOOKUP(J49,'G-3 Multipliers'!$L$3:$N$6,3,FALSE)=0,"Spatial Data Missing ⚠",VLOOKUP(J49,'G-3 Multipliers'!$L$3:$N$6,3,FALSE)))</f>
        <v/>
      </c>
      <c r="M49" s="506" t="str">
        <f>IF(D49="","",VLOOKUP(D49,'G-6 Hedgerow Data'!$B$1:$AH$15,33,FALSE))</f>
        <v/>
      </c>
      <c r="N49" s="513" t="str">
        <f t="shared" si="2"/>
        <v/>
      </c>
      <c r="O49" s="40"/>
      <c r="P49" s="145"/>
      <c r="Q49" s="157"/>
      <c r="R49" s="507" t="str">
        <f t="shared" si="3"/>
        <v/>
      </c>
      <c r="S49" s="507" t="str">
        <f t="shared" si="4"/>
        <v/>
      </c>
      <c r="T49" s="511" t="str">
        <f t="shared" si="5"/>
        <v/>
      </c>
      <c r="U49" s="515"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8" x14ac:dyDescent="0.25">
      <c r="B50" s="141">
        <v>41</v>
      </c>
      <c r="C50" s="203"/>
      <c r="D50" s="203"/>
      <c r="E50" s="153"/>
      <c r="F50" s="498" t="str">
        <f>IF(D50="","",VLOOKUP(D50,'G-6 Hedgerow Data'!$B$2:$AG$15,2,FALSE))</f>
        <v/>
      </c>
      <c r="G50" s="499" t="str">
        <f>IF(D50="","",VLOOKUP(D50,'G-6 Hedgerow Data'!$B$2:$AG$15,3,FALSE))</f>
        <v/>
      </c>
      <c r="H50" s="145"/>
      <c r="I50" s="499" t="str">
        <f>IFERROR(IF(AND(F50="V.Low",OR(H50="Good",H50="Moderate")),"Error ▲",VLOOKUP(H50,'G-1 All Habitats'!$Z$2:$AA$9,2,FALSE)),"")</f>
        <v/>
      </c>
      <c r="J50" s="154"/>
      <c r="K50" s="520" t="str">
        <f>IF(J50="","",IF(VLOOKUP(J50,'G-3 Multipliers'!$L$3:$N$6,2,FALSE)=0,"Spatial Data Missing ⚠",VLOOKUP(J50,'G-3 Multipliers'!$L$3:$N$6,2,FALSE)))</f>
        <v/>
      </c>
      <c r="L50" s="524" t="str">
        <f>IF(J50="","",IF(VLOOKUP(J50,'G-3 Multipliers'!$L$3:$N$6,3,FALSE)=0,"Spatial Data Missing ⚠",VLOOKUP(J50,'G-3 Multipliers'!$L$3:$N$6,3,FALSE)))</f>
        <v/>
      </c>
      <c r="M50" s="506" t="str">
        <f>IF(D50="","",VLOOKUP(D50,'G-6 Hedgerow Data'!$B$1:$AH$15,33,FALSE))</f>
        <v/>
      </c>
      <c r="N50" s="513" t="str">
        <f t="shared" si="2"/>
        <v/>
      </c>
      <c r="O50" s="40"/>
      <c r="P50" s="145"/>
      <c r="Q50" s="157"/>
      <c r="R50" s="507" t="str">
        <f t="shared" si="3"/>
        <v/>
      </c>
      <c r="S50" s="507" t="str">
        <f t="shared" si="4"/>
        <v/>
      </c>
      <c r="T50" s="511" t="str">
        <f t="shared" si="5"/>
        <v/>
      </c>
      <c r="U50" s="515"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8" x14ac:dyDescent="0.25">
      <c r="B51" s="141">
        <v>42</v>
      </c>
      <c r="C51" s="203"/>
      <c r="D51" s="203"/>
      <c r="E51" s="153"/>
      <c r="F51" s="498" t="str">
        <f>IF(D51="","",VLOOKUP(D51,'G-6 Hedgerow Data'!$B$2:$AG$15,2,FALSE))</f>
        <v/>
      </c>
      <c r="G51" s="499" t="str">
        <f>IF(D51="","",VLOOKUP(D51,'G-6 Hedgerow Data'!$B$2:$AG$15,3,FALSE))</f>
        <v/>
      </c>
      <c r="H51" s="145"/>
      <c r="I51" s="499" t="str">
        <f>IFERROR(IF(AND(F51="V.Low",OR(H51="Good",H51="Moderate")),"Error ▲",VLOOKUP(H51,'G-1 All Habitats'!$Z$2:$AA$9,2,FALSE)),"")</f>
        <v/>
      </c>
      <c r="J51" s="154"/>
      <c r="K51" s="520" t="str">
        <f>IF(J51="","",IF(VLOOKUP(J51,'G-3 Multipliers'!$L$3:$N$6,2,FALSE)=0,"Spatial Data Missing ⚠",VLOOKUP(J51,'G-3 Multipliers'!$L$3:$N$6,2,FALSE)))</f>
        <v/>
      </c>
      <c r="L51" s="524" t="str">
        <f>IF(J51="","",IF(VLOOKUP(J51,'G-3 Multipliers'!$L$3:$N$6,3,FALSE)=0,"Spatial Data Missing ⚠",VLOOKUP(J51,'G-3 Multipliers'!$L$3:$N$6,3,FALSE)))</f>
        <v/>
      </c>
      <c r="M51" s="506" t="str">
        <f>IF(D51="","",VLOOKUP(D51,'G-6 Hedgerow Data'!$B$1:$AH$15,33,FALSE))</f>
        <v/>
      </c>
      <c r="N51" s="513" t="str">
        <f t="shared" si="2"/>
        <v/>
      </c>
      <c r="O51" s="40"/>
      <c r="P51" s="145"/>
      <c r="Q51" s="157"/>
      <c r="R51" s="507" t="str">
        <f t="shared" si="3"/>
        <v/>
      </c>
      <c r="S51" s="507" t="str">
        <f t="shared" si="4"/>
        <v/>
      </c>
      <c r="T51" s="511" t="str">
        <f t="shared" si="5"/>
        <v/>
      </c>
      <c r="U51" s="515"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8" x14ac:dyDescent="0.25">
      <c r="B52" s="141">
        <v>43</v>
      </c>
      <c r="C52" s="203"/>
      <c r="D52" s="203"/>
      <c r="E52" s="153"/>
      <c r="F52" s="498" t="str">
        <f>IF(D52="","",VLOOKUP(D52,'G-6 Hedgerow Data'!$B$2:$AG$15,2,FALSE))</f>
        <v/>
      </c>
      <c r="G52" s="499" t="str">
        <f>IF(D52="","",VLOOKUP(D52,'G-6 Hedgerow Data'!$B$2:$AG$15,3,FALSE))</f>
        <v/>
      </c>
      <c r="H52" s="145"/>
      <c r="I52" s="499" t="str">
        <f>IFERROR(IF(AND(F52="V.Low",OR(H52="Good",H52="Moderate")),"Error ▲",VLOOKUP(H52,'G-1 All Habitats'!$Z$2:$AA$9,2,FALSE)),"")</f>
        <v/>
      </c>
      <c r="J52" s="154"/>
      <c r="K52" s="520" t="str">
        <f>IF(J52="","",IF(VLOOKUP(J52,'G-3 Multipliers'!$L$3:$N$6,2,FALSE)=0,"Spatial Data Missing ⚠",VLOOKUP(J52,'G-3 Multipliers'!$L$3:$N$6,2,FALSE)))</f>
        <v/>
      </c>
      <c r="L52" s="524" t="str">
        <f>IF(J52="","",IF(VLOOKUP(J52,'G-3 Multipliers'!$L$3:$N$6,3,FALSE)=0,"Spatial Data Missing ⚠",VLOOKUP(J52,'G-3 Multipliers'!$L$3:$N$6,3,FALSE)))</f>
        <v/>
      </c>
      <c r="M52" s="506" t="str">
        <f>IF(D52="","",VLOOKUP(D52,'G-6 Hedgerow Data'!$B$1:$AH$15,33,FALSE))</f>
        <v/>
      </c>
      <c r="N52" s="513" t="str">
        <f t="shared" si="2"/>
        <v/>
      </c>
      <c r="O52" s="40"/>
      <c r="P52" s="145"/>
      <c r="Q52" s="157"/>
      <c r="R52" s="507" t="str">
        <f t="shared" si="3"/>
        <v/>
      </c>
      <c r="S52" s="507" t="str">
        <f t="shared" si="4"/>
        <v/>
      </c>
      <c r="T52" s="511" t="str">
        <f t="shared" si="5"/>
        <v/>
      </c>
      <c r="U52" s="515"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8" x14ac:dyDescent="0.25">
      <c r="B53" s="141">
        <v>44</v>
      </c>
      <c r="C53" s="203"/>
      <c r="D53" s="203"/>
      <c r="E53" s="153"/>
      <c r="F53" s="498" t="str">
        <f>IF(D53="","",VLOOKUP(D53,'G-6 Hedgerow Data'!$B$2:$AG$15,2,FALSE))</f>
        <v/>
      </c>
      <c r="G53" s="499" t="str">
        <f>IF(D53="","",VLOOKUP(D53,'G-6 Hedgerow Data'!$B$2:$AG$15,3,FALSE))</f>
        <v/>
      </c>
      <c r="H53" s="145"/>
      <c r="I53" s="499" t="str">
        <f>IFERROR(IF(AND(F53="V.Low",OR(H53="Good",H53="Moderate")),"Error ▲",VLOOKUP(H53,'G-1 All Habitats'!$Z$2:$AA$9,2,FALSE)),"")</f>
        <v/>
      </c>
      <c r="J53" s="154"/>
      <c r="K53" s="520" t="str">
        <f>IF(J53="","",IF(VLOOKUP(J53,'G-3 Multipliers'!$L$3:$N$6,2,FALSE)=0,"Spatial Data Missing ⚠",VLOOKUP(J53,'G-3 Multipliers'!$L$3:$N$6,2,FALSE)))</f>
        <v/>
      </c>
      <c r="L53" s="524" t="str">
        <f>IF(J53="","",IF(VLOOKUP(J53,'G-3 Multipliers'!$L$3:$N$6,3,FALSE)=0,"Spatial Data Missing ⚠",VLOOKUP(J53,'G-3 Multipliers'!$L$3:$N$6,3,FALSE)))</f>
        <v/>
      </c>
      <c r="M53" s="506" t="str">
        <f>IF(D53="","",VLOOKUP(D53,'G-6 Hedgerow Data'!$B$1:$AH$15,33,FALSE))</f>
        <v/>
      </c>
      <c r="N53" s="513" t="str">
        <f t="shared" si="2"/>
        <v/>
      </c>
      <c r="O53" s="40"/>
      <c r="P53" s="145"/>
      <c r="Q53" s="157"/>
      <c r="R53" s="507" t="str">
        <f t="shared" si="3"/>
        <v/>
      </c>
      <c r="S53" s="507" t="str">
        <f t="shared" si="4"/>
        <v/>
      </c>
      <c r="T53" s="511" t="str">
        <f t="shared" si="5"/>
        <v/>
      </c>
      <c r="U53" s="515"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8" x14ac:dyDescent="0.25">
      <c r="B54" s="141">
        <v>45</v>
      </c>
      <c r="C54" s="203"/>
      <c r="D54" s="203"/>
      <c r="E54" s="153"/>
      <c r="F54" s="498" t="str">
        <f>IF(D54="","",VLOOKUP(D54,'G-6 Hedgerow Data'!$B$2:$AG$15,2,FALSE))</f>
        <v/>
      </c>
      <c r="G54" s="499" t="str">
        <f>IF(D54="","",VLOOKUP(D54,'G-6 Hedgerow Data'!$B$2:$AG$15,3,FALSE))</f>
        <v/>
      </c>
      <c r="H54" s="145"/>
      <c r="I54" s="499" t="str">
        <f>IFERROR(IF(AND(F54="V.Low",OR(H54="Good",H54="Moderate")),"Error ▲",VLOOKUP(H54,'G-1 All Habitats'!$Z$2:$AA$9,2,FALSE)),"")</f>
        <v/>
      </c>
      <c r="J54" s="154"/>
      <c r="K54" s="520" t="str">
        <f>IF(J54="","",IF(VLOOKUP(J54,'G-3 Multipliers'!$L$3:$N$6,2,FALSE)=0,"Spatial Data Missing ⚠",VLOOKUP(J54,'G-3 Multipliers'!$L$3:$N$6,2,FALSE)))</f>
        <v/>
      </c>
      <c r="L54" s="524" t="str">
        <f>IF(J54="","",IF(VLOOKUP(J54,'G-3 Multipliers'!$L$3:$N$6,3,FALSE)=0,"Spatial Data Missing ⚠",VLOOKUP(J54,'G-3 Multipliers'!$L$3:$N$6,3,FALSE)))</f>
        <v/>
      </c>
      <c r="M54" s="506" t="str">
        <f>IF(D54="","",VLOOKUP(D54,'G-6 Hedgerow Data'!$B$1:$AH$15,33,FALSE))</f>
        <v/>
      </c>
      <c r="N54" s="513" t="str">
        <f t="shared" si="2"/>
        <v/>
      </c>
      <c r="O54" s="40"/>
      <c r="P54" s="145"/>
      <c r="Q54" s="157"/>
      <c r="R54" s="507" t="str">
        <f t="shared" si="3"/>
        <v/>
      </c>
      <c r="S54" s="507" t="str">
        <f t="shared" si="4"/>
        <v/>
      </c>
      <c r="T54" s="511" t="str">
        <f t="shared" si="5"/>
        <v/>
      </c>
      <c r="U54" s="515"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8" x14ac:dyDescent="0.25">
      <c r="B55" s="141">
        <v>46</v>
      </c>
      <c r="C55" s="203"/>
      <c r="D55" s="203"/>
      <c r="E55" s="153"/>
      <c r="F55" s="498" t="str">
        <f>IF(D55="","",VLOOKUP(D55,'G-6 Hedgerow Data'!$B$2:$AG$15,2,FALSE))</f>
        <v/>
      </c>
      <c r="G55" s="499" t="str">
        <f>IF(D55="","",VLOOKUP(D55,'G-6 Hedgerow Data'!$B$2:$AG$15,3,FALSE))</f>
        <v/>
      </c>
      <c r="H55" s="145"/>
      <c r="I55" s="499" t="str">
        <f>IFERROR(IF(AND(F55="V.Low",OR(H55="Good",H55="Moderate")),"Error ▲",VLOOKUP(H55,'G-1 All Habitats'!$Z$2:$AA$9,2,FALSE)),"")</f>
        <v/>
      </c>
      <c r="J55" s="154"/>
      <c r="K55" s="520" t="str">
        <f>IF(J55="","",IF(VLOOKUP(J55,'G-3 Multipliers'!$L$3:$N$6,2,FALSE)=0,"Spatial Data Missing ⚠",VLOOKUP(J55,'G-3 Multipliers'!$L$3:$N$6,2,FALSE)))</f>
        <v/>
      </c>
      <c r="L55" s="524" t="str">
        <f>IF(J55="","",IF(VLOOKUP(J55,'G-3 Multipliers'!$L$3:$N$6,3,FALSE)=0,"Spatial Data Missing ⚠",VLOOKUP(J55,'G-3 Multipliers'!$L$3:$N$6,3,FALSE)))</f>
        <v/>
      </c>
      <c r="M55" s="506" t="str">
        <f>IF(D55="","",VLOOKUP(D55,'G-6 Hedgerow Data'!$B$1:$AH$15,33,FALSE))</f>
        <v/>
      </c>
      <c r="N55" s="513" t="str">
        <f t="shared" si="2"/>
        <v/>
      </c>
      <c r="O55" s="40"/>
      <c r="P55" s="145"/>
      <c r="Q55" s="157"/>
      <c r="R55" s="507" t="str">
        <f t="shared" si="3"/>
        <v/>
      </c>
      <c r="S55" s="507" t="str">
        <f t="shared" si="4"/>
        <v/>
      </c>
      <c r="T55" s="511" t="str">
        <f t="shared" si="5"/>
        <v/>
      </c>
      <c r="U55" s="515"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8" x14ac:dyDescent="0.25">
      <c r="B56" s="141">
        <v>47</v>
      </c>
      <c r="C56" s="203"/>
      <c r="D56" s="203"/>
      <c r="E56" s="153"/>
      <c r="F56" s="498" t="str">
        <f>IF(D56="","",VLOOKUP(D56,'G-6 Hedgerow Data'!$B$2:$AG$15,2,FALSE))</f>
        <v/>
      </c>
      <c r="G56" s="499" t="str">
        <f>IF(D56="","",VLOOKUP(D56,'G-6 Hedgerow Data'!$B$2:$AG$15,3,FALSE))</f>
        <v/>
      </c>
      <c r="H56" s="145"/>
      <c r="I56" s="499" t="str">
        <f>IFERROR(IF(AND(F56="V.Low",OR(H56="Good",H56="Moderate")),"Error ▲",VLOOKUP(H56,'G-1 All Habitats'!$Z$2:$AA$9,2,FALSE)),"")</f>
        <v/>
      </c>
      <c r="J56" s="154"/>
      <c r="K56" s="520" t="str">
        <f>IF(J56="","",IF(VLOOKUP(J56,'G-3 Multipliers'!$L$3:$N$6,2,FALSE)=0,"Spatial Data Missing ⚠",VLOOKUP(J56,'G-3 Multipliers'!$L$3:$N$6,2,FALSE)))</f>
        <v/>
      </c>
      <c r="L56" s="524" t="str">
        <f>IF(J56="","",IF(VLOOKUP(J56,'G-3 Multipliers'!$L$3:$N$6,3,FALSE)=0,"Spatial Data Missing ⚠",VLOOKUP(J56,'G-3 Multipliers'!$L$3:$N$6,3,FALSE)))</f>
        <v/>
      </c>
      <c r="M56" s="506" t="str">
        <f>IF(D56="","",VLOOKUP(D56,'G-6 Hedgerow Data'!$B$1:$AH$15,33,FALSE))</f>
        <v/>
      </c>
      <c r="N56" s="513" t="str">
        <f t="shared" si="2"/>
        <v/>
      </c>
      <c r="O56" s="40"/>
      <c r="P56" s="145"/>
      <c r="Q56" s="157"/>
      <c r="R56" s="507" t="str">
        <f t="shared" si="3"/>
        <v/>
      </c>
      <c r="S56" s="507" t="str">
        <f t="shared" si="4"/>
        <v/>
      </c>
      <c r="T56" s="511" t="str">
        <f t="shared" si="5"/>
        <v/>
      </c>
      <c r="U56" s="515"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8" x14ac:dyDescent="0.25">
      <c r="B57" s="141">
        <v>48</v>
      </c>
      <c r="C57" s="203"/>
      <c r="D57" s="203"/>
      <c r="E57" s="153"/>
      <c r="F57" s="498" t="str">
        <f>IF(D57="","",VLOOKUP(D57,'G-6 Hedgerow Data'!$B$2:$AG$15,2,FALSE))</f>
        <v/>
      </c>
      <c r="G57" s="499" t="str">
        <f>IF(D57="","",VLOOKUP(D57,'G-6 Hedgerow Data'!$B$2:$AG$15,3,FALSE))</f>
        <v/>
      </c>
      <c r="H57" s="145"/>
      <c r="I57" s="499" t="str">
        <f>IFERROR(IF(AND(F57="V.Low",OR(H57="Good",H57="Moderate")),"Error ▲",VLOOKUP(H57,'G-1 All Habitats'!$Z$2:$AA$9,2,FALSE)),"")</f>
        <v/>
      </c>
      <c r="J57" s="154"/>
      <c r="K57" s="520" t="str">
        <f>IF(J57="","",IF(VLOOKUP(J57,'G-3 Multipliers'!$L$3:$N$6,2,FALSE)=0,"Spatial Data Missing ⚠",VLOOKUP(J57,'G-3 Multipliers'!$L$3:$N$6,2,FALSE)))</f>
        <v/>
      </c>
      <c r="L57" s="524" t="str">
        <f>IF(J57="","",IF(VLOOKUP(J57,'G-3 Multipliers'!$L$3:$N$6,3,FALSE)=0,"Spatial Data Missing ⚠",VLOOKUP(J57,'G-3 Multipliers'!$L$3:$N$6,3,FALSE)))</f>
        <v/>
      </c>
      <c r="M57" s="506" t="str">
        <f>IF(D57="","",VLOOKUP(D57,'G-6 Hedgerow Data'!$B$1:$AH$15,33,FALSE))</f>
        <v/>
      </c>
      <c r="N57" s="513" t="str">
        <f t="shared" si="2"/>
        <v/>
      </c>
      <c r="O57" s="40"/>
      <c r="P57" s="145"/>
      <c r="Q57" s="157"/>
      <c r="R57" s="507" t="str">
        <f t="shared" si="3"/>
        <v/>
      </c>
      <c r="S57" s="507" t="str">
        <f t="shared" si="4"/>
        <v/>
      </c>
      <c r="T57" s="511" t="str">
        <f t="shared" si="5"/>
        <v/>
      </c>
      <c r="U57" s="515"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8" x14ac:dyDescent="0.25">
      <c r="B58" s="141">
        <v>49</v>
      </c>
      <c r="C58" s="203"/>
      <c r="D58" s="203"/>
      <c r="E58" s="153"/>
      <c r="F58" s="498" t="str">
        <f>IF(D58="","",VLOOKUP(D58,'G-6 Hedgerow Data'!$B$2:$AG$15,2,FALSE))</f>
        <v/>
      </c>
      <c r="G58" s="499" t="str">
        <f>IF(D58="","",VLOOKUP(D58,'G-6 Hedgerow Data'!$B$2:$AG$15,3,FALSE))</f>
        <v/>
      </c>
      <c r="H58" s="145"/>
      <c r="I58" s="499" t="str">
        <f>IFERROR(IF(AND(F58="V.Low",OR(H58="Good",H58="Moderate")),"Error ▲",VLOOKUP(H58,'G-1 All Habitats'!$Z$2:$AA$9,2,FALSE)),"")</f>
        <v/>
      </c>
      <c r="J58" s="154"/>
      <c r="K58" s="520" t="str">
        <f>IF(J58="","",IF(VLOOKUP(J58,'G-3 Multipliers'!$L$3:$N$6,2,FALSE)=0,"Spatial Data Missing ⚠",VLOOKUP(J58,'G-3 Multipliers'!$L$3:$N$6,2,FALSE)))</f>
        <v/>
      </c>
      <c r="L58" s="524" t="str">
        <f>IF(J58="","",IF(VLOOKUP(J58,'G-3 Multipliers'!$L$3:$N$6,3,FALSE)=0,"Spatial Data Missing ⚠",VLOOKUP(J58,'G-3 Multipliers'!$L$3:$N$6,3,FALSE)))</f>
        <v/>
      </c>
      <c r="M58" s="506" t="str">
        <f>IF(D58="","",VLOOKUP(D58,'G-6 Hedgerow Data'!$B$1:$AH$15,33,FALSE))</f>
        <v/>
      </c>
      <c r="N58" s="513" t="str">
        <f t="shared" si="2"/>
        <v/>
      </c>
      <c r="O58" s="40"/>
      <c r="P58" s="145"/>
      <c r="Q58" s="157"/>
      <c r="R58" s="507" t="str">
        <f t="shared" si="3"/>
        <v/>
      </c>
      <c r="S58" s="507" t="str">
        <f t="shared" si="4"/>
        <v/>
      </c>
      <c r="T58" s="511" t="str">
        <f t="shared" si="5"/>
        <v/>
      </c>
      <c r="U58" s="515"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8" x14ac:dyDescent="0.25">
      <c r="B59" s="141">
        <v>50</v>
      </c>
      <c r="C59" s="203"/>
      <c r="D59" s="203"/>
      <c r="E59" s="153"/>
      <c r="F59" s="498" t="str">
        <f>IF(D59="","",VLOOKUP(D59,'G-6 Hedgerow Data'!$B$2:$AG$15,2,FALSE))</f>
        <v/>
      </c>
      <c r="G59" s="499" t="str">
        <f>IF(D59="","",VLOOKUP(D59,'G-6 Hedgerow Data'!$B$2:$AG$15,3,FALSE))</f>
        <v/>
      </c>
      <c r="H59" s="145"/>
      <c r="I59" s="499" t="str">
        <f>IFERROR(IF(AND(F59="V.Low",OR(H59="Good",H59="Moderate")),"Error ▲",VLOOKUP(H59,'G-1 All Habitats'!$Z$2:$AA$9,2,FALSE)),"")</f>
        <v/>
      </c>
      <c r="J59" s="154"/>
      <c r="K59" s="520" t="str">
        <f>IF(J59="","",IF(VLOOKUP(J59,'G-3 Multipliers'!$L$3:$N$6,2,FALSE)=0,"Spatial Data Missing ⚠",VLOOKUP(J59,'G-3 Multipliers'!$L$3:$N$6,2,FALSE)))</f>
        <v/>
      </c>
      <c r="L59" s="524" t="str">
        <f>IF(J59="","",IF(VLOOKUP(J59,'G-3 Multipliers'!$L$3:$N$6,3,FALSE)=0,"Spatial Data Missing ⚠",VLOOKUP(J59,'G-3 Multipliers'!$L$3:$N$6,3,FALSE)))</f>
        <v/>
      </c>
      <c r="M59" s="506" t="str">
        <f>IF(D59="","",VLOOKUP(D59,'G-6 Hedgerow Data'!$B$1:$AH$15,33,FALSE))</f>
        <v/>
      </c>
      <c r="N59" s="513" t="str">
        <f t="shared" si="2"/>
        <v/>
      </c>
      <c r="O59" s="40"/>
      <c r="P59" s="145"/>
      <c r="Q59" s="157"/>
      <c r="R59" s="507" t="str">
        <f t="shared" si="3"/>
        <v/>
      </c>
      <c r="S59" s="507" t="str">
        <f t="shared" si="4"/>
        <v/>
      </c>
      <c r="T59" s="511" t="str">
        <f t="shared" si="5"/>
        <v/>
      </c>
      <c r="U59" s="515"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8" x14ac:dyDescent="0.25">
      <c r="B60" s="141">
        <v>51</v>
      </c>
      <c r="C60" s="203"/>
      <c r="D60" s="203"/>
      <c r="E60" s="153"/>
      <c r="F60" s="498" t="str">
        <f>IF(D60="","",VLOOKUP(D60,'G-6 Hedgerow Data'!$B$2:$AG$15,2,FALSE))</f>
        <v/>
      </c>
      <c r="G60" s="499" t="str">
        <f>IF(D60="","",VLOOKUP(D60,'G-6 Hedgerow Data'!$B$2:$AG$15,3,FALSE))</f>
        <v/>
      </c>
      <c r="H60" s="145"/>
      <c r="I60" s="499" t="str">
        <f>IFERROR(IF(AND(F60="V.Low",OR(H60="Good",H60="Moderate")),"Error ▲",VLOOKUP(H60,'G-1 All Habitats'!$Z$2:$AA$9,2,FALSE)),"")</f>
        <v/>
      </c>
      <c r="J60" s="154"/>
      <c r="K60" s="520" t="str">
        <f>IF(J60="","",IF(VLOOKUP(J60,'G-3 Multipliers'!$L$3:$N$6,2,FALSE)=0,"Spatial Data Missing ⚠",VLOOKUP(J60,'G-3 Multipliers'!$L$3:$N$6,2,FALSE)))</f>
        <v/>
      </c>
      <c r="L60" s="524" t="str">
        <f>IF(J60="","",IF(VLOOKUP(J60,'G-3 Multipliers'!$L$3:$N$6,3,FALSE)=0,"Spatial Data Missing ⚠",VLOOKUP(J60,'G-3 Multipliers'!$L$3:$N$6,3,FALSE)))</f>
        <v/>
      </c>
      <c r="M60" s="506" t="str">
        <f>IF(D60="","",VLOOKUP(D60,'G-6 Hedgerow Data'!$B$1:$AH$15,33,FALSE))</f>
        <v/>
      </c>
      <c r="N60" s="513" t="str">
        <f t="shared" si="2"/>
        <v/>
      </c>
      <c r="O60" s="40"/>
      <c r="P60" s="145"/>
      <c r="Q60" s="157"/>
      <c r="R60" s="507" t="str">
        <f t="shared" si="3"/>
        <v/>
      </c>
      <c r="S60" s="507" t="str">
        <f t="shared" si="4"/>
        <v/>
      </c>
      <c r="T60" s="511" t="str">
        <f t="shared" si="5"/>
        <v/>
      </c>
      <c r="U60" s="515"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8" x14ac:dyDescent="0.25">
      <c r="B61" s="141">
        <v>52</v>
      </c>
      <c r="C61" s="203"/>
      <c r="D61" s="203"/>
      <c r="E61" s="153"/>
      <c r="F61" s="498" t="str">
        <f>IF(D61="","",VLOOKUP(D61,'G-6 Hedgerow Data'!$B$2:$AG$15,2,FALSE))</f>
        <v/>
      </c>
      <c r="G61" s="499" t="str">
        <f>IF(D61="","",VLOOKUP(D61,'G-6 Hedgerow Data'!$B$2:$AG$15,3,FALSE))</f>
        <v/>
      </c>
      <c r="H61" s="145"/>
      <c r="I61" s="499" t="str">
        <f>IFERROR(IF(AND(F61="V.Low",OR(H61="Good",H61="Moderate")),"Error ▲",VLOOKUP(H61,'G-1 All Habitats'!$Z$2:$AA$9,2,FALSE)),"")</f>
        <v/>
      </c>
      <c r="J61" s="154"/>
      <c r="K61" s="520" t="str">
        <f>IF(J61="","",IF(VLOOKUP(J61,'G-3 Multipliers'!$L$3:$N$6,2,FALSE)=0,"Spatial Data Missing ⚠",VLOOKUP(J61,'G-3 Multipliers'!$L$3:$N$6,2,FALSE)))</f>
        <v/>
      </c>
      <c r="L61" s="524" t="str">
        <f>IF(J61="","",IF(VLOOKUP(J61,'G-3 Multipliers'!$L$3:$N$6,3,FALSE)=0,"Spatial Data Missing ⚠",VLOOKUP(J61,'G-3 Multipliers'!$L$3:$N$6,3,FALSE)))</f>
        <v/>
      </c>
      <c r="M61" s="506" t="str">
        <f>IF(D61="","",VLOOKUP(D61,'G-6 Hedgerow Data'!$B$1:$AH$15,33,FALSE))</f>
        <v/>
      </c>
      <c r="N61" s="513" t="str">
        <f t="shared" si="2"/>
        <v/>
      </c>
      <c r="O61" s="40"/>
      <c r="P61" s="145"/>
      <c r="Q61" s="157"/>
      <c r="R61" s="507" t="str">
        <f t="shared" si="3"/>
        <v/>
      </c>
      <c r="S61" s="507" t="str">
        <f t="shared" si="4"/>
        <v/>
      </c>
      <c r="T61" s="511" t="str">
        <f t="shared" si="5"/>
        <v/>
      </c>
      <c r="U61" s="515"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8" x14ac:dyDescent="0.25">
      <c r="B62" s="141">
        <v>53</v>
      </c>
      <c r="C62" s="203"/>
      <c r="D62" s="203"/>
      <c r="E62" s="153"/>
      <c r="F62" s="498" t="str">
        <f>IF(D62="","",VLOOKUP(D62,'G-6 Hedgerow Data'!$B$2:$AG$15,2,FALSE))</f>
        <v/>
      </c>
      <c r="G62" s="499" t="str">
        <f>IF(D62="","",VLOOKUP(D62,'G-6 Hedgerow Data'!$B$2:$AG$15,3,FALSE))</f>
        <v/>
      </c>
      <c r="H62" s="145"/>
      <c r="I62" s="499" t="str">
        <f>IFERROR(IF(AND(F62="V.Low",OR(H62="Good",H62="Moderate")),"Error ▲",VLOOKUP(H62,'G-1 All Habitats'!$Z$2:$AA$9,2,FALSE)),"")</f>
        <v/>
      </c>
      <c r="J62" s="154"/>
      <c r="K62" s="520" t="str">
        <f>IF(J62="","",IF(VLOOKUP(J62,'G-3 Multipliers'!$L$3:$N$6,2,FALSE)=0,"Spatial Data Missing ⚠",VLOOKUP(J62,'G-3 Multipliers'!$L$3:$N$6,2,FALSE)))</f>
        <v/>
      </c>
      <c r="L62" s="524" t="str">
        <f>IF(J62="","",IF(VLOOKUP(J62,'G-3 Multipliers'!$L$3:$N$6,3,FALSE)=0,"Spatial Data Missing ⚠",VLOOKUP(J62,'G-3 Multipliers'!$L$3:$N$6,3,FALSE)))</f>
        <v/>
      </c>
      <c r="M62" s="506" t="str">
        <f>IF(D62="","",VLOOKUP(D62,'G-6 Hedgerow Data'!$B$1:$AH$15,33,FALSE))</f>
        <v/>
      </c>
      <c r="N62" s="513" t="str">
        <f t="shared" si="2"/>
        <v/>
      </c>
      <c r="O62" s="40"/>
      <c r="P62" s="145"/>
      <c r="Q62" s="157"/>
      <c r="R62" s="507" t="str">
        <f t="shared" si="3"/>
        <v/>
      </c>
      <c r="S62" s="507" t="str">
        <f t="shared" si="4"/>
        <v/>
      </c>
      <c r="T62" s="511" t="str">
        <f t="shared" si="5"/>
        <v/>
      </c>
      <c r="U62" s="515"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8" x14ac:dyDescent="0.25">
      <c r="B63" s="141">
        <v>54</v>
      </c>
      <c r="C63" s="203"/>
      <c r="D63" s="203"/>
      <c r="E63" s="153"/>
      <c r="F63" s="498" t="str">
        <f>IF(D63="","",VLOOKUP(D63,'G-6 Hedgerow Data'!$B$2:$AG$15,2,FALSE))</f>
        <v/>
      </c>
      <c r="G63" s="499" t="str">
        <f>IF(D63="","",VLOOKUP(D63,'G-6 Hedgerow Data'!$B$2:$AG$15,3,FALSE))</f>
        <v/>
      </c>
      <c r="H63" s="145"/>
      <c r="I63" s="499" t="str">
        <f>IFERROR(IF(AND(F63="V.Low",OR(H63="Good",H63="Moderate")),"Error ▲",VLOOKUP(H63,'G-1 All Habitats'!$Z$2:$AA$9,2,FALSE)),"")</f>
        <v/>
      </c>
      <c r="J63" s="154"/>
      <c r="K63" s="520" t="str">
        <f>IF(J63="","",IF(VLOOKUP(J63,'G-3 Multipliers'!$L$3:$N$6,2,FALSE)=0,"Spatial Data Missing ⚠",VLOOKUP(J63,'G-3 Multipliers'!$L$3:$N$6,2,FALSE)))</f>
        <v/>
      </c>
      <c r="L63" s="524" t="str">
        <f>IF(J63="","",IF(VLOOKUP(J63,'G-3 Multipliers'!$L$3:$N$6,3,FALSE)=0,"Spatial Data Missing ⚠",VLOOKUP(J63,'G-3 Multipliers'!$L$3:$N$6,3,FALSE)))</f>
        <v/>
      </c>
      <c r="M63" s="506" t="str">
        <f>IF(D63="","",VLOOKUP(D63,'G-6 Hedgerow Data'!$B$1:$AH$15,33,FALSE))</f>
        <v/>
      </c>
      <c r="N63" s="513" t="str">
        <f t="shared" si="2"/>
        <v/>
      </c>
      <c r="O63" s="40"/>
      <c r="P63" s="145"/>
      <c r="Q63" s="157"/>
      <c r="R63" s="507" t="str">
        <f t="shared" si="3"/>
        <v/>
      </c>
      <c r="S63" s="507" t="str">
        <f t="shared" si="4"/>
        <v/>
      </c>
      <c r="T63" s="511" t="str">
        <f t="shared" si="5"/>
        <v/>
      </c>
      <c r="U63" s="515"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8" x14ac:dyDescent="0.25">
      <c r="B64" s="141">
        <v>55</v>
      </c>
      <c r="C64" s="203"/>
      <c r="D64" s="203"/>
      <c r="E64" s="153"/>
      <c r="F64" s="498" t="str">
        <f>IF(D64="","",VLOOKUP(D64,'G-6 Hedgerow Data'!$B$2:$AG$15,2,FALSE))</f>
        <v/>
      </c>
      <c r="G64" s="499" t="str">
        <f>IF(D64="","",VLOOKUP(D64,'G-6 Hedgerow Data'!$B$2:$AG$15,3,FALSE))</f>
        <v/>
      </c>
      <c r="H64" s="145"/>
      <c r="I64" s="499" t="str">
        <f>IFERROR(IF(AND(F64="V.Low",OR(H64="Good",H64="Moderate")),"Error ▲",VLOOKUP(H64,'G-1 All Habitats'!$Z$2:$AA$9,2,FALSE)),"")</f>
        <v/>
      </c>
      <c r="J64" s="154"/>
      <c r="K64" s="520" t="str">
        <f>IF(J64="","",IF(VLOOKUP(J64,'G-3 Multipliers'!$L$3:$N$6,2,FALSE)=0,"Spatial Data Missing ⚠",VLOOKUP(J64,'G-3 Multipliers'!$L$3:$N$6,2,FALSE)))</f>
        <v/>
      </c>
      <c r="L64" s="524" t="str">
        <f>IF(J64="","",IF(VLOOKUP(J64,'G-3 Multipliers'!$L$3:$N$6,3,FALSE)=0,"Spatial Data Missing ⚠",VLOOKUP(J64,'G-3 Multipliers'!$L$3:$N$6,3,FALSE)))</f>
        <v/>
      </c>
      <c r="M64" s="506" t="str">
        <f>IF(D64="","",VLOOKUP(D64,'G-6 Hedgerow Data'!$B$1:$AH$15,33,FALSE))</f>
        <v/>
      </c>
      <c r="N64" s="513" t="str">
        <f t="shared" si="2"/>
        <v/>
      </c>
      <c r="O64" s="40"/>
      <c r="P64" s="145"/>
      <c r="Q64" s="157"/>
      <c r="R64" s="507" t="str">
        <f t="shared" si="3"/>
        <v/>
      </c>
      <c r="S64" s="507" t="str">
        <f t="shared" si="4"/>
        <v/>
      </c>
      <c r="T64" s="511" t="str">
        <f t="shared" si="5"/>
        <v/>
      </c>
      <c r="U64" s="515"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8" x14ac:dyDescent="0.25">
      <c r="B65" s="141">
        <v>56</v>
      </c>
      <c r="C65" s="203"/>
      <c r="D65" s="203"/>
      <c r="E65" s="153"/>
      <c r="F65" s="498" t="str">
        <f>IF(D65="","",VLOOKUP(D65,'G-6 Hedgerow Data'!$B$2:$AG$15,2,FALSE))</f>
        <v/>
      </c>
      <c r="G65" s="499" t="str">
        <f>IF(D65="","",VLOOKUP(D65,'G-6 Hedgerow Data'!$B$2:$AG$15,3,FALSE))</f>
        <v/>
      </c>
      <c r="H65" s="145"/>
      <c r="I65" s="499" t="str">
        <f>IFERROR(IF(AND(F65="V.Low",OR(H65="Good",H65="Moderate")),"Error ▲",VLOOKUP(H65,'G-1 All Habitats'!$Z$2:$AA$9,2,FALSE)),"")</f>
        <v/>
      </c>
      <c r="J65" s="154"/>
      <c r="K65" s="520" t="str">
        <f>IF(J65="","",IF(VLOOKUP(J65,'G-3 Multipliers'!$L$3:$N$6,2,FALSE)=0,"Spatial Data Missing ⚠",VLOOKUP(J65,'G-3 Multipliers'!$L$3:$N$6,2,FALSE)))</f>
        <v/>
      </c>
      <c r="L65" s="524" t="str">
        <f>IF(J65="","",IF(VLOOKUP(J65,'G-3 Multipliers'!$L$3:$N$6,3,FALSE)=0,"Spatial Data Missing ⚠",VLOOKUP(J65,'G-3 Multipliers'!$L$3:$N$6,3,FALSE)))</f>
        <v/>
      </c>
      <c r="M65" s="506" t="str">
        <f>IF(D65="","",VLOOKUP(D65,'G-6 Hedgerow Data'!$B$1:$AH$15,33,FALSE))</f>
        <v/>
      </c>
      <c r="N65" s="513" t="str">
        <f t="shared" si="2"/>
        <v/>
      </c>
      <c r="O65" s="40"/>
      <c r="P65" s="145"/>
      <c r="Q65" s="157"/>
      <c r="R65" s="507" t="str">
        <f t="shared" si="3"/>
        <v/>
      </c>
      <c r="S65" s="507" t="str">
        <f t="shared" si="4"/>
        <v/>
      </c>
      <c r="T65" s="511" t="str">
        <f t="shared" si="5"/>
        <v/>
      </c>
      <c r="U65" s="515"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8" x14ac:dyDescent="0.25">
      <c r="B66" s="141">
        <v>57</v>
      </c>
      <c r="C66" s="203"/>
      <c r="D66" s="203"/>
      <c r="E66" s="153"/>
      <c r="F66" s="498" t="str">
        <f>IF(D66="","",VLOOKUP(D66,'G-6 Hedgerow Data'!$B$2:$AG$15,2,FALSE))</f>
        <v/>
      </c>
      <c r="G66" s="499" t="str">
        <f>IF(D66="","",VLOOKUP(D66,'G-6 Hedgerow Data'!$B$2:$AG$15,3,FALSE))</f>
        <v/>
      </c>
      <c r="H66" s="145"/>
      <c r="I66" s="499" t="str">
        <f>IFERROR(IF(AND(F66="V.Low",OR(H66="Good",H66="Moderate")),"Error ▲",VLOOKUP(H66,'G-1 All Habitats'!$Z$2:$AA$9,2,FALSE)),"")</f>
        <v/>
      </c>
      <c r="J66" s="154"/>
      <c r="K66" s="520" t="str">
        <f>IF(J66="","",IF(VLOOKUP(J66,'G-3 Multipliers'!$L$3:$N$6,2,FALSE)=0,"Spatial Data Missing ⚠",VLOOKUP(J66,'G-3 Multipliers'!$L$3:$N$6,2,FALSE)))</f>
        <v/>
      </c>
      <c r="L66" s="524" t="str">
        <f>IF(J66="","",IF(VLOOKUP(J66,'G-3 Multipliers'!$L$3:$N$6,3,FALSE)=0,"Spatial Data Missing ⚠",VLOOKUP(J66,'G-3 Multipliers'!$L$3:$N$6,3,FALSE)))</f>
        <v/>
      </c>
      <c r="M66" s="506" t="str">
        <f>IF(D66="","",VLOOKUP(D66,'G-6 Hedgerow Data'!$B$1:$AH$15,33,FALSE))</f>
        <v/>
      </c>
      <c r="N66" s="513" t="str">
        <f t="shared" si="2"/>
        <v/>
      </c>
      <c r="O66" s="40"/>
      <c r="P66" s="145"/>
      <c r="Q66" s="157"/>
      <c r="R66" s="507" t="str">
        <f t="shared" si="3"/>
        <v/>
      </c>
      <c r="S66" s="507" t="str">
        <f t="shared" si="4"/>
        <v/>
      </c>
      <c r="T66" s="511" t="str">
        <f t="shared" si="5"/>
        <v/>
      </c>
      <c r="U66" s="515"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8" x14ac:dyDescent="0.25">
      <c r="B67" s="141">
        <v>58</v>
      </c>
      <c r="C67" s="203"/>
      <c r="D67" s="203"/>
      <c r="E67" s="153"/>
      <c r="F67" s="498" t="str">
        <f>IF(D67="","",VLOOKUP(D67,'G-6 Hedgerow Data'!$B$2:$AG$15,2,FALSE))</f>
        <v/>
      </c>
      <c r="G67" s="499" t="str">
        <f>IF(D67="","",VLOOKUP(D67,'G-6 Hedgerow Data'!$B$2:$AG$15,3,FALSE))</f>
        <v/>
      </c>
      <c r="H67" s="145"/>
      <c r="I67" s="499" t="str">
        <f>IFERROR(IF(AND(F67="V.Low",OR(H67="Good",H67="Moderate")),"Error ▲",VLOOKUP(H67,'G-1 All Habitats'!$Z$2:$AA$9,2,FALSE)),"")</f>
        <v/>
      </c>
      <c r="J67" s="154"/>
      <c r="K67" s="520" t="str">
        <f>IF(J67="","",IF(VLOOKUP(J67,'G-3 Multipliers'!$L$3:$N$6,2,FALSE)=0,"Spatial Data Missing ⚠",VLOOKUP(J67,'G-3 Multipliers'!$L$3:$N$6,2,FALSE)))</f>
        <v/>
      </c>
      <c r="L67" s="524" t="str">
        <f>IF(J67="","",IF(VLOOKUP(J67,'G-3 Multipliers'!$L$3:$N$6,3,FALSE)=0,"Spatial Data Missing ⚠",VLOOKUP(J67,'G-3 Multipliers'!$L$3:$N$6,3,FALSE)))</f>
        <v/>
      </c>
      <c r="M67" s="506" t="str">
        <f>IF(D67="","",VLOOKUP(D67,'G-6 Hedgerow Data'!$B$1:$AH$15,33,FALSE))</f>
        <v/>
      </c>
      <c r="N67" s="513" t="str">
        <f t="shared" si="2"/>
        <v/>
      </c>
      <c r="O67" s="40"/>
      <c r="P67" s="145"/>
      <c r="Q67" s="157"/>
      <c r="R67" s="507" t="str">
        <f t="shared" si="3"/>
        <v/>
      </c>
      <c r="S67" s="507" t="str">
        <f t="shared" si="4"/>
        <v/>
      </c>
      <c r="T67" s="511" t="str">
        <f t="shared" si="5"/>
        <v/>
      </c>
      <c r="U67" s="515"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8" x14ac:dyDescent="0.25">
      <c r="B68" s="141">
        <v>59</v>
      </c>
      <c r="C68" s="203"/>
      <c r="D68" s="203"/>
      <c r="E68" s="153"/>
      <c r="F68" s="498" t="str">
        <f>IF(D68="","",VLOOKUP(D68,'G-6 Hedgerow Data'!$B$2:$AG$15,2,FALSE))</f>
        <v/>
      </c>
      <c r="G68" s="499" t="str">
        <f>IF(D68="","",VLOOKUP(D68,'G-6 Hedgerow Data'!$B$2:$AG$15,3,FALSE))</f>
        <v/>
      </c>
      <c r="H68" s="145"/>
      <c r="I68" s="499" t="str">
        <f>IFERROR(IF(AND(F68="V.Low",OR(H68="Good",H68="Moderate")),"Error ▲",VLOOKUP(H68,'G-1 All Habitats'!$Z$2:$AA$9,2,FALSE)),"")</f>
        <v/>
      </c>
      <c r="J68" s="154"/>
      <c r="K68" s="520" t="str">
        <f>IF(J68="","",IF(VLOOKUP(J68,'G-3 Multipliers'!$L$3:$N$6,2,FALSE)=0,"Spatial Data Missing ⚠",VLOOKUP(J68,'G-3 Multipliers'!$L$3:$N$6,2,FALSE)))</f>
        <v/>
      </c>
      <c r="L68" s="524" t="str">
        <f>IF(J68="","",IF(VLOOKUP(J68,'G-3 Multipliers'!$L$3:$N$6,3,FALSE)=0,"Spatial Data Missing ⚠",VLOOKUP(J68,'G-3 Multipliers'!$L$3:$N$6,3,FALSE)))</f>
        <v/>
      </c>
      <c r="M68" s="506" t="str">
        <f>IF(D68="","",VLOOKUP(D68,'G-6 Hedgerow Data'!$B$1:$AH$15,33,FALSE))</f>
        <v/>
      </c>
      <c r="N68" s="513" t="str">
        <f t="shared" si="2"/>
        <v/>
      </c>
      <c r="O68" s="40"/>
      <c r="P68" s="145"/>
      <c r="Q68" s="157"/>
      <c r="R68" s="507" t="str">
        <f t="shared" si="3"/>
        <v/>
      </c>
      <c r="S68" s="507" t="str">
        <f t="shared" si="4"/>
        <v/>
      </c>
      <c r="T68" s="511" t="str">
        <f t="shared" si="5"/>
        <v/>
      </c>
      <c r="U68" s="515"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8" x14ac:dyDescent="0.25">
      <c r="B69" s="141">
        <v>60</v>
      </c>
      <c r="C69" s="203"/>
      <c r="D69" s="203"/>
      <c r="E69" s="153"/>
      <c r="F69" s="498" t="str">
        <f>IF(D69="","",VLOOKUP(D69,'G-6 Hedgerow Data'!$B$2:$AG$15,2,FALSE))</f>
        <v/>
      </c>
      <c r="G69" s="499" t="str">
        <f>IF(D69="","",VLOOKUP(D69,'G-6 Hedgerow Data'!$B$2:$AG$15,3,FALSE))</f>
        <v/>
      </c>
      <c r="H69" s="145"/>
      <c r="I69" s="499" t="str">
        <f>IFERROR(IF(AND(F69="V.Low",OR(H69="Good",H69="Moderate")),"Error ▲",VLOOKUP(H69,'G-1 All Habitats'!$Z$2:$AA$9,2,FALSE)),"")</f>
        <v/>
      </c>
      <c r="J69" s="154"/>
      <c r="K69" s="520" t="str">
        <f>IF(J69="","",IF(VLOOKUP(J69,'G-3 Multipliers'!$L$3:$N$6,2,FALSE)=0,"Spatial Data Missing ⚠",VLOOKUP(J69,'G-3 Multipliers'!$L$3:$N$6,2,FALSE)))</f>
        <v/>
      </c>
      <c r="L69" s="524" t="str">
        <f>IF(J69="","",IF(VLOOKUP(J69,'G-3 Multipliers'!$L$3:$N$6,3,FALSE)=0,"Spatial Data Missing ⚠",VLOOKUP(J69,'G-3 Multipliers'!$L$3:$N$6,3,FALSE)))</f>
        <v/>
      </c>
      <c r="M69" s="506" t="str">
        <f>IF(D69="","",VLOOKUP(D69,'G-6 Hedgerow Data'!$B$1:$AH$15,33,FALSE))</f>
        <v/>
      </c>
      <c r="N69" s="513" t="str">
        <f t="shared" si="2"/>
        <v/>
      </c>
      <c r="O69" s="40"/>
      <c r="P69" s="145"/>
      <c r="Q69" s="157"/>
      <c r="R69" s="507" t="str">
        <f t="shared" si="3"/>
        <v/>
      </c>
      <c r="S69" s="507" t="str">
        <f t="shared" si="4"/>
        <v/>
      </c>
      <c r="T69" s="511" t="str">
        <f t="shared" si="5"/>
        <v/>
      </c>
      <c r="U69" s="515"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8" x14ac:dyDescent="0.25">
      <c r="B70" s="141">
        <v>61</v>
      </c>
      <c r="C70" s="203"/>
      <c r="D70" s="203"/>
      <c r="E70" s="153"/>
      <c r="F70" s="498" t="str">
        <f>IF(D70="","",VLOOKUP(D70,'G-6 Hedgerow Data'!$B$2:$AG$15,2,FALSE))</f>
        <v/>
      </c>
      <c r="G70" s="499" t="str">
        <f>IF(D70="","",VLOOKUP(D70,'G-6 Hedgerow Data'!$B$2:$AG$15,3,FALSE))</f>
        <v/>
      </c>
      <c r="H70" s="145"/>
      <c r="I70" s="499" t="str">
        <f>IFERROR(IF(AND(F70="V.Low",OR(H70="Good",H70="Moderate")),"Error ▲",VLOOKUP(H70,'G-1 All Habitats'!$Z$2:$AA$9,2,FALSE)),"")</f>
        <v/>
      </c>
      <c r="J70" s="154"/>
      <c r="K70" s="520" t="str">
        <f>IF(J70="","",IF(VLOOKUP(J70,'G-3 Multipliers'!$L$3:$N$6,2,FALSE)=0,"Spatial Data Missing ⚠",VLOOKUP(J70,'G-3 Multipliers'!$L$3:$N$6,2,FALSE)))</f>
        <v/>
      </c>
      <c r="L70" s="524" t="str">
        <f>IF(J70="","",IF(VLOOKUP(J70,'G-3 Multipliers'!$L$3:$N$6,3,FALSE)=0,"Spatial Data Missing ⚠",VLOOKUP(J70,'G-3 Multipliers'!$L$3:$N$6,3,FALSE)))</f>
        <v/>
      </c>
      <c r="M70" s="506" t="str">
        <f>IF(D70="","",VLOOKUP(D70,'G-6 Hedgerow Data'!$B$1:$AH$15,33,FALSE))</f>
        <v/>
      </c>
      <c r="N70" s="513" t="str">
        <f t="shared" si="2"/>
        <v/>
      </c>
      <c r="O70" s="40"/>
      <c r="P70" s="145"/>
      <c r="Q70" s="157"/>
      <c r="R70" s="507" t="str">
        <f t="shared" si="3"/>
        <v/>
      </c>
      <c r="S70" s="507" t="str">
        <f t="shared" si="4"/>
        <v/>
      </c>
      <c r="T70" s="511" t="str">
        <f t="shared" si="5"/>
        <v/>
      </c>
      <c r="U70" s="515"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8" x14ac:dyDescent="0.25">
      <c r="B71" s="141">
        <v>62</v>
      </c>
      <c r="C71" s="203"/>
      <c r="D71" s="203"/>
      <c r="E71" s="153"/>
      <c r="F71" s="498" t="str">
        <f>IF(D71="","",VLOOKUP(D71,'G-6 Hedgerow Data'!$B$2:$AG$15,2,FALSE))</f>
        <v/>
      </c>
      <c r="G71" s="499" t="str">
        <f>IF(D71="","",VLOOKUP(D71,'G-6 Hedgerow Data'!$B$2:$AG$15,3,FALSE))</f>
        <v/>
      </c>
      <c r="H71" s="145"/>
      <c r="I71" s="499" t="str">
        <f>IFERROR(IF(AND(F71="V.Low",OR(H71="Good",H71="Moderate")),"Error ▲",VLOOKUP(H71,'G-1 All Habitats'!$Z$2:$AA$9,2,FALSE)),"")</f>
        <v/>
      </c>
      <c r="J71" s="154"/>
      <c r="K71" s="520" t="str">
        <f>IF(J71="","",IF(VLOOKUP(J71,'G-3 Multipliers'!$L$3:$N$6,2,FALSE)=0,"Spatial Data Missing ⚠",VLOOKUP(J71,'G-3 Multipliers'!$L$3:$N$6,2,FALSE)))</f>
        <v/>
      </c>
      <c r="L71" s="524" t="str">
        <f>IF(J71="","",IF(VLOOKUP(J71,'G-3 Multipliers'!$L$3:$N$6,3,FALSE)=0,"Spatial Data Missing ⚠",VLOOKUP(J71,'G-3 Multipliers'!$L$3:$N$6,3,FALSE)))</f>
        <v/>
      </c>
      <c r="M71" s="506" t="str">
        <f>IF(D71="","",VLOOKUP(D71,'G-6 Hedgerow Data'!$B$1:$AH$15,33,FALSE))</f>
        <v/>
      </c>
      <c r="N71" s="513" t="str">
        <f t="shared" si="2"/>
        <v/>
      </c>
      <c r="O71" s="40"/>
      <c r="P71" s="145"/>
      <c r="Q71" s="157"/>
      <c r="R71" s="507" t="str">
        <f t="shared" si="3"/>
        <v/>
      </c>
      <c r="S71" s="507" t="str">
        <f t="shared" si="4"/>
        <v/>
      </c>
      <c r="T71" s="511" t="str">
        <f t="shared" si="5"/>
        <v/>
      </c>
      <c r="U71" s="515"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8" x14ac:dyDescent="0.25">
      <c r="B72" s="141">
        <v>63</v>
      </c>
      <c r="C72" s="203"/>
      <c r="D72" s="203"/>
      <c r="E72" s="153"/>
      <c r="F72" s="498" t="str">
        <f>IF(D72="","",VLOOKUP(D72,'G-6 Hedgerow Data'!$B$2:$AG$15,2,FALSE))</f>
        <v/>
      </c>
      <c r="G72" s="499" t="str">
        <f>IF(D72="","",VLOOKUP(D72,'G-6 Hedgerow Data'!$B$2:$AG$15,3,FALSE))</f>
        <v/>
      </c>
      <c r="H72" s="145"/>
      <c r="I72" s="499" t="str">
        <f>IFERROR(IF(AND(F72="V.Low",OR(H72="Good",H72="Moderate")),"Error ▲",VLOOKUP(H72,'G-1 All Habitats'!$Z$2:$AA$9,2,FALSE)),"")</f>
        <v/>
      </c>
      <c r="J72" s="154"/>
      <c r="K72" s="520" t="str">
        <f>IF(J72="","",IF(VLOOKUP(J72,'G-3 Multipliers'!$L$3:$N$6,2,FALSE)=0,"Spatial Data Missing ⚠",VLOOKUP(J72,'G-3 Multipliers'!$L$3:$N$6,2,FALSE)))</f>
        <v/>
      </c>
      <c r="L72" s="524" t="str">
        <f>IF(J72="","",IF(VLOOKUP(J72,'G-3 Multipliers'!$L$3:$N$6,3,FALSE)=0,"Spatial Data Missing ⚠",VLOOKUP(J72,'G-3 Multipliers'!$L$3:$N$6,3,FALSE)))</f>
        <v/>
      </c>
      <c r="M72" s="506" t="str">
        <f>IF(D72="","",VLOOKUP(D72,'G-6 Hedgerow Data'!$B$1:$AH$15,33,FALSE))</f>
        <v/>
      </c>
      <c r="N72" s="513" t="str">
        <f t="shared" si="2"/>
        <v/>
      </c>
      <c r="O72" s="40"/>
      <c r="P72" s="145"/>
      <c r="Q72" s="157"/>
      <c r="R72" s="507" t="str">
        <f t="shared" si="3"/>
        <v/>
      </c>
      <c r="S72" s="507" t="str">
        <f t="shared" si="4"/>
        <v/>
      </c>
      <c r="T72" s="511" t="str">
        <f t="shared" si="5"/>
        <v/>
      </c>
      <c r="U72" s="515"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8" x14ac:dyDescent="0.25">
      <c r="B73" s="141">
        <v>64</v>
      </c>
      <c r="C73" s="203"/>
      <c r="D73" s="203"/>
      <c r="E73" s="153"/>
      <c r="F73" s="498" t="str">
        <f>IF(D73="","",VLOOKUP(D73,'G-6 Hedgerow Data'!$B$2:$AG$15,2,FALSE))</f>
        <v/>
      </c>
      <c r="G73" s="499" t="str">
        <f>IF(D73="","",VLOOKUP(D73,'G-6 Hedgerow Data'!$B$2:$AG$15,3,FALSE))</f>
        <v/>
      </c>
      <c r="H73" s="145"/>
      <c r="I73" s="499" t="str">
        <f>IFERROR(IF(AND(F73="V.Low",OR(H73="Good",H73="Moderate")),"Error ▲",VLOOKUP(H73,'G-1 All Habitats'!$Z$2:$AA$9,2,FALSE)),"")</f>
        <v/>
      </c>
      <c r="J73" s="154"/>
      <c r="K73" s="520" t="str">
        <f>IF(J73="","",IF(VLOOKUP(J73,'G-3 Multipliers'!$L$3:$N$6,2,FALSE)=0,"Spatial Data Missing ⚠",VLOOKUP(J73,'G-3 Multipliers'!$L$3:$N$6,2,FALSE)))</f>
        <v/>
      </c>
      <c r="L73" s="524" t="str">
        <f>IF(J73="","",IF(VLOOKUP(J73,'G-3 Multipliers'!$L$3:$N$6,3,FALSE)=0,"Spatial Data Missing ⚠",VLOOKUP(J73,'G-3 Multipliers'!$L$3:$N$6,3,FALSE)))</f>
        <v/>
      </c>
      <c r="M73" s="506" t="str">
        <f>IF(D73="","",VLOOKUP(D73,'G-6 Hedgerow Data'!$B$1:$AH$15,33,FALSE))</f>
        <v/>
      </c>
      <c r="N73" s="513" t="str">
        <f t="shared" si="2"/>
        <v/>
      </c>
      <c r="O73" s="40"/>
      <c r="P73" s="145"/>
      <c r="Q73" s="157"/>
      <c r="R73" s="507" t="str">
        <f t="shared" si="3"/>
        <v/>
      </c>
      <c r="S73" s="507" t="str">
        <f t="shared" si="4"/>
        <v/>
      </c>
      <c r="T73" s="511" t="str">
        <f t="shared" si="5"/>
        <v/>
      </c>
      <c r="U73" s="515"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8" x14ac:dyDescent="0.25">
      <c r="B74" s="141">
        <v>65</v>
      </c>
      <c r="C74" s="203"/>
      <c r="D74" s="203"/>
      <c r="E74" s="153"/>
      <c r="F74" s="498" t="str">
        <f>IF(D74="","",VLOOKUP(D74,'G-6 Hedgerow Data'!$B$2:$AG$15,2,FALSE))</f>
        <v/>
      </c>
      <c r="G74" s="499" t="str">
        <f>IF(D74="","",VLOOKUP(D74,'G-6 Hedgerow Data'!$B$2:$AG$15,3,FALSE))</f>
        <v/>
      </c>
      <c r="H74" s="145"/>
      <c r="I74" s="499" t="str">
        <f>IFERROR(IF(AND(F74="V.Low",OR(H74="Good",H74="Moderate")),"Error ▲",VLOOKUP(H74,'G-1 All Habitats'!$Z$2:$AA$9,2,FALSE)),"")</f>
        <v/>
      </c>
      <c r="J74" s="154"/>
      <c r="K74" s="520" t="str">
        <f>IF(J74="","",IF(VLOOKUP(J74,'G-3 Multipliers'!$L$3:$N$6,2,FALSE)=0,"Spatial Data Missing ⚠",VLOOKUP(J74,'G-3 Multipliers'!$L$3:$N$6,2,FALSE)))</f>
        <v/>
      </c>
      <c r="L74" s="524" t="str">
        <f>IF(J74="","",IF(VLOOKUP(J74,'G-3 Multipliers'!$L$3:$N$6,3,FALSE)=0,"Spatial Data Missing ⚠",VLOOKUP(J74,'G-3 Multipliers'!$L$3:$N$6,3,FALSE)))</f>
        <v/>
      </c>
      <c r="M74" s="506" t="str">
        <f>IF(D74="","",VLOOKUP(D74,'G-6 Hedgerow Data'!$B$1:$AH$15,33,FALSE))</f>
        <v/>
      </c>
      <c r="N74" s="513" t="str">
        <f t="shared" si="2"/>
        <v/>
      </c>
      <c r="O74" s="40"/>
      <c r="P74" s="145"/>
      <c r="Q74" s="157"/>
      <c r="R74" s="507" t="str">
        <f t="shared" si="3"/>
        <v/>
      </c>
      <c r="S74" s="507" t="str">
        <f t="shared" si="4"/>
        <v/>
      </c>
      <c r="T74" s="511" t="str">
        <f t="shared" si="5"/>
        <v/>
      </c>
      <c r="U74" s="515"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8" x14ac:dyDescent="0.25">
      <c r="B75" s="141">
        <v>66</v>
      </c>
      <c r="C75" s="203"/>
      <c r="D75" s="203"/>
      <c r="E75" s="153"/>
      <c r="F75" s="498" t="str">
        <f>IF(D75="","",VLOOKUP(D75,'G-6 Hedgerow Data'!$B$2:$AG$15,2,FALSE))</f>
        <v/>
      </c>
      <c r="G75" s="499" t="str">
        <f>IF(D75="","",VLOOKUP(D75,'G-6 Hedgerow Data'!$B$2:$AG$15,3,FALSE))</f>
        <v/>
      </c>
      <c r="H75" s="145"/>
      <c r="I75" s="499" t="str">
        <f>IFERROR(IF(AND(F75="V.Low",OR(H75="Good",H75="Moderate")),"Error ▲",VLOOKUP(H75,'G-1 All Habitats'!$Z$2:$AA$9,2,FALSE)),"")</f>
        <v/>
      </c>
      <c r="J75" s="154"/>
      <c r="K75" s="520" t="str">
        <f>IF(J75="","",IF(VLOOKUP(J75,'G-3 Multipliers'!$L$3:$N$6,2,FALSE)=0,"Spatial Data Missing ⚠",VLOOKUP(J75,'G-3 Multipliers'!$L$3:$N$6,2,FALSE)))</f>
        <v/>
      </c>
      <c r="L75" s="524" t="str">
        <f>IF(J75="","",IF(VLOOKUP(J75,'G-3 Multipliers'!$L$3:$N$6,3,FALSE)=0,"Spatial Data Missing ⚠",VLOOKUP(J75,'G-3 Multipliers'!$L$3:$N$6,3,FALSE)))</f>
        <v/>
      </c>
      <c r="M75" s="506" t="str">
        <f>IF(D75="","",VLOOKUP(D75,'G-6 Hedgerow Data'!$B$1:$AH$15,33,FALSE))</f>
        <v/>
      </c>
      <c r="N75" s="513" t="str">
        <f t="shared" ref="N75:N138" si="9">IFERROR(E75*G75*I75*L75,"")</f>
        <v/>
      </c>
      <c r="O75" s="40"/>
      <c r="P75" s="145"/>
      <c r="Q75" s="157"/>
      <c r="R75" s="507" t="str">
        <f t="shared" ref="R75:R138" si="10">IFERROR(P75*G75*I75*L75,"")</f>
        <v/>
      </c>
      <c r="S75" s="507" t="str">
        <f t="shared" ref="S75:S138" si="11">IFERROR(Q75*G75*I75*L75,"")</f>
        <v/>
      </c>
      <c r="T75" s="511" t="str">
        <f t="shared" ref="T75:T138" si="12">IF(D75="","",IF(E75&lt;P75+Q75,"Error in Lengths ▲",E75-P75-Q75))</f>
        <v/>
      </c>
      <c r="U75" s="515"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8" x14ac:dyDescent="0.25">
      <c r="B76" s="141">
        <v>67</v>
      </c>
      <c r="C76" s="203"/>
      <c r="D76" s="203"/>
      <c r="E76" s="153"/>
      <c r="F76" s="498" t="str">
        <f>IF(D76="","",VLOOKUP(D76,'G-6 Hedgerow Data'!$B$2:$AG$15,2,FALSE))</f>
        <v/>
      </c>
      <c r="G76" s="499" t="str">
        <f>IF(D76="","",VLOOKUP(D76,'G-6 Hedgerow Data'!$B$2:$AG$15,3,FALSE))</f>
        <v/>
      </c>
      <c r="H76" s="145"/>
      <c r="I76" s="499" t="str">
        <f>IFERROR(IF(AND(F76="V.Low",OR(H76="Good",H76="Moderate")),"Error ▲",VLOOKUP(H76,'G-1 All Habitats'!$Z$2:$AA$9,2,FALSE)),"")</f>
        <v/>
      </c>
      <c r="J76" s="154"/>
      <c r="K76" s="520" t="str">
        <f>IF(J76="","",IF(VLOOKUP(J76,'G-3 Multipliers'!$L$3:$N$6,2,FALSE)=0,"Spatial Data Missing ⚠",VLOOKUP(J76,'G-3 Multipliers'!$L$3:$N$6,2,FALSE)))</f>
        <v/>
      </c>
      <c r="L76" s="524" t="str">
        <f>IF(J76="","",IF(VLOOKUP(J76,'G-3 Multipliers'!$L$3:$N$6,3,FALSE)=0,"Spatial Data Missing ⚠",VLOOKUP(J76,'G-3 Multipliers'!$L$3:$N$6,3,FALSE)))</f>
        <v/>
      </c>
      <c r="M76" s="506" t="str">
        <f>IF(D76="","",VLOOKUP(D76,'G-6 Hedgerow Data'!$B$1:$AH$15,33,FALSE))</f>
        <v/>
      </c>
      <c r="N76" s="513" t="str">
        <f t="shared" si="9"/>
        <v/>
      </c>
      <c r="O76" s="40"/>
      <c r="P76" s="145"/>
      <c r="Q76" s="157"/>
      <c r="R76" s="507" t="str">
        <f t="shared" si="10"/>
        <v/>
      </c>
      <c r="S76" s="507" t="str">
        <f t="shared" si="11"/>
        <v/>
      </c>
      <c r="T76" s="511" t="str">
        <f t="shared" si="12"/>
        <v/>
      </c>
      <c r="U76" s="515"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8" x14ac:dyDescent="0.25">
      <c r="B77" s="141">
        <v>68</v>
      </c>
      <c r="C77" s="203"/>
      <c r="D77" s="203"/>
      <c r="E77" s="153"/>
      <c r="F77" s="498" t="str">
        <f>IF(D77="","",VLOOKUP(D77,'G-6 Hedgerow Data'!$B$2:$AG$15,2,FALSE))</f>
        <v/>
      </c>
      <c r="G77" s="499" t="str">
        <f>IF(D77="","",VLOOKUP(D77,'G-6 Hedgerow Data'!$B$2:$AG$15,3,FALSE))</f>
        <v/>
      </c>
      <c r="H77" s="145"/>
      <c r="I77" s="499" t="str">
        <f>IFERROR(IF(AND(F77="V.Low",OR(H77="Good",H77="Moderate")),"Error ▲",VLOOKUP(H77,'G-1 All Habitats'!$Z$2:$AA$9,2,FALSE)),"")</f>
        <v/>
      </c>
      <c r="J77" s="154"/>
      <c r="K77" s="520" t="str">
        <f>IF(J77="","",IF(VLOOKUP(J77,'G-3 Multipliers'!$L$3:$N$6,2,FALSE)=0,"Spatial Data Missing ⚠",VLOOKUP(J77,'G-3 Multipliers'!$L$3:$N$6,2,FALSE)))</f>
        <v/>
      </c>
      <c r="L77" s="524" t="str">
        <f>IF(J77="","",IF(VLOOKUP(J77,'G-3 Multipliers'!$L$3:$N$6,3,FALSE)=0,"Spatial Data Missing ⚠",VLOOKUP(J77,'G-3 Multipliers'!$L$3:$N$6,3,FALSE)))</f>
        <v/>
      </c>
      <c r="M77" s="506" t="str">
        <f>IF(D77="","",VLOOKUP(D77,'G-6 Hedgerow Data'!$B$1:$AH$15,33,FALSE))</f>
        <v/>
      </c>
      <c r="N77" s="513" t="str">
        <f t="shared" si="9"/>
        <v/>
      </c>
      <c r="O77" s="40"/>
      <c r="P77" s="145"/>
      <c r="Q77" s="157"/>
      <c r="R77" s="507" t="str">
        <f t="shared" si="10"/>
        <v/>
      </c>
      <c r="S77" s="507" t="str">
        <f t="shared" si="11"/>
        <v/>
      </c>
      <c r="T77" s="511" t="str">
        <f t="shared" si="12"/>
        <v/>
      </c>
      <c r="U77" s="515"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8" x14ac:dyDescent="0.25">
      <c r="B78" s="141">
        <v>69</v>
      </c>
      <c r="C78" s="203"/>
      <c r="D78" s="203"/>
      <c r="E78" s="153"/>
      <c r="F78" s="498" t="str">
        <f>IF(D78="","",VLOOKUP(D78,'G-6 Hedgerow Data'!$B$2:$AG$15,2,FALSE))</f>
        <v/>
      </c>
      <c r="G78" s="499" t="str">
        <f>IF(D78="","",VLOOKUP(D78,'G-6 Hedgerow Data'!$B$2:$AG$15,3,FALSE))</f>
        <v/>
      </c>
      <c r="H78" s="145"/>
      <c r="I78" s="499" t="str">
        <f>IFERROR(IF(AND(F78="V.Low",OR(H78="Good",H78="Moderate")),"Error ▲",VLOOKUP(H78,'G-1 All Habitats'!$Z$2:$AA$9,2,FALSE)),"")</f>
        <v/>
      </c>
      <c r="J78" s="154"/>
      <c r="K78" s="520" t="str">
        <f>IF(J78="","",IF(VLOOKUP(J78,'G-3 Multipliers'!$L$3:$N$6,2,FALSE)=0,"Spatial Data Missing ⚠",VLOOKUP(J78,'G-3 Multipliers'!$L$3:$N$6,2,FALSE)))</f>
        <v/>
      </c>
      <c r="L78" s="524" t="str">
        <f>IF(J78="","",IF(VLOOKUP(J78,'G-3 Multipliers'!$L$3:$N$6,3,FALSE)=0,"Spatial Data Missing ⚠",VLOOKUP(J78,'G-3 Multipliers'!$L$3:$N$6,3,FALSE)))</f>
        <v/>
      </c>
      <c r="M78" s="506" t="str">
        <f>IF(D78="","",VLOOKUP(D78,'G-6 Hedgerow Data'!$B$1:$AH$15,33,FALSE))</f>
        <v/>
      </c>
      <c r="N78" s="513" t="str">
        <f t="shared" si="9"/>
        <v/>
      </c>
      <c r="O78" s="40"/>
      <c r="P78" s="145"/>
      <c r="Q78" s="157"/>
      <c r="R78" s="507" t="str">
        <f t="shared" si="10"/>
        <v/>
      </c>
      <c r="S78" s="507" t="str">
        <f t="shared" si="11"/>
        <v/>
      </c>
      <c r="T78" s="511" t="str">
        <f t="shared" si="12"/>
        <v/>
      </c>
      <c r="U78" s="515"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8" x14ac:dyDescent="0.25">
      <c r="B79" s="141">
        <v>70</v>
      </c>
      <c r="C79" s="203"/>
      <c r="D79" s="203"/>
      <c r="E79" s="153"/>
      <c r="F79" s="498" t="str">
        <f>IF(D79="","",VLOOKUP(D79,'G-6 Hedgerow Data'!$B$2:$AG$15,2,FALSE))</f>
        <v/>
      </c>
      <c r="G79" s="499" t="str">
        <f>IF(D79="","",VLOOKUP(D79,'G-6 Hedgerow Data'!$B$2:$AG$15,3,FALSE))</f>
        <v/>
      </c>
      <c r="H79" s="145"/>
      <c r="I79" s="499" t="str">
        <f>IFERROR(IF(AND(F79="V.Low",OR(H79="Good",H79="Moderate")),"Error ▲",VLOOKUP(H79,'G-1 All Habitats'!$Z$2:$AA$9,2,FALSE)),"")</f>
        <v/>
      </c>
      <c r="J79" s="154"/>
      <c r="K79" s="520" t="str">
        <f>IF(J79="","",IF(VLOOKUP(J79,'G-3 Multipliers'!$L$3:$N$6,2,FALSE)=0,"Spatial Data Missing ⚠",VLOOKUP(J79,'G-3 Multipliers'!$L$3:$N$6,2,FALSE)))</f>
        <v/>
      </c>
      <c r="L79" s="524" t="str">
        <f>IF(J79="","",IF(VLOOKUP(J79,'G-3 Multipliers'!$L$3:$N$6,3,FALSE)=0,"Spatial Data Missing ⚠",VLOOKUP(J79,'G-3 Multipliers'!$L$3:$N$6,3,FALSE)))</f>
        <v/>
      </c>
      <c r="M79" s="506" t="str">
        <f>IF(D79="","",VLOOKUP(D79,'G-6 Hedgerow Data'!$B$1:$AH$15,33,FALSE))</f>
        <v/>
      </c>
      <c r="N79" s="513" t="str">
        <f t="shared" si="9"/>
        <v/>
      </c>
      <c r="O79" s="40"/>
      <c r="P79" s="145"/>
      <c r="Q79" s="157"/>
      <c r="R79" s="507" t="str">
        <f t="shared" si="10"/>
        <v/>
      </c>
      <c r="S79" s="507" t="str">
        <f t="shared" si="11"/>
        <v/>
      </c>
      <c r="T79" s="511" t="str">
        <f t="shared" si="12"/>
        <v/>
      </c>
      <c r="U79" s="515"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8" x14ac:dyDescent="0.25">
      <c r="B80" s="141">
        <v>71</v>
      </c>
      <c r="C80" s="203"/>
      <c r="D80" s="203"/>
      <c r="E80" s="153"/>
      <c r="F80" s="498" t="str">
        <f>IF(D80="","",VLOOKUP(D80,'G-6 Hedgerow Data'!$B$2:$AG$15,2,FALSE))</f>
        <v/>
      </c>
      <c r="G80" s="499" t="str">
        <f>IF(D80="","",VLOOKUP(D80,'G-6 Hedgerow Data'!$B$2:$AG$15,3,FALSE))</f>
        <v/>
      </c>
      <c r="H80" s="145"/>
      <c r="I80" s="499" t="str">
        <f>IFERROR(IF(AND(F80="V.Low",OR(H80="Good",H80="Moderate")),"Error ▲",VLOOKUP(H80,'G-1 All Habitats'!$Z$2:$AA$9,2,FALSE)),"")</f>
        <v/>
      </c>
      <c r="J80" s="154"/>
      <c r="K80" s="520" t="str">
        <f>IF(J80="","",IF(VLOOKUP(J80,'G-3 Multipliers'!$L$3:$N$6,2,FALSE)=0,"Spatial Data Missing ⚠",VLOOKUP(J80,'G-3 Multipliers'!$L$3:$N$6,2,FALSE)))</f>
        <v/>
      </c>
      <c r="L80" s="524" t="str">
        <f>IF(J80="","",IF(VLOOKUP(J80,'G-3 Multipliers'!$L$3:$N$6,3,FALSE)=0,"Spatial Data Missing ⚠",VLOOKUP(J80,'G-3 Multipliers'!$L$3:$N$6,3,FALSE)))</f>
        <v/>
      </c>
      <c r="M80" s="506" t="str">
        <f>IF(D80="","",VLOOKUP(D80,'G-6 Hedgerow Data'!$B$1:$AH$15,33,FALSE))</f>
        <v/>
      </c>
      <c r="N80" s="513" t="str">
        <f t="shared" si="9"/>
        <v/>
      </c>
      <c r="O80" s="40"/>
      <c r="P80" s="145"/>
      <c r="Q80" s="157"/>
      <c r="R80" s="507" t="str">
        <f t="shared" si="10"/>
        <v/>
      </c>
      <c r="S80" s="507" t="str">
        <f t="shared" si="11"/>
        <v/>
      </c>
      <c r="T80" s="511" t="str">
        <f t="shared" si="12"/>
        <v/>
      </c>
      <c r="U80" s="515"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8" x14ac:dyDescent="0.25">
      <c r="B81" s="141">
        <v>72</v>
      </c>
      <c r="C81" s="203"/>
      <c r="D81" s="203"/>
      <c r="E81" s="153"/>
      <c r="F81" s="498" t="str">
        <f>IF(D81="","",VLOOKUP(D81,'G-6 Hedgerow Data'!$B$2:$AG$15,2,FALSE))</f>
        <v/>
      </c>
      <c r="G81" s="499" t="str">
        <f>IF(D81="","",VLOOKUP(D81,'G-6 Hedgerow Data'!$B$2:$AG$15,3,FALSE))</f>
        <v/>
      </c>
      <c r="H81" s="145"/>
      <c r="I81" s="499" t="str">
        <f>IFERROR(IF(AND(F81="V.Low",OR(H81="Good",H81="Moderate")),"Error ▲",VLOOKUP(H81,'G-1 All Habitats'!$Z$2:$AA$9,2,FALSE)),"")</f>
        <v/>
      </c>
      <c r="J81" s="154"/>
      <c r="K81" s="520" t="str">
        <f>IF(J81="","",IF(VLOOKUP(J81,'G-3 Multipliers'!$L$3:$N$6,2,FALSE)=0,"Spatial Data Missing ⚠",VLOOKUP(J81,'G-3 Multipliers'!$L$3:$N$6,2,FALSE)))</f>
        <v/>
      </c>
      <c r="L81" s="524" t="str">
        <f>IF(J81="","",IF(VLOOKUP(J81,'G-3 Multipliers'!$L$3:$N$6,3,FALSE)=0,"Spatial Data Missing ⚠",VLOOKUP(J81,'G-3 Multipliers'!$L$3:$N$6,3,FALSE)))</f>
        <v/>
      </c>
      <c r="M81" s="506" t="str">
        <f>IF(D81="","",VLOOKUP(D81,'G-6 Hedgerow Data'!$B$1:$AH$15,33,FALSE))</f>
        <v/>
      </c>
      <c r="N81" s="513" t="str">
        <f t="shared" si="9"/>
        <v/>
      </c>
      <c r="O81" s="40"/>
      <c r="P81" s="145"/>
      <c r="Q81" s="157"/>
      <c r="R81" s="507" t="str">
        <f t="shared" si="10"/>
        <v/>
      </c>
      <c r="S81" s="507" t="str">
        <f t="shared" si="11"/>
        <v/>
      </c>
      <c r="T81" s="511" t="str">
        <f t="shared" si="12"/>
        <v/>
      </c>
      <c r="U81" s="515"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8" x14ac:dyDescent="0.25">
      <c r="B82" s="141">
        <v>73</v>
      </c>
      <c r="C82" s="203"/>
      <c r="D82" s="203"/>
      <c r="E82" s="153"/>
      <c r="F82" s="498" t="str">
        <f>IF(D82="","",VLOOKUP(D82,'G-6 Hedgerow Data'!$B$2:$AG$15,2,FALSE))</f>
        <v/>
      </c>
      <c r="G82" s="499" t="str">
        <f>IF(D82="","",VLOOKUP(D82,'G-6 Hedgerow Data'!$B$2:$AG$15,3,FALSE))</f>
        <v/>
      </c>
      <c r="H82" s="145"/>
      <c r="I82" s="499" t="str">
        <f>IFERROR(IF(AND(F82="V.Low",OR(H82="Good",H82="Moderate")),"Error ▲",VLOOKUP(H82,'G-1 All Habitats'!$Z$2:$AA$9,2,FALSE)),"")</f>
        <v/>
      </c>
      <c r="J82" s="154"/>
      <c r="K82" s="520" t="str">
        <f>IF(J82="","",IF(VLOOKUP(J82,'G-3 Multipliers'!$L$3:$N$6,2,FALSE)=0,"Spatial Data Missing ⚠",VLOOKUP(J82,'G-3 Multipliers'!$L$3:$N$6,2,FALSE)))</f>
        <v/>
      </c>
      <c r="L82" s="524" t="str">
        <f>IF(J82="","",IF(VLOOKUP(J82,'G-3 Multipliers'!$L$3:$N$6,3,FALSE)=0,"Spatial Data Missing ⚠",VLOOKUP(J82,'G-3 Multipliers'!$L$3:$N$6,3,FALSE)))</f>
        <v/>
      </c>
      <c r="M82" s="506" t="str">
        <f>IF(D82="","",VLOOKUP(D82,'G-6 Hedgerow Data'!$B$1:$AH$15,33,FALSE))</f>
        <v/>
      </c>
      <c r="N82" s="513" t="str">
        <f t="shared" si="9"/>
        <v/>
      </c>
      <c r="O82" s="40"/>
      <c r="P82" s="145"/>
      <c r="Q82" s="157"/>
      <c r="R82" s="507" t="str">
        <f t="shared" si="10"/>
        <v/>
      </c>
      <c r="S82" s="507" t="str">
        <f t="shared" si="11"/>
        <v/>
      </c>
      <c r="T82" s="511" t="str">
        <f t="shared" si="12"/>
        <v/>
      </c>
      <c r="U82" s="515"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8" x14ac:dyDescent="0.25">
      <c r="B83" s="141">
        <v>74</v>
      </c>
      <c r="C83" s="203"/>
      <c r="D83" s="203"/>
      <c r="E83" s="153"/>
      <c r="F83" s="498" t="str">
        <f>IF(D83="","",VLOOKUP(D83,'G-6 Hedgerow Data'!$B$2:$AG$15,2,FALSE))</f>
        <v/>
      </c>
      <c r="G83" s="499" t="str">
        <f>IF(D83="","",VLOOKUP(D83,'G-6 Hedgerow Data'!$B$2:$AG$15,3,FALSE))</f>
        <v/>
      </c>
      <c r="H83" s="145"/>
      <c r="I83" s="499" t="str">
        <f>IFERROR(IF(AND(F83="V.Low",OR(H83="Good",H83="Moderate")),"Error ▲",VLOOKUP(H83,'G-1 All Habitats'!$Z$2:$AA$9,2,FALSE)),"")</f>
        <v/>
      </c>
      <c r="J83" s="154"/>
      <c r="K83" s="520" t="str">
        <f>IF(J83="","",IF(VLOOKUP(J83,'G-3 Multipliers'!$L$3:$N$6,2,FALSE)=0,"Spatial Data Missing ⚠",VLOOKUP(J83,'G-3 Multipliers'!$L$3:$N$6,2,FALSE)))</f>
        <v/>
      </c>
      <c r="L83" s="524" t="str">
        <f>IF(J83="","",IF(VLOOKUP(J83,'G-3 Multipliers'!$L$3:$N$6,3,FALSE)=0,"Spatial Data Missing ⚠",VLOOKUP(J83,'G-3 Multipliers'!$L$3:$N$6,3,FALSE)))</f>
        <v/>
      </c>
      <c r="M83" s="506" t="str">
        <f>IF(D83="","",VLOOKUP(D83,'G-6 Hedgerow Data'!$B$1:$AH$15,33,FALSE))</f>
        <v/>
      </c>
      <c r="N83" s="513" t="str">
        <f t="shared" si="9"/>
        <v/>
      </c>
      <c r="O83" s="40"/>
      <c r="P83" s="145"/>
      <c r="Q83" s="157"/>
      <c r="R83" s="507" t="str">
        <f t="shared" si="10"/>
        <v/>
      </c>
      <c r="S83" s="507" t="str">
        <f t="shared" si="11"/>
        <v/>
      </c>
      <c r="T83" s="511" t="str">
        <f t="shared" si="12"/>
        <v/>
      </c>
      <c r="U83" s="515"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8" x14ac:dyDescent="0.25">
      <c r="B84" s="141">
        <v>75</v>
      </c>
      <c r="C84" s="203"/>
      <c r="D84" s="203"/>
      <c r="E84" s="153"/>
      <c r="F84" s="498" t="str">
        <f>IF(D84="","",VLOOKUP(D84,'G-6 Hedgerow Data'!$B$2:$AG$15,2,FALSE))</f>
        <v/>
      </c>
      <c r="G84" s="499" t="str">
        <f>IF(D84="","",VLOOKUP(D84,'G-6 Hedgerow Data'!$B$2:$AG$15,3,FALSE))</f>
        <v/>
      </c>
      <c r="H84" s="145"/>
      <c r="I84" s="499" t="str">
        <f>IFERROR(IF(AND(F84="V.Low",OR(H84="Good",H84="Moderate")),"Error ▲",VLOOKUP(H84,'G-1 All Habitats'!$Z$2:$AA$9,2,FALSE)),"")</f>
        <v/>
      </c>
      <c r="J84" s="154"/>
      <c r="K84" s="520" t="str">
        <f>IF(J84="","",IF(VLOOKUP(J84,'G-3 Multipliers'!$L$3:$N$6,2,FALSE)=0,"Spatial Data Missing ⚠",VLOOKUP(J84,'G-3 Multipliers'!$L$3:$N$6,2,FALSE)))</f>
        <v/>
      </c>
      <c r="L84" s="524" t="str">
        <f>IF(J84="","",IF(VLOOKUP(J84,'G-3 Multipliers'!$L$3:$N$6,3,FALSE)=0,"Spatial Data Missing ⚠",VLOOKUP(J84,'G-3 Multipliers'!$L$3:$N$6,3,FALSE)))</f>
        <v/>
      </c>
      <c r="M84" s="506" t="str">
        <f>IF(D84="","",VLOOKUP(D84,'G-6 Hedgerow Data'!$B$1:$AH$15,33,FALSE))</f>
        <v/>
      </c>
      <c r="N84" s="513" t="str">
        <f t="shared" si="9"/>
        <v/>
      </c>
      <c r="O84" s="40"/>
      <c r="P84" s="145"/>
      <c r="Q84" s="157"/>
      <c r="R84" s="507" t="str">
        <f t="shared" si="10"/>
        <v/>
      </c>
      <c r="S84" s="507" t="str">
        <f t="shared" si="11"/>
        <v/>
      </c>
      <c r="T84" s="511" t="str">
        <f t="shared" si="12"/>
        <v/>
      </c>
      <c r="U84" s="515"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8" x14ac:dyDescent="0.25">
      <c r="B85" s="141">
        <v>76</v>
      </c>
      <c r="C85" s="203"/>
      <c r="D85" s="203"/>
      <c r="E85" s="153"/>
      <c r="F85" s="498" t="str">
        <f>IF(D85="","",VLOOKUP(D85,'G-6 Hedgerow Data'!$B$2:$AG$15,2,FALSE))</f>
        <v/>
      </c>
      <c r="G85" s="499" t="str">
        <f>IF(D85="","",VLOOKUP(D85,'G-6 Hedgerow Data'!$B$2:$AG$15,3,FALSE))</f>
        <v/>
      </c>
      <c r="H85" s="145"/>
      <c r="I85" s="499" t="str">
        <f>IFERROR(IF(AND(F85="V.Low",OR(H85="Good",H85="Moderate")),"Error ▲",VLOOKUP(H85,'G-1 All Habitats'!$Z$2:$AA$9,2,FALSE)),"")</f>
        <v/>
      </c>
      <c r="J85" s="154"/>
      <c r="K85" s="520" t="str">
        <f>IF(J85="","",IF(VLOOKUP(J85,'G-3 Multipliers'!$L$3:$N$6,2,FALSE)=0,"Spatial Data Missing ⚠",VLOOKUP(J85,'G-3 Multipliers'!$L$3:$N$6,2,FALSE)))</f>
        <v/>
      </c>
      <c r="L85" s="524" t="str">
        <f>IF(J85="","",IF(VLOOKUP(J85,'G-3 Multipliers'!$L$3:$N$6,3,FALSE)=0,"Spatial Data Missing ⚠",VLOOKUP(J85,'G-3 Multipliers'!$L$3:$N$6,3,FALSE)))</f>
        <v/>
      </c>
      <c r="M85" s="506" t="str">
        <f>IF(D85="","",VLOOKUP(D85,'G-6 Hedgerow Data'!$B$1:$AH$15,33,FALSE))</f>
        <v/>
      </c>
      <c r="N85" s="513" t="str">
        <f t="shared" si="9"/>
        <v/>
      </c>
      <c r="O85" s="40"/>
      <c r="P85" s="145"/>
      <c r="Q85" s="157"/>
      <c r="R85" s="507" t="str">
        <f t="shared" si="10"/>
        <v/>
      </c>
      <c r="S85" s="507" t="str">
        <f t="shared" si="11"/>
        <v/>
      </c>
      <c r="T85" s="511" t="str">
        <f t="shared" si="12"/>
        <v/>
      </c>
      <c r="U85" s="515"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8" x14ac:dyDescent="0.25">
      <c r="B86" s="141">
        <v>77</v>
      </c>
      <c r="C86" s="203"/>
      <c r="D86" s="203"/>
      <c r="E86" s="153"/>
      <c r="F86" s="498" t="str">
        <f>IF(D86="","",VLOOKUP(D86,'G-6 Hedgerow Data'!$B$2:$AG$15,2,FALSE))</f>
        <v/>
      </c>
      <c r="G86" s="499" t="str">
        <f>IF(D86="","",VLOOKUP(D86,'G-6 Hedgerow Data'!$B$2:$AG$15,3,FALSE))</f>
        <v/>
      </c>
      <c r="H86" s="145"/>
      <c r="I86" s="499" t="str">
        <f>IFERROR(IF(AND(F86="V.Low",OR(H86="Good",H86="Moderate")),"Error ▲",VLOOKUP(H86,'G-1 All Habitats'!$Z$2:$AA$9,2,FALSE)),"")</f>
        <v/>
      </c>
      <c r="J86" s="154"/>
      <c r="K86" s="520" t="str">
        <f>IF(J86="","",IF(VLOOKUP(J86,'G-3 Multipliers'!$L$3:$N$6,2,FALSE)=0,"Spatial Data Missing ⚠",VLOOKUP(J86,'G-3 Multipliers'!$L$3:$N$6,2,FALSE)))</f>
        <v/>
      </c>
      <c r="L86" s="524" t="str">
        <f>IF(J86="","",IF(VLOOKUP(J86,'G-3 Multipliers'!$L$3:$N$6,3,FALSE)=0,"Spatial Data Missing ⚠",VLOOKUP(J86,'G-3 Multipliers'!$L$3:$N$6,3,FALSE)))</f>
        <v/>
      </c>
      <c r="M86" s="506" t="str">
        <f>IF(D86="","",VLOOKUP(D86,'G-6 Hedgerow Data'!$B$1:$AH$15,33,FALSE))</f>
        <v/>
      </c>
      <c r="N86" s="513" t="str">
        <f t="shared" si="9"/>
        <v/>
      </c>
      <c r="O86" s="40"/>
      <c r="P86" s="145"/>
      <c r="Q86" s="157"/>
      <c r="R86" s="507" t="str">
        <f t="shared" si="10"/>
        <v/>
      </c>
      <c r="S86" s="507" t="str">
        <f t="shared" si="11"/>
        <v/>
      </c>
      <c r="T86" s="511" t="str">
        <f t="shared" si="12"/>
        <v/>
      </c>
      <c r="U86" s="515"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8" x14ac:dyDescent="0.25">
      <c r="B87" s="141">
        <v>78</v>
      </c>
      <c r="C87" s="203"/>
      <c r="D87" s="203"/>
      <c r="E87" s="153"/>
      <c r="F87" s="498" t="str">
        <f>IF(D87="","",VLOOKUP(D87,'G-6 Hedgerow Data'!$B$2:$AG$15,2,FALSE))</f>
        <v/>
      </c>
      <c r="G87" s="499" t="str">
        <f>IF(D87="","",VLOOKUP(D87,'G-6 Hedgerow Data'!$B$2:$AG$15,3,FALSE))</f>
        <v/>
      </c>
      <c r="H87" s="145"/>
      <c r="I87" s="499" t="str">
        <f>IFERROR(IF(AND(F87="V.Low",OR(H87="Good",H87="Moderate")),"Error ▲",VLOOKUP(H87,'G-1 All Habitats'!$Z$2:$AA$9,2,FALSE)),"")</f>
        <v/>
      </c>
      <c r="J87" s="154"/>
      <c r="K87" s="520" t="str">
        <f>IF(J87="","",IF(VLOOKUP(J87,'G-3 Multipliers'!$L$3:$N$6,2,FALSE)=0,"Spatial Data Missing ⚠",VLOOKUP(J87,'G-3 Multipliers'!$L$3:$N$6,2,FALSE)))</f>
        <v/>
      </c>
      <c r="L87" s="524" t="str">
        <f>IF(J87="","",IF(VLOOKUP(J87,'G-3 Multipliers'!$L$3:$N$6,3,FALSE)=0,"Spatial Data Missing ⚠",VLOOKUP(J87,'G-3 Multipliers'!$L$3:$N$6,3,FALSE)))</f>
        <v/>
      </c>
      <c r="M87" s="506" t="str">
        <f>IF(D87="","",VLOOKUP(D87,'G-6 Hedgerow Data'!$B$1:$AH$15,33,FALSE))</f>
        <v/>
      </c>
      <c r="N87" s="513" t="str">
        <f t="shared" si="9"/>
        <v/>
      </c>
      <c r="O87" s="40"/>
      <c r="P87" s="145"/>
      <c r="Q87" s="157"/>
      <c r="R87" s="507" t="str">
        <f t="shared" si="10"/>
        <v/>
      </c>
      <c r="S87" s="507" t="str">
        <f t="shared" si="11"/>
        <v/>
      </c>
      <c r="T87" s="511" t="str">
        <f t="shared" si="12"/>
        <v/>
      </c>
      <c r="U87" s="515"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8" x14ac:dyDescent="0.25">
      <c r="B88" s="141">
        <v>79</v>
      </c>
      <c r="C88" s="203"/>
      <c r="D88" s="203"/>
      <c r="E88" s="153"/>
      <c r="F88" s="498" t="str">
        <f>IF(D88="","",VLOOKUP(D88,'G-6 Hedgerow Data'!$B$2:$AG$15,2,FALSE))</f>
        <v/>
      </c>
      <c r="G88" s="499" t="str">
        <f>IF(D88="","",VLOOKUP(D88,'G-6 Hedgerow Data'!$B$2:$AG$15,3,FALSE))</f>
        <v/>
      </c>
      <c r="H88" s="145"/>
      <c r="I88" s="499" t="str">
        <f>IFERROR(IF(AND(F88="V.Low",OR(H88="Good",H88="Moderate")),"Error ▲",VLOOKUP(H88,'G-1 All Habitats'!$Z$2:$AA$9,2,FALSE)),"")</f>
        <v/>
      </c>
      <c r="J88" s="154"/>
      <c r="K88" s="520" t="str">
        <f>IF(J88="","",IF(VLOOKUP(J88,'G-3 Multipliers'!$L$3:$N$6,2,FALSE)=0,"Spatial Data Missing ⚠",VLOOKUP(J88,'G-3 Multipliers'!$L$3:$N$6,2,FALSE)))</f>
        <v/>
      </c>
      <c r="L88" s="524" t="str">
        <f>IF(J88="","",IF(VLOOKUP(J88,'G-3 Multipliers'!$L$3:$N$6,3,FALSE)=0,"Spatial Data Missing ⚠",VLOOKUP(J88,'G-3 Multipliers'!$L$3:$N$6,3,FALSE)))</f>
        <v/>
      </c>
      <c r="M88" s="506" t="str">
        <f>IF(D88="","",VLOOKUP(D88,'G-6 Hedgerow Data'!$B$1:$AH$15,33,FALSE))</f>
        <v/>
      </c>
      <c r="N88" s="513" t="str">
        <f t="shared" si="9"/>
        <v/>
      </c>
      <c r="O88" s="40"/>
      <c r="P88" s="145"/>
      <c r="Q88" s="157"/>
      <c r="R88" s="507" t="str">
        <f t="shared" si="10"/>
        <v/>
      </c>
      <c r="S88" s="507" t="str">
        <f t="shared" si="11"/>
        <v/>
      </c>
      <c r="T88" s="511" t="str">
        <f t="shared" si="12"/>
        <v/>
      </c>
      <c r="U88" s="515"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8" x14ac:dyDescent="0.25">
      <c r="B89" s="141">
        <v>80</v>
      </c>
      <c r="C89" s="203"/>
      <c r="D89" s="203"/>
      <c r="E89" s="153"/>
      <c r="F89" s="498" t="str">
        <f>IF(D89="","",VLOOKUP(D89,'G-6 Hedgerow Data'!$B$2:$AG$15,2,FALSE))</f>
        <v/>
      </c>
      <c r="G89" s="499" t="str">
        <f>IF(D89="","",VLOOKUP(D89,'G-6 Hedgerow Data'!$B$2:$AG$15,3,FALSE))</f>
        <v/>
      </c>
      <c r="H89" s="145"/>
      <c r="I89" s="499" t="str">
        <f>IFERROR(IF(AND(F89="V.Low",OR(H89="Good",H89="Moderate")),"Error ▲",VLOOKUP(H89,'G-1 All Habitats'!$Z$2:$AA$9,2,FALSE)),"")</f>
        <v/>
      </c>
      <c r="J89" s="154"/>
      <c r="K89" s="520" t="str">
        <f>IF(J89="","",IF(VLOOKUP(J89,'G-3 Multipliers'!$L$3:$N$6,2,FALSE)=0,"Spatial Data Missing ⚠",VLOOKUP(J89,'G-3 Multipliers'!$L$3:$N$6,2,FALSE)))</f>
        <v/>
      </c>
      <c r="L89" s="524" t="str">
        <f>IF(J89="","",IF(VLOOKUP(J89,'G-3 Multipliers'!$L$3:$N$6,3,FALSE)=0,"Spatial Data Missing ⚠",VLOOKUP(J89,'G-3 Multipliers'!$L$3:$N$6,3,FALSE)))</f>
        <v/>
      </c>
      <c r="M89" s="506" t="str">
        <f>IF(D89="","",VLOOKUP(D89,'G-6 Hedgerow Data'!$B$1:$AH$15,33,FALSE))</f>
        <v/>
      </c>
      <c r="N89" s="513" t="str">
        <f t="shared" si="9"/>
        <v/>
      </c>
      <c r="O89" s="40"/>
      <c r="P89" s="145"/>
      <c r="Q89" s="157"/>
      <c r="R89" s="507" t="str">
        <f t="shared" si="10"/>
        <v/>
      </c>
      <c r="S89" s="507" t="str">
        <f t="shared" si="11"/>
        <v/>
      </c>
      <c r="T89" s="511" t="str">
        <f t="shared" si="12"/>
        <v/>
      </c>
      <c r="U89" s="515"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8" x14ac:dyDescent="0.25">
      <c r="B90" s="141">
        <v>81</v>
      </c>
      <c r="C90" s="203"/>
      <c r="D90" s="203"/>
      <c r="E90" s="153"/>
      <c r="F90" s="498" t="str">
        <f>IF(D90="","",VLOOKUP(D90,'G-6 Hedgerow Data'!$B$2:$AG$15,2,FALSE))</f>
        <v/>
      </c>
      <c r="G90" s="499" t="str">
        <f>IF(D90="","",VLOOKUP(D90,'G-6 Hedgerow Data'!$B$2:$AG$15,3,FALSE))</f>
        <v/>
      </c>
      <c r="H90" s="145"/>
      <c r="I90" s="499" t="str">
        <f>IFERROR(IF(AND(F90="V.Low",OR(H90="Good",H90="Moderate")),"Error ▲",VLOOKUP(H90,'G-1 All Habitats'!$Z$2:$AA$9,2,FALSE)),"")</f>
        <v/>
      </c>
      <c r="J90" s="154"/>
      <c r="K90" s="520" t="str">
        <f>IF(J90="","",IF(VLOOKUP(J90,'G-3 Multipliers'!$L$3:$N$6,2,FALSE)=0,"Spatial Data Missing ⚠",VLOOKUP(J90,'G-3 Multipliers'!$L$3:$N$6,2,FALSE)))</f>
        <v/>
      </c>
      <c r="L90" s="524" t="str">
        <f>IF(J90="","",IF(VLOOKUP(J90,'G-3 Multipliers'!$L$3:$N$6,3,FALSE)=0,"Spatial Data Missing ⚠",VLOOKUP(J90,'G-3 Multipliers'!$L$3:$N$6,3,FALSE)))</f>
        <v/>
      </c>
      <c r="M90" s="506" t="str">
        <f>IF(D90="","",VLOOKUP(D90,'G-6 Hedgerow Data'!$B$1:$AH$15,33,FALSE))</f>
        <v/>
      </c>
      <c r="N90" s="513" t="str">
        <f t="shared" si="9"/>
        <v/>
      </c>
      <c r="O90" s="40"/>
      <c r="P90" s="145"/>
      <c r="Q90" s="157"/>
      <c r="R90" s="507" t="str">
        <f t="shared" si="10"/>
        <v/>
      </c>
      <c r="S90" s="507" t="str">
        <f t="shared" si="11"/>
        <v/>
      </c>
      <c r="T90" s="511" t="str">
        <f t="shared" si="12"/>
        <v/>
      </c>
      <c r="U90" s="515"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8" x14ac:dyDescent="0.25">
      <c r="B91" s="141">
        <v>82</v>
      </c>
      <c r="C91" s="203"/>
      <c r="D91" s="203"/>
      <c r="E91" s="153"/>
      <c r="F91" s="498" t="str">
        <f>IF(D91="","",VLOOKUP(D91,'G-6 Hedgerow Data'!$B$2:$AG$15,2,FALSE))</f>
        <v/>
      </c>
      <c r="G91" s="499" t="str">
        <f>IF(D91="","",VLOOKUP(D91,'G-6 Hedgerow Data'!$B$2:$AG$15,3,FALSE))</f>
        <v/>
      </c>
      <c r="H91" s="145"/>
      <c r="I91" s="499" t="str">
        <f>IFERROR(IF(AND(F91="V.Low",OR(H91="Good",H91="Moderate")),"Error ▲",VLOOKUP(H91,'G-1 All Habitats'!$Z$2:$AA$9,2,FALSE)),"")</f>
        <v/>
      </c>
      <c r="J91" s="154"/>
      <c r="K91" s="520" t="str">
        <f>IF(J91="","",IF(VLOOKUP(J91,'G-3 Multipliers'!$L$3:$N$6,2,FALSE)=0,"Spatial Data Missing ⚠",VLOOKUP(J91,'G-3 Multipliers'!$L$3:$N$6,2,FALSE)))</f>
        <v/>
      </c>
      <c r="L91" s="524" t="str">
        <f>IF(J91="","",IF(VLOOKUP(J91,'G-3 Multipliers'!$L$3:$N$6,3,FALSE)=0,"Spatial Data Missing ⚠",VLOOKUP(J91,'G-3 Multipliers'!$L$3:$N$6,3,FALSE)))</f>
        <v/>
      </c>
      <c r="M91" s="506" t="str">
        <f>IF(D91="","",VLOOKUP(D91,'G-6 Hedgerow Data'!$B$1:$AH$15,33,FALSE))</f>
        <v/>
      </c>
      <c r="N91" s="513" t="str">
        <f t="shared" si="9"/>
        <v/>
      </c>
      <c r="O91" s="40"/>
      <c r="P91" s="145"/>
      <c r="Q91" s="157"/>
      <c r="R91" s="507" t="str">
        <f t="shared" si="10"/>
        <v/>
      </c>
      <c r="S91" s="507" t="str">
        <f t="shared" si="11"/>
        <v/>
      </c>
      <c r="T91" s="511" t="str">
        <f t="shared" si="12"/>
        <v/>
      </c>
      <c r="U91" s="515"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8" x14ac:dyDescent="0.25">
      <c r="B92" s="141">
        <v>83</v>
      </c>
      <c r="C92" s="203"/>
      <c r="D92" s="203"/>
      <c r="E92" s="153"/>
      <c r="F92" s="498" t="str">
        <f>IF(D92="","",VLOOKUP(D92,'G-6 Hedgerow Data'!$B$2:$AG$15,2,FALSE))</f>
        <v/>
      </c>
      <c r="G92" s="499" t="str">
        <f>IF(D92="","",VLOOKUP(D92,'G-6 Hedgerow Data'!$B$2:$AG$15,3,FALSE))</f>
        <v/>
      </c>
      <c r="H92" s="145"/>
      <c r="I92" s="499" t="str">
        <f>IFERROR(IF(AND(F92="V.Low",OR(H92="Good",H92="Moderate")),"Error ▲",VLOOKUP(H92,'G-1 All Habitats'!$Z$2:$AA$9,2,FALSE)),"")</f>
        <v/>
      </c>
      <c r="J92" s="154"/>
      <c r="K92" s="520" t="str">
        <f>IF(J92="","",IF(VLOOKUP(J92,'G-3 Multipliers'!$L$3:$N$6,2,FALSE)=0,"Spatial Data Missing ⚠",VLOOKUP(J92,'G-3 Multipliers'!$L$3:$N$6,2,FALSE)))</f>
        <v/>
      </c>
      <c r="L92" s="524" t="str">
        <f>IF(J92="","",IF(VLOOKUP(J92,'G-3 Multipliers'!$L$3:$N$6,3,FALSE)=0,"Spatial Data Missing ⚠",VLOOKUP(J92,'G-3 Multipliers'!$L$3:$N$6,3,FALSE)))</f>
        <v/>
      </c>
      <c r="M92" s="506" t="str">
        <f>IF(D92="","",VLOOKUP(D92,'G-6 Hedgerow Data'!$B$1:$AH$15,33,FALSE))</f>
        <v/>
      </c>
      <c r="N92" s="513" t="str">
        <f t="shared" si="9"/>
        <v/>
      </c>
      <c r="O92" s="40"/>
      <c r="P92" s="145"/>
      <c r="Q92" s="157"/>
      <c r="R92" s="507" t="str">
        <f t="shared" si="10"/>
        <v/>
      </c>
      <c r="S92" s="507" t="str">
        <f t="shared" si="11"/>
        <v/>
      </c>
      <c r="T92" s="511" t="str">
        <f t="shared" si="12"/>
        <v/>
      </c>
      <c r="U92" s="515"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8" x14ac:dyDescent="0.25">
      <c r="B93" s="141">
        <v>84</v>
      </c>
      <c r="C93" s="203"/>
      <c r="D93" s="203"/>
      <c r="E93" s="153"/>
      <c r="F93" s="498" t="str">
        <f>IF(D93="","",VLOOKUP(D93,'G-6 Hedgerow Data'!$B$2:$AG$15,2,FALSE))</f>
        <v/>
      </c>
      <c r="G93" s="499" t="str">
        <f>IF(D93="","",VLOOKUP(D93,'G-6 Hedgerow Data'!$B$2:$AG$15,3,FALSE))</f>
        <v/>
      </c>
      <c r="H93" s="145"/>
      <c r="I93" s="499" t="str">
        <f>IFERROR(IF(AND(F93="V.Low",OR(H93="Good",H93="Moderate")),"Error ▲",VLOOKUP(H93,'G-1 All Habitats'!$Z$2:$AA$9,2,FALSE)),"")</f>
        <v/>
      </c>
      <c r="J93" s="154"/>
      <c r="K93" s="520" t="str">
        <f>IF(J93="","",IF(VLOOKUP(J93,'G-3 Multipliers'!$L$3:$N$6,2,FALSE)=0,"Spatial Data Missing ⚠",VLOOKUP(J93,'G-3 Multipliers'!$L$3:$N$6,2,FALSE)))</f>
        <v/>
      </c>
      <c r="L93" s="524" t="str">
        <f>IF(J93="","",IF(VLOOKUP(J93,'G-3 Multipliers'!$L$3:$N$6,3,FALSE)=0,"Spatial Data Missing ⚠",VLOOKUP(J93,'G-3 Multipliers'!$L$3:$N$6,3,FALSE)))</f>
        <v/>
      </c>
      <c r="M93" s="506" t="str">
        <f>IF(D93="","",VLOOKUP(D93,'G-6 Hedgerow Data'!$B$1:$AH$15,33,FALSE))</f>
        <v/>
      </c>
      <c r="N93" s="513" t="str">
        <f t="shared" si="9"/>
        <v/>
      </c>
      <c r="O93" s="40"/>
      <c r="P93" s="145"/>
      <c r="Q93" s="157"/>
      <c r="R93" s="507" t="str">
        <f t="shared" si="10"/>
        <v/>
      </c>
      <c r="S93" s="507" t="str">
        <f t="shared" si="11"/>
        <v/>
      </c>
      <c r="T93" s="511" t="str">
        <f t="shared" si="12"/>
        <v/>
      </c>
      <c r="U93" s="515"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8" x14ac:dyDescent="0.25">
      <c r="B94" s="141">
        <v>85</v>
      </c>
      <c r="C94" s="203"/>
      <c r="D94" s="203"/>
      <c r="E94" s="153"/>
      <c r="F94" s="498" t="str">
        <f>IF(D94="","",VLOOKUP(D94,'G-6 Hedgerow Data'!$B$2:$AG$15,2,FALSE))</f>
        <v/>
      </c>
      <c r="G94" s="499" t="str">
        <f>IF(D94="","",VLOOKUP(D94,'G-6 Hedgerow Data'!$B$2:$AG$15,3,FALSE))</f>
        <v/>
      </c>
      <c r="H94" s="145"/>
      <c r="I94" s="499" t="str">
        <f>IFERROR(IF(AND(F94="V.Low",OR(H94="Good",H94="Moderate")),"Error ▲",VLOOKUP(H94,'G-1 All Habitats'!$Z$2:$AA$9,2,FALSE)),"")</f>
        <v/>
      </c>
      <c r="J94" s="154"/>
      <c r="K94" s="520" t="str">
        <f>IF(J94="","",IF(VLOOKUP(J94,'G-3 Multipliers'!$L$3:$N$6,2,FALSE)=0,"Spatial Data Missing ⚠",VLOOKUP(J94,'G-3 Multipliers'!$L$3:$N$6,2,FALSE)))</f>
        <v/>
      </c>
      <c r="L94" s="524" t="str">
        <f>IF(J94="","",IF(VLOOKUP(J94,'G-3 Multipliers'!$L$3:$N$6,3,FALSE)=0,"Spatial Data Missing ⚠",VLOOKUP(J94,'G-3 Multipliers'!$L$3:$N$6,3,FALSE)))</f>
        <v/>
      </c>
      <c r="M94" s="506" t="str">
        <f>IF(D94="","",VLOOKUP(D94,'G-6 Hedgerow Data'!$B$1:$AH$15,33,FALSE))</f>
        <v/>
      </c>
      <c r="N94" s="513" t="str">
        <f t="shared" si="9"/>
        <v/>
      </c>
      <c r="O94" s="40"/>
      <c r="P94" s="145"/>
      <c r="Q94" s="157"/>
      <c r="R94" s="507" t="str">
        <f t="shared" si="10"/>
        <v/>
      </c>
      <c r="S94" s="507" t="str">
        <f t="shared" si="11"/>
        <v/>
      </c>
      <c r="T94" s="511" t="str">
        <f t="shared" si="12"/>
        <v/>
      </c>
      <c r="U94" s="515"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8" x14ac:dyDescent="0.25">
      <c r="B95" s="141">
        <v>86</v>
      </c>
      <c r="C95" s="203"/>
      <c r="D95" s="203"/>
      <c r="E95" s="153"/>
      <c r="F95" s="498" t="str">
        <f>IF(D95="","",VLOOKUP(D95,'G-6 Hedgerow Data'!$B$2:$AG$15,2,FALSE))</f>
        <v/>
      </c>
      <c r="G95" s="499" t="str">
        <f>IF(D95="","",VLOOKUP(D95,'G-6 Hedgerow Data'!$B$2:$AG$15,3,FALSE))</f>
        <v/>
      </c>
      <c r="H95" s="145"/>
      <c r="I95" s="499" t="str">
        <f>IFERROR(IF(AND(F95="V.Low",OR(H95="Good",H95="Moderate")),"Error ▲",VLOOKUP(H95,'G-1 All Habitats'!$Z$2:$AA$9,2,FALSE)),"")</f>
        <v/>
      </c>
      <c r="J95" s="154"/>
      <c r="K95" s="520" t="str">
        <f>IF(J95="","",IF(VLOOKUP(J95,'G-3 Multipliers'!$L$3:$N$6,2,FALSE)=0,"Spatial Data Missing ⚠",VLOOKUP(J95,'G-3 Multipliers'!$L$3:$N$6,2,FALSE)))</f>
        <v/>
      </c>
      <c r="L95" s="524" t="str">
        <f>IF(J95="","",IF(VLOOKUP(J95,'G-3 Multipliers'!$L$3:$N$6,3,FALSE)=0,"Spatial Data Missing ⚠",VLOOKUP(J95,'G-3 Multipliers'!$L$3:$N$6,3,FALSE)))</f>
        <v/>
      </c>
      <c r="M95" s="506" t="str">
        <f>IF(D95="","",VLOOKUP(D95,'G-6 Hedgerow Data'!$B$1:$AH$15,33,FALSE))</f>
        <v/>
      </c>
      <c r="N95" s="513" t="str">
        <f t="shared" si="9"/>
        <v/>
      </c>
      <c r="O95" s="40"/>
      <c r="P95" s="145"/>
      <c r="Q95" s="157"/>
      <c r="R95" s="507" t="str">
        <f t="shared" si="10"/>
        <v/>
      </c>
      <c r="S95" s="507" t="str">
        <f t="shared" si="11"/>
        <v/>
      </c>
      <c r="T95" s="511" t="str">
        <f t="shared" si="12"/>
        <v/>
      </c>
      <c r="U95" s="515"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8" x14ac:dyDescent="0.25">
      <c r="B96" s="141">
        <v>87</v>
      </c>
      <c r="C96" s="203"/>
      <c r="D96" s="203"/>
      <c r="E96" s="153"/>
      <c r="F96" s="498" t="str">
        <f>IF(D96="","",VLOOKUP(D96,'G-6 Hedgerow Data'!$B$2:$AG$15,2,FALSE))</f>
        <v/>
      </c>
      <c r="G96" s="499" t="str">
        <f>IF(D96="","",VLOOKUP(D96,'G-6 Hedgerow Data'!$B$2:$AG$15,3,FALSE))</f>
        <v/>
      </c>
      <c r="H96" s="145"/>
      <c r="I96" s="499" t="str">
        <f>IFERROR(IF(AND(F96="V.Low",OR(H96="Good",H96="Moderate")),"Error ▲",VLOOKUP(H96,'G-1 All Habitats'!$Z$2:$AA$9,2,FALSE)),"")</f>
        <v/>
      </c>
      <c r="J96" s="154"/>
      <c r="K96" s="520" t="str">
        <f>IF(J96="","",IF(VLOOKUP(J96,'G-3 Multipliers'!$L$3:$N$6,2,FALSE)=0,"Spatial Data Missing ⚠",VLOOKUP(J96,'G-3 Multipliers'!$L$3:$N$6,2,FALSE)))</f>
        <v/>
      </c>
      <c r="L96" s="524" t="str">
        <f>IF(J96="","",IF(VLOOKUP(J96,'G-3 Multipliers'!$L$3:$N$6,3,FALSE)=0,"Spatial Data Missing ⚠",VLOOKUP(J96,'G-3 Multipliers'!$L$3:$N$6,3,FALSE)))</f>
        <v/>
      </c>
      <c r="M96" s="506" t="str">
        <f>IF(D96="","",VLOOKUP(D96,'G-6 Hedgerow Data'!$B$1:$AH$15,33,FALSE))</f>
        <v/>
      </c>
      <c r="N96" s="513" t="str">
        <f t="shared" si="9"/>
        <v/>
      </c>
      <c r="O96" s="40"/>
      <c r="P96" s="145"/>
      <c r="Q96" s="157"/>
      <c r="R96" s="507" t="str">
        <f t="shared" si="10"/>
        <v/>
      </c>
      <c r="S96" s="507" t="str">
        <f t="shared" si="11"/>
        <v/>
      </c>
      <c r="T96" s="511" t="str">
        <f t="shared" si="12"/>
        <v/>
      </c>
      <c r="U96" s="515"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8" x14ac:dyDescent="0.25">
      <c r="B97" s="141">
        <v>88</v>
      </c>
      <c r="C97" s="203"/>
      <c r="D97" s="203"/>
      <c r="E97" s="153"/>
      <c r="F97" s="498" t="str">
        <f>IF(D97="","",VLOOKUP(D97,'G-6 Hedgerow Data'!$B$2:$AG$15,2,FALSE))</f>
        <v/>
      </c>
      <c r="G97" s="499" t="str">
        <f>IF(D97="","",VLOOKUP(D97,'G-6 Hedgerow Data'!$B$2:$AG$15,3,FALSE))</f>
        <v/>
      </c>
      <c r="H97" s="145"/>
      <c r="I97" s="499" t="str">
        <f>IFERROR(IF(AND(F97="V.Low",OR(H97="Good",H97="Moderate")),"Error ▲",VLOOKUP(H97,'G-1 All Habitats'!$Z$2:$AA$9,2,FALSE)),"")</f>
        <v/>
      </c>
      <c r="J97" s="154"/>
      <c r="K97" s="520" t="str">
        <f>IF(J97="","",IF(VLOOKUP(J97,'G-3 Multipliers'!$L$3:$N$6,2,FALSE)=0,"Spatial Data Missing ⚠",VLOOKUP(J97,'G-3 Multipliers'!$L$3:$N$6,2,FALSE)))</f>
        <v/>
      </c>
      <c r="L97" s="524" t="str">
        <f>IF(J97="","",IF(VLOOKUP(J97,'G-3 Multipliers'!$L$3:$N$6,3,FALSE)=0,"Spatial Data Missing ⚠",VLOOKUP(J97,'G-3 Multipliers'!$L$3:$N$6,3,FALSE)))</f>
        <v/>
      </c>
      <c r="M97" s="506" t="str">
        <f>IF(D97="","",VLOOKUP(D97,'G-6 Hedgerow Data'!$B$1:$AH$15,33,FALSE))</f>
        <v/>
      </c>
      <c r="N97" s="513" t="str">
        <f t="shared" si="9"/>
        <v/>
      </c>
      <c r="O97" s="40"/>
      <c r="P97" s="145"/>
      <c r="Q97" s="157"/>
      <c r="R97" s="507" t="str">
        <f t="shared" si="10"/>
        <v/>
      </c>
      <c r="S97" s="507" t="str">
        <f t="shared" si="11"/>
        <v/>
      </c>
      <c r="T97" s="511" t="str">
        <f t="shared" si="12"/>
        <v/>
      </c>
      <c r="U97" s="515"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8" x14ac:dyDescent="0.25">
      <c r="B98" s="141">
        <v>89</v>
      </c>
      <c r="C98" s="203"/>
      <c r="D98" s="203"/>
      <c r="E98" s="153"/>
      <c r="F98" s="498" t="str">
        <f>IF(D98="","",VLOOKUP(D98,'G-6 Hedgerow Data'!$B$2:$AG$15,2,FALSE))</f>
        <v/>
      </c>
      <c r="G98" s="499" t="str">
        <f>IF(D98="","",VLOOKUP(D98,'G-6 Hedgerow Data'!$B$2:$AG$15,3,FALSE))</f>
        <v/>
      </c>
      <c r="H98" s="145"/>
      <c r="I98" s="499" t="str">
        <f>IFERROR(IF(AND(F98="V.Low",OR(H98="Good",H98="Moderate")),"Error ▲",VLOOKUP(H98,'G-1 All Habitats'!$Z$2:$AA$9,2,FALSE)),"")</f>
        <v/>
      </c>
      <c r="J98" s="154"/>
      <c r="K98" s="520" t="str">
        <f>IF(J98="","",IF(VLOOKUP(J98,'G-3 Multipliers'!$L$3:$N$6,2,FALSE)=0,"Spatial Data Missing ⚠",VLOOKUP(J98,'G-3 Multipliers'!$L$3:$N$6,2,FALSE)))</f>
        <v/>
      </c>
      <c r="L98" s="524" t="str">
        <f>IF(J98="","",IF(VLOOKUP(J98,'G-3 Multipliers'!$L$3:$N$6,3,FALSE)=0,"Spatial Data Missing ⚠",VLOOKUP(J98,'G-3 Multipliers'!$L$3:$N$6,3,FALSE)))</f>
        <v/>
      </c>
      <c r="M98" s="506" t="str">
        <f>IF(D98="","",VLOOKUP(D98,'G-6 Hedgerow Data'!$B$1:$AH$15,33,FALSE))</f>
        <v/>
      </c>
      <c r="N98" s="513" t="str">
        <f t="shared" si="9"/>
        <v/>
      </c>
      <c r="O98" s="40"/>
      <c r="P98" s="145"/>
      <c r="Q98" s="157"/>
      <c r="R98" s="507" t="str">
        <f t="shared" si="10"/>
        <v/>
      </c>
      <c r="S98" s="507" t="str">
        <f t="shared" si="11"/>
        <v/>
      </c>
      <c r="T98" s="511" t="str">
        <f t="shared" si="12"/>
        <v/>
      </c>
      <c r="U98" s="515"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8" x14ac:dyDescent="0.25">
      <c r="B99" s="141">
        <v>90</v>
      </c>
      <c r="C99" s="203"/>
      <c r="D99" s="203"/>
      <c r="E99" s="153"/>
      <c r="F99" s="498" t="str">
        <f>IF(D99="","",VLOOKUP(D99,'G-6 Hedgerow Data'!$B$2:$AG$15,2,FALSE))</f>
        <v/>
      </c>
      <c r="G99" s="499" t="str">
        <f>IF(D99="","",VLOOKUP(D99,'G-6 Hedgerow Data'!$B$2:$AG$15,3,FALSE))</f>
        <v/>
      </c>
      <c r="H99" s="145"/>
      <c r="I99" s="499" t="str">
        <f>IFERROR(IF(AND(F99="V.Low",OR(H99="Good",H99="Moderate")),"Error ▲",VLOOKUP(H99,'G-1 All Habitats'!$Z$2:$AA$9,2,FALSE)),"")</f>
        <v/>
      </c>
      <c r="J99" s="154"/>
      <c r="K99" s="520" t="str">
        <f>IF(J99="","",IF(VLOOKUP(J99,'G-3 Multipliers'!$L$3:$N$6,2,FALSE)=0,"Spatial Data Missing ⚠",VLOOKUP(J99,'G-3 Multipliers'!$L$3:$N$6,2,FALSE)))</f>
        <v/>
      </c>
      <c r="L99" s="524" t="str">
        <f>IF(J99="","",IF(VLOOKUP(J99,'G-3 Multipliers'!$L$3:$N$6,3,FALSE)=0,"Spatial Data Missing ⚠",VLOOKUP(J99,'G-3 Multipliers'!$L$3:$N$6,3,FALSE)))</f>
        <v/>
      </c>
      <c r="M99" s="506" t="str">
        <f>IF(D99="","",VLOOKUP(D99,'G-6 Hedgerow Data'!$B$1:$AH$15,33,FALSE))</f>
        <v/>
      </c>
      <c r="N99" s="513" t="str">
        <f t="shared" si="9"/>
        <v/>
      </c>
      <c r="O99" s="40"/>
      <c r="P99" s="145"/>
      <c r="Q99" s="157"/>
      <c r="R99" s="507" t="str">
        <f t="shared" si="10"/>
        <v/>
      </c>
      <c r="S99" s="507" t="str">
        <f t="shared" si="11"/>
        <v/>
      </c>
      <c r="T99" s="511" t="str">
        <f t="shared" si="12"/>
        <v/>
      </c>
      <c r="U99" s="515"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8" x14ac:dyDescent="0.25">
      <c r="B100" s="141">
        <v>91</v>
      </c>
      <c r="C100" s="203"/>
      <c r="D100" s="203"/>
      <c r="E100" s="153"/>
      <c r="F100" s="498" t="str">
        <f>IF(D100="","",VLOOKUP(D100,'G-6 Hedgerow Data'!$B$2:$AG$15,2,FALSE))</f>
        <v/>
      </c>
      <c r="G100" s="499" t="str">
        <f>IF(D100="","",VLOOKUP(D100,'G-6 Hedgerow Data'!$B$2:$AG$15,3,FALSE))</f>
        <v/>
      </c>
      <c r="H100" s="145"/>
      <c r="I100" s="499" t="str">
        <f>IFERROR(IF(AND(F100="V.Low",OR(H100="Good",H100="Moderate")),"Error ▲",VLOOKUP(H100,'G-1 All Habitats'!$Z$2:$AA$9,2,FALSE)),"")</f>
        <v/>
      </c>
      <c r="J100" s="154"/>
      <c r="K100" s="520" t="str">
        <f>IF(J100="","",IF(VLOOKUP(J100,'G-3 Multipliers'!$L$3:$N$6,2,FALSE)=0,"Spatial Data Missing ⚠",VLOOKUP(J100,'G-3 Multipliers'!$L$3:$N$6,2,FALSE)))</f>
        <v/>
      </c>
      <c r="L100" s="524" t="str">
        <f>IF(J100="","",IF(VLOOKUP(J100,'G-3 Multipliers'!$L$3:$N$6,3,FALSE)=0,"Spatial Data Missing ⚠",VLOOKUP(J100,'G-3 Multipliers'!$L$3:$N$6,3,FALSE)))</f>
        <v/>
      </c>
      <c r="M100" s="506" t="str">
        <f>IF(D100="","",VLOOKUP(D100,'G-6 Hedgerow Data'!$B$1:$AH$15,33,FALSE))</f>
        <v/>
      </c>
      <c r="N100" s="513" t="str">
        <f t="shared" si="9"/>
        <v/>
      </c>
      <c r="O100" s="40"/>
      <c r="P100" s="145"/>
      <c r="Q100" s="157"/>
      <c r="R100" s="507" t="str">
        <f t="shared" si="10"/>
        <v/>
      </c>
      <c r="S100" s="507" t="str">
        <f t="shared" si="11"/>
        <v/>
      </c>
      <c r="T100" s="511" t="str">
        <f t="shared" si="12"/>
        <v/>
      </c>
      <c r="U100" s="515"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8" x14ac:dyDescent="0.25">
      <c r="B101" s="141">
        <v>92</v>
      </c>
      <c r="C101" s="203"/>
      <c r="D101" s="203"/>
      <c r="E101" s="153"/>
      <c r="F101" s="498" t="str">
        <f>IF(D101="","",VLOOKUP(D101,'G-6 Hedgerow Data'!$B$2:$AG$15,2,FALSE))</f>
        <v/>
      </c>
      <c r="G101" s="499" t="str">
        <f>IF(D101="","",VLOOKUP(D101,'G-6 Hedgerow Data'!$B$2:$AG$15,3,FALSE))</f>
        <v/>
      </c>
      <c r="H101" s="145"/>
      <c r="I101" s="499" t="str">
        <f>IFERROR(IF(AND(F101="V.Low",OR(H101="Good",H101="Moderate")),"Error ▲",VLOOKUP(H101,'G-1 All Habitats'!$Z$2:$AA$9,2,FALSE)),"")</f>
        <v/>
      </c>
      <c r="J101" s="154"/>
      <c r="K101" s="520" t="str">
        <f>IF(J101="","",IF(VLOOKUP(J101,'G-3 Multipliers'!$L$3:$N$6,2,FALSE)=0,"Spatial Data Missing ⚠",VLOOKUP(J101,'G-3 Multipliers'!$L$3:$N$6,2,FALSE)))</f>
        <v/>
      </c>
      <c r="L101" s="524" t="str">
        <f>IF(J101="","",IF(VLOOKUP(J101,'G-3 Multipliers'!$L$3:$N$6,3,FALSE)=0,"Spatial Data Missing ⚠",VLOOKUP(J101,'G-3 Multipliers'!$L$3:$N$6,3,FALSE)))</f>
        <v/>
      </c>
      <c r="M101" s="506" t="str">
        <f>IF(D101="","",VLOOKUP(D101,'G-6 Hedgerow Data'!$B$1:$AH$15,33,FALSE))</f>
        <v/>
      </c>
      <c r="N101" s="513" t="str">
        <f t="shared" si="9"/>
        <v/>
      </c>
      <c r="O101" s="40"/>
      <c r="P101" s="145"/>
      <c r="Q101" s="157"/>
      <c r="R101" s="507" t="str">
        <f t="shared" si="10"/>
        <v/>
      </c>
      <c r="S101" s="507" t="str">
        <f t="shared" si="11"/>
        <v/>
      </c>
      <c r="T101" s="511" t="str">
        <f t="shared" si="12"/>
        <v/>
      </c>
      <c r="U101" s="515"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8" x14ac:dyDescent="0.25">
      <c r="B102" s="141">
        <v>93</v>
      </c>
      <c r="C102" s="203"/>
      <c r="D102" s="203"/>
      <c r="E102" s="153"/>
      <c r="F102" s="498" t="str">
        <f>IF(D102="","",VLOOKUP(D102,'G-6 Hedgerow Data'!$B$2:$AG$15,2,FALSE))</f>
        <v/>
      </c>
      <c r="G102" s="499" t="str">
        <f>IF(D102="","",VLOOKUP(D102,'G-6 Hedgerow Data'!$B$2:$AG$15,3,FALSE))</f>
        <v/>
      </c>
      <c r="H102" s="145"/>
      <c r="I102" s="499" t="str">
        <f>IFERROR(IF(AND(F102="V.Low",OR(H102="Good",H102="Moderate")),"Error ▲",VLOOKUP(H102,'G-1 All Habitats'!$Z$2:$AA$9,2,FALSE)),"")</f>
        <v/>
      </c>
      <c r="J102" s="154"/>
      <c r="K102" s="520" t="str">
        <f>IF(J102="","",IF(VLOOKUP(J102,'G-3 Multipliers'!$L$3:$N$6,2,FALSE)=0,"Spatial Data Missing ⚠",VLOOKUP(J102,'G-3 Multipliers'!$L$3:$N$6,2,FALSE)))</f>
        <v/>
      </c>
      <c r="L102" s="524" t="str">
        <f>IF(J102="","",IF(VLOOKUP(J102,'G-3 Multipliers'!$L$3:$N$6,3,FALSE)=0,"Spatial Data Missing ⚠",VLOOKUP(J102,'G-3 Multipliers'!$L$3:$N$6,3,FALSE)))</f>
        <v/>
      </c>
      <c r="M102" s="506" t="str">
        <f>IF(D102="","",VLOOKUP(D102,'G-6 Hedgerow Data'!$B$1:$AH$15,33,FALSE))</f>
        <v/>
      </c>
      <c r="N102" s="513" t="str">
        <f t="shared" si="9"/>
        <v/>
      </c>
      <c r="O102" s="40"/>
      <c r="P102" s="145"/>
      <c r="Q102" s="157"/>
      <c r="R102" s="507" t="str">
        <f t="shared" si="10"/>
        <v/>
      </c>
      <c r="S102" s="507" t="str">
        <f t="shared" si="11"/>
        <v/>
      </c>
      <c r="T102" s="511" t="str">
        <f t="shared" si="12"/>
        <v/>
      </c>
      <c r="U102" s="515"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8" x14ac:dyDescent="0.25">
      <c r="B103" s="141">
        <v>94</v>
      </c>
      <c r="C103" s="203"/>
      <c r="D103" s="203"/>
      <c r="E103" s="153"/>
      <c r="F103" s="498" t="str">
        <f>IF(D103="","",VLOOKUP(D103,'G-6 Hedgerow Data'!$B$2:$AG$15,2,FALSE))</f>
        <v/>
      </c>
      <c r="G103" s="499" t="str">
        <f>IF(D103="","",VLOOKUP(D103,'G-6 Hedgerow Data'!$B$2:$AG$15,3,FALSE))</f>
        <v/>
      </c>
      <c r="H103" s="145"/>
      <c r="I103" s="499" t="str">
        <f>IFERROR(IF(AND(F103="V.Low",OR(H103="Good",H103="Moderate")),"Error ▲",VLOOKUP(H103,'G-1 All Habitats'!$Z$2:$AA$9,2,FALSE)),"")</f>
        <v/>
      </c>
      <c r="J103" s="154"/>
      <c r="K103" s="520" t="str">
        <f>IF(J103="","",IF(VLOOKUP(J103,'G-3 Multipliers'!$L$3:$N$6,2,FALSE)=0,"Spatial Data Missing ⚠",VLOOKUP(J103,'G-3 Multipliers'!$L$3:$N$6,2,FALSE)))</f>
        <v/>
      </c>
      <c r="L103" s="524" t="str">
        <f>IF(J103="","",IF(VLOOKUP(J103,'G-3 Multipliers'!$L$3:$N$6,3,FALSE)=0,"Spatial Data Missing ⚠",VLOOKUP(J103,'G-3 Multipliers'!$L$3:$N$6,3,FALSE)))</f>
        <v/>
      </c>
      <c r="M103" s="506" t="str">
        <f>IF(D103="","",VLOOKUP(D103,'G-6 Hedgerow Data'!$B$1:$AH$15,33,FALSE))</f>
        <v/>
      </c>
      <c r="N103" s="513" t="str">
        <f t="shared" si="9"/>
        <v/>
      </c>
      <c r="O103" s="40"/>
      <c r="P103" s="145"/>
      <c r="Q103" s="157"/>
      <c r="R103" s="507" t="str">
        <f t="shared" si="10"/>
        <v/>
      </c>
      <c r="S103" s="507" t="str">
        <f t="shared" si="11"/>
        <v/>
      </c>
      <c r="T103" s="511" t="str">
        <f t="shared" si="12"/>
        <v/>
      </c>
      <c r="U103" s="515"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8" x14ac:dyDescent="0.25">
      <c r="B104" s="141">
        <v>95</v>
      </c>
      <c r="C104" s="203"/>
      <c r="D104" s="203"/>
      <c r="E104" s="153"/>
      <c r="F104" s="498" t="str">
        <f>IF(D104="","",VLOOKUP(D104,'G-6 Hedgerow Data'!$B$2:$AG$15,2,FALSE))</f>
        <v/>
      </c>
      <c r="G104" s="499" t="str">
        <f>IF(D104="","",VLOOKUP(D104,'G-6 Hedgerow Data'!$B$2:$AG$15,3,FALSE))</f>
        <v/>
      </c>
      <c r="H104" s="145"/>
      <c r="I104" s="499" t="str">
        <f>IFERROR(IF(AND(F104="V.Low",OR(H104="Good",H104="Moderate")),"Error ▲",VLOOKUP(H104,'G-1 All Habitats'!$Z$2:$AA$9,2,FALSE)),"")</f>
        <v/>
      </c>
      <c r="J104" s="154"/>
      <c r="K104" s="520" t="str">
        <f>IF(J104="","",IF(VLOOKUP(J104,'G-3 Multipliers'!$L$3:$N$6,2,FALSE)=0,"Spatial Data Missing ⚠",VLOOKUP(J104,'G-3 Multipliers'!$L$3:$N$6,2,FALSE)))</f>
        <v/>
      </c>
      <c r="L104" s="524" t="str">
        <f>IF(J104="","",IF(VLOOKUP(J104,'G-3 Multipliers'!$L$3:$N$6,3,FALSE)=0,"Spatial Data Missing ⚠",VLOOKUP(J104,'G-3 Multipliers'!$L$3:$N$6,3,FALSE)))</f>
        <v/>
      </c>
      <c r="M104" s="506" t="str">
        <f>IF(D104="","",VLOOKUP(D104,'G-6 Hedgerow Data'!$B$1:$AH$15,33,FALSE))</f>
        <v/>
      </c>
      <c r="N104" s="513" t="str">
        <f t="shared" si="9"/>
        <v/>
      </c>
      <c r="O104" s="40"/>
      <c r="P104" s="145"/>
      <c r="Q104" s="157"/>
      <c r="R104" s="507" t="str">
        <f t="shared" si="10"/>
        <v/>
      </c>
      <c r="S104" s="507" t="str">
        <f t="shared" si="11"/>
        <v/>
      </c>
      <c r="T104" s="511" t="str">
        <f t="shared" si="12"/>
        <v/>
      </c>
      <c r="U104" s="515"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8" x14ac:dyDescent="0.25">
      <c r="B105" s="141">
        <v>96</v>
      </c>
      <c r="C105" s="203"/>
      <c r="D105" s="203"/>
      <c r="E105" s="153"/>
      <c r="F105" s="498" t="str">
        <f>IF(D105="","",VLOOKUP(D105,'G-6 Hedgerow Data'!$B$2:$AG$15,2,FALSE))</f>
        <v/>
      </c>
      <c r="G105" s="499" t="str">
        <f>IF(D105="","",VLOOKUP(D105,'G-6 Hedgerow Data'!$B$2:$AG$15,3,FALSE))</f>
        <v/>
      </c>
      <c r="H105" s="145"/>
      <c r="I105" s="499" t="str">
        <f>IFERROR(IF(AND(F105="V.Low",OR(H105="Good",H105="Moderate")),"Error ▲",VLOOKUP(H105,'G-1 All Habitats'!$Z$2:$AA$9,2,FALSE)),"")</f>
        <v/>
      </c>
      <c r="J105" s="154"/>
      <c r="K105" s="520" t="str">
        <f>IF(J105="","",IF(VLOOKUP(J105,'G-3 Multipliers'!$L$3:$N$6,2,FALSE)=0,"Spatial Data Missing ⚠",VLOOKUP(J105,'G-3 Multipliers'!$L$3:$N$6,2,FALSE)))</f>
        <v/>
      </c>
      <c r="L105" s="524" t="str">
        <f>IF(J105="","",IF(VLOOKUP(J105,'G-3 Multipliers'!$L$3:$N$6,3,FALSE)=0,"Spatial Data Missing ⚠",VLOOKUP(J105,'G-3 Multipliers'!$L$3:$N$6,3,FALSE)))</f>
        <v/>
      </c>
      <c r="M105" s="506" t="str">
        <f>IF(D105="","",VLOOKUP(D105,'G-6 Hedgerow Data'!$B$1:$AH$15,33,FALSE))</f>
        <v/>
      </c>
      <c r="N105" s="513" t="str">
        <f t="shared" si="9"/>
        <v/>
      </c>
      <c r="O105" s="40"/>
      <c r="P105" s="145"/>
      <c r="Q105" s="157"/>
      <c r="R105" s="507" t="str">
        <f t="shared" si="10"/>
        <v/>
      </c>
      <c r="S105" s="507" t="str">
        <f t="shared" si="11"/>
        <v/>
      </c>
      <c r="T105" s="511" t="str">
        <f t="shared" si="12"/>
        <v/>
      </c>
      <c r="U105" s="515"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8" x14ac:dyDescent="0.25">
      <c r="B106" s="141">
        <v>97</v>
      </c>
      <c r="C106" s="203"/>
      <c r="D106" s="203"/>
      <c r="E106" s="153"/>
      <c r="F106" s="498" t="str">
        <f>IF(D106="","",VLOOKUP(D106,'G-6 Hedgerow Data'!$B$2:$AG$15,2,FALSE))</f>
        <v/>
      </c>
      <c r="G106" s="499" t="str">
        <f>IF(D106="","",VLOOKUP(D106,'G-6 Hedgerow Data'!$B$2:$AG$15,3,FALSE))</f>
        <v/>
      </c>
      <c r="H106" s="145"/>
      <c r="I106" s="499" t="str">
        <f>IFERROR(IF(AND(F106="V.Low",OR(H106="Good",H106="Moderate")),"Error ▲",VLOOKUP(H106,'G-1 All Habitats'!$Z$2:$AA$9,2,FALSE)),"")</f>
        <v/>
      </c>
      <c r="J106" s="154"/>
      <c r="K106" s="520" t="str">
        <f>IF(J106="","",IF(VLOOKUP(J106,'G-3 Multipliers'!$L$3:$N$6,2,FALSE)=0,"Spatial Data Missing ⚠",VLOOKUP(J106,'G-3 Multipliers'!$L$3:$N$6,2,FALSE)))</f>
        <v/>
      </c>
      <c r="L106" s="524" t="str">
        <f>IF(J106="","",IF(VLOOKUP(J106,'G-3 Multipliers'!$L$3:$N$6,3,FALSE)=0,"Spatial Data Missing ⚠",VLOOKUP(J106,'G-3 Multipliers'!$L$3:$N$6,3,FALSE)))</f>
        <v/>
      </c>
      <c r="M106" s="506" t="str">
        <f>IF(D106="","",VLOOKUP(D106,'G-6 Hedgerow Data'!$B$1:$AH$15,33,FALSE))</f>
        <v/>
      </c>
      <c r="N106" s="513" t="str">
        <f t="shared" si="9"/>
        <v/>
      </c>
      <c r="O106" s="40"/>
      <c r="P106" s="145"/>
      <c r="Q106" s="157"/>
      <c r="R106" s="507" t="str">
        <f t="shared" si="10"/>
        <v/>
      </c>
      <c r="S106" s="507" t="str">
        <f t="shared" si="11"/>
        <v/>
      </c>
      <c r="T106" s="511" t="str">
        <f t="shared" si="12"/>
        <v/>
      </c>
      <c r="U106" s="515"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8" x14ac:dyDescent="0.25">
      <c r="B107" s="141">
        <v>98</v>
      </c>
      <c r="C107" s="203"/>
      <c r="D107" s="203"/>
      <c r="E107" s="153"/>
      <c r="F107" s="498" t="str">
        <f>IF(D107="","",VLOOKUP(D107,'G-6 Hedgerow Data'!$B$2:$AG$15,2,FALSE))</f>
        <v/>
      </c>
      <c r="G107" s="499" t="str">
        <f>IF(D107="","",VLOOKUP(D107,'G-6 Hedgerow Data'!$B$2:$AG$15,3,FALSE))</f>
        <v/>
      </c>
      <c r="H107" s="145"/>
      <c r="I107" s="499" t="str">
        <f>IFERROR(IF(AND(F107="V.Low",OR(H107="Good",H107="Moderate")),"Error ▲",VLOOKUP(H107,'G-1 All Habitats'!$Z$2:$AA$9,2,FALSE)),"")</f>
        <v/>
      </c>
      <c r="J107" s="154"/>
      <c r="K107" s="520" t="str">
        <f>IF(J107="","",IF(VLOOKUP(J107,'G-3 Multipliers'!$L$3:$N$6,2,FALSE)=0,"Spatial Data Missing ⚠",VLOOKUP(J107,'G-3 Multipliers'!$L$3:$N$6,2,FALSE)))</f>
        <v/>
      </c>
      <c r="L107" s="524" t="str">
        <f>IF(J107="","",IF(VLOOKUP(J107,'G-3 Multipliers'!$L$3:$N$6,3,FALSE)=0,"Spatial Data Missing ⚠",VLOOKUP(J107,'G-3 Multipliers'!$L$3:$N$6,3,FALSE)))</f>
        <v/>
      </c>
      <c r="M107" s="506" t="str">
        <f>IF(D107="","",VLOOKUP(D107,'G-6 Hedgerow Data'!$B$1:$AH$15,33,FALSE))</f>
        <v/>
      </c>
      <c r="N107" s="513" t="str">
        <f t="shared" si="9"/>
        <v/>
      </c>
      <c r="O107" s="40"/>
      <c r="P107" s="145"/>
      <c r="Q107" s="157"/>
      <c r="R107" s="507" t="str">
        <f t="shared" si="10"/>
        <v/>
      </c>
      <c r="S107" s="507" t="str">
        <f t="shared" si="11"/>
        <v/>
      </c>
      <c r="T107" s="511" t="str">
        <f t="shared" si="12"/>
        <v/>
      </c>
      <c r="U107" s="515"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8" x14ac:dyDescent="0.25">
      <c r="B108" s="141">
        <v>99</v>
      </c>
      <c r="C108" s="203"/>
      <c r="D108" s="203"/>
      <c r="E108" s="153"/>
      <c r="F108" s="498" t="str">
        <f>IF(D108="","",VLOOKUP(D108,'G-6 Hedgerow Data'!$B$2:$AG$15,2,FALSE))</f>
        <v/>
      </c>
      <c r="G108" s="499" t="str">
        <f>IF(D108="","",VLOOKUP(D108,'G-6 Hedgerow Data'!$B$2:$AG$15,3,FALSE))</f>
        <v/>
      </c>
      <c r="H108" s="145"/>
      <c r="I108" s="499" t="str">
        <f>IFERROR(IF(AND(F108="V.Low",OR(H108="Good",H108="Moderate")),"Error ▲",VLOOKUP(H108,'G-1 All Habitats'!$Z$2:$AA$9,2,FALSE)),"")</f>
        <v/>
      </c>
      <c r="J108" s="154"/>
      <c r="K108" s="520" t="str">
        <f>IF(J108="","",IF(VLOOKUP(J108,'G-3 Multipliers'!$L$3:$N$6,2,FALSE)=0,"Spatial Data Missing ⚠",VLOOKUP(J108,'G-3 Multipliers'!$L$3:$N$6,2,FALSE)))</f>
        <v/>
      </c>
      <c r="L108" s="524" t="str">
        <f>IF(J108="","",IF(VLOOKUP(J108,'G-3 Multipliers'!$L$3:$N$6,3,FALSE)=0,"Spatial Data Missing ⚠",VLOOKUP(J108,'G-3 Multipliers'!$L$3:$N$6,3,FALSE)))</f>
        <v/>
      </c>
      <c r="M108" s="506" t="str">
        <f>IF(D108="","",VLOOKUP(D108,'G-6 Hedgerow Data'!$B$1:$AH$15,33,FALSE))</f>
        <v/>
      </c>
      <c r="N108" s="513" t="str">
        <f t="shared" si="9"/>
        <v/>
      </c>
      <c r="O108" s="40"/>
      <c r="P108" s="145"/>
      <c r="Q108" s="157"/>
      <c r="R108" s="507" t="str">
        <f t="shared" si="10"/>
        <v/>
      </c>
      <c r="S108" s="507" t="str">
        <f t="shared" si="11"/>
        <v/>
      </c>
      <c r="T108" s="511" t="str">
        <f t="shared" si="12"/>
        <v/>
      </c>
      <c r="U108" s="515"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8" x14ac:dyDescent="0.25">
      <c r="B109" s="141">
        <v>100</v>
      </c>
      <c r="C109" s="203"/>
      <c r="D109" s="203"/>
      <c r="E109" s="153"/>
      <c r="F109" s="498" t="str">
        <f>IF(D109="","",VLOOKUP(D109,'G-6 Hedgerow Data'!$B$2:$AG$15,2,FALSE))</f>
        <v/>
      </c>
      <c r="G109" s="499" t="str">
        <f>IF(D109="","",VLOOKUP(D109,'G-6 Hedgerow Data'!$B$2:$AG$15,3,FALSE))</f>
        <v/>
      </c>
      <c r="H109" s="145"/>
      <c r="I109" s="499" t="str">
        <f>IFERROR(IF(AND(F109="V.Low",OR(H109="Good",H109="Moderate")),"Error ▲",VLOOKUP(H109,'G-1 All Habitats'!$Z$2:$AA$9,2,FALSE)),"")</f>
        <v/>
      </c>
      <c r="J109" s="154"/>
      <c r="K109" s="520" t="str">
        <f>IF(J109="","",IF(VLOOKUP(J109,'G-3 Multipliers'!$L$3:$N$6,2,FALSE)=0,"Spatial Data Missing ⚠",VLOOKUP(J109,'G-3 Multipliers'!$L$3:$N$6,2,FALSE)))</f>
        <v/>
      </c>
      <c r="L109" s="524" t="str">
        <f>IF(J109="","",IF(VLOOKUP(J109,'G-3 Multipliers'!$L$3:$N$6,3,FALSE)=0,"Spatial Data Missing ⚠",VLOOKUP(J109,'G-3 Multipliers'!$L$3:$N$6,3,FALSE)))</f>
        <v/>
      </c>
      <c r="M109" s="506" t="str">
        <f>IF(D109="","",VLOOKUP(D109,'G-6 Hedgerow Data'!$B$1:$AH$15,33,FALSE))</f>
        <v/>
      </c>
      <c r="N109" s="513" t="str">
        <f t="shared" si="9"/>
        <v/>
      </c>
      <c r="O109" s="40"/>
      <c r="P109" s="145"/>
      <c r="Q109" s="157"/>
      <c r="R109" s="507" t="str">
        <f t="shared" si="10"/>
        <v/>
      </c>
      <c r="S109" s="507" t="str">
        <f t="shared" si="11"/>
        <v/>
      </c>
      <c r="T109" s="511" t="str">
        <f t="shared" si="12"/>
        <v/>
      </c>
      <c r="U109" s="515"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8" x14ac:dyDescent="0.25">
      <c r="B110" s="141">
        <v>101</v>
      </c>
      <c r="C110" s="203"/>
      <c r="D110" s="203"/>
      <c r="E110" s="153"/>
      <c r="F110" s="498" t="str">
        <f>IF(D110="","",VLOOKUP(D110,'G-6 Hedgerow Data'!$B$2:$AG$15,2,FALSE))</f>
        <v/>
      </c>
      <c r="G110" s="499" t="str">
        <f>IF(D110="","",VLOOKUP(D110,'G-6 Hedgerow Data'!$B$2:$AG$15,3,FALSE))</f>
        <v/>
      </c>
      <c r="H110" s="145"/>
      <c r="I110" s="499" t="str">
        <f>IFERROR(IF(AND(F110="V.Low",OR(H110="Good",H110="Moderate")),"Error ▲",VLOOKUP(H110,'G-1 All Habitats'!$Z$2:$AA$9,2,FALSE)),"")</f>
        <v/>
      </c>
      <c r="J110" s="154"/>
      <c r="K110" s="520" t="str">
        <f>IF(J110="","",IF(VLOOKUP(J110,'G-3 Multipliers'!$L$3:$N$6,2,FALSE)=0,"Spatial Data Missing ⚠",VLOOKUP(J110,'G-3 Multipliers'!$L$3:$N$6,2,FALSE)))</f>
        <v/>
      </c>
      <c r="L110" s="524" t="str">
        <f>IF(J110="","",IF(VLOOKUP(J110,'G-3 Multipliers'!$L$3:$N$6,3,FALSE)=0,"Spatial Data Missing ⚠",VLOOKUP(J110,'G-3 Multipliers'!$L$3:$N$6,3,FALSE)))</f>
        <v/>
      </c>
      <c r="M110" s="506" t="str">
        <f>IF(D110="","",VLOOKUP(D110,'G-6 Hedgerow Data'!$B$1:$AH$15,33,FALSE))</f>
        <v/>
      </c>
      <c r="N110" s="513" t="str">
        <f t="shared" si="9"/>
        <v/>
      </c>
      <c r="O110" s="40"/>
      <c r="P110" s="145"/>
      <c r="Q110" s="157"/>
      <c r="R110" s="507" t="str">
        <f t="shared" si="10"/>
        <v/>
      </c>
      <c r="S110" s="507" t="str">
        <f t="shared" si="11"/>
        <v/>
      </c>
      <c r="T110" s="511" t="str">
        <f t="shared" si="12"/>
        <v/>
      </c>
      <c r="U110" s="515"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8" x14ac:dyDescent="0.25">
      <c r="B111" s="141">
        <v>102</v>
      </c>
      <c r="C111" s="203"/>
      <c r="D111" s="203"/>
      <c r="E111" s="153"/>
      <c r="F111" s="498" t="str">
        <f>IF(D111="","",VLOOKUP(D111,'G-6 Hedgerow Data'!$B$2:$AG$15,2,FALSE))</f>
        <v/>
      </c>
      <c r="G111" s="499" t="str">
        <f>IF(D111="","",VLOOKUP(D111,'G-6 Hedgerow Data'!$B$2:$AG$15,3,FALSE))</f>
        <v/>
      </c>
      <c r="H111" s="145"/>
      <c r="I111" s="499" t="str">
        <f>IFERROR(IF(AND(F111="V.Low",OR(H111="Good",H111="Moderate")),"Error ▲",VLOOKUP(H111,'G-1 All Habitats'!$Z$2:$AA$9,2,FALSE)),"")</f>
        <v/>
      </c>
      <c r="J111" s="154"/>
      <c r="K111" s="520" t="str">
        <f>IF(J111="","",IF(VLOOKUP(J111,'G-3 Multipliers'!$L$3:$N$6,2,FALSE)=0,"Spatial Data Missing ⚠",VLOOKUP(J111,'G-3 Multipliers'!$L$3:$N$6,2,FALSE)))</f>
        <v/>
      </c>
      <c r="L111" s="524" t="str">
        <f>IF(J111="","",IF(VLOOKUP(J111,'G-3 Multipliers'!$L$3:$N$6,3,FALSE)=0,"Spatial Data Missing ⚠",VLOOKUP(J111,'G-3 Multipliers'!$L$3:$N$6,3,FALSE)))</f>
        <v/>
      </c>
      <c r="M111" s="506" t="str">
        <f>IF(D111="","",VLOOKUP(D111,'G-6 Hedgerow Data'!$B$1:$AH$15,33,FALSE))</f>
        <v/>
      </c>
      <c r="N111" s="513" t="str">
        <f t="shared" si="9"/>
        <v/>
      </c>
      <c r="O111" s="40"/>
      <c r="P111" s="145"/>
      <c r="Q111" s="157"/>
      <c r="R111" s="507" t="str">
        <f t="shared" si="10"/>
        <v/>
      </c>
      <c r="S111" s="507" t="str">
        <f t="shared" si="11"/>
        <v/>
      </c>
      <c r="T111" s="511" t="str">
        <f t="shared" si="12"/>
        <v/>
      </c>
      <c r="U111" s="515"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8" x14ac:dyDescent="0.25">
      <c r="B112" s="141">
        <v>103</v>
      </c>
      <c r="C112" s="203"/>
      <c r="D112" s="203"/>
      <c r="E112" s="153"/>
      <c r="F112" s="498" t="str">
        <f>IF(D112="","",VLOOKUP(D112,'G-6 Hedgerow Data'!$B$2:$AG$15,2,FALSE))</f>
        <v/>
      </c>
      <c r="G112" s="499" t="str">
        <f>IF(D112="","",VLOOKUP(D112,'G-6 Hedgerow Data'!$B$2:$AG$15,3,FALSE))</f>
        <v/>
      </c>
      <c r="H112" s="145"/>
      <c r="I112" s="499" t="str">
        <f>IFERROR(IF(AND(F112="V.Low",OR(H112="Good",H112="Moderate")),"Error ▲",VLOOKUP(H112,'G-1 All Habitats'!$Z$2:$AA$9,2,FALSE)),"")</f>
        <v/>
      </c>
      <c r="J112" s="154"/>
      <c r="K112" s="520" t="str">
        <f>IF(J112="","",IF(VLOOKUP(J112,'G-3 Multipliers'!$L$3:$N$6,2,FALSE)=0,"Spatial Data Missing ⚠",VLOOKUP(J112,'G-3 Multipliers'!$L$3:$N$6,2,FALSE)))</f>
        <v/>
      </c>
      <c r="L112" s="524" t="str">
        <f>IF(J112="","",IF(VLOOKUP(J112,'G-3 Multipliers'!$L$3:$N$6,3,FALSE)=0,"Spatial Data Missing ⚠",VLOOKUP(J112,'G-3 Multipliers'!$L$3:$N$6,3,FALSE)))</f>
        <v/>
      </c>
      <c r="M112" s="506" t="str">
        <f>IF(D112="","",VLOOKUP(D112,'G-6 Hedgerow Data'!$B$1:$AH$15,33,FALSE))</f>
        <v/>
      </c>
      <c r="N112" s="513" t="str">
        <f t="shared" si="9"/>
        <v/>
      </c>
      <c r="O112" s="40"/>
      <c r="P112" s="145"/>
      <c r="Q112" s="157"/>
      <c r="R112" s="507" t="str">
        <f t="shared" si="10"/>
        <v/>
      </c>
      <c r="S112" s="507" t="str">
        <f t="shared" si="11"/>
        <v/>
      </c>
      <c r="T112" s="511" t="str">
        <f t="shared" si="12"/>
        <v/>
      </c>
      <c r="U112" s="515"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8" x14ac:dyDescent="0.25">
      <c r="B113" s="141">
        <v>104</v>
      </c>
      <c r="C113" s="203"/>
      <c r="D113" s="203"/>
      <c r="E113" s="153"/>
      <c r="F113" s="498" t="str">
        <f>IF(D113="","",VLOOKUP(D113,'G-6 Hedgerow Data'!$B$2:$AG$15,2,FALSE))</f>
        <v/>
      </c>
      <c r="G113" s="499" t="str">
        <f>IF(D113="","",VLOOKUP(D113,'G-6 Hedgerow Data'!$B$2:$AG$15,3,FALSE))</f>
        <v/>
      </c>
      <c r="H113" s="145"/>
      <c r="I113" s="499" t="str">
        <f>IFERROR(IF(AND(F113="V.Low",OR(H113="Good",H113="Moderate")),"Error ▲",VLOOKUP(H113,'G-1 All Habitats'!$Z$2:$AA$9,2,FALSE)),"")</f>
        <v/>
      </c>
      <c r="J113" s="154"/>
      <c r="K113" s="520" t="str">
        <f>IF(J113="","",IF(VLOOKUP(J113,'G-3 Multipliers'!$L$3:$N$6,2,FALSE)=0,"Spatial Data Missing ⚠",VLOOKUP(J113,'G-3 Multipliers'!$L$3:$N$6,2,FALSE)))</f>
        <v/>
      </c>
      <c r="L113" s="524" t="str">
        <f>IF(J113="","",IF(VLOOKUP(J113,'G-3 Multipliers'!$L$3:$N$6,3,FALSE)=0,"Spatial Data Missing ⚠",VLOOKUP(J113,'G-3 Multipliers'!$L$3:$N$6,3,FALSE)))</f>
        <v/>
      </c>
      <c r="M113" s="506" t="str">
        <f>IF(D113="","",VLOOKUP(D113,'G-6 Hedgerow Data'!$B$1:$AH$15,33,FALSE))</f>
        <v/>
      </c>
      <c r="N113" s="513" t="str">
        <f t="shared" si="9"/>
        <v/>
      </c>
      <c r="O113" s="40"/>
      <c r="P113" s="145"/>
      <c r="Q113" s="157"/>
      <c r="R113" s="507" t="str">
        <f t="shared" si="10"/>
        <v/>
      </c>
      <c r="S113" s="507" t="str">
        <f t="shared" si="11"/>
        <v/>
      </c>
      <c r="T113" s="511" t="str">
        <f t="shared" si="12"/>
        <v/>
      </c>
      <c r="U113" s="515"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8" x14ac:dyDescent="0.25">
      <c r="B114" s="141">
        <v>105</v>
      </c>
      <c r="C114" s="203"/>
      <c r="D114" s="203"/>
      <c r="E114" s="153"/>
      <c r="F114" s="498" t="str">
        <f>IF(D114="","",VLOOKUP(D114,'G-6 Hedgerow Data'!$B$2:$AG$15,2,FALSE))</f>
        <v/>
      </c>
      <c r="G114" s="499" t="str">
        <f>IF(D114="","",VLOOKUP(D114,'G-6 Hedgerow Data'!$B$2:$AG$15,3,FALSE))</f>
        <v/>
      </c>
      <c r="H114" s="145"/>
      <c r="I114" s="499" t="str">
        <f>IFERROR(IF(AND(F114="V.Low",OR(H114="Good",H114="Moderate")),"Error ▲",VLOOKUP(H114,'G-1 All Habitats'!$Z$2:$AA$9,2,FALSE)),"")</f>
        <v/>
      </c>
      <c r="J114" s="154"/>
      <c r="K114" s="520" t="str">
        <f>IF(J114="","",IF(VLOOKUP(J114,'G-3 Multipliers'!$L$3:$N$6,2,FALSE)=0,"Spatial Data Missing ⚠",VLOOKUP(J114,'G-3 Multipliers'!$L$3:$N$6,2,FALSE)))</f>
        <v/>
      </c>
      <c r="L114" s="524" t="str">
        <f>IF(J114="","",IF(VLOOKUP(J114,'G-3 Multipliers'!$L$3:$N$6,3,FALSE)=0,"Spatial Data Missing ⚠",VLOOKUP(J114,'G-3 Multipliers'!$L$3:$N$6,3,FALSE)))</f>
        <v/>
      </c>
      <c r="M114" s="506" t="str">
        <f>IF(D114="","",VLOOKUP(D114,'G-6 Hedgerow Data'!$B$1:$AH$15,33,FALSE))</f>
        <v/>
      </c>
      <c r="N114" s="513" t="str">
        <f t="shared" si="9"/>
        <v/>
      </c>
      <c r="O114" s="40"/>
      <c r="P114" s="145"/>
      <c r="Q114" s="157"/>
      <c r="R114" s="507" t="str">
        <f t="shared" si="10"/>
        <v/>
      </c>
      <c r="S114" s="507" t="str">
        <f t="shared" si="11"/>
        <v/>
      </c>
      <c r="T114" s="511" t="str">
        <f t="shared" si="12"/>
        <v/>
      </c>
      <c r="U114" s="515"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8" x14ac:dyDescent="0.25">
      <c r="B115" s="141">
        <v>106</v>
      </c>
      <c r="C115" s="203"/>
      <c r="D115" s="203"/>
      <c r="E115" s="153"/>
      <c r="F115" s="498" t="str">
        <f>IF(D115="","",VLOOKUP(D115,'G-6 Hedgerow Data'!$B$2:$AG$15,2,FALSE))</f>
        <v/>
      </c>
      <c r="G115" s="499" t="str">
        <f>IF(D115="","",VLOOKUP(D115,'G-6 Hedgerow Data'!$B$2:$AG$15,3,FALSE))</f>
        <v/>
      </c>
      <c r="H115" s="145"/>
      <c r="I115" s="499" t="str">
        <f>IFERROR(IF(AND(F115="V.Low",OR(H115="Good",H115="Moderate")),"Error ▲",VLOOKUP(H115,'G-1 All Habitats'!$Z$2:$AA$9,2,FALSE)),"")</f>
        <v/>
      </c>
      <c r="J115" s="154"/>
      <c r="K115" s="520" t="str">
        <f>IF(J115="","",IF(VLOOKUP(J115,'G-3 Multipliers'!$L$3:$N$6,2,FALSE)=0,"Spatial Data Missing ⚠",VLOOKUP(J115,'G-3 Multipliers'!$L$3:$N$6,2,FALSE)))</f>
        <v/>
      </c>
      <c r="L115" s="524" t="str">
        <f>IF(J115="","",IF(VLOOKUP(J115,'G-3 Multipliers'!$L$3:$N$6,3,FALSE)=0,"Spatial Data Missing ⚠",VLOOKUP(J115,'G-3 Multipliers'!$L$3:$N$6,3,FALSE)))</f>
        <v/>
      </c>
      <c r="M115" s="506" t="str">
        <f>IF(D115="","",VLOOKUP(D115,'G-6 Hedgerow Data'!$B$1:$AH$15,33,FALSE))</f>
        <v/>
      </c>
      <c r="N115" s="513" t="str">
        <f t="shared" si="9"/>
        <v/>
      </c>
      <c r="O115" s="40"/>
      <c r="P115" s="145"/>
      <c r="Q115" s="157"/>
      <c r="R115" s="507" t="str">
        <f t="shared" si="10"/>
        <v/>
      </c>
      <c r="S115" s="507" t="str">
        <f t="shared" si="11"/>
        <v/>
      </c>
      <c r="T115" s="511" t="str">
        <f t="shared" si="12"/>
        <v/>
      </c>
      <c r="U115" s="515"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8" x14ac:dyDescent="0.25">
      <c r="B116" s="141">
        <v>107</v>
      </c>
      <c r="C116" s="203"/>
      <c r="D116" s="203"/>
      <c r="E116" s="153"/>
      <c r="F116" s="498" t="str">
        <f>IF(D116="","",VLOOKUP(D116,'G-6 Hedgerow Data'!$B$2:$AG$15,2,FALSE))</f>
        <v/>
      </c>
      <c r="G116" s="499" t="str">
        <f>IF(D116="","",VLOOKUP(D116,'G-6 Hedgerow Data'!$B$2:$AG$15,3,FALSE))</f>
        <v/>
      </c>
      <c r="H116" s="145"/>
      <c r="I116" s="499" t="str">
        <f>IFERROR(IF(AND(F116="V.Low",OR(H116="Good",H116="Moderate")),"Error ▲",VLOOKUP(H116,'G-1 All Habitats'!$Z$2:$AA$9,2,FALSE)),"")</f>
        <v/>
      </c>
      <c r="J116" s="154"/>
      <c r="K116" s="520" t="str">
        <f>IF(J116="","",IF(VLOOKUP(J116,'G-3 Multipliers'!$L$3:$N$6,2,FALSE)=0,"Spatial Data Missing ⚠",VLOOKUP(J116,'G-3 Multipliers'!$L$3:$N$6,2,FALSE)))</f>
        <v/>
      </c>
      <c r="L116" s="524" t="str">
        <f>IF(J116="","",IF(VLOOKUP(J116,'G-3 Multipliers'!$L$3:$N$6,3,FALSE)=0,"Spatial Data Missing ⚠",VLOOKUP(J116,'G-3 Multipliers'!$L$3:$N$6,3,FALSE)))</f>
        <v/>
      </c>
      <c r="M116" s="506" t="str">
        <f>IF(D116="","",VLOOKUP(D116,'G-6 Hedgerow Data'!$B$1:$AH$15,33,FALSE))</f>
        <v/>
      </c>
      <c r="N116" s="513" t="str">
        <f t="shared" si="9"/>
        <v/>
      </c>
      <c r="O116" s="40"/>
      <c r="P116" s="145"/>
      <c r="Q116" s="157"/>
      <c r="R116" s="507" t="str">
        <f t="shared" si="10"/>
        <v/>
      </c>
      <c r="S116" s="507" t="str">
        <f t="shared" si="11"/>
        <v/>
      </c>
      <c r="T116" s="511" t="str">
        <f t="shared" si="12"/>
        <v/>
      </c>
      <c r="U116" s="515"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8" x14ac:dyDescent="0.25">
      <c r="B117" s="141">
        <v>108</v>
      </c>
      <c r="C117" s="203"/>
      <c r="D117" s="203"/>
      <c r="E117" s="153"/>
      <c r="F117" s="498" t="str">
        <f>IF(D117="","",VLOOKUP(D117,'G-6 Hedgerow Data'!$B$2:$AG$15,2,FALSE))</f>
        <v/>
      </c>
      <c r="G117" s="499" t="str">
        <f>IF(D117="","",VLOOKUP(D117,'G-6 Hedgerow Data'!$B$2:$AG$15,3,FALSE))</f>
        <v/>
      </c>
      <c r="H117" s="145"/>
      <c r="I117" s="499" t="str">
        <f>IFERROR(IF(AND(F117="V.Low",OR(H117="Good",H117="Moderate")),"Error ▲",VLOOKUP(H117,'G-1 All Habitats'!$Z$2:$AA$9,2,FALSE)),"")</f>
        <v/>
      </c>
      <c r="J117" s="154"/>
      <c r="K117" s="520" t="str">
        <f>IF(J117="","",IF(VLOOKUP(J117,'G-3 Multipliers'!$L$3:$N$6,2,FALSE)=0,"Spatial Data Missing ⚠",VLOOKUP(J117,'G-3 Multipliers'!$L$3:$N$6,2,FALSE)))</f>
        <v/>
      </c>
      <c r="L117" s="524" t="str">
        <f>IF(J117="","",IF(VLOOKUP(J117,'G-3 Multipliers'!$L$3:$N$6,3,FALSE)=0,"Spatial Data Missing ⚠",VLOOKUP(J117,'G-3 Multipliers'!$L$3:$N$6,3,FALSE)))</f>
        <v/>
      </c>
      <c r="M117" s="506" t="str">
        <f>IF(D117="","",VLOOKUP(D117,'G-6 Hedgerow Data'!$B$1:$AH$15,33,FALSE))</f>
        <v/>
      </c>
      <c r="N117" s="513" t="str">
        <f t="shared" si="9"/>
        <v/>
      </c>
      <c r="O117" s="40"/>
      <c r="P117" s="145"/>
      <c r="Q117" s="157"/>
      <c r="R117" s="507" t="str">
        <f t="shared" si="10"/>
        <v/>
      </c>
      <c r="S117" s="507" t="str">
        <f t="shared" si="11"/>
        <v/>
      </c>
      <c r="T117" s="511" t="str">
        <f t="shared" si="12"/>
        <v/>
      </c>
      <c r="U117" s="515"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8" x14ac:dyDescent="0.25">
      <c r="B118" s="141">
        <v>109</v>
      </c>
      <c r="C118" s="203"/>
      <c r="D118" s="203"/>
      <c r="E118" s="153"/>
      <c r="F118" s="498" t="str">
        <f>IF(D118="","",VLOOKUP(D118,'G-6 Hedgerow Data'!$B$2:$AG$15,2,FALSE))</f>
        <v/>
      </c>
      <c r="G118" s="499" t="str">
        <f>IF(D118="","",VLOOKUP(D118,'G-6 Hedgerow Data'!$B$2:$AG$15,3,FALSE))</f>
        <v/>
      </c>
      <c r="H118" s="145"/>
      <c r="I118" s="499" t="str">
        <f>IFERROR(IF(AND(F118="V.Low",OR(H118="Good",H118="Moderate")),"Error ▲",VLOOKUP(H118,'G-1 All Habitats'!$Z$2:$AA$9,2,FALSE)),"")</f>
        <v/>
      </c>
      <c r="J118" s="154"/>
      <c r="K118" s="520" t="str">
        <f>IF(J118="","",IF(VLOOKUP(J118,'G-3 Multipliers'!$L$3:$N$6,2,FALSE)=0,"Spatial Data Missing ⚠",VLOOKUP(J118,'G-3 Multipliers'!$L$3:$N$6,2,FALSE)))</f>
        <v/>
      </c>
      <c r="L118" s="524" t="str">
        <f>IF(J118="","",IF(VLOOKUP(J118,'G-3 Multipliers'!$L$3:$N$6,3,FALSE)=0,"Spatial Data Missing ⚠",VLOOKUP(J118,'G-3 Multipliers'!$L$3:$N$6,3,FALSE)))</f>
        <v/>
      </c>
      <c r="M118" s="506" t="str">
        <f>IF(D118="","",VLOOKUP(D118,'G-6 Hedgerow Data'!$B$1:$AH$15,33,FALSE))</f>
        <v/>
      </c>
      <c r="N118" s="513" t="str">
        <f t="shared" si="9"/>
        <v/>
      </c>
      <c r="O118" s="40"/>
      <c r="P118" s="145"/>
      <c r="Q118" s="157"/>
      <c r="R118" s="507" t="str">
        <f t="shared" si="10"/>
        <v/>
      </c>
      <c r="S118" s="507" t="str">
        <f t="shared" si="11"/>
        <v/>
      </c>
      <c r="T118" s="511" t="str">
        <f t="shared" si="12"/>
        <v/>
      </c>
      <c r="U118" s="515"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8" x14ac:dyDescent="0.25">
      <c r="B119" s="141">
        <v>110</v>
      </c>
      <c r="C119" s="203"/>
      <c r="D119" s="203"/>
      <c r="E119" s="153"/>
      <c r="F119" s="498" t="str">
        <f>IF(D119="","",VLOOKUP(D119,'G-6 Hedgerow Data'!$B$2:$AG$15,2,FALSE))</f>
        <v/>
      </c>
      <c r="G119" s="499" t="str">
        <f>IF(D119="","",VLOOKUP(D119,'G-6 Hedgerow Data'!$B$2:$AG$15,3,FALSE))</f>
        <v/>
      </c>
      <c r="H119" s="145"/>
      <c r="I119" s="499" t="str">
        <f>IFERROR(IF(AND(F119="V.Low",OR(H119="Good",H119="Moderate")),"Error ▲",VLOOKUP(H119,'G-1 All Habitats'!$Z$2:$AA$9,2,FALSE)),"")</f>
        <v/>
      </c>
      <c r="J119" s="154"/>
      <c r="K119" s="520" t="str">
        <f>IF(J119="","",IF(VLOOKUP(J119,'G-3 Multipliers'!$L$3:$N$6,2,FALSE)=0,"Spatial Data Missing ⚠",VLOOKUP(J119,'G-3 Multipliers'!$L$3:$N$6,2,FALSE)))</f>
        <v/>
      </c>
      <c r="L119" s="524" t="str">
        <f>IF(J119="","",IF(VLOOKUP(J119,'G-3 Multipliers'!$L$3:$N$6,3,FALSE)=0,"Spatial Data Missing ⚠",VLOOKUP(J119,'G-3 Multipliers'!$L$3:$N$6,3,FALSE)))</f>
        <v/>
      </c>
      <c r="M119" s="506" t="str">
        <f>IF(D119="","",VLOOKUP(D119,'G-6 Hedgerow Data'!$B$1:$AH$15,33,FALSE))</f>
        <v/>
      </c>
      <c r="N119" s="513" t="str">
        <f t="shared" si="9"/>
        <v/>
      </c>
      <c r="O119" s="40"/>
      <c r="P119" s="145"/>
      <c r="Q119" s="157"/>
      <c r="R119" s="507" t="str">
        <f t="shared" si="10"/>
        <v/>
      </c>
      <c r="S119" s="507" t="str">
        <f t="shared" si="11"/>
        <v/>
      </c>
      <c r="T119" s="511" t="str">
        <f t="shared" si="12"/>
        <v/>
      </c>
      <c r="U119" s="515"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8" x14ac:dyDescent="0.25">
      <c r="B120" s="141">
        <v>111</v>
      </c>
      <c r="C120" s="203"/>
      <c r="D120" s="203"/>
      <c r="E120" s="153"/>
      <c r="F120" s="498" t="str">
        <f>IF(D120="","",VLOOKUP(D120,'G-6 Hedgerow Data'!$B$2:$AG$15,2,FALSE))</f>
        <v/>
      </c>
      <c r="G120" s="499" t="str">
        <f>IF(D120="","",VLOOKUP(D120,'G-6 Hedgerow Data'!$B$2:$AG$15,3,FALSE))</f>
        <v/>
      </c>
      <c r="H120" s="145"/>
      <c r="I120" s="499" t="str">
        <f>IFERROR(IF(AND(F120="V.Low",OR(H120="Good",H120="Moderate")),"Error ▲",VLOOKUP(H120,'G-1 All Habitats'!$Z$2:$AA$9,2,FALSE)),"")</f>
        <v/>
      </c>
      <c r="J120" s="154"/>
      <c r="K120" s="520" t="str">
        <f>IF(J120="","",IF(VLOOKUP(J120,'G-3 Multipliers'!$L$3:$N$6,2,FALSE)=0,"Spatial Data Missing ⚠",VLOOKUP(J120,'G-3 Multipliers'!$L$3:$N$6,2,FALSE)))</f>
        <v/>
      </c>
      <c r="L120" s="524" t="str">
        <f>IF(J120="","",IF(VLOOKUP(J120,'G-3 Multipliers'!$L$3:$N$6,3,FALSE)=0,"Spatial Data Missing ⚠",VLOOKUP(J120,'G-3 Multipliers'!$L$3:$N$6,3,FALSE)))</f>
        <v/>
      </c>
      <c r="M120" s="506" t="str">
        <f>IF(D120="","",VLOOKUP(D120,'G-6 Hedgerow Data'!$B$1:$AH$15,33,FALSE))</f>
        <v/>
      </c>
      <c r="N120" s="513" t="str">
        <f t="shared" si="9"/>
        <v/>
      </c>
      <c r="O120" s="40"/>
      <c r="P120" s="145"/>
      <c r="Q120" s="157"/>
      <c r="R120" s="507" t="str">
        <f t="shared" si="10"/>
        <v/>
      </c>
      <c r="S120" s="507" t="str">
        <f t="shared" si="11"/>
        <v/>
      </c>
      <c r="T120" s="511" t="str">
        <f t="shared" si="12"/>
        <v/>
      </c>
      <c r="U120" s="515"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8" x14ac:dyDescent="0.25">
      <c r="B121" s="141">
        <v>112</v>
      </c>
      <c r="C121" s="203"/>
      <c r="D121" s="203"/>
      <c r="E121" s="153"/>
      <c r="F121" s="498" t="str">
        <f>IF(D121="","",VLOOKUP(D121,'G-6 Hedgerow Data'!$B$2:$AG$15,2,FALSE))</f>
        <v/>
      </c>
      <c r="G121" s="499" t="str">
        <f>IF(D121="","",VLOOKUP(D121,'G-6 Hedgerow Data'!$B$2:$AG$15,3,FALSE))</f>
        <v/>
      </c>
      <c r="H121" s="145"/>
      <c r="I121" s="499" t="str">
        <f>IFERROR(IF(AND(F121="V.Low",OR(H121="Good",H121="Moderate")),"Error ▲",VLOOKUP(H121,'G-1 All Habitats'!$Z$2:$AA$9,2,FALSE)),"")</f>
        <v/>
      </c>
      <c r="J121" s="154"/>
      <c r="K121" s="520" t="str">
        <f>IF(J121="","",IF(VLOOKUP(J121,'G-3 Multipliers'!$L$3:$N$6,2,FALSE)=0,"Spatial Data Missing ⚠",VLOOKUP(J121,'G-3 Multipliers'!$L$3:$N$6,2,FALSE)))</f>
        <v/>
      </c>
      <c r="L121" s="524" t="str">
        <f>IF(J121="","",IF(VLOOKUP(J121,'G-3 Multipliers'!$L$3:$N$6,3,FALSE)=0,"Spatial Data Missing ⚠",VLOOKUP(J121,'G-3 Multipliers'!$L$3:$N$6,3,FALSE)))</f>
        <v/>
      </c>
      <c r="M121" s="506" t="str">
        <f>IF(D121="","",VLOOKUP(D121,'G-6 Hedgerow Data'!$B$1:$AH$15,33,FALSE))</f>
        <v/>
      </c>
      <c r="N121" s="513" t="str">
        <f t="shared" si="9"/>
        <v/>
      </c>
      <c r="O121" s="40"/>
      <c r="P121" s="145"/>
      <c r="Q121" s="157"/>
      <c r="R121" s="507" t="str">
        <f t="shared" si="10"/>
        <v/>
      </c>
      <c r="S121" s="507" t="str">
        <f t="shared" si="11"/>
        <v/>
      </c>
      <c r="T121" s="511" t="str">
        <f t="shared" si="12"/>
        <v/>
      </c>
      <c r="U121" s="515"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8" x14ac:dyDescent="0.25">
      <c r="B122" s="141">
        <v>113</v>
      </c>
      <c r="C122" s="203"/>
      <c r="D122" s="203"/>
      <c r="E122" s="153"/>
      <c r="F122" s="498" t="str">
        <f>IF(D122="","",VLOOKUP(D122,'G-6 Hedgerow Data'!$B$2:$AG$15,2,FALSE))</f>
        <v/>
      </c>
      <c r="G122" s="499" t="str">
        <f>IF(D122="","",VLOOKUP(D122,'G-6 Hedgerow Data'!$B$2:$AG$15,3,FALSE))</f>
        <v/>
      </c>
      <c r="H122" s="145"/>
      <c r="I122" s="499" t="str">
        <f>IFERROR(IF(AND(F122="V.Low",OR(H122="Good",H122="Moderate")),"Error ▲",VLOOKUP(H122,'G-1 All Habitats'!$Z$2:$AA$9,2,FALSE)),"")</f>
        <v/>
      </c>
      <c r="J122" s="154"/>
      <c r="K122" s="520" t="str">
        <f>IF(J122="","",IF(VLOOKUP(J122,'G-3 Multipliers'!$L$3:$N$6,2,FALSE)=0,"Spatial Data Missing ⚠",VLOOKUP(J122,'G-3 Multipliers'!$L$3:$N$6,2,FALSE)))</f>
        <v/>
      </c>
      <c r="L122" s="524" t="str">
        <f>IF(J122="","",IF(VLOOKUP(J122,'G-3 Multipliers'!$L$3:$N$6,3,FALSE)=0,"Spatial Data Missing ⚠",VLOOKUP(J122,'G-3 Multipliers'!$L$3:$N$6,3,FALSE)))</f>
        <v/>
      </c>
      <c r="M122" s="506" t="str">
        <f>IF(D122="","",VLOOKUP(D122,'G-6 Hedgerow Data'!$B$1:$AH$15,33,FALSE))</f>
        <v/>
      </c>
      <c r="N122" s="513" t="str">
        <f t="shared" si="9"/>
        <v/>
      </c>
      <c r="O122" s="40"/>
      <c r="P122" s="145"/>
      <c r="Q122" s="157"/>
      <c r="R122" s="507" t="str">
        <f t="shared" si="10"/>
        <v/>
      </c>
      <c r="S122" s="507" t="str">
        <f t="shared" si="11"/>
        <v/>
      </c>
      <c r="T122" s="511" t="str">
        <f t="shared" si="12"/>
        <v/>
      </c>
      <c r="U122" s="515"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8" x14ac:dyDescent="0.25">
      <c r="B123" s="141">
        <v>114</v>
      </c>
      <c r="C123" s="203"/>
      <c r="D123" s="203"/>
      <c r="E123" s="153"/>
      <c r="F123" s="498" t="str">
        <f>IF(D123="","",VLOOKUP(D123,'G-6 Hedgerow Data'!$B$2:$AG$15,2,FALSE))</f>
        <v/>
      </c>
      <c r="G123" s="499" t="str">
        <f>IF(D123="","",VLOOKUP(D123,'G-6 Hedgerow Data'!$B$2:$AG$15,3,FALSE))</f>
        <v/>
      </c>
      <c r="H123" s="145"/>
      <c r="I123" s="499" t="str">
        <f>IFERROR(IF(AND(F123="V.Low",OR(H123="Good",H123="Moderate")),"Error ▲",VLOOKUP(H123,'G-1 All Habitats'!$Z$2:$AA$9,2,FALSE)),"")</f>
        <v/>
      </c>
      <c r="J123" s="154"/>
      <c r="K123" s="520" t="str">
        <f>IF(J123="","",IF(VLOOKUP(J123,'G-3 Multipliers'!$L$3:$N$6,2,FALSE)=0,"Spatial Data Missing ⚠",VLOOKUP(J123,'G-3 Multipliers'!$L$3:$N$6,2,FALSE)))</f>
        <v/>
      </c>
      <c r="L123" s="524" t="str">
        <f>IF(J123="","",IF(VLOOKUP(J123,'G-3 Multipliers'!$L$3:$N$6,3,FALSE)=0,"Spatial Data Missing ⚠",VLOOKUP(J123,'G-3 Multipliers'!$L$3:$N$6,3,FALSE)))</f>
        <v/>
      </c>
      <c r="M123" s="506" t="str">
        <f>IF(D123="","",VLOOKUP(D123,'G-6 Hedgerow Data'!$B$1:$AH$15,33,FALSE))</f>
        <v/>
      </c>
      <c r="N123" s="513" t="str">
        <f t="shared" si="9"/>
        <v/>
      </c>
      <c r="O123" s="40"/>
      <c r="P123" s="145"/>
      <c r="Q123" s="157"/>
      <c r="R123" s="507" t="str">
        <f t="shared" si="10"/>
        <v/>
      </c>
      <c r="S123" s="507" t="str">
        <f t="shared" si="11"/>
        <v/>
      </c>
      <c r="T123" s="511" t="str">
        <f t="shared" si="12"/>
        <v/>
      </c>
      <c r="U123" s="515"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8" x14ac:dyDescent="0.25">
      <c r="B124" s="141">
        <v>115</v>
      </c>
      <c r="C124" s="203"/>
      <c r="D124" s="203"/>
      <c r="E124" s="153"/>
      <c r="F124" s="498" t="str">
        <f>IF(D124="","",VLOOKUP(D124,'G-6 Hedgerow Data'!$B$2:$AG$15,2,FALSE))</f>
        <v/>
      </c>
      <c r="G124" s="499" t="str">
        <f>IF(D124="","",VLOOKUP(D124,'G-6 Hedgerow Data'!$B$2:$AG$15,3,FALSE))</f>
        <v/>
      </c>
      <c r="H124" s="145"/>
      <c r="I124" s="499" t="str">
        <f>IFERROR(IF(AND(F124="V.Low",OR(H124="Good",H124="Moderate")),"Error ▲",VLOOKUP(H124,'G-1 All Habitats'!$Z$2:$AA$9,2,FALSE)),"")</f>
        <v/>
      </c>
      <c r="J124" s="154"/>
      <c r="K124" s="520" t="str">
        <f>IF(J124="","",IF(VLOOKUP(J124,'G-3 Multipliers'!$L$3:$N$6,2,FALSE)=0,"Spatial Data Missing ⚠",VLOOKUP(J124,'G-3 Multipliers'!$L$3:$N$6,2,FALSE)))</f>
        <v/>
      </c>
      <c r="L124" s="524" t="str">
        <f>IF(J124="","",IF(VLOOKUP(J124,'G-3 Multipliers'!$L$3:$N$6,3,FALSE)=0,"Spatial Data Missing ⚠",VLOOKUP(J124,'G-3 Multipliers'!$L$3:$N$6,3,FALSE)))</f>
        <v/>
      </c>
      <c r="M124" s="506" t="str">
        <f>IF(D124="","",VLOOKUP(D124,'G-6 Hedgerow Data'!$B$1:$AH$15,33,FALSE))</f>
        <v/>
      </c>
      <c r="N124" s="513" t="str">
        <f t="shared" si="9"/>
        <v/>
      </c>
      <c r="O124" s="40"/>
      <c r="P124" s="145"/>
      <c r="Q124" s="157"/>
      <c r="R124" s="507" t="str">
        <f t="shared" si="10"/>
        <v/>
      </c>
      <c r="S124" s="507" t="str">
        <f t="shared" si="11"/>
        <v/>
      </c>
      <c r="T124" s="511" t="str">
        <f t="shared" si="12"/>
        <v/>
      </c>
      <c r="U124" s="515"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8" x14ac:dyDescent="0.25">
      <c r="B125" s="141">
        <v>116</v>
      </c>
      <c r="C125" s="203"/>
      <c r="D125" s="203"/>
      <c r="E125" s="153"/>
      <c r="F125" s="498" t="str">
        <f>IF(D125="","",VLOOKUP(D125,'G-6 Hedgerow Data'!$B$2:$AG$15,2,FALSE))</f>
        <v/>
      </c>
      <c r="G125" s="499" t="str">
        <f>IF(D125="","",VLOOKUP(D125,'G-6 Hedgerow Data'!$B$2:$AG$15,3,FALSE))</f>
        <v/>
      </c>
      <c r="H125" s="145"/>
      <c r="I125" s="499" t="str">
        <f>IFERROR(IF(AND(F125="V.Low",OR(H125="Good",H125="Moderate")),"Error ▲",VLOOKUP(H125,'G-1 All Habitats'!$Z$2:$AA$9,2,FALSE)),"")</f>
        <v/>
      </c>
      <c r="J125" s="154"/>
      <c r="K125" s="520" t="str">
        <f>IF(J125="","",IF(VLOOKUP(J125,'G-3 Multipliers'!$L$3:$N$6,2,FALSE)=0,"Spatial Data Missing ⚠",VLOOKUP(J125,'G-3 Multipliers'!$L$3:$N$6,2,FALSE)))</f>
        <v/>
      </c>
      <c r="L125" s="524" t="str">
        <f>IF(J125="","",IF(VLOOKUP(J125,'G-3 Multipliers'!$L$3:$N$6,3,FALSE)=0,"Spatial Data Missing ⚠",VLOOKUP(J125,'G-3 Multipliers'!$L$3:$N$6,3,FALSE)))</f>
        <v/>
      </c>
      <c r="M125" s="506" t="str">
        <f>IF(D125="","",VLOOKUP(D125,'G-6 Hedgerow Data'!$B$1:$AH$15,33,FALSE))</f>
        <v/>
      </c>
      <c r="N125" s="513" t="str">
        <f t="shared" si="9"/>
        <v/>
      </c>
      <c r="O125" s="40"/>
      <c r="P125" s="145"/>
      <c r="Q125" s="157"/>
      <c r="R125" s="507" t="str">
        <f t="shared" si="10"/>
        <v/>
      </c>
      <c r="S125" s="507" t="str">
        <f t="shared" si="11"/>
        <v/>
      </c>
      <c r="T125" s="511" t="str">
        <f t="shared" si="12"/>
        <v/>
      </c>
      <c r="U125" s="515"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8" x14ac:dyDescent="0.25">
      <c r="B126" s="141">
        <v>117</v>
      </c>
      <c r="C126" s="203"/>
      <c r="D126" s="203"/>
      <c r="E126" s="153"/>
      <c r="F126" s="498" t="str">
        <f>IF(D126="","",VLOOKUP(D126,'G-6 Hedgerow Data'!$B$2:$AG$15,2,FALSE))</f>
        <v/>
      </c>
      <c r="G126" s="499" t="str">
        <f>IF(D126="","",VLOOKUP(D126,'G-6 Hedgerow Data'!$B$2:$AG$15,3,FALSE))</f>
        <v/>
      </c>
      <c r="H126" s="145"/>
      <c r="I126" s="499" t="str">
        <f>IFERROR(IF(AND(F126="V.Low",OR(H126="Good",H126="Moderate")),"Error ▲",VLOOKUP(H126,'G-1 All Habitats'!$Z$2:$AA$9,2,FALSE)),"")</f>
        <v/>
      </c>
      <c r="J126" s="154"/>
      <c r="K126" s="520" t="str">
        <f>IF(J126="","",IF(VLOOKUP(J126,'G-3 Multipliers'!$L$3:$N$6,2,FALSE)=0,"Spatial Data Missing ⚠",VLOOKUP(J126,'G-3 Multipliers'!$L$3:$N$6,2,FALSE)))</f>
        <v/>
      </c>
      <c r="L126" s="524" t="str">
        <f>IF(J126="","",IF(VLOOKUP(J126,'G-3 Multipliers'!$L$3:$N$6,3,FALSE)=0,"Spatial Data Missing ⚠",VLOOKUP(J126,'G-3 Multipliers'!$L$3:$N$6,3,FALSE)))</f>
        <v/>
      </c>
      <c r="M126" s="506" t="str">
        <f>IF(D126="","",VLOOKUP(D126,'G-6 Hedgerow Data'!$B$1:$AH$15,33,FALSE))</f>
        <v/>
      </c>
      <c r="N126" s="513" t="str">
        <f t="shared" si="9"/>
        <v/>
      </c>
      <c r="O126" s="40"/>
      <c r="P126" s="145"/>
      <c r="Q126" s="157"/>
      <c r="R126" s="507" t="str">
        <f t="shared" si="10"/>
        <v/>
      </c>
      <c r="S126" s="507" t="str">
        <f t="shared" si="11"/>
        <v/>
      </c>
      <c r="T126" s="511" t="str">
        <f t="shared" si="12"/>
        <v/>
      </c>
      <c r="U126" s="515"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8" x14ac:dyDescent="0.25">
      <c r="B127" s="141">
        <v>118</v>
      </c>
      <c r="C127" s="203"/>
      <c r="D127" s="203"/>
      <c r="E127" s="153"/>
      <c r="F127" s="498" t="str">
        <f>IF(D127="","",VLOOKUP(D127,'G-6 Hedgerow Data'!$B$2:$AG$15,2,FALSE))</f>
        <v/>
      </c>
      <c r="G127" s="499" t="str">
        <f>IF(D127="","",VLOOKUP(D127,'G-6 Hedgerow Data'!$B$2:$AG$15,3,FALSE))</f>
        <v/>
      </c>
      <c r="H127" s="145"/>
      <c r="I127" s="499" t="str">
        <f>IFERROR(IF(AND(F127="V.Low",OR(H127="Good",H127="Moderate")),"Error ▲",VLOOKUP(H127,'G-1 All Habitats'!$Z$2:$AA$9,2,FALSE)),"")</f>
        <v/>
      </c>
      <c r="J127" s="154"/>
      <c r="K127" s="520" t="str">
        <f>IF(J127="","",IF(VLOOKUP(J127,'G-3 Multipliers'!$L$3:$N$6,2,FALSE)=0,"Spatial Data Missing ⚠",VLOOKUP(J127,'G-3 Multipliers'!$L$3:$N$6,2,FALSE)))</f>
        <v/>
      </c>
      <c r="L127" s="524" t="str">
        <f>IF(J127="","",IF(VLOOKUP(J127,'G-3 Multipliers'!$L$3:$N$6,3,FALSE)=0,"Spatial Data Missing ⚠",VLOOKUP(J127,'G-3 Multipliers'!$L$3:$N$6,3,FALSE)))</f>
        <v/>
      </c>
      <c r="M127" s="506" t="str">
        <f>IF(D127="","",VLOOKUP(D127,'G-6 Hedgerow Data'!$B$1:$AH$15,33,FALSE))</f>
        <v/>
      </c>
      <c r="N127" s="513" t="str">
        <f t="shared" si="9"/>
        <v/>
      </c>
      <c r="O127" s="40"/>
      <c r="P127" s="145"/>
      <c r="Q127" s="157"/>
      <c r="R127" s="507" t="str">
        <f t="shared" si="10"/>
        <v/>
      </c>
      <c r="S127" s="507" t="str">
        <f t="shared" si="11"/>
        <v/>
      </c>
      <c r="T127" s="511" t="str">
        <f t="shared" si="12"/>
        <v/>
      </c>
      <c r="U127" s="515"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8" x14ac:dyDescent="0.25">
      <c r="B128" s="141">
        <v>119</v>
      </c>
      <c r="C128" s="203"/>
      <c r="D128" s="203"/>
      <c r="E128" s="153"/>
      <c r="F128" s="498" t="str">
        <f>IF(D128="","",VLOOKUP(D128,'G-6 Hedgerow Data'!$B$2:$AG$15,2,FALSE))</f>
        <v/>
      </c>
      <c r="G128" s="499" t="str">
        <f>IF(D128="","",VLOOKUP(D128,'G-6 Hedgerow Data'!$B$2:$AG$15,3,FALSE))</f>
        <v/>
      </c>
      <c r="H128" s="145"/>
      <c r="I128" s="499" t="str">
        <f>IFERROR(IF(AND(F128="V.Low",OR(H128="Good",H128="Moderate")),"Error ▲",VLOOKUP(H128,'G-1 All Habitats'!$Z$2:$AA$9,2,FALSE)),"")</f>
        <v/>
      </c>
      <c r="J128" s="154"/>
      <c r="K128" s="520" t="str">
        <f>IF(J128="","",IF(VLOOKUP(J128,'G-3 Multipliers'!$L$3:$N$6,2,FALSE)=0,"Spatial Data Missing ⚠",VLOOKUP(J128,'G-3 Multipliers'!$L$3:$N$6,2,FALSE)))</f>
        <v/>
      </c>
      <c r="L128" s="524" t="str">
        <f>IF(J128="","",IF(VLOOKUP(J128,'G-3 Multipliers'!$L$3:$N$6,3,FALSE)=0,"Spatial Data Missing ⚠",VLOOKUP(J128,'G-3 Multipliers'!$L$3:$N$6,3,FALSE)))</f>
        <v/>
      </c>
      <c r="M128" s="506" t="str">
        <f>IF(D128="","",VLOOKUP(D128,'G-6 Hedgerow Data'!$B$1:$AH$15,33,FALSE))</f>
        <v/>
      </c>
      <c r="N128" s="513" t="str">
        <f t="shared" si="9"/>
        <v/>
      </c>
      <c r="O128" s="40"/>
      <c r="P128" s="145"/>
      <c r="Q128" s="157"/>
      <c r="R128" s="507" t="str">
        <f t="shared" si="10"/>
        <v/>
      </c>
      <c r="S128" s="507" t="str">
        <f t="shared" si="11"/>
        <v/>
      </c>
      <c r="T128" s="511" t="str">
        <f t="shared" si="12"/>
        <v/>
      </c>
      <c r="U128" s="515"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8" x14ac:dyDescent="0.25">
      <c r="B129" s="141">
        <v>120</v>
      </c>
      <c r="C129" s="203"/>
      <c r="D129" s="203"/>
      <c r="E129" s="153"/>
      <c r="F129" s="498" t="str">
        <f>IF(D129="","",VLOOKUP(D129,'G-6 Hedgerow Data'!$B$2:$AG$15,2,FALSE))</f>
        <v/>
      </c>
      <c r="G129" s="499" t="str">
        <f>IF(D129="","",VLOOKUP(D129,'G-6 Hedgerow Data'!$B$2:$AG$15,3,FALSE))</f>
        <v/>
      </c>
      <c r="H129" s="145"/>
      <c r="I129" s="499" t="str">
        <f>IFERROR(IF(AND(F129="V.Low",OR(H129="Good",H129="Moderate")),"Error ▲",VLOOKUP(H129,'G-1 All Habitats'!$Z$2:$AA$9,2,FALSE)),"")</f>
        <v/>
      </c>
      <c r="J129" s="154"/>
      <c r="K129" s="520" t="str">
        <f>IF(J129="","",IF(VLOOKUP(J129,'G-3 Multipliers'!$L$3:$N$6,2,FALSE)=0,"Spatial Data Missing ⚠",VLOOKUP(J129,'G-3 Multipliers'!$L$3:$N$6,2,FALSE)))</f>
        <v/>
      </c>
      <c r="L129" s="524" t="str">
        <f>IF(J129="","",IF(VLOOKUP(J129,'G-3 Multipliers'!$L$3:$N$6,3,FALSE)=0,"Spatial Data Missing ⚠",VLOOKUP(J129,'G-3 Multipliers'!$L$3:$N$6,3,FALSE)))</f>
        <v/>
      </c>
      <c r="M129" s="506" t="str">
        <f>IF(D129="","",VLOOKUP(D129,'G-6 Hedgerow Data'!$B$1:$AH$15,33,FALSE))</f>
        <v/>
      </c>
      <c r="N129" s="513" t="str">
        <f t="shared" si="9"/>
        <v/>
      </c>
      <c r="O129" s="40"/>
      <c r="P129" s="145"/>
      <c r="Q129" s="157"/>
      <c r="R129" s="507" t="str">
        <f t="shared" si="10"/>
        <v/>
      </c>
      <c r="S129" s="507" t="str">
        <f t="shared" si="11"/>
        <v/>
      </c>
      <c r="T129" s="511" t="str">
        <f t="shared" si="12"/>
        <v/>
      </c>
      <c r="U129" s="515"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8" x14ac:dyDescent="0.25">
      <c r="B130" s="141">
        <v>121</v>
      </c>
      <c r="C130" s="203"/>
      <c r="D130" s="203"/>
      <c r="E130" s="153"/>
      <c r="F130" s="498" t="str">
        <f>IF(D130="","",VLOOKUP(D130,'G-6 Hedgerow Data'!$B$2:$AG$15,2,FALSE))</f>
        <v/>
      </c>
      <c r="G130" s="499" t="str">
        <f>IF(D130="","",VLOOKUP(D130,'G-6 Hedgerow Data'!$B$2:$AG$15,3,FALSE))</f>
        <v/>
      </c>
      <c r="H130" s="145"/>
      <c r="I130" s="499" t="str">
        <f>IFERROR(IF(AND(F130="V.Low",OR(H130="Good",H130="Moderate")),"Error ▲",VLOOKUP(H130,'G-1 All Habitats'!$Z$2:$AA$9,2,FALSE)),"")</f>
        <v/>
      </c>
      <c r="J130" s="154"/>
      <c r="K130" s="520" t="str">
        <f>IF(J130="","",IF(VLOOKUP(J130,'G-3 Multipliers'!$L$3:$N$6,2,FALSE)=0,"Spatial Data Missing ⚠",VLOOKUP(J130,'G-3 Multipliers'!$L$3:$N$6,2,FALSE)))</f>
        <v/>
      </c>
      <c r="L130" s="524" t="str">
        <f>IF(J130="","",IF(VLOOKUP(J130,'G-3 Multipliers'!$L$3:$N$6,3,FALSE)=0,"Spatial Data Missing ⚠",VLOOKUP(J130,'G-3 Multipliers'!$L$3:$N$6,3,FALSE)))</f>
        <v/>
      </c>
      <c r="M130" s="506" t="str">
        <f>IF(D130="","",VLOOKUP(D130,'G-6 Hedgerow Data'!$B$1:$AH$15,33,FALSE))</f>
        <v/>
      </c>
      <c r="N130" s="513" t="str">
        <f t="shared" si="9"/>
        <v/>
      </c>
      <c r="O130" s="40"/>
      <c r="P130" s="145"/>
      <c r="Q130" s="157"/>
      <c r="R130" s="507" t="str">
        <f t="shared" si="10"/>
        <v/>
      </c>
      <c r="S130" s="507" t="str">
        <f t="shared" si="11"/>
        <v/>
      </c>
      <c r="T130" s="511" t="str">
        <f t="shared" si="12"/>
        <v/>
      </c>
      <c r="U130" s="515"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8" x14ac:dyDescent="0.25">
      <c r="B131" s="141">
        <v>122</v>
      </c>
      <c r="C131" s="203"/>
      <c r="D131" s="203"/>
      <c r="E131" s="153"/>
      <c r="F131" s="498" t="str">
        <f>IF(D131="","",VLOOKUP(D131,'G-6 Hedgerow Data'!$B$2:$AG$15,2,FALSE))</f>
        <v/>
      </c>
      <c r="G131" s="499" t="str">
        <f>IF(D131="","",VLOOKUP(D131,'G-6 Hedgerow Data'!$B$2:$AG$15,3,FALSE))</f>
        <v/>
      </c>
      <c r="H131" s="145"/>
      <c r="I131" s="499" t="str">
        <f>IFERROR(IF(AND(F131="V.Low",OR(H131="Good",H131="Moderate")),"Error ▲",VLOOKUP(H131,'G-1 All Habitats'!$Z$2:$AA$9,2,FALSE)),"")</f>
        <v/>
      </c>
      <c r="J131" s="154"/>
      <c r="K131" s="520" t="str">
        <f>IF(J131="","",IF(VLOOKUP(J131,'G-3 Multipliers'!$L$3:$N$6,2,FALSE)=0,"Spatial Data Missing ⚠",VLOOKUP(J131,'G-3 Multipliers'!$L$3:$N$6,2,FALSE)))</f>
        <v/>
      </c>
      <c r="L131" s="524" t="str">
        <f>IF(J131="","",IF(VLOOKUP(J131,'G-3 Multipliers'!$L$3:$N$6,3,FALSE)=0,"Spatial Data Missing ⚠",VLOOKUP(J131,'G-3 Multipliers'!$L$3:$N$6,3,FALSE)))</f>
        <v/>
      </c>
      <c r="M131" s="506" t="str">
        <f>IF(D131="","",VLOOKUP(D131,'G-6 Hedgerow Data'!$B$1:$AH$15,33,FALSE))</f>
        <v/>
      </c>
      <c r="N131" s="513" t="str">
        <f t="shared" si="9"/>
        <v/>
      </c>
      <c r="O131" s="40"/>
      <c r="P131" s="145"/>
      <c r="Q131" s="157"/>
      <c r="R131" s="507" t="str">
        <f t="shared" si="10"/>
        <v/>
      </c>
      <c r="S131" s="507" t="str">
        <f t="shared" si="11"/>
        <v/>
      </c>
      <c r="T131" s="511" t="str">
        <f t="shared" si="12"/>
        <v/>
      </c>
      <c r="U131" s="515"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8" x14ac:dyDescent="0.25">
      <c r="B132" s="141">
        <v>123</v>
      </c>
      <c r="C132" s="203"/>
      <c r="D132" s="203"/>
      <c r="E132" s="153"/>
      <c r="F132" s="498" t="str">
        <f>IF(D132="","",VLOOKUP(D132,'G-6 Hedgerow Data'!$B$2:$AG$15,2,FALSE))</f>
        <v/>
      </c>
      <c r="G132" s="499" t="str">
        <f>IF(D132="","",VLOOKUP(D132,'G-6 Hedgerow Data'!$B$2:$AG$15,3,FALSE))</f>
        <v/>
      </c>
      <c r="H132" s="145"/>
      <c r="I132" s="499" t="str">
        <f>IFERROR(IF(AND(F132="V.Low",OR(H132="Good",H132="Moderate")),"Error ▲",VLOOKUP(H132,'G-1 All Habitats'!$Z$2:$AA$9,2,FALSE)),"")</f>
        <v/>
      </c>
      <c r="J132" s="154"/>
      <c r="K132" s="520" t="str">
        <f>IF(J132="","",IF(VLOOKUP(J132,'G-3 Multipliers'!$L$3:$N$6,2,FALSE)=0,"Spatial Data Missing ⚠",VLOOKUP(J132,'G-3 Multipliers'!$L$3:$N$6,2,FALSE)))</f>
        <v/>
      </c>
      <c r="L132" s="524" t="str">
        <f>IF(J132="","",IF(VLOOKUP(J132,'G-3 Multipliers'!$L$3:$N$6,3,FALSE)=0,"Spatial Data Missing ⚠",VLOOKUP(J132,'G-3 Multipliers'!$L$3:$N$6,3,FALSE)))</f>
        <v/>
      </c>
      <c r="M132" s="506" t="str">
        <f>IF(D132="","",VLOOKUP(D132,'G-6 Hedgerow Data'!$B$1:$AH$15,33,FALSE))</f>
        <v/>
      </c>
      <c r="N132" s="513" t="str">
        <f t="shared" si="9"/>
        <v/>
      </c>
      <c r="O132" s="40"/>
      <c r="P132" s="145"/>
      <c r="Q132" s="157"/>
      <c r="R132" s="507" t="str">
        <f t="shared" si="10"/>
        <v/>
      </c>
      <c r="S132" s="507" t="str">
        <f t="shared" si="11"/>
        <v/>
      </c>
      <c r="T132" s="511" t="str">
        <f t="shared" si="12"/>
        <v/>
      </c>
      <c r="U132" s="515"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8" x14ac:dyDescent="0.25">
      <c r="B133" s="141">
        <v>124</v>
      </c>
      <c r="C133" s="203"/>
      <c r="D133" s="203"/>
      <c r="E133" s="153"/>
      <c r="F133" s="498" t="str">
        <f>IF(D133="","",VLOOKUP(D133,'G-6 Hedgerow Data'!$B$2:$AG$15,2,FALSE))</f>
        <v/>
      </c>
      <c r="G133" s="499" t="str">
        <f>IF(D133="","",VLOOKUP(D133,'G-6 Hedgerow Data'!$B$2:$AG$15,3,FALSE))</f>
        <v/>
      </c>
      <c r="H133" s="145"/>
      <c r="I133" s="499" t="str">
        <f>IFERROR(IF(AND(F133="V.Low",OR(H133="Good",H133="Moderate")),"Error ▲",VLOOKUP(H133,'G-1 All Habitats'!$Z$2:$AA$9,2,FALSE)),"")</f>
        <v/>
      </c>
      <c r="J133" s="154"/>
      <c r="K133" s="520" t="str">
        <f>IF(J133="","",IF(VLOOKUP(J133,'G-3 Multipliers'!$L$3:$N$6,2,FALSE)=0,"Spatial Data Missing ⚠",VLOOKUP(J133,'G-3 Multipliers'!$L$3:$N$6,2,FALSE)))</f>
        <v/>
      </c>
      <c r="L133" s="524" t="str">
        <f>IF(J133="","",IF(VLOOKUP(J133,'G-3 Multipliers'!$L$3:$N$6,3,FALSE)=0,"Spatial Data Missing ⚠",VLOOKUP(J133,'G-3 Multipliers'!$L$3:$N$6,3,FALSE)))</f>
        <v/>
      </c>
      <c r="M133" s="506" t="str">
        <f>IF(D133="","",VLOOKUP(D133,'G-6 Hedgerow Data'!$B$1:$AH$15,33,FALSE))</f>
        <v/>
      </c>
      <c r="N133" s="513" t="str">
        <f t="shared" si="9"/>
        <v/>
      </c>
      <c r="O133" s="40"/>
      <c r="P133" s="145"/>
      <c r="Q133" s="157"/>
      <c r="R133" s="507" t="str">
        <f t="shared" si="10"/>
        <v/>
      </c>
      <c r="S133" s="507" t="str">
        <f t="shared" si="11"/>
        <v/>
      </c>
      <c r="T133" s="511" t="str">
        <f t="shared" si="12"/>
        <v/>
      </c>
      <c r="U133" s="515"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8" x14ac:dyDescent="0.25">
      <c r="B134" s="141">
        <v>125</v>
      </c>
      <c r="C134" s="203"/>
      <c r="D134" s="203"/>
      <c r="E134" s="153"/>
      <c r="F134" s="498" t="str">
        <f>IF(D134="","",VLOOKUP(D134,'G-6 Hedgerow Data'!$B$2:$AG$15,2,FALSE))</f>
        <v/>
      </c>
      <c r="G134" s="499" t="str">
        <f>IF(D134="","",VLOOKUP(D134,'G-6 Hedgerow Data'!$B$2:$AG$15,3,FALSE))</f>
        <v/>
      </c>
      <c r="H134" s="145"/>
      <c r="I134" s="499" t="str">
        <f>IFERROR(IF(AND(F134="V.Low",OR(H134="Good",H134="Moderate")),"Error ▲",VLOOKUP(H134,'G-1 All Habitats'!$Z$2:$AA$9,2,FALSE)),"")</f>
        <v/>
      </c>
      <c r="J134" s="154"/>
      <c r="K134" s="520" t="str">
        <f>IF(J134="","",IF(VLOOKUP(J134,'G-3 Multipliers'!$L$3:$N$6,2,FALSE)=0,"Spatial Data Missing ⚠",VLOOKUP(J134,'G-3 Multipliers'!$L$3:$N$6,2,FALSE)))</f>
        <v/>
      </c>
      <c r="L134" s="524" t="str">
        <f>IF(J134="","",IF(VLOOKUP(J134,'G-3 Multipliers'!$L$3:$N$6,3,FALSE)=0,"Spatial Data Missing ⚠",VLOOKUP(J134,'G-3 Multipliers'!$L$3:$N$6,3,FALSE)))</f>
        <v/>
      </c>
      <c r="M134" s="506" t="str">
        <f>IF(D134="","",VLOOKUP(D134,'G-6 Hedgerow Data'!$B$1:$AH$15,33,FALSE))</f>
        <v/>
      </c>
      <c r="N134" s="513" t="str">
        <f t="shared" si="9"/>
        <v/>
      </c>
      <c r="O134" s="40"/>
      <c r="P134" s="145"/>
      <c r="Q134" s="157"/>
      <c r="R134" s="507" t="str">
        <f t="shared" si="10"/>
        <v/>
      </c>
      <c r="S134" s="507" t="str">
        <f t="shared" si="11"/>
        <v/>
      </c>
      <c r="T134" s="511" t="str">
        <f t="shared" si="12"/>
        <v/>
      </c>
      <c r="U134" s="515"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8" x14ac:dyDescent="0.25">
      <c r="B135" s="141">
        <v>126</v>
      </c>
      <c r="C135" s="203"/>
      <c r="D135" s="203"/>
      <c r="E135" s="153"/>
      <c r="F135" s="498" t="str">
        <f>IF(D135="","",VLOOKUP(D135,'G-6 Hedgerow Data'!$B$2:$AG$15,2,FALSE))</f>
        <v/>
      </c>
      <c r="G135" s="499" t="str">
        <f>IF(D135="","",VLOOKUP(D135,'G-6 Hedgerow Data'!$B$2:$AG$15,3,FALSE))</f>
        <v/>
      </c>
      <c r="H135" s="145"/>
      <c r="I135" s="499" t="str">
        <f>IFERROR(IF(AND(F135="V.Low",OR(H135="Good",H135="Moderate")),"Error ▲",VLOOKUP(H135,'G-1 All Habitats'!$Z$2:$AA$9,2,FALSE)),"")</f>
        <v/>
      </c>
      <c r="J135" s="154"/>
      <c r="K135" s="520" t="str">
        <f>IF(J135="","",IF(VLOOKUP(J135,'G-3 Multipliers'!$L$3:$N$6,2,FALSE)=0,"Spatial Data Missing ⚠",VLOOKUP(J135,'G-3 Multipliers'!$L$3:$N$6,2,FALSE)))</f>
        <v/>
      </c>
      <c r="L135" s="524" t="str">
        <f>IF(J135="","",IF(VLOOKUP(J135,'G-3 Multipliers'!$L$3:$N$6,3,FALSE)=0,"Spatial Data Missing ⚠",VLOOKUP(J135,'G-3 Multipliers'!$L$3:$N$6,3,FALSE)))</f>
        <v/>
      </c>
      <c r="M135" s="506" t="str">
        <f>IF(D135="","",VLOOKUP(D135,'G-6 Hedgerow Data'!$B$1:$AH$15,33,FALSE))</f>
        <v/>
      </c>
      <c r="N135" s="513" t="str">
        <f t="shared" si="9"/>
        <v/>
      </c>
      <c r="O135" s="40"/>
      <c r="P135" s="145"/>
      <c r="Q135" s="157"/>
      <c r="R135" s="507" t="str">
        <f t="shared" si="10"/>
        <v/>
      </c>
      <c r="S135" s="507" t="str">
        <f t="shared" si="11"/>
        <v/>
      </c>
      <c r="T135" s="511" t="str">
        <f t="shared" si="12"/>
        <v/>
      </c>
      <c r="U135" s="515"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8" x14ac:dyDescent="0.25">
      <c r="B136" s="141">
        <v>127</v>
      </c>
      <c r="C136" s="203"/>
      <c r="D136" s="203"/>
      <c r="E136" s="153"/>
      <c r="F136" s="498" t="str">
        <f>IF(D136="","",VLOOKUP(D136,'G-6 Hedgerow Data'!$B$2:$AG$15,2,FALSE))</f>
        <v/>
      </c>
      <c r="G136" s="499" t="str">
        <f>IF(D136="","",VLOOKUP(D136,'G-6 Hedgerow Data'!$B$2:$AG$15,3,FALSE))</f>
        <v/>
      </c>
      <c r="H136" s="145"/>
      <c r="I136" s="499" t="str">
        <f>IFERROR(IF(AND(F136="V.Low",OR(H136="Good",H136="Moderate")),"Error ▲",VLOOKUP(H136,'G-1 All Habitats'!$Z$2:$AA$9,2,FALSE)),"")</f>
        <v/>
      </c>
      <c r="J136" s="154"/>
      <c r="K136" s="520" t="str">
        <f>IF(J136="","",IF(VLOOKUP(J136,'G-3 Multipliers'!$L$3:$N$6,2,FALSE)=0,"Spatial Data Missing ⚠",VLOOKUP(J136,'G-3 Multipliers'!$L$3:$N$6,2,FALSE)))</f>
        <v/>
      </c>
      <c r="L136" s="524" t="str">
        <f>IF(J136="","",IF(VLOOKUP(J136,'G-3 Multipliers'!$L$3:$N$6,3,FALSE)=0,"Spatial Data Missing ⚠",VLOOKUP(J136,'G-3 Multipliers'!$L$3:$N$6,3,FALSE)))</f>
        <v/>
      </c>
      <c r="M136" s="506" t="str">
        <f>IF(D136="","",VLOOKUP(D136,'G-6 Hedgerow Data'!$B$1:$AH$15,33,FALSE))</f>
        <v/>
      </c>
      <c r="N136" s="513" t="str">
        <f t="shared" si="9"/>
        <v/>
      </c>
      <c r="O136" s="40"/>
      <c r="P136" s="145"/>
      <c r="Q136" s="157"/>
      <c r="R136" s="507" t="str">
        <f t="shared" si="10"/>
        <v/>
      </c>
      <c r="S136" s="507" t="str">
        <f t="shared" si="11"/>
        <v/>
      </c>
      <c r="T136" s="511" t="str">
        <f t="shared" si="12"/>
        <v/>
      </c>
      <c r="U136" s="515"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8" x14ac:dyDescent="0.25">
      <c r="B137" s="141">
        <v>128</v>
      </c>
      <c r="C137" s="203"/>
      <c r="D137" s="203"/>
      <c r="E137" s="153"/>
      <c r="F137" s="498" t="str">
        <f>IF(D137="","",VLOOKUP(D137,'G-6 Hedgerow Data'!$B$2:$AG$15,2,FALSE))</f>
        <v/>
      </c>
      <c r="G137" s="499" t="str">
        <f>IF(D137="","",VLOOKUP(D137,'G-6 Hedgerow Data'!$B$2:$AG$15,3,FALSE))</f>
        <v/>
      </c>
      <c r="H137" s="145"/>
      <c r="I137" s="499" t="str">
        <f>IFERROR(IF(AND(F137="V.Low",OR(H137="Good",H137="Moderate")),"Error ▲",VLOOKUP(H137,'G-1 All Habitats'!$Z$2:$AA$9,2,FALSE)),"")</f>
        <v/>
      </c>
      <c r="J137" s="154"/>
      <c r="K137" s="520" t="str">
        <f>IF(J137="","",IF(VLOOKUP(J137,'G-3 Multipliers'!$L$3:$N$6,2,FALSE)=0,"Spatial Data Missing ⚠",VLOOKUP(J137,'G-3 Multipliers'!$L$3:$N$6,2,FALSE)))</f>
        <v/>
      </c>
      <c r="L137" s="524" t="str">
        <f>IF(J137="","",IF(VLOOKUP(J137,'G-3 Multipliers'!$L$3:$N$6,3,FALSE)=0,"Spatial Data Missing ⚠",VLOOKUP(J137,'G-3 Multipliers'!$L$3:$N$6,3,FALSE)))</f>
        <v/>
      </c>
      <c r="M137" s="506" t="str">
        <f>IF(D137="","",VLOOKUP(D137,'G-6 Hedgerow Data'!$B$1:$AH$15,33,FALSE))</f>
        <v/>
      </c>
      <c r="N137" s="513" t="str">
        <f t="shared" si="9"/>
        <v/>
      </c>
      <c r="O137" s="40"/>
      <c r="P137" s="145"/>
      <c r="Q137" s="157"/>
      <c r="R137" s="507" t="str">
        <f t="shared" si="10"/>
        <v/>
      </c>
      <c r="S137" s="507" t="str">
        <f t="shared" si="11"/>
        <v/>
      </c>
      <c r="T137" s="511" t="str">
        <f t="shared" si="12"/>
        <v/>
      </c>
      <c r="U137" s="515"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8" x14ac:dyDescent="0.25">
      <c r="B138" s="141">
        <v>129</v>
      </c>
      <c r="C138" s="203"/>
      <c r="D138" s="203"/>
      <c r="E138" s="153"/>
      <c r="F138" s="498" t="str">
        <f>IF(D138="","",VLOOKUP(D138,'G-6 Hedgerow Data'!$B$2:$AG$15,2,FALSE))</f>
        <v/>
      </c>
      <c r="G138" s="499" t="str">
        <f>IF(D138="","",VLOOKUP(D138,'G-6 Hedgerow Data'!$B$2:$AG$15,3,FALSE))</f>
        <v/>
      </c>
      <c r="H138" s="145"/>
      <c r="I138" s="499" t="str">
        <f>IFERROR(IF(AND(F138="V.Low",OR(H138="Good",H138="Moderate")),"Error ▲",VLOOKUP(H138,'G-1 All Habitats'!$Z$2:$AA$9,2,FALSE)),"")</f>
        <v/>
      </c>
      <c r="J138" s="154"/>
      <c r="K138" s="520" t="str">
        <f>IF(J138="","",IF(VLOOKUP(J138,'G-3 Multipliers'!$L$3:$N$6,2,FALSE)=0,"Spatial Data Missing ⚠",VLOOKUP(J138,'G-3 Multipliers'!$L$3:$N$6,2,FALSE)))</f>
        <v/>
      </c>
      <c r="L138" s="524" t="str">
        <f>IF(J138="","",IF(VLOOKUP(J138,'G-3 Multipliers'!$L$3:$N$6,3,FALSE)=0,"Spatial Data Missing ⚠",VLOOKUP(J138,'G-3 Multipliers'!$L$3:$N$6,3,FALSE)))</f>
        <v/>
      </c>
      <c r="M138" s="506" t="str">
        <f>IF(D138="","",VLOOKUP(D138,'G-6 Hedgerow Data'!$B$1:$AH$15,33,FALSE))</f>
        <v/>
      </c>
      <c r="N138" s="513" t="str">
        <f t="shared" si="9"/>
        <v/>
      </c>
      <c r="O138" s="40"/>
      <c r="P138" s="145"/>
      <c r="Q138" s="157"/>
      <c r="R138" s="507" t="str">
        <f t="shared" si="10"/>
        <v/>
      </c>
      <c r="S138" s="507" t="str">
        <f t="shared" si="11"/>
        <v/>
      </c>
      <c r="T138" s="511" t="str">
        <f t="shared" si="12"/>
        <v/>
      </c>
      <c r="U138" s="515"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8" x14ac:dyDescent="0.25">
      <c r="B139" s="141">
        <v>130</v>
      </c>
      <c r="C139" s="203"/>
      <c r="D139" s="203"/>
      <c r="E139" s="153"/>
      <c r="F139" s="498" t="str">
        <f>IF(D139="","",VLOOKUP(D139,'G-6 Hedgerow Data'!$B$2:$AG$15,2,FALSE))</f>
        <v/>
      </c>
      <c r="G139" s="499" t="str">
        <f>IF(D139="","",VLOOKUP(D139,'G-6 Hedgerow Data'!$B$2:$AG$15,3,FALSE))</f>
        <v/>
      </c>
      <c r="H139" s="145"/>
      <c r="I139" s="499" t="str">
        <f>IFERROR(IF(AND(F139="V.Low",OR(H139="Good",H139="Moderate")),"Error ▲",VLOOKUP(H139,'G-1 All Habitats'!$Z$2:$AA$9,2,FALSE)),"")</f>
        <v/>
      </c>
      <c r="J139" s="154"/>
      <c r="K139" s="520" t="str">
        <f>IF(J139="","",IF(VLOOKUP(J139,'G-3 Multipliers'!$L$3:$N$6,2,FALSE)=0,"Spatial Data Missing ⚠",VLOOKUP(J139,'G-3 Multipliers'!$L$3:$N$6,2,FALSE)))</f>
        <v/>
      </c>
      <c r="L139" s="524" t="str">
        <f>IF(J139="","",IF(VLOOKUP(J139,'G-3 Multipliers'!$L$3:$N$6,3,FALSE)=0,"Spatial Data Missing ⚠",VLOOKUP(J139,'G-3 Multipliers'!$L$3:$N$6,3,FALSE)))</f>
        <v/>
      </c>
      <c r="M139" s="506" t="str">
        <f>IF(D139="","",VLOOKUP(D139,'G-6 Hedgerow Data'!$B$1:$AH$15,33,FALSE))</f>
        <v/>
      </c>
      <c r="N139" s="513" t="str">
        <f t="shared" ref="N139:N202" si="16">IFERROR(E139*G139*I139*L139,"")</f>
        <v/>
      </c>
      <c r="O139" s="40"/>
      <c r="P139" s="145"/>
      <c r="Q139" s="157"/>
      <c r="R139" s="507" t="str">
        <f t="shared" ref="R139:R202" si="17">IFERROR(P139*G139*I139*L139,"")</f>
        <v/>
      </c>
      <c r="S139" s="507" t="str">
        <f t="shared" ref="S139:S202" si="18">IFERROR(Q139*G139*I139*L139,"")</f>
        <v/>
      </c>
      <c r="T139" s="511" t="str">
        <f t="shared" ref="T139:T202" si="19">IF(D139="","",IF(E139&lt;P139+Q139,"Error in Lengths ▲",E139-P139-Q139))</f>
        <v/>
      </c>
      <c r="U139" s="515"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8" x14ac:dyDescent="0.25">
      <c r="B140" s="141">
        <v>131</v>
      </c>
      <c r="C140" s="203"/>
      <c r="D140" s="203"/>
      <c r="E140" s="153"/>
      <c r="F140" s="498" t="str">
        <f>IF(D140="","",VLOOKUP(D140,'G-6 Hedgerow Data'!$B$2:$AG$15,2,FALSE))</f>
        <v/>
      </c>
      <c r="G140" s="499" t="str">
        <f>IF(D140="","",VLOOKUP(D140,'G-6 Hedgerow Data'!$B$2:$AG$15,3,FALSE))</f>
        <v/>
      </c>
      <c r="H140" s="145"/>
      <c r="I140" s="499" t="str">
        <f>IFERROR(IF(AND(F140="V.Low",OR(H140="Good",H140="Moderate")),"Error ▲",VLOOKUP(H140,'G-1 All Habitats'!$Z$2:$AA$9,2,FALSE)),"")</f>
        <v/>
      </c>
      <c r="J140" s="154"/>
      <c r="K140" s="520" t="str">
        <f>IF(J140="","",IF(VLOOKUP(J140,'G-3 Multipliers'!$L$3:$N$6,2,FALSE)=0,"Spatial Data Missing ⚠",VLOOKUP(J140,'G-3 Multipliers'!$L$3:$N$6,2,FALSE)))</f>
        <v/>
      </c>
      <c r="L140" s="524" t="str">
        <f>IF(J140="","",IF(VLOOKUP(J140,'G-3 Multipliers'!$L$3:$N$6,3,FALSE)=0,"Spatial Data Missing ⚠",VLOOKUP(J140,'G-3 Multipliers'!$L$3:$N$6,3,FALSE)))</f>
        <v/>
      </c>
      <c r="M140" s="506" t="str">
        <f>IF(D140="","",VLOOKUP(D140,'G-6 Hedgerow Data'!$B$1:$AH$15,33,FALSE))</f>
        <v/>
      </c>
      <c r="N140" s="513" t="str">
        <f t="shared" si="16"/>
        <v/>
      </c>
      <c r="O140" s="40"/>
      <c r="P140" s="145"/>
      <c r="Q140" s="157"/>
      <c r="R140" s="507" t="str">
        <f t="shared" si="17"/>
        <v/>
      </c>
      <c r="S140" s="507" t="str">
        <f t="shared" si="18"/>
        <v/>
      </c>
      <c r="T140" s="511" t="str">
        <f t="shared" si="19"/>
        <v/>
      </c>
      <c r="U140" s="515"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8" x14ac:dyDescent="0.25">
      <c r="B141" s="141">
        <v>132</v>
      </c>
      <c r="C141" s="203"/>
      <c r="D141" s="203"/>
      <c r="E141" s="153"/>
      <c r="F141" s="498" t="str">
        <f>IF(D141="","",VLOOKUP(D141,'G-6 Hedgerow Data'!$B$2:$AG$15,2,FALSE))</f>
        <v/>
      </c>
      <c r="G141" s="499" t="str">
        <f>IF(D141="","",VLOOKUP(D141,'G-6 Hedgerow Data'!$B$2:$AG$15,3,FALSE))</f>
        <v/>
      </c>
      <c r="H141" s="145"/>
      <c r="I141" s="499" t="str">
        <f>IFERROR(IF(AND(F141="V.Low",OR(H141="Good",H141="Moderate")),"Error ▲",VLOOKUP(H141,'G-1 All Habitats'!$Z$2:$AA$9,2,FALSE)),"")</f>
        <v/>
      </c>
      <c r="J141" s="154"/>
      <c r="K141" s="520" t="str">
        <f>IF(J141="","",IF(VLOOKUP(J141,'G-3 Multipliers'!$L$3:$N$6,2,FALSE)=0,"Spatial Data Missing ⚠",VLOOKUP(J141,'G-3 Multipliers'!$L$3:$N$6,2,FALSE)))</f>
        <v/>
      </c>
      <c r="L141" s="524" t="str">
        <f>IF(J141="","",IF(VLOOKUP(J141,'G-3 Multipliers'!$L$3:$N$6,3,FALSE)=0,"Spatial Data Missing ⚠",VLOOKUP(J141,'G-3 Multipliers'!$L$3:$N$6,3,FALSE)))</f>
        <v/>
      </c>
      <c r="M141" s="506" t="str">
        <f>IF(D141="","",VLOOKUP(D141,'G-6 Hedgerow Data'!$B$1:$AH$15,33,FALSE))</f>
        <v/>
      </c>
      <c r="N141" s="513" t="str">
        <f t="shared" si="16"/>
        <v/>
      </c>
      <c r="O141" s="40"/>
      <c r="P141" s="145"/>
      <c r="Q141" s="157"/>
      <c r="R141" s="507" t="str">
        <f t="shared" si="17"/>
        <v/>
      </c>
      <c r="S141" s="507" t="str">
        <f t="shared" si="18"/>
        <v/>
      </c>
      <c r="T141" s="511" t="str">
        <f t="shared" si="19"/>
        <v/>
      </c>
      <c r="U141" s="515"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8" x14ac:dyDescent="0.25">
      <c r="B142" s="141">
        <v>133</v>
      </c>
      <c r="C142" s="203"/>
      <c r="D142" s="203"/>
      <c r="E142" s="153"/>
      <c r="F142" s="498" t="str">
        <f>IF(D142="","",VLOOKUP(D142,'G-6 Hedgerow Data'!$B$2:$AG$15,2,FALSE))</f>
        <v/>
      </c>
      <c r="G142" s="499" t="str">
        <f>IF(D142="","",VLOOKUP(D142,'G-6 Hedgerow Data'!$B$2:$AG$15,3,FALSE))</f>
        <v/>
      </c>
      <c r="H142" s="145"/>
      <c r="I142" s="499" t="str">
        <f>IFERROR(IF(AND(F142="V.Low",OR(H142="Good",H142="Moderate")),"Error ▲",VLOOKUP(H142,'G-1 All Habitats'!$Z$2:$AA$9,2,FALSE)),"")</f>
        <v/>
      </c>
      <c r="J142" s="154"/>
      <c r="K142" s="520" t="str">
        <f>IF(J142="","",IF(VLOOKUP(J142,'G-3 Multipliers'!$L$3:$N$6,2,FALSE)=0,"Spatial Data Missing ⚠",VLOOKUP(J142,'G-3 Multipliers'!$L$3:$N$6,2,FALSE)))</f>
        <v/>
      </c>
      <c r="L142" s="524" t="str">
        <f>IF(J142="","",IF(VLOOKUP(J142,'G-3 Multipliers'!$L$3:$N$6,3,FALSE)=0,"Spatial Data Missing ⚠",VLOOKUP(J142,'G-3 Multipliers'!$L$3:$N$6,3,FALSE)))</f>
        <v/>
      </c>
      <c r="M142" s="506" t="str">
        <f>IF(D142="","",VLOOKUP(D142,'G-6 Hedgerow Data'!$B$1:$AH$15,33,FALSE))</f>
        <v/>
      </c>
      <c r="N142" s="513" t="str">
        <f t="shared" si="16"/>
        <v/>
      </c>
      <c r="O142" s="40"/>
      <c r="P142" s="145"/>
      <c r="Q142" s="157"/>
      <c r="R142" s="507" t="str">
        <f t="shared" si="17"/>
        <v/>
      </c>
      <c r="S142" s="507" t="str">
        <f t="shared" si="18"/>
        <v/>
      </c>
      <c r="T142" s="511" t="str">
        <f t="shared" si="19"/>
        <v/>
      </c>
      <c r="U142" s="515"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8" x14ac:dyDescent="0.25">
      <c r="B143" s="141">
        <v>134</v>
      </c>
      <c r="C143" s="203"/>
      <c r="D143" s="203"/>
      <c r="E143" s="153"/>
      <c r="F143" s="498" t="str">
        <f>IF(D143="","",VLOOKUP(D143,'G-6 Hedgerow Data'!$B$2:$AG$15,2,FALSE))</f>
        <v/>
      </c>
      <c r="G143" s="499" t="str">
        <f>IF(D143="","",VLOOKUP(D143,'G-6 Hedgerow Data'!$B$2:$AG$15,3,FALSE))</f>
        <v/>
      </c>
      <c r="H143" s="145"/>
      <c r="I143" s="499" t="str">
        <f>IFERROR(IF(AND(F143="V.Low",OR(H143="Good",H143="Moderate")),"Error ▲",VLOOKUP(H143,'G-1 All Habitats'!$Z$2:$AA$9,2,FALSE)),"")</f>
        <v/>
      </c>
      <c r="J143" s="154"/>
      <c r="K143" s="520" t="str">
        <f>IF(J143="","",IF(VLOOKUP(J143,'G-3 Multipliers'!$L$3:$N$6,2,FALSE)=0,"Spatial Data Missing ⚠",VLOOKUP(J143,'G-3 Multipliers'!$L$3:$N$6,2,FALSE)))</f>
        <v/>
      </c>
      <c r="L143" s="524" t="str">
        <f>IF(J143="","",IF(VLOOKUP(J143,'G-3 Multipliers'!$L$3:$N$6,3,FALSE)=0,"Spatial Data Missing ⚠",VLOOKUP(J143,'G-3 Multipliers'!$L$3:$N$6,3,FALSE)))</f>
        <v/>
      </c>
      <c r="M143" s="506" t="str">
        <f>IF(D143="","",VLOOKUP(D143,'G-6 Hedgerow Data'!$B$1:$AH$15,33,FALSE))</f>
        <v/>
      </c>
      <c r="N143" s="513" t="str">
        <f t="shared" si="16"/>
        <v/>
      </c>
      <c r="O143" s="40"/>
      <c r="P143" s="145"/>
      <c r="Q143" s="157"/>
      <c r="R143" s="507" t="str">
        <f t="shared" si="17"/>
        <v/>
      </c>
      <c r="S143" s="507" t="str">
        <f t="shared" si="18"/>
        <v/>
      </c>
      <c r="T143" s="511" t="str">
        <f t="shared" si="19"/>
        <v/>
      </c>
      <c r="U143" s="515"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8" x14ac:dyDescent="0.25">
      <c r="B144" s="141">
        <v>135</v>
      </c>
      <c r="C144" s="203"/>
      <c r="D144" s="203"/>
      <c r="E144" s="153"/>
      <c r="F144" s="498" t="str">
        <f>IF(D144="","",VLOOKUP(D144,'G-6 Hedgerow Data'!$B$2:$AG$15,2,FALSE))</f>
        <v/>
      </c>
      <c r="G144" s="499" t="str">
        <f>IF(D144="","",VLOOKUP(D144,'G-6 Hedgerow Data'!$B$2:$AG$15,3,FALSE))</f>
        <v/>
      </c>
      <c r="H144" s="145"/>
      <c r="I144" s="499" t="str">
        <f>IFERROR(IF(AND(F144="V.Low",OR(H144="Good",H144="Moderate")),"Error ▲",VLOOKUP(H144,'G-1 All Habitats'!$Z$2:$AA$9,2,FALSE)),"")</f>
        <v/>
      </c>
      <c r="J144" s="154"/>
      <c r="K144" s="520" t="str">
        <f>IF(J144="","",IF(VLOOKUP(J144,'G-3 Multipliers'!$L$3:$N$6,2,FALSE)=0,"Spatial Data Missing ⚠",VLOOKUP(J144,'G-3 Multipliers'!$L$3:$N$6,2,FALSE)))</f>
        <v/>
      </c>
      <c r="L144" s="524" t="str">
        <f>IF(J144="","",IF(VLOOKUP(J144,'G-3 Multipliers'!$L$3:$N$6,3,FALSE)=0,"Spatial Data Missing ⚠",VLOOKUP(J144,'G-3 Multipliers'!$L$3:$N$6,3,FALSE)))</f>
        <v/>
      </c>
      <c r="M144" s="506" t="str">
        <f>IF(D144="","",VLOOKUP(D144,'G-6 Hedgerow Data'!$B$1:$AH$15,33,FALSE))</f>
        <v/>
      </c>
      <c r="N144" s="513" t="str">
        <f t="shared" si="16"/>
        <v/>
      </c>
      <c r="O144" s="40"/>
      <c r="P144" s="145"/>
      <c r="Q144" s="157"/>
      <c r="R144" s="507" t="str">
        <f t="shared" si="17"/>
        <v/>
      </c>
      <c r="S144" s="507" t="str">
        <f t="shared" si="18"/>
        <v/>
      </c>
      <c r="T144" s="511" t="str">
        <f t="shared" si="19"/>
        <v/>
      </c>
      <c r="U144" s="515"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8" x14ac:dyDescent="0.25">
      <c r="B145" s="141">
        <v>136</v>
      </c>
      <c r="C145" s="203"/>
      <c r="D145" s="203"/>
      <c r="E145" s="153"/>
      <c r="F145" s="498" t="str">
        <f>IF(D145="","",VLOOKUP(D145,'G-6 Hedgerow Data'!$B$2:$AG$15,2,FALSE))</f>
        <v/>
      </c>
      <c r="G145" s="499" t="str">
        <f>IF(D145="","",VLOOKUP(D145,'G-6 Hedgerow Data'!$B$2:$AG$15,3,FALSE))</f>
        <v/>
      </c>
      <c r="H145" s="145"/>
      <c r="I145" s="499" t="str">
        <f>IFERROR(IF(AND(F145="V.Low",OR(H145="Good",H145="Moderate")),"Error ▲",VLOOKUP(H145,'G-1 All Habitats'!$Z$2:$AA$9,2,FALSE)),"")</f>
        <v/>
      </c>
      <c r="J145" s="154"/>
      <c r="K145" s="520" t="str">
        <f>IF(J145="","",IF(VLOOKUP(J145,'G-3 Multipliers'!$L$3:$N$6,2,FALSE)=0,"Spatial Data Missing ⚠",VLOOKUP(J145,'G-3 Multipliers'!$L$3:$N$6,2,FALSE)))</f>
        <v/>
      </c>
      <c r="L145" s="524" t="str">
        <f>IF(J145="","",IF(VLOOKUP(J145,'G-3 Multipliers'!$L$3:$N$6,3,FALSE)=0,"Spatial Data Missing ⚠",VLOOKUP(J145,'G-3 Multipliers'!$L$3:$N$6,3,FALSE)))</f>
        <v/>
      </c>
      <c r="M145" s="506" t="str">
        <f>IF(D145="","",VLOOKUP(D145,'G-6 Hedgerow Data'!$B$1:$AH$15,33,FALSE))</f>
        <v/>
      </c>
      <c r="N145" s="513" t="str">
        <f t="shared" si="16"/>
        <v/>
      </c>
      <c r="O145" s="40"/>
      <c r="P145" s="145"/>
      <c r="Q145" s="157"/>
      <c r="R145" s="507" t="str">
        <f t="shared" si="17"/>
        <v/>
      </c>
      <c r="S145" s="507" t="str">
        <f t="shared" si="18"/>
        <v/>
      </c>
      <c r="T145" s="511" t="str">
        <f t="shared" si="19"/>
        <v/>
      </c>
      <c r="U145" s="515"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8" x14ac:dyDescent="0.25">
      <c r="B146" s="141">
        <v>137</v>
      </c>
      <c r="C146" s="203"/>
      <c r="D146" s="203"/>
      <c r="E146" s="153"/>
      <c r="F146" s="498" t="str">
        <f>IF(D146="","",VLOOKUP(D146,'G-6 Hedgerow Data'!$B$2:$AG$15,2,FALSE))</f>
        <v/>
      </c>
      <c r="G146" s="499" t="str">
        <f>IF(D146="","",VLOOKUP(D146,'G-6 Hedgerow Data'!$B$2:$AG$15,3,FALSE))</f>
        <v/>
      </c>
      <c r="H146" s="145"/>
      <c r="I146" s="499" t="str">
        <f>IFERROR(IF(AND(F146="V.Low",OR(H146="Good",H146="Moderate")),"Error ▲",VLOOKUP(H146,'G-1 All Habitats'!$Z$2:$AA$9,2,FALSE)),"")</f>
        <v/>
      </c>
      <c r="J146" s="154"/>
      <c r="K146" s="520" t="str">
        <f>IF(J146="","",IF(VLOOKUP(J146,'G-3 Multipliers'!$L$3:$N$6,2,FALSE)=0,"Spatial Data Missing ⚠",VLOOKUP(J146,'G-3 Multipliers'!$L$3:$N$6,2,FALSE)))</f>
        <v/>
      </c>
      <c r="L146" s="524" t="str">
        <f>IF(J146="","",IF(VLOOKUP(J146,'G-3 Multipliers'!$L$3:$N$6,3,FALSE)=0,"Spatial Data Missing ⚠",VLOOKUP(J146,'G-3 Multipliers'!$L$3:$N$6,3,FALSE)))</f>
        <v/>
      </c>
      <c r="M146" s="506" t="str">
        <f>IF(D146="","",VLOOKUP(D146,'G-6 Hedgerow Data'!$B$1:$AH$15,33,FALSE))</f>
        <v/>
      </c>
      <c r="N146" s="513" t="str">
        <f t="shared" si="16"/>
        <v/>
      </c>
      <c r="O146" s="40"/>
      <c r="P146" s="145"/>
      <c r="Q146" s="157"/>
      <c r="R146" s="507" t="str">
        <f t="shared" si="17"/>
        <v/>
      </c>
      <c r="S146" s="507" t="str">
        <f t="shared" si="18"/>
        <v/>
      </c>
      <c r="T146" s="511" t="str">
        <f t="shared" si="19"/>
        <v/>
      </c>
      <c r="U146" s="515"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8" x14ac:dyDescent="0.25">
      <c r="B147" s="141">
        <v>138</v>
      </c>
      <c r="C147" s="203"/>
      <c r="D147" s="203"/>
      <c r="E147" s="153"/>
      <c r="F147" s="498" t="str">
        <f>IF(D147="","",VLOOKUP(D147,'G-6 Hedgerow Data'!$B$2:$AG$15,2,FALSE))</f>
        <v/>
      </c>
      <c r="G147" s="499" t="str">
        <f>IF(D147="","",VLOOKUP(D147,'G-6 Hedgerow Data'!$B$2:$AG$15,3,FALSE))</f>
        <v/>
      </c>
      <c r="H147" s="145"/>
      <c r="I147" s="499" t="str">
        <f>IFERROR(IF(AND(F147="V.Low",OR(H147="Good",H147="Moderate")),"Error ▲",VLOOKUP(H147,'G-1 All Habitats'!$Z$2:$AA$9,2,FALSE)),"")</f>
        <v/>
      </c>
      <c r="J147" s="154"/>
      <c r="K147" s="520" t="str">
        <f>IF(J147="","",IF(VLOOKUP(J147,'G-3 Multipliers'!$L$3:$N$6,2,FALSE)=0,"Spatial Data Missing ⚠",VLOOKUP(J147,'G-3 Multipliers'!$L$3:$N$6,2,FALSE)))</f>
        <v/>
      </c>
      <c r="L147" s="524" t="str">
        <f>IF(J147="","",IF(VLOOKUP(J147,'G-3 Multipliers'!$L$3:$N$6,3,FALSE)=0,"Spatial Data Missing ⚠",VLOOKUP(J147,'G-3 Multipliers'!$L$3:$N$6,3,FALSE)))</f>
        <v/>
      </c>
      <c r="M147" s="506" t="str">
        <f>IF(D147="","",VLOOKUP(D147,'G-6 Hedgerow Data'!$B$1:$AH$15,33,FALSE))</f>
        <v/>
      </c>
      <c r="N147" s="513" t="str">
        <f t="shared" si="16"/>
        <v/>
      </c>
      <c r="O147" s="40"/>
      <c r="P147" s="145"/>
      <c r="Q147" s="157"/>
      <c r="R147" s="507" t="str">
        <f t="shared" si="17"/>
        <v/>
      </c>
      <c r="S147" s="507" t="str">
        <f t="shared" si="18"/>
        <v/>
      </c>
      <c r="T147" s="511" t="str">
        <f t="shared" si="19"/>
        <v/>
      </c>
      <c r="U147" s="515"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8" x14ac:dyDescent="0.25">
      <c r="B148" s="141">
        <v>139</v>
      </c>
      <c r="C148" s="203"/>
      <c r="D148" s="203"/>
      <c r="E148" s="153"/>
      <c r="F148" s="498" t="str">
        <f>IF(D148="","",VLOOKUP(D148,'G-6 Hedgerow Data'!$B$2:$AG$15,2,FALSE))</f>
        <v/>
      </c>
      <c r="G148" s="499" t="str">
        <f>IF(D148="","",VLOOKUP(D148,'G-6 Hedgerow Data'!$B$2:$AG$15,3,FALSE))</f>
        <v/>
      </c>
      <c r="H148" s="145"/>
      <c r="I148" s="499" t="str">
        <f>IFERROR(IF(AND(F148="V.Low",OR(H148="Good",H148="Moderate")),"Error ▲",VLOOKUP(H148,'G-1 All Habitats'!$Z$2:$AA$9,2,FALSE)),"")</f>
        <v/>
      </c>
      <c r="J148" s="154"/>
      <c r="K148" s="520" t="str">
        <f>IF(J148="","",IF(VLOOKUP(J148,'G-3 Multipliers'!$L$3:$N$6,2,FALSE)=0,"Spatial Data Missing ⚠",VLOOKUP(J148,'G-3 Multipliers'!$L$3:$N$6,2,FALSE)))</f>
        <v/>
      </c>
      <c r="L148" s="524" t="str">
        <f>IF(J148="","",IF(VLOOKUP(J148,'G-3 Multipliers'!$L$3:$N$6,3,FALSE)=0,"Spatial Data Missing ⚠",VLOOKUP(J148,'G-3 Multipliers'!$L$3:$N$6,3,FALSE)))</f>
        <v/>
      </c>
      <c r="M148" s="506" t="str">
        <f>IF(D148="","",VLOOKUP(D148,'G-6 Hedgerow Data'!$B$1:$AH$15,33,FALSE))</f>
        <v/>
      </c>
      <c r="N148" s="513" t="str">
        <f t="shared" si="16"/>
        <v/>
      </c>
      <c r="O148" s="40"/>
      <c r="P148" s="145"/>
      <c r="Q148" s="157"/>
      <c r="R148" s="507" t="str">
        <f t="shared" si="17"/>
        <v/>
      </c>
      <c r="S148" s="507" t="str">
        <f t="shared" si="18"/>
        <v/>
      </c>
      <c r="T148" s="511" t="str">
        <f t="shared" si="19"/>
        <v/>
      </c>
      <c r="U148" s="515"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8" x14ac:dyDescent="0.25">
      <c r="B149" s="141">
        <v>140</v>
      </c>
      <c r="C149" s="203"/>
      <c r="D149" s="203"/>
      <c r="E149" s="153"/>
      <c r="F149" s="498" t="str">
        <f>IF(D149="","",VLOOKUP(D149,'G-6 Hedgerow Data'!$B$2:$AG$15,2,FALSE))</f>
        <v/>
      </c>
      <c r="G149" s="499" t="str">
        <f>IF(D149="","",VLOOKUP(D149,'G-6 Hedgerow Data'!$B$2:$AG$15,3,FALSE))</f>
        <v/>
      </c>
      <c r="H149" s="145"/>
      <c r="I149" s="499" t="str">
        <f>IFERROR(IF(AND(F149="V.Low",OR(H149="Good",H149="Moderate")),"Error ▲",VLOOKUP(H149,'G-1 All Habitats'!$Z$2:$AA$9,2,FALSE)),"")</f>
        <v/>
      </c>
      <c r="J149" s="154"/>
      <c r="K149" s="520" t="str">
        <f>IF(J149="","",IF(VLOOKUP(J149,'G-3 Multipliers'!$L$3:$N$6,2,FALSE)=0,"Spatial Data Missing ⚠",VLOOKUP(J149,'G-3 Multipliers'!$L$3:$N$6,2,FALSE)))</f>
        <v/>
      </c>
      <c r="L149" s="524" t="str">
        <f>IF(J149="","",IF(VLOOKUP(J149,'G-3 Multipliers'!$L$3:$N$6,3,FALSE)=0,"Spatial Data Missing ⚠",VLOOKUP(J149,'G-3 Multipliers'!$L$3:$N$6,3,FALSE)))</f>
        <v/>
      </c>
      <c r="M149" s="506" t="str">
        <f>IF(D149="","",VLOOKUP(D149,'G-6 Hedgerow Data'!$B$1:$AH$15,33,FALSE))</f>
        <v/>
      </c>
      <c r="N149" s="513" t="str">
        <f t="shared" si="16"/>
        <v/>
      </c>
      <c r="O149" s="40"/>
      <c r="P149" s="145"/>
      <c r="Q149" s="157"/>
      <c r="R149" s="507" t="str">
        <f t="shared" si="17"/>
        <v/>
      </c>
      <c r="S149" s="507" t="str">
        <f t="shared" si="18"/>
        <v/>
      </c>
      <c r="T149" s="511" t="str">
        <f t="shared" si="19"/>
        <v/>
      </c>
      <c r="U149" s="515"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8" x14ac:dyDescent="0.25">
      <c r="B150" s="141">
        <v>141</v>
      </c>
      <c r="C150" s="203"/>
      <c r="D150" s="203"/>
      <c r="E150" s="153"/>
      <c r="F150" s="498" t="str">
        <f>IF(D150="","",VLOOKUP(D150,'G-6 Hedgerow Data'!$B$2:$AG$15,2,FALSE))</f>
        <v/>
      </c>
      <c r="G150" s="499" t="str">
        <f>IF(D150="","",VLOOKUP(D150,'G-6 Hedgerow Data'!$B$2:$AG$15,3,FALSE))</f>
        <v/>
      </c>
      <c r="H150" s="145"/>
      <c r="I150" s="499" t="str">
        <f>IFERROR(IF(AND(F150="V.Low",OR(H150="Good",H150="Moderate")),"Error ▲",VLOOKUP(H150,'G-1 All Habitats'!$Z$2:$AA$9,2,FALSE)),"")</f>
        <v/>
      </c>
      <c r="J150" s="154"/>
      <c r="K150" s="520" t="str">
        <f>IF(J150="","",IF(VLOOKUP(J150,'G-3 Multipliers'!$L$3:$N$6,2,FALSE)=0,"Spatial Data Missing ⚠",VLOOKUP(J150,'G-3 Multipliers'!$L$3:$N$6,2,FALSE)))</f>
        <v/>
      </c>
      <c r="L150" s="524" t="str">
        <f>IF(J150="","",IF(VLOOKUP(J150,'G-3 Multipliers'!$L$3:$N$6,3,FALSE)=0,"Spatial Data Missing ⚠",VLOOKUP(J150,'G-3 Multipliers'!$L$3:$N$6,3,FALSE)))</f>
        <v/>
      </c>
      <c r="M150" s="506" t="str">
        <f>IF(D150="","",VLOOKUP(D150,'G-6 Hedgerow Data'!$B$1:$AH$15,33,FALSE))</f>
        <v/>
      </c>
      <c r="N150" s="513" t="str">
        <f t="shared" si="16"/>
        <v/>
      </c>
      <c r="O150" s="40"/>
      <c r="P150" s="145"/>
      <c r="Q150" s="157"/>
      <c r="R150" s="507" t="str">
        <f t="shared" si="17"/>
        <v/>
      </c>
      <c r="S150" s="507" t="str">
        <f t="shared" si="18"/>
        <v/>
      </c>
      <c r="T150" s="511" t="str">
        <f t="shared" si="19"/>
        <v/>
      </c>
      <c r="U150" s="515"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8" x14ac:dyDescent="0.25">
      <c r="B151" s="141">
        <v>142</v>
      </c>
      <c r="C151" s="203"/>
      <c r="D151" s="203"/>
      <c r="E151" s="153"/>
      <c r="F151" s="498" t="str">
        <f>IF(D151="","",VLOOKUP(D151,'G-6 Hedgerow Data'!$B$2:$AG$15,2,FALSE))</f>
        <v/>
      </c>
      <c r="G151" s="499" t="str">
        <f>IF(D151="","",VLOOKUP(D151,'G-6 Hedgerow Data'!$B$2:$AG$15,3,FALSE))</f>
        <v/>
      </c>
      <c r="H151" s="145"/>
      <c r="I151" s="499" t="str">
        <f>IFERROR(IF(AND(F151="V.Low",OR(H151="Good",H151="Moderate")),"Error ▲",VLOOKUP(H151,'G-1 All Habitats'!$Z$2:$AA$9,2,FALSE)),"")</f>
        <v/>
      </c>
      <c r="J151" s="154"/>
      <c r="K151" s="520" t="str">
        <f>IF(J151="","",IF(VLOOKUP(J151,'G-3 Multipliers'!$L$3:$N$6,2,FALSE)=0,"Spatial Data Missing ⚠",VLOOKUP(J151,'G-3 Multipliers'!$L$3:$N$6,2,FALSE)))</f>
        <v/>
      </c>
      <c r="L151" s="524" t="str">
        <f>IF(J151="","",IF(VLOOKUP(J151,'G-3 Multipliers'!$L$3:$N$6,3,FALSE)=0,"Spatial Data Missing ⚠",VLOOKUP(J151,'G-3 Multipliers'!$L$3:$N$6,3,FALSE)))</f>
        <v/>
      </c>
      <c r="M151" s="506" t="str">
        <f>IF(D151="","",VLOOKUP(D151,'G-6 Hedgerow Data'!$B$1:$AH$15,33,FALSE))</f>
        <v/>
      </c>
      <c r="N151" s="513" t="str">
        <f t="shared" si="16"/>
        <v/>
      </c>
      <c r="O151" s="40"/>
      <c r="P151" s="145"/>
      <c r="Q151" s="157"/>
      <c r="R151" s="507" t="str">
        <f t="shared" si="17"/>
        <v/>
      </c>
      <c r="S151" s="507" t="str">
        <f t="shared" si="18"/>
        <v/>
      </c>
      <c r="T151" s="511" t="str">
        <f t="shared" si="19"/>
        <v/>
      </c>
      <c r="U151" s="515"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8" x14ac:dyDescent="0.25">
      <c r="B152" s="141">
        <v>143</v>
      </c>
      <c r="C152" s="203"/>
      <c r="D152" s="203"/>
      <c r="E152" s="153"/>
      <c r="F152" s="498" t="str">
        <f>IF(D152="","",VLOOKUP(D152,'G-6 Hedgerow Data'!$B$2:$AG$15,2,FALSE))</f>
        <v/>
      </c>
      <c r="G152" s="499" t="str">
        <f>IF(D152="","",VLOOKUP(D152,'G-6 Hedgerow Data'!$B$2:$AG$15,3,FALSE))</f>
        <v/>
      </c>
      <c r="H152" s="145"/>
      <c r="I152" s="499" t="str">
        <f>IFERROR(IF(AND(F152="V.Low",OR(H152="Good",H152="Moderate")),"Error ▲",VLOOKUP(H152,'G-1 All Habitats'!$Z$2:$AA$9,2,FALSE)),"")</f>
        <v/>
      </c>
      <c r="J152" s="154"/>
      <c r="K152" s="520" t="str">
        <f>IF(J152="","",IF(VLOOKUP(J152,'G-3 Multipliers'!$L$3:$N$6,2,FALSE)=0,"Spatial Data Missing ⚠",VLOOKUP(J152,'G-3 Multipliers'!$L$3:$N$6,2,FALSE)))</f>
        <v/>
      </c>
      <c r="L152" s="524" t="str">
        <f>IF(J152="","",IF(VLOOKUP(J152,'G-3 Multipliers'!$L$3:$N$6,3,FALSE)=0,"Spatial Data Missing ⚠",VLOOKUP(J152,'G-3 Multipliers'!$L$3:$N$6,3,FALSE)))</f>
        <v/>
      </c>
      <c r="M152" s="506" t="str">
        <f>IF(D152="","",VLOOKUP(D152,'G-6 Hedgerow Data'!$B$1:$AH$15,33,FALSE))</f>
        <v/>
      </c>
      <c r="N152" s="513" t="str">
        <f t="shared" si="16"/>
        <v/>
      </c>
      <c r="O152" s="40"/>
      <c r="P152" s="145"/>
      <c r="Q152" s="157"/>
      <c r="R152" s="507" t="str">
        <f t="shared" si="17"/>
        <v/>
      </c>
      <c r="S152" s="507" t="str">
        <f t="shared" si="18"/>
        <v/>
      </c>
      <c r="T152" s="511" t="str">
        <f t="shared" si="19"/>
        <v/>
      </c>
      <c r="U152" s="515"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8" x14ac:dyDescent="0.25">
      <c r="B153" s="141">
        <v>144</v>
      </c>
      <c r="C153" s="203"/>
      <c r="D153" s="203"/>
      <c r="E153" s="153"/>
      <c r="F153" s="498" t="str">
        <f>IF(D153="","",VLOOKUP(D153,'G-6 Hedgerow Data'!$B$2:$AG$15,2,FALSE))</f>
        <v/>
      </c>
      <c r="G153" s="499" t="str">
        <f>IF(D153="","",VLOOKUP(D153,'G-6 Hedgerow Data'!$B$2:$AG$15,3,FALSE))</f>
        <v/>
      </c>
      <c r="H153" s="145"/>
      <c r="I153" s="499" t="str">
        <f>IFERROR(IF(AND(F153="V.Low",OR(H153="Good",H153="Moderate")),"Error ▲",VLOOKUP(H153,'G-1 All Habitats'!$Z$2:$AA$9,2,FALSE)),"")</f>
        <v/>
      </c>
      <c r="J153" s="154"/>
      <c r="K153" s="520" t="str">
        <f>IF(J153="","",IF(VLOOKUP(J153,'G-3 Multipliers'!$L$3:$N$6,2,FALSE)=0,"Spatial Data Missing ⚠",VLOOKUP(J153,'G-3 Multipliers'!$L$3:$N$6,2,FALSE)))</f>
        <v/>
      </c>
      <c r="L153" s="524" t="str">
        <f>IF(J153="","",IF(VLOOKUP(J153,'G-3 Multipliers'!$L$3:$N$6,3,FALSE)=0,"Spatial Data Missing ⚠",VLOOKUP(J153,'G-3 Multipliers'!$L$3:$N$6,3,FALSE)))</f>
        <v/>
      </c>
      <c r="M153" s="506" t="str">
        <f>IF(D153="","",VLOOKUP(D153,'G-6 Hedgerow Data'!$B$1:$AH$15,33,FALSE))</f>
        <v/>
      </c>
      <c r="N153" s="513" t="str">
        <f t="shared" si="16"/>
        <v/>
      </c>
      <c r="O153" s="40"/>
      <c r="P153" s="145"/>
      <c r="Q153" s="157"/>
      <c r="R153" s="507" t="str">
        <f t="shared" si="17"/>
        <v/>
      </c>
      <c r="S153" s="507" t="str">
        <f t="shared" si="18"/>
        <v/>
      </c>
      <c r="T153" s="511" t="str">
        <f t="shared" si="19"/>
        <v/>
      </c>
      <c r="U153" s="515"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8" x14ac:dyDescent="0.25">
      <c r="B154" s="141">
        <v>145</v>
      </c>
      <c r="C154" s="203"/>
      <c r="D154" s="203"/>
      <c r="E154" s="153"/>
      <c r="F154" s="498" t="str">
        <f>IF(D154="","",VLOOKUP(D154,'G-6 Hedgerow Data'!$B$2:$AG$15,2,FALSE))</f>
        <v/>
      </c>
      <c r="G154" s="499" t="str">
        <f>IF(D154="","",VLOOKUP(D154,'G-6 Hedgerow Data'!$B$2:$AG$15,3,FALSE))</f>
        <v/>
      </c>
      <c r="H154" s="145"/>
      <c r="I154" s="499" t="str">
        <f>IFERROR(IF(AND(F154="V.Low",OR(H154="Good",H154="Moderate")),"Error ▲",VLOOKUP(H154,'G-1 All Habitats'!$Z$2:$AA$9,2,FALSE)),"")</f>
        <v/>
      </c>
      <c r="J154" s="154"/>
      <c r="K154" s="520" t="str">
        <f>IF(J154="","",IF(VLOOKUP(J154,'G-3 Multipliers'!$L$3:$N$6,2,FALSE)=0,"Spatial Data Missing ⚠",VLOOKUP(J154,'G-3 Multipliers'!$L$3:$N$6,2,FALSE)))</f>
        <v/>
      </c>
      <c r="L154" s="524" t="str">
        <f>IF(J154="","",IF(VLOOKUP(J154,'G-3 Multipliers'!$L$3:$N$6,3,FALSE)=0,"Spatial Data Missing ⚠",VLOOKUP(J154,'G-3 Multipliers'!$L$3:$N$6,3,FALSE)))</f>
        <v/>
      </c>
      <c r="M154" s="506" t="str">
        <f>IF(D154="","",VLOOKUP(D154,'G-6 Hedgerow Data'!$B$1:$AH$15,33,FALSE))</f>
        <v/>
      </c>
      <c r="N154" s="513" t="str">
        <f t="shared" si="16"/>
        <v/>
      </c>
      <c r="O154" s="40"/>
      <c r="P154" s="145"/>
      <c r="Q154" s="157"/>
      <c r="R154" s="507" t="str">
        <f t="shared" si="17"/>
        <v/>
      </c>
      <c r="S154" s="507" t="str">
        <f t="shared" si="18"/>
        <v/>
      </c>
      <c r="T154" s="511" t="str">
        <f t="shared" si="19"/>
        <v/>
      </c>
      <c r="U154" s="515"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8" x14ac:dyDescent="0.25">
      <c r="B155" s="141">
        <v>146</v>
      </c>
      <c r="C155" s="203"/>
      <c r="D155" s="203"/>
      <c r="E155" s="153"/>
      <c r="F155" s="498" t="str">
        <f>IF(D155="","",VLOOKUP(D155,'G-6 Hedgerow Data'!$B$2:$AG$15,2,FALSE))</f>
        <v/>
      </c>
      <c r="G155" s="499" t="str">
        <f>IF(D155="","",VLOOKUP(D155,'G-6 Hedgerow Data'!$B$2:$AG$15,3,FALSE))</f>
        <v/>
      </c>
      <c r="H155" s="145"/>
      <c r="I155" s="499" t="str">
        <f>IFERROR(IF(AND(F155="V.Low",OR(H155="Good",H155="Moderate")),"Error ▲",VLOOKUP(H155,'G-1 All Habitats'!$Z$2:$AA$9,2,FALSE)),"")</f>
        <v/>
      </c>
      <c r="J155" s="154"/>
      <c r="K155" s="520" t="str">
        <f>IF(J155="","",IF(VLOOKUP(J155,'G-3 Multipliers'!$L$3:$N$6,2,FALSE)=0,"Spatial Data Missing ⚠",VLOOKUP(J155,'G-3 Multipliers'!$L$3:$N$6,2,FALSE)))</f>
        <v/>
      </c>
      <c r="L155" s="524" t="str">
        <f>IF(J155="","",IF(VLOOKUP(J155,'G-3 Multipliers'!$L$3:$N$6,3,FALSE)=0,"Spatial Data Missing ⚠",VLOOKUP(J155,'G-3 Multipliers'!$L$3:$N$6,3,FALSE)))</f>
        <v/>
      </c>
      <c r="M155" s="506" t="str">
        <f>IF(D155="","",VLOOKUP(D155,'G-6 Hedgerow Data'!$B$1:$AH$15,33,FALSE))</f>
        <v/>
      </c>
      <c r="N155" s="513" t="str">
        <f t="shared" si="16"/>
        <v/>
      </c>
      <c r="O155" s="40"/>
      <c r="P155" s="145"/>
      <c r="Q155" s="157"/>
      <c r="R155" s="507" t="str">
        <f t="shared" si="17"/>
        <v/>
      </c>
      <c r="S155" s="507" t="str">
        <f t="shared" si="18"/>
        <v/>
      </c>
      <c r="T155" s="511" t="str">
        <f t="shared" si="19"/>
        <v/>
      </c>
      <c r="U155" s="515"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8" x14ac:dyDescent="0.25">
      <c r="B156" s="141">
        <v>147</v>
      </c>
      <c r="C156" s="203"/>
      <c r="D156" s="203"/>
      <c r="E156" s="153"/>
      <c r="F156" s="498" t="str">
        <f>IF(D156="","",VLOOKUP(D156,'G-6 Hedgerow Data'!$B$2:$AG$15,2,FALSE))</f>
        <v/>
      </c>
      <c r="G156" s="499" t="str">
        <f>IF(D156="","",VLOOKUP(D156,'G-6 Hedgerow Data'!$B$2:$AG$15,3,FALSE))</f>
        <v/>
      </c>
      <c r="H156" s="145"/>
      <c r="I156" s="499" t="str">
        <f>IFERROR(IF(AND(F156="V.Low",OR(H156="Good",H156="Moderate")),"Error ▲",VLOOKUP(H156,'G-1 All Habitats'!$Z$2:$AA$9,2,FALSE)),"")</f>
        <v/>
      </c>
      <c r="J156" s="154"/>
      <c r="K156" s="520" t="str">
        <f>IF(J156="","",IF(VLOOKUP(J156,'G-3 Multipliers'!$L$3:$N$6,2,FALSE)=0,"Spatial Data Missing ⚠",VLOOKUP(J156,'G-3 Multipliers'!$L$3:$N$6,2,FALSE)))</f>
        <v/>
      </c>
      <c r="L156" s="524" t="str">
        <f>IF(J156="","",IF(VLOOKUP(J156,'G-3 Multipliers'!$L$3:$N$6,3,FALSE)=0,"Spatial Data Missing ⚠",VLOOKUP(J156,'G-3 Multipliers'!$L$3:$N$6,3,FALSE)))</f>
        <v/>
      </c>
      <c r="M156" s="506" t="str">
        <f>IF(D156="","",VLOOKUP(D156,'G-6 Hedgerow Data'!$B$1:$AH$15,33,FALSE))</f>
        <v/>
      </c>
      <c r="N156" s="513" t="str">
        <f t="shared" si="16"/>
        <v/>
      </c>
      <c r="O156" s="40"/>
      <c r="P156" s="145"/>
      <c r="Q156" s="157"/>
      <c r="R156" s="507" t="str">
        <f t="shared" si="17"/>
        <v/>
      </c>
      <c r="S156" s="507" t="str">
        <f t="shared" si="18"/>
        <v/>
      </c>
      <c r="T156" s="511" t="str">
        <f t="shared" si="19"/>
        <v/>
      </c>
      <c r="U156" s="515"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8" x14ac:dyDescent="0.25">
      <c r="B157" s="141">
        <v>148</v>
      </c>
      <c r="C157" s="203"/>
      <c r="D157" s="203"/>
      <c r="E157" s="153"/>
      <c r="F157" s="498" t="str">
        <f>IF(D157="","",VLOOKUP(D157,'G-6 Hedgerow Data'!$B$2:$AG$15,2,FALSE))</f>
        <v/>
      </c>
      <c r="G157" s="499" t="str">
        <f>IF(D157="","",VLOOKUP(D157,'G-6 Hedgerow Data'!$B$2:$AG$15,3,FALSE))</f>
        <v/>
      </c>
      <c r="H157" s="145"/>
      <c r="I157" s="499" t="str">
        <f>IFERROR(IF(AND(F157="V.Low",OR(H157="Good",H157="Moderate")),"Error ▲",VLOOKUP(H157,'G-1 All Habitats'!$Z$2:$AA$9,2,FALSE)),"")</f>
        <v/>
      </c>
      <c r="J157" s="154"/>
      <c r="K157" s="520" t="str">
        <f>IF(J157="","",IF(VLOOKUP(J157,'G-3 Multipliers'!$L$3:$N$6,2,FALSE)=0,"Spatial Data Missing ⚠",VLOOKUP(J157,'G-3 Multipliers'!$L$3:$N$6,2,FALSE)))</f>
        <v/>
      </c>
      <c r="L157" s="524" t="str">
        <f>IF(J157="","",IF(VLOOKUP(J157,'G-3 Multipliers'!$L$3:$N$6,3,FALSE)=0,"Spatial Data Missing ⚠",VLOOKUP(J157,'G-3 Multipliers'!$L$3:$N$6,3,FALSE)))</f>
        <v/>
      </c>
      <c r="M157" s="506" t="str">
        <f>IF(D157="","",VLOOKUP(D157,'G-6 Hedgerow Data'!$B$1:$AH$15,33,FALSE))</f>
        <v/>
      </c>
      <c r="N157" s="513" t="str">
        <f t="shared" si="16"/>
        <v/>
      </c>
      <c r="O157" s="40"/>
      <c r="P157" s="145"/>
      <c r="Q157" s="157"/>
      <c r="R157" s="507" t="str">
        <f t="shared" si="17"/>
        <v/>
      </c>
      <c r="S157" s="507" t="str">
        <f t="shared" si="18"/>
        <v/>
      </c>
      <c r="T157" s="511" t="str">
        <f t="shared" si="19"/>
        <v/>
      </c>
      <c r="U157" s="515"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8" x14ac:dyDescent="0.25">
      <c r="B158" s="141">
        <v>149</v>
      </c>
      <c r="C158" s="203"/>
      <c r="D158" s="203"/>
      <c r="E158" s="153"/>
      <c r="F158" s="498" t="str">
        <f>IF(D158="","",VLOOKUP(D158,'G-6 Hedgerow Data'!$B$2:$AG$15,2,FALSE))</f>
        <v/>
      </c>
      <c r="G158" s="499" t="str">
        <f>IF(D158="","",VLOOKUP(D158,'G-6 Hedgerow Data'!$B$2:$AG$15,3,FALSE))</f>
        <v/>
      </c>
      <c r="H158" s="145"/>
      <c r="I158" s="499" t="str">
        <f>IFERROR(IF(AND(F158="V.Low",OR(H158="Good",H158="Moderate")),"Error ▲",VLOOKUP(H158,'G-1 All Habitats'!$Z$2:$AA$9,2,FALSE)),"")</f>
        <v/>
      </c>
      <c r="J158" s="154"/>
      <c r="K158" s="520" t="str">
        <f>IF(J158="","",IF(VLOOKUP(J158,'G-3 Multipliers'!$L$3:$N$6,2,FALSE)=0,"Spatial Data Missing ⚠",VLOOKUP(J158,'G-3 Multipliers'!$L$3:$N$6,2,FALSE)))</f>
        <v/>
      </c>
      <c r="L158" s="524" t="str">
        <f>IF(J158="","",IF(VLOOKUP(J158,'G-3 Multipliers'!$L$3:$N$6,3,FALSE)=0,"Spatial Data Missing ⚠",VLOOKUP(J158,'G-3 Multipliers'!$L$3:$N$6,3,FALSE)))</f>
        <v/>
      </c>
      <c r="M158" s="506" t="str">
        <f>IF(D158="","",VLOOKUP(D158,'G-6 Hedgerow Data'!$B$1:$AH$15,33,FALSE))</f>
        <v/>
      </c>
      <c r="N158" s="513" t="str">
        <f t="shared" si="16"/>
        <v/>
      </c>
      <c r="O158" s="40"/>
      <c r="P158" s="145"/>
      <c r="Q158" s="157"/>
      <c r="R158" s="507" t="str">
        <f t="shared" si="17"/>
        <v/>
      </c>
      <c r="S158" s="507" t="str">
        <f t="shared" si="18"/>
        <v/>
      </c>
      <c r="T158" s="511" t="str">
        <f t="shared" si="19"/>
        <v/>
      </c>
      <c r="U158" s="515"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8" x14ac:dyDescent="0.25">
      <c r="B159" s="141">
        <v>150</v>
      </c>
      <c r="C159" s="203"/>
      <c r="D159" s="203"/>
      <c r="E159" s="153"/>
      <c r="F159" s="498" t="str">
        <f>IF(D159="","",VLOOKUP(D159,'G-6 Hedgerow Data'!$B$2:$AG$15,2,FALSE))</f>
        <v/>
      </c>
      <c r="G159" s="499" t="str">
        <f>IF(D159="","",VLOOKUP(D159,'G-6 Hedgerow Data'!$B$2:$AG$15,3,FALSE))</f>
        <v/>
      </c>
      <c r="H159" s="145"/>
      <c r="I159" s="499" t="str">
        <f>IFERROR(IF(AND(F159="V.Low",OR(H159="Good",H159="Moderate")),"Error ▲",VLOOKUP(H159,'G-1 All Habitats'!$Z$2:$AA$9,2,FALSE)),"")</f>
        <v/>
      </c>
      <c r="J159" s="154"/>
      <c r="K159" s="520" t="str">
        <f>IF(J159="","",IF(VLOOKUP(J159,'G-3 Multipliers'!$L$3:$N$6,2,FALSE)=0,"Spatial Data Missing ⚠",VLOOKUP(J159,'G-3 Multipliers'!$L$3:$N$6,2,FALSE)))</f>
        <v/>
      </c>
      <c r="L159" s="524" t="str">
        <f>IF(J159="","",IF(VLOOKUP(J159,'G-3 Multipliers'!$L$3:$N$6,3,FALSE)=0,"Spatial Data Missing ⚠",VLOOKUP(J159,'G-3 Multipliers'!$L$3:$N$6,3,FALSE)))</f>
        <v/>
      </c>
      <c r="M159" s="506" t="str">
        <f>IF(D159="","",VLOOKUP(D159,'G-6 Hedgerow Data'!$B$1:$AH$15,33,FALSE))</f>
        <v/>
      </c>
      <c r="N159" s="513" t="str">
        <f t="shared" si="16"/>
        <v/>
      </c>
      <c r="O159" s="40"/>
      <c r="P159" s="145"/>
      <c r="Q159" s="157"/>
      <c r="R159" s="507" t="str">
        <f t="shared" si="17"/>
        <v/>
      </c>
      <c r="S159" s="507" t="str">
        <f t="shared" si="18"/>
        <v/>
      </c>
      <c r="T159" s="511" t="str">
        <f t="shared" si="19"/>
        <v/>
      </c>
      <c r="U159" s="515"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8" x14ac:dyDescent="0.25">
      <c r="B160" s="141">
        <v>151</v>
      </c>
      <c r="C160" s="203"/>
      <c r="D160" s="203"/>
      <c r="E160" s="153"/>
      <c r="F160" s="498" t="str">
        <f>IF(D160="","",VLOOKUP(D160,'G-6 Hedgerow Data'!$B$2:$AG$15,2,FALSE))</f>
        <v/>
      </c>
      <c r="G160" s="499" t="str">
        <f>IF(D160="","",VLOOKUP(D160,'G-6 Hedgerow Data'!$B$2:$AG$15,3,FALSE))</f>
        <v/>
      </c>
      <c r="H160" s="145"/>
      <c r="I160" s="499" t="str">
        <f>IFERROR(IF(AND(F160="V.Low",OR(H160="Good",H160="Moderate")),"Error ▲",VLOOKUP(H160,'G-1 All Habitats'!$Z$2:$AA$9,2,FALSE)),"")</f>
        <v/>
      </c>
      <c r="J160" s="154"/>
      <c r="K160" s="520" t="str">
        <f>IF(J160="","",IF(VLOOKUP(J160,'G-3 Multipliers'!$L$3:$N$6,2,FALSE)=0,"Spatial Data Missing ⚠",VLOOKUP(J160,'G-3 Multipliers'!$L$3:$N$6,2,FALSE)))</f>
        <v/>
      </c>
      <c r="L160" s="524" t="str">
        <f>IF(J160="","",IF(VLOOKUP(J160,'G-3 Multipliers'!$L$3:$N$6,3,FALSE)=0,"Spatial Data Missing ⚠",VLOOKUP(J160,'G-3 Multipliers'!$L$3:$N$6,3,FALSE)))</f>
        <v/>
      </c>
      <c r="M160" s="506" t="str">
        <f>IF(D160="","",VLOOKUP(D160,'G-6 Hedgerow Data'!$B$1:$AH$15,33,FALSE))</f>
        <v/>
      </c>
      <c r="N160" s="513" t="str">
        <f t="shared" si="16"/>
        <v/>
      </c>
      <c r="O160" s="40"/>
      <c r="P160" s="145"/>
      <c r="Q160" s="157"/>
      <c r="R160" s="507" t="str">
        <f t="shared" si="17"/>
        <v/>
      </c>
      <c r="S160" s="507" t="str">
        <f t="shared" si="18"/>
        <v/>
      </c>
      <c r="T160" s="511" t="str">
        <f t="shared" si="19"/>
        <v/>
      </c>
      <c r="U160" s="515"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8" x14ac:dyDescent="0.25">
      <c r="B161" s="141">
        <v>152</v>
      </c>
      <c r="C161" s="203"/>
      <c r="D161" s="203"/>
      <c r="E161" s="153"/>
      <c r="F161" s="498" t="str">
        <f>IF(D161="","",VLOOKUP(D161,'G-6 Hedgerow Data'!$B$2:$AG$15,2,FALSE))</f>
        <v/>
      </c>
      <c r="G161" s="499" t="str">
        <f>IF(D161="","",VLOOKUP(D161,'G-6 Hedgerow Data'!$B$2:$AG$15,3,FALSE))</f>
        <v/>
      </c>
      <c r="H161" s="145"/>
      <c r="I161" s="499" t="str">
        <f>IFERROR(IF(AND(F161="V.Low",OR(H161="Good",H161="Moderate")),"Error ▲",VLOOKUP(H161,'G-1 All Habitats'!$Z$2:$AA$9,2,FALSE)),"")</f>
        <v/>
      </c>
      <c r="J161" s="154"/>
      <c r="K161" s="520" t="str">
        <f>IF(J161="","",IF(VLOOKUP(J161,'G-3 Multipliers'!$L$3:$N$6,2,FALSE)=0,"Spatial Data Missing ⚠",VLOOKUP(J161,'G-3 Multipliers'!$L$3:$N$6,2,FALSE)))</f>
        <v/>
      </c>
      <c r="L161" s="524" t="str">
        <f>IF(J161="","",IF(VLOOKUP(J161,'G-3 Multipliers'!$L$3:$N$6,3,FALSE)=0,"Spatial Data Missing ⚠",VLOOKUP(J161,'G-3 Multipliers'!$L$3:$N$6,3,FALSE)))</f>
        <v/>
      </c>
      <c r="M161" s="506" t="str">
        <f>IF(D161="","",VLOOKUP(D161,'G-6 Hedgerow Data'!$B$1:$AH$15,33,FALSE))</f>
        <v/>
      </c>
      <c r="N161" s="513" t="str">
        <f t="shared" si="16"/>
        <v/>
      </c>
      <c r="O161" s="40"/>
      <c r="P161" s="145"/>
      <c r="Q161" s="157"/>
      <c r="R161" s="507" t="str">
        <f t="shared" si="17"/>
        <v/>
      </c>
      <c r="S161" s="507" t="str">
        <f t="shared" si="18"/>
        <v/>
      </c>
      <c r="T161" s="511" t="str">
        <f t="shared" si="19"/>
        <v/>
      </c>
      <c r="U161" s="515"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8" x14ac:dyDescent="0.25">
      <c r="B162" s="141">
        <v>153</v>
      </c>
      <c r="C162" s="203"/>
      <c r="D162" s="203"/>
      <c r="E162" s="153"/>
      <c r="F162" s="498" t="str">
        <f>IF(D162="","",VLOOKUP(D162,'G-6 Hedgerow Data'!$B$2:$AG$15,2,FALSE))</f>
        <v/>
      </c>
      <c r="G162" s="499" t="str">
        <f>IF(D162="","",VLOOKUP(D162,'G-6 Hedgerow Data'!$B$2:$AG$15,3,FALSE))</f>
        <v/>
      </c>
      <c r="H162" s="145"/>
      <c r="I162" s="499" t="str">
        <f>IFERROR(IF(AND(F162="V.Low",OR(H162="Good",H162="Moderate")),"Error ▲",VLOOKUP(H162,'G-1 All Habitats'!$Z$2:$AA$9,2,FALSE)),"")</f>
        <v/>
      </c>
      <c r="J162" s="154"/>
      <c r="K162" s="520" t="str">
        <f>IF(J162="","",IF(VLOOKUP(J162,'G-3 Multipliers'!$L$3:$N$6,2,FALSE)=0,"Spatial Data Missing ⚠",VLOOKUP(J162,'G-3 Multipliers'!$L$3:$N$6,2,FALSE)))</f>
        <v/>
      </c>
      <c r="L162" s="524" t="str">
        <f>IF(J162="","",IF(VLOOKUP(J162,'G-3 Multipliers'!$L$3:$N$6,3,FALSE)=0,"Spatial Data Missing ⚠",VLOOKUP(J162,'G-3 Multipliers'!$L$3:$N$6,3,FALSE)))</f>
        <v/>
      </c>
      <c r="M162" s="506" t="str">
        <f>IF(D162="","",VLOOKUP(D162,'G-6 Hedgerow Data'!$B$1:$AH$15,33,FALSE))</f>
        <v/>
      </c>
      <c r="N162" s="513" t="str">
        <f t="shared" si="16"/>
        <v/>
      </c>
      <c r="O162" s="40"/>
      <c r="P162" s="145"/>
      <c r="Q162" s="157"/>
      <c r="R162" s="507" t="str">
        <f t="shared" si="17"/>
        <v/>
      </c>
      <c r="S162" s="507" t="str">
        <f t="shared" si="18"/>
        <v/>
      </c>
      <c r="T162" s="511" t="str">
        <f t="shared" si="19"/>
        <v/>
      </c>
      <c r="U162" s="515"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8" x14ac:dyDescent="0.25">
      <c r="B163" s="141">
        <v>154</v>
      </c>
      <c r="C163" s="203"/>
      <c r="D163" s="203"/>
      <c r="E163" s="153"/>
      <c r="F163" s="498" t="str">
        <f>IF(D163="","",VLOOKUP(D163,'G-6 Hedgerow Data'!$B$2:$AG$15,2,FALSE))</f>
        <v/>
      </c>
      <c r="G163" s="499" t="str">
        <f>IF(D163="","",VLOOKUP(D163,'G-6 Hedgerow Data'!$B$2:$AG$15,3,FALSE))</f>
        <v/>
      </c>
      <c r="H163" s="145"/>
      <c r="I163" s="499" t="str">
        <f>IFERROR(IF(AND(F163="V.Low",OR(H163="Good",H163="Moderate")),"Error ▲",VLOOKUP(H163,'G-1 All Habitats'!$Z$2:$AA$9,2,FALSE)),"")</f>
        <v/>
      </c>
      <c r="J163" s="154"/>
      <c r="K163" s="520" t="str">
        <f>IF(J163="","",IF(VLOOKUP(J163,'G-3 Multipliers'!$L$3:$N$6,2,FALSE)=0,"Spatial Data Missing ⚠",VLOOKUP(J163,'G-3 Multipliers'!$L$3:$N$6,2,FALSE)))</f>
        <v/>
      </c>
      <c r="L163" s="524" t="str">
        <f>IF(J163="","",IF(VLOOKUP(J163,'G-3 Multipliers'!$L$3:$N$6,3,FALSE)=0,"Spatial Data Missing ⚠",VLOOKUP(J163,'G-3 Multipliers'!$L$3:$N$6,3,FALSE)))</f>
        <v/>
      </c>
      <c r="M163" s="506" t="str">
        <f>IF(D163="","",VLOOKUP(D163,'G-6 Hedgerow Data'!$B$1:$AH$15,33,FALSE))</f>
        <v/>
      </c>
      <c r="N163" s="513" t="str">
        <f t="shared" si="16"/>
        <v/>
      </c>
      <c r="O163" s="40"/>
      <c r="P163" s="145"/>
      <c r="Q163" s="157"/>
      <c r="R163" s="507" t="str">
        <f t="shared" si="17"/>
        <v/>
      </c>
      <c r="S163" s="507" t="str">
        <f t="shared" si="18"/>
        <v/>
      </c>
      <c r="T163" s="511" t="str">
        <f t="shared" si="19"/>
        <v/>
      </c>
      <c r="U163" s="515"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8" x14ac:dyDescent="0.25">
      <c r="B164" s="141">
        <v>155</v>
      </c>
      <c r="C164" s="203"/>
      <c r="D164" s="203"/>
      <c r="E164" s="153"/>
      <c r="F164" s="498" t="str">
        <f>IF(D164="","",VLOOKUP(D164,'G-6 Hedgerow Data'!$B$2:$AG$15,2,FALSE))</f>
        <v/>
      </c>
      <c r="G164" s="499" t="str">
        <f>IF(D164="","",VLOOKUP(D164,'G-6 Hedgerow Data'!$B$2:$AG$15,3,FALSE))</f>
        <v/>
      </c>
      <c r="H164" s="145"/>
      <c r="I164" s="499" t="str">
        <f>IFERROR(IF(AND(F164="V.Low",OR(H164="Good",H164="Moderate")),"Error ▲",VLOOKUP(H164,'G-1 All Habitats'!$Z$2:$AA$9,2,FALSE)),"")</f>
        <v/>
      </c>
      <c r="J164" s="154"/>
      <c r="K164" s="520" t="str">
        <f>IF(J164="","",IF(VLOOKUP(J164,'G-3 Multipliers'!$L$3:$N$6,2,FALSE)=0,"Spatial Data Missing ⚠",VLOOKUP(J164,'G-3 Multipliers'!$L$3:$N$6,2,FALSE)))</f>
        <v/>
      </c>
      <c r="L164" s="524" t="str">
        <f>IF(J164="","",IF(VLOOKUP(J164,'G-3 Multipliers'!$L$3:$N$6,3,FALSE)=0,"Spatial Data Missing ⚠",VLOOKUP(J164,'G-3 Multipliers'!$L$3:$N$6,3,FALSE)))</f>
        <v/>
      </c>
      <c r="M164" s="506" t="str">
        <f>IF(D164="","",VLOOKUP(D164,'G-6 Hedgerow Data'!$B$1:$AH$15,33,FALSE))</f>
        <v/>
      </c>
      <c r="N164" s="513" t="str">
        <f t="shared" si="16"/>
        <v/>
      </c>
      <c r="O164" s="40"/>
      <c r="P164" s="145"/>
      <c r="Q164" s="157"/>
      <c r="R164" s="507" t="str">
        <f t="shared" si="17"/>
        <v/>
      </c>
      <c r="S164" s="507" t="str">
        <f t="shared" si="18"/>
        <v/>
      </c>
      <c r="T164" s="511" t="str">
        <f t="shared" si="19"/>
        <v/>
      </c>
      <c r="U164" s="515"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8" x14ac:dyDescent="0.25">
      <c r="B165" s="141">
        <v>156</v>
      </c>
      <c r="C165" s="203"/>
      <c r="D165" s="203"/>
      <c r="E165" s="153"/>
      <c r="F165" s="498" t="str">
        <f>IF(D165="","",VLOOKUP(D165,'G-6 Hedgerow Data'!$B$2:$AG$15,2,FALSE))</f>
        <v/>
      </c>
      <c r="G165" s="499" t="str">
        <f>IF(D165="","",VLOOKUP(D165,'G-6 Hedgerow Data'!$B$2:$AG$15,3,FALSE))</f>
        <v/>
      </c>
      <c r="H165" s="145"/>
      <c r="I165" s="499" t="str">
        <f>IFERROR(IF(AND(F165="V.Low",OR(H165="Good",H165="Moderate")),"Error ▲",VLOOKUP(H165,'G-1 All Habitats'!$Z$2:$AA$9,2,FALSE)),"")</f>
        <v/>
      </c>
      <c r="J165" s="154"/>
      <c r="K165" s="520" t="str">
        <f>IF(J165="","",IF(VLOOKUP(J165,'G-3 Multipliers'!$L$3:$N$6,2,FALSE)=0,"Spatial Data Missing ⚠",VLOOKUP(J165,'G-3 Multipliers'!$L$3:$N$6,2,FALSE)))</f>
        <v/>
      </c>
      <c r="L165" s="524" t="str">
        <f>IF(J165="","",IF(VLOOKUP(J165,'G-3 Multipliers'!$L$3:$N$6,3,FALSE)=0,"Spatial Data Missing ⚠",VLOOKUP(J165,'G-3 Multipliers'!$L$3:$N$6,3,FALSE)))</f>
        <v/>
      </c>
      <c r="M165" s="506" t="str">
        <f>IF(D165="","",VLOOKUP(D165,'G-6 Hedgerow Data'!$B$1:$AH$15,33,FALSE))</f>
        <v/>
      </c>
      <c r="N165" s="513" t="str">
        <f t="shared" si="16"/>
        <v/>
      </c>
      <c r="O165" s="40"/>
      <c r="P165" s="145"/>
      <c r="Q165" s="157"/>
      <c r="R165" s="507" t="str">
        <f t="shared" si="17"/>
        <v/>
      </c>
      <c r="S165" s="507" t="str">
        <f t="shared" si="18"/>
        <v/>
      </c>
      <c r="T165" s="511" t="str">
        <f t="shared" si="19"/>
        <v/>
      </c>
      <c r="U165" s="515"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8" x14ac:dyDescent="0.25">
      <c r="B166" s="141">
        <v>157</v>
      </c>
      <c r="C166" s="203"/>
      <c r="D166" s="203"/>
      <c r="E166" s="153"/>
      <c r="F166" s="498" t="str">
        <f>IF(D166="","",VLOOKUP(D166,'G-6 Hedgerow Data'!$B$2:$AG$15,2,FALSE))</f>
        <v/>
      </c>
      <c r="G166" s="499" t="str">
        <f>IF(D166="","",VLOOKUP(D166,'G-6 Hedgerow Data'!$B$2:$AG$15,3,FALSE))</f>
        <v/>
      </c>
      <c r="H166" s="145"/>
      <c r="I166" s="499" t="str">
        <f>IFERROR(IF(AND(F166="V.Low",OR(H166="Good",H166="Moderate")),"Error ▲",VLOOKUP(H166,'G-1 All Habitats'!$Z$2:$AA$9,2,FALSE)),"")</f>
        <v/>
      </c>
      <c r="J166" s="154"/>
      <c r="K166" s="520" t="str">
        <f>IF(J166="","",IF(VLOOKUP(J166,'G-3 Multipliers'!$L$3:$N$6,2,FALSE)=0,"Spatial Data Missing ⚠",VLOOKUP(J166,'G-3 Multipliers'!$L$3:$N$6,2,FALSE)))</f>
        <v/>
      </c>
      <c r="L166" s="524" t="str">
        <f>IF(J166="","",IF(VLOOKUP(J166,'G-3 Multipliers'!$L$3:$N$6,3,FALSE)=0,"Spatial Data Missing ⚠",VLOOKUP(J166,'G-3 Multipliers'!$L$3:$N$6,3,FALSE)))</f>
        <v/>
      </c>
      <c r="M166" s="506" t="str">
        <f>IF(D166="","",VLOOKUP(D166,'G-6 Hedgerow Data'!$B$1:$AH$15,33,FALSE))</f>
        <v/>
      </c>
      <c r="N166" s="513" t="str">
        <f t="shared" si="16"/>
        <v/>
      </c>
      <c r="O166" s="40"/>
      <c r="P166" s="145"/>
      <c r="Q166" s="157"/>
      <c r="R166" s="507" t="str">
        <f t="shared" si="17"/>
        <v/>
      </c>
      <c r="S166" s="507" t="str">
        <f t="shared" si="18"/>
        <v/>
      </c>
      <c r="T166" s="511" t="str">
        <f t="shared" si="19"/>
        <v/>
      </c>
      <c r="U166" s="515"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8" x14ac:dyDescent="0.25">
      <c r="B167" s="141">
        <v>158</v>
      </c>
      <c r="C167" s="203"/>
      <c r="D167" s="203"/>
      <c r="E167" s="153"/>
      <c r="F167" s="498" t="str">
        <f>IF(D167="","",VLOOKUP(D167,'G-6 Hedgerow Data'!$B$2:$AG$15,2,FALSE))</f>
        <v/>
      </c>
      <c r="G167" s="499" t="str">
        <f>IF(D167="","",VLOOKUP(D167,'G-6 Hedgerow Data'!$B$2:$AG$15,3,FALSE))</f>
        <v/>
      </c>
      <c r="H167" s="145"/>
      <c r="I167" s="499" t="str">
        <f>IFERROR(IF(AND(F167="V.Low",OR(H167="Good",H167="Moderate")),"Error ▲",VLOOKUP(H167,'G-1 All Habitats'!$Z$2:$AA$9,2,FALSE)),"")</f>
        <v/>
      </c>
      <c r="J167" s="154"/>
      <c r="K167" s="520" t="str">
        <f>IF(J167="","",IF(VLOOKUP(J167,'G-3 Multipliers'!$L$3:$N$6,2,FALSE)=0,"Spatial Data Missing ⚠",VLOOKUP(J167,'G-3 Multipliers'!$L$3:$N$6,2,FALSE)))</f>
        <v/>
      </c>
      <c r="L167" s="524" t="str">
        <f>IF(J167="","",IF(VLOOKUP(J167,'G-3 Multipliers'!$L$3:$N$6,3,FALSE)=0,"Spatial Data Missing ⚠",VLOOKUP(J167,'G-3 Multipliers'!$L$3:$N$6,3,FALSE)))</f>
        <v/>
      </c>
      <c r="M167" s="506" t="str">
        <f>IF(D167="","",VLOOKUP(D167,'G-6 Hedgerow Data'!$B$1:$AH$15,33,FALSE))</f>
        <v/>
      </c>
      <c r="N167" s="513" t="str">
        <f t="shared" si="16"/>
        <v/>
      </c>
      <c r="O167" s="40"/>
      <c r="P167" s="145"/>
      <c r="Q167" s="157"/>
      <c r="R167" s="507" t="str">
        <f t="shared" si="17"/>
        <v/>
      </c>
      <c r="S167" s="507" t="str">
        <f t="shared" si="18"/>
        <v/>
      </c>
      <c r="T167" s="511" t="str">
        <f t="shared" si="19"/>
        <v/>
      </c>
      <c r="U167" s="515"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8" x14ac:dyDescent="0.25">
      <c r="B168" s="141">
        <v>159</v>
      </c>
      <c r="C168" s="203"/>
      <c r="D168" s="203"/>
      <c r="E168" s="153"/>
      <c r="F168" s="498" t="str">
        <f>IF(D168="","",VLOOKUP(D168,'G-6 Hedgerow Data'!$B$2:$AG$15,2,FALSE))</f>
        <v/>
      </c>
      <c r="G168" s="499" t="str">
        <f>IF(D168="","",VLOOKUP(D168,'G-6 Hedgerow Data'!$B$2:$AG$15,3,FALSE))</f>
        <v/>
      </c>
      <c r="H168" s="145"/>
      <c r="I168" s="499" t="str">
        <f>IFERROR(IF(AND(F168="V.Low",OR(H168="Good",H168="Moderate")),"Error ▲",VLOOKUP(H168,'G-1 All Habitats'!$Z$2:$AA$9,2,FALSE)),"")</f>
        <v/>
      </c>
      <c r="J168" s="154"/>
      <c r="K168" s="520" t="str">
        <f>IF(J168="","",IF(VLOOKUP(J168,'G-3 Multipliers'!$L$3:$N$6,2,FALSE)=0,"Spatial Data Missing ⚠",VLOOKUP(J168,'G-3 Multipliers'!$L$3:$N$6,2,FALSE)))</f>
        <v/>
      </c>
      <c r="L168" s="524" t="str">
        <f>IF(J168="","",IF(VLOOKUP(J168,'G-3 Multipliers'!$L$3:$N$6,3,FALSE)=0,"Spatial Data Missing ⚠",VLOOKUP(J168,'G-3 Multipliers'!$L$3:$N$6,3,FALSE)))</f>
        <v/>
      </c>
      <c r="M168" s="506" t="str">
        <f>IF(D168="","",VLOOKUP(D168,'G-6 Hedgerow Data'!$B$1:$AH$15,33,FALSE))</f>
        <v/>
      </c>
      <c r="N168" s="513" t="str">
        <f t="shared" si="16"/>
        <v/>
      </c>
      <c r="O168" s="40"/>
      <c r="P168" s="145"/>
      <c r="Q168" s="157"/>
      <c r="R168" s="507" t="str">
        <f t="shared" si="17"/>
        <v/>
      </c>
      <c r="S168" s="507" t="str">
        <f t="shared" si="18"/>
        <v/>
      </c>
      <c r="T168" s="511" t="str">
        <f t="shared" si="19"/>
        <v/>
      </c>
      <c r="U168" s="515"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8" x14ac:dyDescent="0.25">
      <c r="B169" s="141">
        <v>160</v>
      </c>
      <c r="C169" s="203"/>
      <c r="D169" s="203"/>
      <c r="E169" s="153"/>
      <c r="F169" s="498" t="str">
        <f>IF(D169="","",VLOOKUP(D169,'G-6 Hedgerow Data'!$B$2:$AG$15,2,FALSE))</f>
        <v/>
      </c>
      <c r="G169" s="499" t="str">
        <f>IF(D169="","",VLOOKUP(D169,'G-6 Hedgerow Data'!$B$2:$AG$15,3,FALSE))</f>
        <v/>
      </c>
      <c r="H169" s="145"/>
      <c r="I169" s="499" t="str">
        <f>IFERROR(IF(AND(F169="V.Low",OR(H169="Good",H169="Moderate")),"Error ▲",VLOOKUP(H169,'G-1 All Habitats'!$Z$2:$AA$9,2,FALSE)),"")</f>
        <v/>
      </c>
      <c r="J169" s="154"/>
      <c r="K169" s="520" t="str">
        <f>IF(J169="","",IF(VLOOKUP(J169,'G-3 Multipliers'!$L$3:$N$6,2,FALSE)=0,"Spatial Data Missing ⚠",VLOOKUP(J169,'G-3 Multipliers'!$L$3:$N$6,2,FALSE)))</f>
        <v/>
      </c>
      <c r="L169" s="524" t="str">
        <f>IF(J169="","",IF(VLOOKUP(J169,'G-3 Multipliers'!$L$3:$N$6,3,FALSE)=0,"Spatial Data Missing ⚠",VLOOKUP(J169,'G-3 Multipliers'!$L$3:$N$6,3,FALSE)))</f>
        <v/>
      </c>
      <c r="M169" s="506" t="str">
        <f>IF(D169="","",VLOOKUP(D169,'G-6 Hedgerow Data'!$B$1:$AH$15,33,FALSE))</f>
        <v/>
      </c>
      <c r="N169" s="513" t="str">
        <f t="shared" si="16"/>
        <v/>
      </c>
      <c r="O169" s="40"/>
      <c r="P169" s="145"/>
      <c r="Q169" s="157"/>
      <c r="R169" s="507" t="str">
        <f t="shared" si="17"/>
        <v/>
      </c>
      <c r="S169" s="507" t="str">
        <f t="shared" si="18"/>
        <v/>
      </c>
      <c r="T169" s="511" t="str">
        <f t="shared" si="19"/>
        <v/>
      </c>
      <c r="U169" s="515"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8" x14ac:dyDescent="0.25">
      <c r="B170" s="141">
        <v>161</v>
      </c>
      <c r="C170" s="203"/>
      <c r="D170" s="203"/>
      <c r="E170" s="153"/>
      <c r="F170" s="498" t="str">
        <f>IF(D170="","",VLOOKUP(D170,'G-6 Hedgerow Data'!$B$2:$AG$15,2,FALSE))</f>
        <v/>
      </c>
      <c r="G170" s="499" t="str">
        <f>IF(D170="","",VLOOKUP(D170,'G-6 Hedgerow Data'!$B$2:$AG$15,3,FALSE))</f>
        <v/>
      </c>
      <c r="H170" s="145"/>
      <c r="I170" s="499" t="str">
        <f>IFERROR(IF(AND(F170="V.Low",OR(H170="Good",H170="Moderate")),"Error ▲",VLOOKUP(H170,'G-1 All Habitats'!$Z$2:$AA$9,2,FALSE)),"")</f>
        <v/>
      </c>
      <c r="J170" s="154"/>
      <c r="K170" s="520" t="str">
        <f>IF(J170="","",IF(VLOOKUP(J170,'G-3 Multipliers'!$L$3:$N$6,2,FALSE)=0,"Spatial Data Missing ⚠",VLOOKUP(J170,'G-3 Multipliers'!$L$3:$N$6,2,FALSE)))</f>
        <v/>
      </c>
      <c r="L170" s="524" t="str">
        <f>IF(J170="","",IF(VLOOKUP(J170,'G-3 Multipliers'!$L$3:$N$6,3,FALSE)=0,"Spatial Data Missing ⚠",VLOOKUP(J170,'G-3 Multipliers'!$L$3:$N$6,3,FALSE)))</f>
        <v/>
      </c>
      <c r="M170" s="506" t="str">
        <f>IF(D170="","",VLOOKUP(D170,'G-6 Hedgerow Data'!$B$1:$AH$15,33,FALSE))</f>
        <v/>
      </c>
      <c r="N170" s="513" t="str">
        <f t="shared" si="16"/>
        <v/>
      </c>
      <c r="O170" s="40"/>
      <c r="P170" s="145"/>
      <c r="Q170" s="157"/>
      <c r="R170" s="507" t="str">
        <f t="shared" si="17"/>
        <v/>
      </c>
      <c r="S170" s="507" t="str">
        <f t="shared" si="18"/>
        <v/>
      </c>
      <c r="T170" s="511" t="str">
        <f t="shared" si="19"/>
        <v/>
      </c>
      <c r="U170" s="515"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8" x14ac:dyDescent="0.25">
      <c r="B171" s="141">
        <v>162</v>
      </c>
      <c r="C171" s="203"/>
      <c r="D171" s="203"/>
      <c r="E171" s="153"/>
      <c r="F171" s="498" t="str">
        <f>IF(D171="","",VLOOKUP(D171,'G-6 Hedgerow Data'!$B$2:$AG$15,2,FALSE))</f>
        <v/>
      </c>
      <c r="G171" s="499" t="str">
        <f>IF(D171="","",VLOOKUP(D171,'G-6 Hedgerow Data'!$B$2:$AG$15,3,FALSE))</f>
        <v/>
      </c>
      <c r="H171" s="145"/>
      <c r="I171" s="499" t="str">
        <f>IFERROR(IF(AND(F171="V.Low",OR(H171="Good",H171="Moderate")),"Error ▲",VLOOKUP(H171,'G-1 All Habitats'!$Z$2:$AA$9,2,FALSE)),"")</f>
        <v/>
      </c>
      <c r="J171" s="154"/>
      <c r="K171" s="520" t="str">
        <f>IF(J171="","",IF(VLOOKUP(J171,'G-3 Multipliers'!$L$3:$N$6,2,FALSE)=0,"Spatial Data Missing ⚠",VLOOKUP(J171,'G-3 Multipliers'!$L$3:$N$6,2,FALSE)))</f>
        <v/>
      </c>
      <c r="L171" s="524" t="str">
        <f>IF(J171="","",IF(VLOOKUP(J171,'G-3 Multipliers'!$L$3:$N$6,3,FALSE)=0,"Spatial Data Missing ⚠",VLOOKUP(J171,'G-3 Multipliers'!$L$3:$N$6,3,FALSE)))</f>
        <v/>
      </c>
      <c r="M171" s="506" t="str">
        <f>IF(D171="","",VLOOKUP(D171,'G-6 Hedgerow Data'!$B$1:$AH$15,33,FALSE))</f>
        <v/>
      </c>
      <c r="N171" s="513" t="str">
        <f t="shared" si="16"/>
        <v/>
      </c>
      <c r="O171" s="40"/>
      <c r="P171" s="145"/>
      <c r="Q171" s="157"/>
      <c r="R171" s="507" t="str">
        <f t="shared" si="17"/>
        <v/>
      </c>
      <c r="S171" s="507" t="str">
        <f t="shared" si="18"/>
        <v/>
      </c>
      <c r="T171" s="511" t="str">
        <f t="shared" si="19"/>
        <v/>
      </c>
      <c r="U171" s="515"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8" x14ac:dyDescent="0.25">
      <c r="B172" s="141">
        <v>163</v>
      </c>
      <c r="C172" s="203"/>
      <c r="D172" s="203"/>
      <c r="E172" s="153"/>
      <c r="F172" s="498" t="str">
        <f>IF(D172="","",VLOOKUP(D172,'G-6 Hedgerow Data'!$B$2:$AG$15,2,FALSE))</f>
        <v/>
      </c>
      <c r="G172" s="499" t="str">
        <f>IF(D172="","",VLOOKUP(D172,'G-6 Hedgerow Data'!$B$2:$AG$15,3,FALSE))</f>
        <v/>
      </c>
      <c r="H172" s="145"/>
      <c r="I172" s="499" t="str">
        <f>IFERROR(IF(AND(F172="V.Low",OR(H172="Good",H172="Moderate")),"Error ▲",VLOOKUP(H172,'G-1 All Habitats'!$Z$2:$AA$9,2,FALSE)),"")</f>
        <v/>
      </c>
      <c r="J172" s="154"/>
      <c r="K172" s="520" t="str">
        <f>IF(J172="","",IF(VLOOKUP(J172,'G-3 Multipliers'!$L$3:$N$6,2,FALSE)=0,"Spatial Data Missing ⚠",VLOOKUP(J172,'G-3 Multipliers'!$L$3:$N$6,2,FALSE)))</f>
        <v/>
      </c>
      <c r="L172" s="524" t="str">
        <f>IF(J172="","",IF(VLOOKUP(J172,'G-3 Multipliers'!$L$3:$N$6,3,FALSE)=0,"Spatial Data Missing ⚠",VLOOKUP(J172,'G-3 Multipliers'!$L$3:$N$6,3,FALSE)))</f>
        <v/>
      </c>
      <c r="M172" s="506" t="str">
        <f>IF(D172="","",VLOOKUP(D172,'G-6 Hedgerow Data'!$B$1:$AH$15,33,FALSE))</f>
        <v/>
      </c>
      <c r="N172" s="513" t="str">
        <f t="shared" si="16"/>
        <v/>
      </c>
      <c r="O172" s="40"/>
      <c r="P172" s="145"/>
      <c r="Q172" s="157"/>
      <c r="R172" s="507" t="str">
        <f t="shared" si="17"/>
        <v/>
      </c>
      <c r="S172" s="507" t="str">
        <f t="shared" si="18"/>
        <v/>
      </c>
      <c r="T172" s="511" t="str">
        <f t="shared" si="19"/>
        <v/>
      </c>
      <c r="U172" s="515"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8" x14ac:dyDescent="0.25">
      <c r="B173" s="141">
        <v>164</v>
      </c>
      <c r="C173" s="203"/>
      <c r="D173" s="203"/>
      <c r="E173" s="153"/>
      <c r="F173" s="498" t="str">
        <f>IF(D173="","",VLOOKUP(D173,'G-6 Hedgerow Data'!$B$2:$AG$15,2,FALSE))</f>
        <v/>
      </c>
      <c r="G173" s="499" t="str">
        <f>IF(D173="","",VLOOKUP(D173,'G-6 Hedgerow Data'!$B$2:$AG$15,3,FALSE))</f>
        <v/>
      </c>
      <c r="H173" s="145"/>
      <c r="I173" s="499" t="str">
        <f>IFERROR(IF(AND(F173="V.Low",OR(H173="Good",H173="Moderate")),"Error ▲",VLOOKUP(H173,'G-1 All Habitats'!$Z$2:$AA$9,2,FALSE)),"")</f>
        <v/>
      </c>
      <c r="J173" s="154"/>
      <c r="K173" s="520" t="str">
        <f>IF(J173="","",IF(VLOOKUP(J173,'G-3 Multipliers'!$L$3:$N$6,2,FALSE)=0,"Spatial Data Missing ⚠",VLOOKUP(J173,'G-3 Multipliers'!$L$3:$N$6,2,FALSE)))</f>
        <v/>
      </c>
      <c r="L173" s="524" t="str">
        <f>IF(J173="","",IF(VLOOKUP(J173,'G-3 Multipliers'!$L$3:$N$6,3,FALSE)=0,"Spatial Data Missing ⚠",VLOOKUP(J173,'G-3 Multipliers'!$L$3:$N$6,3,FALSE)))</f>
        <v/>
      </c>
      <c r="M173" s="506" t="str">
        <f>IF(D173="","",VLOOKUP(D173,'G-6 Hedgerow Data'!$B$1:$AH$15,33,FALSE))</f>
        <v/>
      </c>
      <c r="N173" s="513" t="str">
        <f t="shared" si="16"/>
        <v/>
      </c>
      <c r="O173" s="40"/>
      <c r="P173" s="145"/>
      <c r="Q173" s="157"/>
      <c r="R173" s="507" t="str">
        <f t="shared" si="17"/>
        <v/>
      </c>
      <c r="S173" s="507" t="str">
        <f t="shared" si="18"/>
        <v/>
      </c>
      <c r="T173" s="511" t="str">
        <f t="shared" si="19"/>
        <v/>
      </c>
      <c r="U173" s="515"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8" x14ac:dyDescent="0.25">
      <c r="B174" s="141">
        <v>165</v>
      </c>
      <c r="C174" s="203"/>
      <c r="D174" s="203"/>
      <c r="E174" s="153"/>
      <c r="F174" s="498" t="str">
        <f>IF(D174="","",VLOOKUP(D174,'G-6 Hedgerow Data'!$B$2:$AG$15,2,FALSE))</f>
        <v/>
      </c>
      <c r="G174" s="499" t="str">
        <f>IF(D174="","",VLOOKUP(D174,'G-6 Hedgerow Data'!$B$2:$AG$15,3,FALSE))</f>
        <v/>
      </c>
      <c r="H174" s="145"/>
      <c r="I174" s="499" t="str">
        <f>IFERROR(IF(AND(F174="V.Low",OR(H174="Good",H174="Moderate")),"Error ▲",VLOOKUP(H174,'G-1 All Habitats'!$Z$2:$AA$9,2,FALSE)),"")</f>
        <v/>
      </c>
      <c r="J174" s="154"/>
      <c r="K174" s="520" t="str">
        <f>IF(J174="","",IF(VLOOKUP(J174,'G-3 Multipliers'!$L$3:$N$6,2,FALSE)=0,"Spatial Data Missing ⚠",VLOOKUP(J174,'G-3 Multipliers'!$L$3:$N$6,2,FALSE)))</f>
        <v/>
      </c>
      <c r="L174" s="524" t="str">
        <f>IF(J174="","",IF(VLOOKUP(J174,'G-3 Multipliers'!$L$3:$N$6,3,FALSE)=0,"Spatial Data Missing ⚠",VLOOKUP(J174,'G-3 Multipliers'!$L$3:$N$6,3,FALSE)))</f>
        <v/>
      </c>
      <c r="M174" s="506" t="str">
        <f>IF(D174="","",VLOOKUP(D174,'G-6 Hedgerow Data'!$B$1:$AH$15,33,FALSE))</f>
        <v/>
      </c>
      <c r="N174" s="513" t="str">
        <f t="shared" si="16"/>
        <v/>
      </c>
      <c r="O174" s="40"/>
      <c r="P174" s="145"/>
      <c r="Q174" s="157"/>
      <c r="R174" s="507" t="str">
        <f t="shared" si="17"/>
        <v/>
      </c>
      <c r="S174" s="507" t="str">
        <f t="shared" si="18"/>
        <v/>
      </c>
      <c r="T174" s="511" t="str">
        <f t="shared" si="19"/>
        <v/>
      </c>
      <c r="U174" s="515"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8" x14ac:dyDescent="0.25">
      <c r="B175" s="141">
        <v>166</v>
      </c>
      <c r="C175" s="203"/>
      <c r="D175" s="203"/>
      <c r="E175" s="153"/>
      <c r="F175" s="498" t="str">
        <f>IF(D175="","",VLOOKUP(D175,'G-6 Hedgerow Data'!$B$2:$AG$15,2,FALSE))</f>
        <v/>
      </c>
      <c r="G175" s="499" t="str">
        <f>IF(D175="","",VLOOKUP(D175,'G-6 Hedgerow Data'!$B$2:$AG$15,3,FALSE))</f>
        <v/>
      </c>
      <c r="H175" s="145"/>
      <c r="I175" s="499" t="str">
        <f>IFERROR(IF(AND(F175="V.Low",OR(H175="Good",H175="Moderate")),"Error ▲",VLOOKUP(H175,'G-1 All Habitats'!$Z$2:$AA$9,2,FALSE)),"")</f>
        <v/>
      </c>
      <c r="J175" s="154"/>
      <c r="K175" s="520" t="str">
        <f>IF(J175="","",IF(VLOOKUP(J175,'G-3 Multipliers'!$L$3:$N$6,2,FALSE)=0,"Spatial Data Missing ⚠",VLOOKUP(J175,'G-3 Multipliers'!$L$3:$N$6,2,FALSE)))</f>
        <v/>
      </c>
      <c r="L175" s="524" t="str">
        <f>IF(J175="","",IF(VLOOKUP(J175,'G-3 Multipliers'!$L$3:$N$6,3,FALSE)=0,"Spatial Data Missing ⚠",VLOOKUP(J175,'G-3 Multipliers'!$L$3:$N$6,3,FALSE)))</f>
        <v/>
      </c>
      <c r="M175" s="506" t="str">
        <f>IF(D175="","",VLOOKUP(D175,'G-6 Hedgerow Data'!$B$1:$AH$15,33,FALSE))</f>
        <v/>
      </c>
      <c r="N175" s="513" t="str">
        <f t="shared" si="16"/>
        <v/>
      </c>
      <c r="O175" s="40"/>
      <c r="P175" s="145"/>
      <c r="Q175" s="157"/>
      <c r="R175" s="507" t="str">
        <f t="shared" si="17"/>
        <v/>
      </c>
      <c r="S175" s="507" t="str">
        <f t="shared" si="18"/>
        <v/>
      </c>
      <c r="T175" s="511" t="str">
        <f t="shared" si="19"/>
        <v/>
      </c>
      <c r="U175" s="515"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8" x14ac:dyDescent="0.25">
      <c r="B176" s="141">
        <v>167</v>
      </c>
      <c r="C176" s="203"/>
      <c r="D176" s="203"/>
      <c r="E176" s="153"/>
      <c r="F176" s="498" t="str">
        <f>IF(D176="","",VLOOKUP(D176,'G-6 Hedgerow Data'!$B$2:$AG$15,2,FALSE))</f>
        <v/>
      </c>
      <c r="G176" s="499" t="str">
        <f>IF(D176="","",VLOOKUP(D176,'G-6 Hedgerow Data'!$B$2:$AG$15,3,FALSE))</f>
        <v/>
      </c>
      <c r="H176" s="145"/>
      <c r="I176" s="499" t="str">
        <f>IFERROR(IF(AND(F176="V.Low",OR(H176="Good",H176="Moderate")),"Error ▲",VLOOKUP(H176,'G-1 All Habitats'!$Z$2:$AA$9,2,FALSE)),"")</f>
        <v/>
      </c>
      <c r="J176" s="154"/>
      <c r="K176" s="520" t="str">
        <f>IF(J176="","",IF(VLOOKUP(J176,'G-3 Multipliers'!$L$3:$N$6,2,FALSE)=0,"Spatial Data Missing ⚠",VLOOKUP(J176,'G-3 Multipliers'!$L$3:$N$6,2,FALSE)))</f>
        <v/>
      </c>
      <c r="L176" s="524" t="str">
        <f>IF(J176="","",IF(VLOOKUP(J176,'G-3 Multipliers'!$L$3:$N$6,3,FALSE)=0,"Spatial Data Missing ⚠",VLOOKUP(J176,'G-3 Multipliers'!$L$3:$N$6,3,FALSE)))</f>
        <v/>
      </c>
      <c r="M176" s="506" t="str">
        <f>IF(D176="","",VLOOKUP(D176,'G-6 Hedgerow Data'!$B$1:$AH$15,33,FALSE))</f>
        <v/>
      </c>
      <c r="N176" s="513" t="str">
        <f t="shared" si="16"/>
        <v/>
      </c>
      <c r="O176" s="40"/>
      <c r="P176" s="145"/>
      <c r="Q176" s="157"/>
      <c r="R176" s="507" t="str">
        <f t="shared" si="17"/>
        <v/>
      </c>
      <c r="S176" s="507" t="str">
        <f t="shared" si="18"/>
        <v/>
      </c>
      <c r="T176" s="511" t="str">
        <f t="shared" si="19"/>
        <v/>
      </c>
      <c r="U176" s="515"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8" x14ac:dyDescent="0.25">
      <c r="B177" s="141">
        <v>168</v>
      </c>
      <c r="C177" s="203"/>
      <c r="D177" s="203"/>
      <c r="E177" s="153"/>
      <c r="F177" s="498" t="str">
        <f>IF(D177="","",VLOOKUP(D177,'G-6 Hedgerow Data'!$B$2:$AG$15,2,FALSE))</f>
        <v/>
      </c>
      <c r="G177" s="499" t="str">
        <f>IF(D177="","",VLOOKUP(D177,'G-6 Hedgerow Data'!$B$2:$AG$15,3,FALSE))</f>
        <v/>
      </c>
      <c r="H177" s="145"/>
      <c r="I177" s="499" t="str">
        <f>IFERROR(IF(AND(F177="V.Low",OR(H177="Good",H177="Moderate")),"Error ▲",VLOOKUP(H177,'G-1 All Habitats'!$Z$2:$AA$9,2,FALSE)),"")</f>
        <v/>
      </c>
      <c r="J177" s="154"/>
      <c r="K177" s="520" t="str">
        <f>IF(J177="","",IF(VLOOKUP(J177,'G-3 Multipliers'!$L$3:$N$6,2,FALSE)=0,"Spatial Data Missing ⚠",VLOOKUP(J177,'G-3 Multipliers'!$L$3:$N$6,2,FALSE)))</f>
        <v/>
      </c>
      <c r="L177" s="524" t="str">
        <f>IF(J177="","",IF(VLOOKUP(J177,'G-3 Multipliers'!$L$3:$N$6,3,FALSE)=0,"Spatial Data Missing ⚠",VLOOKUP(J177,'G-3 Multipliers'!$L$3:$N$6,3,FALSE)))</f>
        <v/>
      </c>
      <c r="M177" s="506" t="str">
        <f>IF(D177="","",VLOOKUP(D177,'G-6 Hedgerow Data'!$B$1:$AH$15,33,FALSE))</f>
        <v/>
      </c>
      <c r="N177" s="513" t="str">
        <f t="shared" si="16"/>
        <v/>
      </c>
      <c r="O177" s="40"/>
      <c r="P177" s="145"/>
      <c r="Q177" s="157"/>
      <c r="R177" s="507" t="str">
        <f t="shared" si="17"/>
        <v/>
      </c>
      <c r="S177" s="507" t="str">
        <f t="shared" si="18"/>
        <v/>
      </c>
      <c r="T177" s="511" t="str">
        <f t="shared" si="19"/>
        <v/>
      </c>
      <c r="U177" s="515"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8" x14ac:dyDescent="0.25">
      <c r="B178" s="141">
        <v>169</v>
      </c>
      <c r="C178" s="203"/>
      <c r="D178" s="203"/>
      <c r="E178" s="153"/>
      <c r="F178" s="498" t="str">
        <f>IF(D178="","",VLOOKUP(D178,'G-6 Hedgerow Data'!$B$2:$AG$15,2,FALSE))</f>
        <v/>
      </c>
      <c r="G178" s="499" t="str">
        <f>IF(D178="","",VLOOKUP(D178,'G-6 Hedgerow Data'!$B$2:$AG$15,3,FALSE))</f>
        <v/>
      </c>
      <c r="H178" s="145"/>
      <c r="I178" s="499" t="str">
        <f>IFERROR(IF(AND(F178="V.Low",OR(H178="Good",H178="Moderate")),"Error ▲",VLOOKUP(H178,'G-1 All Habitats'!$Z$2:$AA$9,2,FALSE)),"")</f>
        <v/>
      </c>
      <c r="J178" s="154"/>
      <c r="K178" s="520" t="str">
        <f>IF(J178="","",IF(VLOOKUP(J178,'G-3 Multipliers'!$L$3:$N$6,2,FALSE)=0,"Spatial Data Missing ⚠",VLOOKUP(J178,'G-3 Multipliers'!$L$3:$N$6,2,FALSE)))</f>
        <v/>
      </c>
      <c r="L178" s="524" t="str">
        <f>IF(J178="","",IF(VLOOKUP(J178,'G-3 Multipliers'!$L$3:$N$6,3,FALSE)=0,"Spatial Data Missing ⚠",VLOOKUP(J178,'G-3 Multipliers'!$L$3:$N$6,3,FALSE)))</f>
        <v/>
      </c>
      <c r="M178" s="506" t="str">
        <f>IF(D178="","",VLOOKUP(D178,'G-6 Hedgerow Data'!$B$1:$AH$15,33,FALSE))</f>
        <v/>
      </c>
      <c r="N178" s="513" t="str">
        <f t="shared" si="16"/>
        <v/>
      </c>
      <c r="O178" s="40"/>
      <c r="P178" s="145"/>
      <c r="Q178" s="157"/>
      <c r="R178" s="507" t="str">
        <f t="shared" si="17"/>
        <v/>
      </c>
      <c r="S178" s="507" t="str">
        <f t="shared" si="18"/>
        <v/>
      </c>
      <c r="T178" s="511" t="str">
        <f t="shared" si="19"/>
        <v/>
      </c>
      <c r="U178" s="515"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8" x14ac:dyDescent="0.25">
      <c r="B179" s="141">
        <v>170</v>
      </c>
      <c r="C179" s="203"/>
      <c r="D179" s="203"/>
      <c r="E179" s="153"/>
      <c r="F179" s="498" t="str">
        <f>IF(D179="","",VLOOKUP(D179,'G-6 Hedgerow Data'!$B$2:$AG$15,2,FALSE))</f>
        <v/>
      </c>
      <c r="G179" s="499" t="str">
        <f>IF(D179="","",VLOOKUP(D179,'G-6 Hedgerow Data'!$B$2:$AG$15,3,FALSE))</f>
        <v/>
      </c>
      <c r="H179" s="145"/>
      <c r="I179" s="499" t="str">
        <f>IFERROR(IF(AND(F179="V.Low",OR(H179="Good",H179="Moderate")),"Error ▲",VLOOKUP(H179,'G-1 All Habitats'!$Z$2:$AA$9,2,FALSE)),"")</f>
        <v/>
      </c>
      <c r="J179" s="154"/>
      <c r="K179" s="520" t="str">
        <f>IF(J179="","",IF(VLOOKUP(J179,'G-3 Multipliers'!$L$3:$N$6,2,FALSE)=0,"Spatial Data Missing ⚠",VLOOKUP(J179,'G-3 Multipliers'!$L$3:$N$6,2,FALSE)))</f>
        <v/>
      </c>
      <c r="L179" s="524" t="str">
        <f>IF(J179="","",IF(VLOOKUP(J179,'G-3 Multipliers'!$L$3:$N$6,3,FALSE)=0,"Spatial Data Missing ⚠",VLOOKUP(J179,'G-3 Multipliers'!$L$3:$N$6,3,FALSE)))</f>
        <v/>
      </c>
      <c r="M179" s="506" t="str">
        <f>IF(D179="","",VLOOKUP(D179,'G-6 Hedgerow Data'!$B$1:$AH$15,33,FALSE))</f>
        <v/>
      </c>
      <c r="N179" s="513" t="str">
        <f t="shared" si="16"/>
        <v/>
      </c>
      <c r="O179" s="40"/>
      <c r="P179" s="145"/>
      <c r="Q179" s="157"/>
      <c r="R179" s="507" t="str">
        <f t="shared" si="17"/>
        <v/>
      </c>
      <c r="S179" s="507" t="str">
        <f t="shared" si="18"/>
        <v/>
      </c>
      <c r="T179" s="511" t="str">
        <f t="shared" si="19"/>
        <v/>
      </c>
      <c r="U179" s="515"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8" x14ac:dyDescent="0.25">
      <c r="B180" s="141">
        <v>171</v>
      </c>
      <c r="C180" s="203"/>
      <c r="D180" s="203"/>
      <c r="E180" s="153"/>
      <c r="F180" s="498" t="str">
        <f>IF(D180="","",VLOOKUP(D180,'G-6 Hedgerow Data'!$B$2:$AG$15,2,FALSE))</f>
        <v/>
      </c>
      <c r="G180" s="499" t="str">
        <f>IF(D180="","",VLOOKUP(D180,'G-6 Hedgerow Data'!$B$2:$AG$15,3,FALSE))</f>
        <v/>
      </c>
      <c r="H180" s="145"/>
      <c r="I180" s="499" t="str">
        <f>IFERROR(IF(AND(F180="V.Low",OR(H180="Good",H180="Moderate")),"Error ▲",VLOOKUP(H180,'G-1 All Habitats'!$Z$2:$AA$9,2,FALSE)),"")</f>
        <v/>
      </c>
      <c r="J180" s="154"/>
      <c r="K180" s="520" t="str">
        <f>IF(J180="","",IF(VLOOKUP(J180,'G-3 Multipliers'!$L$3:$N$6,2,FALSE)=0,"Spatial Data Missing ⚠",VLOOKUP(J180,'G-3 Multipliers'!$L$3:$N$6,2,FALSE)))</f>
        <v/>
      </c>
      <c r="L180" s="524" t="str">
        <f>IF(J180="","",IF(VLOOKUP(J180,'G-3 Multipliers'!$L$3:$N$6,3,FALSE)=0,"Spatial Data Missing ⚠",VLOOKUP(J180,'G-3 Multipliers'!$L$3:$N$6,3,FALSE)))</f>
        <v/>
      </c>
      <c r="M180" s="506" t="str">
        <f>IF(D180="","",VLOOKUP(D180,'G-6 Hedgerow Data'!$B$1:$AH$15,33,FALSE))</f>
        <v/>
      </c>
      <c r="N180" s="513" t="str">
        <f t="shared" si="16"/>
        <v/>
      </c>
      <c r="O180" s="40"/>
      <c r="P180" s="145"/>
      <c r="Q180" s="157"/>
      <c r="R180" s="507" t="str">
        <f t="shared" si="17"/>
        <v/>
      </c>
      <c r="S180" s="507" t="str">
        <f t="shared" si="18"/>
        <v/>
      </c>
      <c r="T180" s="511" t="str">
        <f t="shared" si="19"/>
        <v/>
      </c>
      <c r="U180" s="515"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8" x14ac:dyDescent="0.25">
      <c r="B181" s="141">
        <v>172</v>
      </c>
      <c r="C181" s="203"/>
      <c r="D181" s="203"/>
      <c r="E181" s="153"/>
      <c r="F181" s="498" t="str">
        <f>IF(D181="","",VLOOKUP(D181,'G-6 Hedgerow Data'!$B$2:$AG$15,2,FALSE))</f>
        <v/>
      </c>
      <c r="G181" s="499" t="str">
        <f>IF(D181="","",VLOOKUP(D181,'G-6 Hedgerow Data'!$B$2:$AG$15,3,FALSE))</f>
        <v/>
      </c>
      <c r="H181" s="145"/>
      <c r="I181" s="499" t="str">
        <f>IFERROR(IF(AND(F181="V.Low",OR(H181="Good",H181="Moderate")),"Error ▲",VLOOKUP(H181,'G-1 All Habitats'!$Z$2:$AA$9,2,FALSE)),"")</f>
        <v/>
      </c>
      <c r="J181" s="154"/>
      <c r="K181" s="520" t="str">
        <f>IF(J181="","",IF(VLOOKUP(J181,'G-3 Multipliers'!$L$3:$N$6,2,FALSE)=0,"Spatial Data Missing ⚠",VLOOKUP(J181,'G-3 Multipliers'!$L$3:$N$6,2,FALSE)))</f>
        <v/>
      </c>
      <c r="L181" s="524" t="str">
        <f>IF(J181="","",IF(VLOOKUP(J181,'G-3 Multipliers'!$L$3:$N$6,3,FALSE)=0,"Spatial Data Missing ⚠",VLOOKUP(J181,'G-3 Multipliers'!$L$3:$N$6,3,FALSE)))</f>
        <v/>
      </c>
      <c r="M181" s="506" t="str">
        <f>IF(D181="","",VLOOKUP(D181,'G-6 Hedgerow Data'!$B$1:$AH$15,33,FALSE))</f>
        <v/>
      </c>
      <c r="N181" s="513" t="str">
        <f t="shared" si="16"/>
        <v/>
      </c>
      <c r="O181" s="40"/>
      <c r="P181" s="145"/>
      <c r="Q181" s="157"/>
      <c r="R181" s="507" t="str">
        <f t="shared" si="17"/>
        <v/>
      </c>
      <c r="S181" s="507" t="str">
        <f t="shared" si="18"/>
        <v/>
      </c>
      <c r="T181" s="511" t="str">
        <f t="shared" si="19"/>
        <v/>
      </c>
      <c r="U181" s="515"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8" x14ac:dyDescent="0.25">
      <c r="B182" s="141">
        <v>173</v>
      </c>
      <c r="C182" s="203"/>
      <c r="D182" s="203"/>
      <c r="E182" s="153"/>
      <c r="F182" s="498" t="str">
        <f>IF(D182="","",VLOOKUP(D182,'G-6 Hedgerow Data'!$B$2:$AG$15,2,FALSE))</f>
        <v/>
      </c>
      <c r="G182" s="499" t="str">
        <f>IF(D182="","",VLOOKUP(D182,'G-6 Hedgerow Data'!$B$2:$AG$15,3,FALSE))</f>
        <v/>
      </c>
      <c r="H182" s="145"/>
      <c r="I182" s="499" t="str">
        <f>IFERROR(IF(AND(F182="V.Low",OR(H182="Good",H182="Moderate")),"Error ▲",VLOOKUP(H182,'G-1 All Habitats'!$Z$2:$AA$9,2,FALSE)),"")</f>
        <v/>
      </c>
      <c r="J182" s="154"/>
      <c r="K182" s="520" t="str">
        <f>IF(J182="","",IF(VLOOKUP(J182,'G-3 Multipliers'!$L$3:$N$6,2,FALSE)=0,"Spatial Data Missing ⚠",VLOOKUP(J182,'G-3 Multipliers'!$L$3:$N$6,2,FALSE)))</f>
        <v/>
      </c>
      <c r="L182" s="524" t="str">
        <f>IF(J182="","",IF(VLOOKUP(J182,'G-3 Multipliers'!$L$3:$N$6,3,FALSE)=0,"Spatial Data Missing ⚠",VLOOKUP(J182,'G-3 Multipliers'!$L$3:$N$6,3,FALSE)))</f>
        <v/>
      </c>
      <c r="M182" s="506" t="str">
        <f>IF(D182="","",VLOOKUP(D182,'G-6 Hedgerow Data'!$B$1:$AH$15,33,FALSE))</f>
        <v/>
      </c>
      <c r="N182" s="513" t="str">
        <f t="shared" si="16"/>
        <v/>
      </c>
      <c r="O182" s="40"/>
      <c r="P182" s="145"/>
      <c r="Q182" s="157"/>
      <c r="R182" s="507" t="str">
        <f t="shared" si="17"/>
        <v/>
      </c>
      <c r="S182" s="507" t="str">
        <f t="shared" si="18"/>
        <v/>
      </c>
      <c r="T182" s="511" t="str">
        <f t="shared" si="19"/>
        <v/>
      </c>
      <c r="U182" s="515"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8" x14ac:dyDescent="0.25">
      <c r="B183" s="141">
        <v>174</v>
      </c>
      <c r="C183" s="203"/>
      <c r="D183" s="203"/>
      <c r="E183" s="153"/>
      <c r="F183" s="498" t="str">
        <f>IF(D183="","",VLOOKUP(D183,'G-6 Hedgerow Data'!$B$2:$AG$15,2,FALSE))</f>
        <v/>
      </c>
      <c r="G183" s="499" t="str">
        <f>IF(D183="","",VLOOKUP(D183,'G-6 Hedgerow Data'!$B$2:$AG$15,3,FALSE))</f>
        <v/>
      </c>
      <c r="H183" s="145"/>
      <c r="I183" s="499" t="str">
        <f>IFERROR(IF(AND(F183="V.Low",OR(H183="Good",H183="Moderate")),"Error ▲",VLOOKUP(H183,'G-1 All Habitats'!$Z$2:$AA$9,2,FALSE)),"")</f>
        <v/>
      </c>
      <c r="J183" s="154"/>
      <c r="K183" s="520" t="str">
        <f>IF(J183="","",IF(VLOOKUP(J183,'G-3 Multipliers'!$L$3:$N$6,2,FALSE)=0,"Spatial Data Missing ⚠",VLOOKUP(J183,'G-3 Multipliers'!$L$3:$N$6,2,FALSE)))</f>
        <v/>
      </c>
      <c r="L183" s="524" t="str">
        <f>IF(J183="","",IF(VLOOKUP(J183,'G-3 Multipliers'!$L$3:$N$6,3,FALSE)=0,"Spatial Data Missing ⚠",VLOOKUP(J183,'G-3 Multipliers'!$L$3:$N$6,3,FALSE)))</f>
        <v/>
      </c>
      <c r="M183" s="506" t="str">
        <f>IF(D183="","",VLOOKUP(D183,'G-6 Hedgerow Data'!$B$1:$AH$15,33,FALSE))</f>
        <v/>
      </c>
      <c r="N183" s="513" t="str">
        <f t="shared" si="16"/>
        <v/>
      </c>
      <c r="O183" s="40"/>
      <c r="P183" s="145"/>
      <c r="Q183" s="157"/>
      <c r="R183" s="507" t="str">
        <f t="shared" si="17"/>
        <v/>
      </c>
      <c r="S183" s="507" t="str">
        <f t="shared" si="18"/>
        <v/>
      </c>
      <c r="T183" s="511" t="str">
        <f t="shared" si="19"/>
        <v/>
      </c>
      <c r="U183" s="515"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8" x14ac:dyDescent="0.25">
      <c r="B184" s="141">
        <v>175</v>
      </c>
      <c r="C184" s="203"/>
      <c r="D184" s="203"/>
      <c r="E184" s="153"/>
      <c r="F184" s="498" t="str">
        <f>IF(D184="","",VLOOKUP(D184,'G-6 Hedgerow Data'!$B$2:$AG$15,2,FALSE))</f>
        <v/>
      </c>
      <c r="G184" s="499" t="str">
        <f>IF(D184="","",VLOOKUP(D184,'G-6 Hedgerow Data'!$B$2:$AG$15,3,FALSE))</f>
        <v/>
      </c>
      <c r="H184" s="145"/>
      <c r="I184" s="499" t="str">
        <f>IFERROR(IF(AND(F184="V.Low",OR(H184="Good",H184="Moderate")),"Error ▲",VLOOKUP(H184,'G-1 All Habitats'!$Z$2:$AA$9,2,FALSE)),"")</f>
        <v/>
      </c>
      <c r="J184" s="154"/>
      <c r="K184" s="520" t="str">
        <f>IF(J184="","",IF(VLOOKUP(J184,'G-3 Multipliers'!$L$3:$N$6,2,FALSE)=0,"Spatial Data Missing ⚠",VLOOKUP(J184,'G-3 Multipliers'!$L$3:$N$6,2,FALSE)))</f>
        <v/>
      </c>
      <c r="L184" s="524" t="str">
        <f>IF(J184="","",IF(VLOOKUP(J184,'G-3 Multipliers'!$L$3:$N$6,3,FALSE)=0,"Spatial Data Missing ⚠",VLOOKUP(J184,'G-3 Multipliers'!$L$3:$N$6,3,FALSE)))</f>
        <v/>
      </c>
      <c r="M184" s="506" t="str">
        <f>IF(D184="","",VLOOKUP(D184,'G-6 Hedgerow Data'!$B$1:$AH$15,33,FALSE))</f>
        <v/>
      </c>
      <c r="N184" s="513" t="str">
        <f t="shared" si="16"/>
        <v/>
      </c>
      <c r="O184" s="40"/>
      <c r="P184" s="145"/>
      <c r="Q184" s="157"/>
      <c r="R184" s="507" t="str">
        <f t="shared" si="17"/>
        <v/>
      </c>
      <c r="S184" s="507" t="str">
        <f t="shared" si="18"/>
        <v/>
      </c>
      <c r="T184" s="511" t="str">
        <f t="shared" si="19"/>
        <v/>
      </c>
      <c r="U184" s="515"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8" x14ac:dyDescent="0.25">
      <c r="B185" s="141">
        <v>176</v>
      </c>
      <c r="C185" s="203"/>
      <c r="D185" s="203"/>
      <c r="E185" s="153"/>
      <c r="F185" s="498" t="str">
        <f>IF(D185="","",VLOOKUP(D185,'G-6 Hedgerow Data'!$B$2:$AG$15,2,FALSE))</f>
        <v/>
      </c>
      <c r="G185" s="499" t="str">
        <f>IF(D185="","",VLOOKUP(D185,'G-6 Hedgerow Data'!$B$2:$AG$15,3,FALSE))</f>
        <v/>
      </c>
      <c r="H185" s="145"/>
      <c r="I185" s="499" t="str">
        <f>IFERROR(IF(AND(F185="V.Low",OR(H185="Good",H185="Moderate")),"Error ▲",VLOOKUP(H185,'G-1 All Habitats'!$Z$2:$AA$9,2,FALSE)),"")</f>
        <v/>
      </c>
      <c r="J185" s="154"/>
      <c r="K185" s="520" t="str">
        <f>IF(J185="","",IF(VLOOKUP(J185,'G-3 Multipliers'!$L$3:$N$6,2,FALSE)=0,"Spatial Data Missing ⚠",VLOOKUP(J185,'G-3 Multipliers'!$L$3:$N$6,2,FALSE)))</f>
        <v/>
      </c>
      <c r="L185" s="524" t="str">
        <f>IF(J185="","",IF(VLOOKUP(J185,'G-3 Multipliers'!$L$3:$N$6,3,FALSE)=0,"Spatial Data Missing ⚠",VLOOKUP(J185,'G-3 Multipliers'!$L$3:$N$6,3,FALSE)))</f>
        <v/>
      </c>
      <c r="M185" s="506" t="str">
        <f>IF(D185="","",VLOOKUP(D185,'G-6 Hedgerow Data'!$B$1:$AH$15,33,FALSE))</f>
        <v/>
      </c>
      <c r="N185" s="513" t="str">
        <f t="shared" si="16"/>
        <v/>
      </c>
      <c r="O185" s="40"/>
      <c r="P185" s="145"/>
      <c r="Q185" s="157"/>
      <c r="R185" s="507" t="str">
        <f t="shared" si="17"/>
        <v/>
      </c>
      <c r="S185" s="507" t="str">
        <f t="shared" si="18"/>
        <v/>
      </c>
      <c r="T185" s="511" t="str">
        <f t="shared" si="19"/>
        <v/>
      </c>
      <c r="U185" s="515"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8" x14ac:dyDescent="0.25">
      <c r="B186" s="141">
        <v>177</v>
      </c>
      <c r="C186" s="203"/>
      <c r="D186" s="203"/>
      <c r="E186" s="153"/>
      <c r="F186" s="498" t="str">
        <f>IF(D186="","",VLOOKUP(D186,'G-6 Hedgerow Data'!$B$2:$AG$15,2,FALSE))</f>
        <v/>
      </c>
      <c r="G186" s="499" t="str">
        <f>IF(D186="","",VLOOKUP(D186,'G-6 Hedgerow Data'!$B$2:$AG$15,3,FALSE))</f>
        <v/>
      </c>
      <c r="H186" s="145"/>
      <c r="I186" s="499" t="str">
        <f>IFERROR(IF(AND(F186="V.Low",OR(H186="Good",H186="Moderate")),"Error ▲",VLOOKUP(H186,'G-1 All Habitats'!$Z$2:$AA$9,2,FALSE)),"")</f>
        <v/>
      </c>
      <c r="J186" s="154"/>
      <c r="K186" s="520" t="str">
        <f>IF(J186="","",IF(VLOOKUP(J186,'G-3 Multipliers'!$L$3:$N$6,2,FALSE)=0,"Spatial Data Missing ⚠",VLOOKUP(J186,'G-3 Multipliers'!$L$3:$N$6,2,FALSE)))</f>
        <v/>
      </c>
      <c r="L186" s="524" t="str">
        <f>IF(J186="","",IF(VLOOKUP(J186,'G-3 Multipliers'!$L$3:$N$6,3,FALSE)=0,"Spatial Data Missing ⚠",VLOOKUP(J186,'G-3 Multipliers'!$L$3:$N$6,3,FALSE)))</f>
        <v/>
      </c>
      <c r="M186" s="506" t="str">
        <f>IF(D186="","",VLOOKUP(D186,'G-6 Hedgerow Data'!$B$1:$AH$15,33,FALSE))</f>
        <v/>
      </c>
      <c r="N186" s="513" t="str">
        <f t="shared" si="16"/>
        <v/>
      </c>
      <c r="O186" s="40"/>
      <c r="P186" s="145"/>
      <c r="Q186" s="157"/>
      <c r="R186" s="507" t="str">
        <f t="shared" si="17"/>
        <v/>
      </c>
      <c r="S186" s="507" t="str">
        <f t="shared" si="18"/>
        <v/>
      </c>
      <c r="T186" s="511" t="str">
        <f t="shared" si="19"/>
        <v/>
      </c>
      <c r="U186" s="515"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8" x14ac:dyDescent="0.25">
      <c r="B187" s="141">
        <v>178</v>
      </c>
      <c r="C187" s="203"/>
      <c r="D187" s="203"/>
      <c r="E187" s="153"/>
      <c r="F187" s="498" t="str">
        <f>IF(D187="","",VLOOKUP(D187,'G-6 Hedgerow Data'!$B$2:$AG$15,2,FALSE))</f>
        <v/>
      </c>
      <c r="G187" s="499" t="str">
        <f>IF(D187="","",VLOOKUP(D187,'G-6 Hedgerow Data'!$B$2:$AG$15,3,FALSE))</f>
        <v/>
      </c>
      <c r="H187" s="145"/>
      <c r="I187" s="499" t="str">
        <f>IFERROR(IF(AND(F187="V.Low",OR(H187="Good",H187="Moderate")),"Error ▲",VLOOKUP(H187,'G-1 All Habitats'!$Z$2:$AA$9,2,FALSE)),"")</f>
        <v/>
      </c>
      <c r="J187" s="154"/>
      <c r="K187" s="520" t="str">
        <f>IF(J187="","",IF(VLOOKUP(J187,'G-3 Multipliers'!$L$3:$N$6,2,FALSE)=0,"Spatial Data Missing ⚠",VLOOKUP(J187,'G-3 Multipliers'!$L$3:$N$6,2,FALSE)))</f>
        <v/>
      </c>
      <c r="L187" s="524" t="str">
        <f>IF(J187="","",IF(VLOOKUP(J187,'G-3 Multipliers'!$L$3:$N$6,3,FALSE)=0,"Spatial Data Missing ⚠",VLOOKUP(J187,'G-3 Multipliers'!$L$3:$N$6,3,FALSE)))</f>
        <v/>
      </c>
      <c r="M187" s="506" t="str">
        <f>IF(D187="","",VLOOKUP(D187,'G-6 Hedgerow Data'!$B$1:$AH$15,33,FALSE))</f>
        <v/>
      </c>
      <c r="N187" s="513" t="str">
        <f t="shared" si="16"/>
        <v/>
      </c>
      <c r="O187" s="40"/>
      <c r="P187" s="145"/>
      <c r="Q187" s="157"/>
      <c r="R187" s="507" t="str">
        <f t="shared" si="17"/>
        <v/>
      </c>
      <c r="S187" s="507" t="str">
        <f t="shared" si="18"/>
        <v/>
      </c>
      <c r="T187" s="511" t="str">
        <f t="shared" si="19"/>
        <v/>
      </c>
      <c r="U187" s="515"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8" x14ac:dyDescent="0.25">
      <c r="B188" s="141">
        <v>179</v>
      </c>
      <c r="C188" s="203"/>
      <c r="D188" s="203"/>
      <c r="E188" s="153"/>
      <c r="F188" s="498" t="str">
        <f>IF(D188="","",VLOOKUP(D188,'G-6 Hedgerow Data'!$B$2:$AG$15,2,FALSE))</f>
        <v/>
      </c>
      <c r="G188" s="499" t="str">
        <f>IF(D188="","",VLOOKUP(D188,'G-6 Hedgerow Data'!$B$2:$AG$15,3,FALSE))</f>
        <v/>
      </c>
      <c r="H188" s="145"/>
      <c r="I188" s="499" t="str">
        <f>IFERROR(IF(AND(F188="V.Low",OR(H188="Good",H188="Moderate")),"Error ▲",VLOOKUP(H188,'G-1 All Habitats'!$Z$2:$AA$9,2,FALSE)),"")</f>
        <v/>
      </c>
      <c r="J188" s="154"/>
      <c r="K188" s="520" t="str">
        <f>IF(J188="","",IF(VLOOKUP(J188,'G-3 Multipliers'!$L$3:$N$6,2,FALSE)=0,"Spatial Data Missing ⚠",VLOOKUP(J188,'G-3 Multipliers'!$L$3:$N$6,2,FALSE)))</f>
        <v/>
      </c>
      <c r="L188" s="524" t="str">
        <f>IF(J188="","",IF(VLOOKUP(J188,'G-3 Multipliers'!$L$3:$N$6,3,FALSE)=0,"Spatial Data Missing ⚠",VLOOKUP(J188,'G-3 Multipliers'!$L$3:$N$6,3,FALSE)))</f>
        <v/>
      </c>
      <c r="M188" s="506" t="str">
        <f>IF(D188="","",VLOOKUP(D188,'G-6 Hedgerow Data'!$B$1:$AH$15,33,FALSE))</f>
        <v/>
      </c>
      <c r="N188" s="513" t="str">
        <f t="shared" si="16"/>
        <v/>
      </c>
      <c r="O188" s="40"/>
      <c r="P188" s="145"/>
      <c r="Q188" s="157"/>
      <c r="R188" s="507" t="str">
        <f t="shared" si="17"/>
        <v/>
      </c>
      <c r="S188" s="507" t="str">
        <f t="shared" si="18"/>
        <v/>
      </c>
      <c r="T188" s="511" t="str">
        <f t="shared" si="19"/>
        <v/>
      </c>
      <c r="U188" s="515"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8" x14ac:dyDescent="0.25">
      <c r="B189" s="141">
        <v>180</v>
      </c>
      <c r="C189" s="203"/>
      <c r="D189" s="203"/>
      <c r="E189" s="153"/>
      <c r="F189" s="498" t="str">
        <f>IF(D189="","",VLOOKUP(D189,'G-6 Hedgerow Data'!$B$2:$AG$15,2,FALSE))</f>
        <v/>
      </c>
      <c r="G189" s="499" t="str">
        <f>IF(D189="","",VLOOKUP(D189,'G-6 Hedgerow Data'!$B$2:$AG$15,3,FALSE))</f>
        <v/>
      </c>
      <c r="H189" s="145"/>
      <c r="I189" s="499" t="str">
        <f>IFERROR(IF(AND(F189="V.Low",OR(H189="Good",H189="Moderate")),"Error ▲",VLOOKUP(H189,'G-1 All Habitats'!$Z$2:$AA$9,2,FALSE)),"")</f>
        <v/>
      </c>
      <c r="J189" s="154"/>
      <c r="K189" s="520" t="str">
        <f>IF(J189="","",IF(VLOOKUP(J189,'G-3 Multipliers'!$L$3:$N$6,2,FALSE)=0,"Spatial Data Missing ⚠",VLOOKUP(J189,'G-3 Multipliers'!$L$3:$N$6,2,FALSE)))</f>
        <v/>
      </c>
      <c r="L189" s="524" t="str">
        <f>IF(J189="","",IF(VLOOKUP(J189,'G-3 Multipliers'!$L$3:$N$6,3,FALSE)=0,"Spatial Data Missing ⚠",VLOOKUP(J189,'G-3 Multipliers'!$L$3:$N$6,3,FALSE)))</f>
        <v/>
      </c>
      <c r="M189" s="506" t="str">
        <f>IF(D189="","",VLOOKUP(D189,'G-6 Hedgerow Data'!$B$1:$AH$15,33,FALSE))</f>
        <v/>
      </c>
      <c r="N189" s="513" t="str">
        <f t="shared" si="16"/>
        <v/>
      </c>
      <c r="O189" s="40"/>
      <c r="P189" s="145"/>
      <c r="Q189" s="157"/>
      <c r="R189" s="507" t="str">
        <f t="shared" si="17"/>
        <v/>
      </c>
      <c r="S189" s="507" t="str">
        <f t="shared" si="18"/>
        <v/>
      </c>
      <c r="T189" s="511" t="str">
        <f t="shared" si="19"/>
        <v/>
      </c>
      <c r="U189" s="515"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8" x14ac:dyDescent="0.25">
      <c r="B190" s="141">
        <v>181</v>
      </c>
      <c r="C190" s="203"/>
      <c r="D190" s="203"/>
      <c r="E190" s="153"/>
      <c r="F190" s="498" t="str">
        <f>IF(D190="","",VLOOKUP(D190,'G-6 Hedgerow Data'!$B$2:$AG$15,2,FALSE))</f>
        <v/>
      </c>
      <c r="G190" s="499" t="str">
        <f>IF(D190="","",VLOOKUP(D190,'G-6 Hedgerow Data'!$B$2:$AG$15,3,FALSE))</f>
        <v/>
      </c>
      <c r="H190" s="145"/>
      <c r="I190" s="499" t="str">
        <f>IFERROR(IF(AND(F190="V.Low",OR(H190="Good",H190="Moderate")),"Error ▲",VLOOKUP(H190,'G-1 All Habitats'!$Z$2:$AA$9,2,FALSE)),"")</f>
        <v/>
      </c>
      <c r="J190" s="154"/>
      <c r="K190" s="520" t="str">
        <f>IF(J190="","",IF(VLOOKUP(J190,'G-3 Multipliers'!$L$3:$N$6,2,FALSE)=0,"Spatial Data Missing ⚠",VLOOKUP(J190,'G-3 Multipliers'!$L$3:$N$6,2,FALSE)))</f>
        <v/>
      </c>
      <c r="L190" s="524" t="str">
        <f>IF(J190="","",IF(VLOOKUP(J190,'G-3 Multipliers'!$L$3:$N$6,3,FALSE)=0,"Spatial Data Missing ⚠",VLOOKUP(J190,'G-3 Multipliers'!$L$3:$N$6,3,FALSE)))</f>
        <v/>
      </c>
      <c r="M190" s="506" t="str">
        <f>IF(D190="","",VLOOKUP(D190,'G-6 Hedgerow Data'!$B$1:$AH$15,33,FALSE))</f>
        <v/>
      </c>
      <c r="N190" s="513" t="str">
        <f t="shared" si="16"/>
        <v/>
      </c>
      <c r="O190" s="40"/>
      <c r="P190" s="145"/>
      <c r="Q190" s="157"/>
      <c r="R190" s="507" t="str">
        <f t="shared" si="17"/>
        <v/>
      </c>
      <c r="S190" s="507" t="str">
        <f t="shared" si="18"/>
        <v/>
      </c>
      <c r="T190" s="511" t="str">
        <f t="shared" si="19"/>
        <v/>
      </c>
      <c r="U190" s="515"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8" x14ac:dyDescent="0.25">
      <c r="B191" s="141">
        <v>182</v>
      </c>
      <c r="C191" s="203"/>
      <c r="D191" s="203"/>
      <c r="E191" s="153"/>
      <c r="F191" s="498" t="str">
        <f>IF(D191="","",VLOOKUP(D191,'G-6 Hedgerow Data'!$B$2:$AG$15,2,FALSE))</f>
        <v/>
      </c>
      <c r="G191" s="499" t="str">
        <f>IF(D191="","",VLOOKUP(D191,'G-6 Hedgerow Data'!$B$2:$AG$15,3,FALSE))</f>
        <v/>
      </c>
      <c r="H191" s="145"/>
      <c r="I191" s="499" t="str">
        <f>IFERROR(IF(AND(F191="V.Low",OR(H191="Good",H191="Moderate")),"Error ▲",VLOOKUP(H191,'G-1 All Habitats'!$Z$2:$AA$9,2,FALSE)),"")</f>
        <v/>
      </c>
      <c r="J191" s="154"/>
      <c r="K191" s="520" t="str">
        <f>IF(J191="","",IF(VLOOKUP(J191,'G-3 Multipliers'!$L$3:$N$6,2,FALSE)=0,"Spatial Data Missing ⚠",VLOOKUP(J191,'G-3 Multipliers'!$L$3:$N$6,2,FALSE)))</f>
        <v/>
      </c>
      <c r="L191" s="524" t="str">
        <f>IF(J191="","",IF(VLOOKUP(J191,'G-3 Multipliers'!$L$3:$N$6,3,FALSE)=0,"Spatial Data Missing ⚠",VLOOKUP(J191,'G-3 Multipliers'!$L$3:$N$6,3,FALSE)))</f>
        <v/>
      </c>
      <c r="M191" s="506" t="str">
        <f>IF(D191="","",VLOOKUP(D191,'G-6 Hedgerow Data'!$B$1:$AH$15,33,FALSE))</f>
        <v/>
      </c>
      <c r="N191" s="513" t="str">
        <f t="shared" si="16"/>
        <v/>
      </c>
      <c r="O191" s="40"/>
      <c r="P191" s="145"/>
      <c r="Q191" s="157"/>
      <c r="R191" s="507" t="str">
        <f t="shared" si="17"/>
        <v/>
      </c>
      <c r="S191" s="507" t="str">
        <f t="shared" si="18"/>
        <v/>
      </c>
      <c r="T191" s="511" t="str">
        <f t="shared" si="19"/>
        <v/>
      </c>
      <c r="U191" s="515"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8" x14ac:dyDescent="0.25">
      <c r="B192" s="141">
        <v>183</v>
      </c>
      <c r="C192" s="203"/>
      <c r="D192" s="203"/>
      <c r="E192" s="153"/>
      <c r="F192" s="498" t="str">
        <f>IF(D192="","",VLOOKUP(D192,'G-6 Hedgerow Data'!$B$2:$AG$15,2,FALSE))</f>
        <v/>
      </c>
      <c r="G192" s="499" t="str">
        <f>IF(D192="","",VLOOKUP(D192,'G-6 Hedgerow Data'!$B$2:$AG$15,3,FALSE))</f>
        <v/>
      </c>
      <c r="H192" s="145"/>
      <c r="I192" s="499" t="str">
        <f>IFERROR(IF(AND(F192="V.Low",OR(H192="Good",H192="Moderate")),"Error ▲",VLOOKUP(H192,'G-1 All Habitats'!$Z$2:$AA$9,2,FALSE)),"")</f>
        <v/>
      </c>
      <c r="J192" s="154"/>
      <c r="K192" s="520" t="str">
        <f>IF(J192="","",IF(VLOOKUP(J192,'G-3 Multipliers'!$L$3:$N$6,2,FALSE)=0,"Spatial Data Missing ⚠",VLOOKUP(J192,'G-3 Multipliers'!$L$3:$N$6,2,FALSE)))</f>
        <v/>
      </c>
      <c r="L192" s="524" t="str">
        <f>IF(J192="","",IF(VLOOKUP(J192,'G-3 Multipliers'!$L$3:$N$6,3,FALSE)=0,"Spatial Data Missing ⚠",VLOOKUP(J192,'G-3 Multipliers'!$L$3:$N$6,3,FALSE)))</f>
        <v/>
      </c>
      <c r="M192" s="506" t="str">
        <f>IF(D192="","",VLOOKUP(D192,'G-6 Hedgerow Data'!$B$1:$AH$15,33,FALSE))</f>
        <v/>
      </c>
      <c r="N192" s="513" t="str">
        <f t="shared" si="16"/>
        <v/>
      </c>
      <c r="O192" s="40"/>
      <c r="P192" s="145"/>
      <c r="Q192" s="157"/>
      <c r="R192" s="507" t="str">
        <f t="shared" si="17"/>
        <v/>
      </c>
      <c r="S192" s="507" t="str">
        <f t="shared" si="18"/>
        <v/>
      </c>
      <c r="T192" s="511" t="str">
        <f t="shared" si="19"/>
        <v/>
      </c>
      <c r="U192" s="515"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8" x14ac:dyDescent="0.25">
      <c r="B193" s="141">
        <v>184</v>
      </c>
      <c r="C193" s="203"/>
      <c r="D193" s="203"/>
      <c r="E193" s="153"/>
      <c r="F193" s="498" t="str">
        <f>IF(D193="","",VLOOKUP(D193,'G-6 Hedgerow Data'!$B$2:$AG$15,2,FALSE))</f>
        <v/>
      </c>
      <c r="G193" s="499" t="str">
        <f>IF(D193="","",VLOOKUP(D193,'G-6 Hedgerow Data'!$B$2:$AG$15,3,FALSE))</f>
        <v/>
      </c>
      <c r="H193" s="145"/>
      <c r="I193" s="499" t="str">
        <f>IFERROR(IF(AND(F193="V.Low",OR(H193="Good",H193="Moderate")),"Error ▲",VLOOKUP(H193,'G-1 All Habitats'!$Z$2:$AA$9,2,FALSE)),"")</f>
        <v/>
      </c>
      <c r="J193" s="154"/>
      <c r="K193" s="520" t="str">
        <f>IF(J193="","",IF(VLOOKUP(J193,'G-3 Multipliers'!$L$3:$N$6,2,FALSE)=0,"Spatial Data Missing ⚠",VLOOKUP(J193,'G-3 Multipliers'!$L$3:$N$6,2,FALSE)))</f>
        <v/>
      </c>
      <c r="L193" s="524" t="str">
        <f>IF(J193="","",IF(VLOOKUP(J193,'G-3 Multipliers'!$L$3:$N$6,3,FALSE)=0,"Spatial Data Missing ⚠",VLOOKUP(J193,'G-3 Multipliers'!$L$3:$N$6,3,FALSE)))</f>
        <v/>
      </c>
      <c r="M193" s="506" t="str">
        <f>IF(D193="","",VLOOKUP(D193,'G-6 Hedgerow Data'!$B$1:$AH$15,33,FALSE))</f>
        <v/>
      </c>
      <c r="N193" s="513" t="str">
        <f t="shared" si="16"/>
        <v/>
      </c>
      <c r="O193" s="40"/>
      <c r="P193" s="145"/>
      <c r="Q193" s="157"/>
      <c r="R193" s="507" t="str">
        <f t="shared" si="17"/>
        <v/>
      </c>
      <c r="S193" s="507" t="str">
        <f t="shared" si="18"/>
        <v/>
      </c>
      <c r="T193" s="511" t="str">
        <f t="shared" si="19"/>
        <v/>
      </c>
      <c r="U193" s="515"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8" x14ac:dyDescent="0.25">
      <c r="B194" s="141">
        <v>185</v>
      </c>
      <c r="C194" s="203"/>
      <c r="D194" s="203"/>
      <c r="E194" s="153"/>
      <c r="F194" s="498" t="str">
        <f>IF(D194="","",VLOOKUP(D194,'G-6 Hedgerow Data'!$B$2:$AG$15,2,FALSE))</f>
        <v/>
      </c>
      <c r="G194" s="499" t="str">
        <f>IF(D194="","",VLOOKUP(D194,'G-6 Hedgerow Data'!$B$2:$AG$15,3,FALSE))</f>
        <v/>
      </c>
      <c r="H194" s="145"/>
      <c r="I194" s="499" t="str">
        <f>IFERROR(IF(AND(F194="V.Low",OR(H194="Good",H194="Moderate")),"Error ▲",VLOOKUP(H194,'G-1 All Habitats'!$Z$2:$AA$9,2,FALSE)),"")</f>
        <v/>
      </c>
      <c r="J194" s="154"/>
      <c r="K194" s="520" t="str">
        <f>IF(J194="","",IF(VLOOKUP(J194,'G-3 Multipliers'!$L$3:$N$6,2,FALSE)=0,"Spatial Data Missing ⚠",VLOOKUP(J194,'G-3 Multipliers'!$L$3:$N$6,2,FALSE)))</f>
        <v/>
      </c>
      <c r="L194" s="524" t="str">
        <f>IF(J194="","",IF(VLOOKUP(J194,'G-3 Multipliers'!$L$3:$N$6,3,FALSE)=0,"Spatial Data Missing ⚠",VLOOKUP(J194,'G-3 Multipliers'!$L$3:$N$6,3,FALSE)))</f>
        <v/>
      </c>
      <c r="M194" s="506" t="str">
        <f>IF(D194="","",VLOOKUP(D194,'G-6 Hedgerow Data'!$B$1:$AH$15,33,FALSE))</f>
        <v/>
      </c>
      <c r="N194" s="513" t="str">
        <f t="shared" si="16"/>
        <v/>
      </c>
      <c r="O194" s="40"/>
      <c r="P194" s="145"/>
      <c r="Q194" s="157"/>
      <c r="R194" s="507" t="str">
        <f t="shared" si="17"/>
        <v/>
      </c>
      <c r="S194" s="507" t="str">
        <f t="shared" si="18"/>
        <v/>
      </c>
      <c r="T194" s="511" t="str">
        <f t="shared" si="19"/>
        <v/>
      </c>
      <c r="U194" s="515"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8" x14ac:dyDescent="0.25">
      <c r="B195" s="141">
        <v>186</v>
      </c>
      <c r="C195" s="203"/>
      <c r="D195" s="203"/>
      <c r="E195" s="153"/>
      <c r="F195" s="498" t="str">
        <f>IF(D195="","",VLOOKUP(D195,'G-6 Hedgerow Data'!$B$2:$AG$15,2,FALSE))</f>
        <v/>
      </c>
      <c r="G195" s="499" t="str">
        <f>IF(D195="","",VLOOKUP(D195,'G-6 Hedgerow Data'!$B$2:$AG$15,3,FALSE))</f>
        <v/>
      </c>
      <c r="H195" s="145"/>
      <c r="I195" s="499" t="str">
        <f>IFERROR(IF(AND(F195="V.Low",OR(H195="Good",H195="Moderate")),"Error ▲",VLOOKUP(H195,'G-1 All Habitats'!$Z$2:$AA$9,2,FALSE)),"")</f>
        <v/>
      </c>
      <c r="J195" s="154"/>
      <c r="K195" s="520" t="str">
        <f>IF(J195="","",IF(VLOOKUP(J195,'G-3 Multipliers'!$L$3:$N$6,2,FALSE)=0,"Spatial Data Missing ⚠",VLOOKUP(J195,'G-3 Multipliers'!$L$3:$N$6,2,FALSE)))</f>
        <v/>
      </c>
      <c r="L195" s="524" t="str">
        <f>IF(J195="","",IF(VLOOKUP(J195,'G-3 Multipliers'!$L$3:$N$6,3,FALSE)=0,"Spatial Data Missing ⚠",VLOOKUP(J195,'G-3 Multipliers'!$L$3:$N$6,3,FALSE)))</f>
        <v/>
      </c>
      <c r="M195" s="506" t="str">
        <f>IF(D195="","",VLOOKUP(D195,'G-6 Hedgerow Data'!$B$1:$AH$15,33,FALSE))</f>
        <v/>
      </c>
      <c r="N195" s="513" t="str">
        <f t="shared" si="16"/>
        <v/>
      </c>
      <c r="O195" s="40"/>
      <c r="P195" s="145"/>
      <c r="Q195" s="157"/>
      <c r="R195" s="507" t="str">
        <f t="shared" si="17"/>
        <v/>
      </c>
      <c r="S195" s="507" t="str">
        <f t="shared" si="18"/>
        <v/>
      </c>
      <c r="T195" s="511" t="str">
        <f t="shared" si="19"/>
        <v/>
      </c>
      <c r="U195" s="515"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8" x14ac:dyDescent="0.25">
      <c r="B196" s="141">
        <v>187</v>
      </c>
      <c r="C196" s="203"/>
      <c r="D196" s="203"/>
      <c r="E196" s="153"/>
      <c r="F196" s="498" t="str">
        <f>IF(D196="","",VLOOKUP(D196,'G-6 Hedgerow Data'!$B$2:$AG$15,2,FALSE))</f>
        <v/>
      </c>
      <c r="G196" s="499" t="str">
        <f>IF(D196="","",VLOOKUP(D196,'G-6 Hedgerow Data'!$B$2:$AG$15,3,FALSE))</f>
        <v/>
      </c>
      <c r="H196" s="145"/>
      <c r="I196" s="499" t="str">
        <f>IFERROR(IF(AND(F196="V.Low",OR(H196="Good",H196="Moderate")),"Error ▲",VLOOKUP(H196,'G-1 All Habitats'!$Z$2:$AA$9,2,FALSE)),"")</f>
        <v/>
      </c>
      <c r="J196" s="154"/>
      <c r="K196" s="520" t="str">
        <f>IF(J196="","",IF(VLOOKUP(J196,'G-3 Multipliers'!$L$3:$N$6,2,FALSE)=0,"Spatial Data Missing ⚠",VLOOKUP(J196,'G-3 Multipliers'!$L$3:$N$6,2,FALSE)))</f>
        <v/>
      </c>
      <c r="L196" s="524" t="str">
        <f>IF(J196="","",IF(VLOOKUP(J196,'G-3 Multipliers'!$L$3:$N$6,3,FALSE)=0,"Spatial Data Missing ⚠",VLOOKUP(J196,'G-3 Multipliers'!$L$3:$N$6,3,FALSE)))</f>
        <v/>
      </c>
      <c r="M196" s="506" t="str">
        <f>IF(D196="","",VLOOKUP(D196,'G-6 Hedgerow Data'!$B$1:$AH$15,33,FALSE))</f>
        <v/>
      </c>
      <c r="N196" s="513" t="str">
        <f t="shared" si="16"/>
        <v/>
      </c>
      <c r="O196" s="40"/>
      <c r="P196" s="145"/>
      <c r="Q196" s="157"/>
      <c r="R196" s="507" t="str">
        <f t="shared" si="17"/>
        <v/>
      </c>
      <c r="S196" s="507" t="str">
        <f t="shared" si="18"/>
        <v/>
      </c>
      <c r="T196" s="511" t="str">
        <f t="shared" si="19"/>
        <v/>
      </c>
      <c r="U196" s="515"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8" x14ac:dyDescent="0.25">
      <c r="B197" s="141">
        <v>188</v>
      </c>
      <c r="C197" s="203"/>
      <c r="D197" s="203"/>
      <c r="E197" s="153"/>
      <c r="F197" s="498" t="str">
        <f>IF(D197="","",VLOOKUP(D197,'G-6 Hedgerow Data'!$B$2:$AG$15,2,FALSE))</f>
        <v/>
      </c>
      <c r="G197" s="499" t="str">
        <f>IF(D197="","",VLOOKUP(D197,'G-6 Hedgerow Data'!$B$2:$AG$15,3,FALSE))</f>
        <v/>
      </c>
      <c r="H197" s="145"/>
      <c r="I197" s="499" t="str">
        <f>IFERROR(IF(AND(F197="V.Low",OR(H197="Good",H197="Moderate")),"Error ▲",VLOOKUP(H197,'G-1 All Habitats'!$Z$2:$AA$9,2,FALSE)),"")</f>
        <v/>
      </c>
      <c r="J197" s="154"/>
      <c r="K197" s="520" t="str">
        <f>IF(J197="","",IF(VLOOKUP(J197,'G-3 Multipliers'!$L$3:$N$6,2,FALSE)=0,"Spatial Data Missing ⚠",VLOOKUP(J197,'G-3 Multipliers'!$L$3:$N$6,2,FALSE)))</f>
        <v/>
      </c>
      <c r="L197" s="524" t="str">
        <f>IF(J197="","",IF(VLOOKUP(J197,'G-3 Multipliers'!$L$3:$N$6,3,FALSE)=0,"Spatial Data Missing ⚠",VLOOKUP(J197,'G-3 Multipliers'!$L$3:$N$6,3,FALSE)))</f>
        <v/>
      </c>
      <c r="M197" s="506" t="str">
        <f>IF(D197="","",VLOOKUP(D197,'G-6 Hedgerow Data'!$B$1:$AH$15,33,FALSE))</f>
        <v/>
      </c>
      <c r="N197" s="513" t="str">
        <f t="shared" si="16"/>
        <v/>
      </c>
      <c r="O197" s="40"/>
      <c r="P197" s="145"/>
      <c r="Q197" s="157"/>
      <c r="R197" s="507" t="str">
        <f t="shared" si="17"/>
        <v/>
      </c>
      <c r="S197" s="507" t="str">
        <f t="shared" si="18"/>
        <v/>
      </c>
      <c r="T197" s="511" t="str">
        <f t="shared" si="19"/>
        <v/>
      </c>
      <c r="U197" s="515"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8" x14ac:dyDescent="0.25">
      <c r="B198" s="141">
        <v>189</v>
      </c>
      <c r="C198" s="203"/>
      <c r="D198" s="203"/>
      <c r="E198" s="153"/>
      <c r="F198" s="498" t="str">
        <f>IF(D198="","",VLOOKUP(D198,'G-6 Hedgerow Data'!$B$2:$AG$15,2,FALSE))</f>
        <v/>
      </c>
      <c r="G198" s="499" t="str">
        <f>IF(D198="","",VLOOKUP(D198,'G-6 Hedgerow Data'!$B$2:$AG$15,3,FALSE))</f>
        <v/>
      </c>
      <c r="H198" s="145"/>
      <c r="I198" s="499" t="str">
        <f>IFERROR(IF(AND(F198="V.Low",OR(H198="Good",H198="Moderate")),"Error ▲",VLOOKUP(H198,'G-1 All Habitats'!$Z$2:$AA$9,2,FALSE)),"")</f>
        <v/>
      </c>
      <c r="J198" s="154"/>
      <c r="K198" s="520" t="str">
        <f>IF(J198="","",IF(VLOOKUP(J198,'G-3 Multipliers'!$L$3:$N$6,2,FALSE)=0,"Spatial Data Missing ⚠",VLOOKUP(J198,'G-3 Multipliers'!$L$3:$N$6,2,FALSE)))</f>
        <v/>
      </c>
      <c r="L198" s="524" t="str">
        <f>IF(J198="","",IF(VLOOKUP(J198,'G-3 Multipliers'!$L$3:$N$6,3,FALSE)=0,"Spatial Data Missing ⚠",VLOOKUP(J198,'G-3 Multipliers'!$L$3:$N$6,3,FALSE)))</f>
        <v/>
      </c>
      <c r="M198" s="506" t="str">
        <f>IF(D198="","",VLOOKUP(D198,'G-6 Hedgerow Data'!$B$1:$AH$15,33,FALSE))</f>
        <v/>
      </c>
      <c r="N198" s="513" t="str">
        <f t="shared" si="16"/>
        <v/>
      </c>
      <c r="O198" s="40"/>
      <c r="P198" s="145"/>
      <c r="Q198" s="157"/>
      <c r="R198" s="507" t="str">
        <f t="shared" si="17"/>
        <v/>
      </c>
      <c r="S198" s="507" t="str">
        <f t="shared" si="18"/>
        <v/>
      </c>
      <c r="T198" s="511" t="str">
        <f t="shared" si="19"/>
        <v/>
      </c>
      <c r="U198" s="515"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8" x14ac:dyDescent="0.25">
      <c r="B199" s="141">
        <v>190</v>
      </c>
      <c r="C199" s="203"/>
      <c r="D199" s="203"/>
      <c r="E199" s="153"/>
      <c r="F199" s="498" t="str">
        <f>IF(D199="","",VLOOKUP(D199,'G-6 Hedgerow Data'!$B$2:$AG$15,2,FALSE))</f>
        <v/>
      </c>
      <c r="G199" s="499" t="str">
        <f>IF(D199="","",VLOOKUP(D199,'G-6 Hedgerow Data'!$B$2:$AG$15,3,FALSE))</f>
        <v/>
      </c>
      <c r="H199" s="145"/>
      <c r="I199" s="499" t="str">
        <f>IFERROR(IF(AND(F199="V.Low",OR(H199="Good",H199="Moderate")),"Error ▲",VLOOKUP(H199,'G-1 All Habitats'!$Z$2:$AA$9,2,FALSE)),"")</f>
        <v/>
      </c>
      <c r="J199" s="154"/>
      <c r="K199" s="520" t="str">
        <f>IF(J199="","",IF(VLOOKUP(J199,'G-3 Multipliers'!$L$3:$N$6,2,FALSE)=0,"Spatial Data Missing ⚠",VLOOKUP(J199,'G-3 Multipliers'!$L$3:$N$6,2,FALSE)))</f>
        <v/>
      </c>
      <c r="L199" s="524" t="str">
        <f>IF(J199="","",IF(VLOOKUP(J199,'G-3 Multipliers'!$L$3:$N$6,3,FALSE)=0,"Spatial Data Missing ⚠",VLOOKUP(J199,'G-3 Multipliers'!$L$3:$N$6,3,FALSE)))</f>
        <v/>
      </c>
      <c r="M199" s="506" t="str">
        <f>IF(D199="","",VLOOKUP(D199,'G-6 Hedgerow Data'!$B$1:$AH$15,33,FALSE))</f>
        <v/>
      </c>
      <c r="N199" s="513" t="str">
        <f t="shared" si="16"/>
        <v/>
      </c>
      <c r="O199" s="40"/>
      <c r="P199" s="145"/>
      <c r="Q199" s="157"/>
      <c r="R199" s="507" t="str">
        <f t="shared" si="17"/>
        <v/>
      </c>
      <c r="S199" s="507" t="str">
        <f t="shared" si="18"/>
        <v/>
      </c>
      <c r="T199" s="511" t="str">
        <f t="shared" si="19"/>
        <v/>
      </c>
      <c r="U199" s="515"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8" x14ac:dyDescent="0.25">
      <c r="B200" s="141">
        <v>191</v>
      </c>
      <c r="C200" s="203"/>
      <c r="D200" s="203"/>
      <c r="E200" s="153"/>
      <c r="F200" s="498" t="str">
        <f>IF(D200="","",VLOOKUP(D200,'G-6 Hedgerow Data'!$B$2:$AG$15,2,FALSE))</f>
        <v/>
      </c>
      <c r="G200" s="499" t="str">
        <f>IF(D200="","",VLOOKUP(D200,'G-6 Hedgerow Data'!$B$2:$AG$15,3,FALSE))</f>
        <v/>
      </c>
      <c r="H200" s="145"/>
      <c r="I200" s="499" t="str">
        <f>IFERROR(IF(AND(F200="V.Low",OR(H200="Good",H200="Moderate")),"Error ▲",VLOOKUP(H200,'G-1 All Habitats'!$Z$2:$AA$9,2,FALSE)),"")</f>
        <v/>
      </c>
      <c r="J200" s="154"/>
      <c r="K200" s="520" t="str">
        <f>IF(J200="","",IF(VLOOKUP(J200,'G-3 Multipliers'!$L$3:$N$6,2,FALSE)=0,"Spatial Data Missing ⚠",VLOOKUP(J200,'G-3 Multipliers'!$L$3:$N$6,2,FALSE)))</f>
        <v/>
      </c>
      <c r="L200" s="524" t="str">
        <f>IF(J200="","",IF(VLOOKUP(J200,'G-3 Multipliers'!$L$3:$N$6,3,FALSE)=0,"Spatial Data Missing ⚠",VLOOKUP(J200,'G-3 Multipliers'!$L$3:$N$6,3,FALSE)))</f>
        <v/>
      </c>
      <c r="M200" s="506" t="str">
        <f>IF(D200="","",VLOOKUP(D200,'G-6 Hedgerow Data'!$B$1:$AH$15,33,FALSE))</f>
        <v/>
      </c>
      <c r="N200" s="513" t="str">
        <f t="shared" si="16"/>
        <v/>
      </c>
      <c r="O200" s="40"/>
      <c r="P200" s="145"/>
      <c r="Q200" s="157"/>
      <c r="R200" s="507" t="str">
        <f t="shared" si="17"/>
        <v/>
      </c>
      <c r="S200" s="507" t="str">
        <f t="shared" si="18"/>
        <v/>
      </c>
      <c r="T200" s="511" t="str">
        <f t="shared" si="19"/>
        <v/>
      </c>
      <c r="U200" s="515"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8" x14ac:dyDescent="0.25">
      <c r="B201" s="141">
        <v>192</v>
      </c>
      <c r="C201" s="203"/>
      <c r="D201" s="203"/>
      <c r="E201" s="153"/>
      <c r="F201" s="498" t="str">
        <f>IF(D201="","",VLOOKUP(D201,'G-6 Hedgerow Data'!$B$2:$AG$15,2,FALSE))</f>
        <v/>
      </c>
      <c r="G201" s="499" t="str">
        <f>IF(D201="","",VLOOKUP(D201,'G-6 Hedgerow Data'!$B$2:$AG$15,3,FALSE))</f>
        <v/>
      </c>
      <c r="H201" s="145"/>
      <c r="I201" s="499" t="str">
        <f>IFERROR(IF(AND(F201="V.Low",OR(H201="Good",H201="Moderate")),"Error ▲",VLOOKUP(H201,'G-1 All Habitats'!$Z$2:$AA$9,2,FALSE)),"")</f>
        <v/>
      </c>
      <c r="J201" s="154"/>
      <c r="K201" s="520" t="str">
        <f>IF(J201="","",IF(VLOOKUP(J201,'G-3 Multipliers'!$L$3:$N$6,2,FALSE)=0,"Spatial Data Missing ⚠",VLOOKUP(J201,'G-3 Multipliers'!$L$3:$N$6,2,FALSE)))</f>
        <v/>
      </c>
      <c r="L201" s="524" t="str">
        <f>IF(J201="","",IF(VLOOKUP(J201,'G-3 Multipliers'!$L$3:$N$6,3,FALSE)=0,"Spatial Data Missing ⚠",VLOOKUP(J201,'G-3 Multipliers'!$L$3:$N$6,3,FALSE)))</f>
        <v/>
      </c>
      <c r="M201" s="506" t="str">
        <f>IF(D201="","",VLOOKUP(D201,'G-6 Hedgerow Data'!$B$1:$AH$15,33,FALSE))</f>
        <v/>
      </c>
      <c r="N201" s="513" t="str">
        <f t="shared" si="16"/>
        <v/>
      </c>
      <c r="O201" s="40"/>
      <c r="P201" s="145"/>
      <c r="Q201" s="157"/>
      <c r="R201" s="507" t="str">
        <f t="shared" si="17"/>
        <v/>
      </c>
      <c r="S201" s="507" t="str">
        <f t="shared" si="18"/>
        <v/>
      </c>
      <c r="T201" s="511" t="str">
        <f t="shared" si="19"/>
        <v/>
      </c>
      <c r="U201" s="515"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8" x14ac:dyDescent="0.25">
      <c r="B202" s="141">
        <v>193</v>
      </c>
      <c r="C202" s="203"/>
      <c r="D202" s="203"/>
      <c r="E202" s="153"/>
      <c r="F202" s="498" t="str">
        <f>IF(D202="","",VLOOKUP(D202,'G-6 Hedgerow Data'!$B$2:$AG$15,2,FALSE))</f>
        <v/>
      </c>
      <c r="G202" s="499" t="str">
        <f>IF(D202="","",VLOOKUP(D202,'G-6 Hedgerow Data'!$B$2:$AG$15,3,FALSE))</f>
        <v/>
      </c>
      <c r="H202" s="145"/>
      <c r="I202" s="499" t="str">
        <f>IFERROR(IF(AND(F202="V.Low",OR(H202="Good",H202="Moderate")),"Error ▲",VLOOKUP(H202,'G-1 All Habitats'!$Z$2:$AA$9,2,FALSE)),"")</f>
        <v/>
      </c>
      <c r="J202" s="154"/>
      <c r="K202" s="520" t="str">
        <f>IF(J202="","",IF(VLOOKUP(J202,'G-3 Multipliers'!$L$3:$N$6,2,FALSE)=0,"Spatial Data Missing ⚠",VLOOKUP(J202,'G-3 Multipliers'!$L$3:$N$6,2,FALSE)))</f>
        <v/>
      </c>
      <c r="L202" s="524" t="str">
        <f>IF(J202="","",IF(VLOOKUP(J202,'G-3 Multipliers'!$L$3:$N$6,3,FALSE)=0,"Spatial Data Missing ⚠",VLOOKUP(J202,'G-3 Multipliers'!$L$3:$N$6,3,FALSE)))</f>
        <v/>
      </c>
      <c r="M202" s="506" t="str">
        <f>IF(D202="","",VLOOKUP(D202,'G-6 Hedgerow Data'!$B$1:$AH$15,33,FALSE))</f>
        <v/>
      </c>
      <c r="N202" s="513" t="str">
        <f t="shared" si="16"/>
        <v/>
      </c>
      <c r="O202" s="40"/>
      <c r="P202" s="145"/>
      <c r="Q202" s="157"/>
      <c r="R202" s="507" t="str">
        <f t="shared" si="17"/>
        <v/>
      </c>
      <c r="S202" s="507" t="str">
        <f t="shared" si="18"/>
        <v/>
      </c>
      <c r="T202" s="511" t="str">
        <f t="shared" si="19"/>
        <v/>
      </c>
      <c r="U202" s="515"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8" x14ac:dyDescent="0.25">
      <c r="B203" s="141">
        <v>194</v>
      </c>
      <c r="C203" s="203"/>
      <c r="D203" s="203"/>
      <c r="E203" s="153"/>
      <c r="F203" s="498" t="str">
        <f>IF(D203="","",VLOOKUP(D203,'G-6 Hedgerow Data'!$B$2:$AG$15,2,FALSE))</f>
        <v/>
      </c>
      <c r="G203" s="499" t="str">
        <f>IF(D203="","",VLOOKUP(D203,'G-6 Hedgerow Data'!$B$2:$AG$15,3,FALSE))</f>
        <v/>
      </c>
      <c r="H203" s="145"/>
      <c r="I203" s="499" t="str">
        <f>IFERROR(IF(AND(F203="V.Low",OR(H203="Good",H203="Moderate")),"Error ▲",VLOOKUP(H203,'G-1 All Habitats'!$Z$2:$AA$9,2,FALSE)),"")</f>
        <v/>
      </c>
      <c r="J203" s="154"/>
      <c r="K203" s="520" t="str">
        <f>IF(J203="","",IF(VLOOKUP(J203,'G-3 Multipliers'!$L$3:$N$6,2,FALSE)=0,"Spatial Data Missing ⚠",VLOOKUP(J203,'G-3 Multipliers'!$L$3:$N$6,2,FALSE)))</f>
        <v/>
      </c>
      <c r="L203" s="524" t="str">
        <f>IF(J203="","",IF(VLOOKUP(J203,'G-3 Multipliers'!$L$3:$N$6,3,FALSE)=0,"Spatial Data Missing ⚠",VLOOKUP(J203,'G-3 Multipliers'!$L$3:$N$6,3,FALSE)))</f>
        <v/>
      </c>
      <c r="M203" s="506" t="str">
        <f>IF(D203="","",VLOOKUP(D203,'G-6 Hedgerow Data'!$B$1:$AH$15,33,FALSE))</f>
        <v/>
      </c>
      <c r="N203" s="513" t="str">
        <f t="shared" ref="N203:N257" si="23">IFERROR(E203*G203*I203*L203,"")</f>
        <v/>
      </c>
      <c r="O203" s="40"/>
      <c r="P203" s="145"/>
      <c r="Q203" s="157"/>
      <c r="R203" s="507" t="str">
        <f t="shared" ref="R203:R257" si="24">IFERROR(P203*G203*I203*L203,"")</f>
        <v/>
      </c>
      <c r="S203" s="507" t="str">
        <f t="shared" ref="S203:S257" si="25">IFERROR(Q203*G203*I203*L203,"")</f>
        <v/>
      </c>
      <c r="T203" s="511" t="str">
        <f t="shared" ref="T203:T257" si="26">IF(D203="","",IF(E203&lt;P203+Q203,"Error in Lengths ▲",E203-P203-Q203))</f>
        <v/>
      </c>
      <c r="U203" s="515"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8" x14ac:dyDescent="0.25">
      <c r="B204" s="141">
        <v>195</v>
      </c>
      <c r="C204" s="203"/>
      <c r="D204" s="203"/>
      <c r="E204" s="153"/>
      <c r="F204" s="498" t="str">
        <f>IF(D204="","",VLOOKUP(D204,'G-6 Hedgerow Data'!$B$2:$AG$15,2,FALSE))</f>
        <v/>
      </c>
      <c r="G204" s="499" t="str">
        <f>IF(D204="","",VLOOKUP(D204,'G-6 Hedgerow Data'!$B$2:$AG$15,3,FALSE))</f>
        <v/>
      </c>
      <c r="H204" s="145"/>
      <c r="I204" s="499" t="str">
        <f>IFERROR(IF(AND(F204="V.Low",OR(H204="Good",H204="Moderate")),"Error ▲",VLOOKUP(H204,'G-1 All Habitats'!$Z$2:$AA$9,2,FALSE)),"")</f>
        <v/>
      </c>
      <c r="J204" s="154"/>
      <c r="K204" s="520" t="str">
        <f>IF(J204="","",IF(VLOOKUP(J204,'G-3 Multipliers'!$L$3:$N$6,2,FALSE)=0,"Spatial Data Missing ⚠",VLOOKUP(J204,'G-3 Multipliers'!$L$3:$N$6,2,FALSE)))</f>
        <v/>
      </c>
      <c r="L204" s="524" t="str">
        <f>IF(J204="","",IF(VLOOKUP(J204,'G-3 Multipliers'!$L$3:$N$6,3,FALSE)=0,"Spatial Data Missing ⚠",VLOOKUP(J204,'G-3 Multipliers'!$L$3:$N$6,3,FALSE)))</f>
        <v/>
      </c>
      <c r="M204" s="506" t="str">
        <f>IF(D204="","",VLOOKUP(D204,'G-6 Hedgerow Data'!$B$1:$AH$15,33,FALSE))</f>
        <v/>
      </c>
      <c r="N204" s="513" t="str">
        <f t="shared" si="23"/>
        <v/>
      </c>
      <c r="O204" s="40"/>
      <c r="P204" s="145"/>
      <c r="Q204" s="157"/>
      <c r="R204" s="507" t="str">
        <f t="shared" si="24"/>
        <v/>
      </c>
      <c r="S204" s="507" t="str">
        <f t="shared" si="25"/>
        <v/>
      </c>
      <c r="T204" s="511" t="str">
        <f t="shared" si="26"/>
        <v/>
      </c>
      <c r="U204" s="515"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8" x14ac:dyDescent="0.25">
      <c r="B205" s="141">
        <v>196</v>
      </c>
      <c r="C205" s="203"/>
      <c r="D205" s="203"/>
      <c r="E205" s="153"/>
      <c r="F205" s="498" t="str">
        <f>IF(D205="","",VLOOKUP(D205,'G-6 Hedgerow Data'!$B$2:$AG$15,2,FALSE))</f>
        <v/>
      </c>
      <c r="G205" s="499" t="str">
        <f>IF(D205="","",VLOOKUP(D205,'G-6 Hedgerow Data'!$B$2:$AG$15,3,FALSE))</f>
        <v/>
      </c>
      <c r="H205" s="145"/>
      <c r="I205" s="499" t="str">
        <f>IFERROR(IF(AND(F205="V.Low",OR(H205="Good",H205="Moderate")),"Error ▲",VLOOKUP(H205,'G-1 All Habitats'!$Z$2:$AA$9,2,FALSE)),"")</f>
        <v/>
      </c>
      <c r="J205" s="154"/>
      <c r="K205" s="520" t="str">
        <f>IF(J205="","",IF(VLOOKUP(J205,'G-3 Multipliers'!$L$3:$N$6,2,FALSE)=0,"Spatial Data Missing ⚠",VLOOKUP(J205,'G-3 Multipliers'!$L$3:$N$6,2,FALSE)))</f>
        <v/>
      </c>
      <c r="L205" s="524" t="str">
        <f>IF(J205="","",IF(VLOOKUP(J205,'G-3 Multipliers'!$L$3:$N$6,3,FALSE)=0,"Spatial Data Missing ⚠",VLOOKUP(J205,'G-3 Multipliers'!$L$3:$N$6,3,FALSE)))</f>
        <v/>
      </c>
      <c r="M205" s="506" t="str">
        <f>IF(D205="","",VLOOKUP(D205,'G-6 Hedgerow Data'!$B$1:$AH$15,33,FALSE))</f>
        <v/>
      </c>
      <c r="N205" s="513" t="str">
        <f t="shared" si="23"/>
        <v/>
      </c>
      <c r="O205" s="40"/>
      <c r="P205" s="145"/>
      <c r="Q205" s="157"/>
      <c r="R205" s="507" t="str">
        <f t="shared" si="24"/>
        <v/>
      </c>
      <c r="S205" s="507" t="str">
        <f t="shared" si="25"/>
        <v/>
      </c>
      <c r="T205" s="511" t="str">
        <f t="shared" si="26"/>
        <v/>
      </c>
      <c r="U205" s="515"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8" x14ac:dyDescent="0.25">
      <c r="B206" s="141">
        <v>197</v>
      </c>
      <c r="C206" s="203"/>
      <c r="D206" s="203"/>
      <c r="E206" s="153"/>
      <c r="F206" s="498" t="str">
        <f>IF(D206="","",VLOOKUP(D206,'G-6 Hedgerow Data'!$B$2:$AG$15,2,FALSE))</f>
        <v/>
      </c>
      <c r="G206" s="499" t="str">
        <f>IF(D206="","",VLOOKUP(D206,'G-6 Hedgerow Data'!$B$2:$AG$15,3,FALSE))</f>
        <v/>
      </c>
      <c r="H206" s="145"/>
      <c r="I206" s="499" t="str">
        <f>IFERROR(IF(AND(F206="V.Low",OR(H206="Good",H206="Moderate")),"Error ▲",VLOOKUP(H206,'G-1 All Habitats'!$Z$2:$AA$9,2,FALSE)),"")</f>
        <v/>
      </c>
      <c r="J206" s="154"/>
      <c r="K206" s="520" t="str">
        <f>IF(J206="","",IF(VLOOKUP(J206,'G-3 Multipliers'!$L$3:$N$6,2,FALSE)=0,"Spatial Data Missing ⚠",VLOOKUP(J206,'G-3 Multipliers'!$L$3:$N$6,2,FALSE)))</f>
        <v/>
      </c>
      <c r="L206" s="524" t="str">
        <f>IF(J206="","",IF(VLOOKUP(J206,'G-3 Multipliers'!$L$3:$N$6,3,FALSE)=0,"Spatial Data Missing ⚠",VLOOKUP(J206,'G-3 Multipliers'!$L$3:$N$6,3,FALSE)))</f>
        <v/>
      </c>
      <c r="M206" s="506" t="str">
        <f>IF(D206="","",VLOOKUP(D206,'G-6 Hedgerow Data'!$B$1:$AH$15,33,FALSE))</f>
        <v/>
      </c>
      <c r="N206" s="513" t="str">
        <f t="shared" si="23"/>
        <v/>
      </c>
      <c r="O206" s="40"/>
      <c r="P206" s="145"/>
      <c r="Q206" s="157"/>
      <c r="R206" s="507" t="str">
        <f t="shared" si="24"/>
        <v/>
      </c>
      <c r="S206" s="507" t="str">
        <f t="shared" si="25"/>
        <v/>
      </c>
      <c r="T206" s="511" t="str">
        <f t="shared" si="26"/>
        <v/>
      </c>
      <c r="U206" s="515"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8" x14ac:dyDescent="0.25">
      <c r="B207" s="141">
        <v>198</v>
      </c>
      <c r="C207" s="203"/>
      <c r="D207" s="203"/>
      <c r="E207" s="153"/>
      <c r="F207" s="498" t="str">
        <f>IF(D207="","",VLOOKUP(D207,'G-6 Hedgerow Data'!$B$2:$AG$15,2,FALSE))</f>
        <v/>
      </c>
      <c r="G207" s="499" t="str">
        <f>IF(D207="","",VLOOKUP(D207,'G-6 Hedgerow Data'!$B$2:$AG$15,3,FALSE))</f>
        <v/>
      </c>
      <c r="H207" s="145"/>
      <c r="I207" s="499" t="str">
        <f>IFERROR(IF(AND(F207="V.Low",OR(H207="Good",H207="Moderate")),"Error ▲",VLOOKUP(H207,'G-1 All Habitats'!$Z$2:$AA$9,2,FALSE)),"")</f>
        <v/>
      </c>
      <c r="J207" s="154"/>
      <c r="K207" s="520" t="str">
        <f>IF(J207="","",IF(VLOOKUP(J207,'G-3 Multipliers'!$L$3:$N$6,2,FALSE)=0,"Spatial Data Missing ⚠",VLOOKUP(J207,'G-3 Multipliers'!$L$3:$N$6,2,FALSE)))</f>
        <v/>
      </c>
      <c r="L207" s="524" t="str">
        <f>IF(J207="","",IF(VLOOKUP(J207,'G-3 Multipliers'!$L$3:$N$6,3,FALSE)=0,"Spatial Data Missing ⚠",VLOOKUP(J207,'G-3 Multipliers'!$L$3:$N$6,3,FALSE)))</f>
        <v/>
      </c>
      <c r="M207" s="506" t="str">
        <f>IF(D207="","",VLOOKUP(D207,'G-6 Hedgerow Data'!$B$1:$AH$15,33,FALSE))</f>
        <v/>
      </c>
      <c r="N207" s="513" t="str">
        <f t="shared" si="23"/>
        <v/>
      </c>
      <c r="O207" s="40"/>
      <c r="P207" s="145"/>
      <c r="Q207" s="157"/>
      <c r="R207" s="507" t="str">
        <f t="shared" si="24"/>
        <v/>
      </c>
      <c r="S207" s="507" t="str">
        <f t="shared" si="25"/>
        <v/>
      </c>
      <c r="T207" s="511" t="str">
        <f t="shared" si="26"/>
        <v/>
      </c>
      <c r="U207" s="515"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8" x14ac:dyDescent="0.25">
      <c r="B208" s="141">
        <v>199</v>
      </c>
      <c r="C208" s="203"/>
      <c r="D208" s="203"/>
      <c r="E208" s="153"/>
      <c r="F208" s="498" t="str">
        <f>IF(D208="","",VLOOKUP(D208,'G-6 Hedgerow Data'!$B$2:$AG$15,2,FALSE))</f>
        <v/>
      </c>
      <c r="G208" s="499" t="str">
        <f>IF(D208="","",VLOOKUP(D208,'G-6 Hedgerow Data'!$B$2:$AG$15,3,FALSE))</f>
        <v/>
      </c>
      <c r="H208" s="145"/>
      <c r="I208" s="499" t="str">
        <f>IFERROR(IF(AND(F208="V.Low",OR(H208="Good",H208="Moderate")),"Error ▲",VLOOKUP(H208,'G-1 All Habitats'!$Z$2:$AA$9,2,FALSE)),"")</f>
        <v/>
      </c>
      <c r="J208" s="154"/>
      <c r="K208" s="520" t="str">
        <f>IF(J208="","",IF(VLOOKUP(J208,'G-3 Multipliers'!$L$3:$N$6,2,FALSE)=0,"Spatial Data Missing ⚠",VLOOKUP(J208,'G-3 Multipliers'!$L$3:$N$6,2,FALSE)))</f>
        <v/>
      </c>
      <c r="L208" s="524" t="str">
        <f>IF(J208="","",IF(VLOOKUP(J208,'G-3 Multipliers'!$L$3:$N$6,3,FALSE)=0,"Spatial Data Missing ⚠",VLOOKUP(J208,'G-3 Multipliers'!$L$3:$N$6,3,FALSE)))</f>
        <v/>
      </c>
      <c r="M208" s="506" t="str">
        <f>IF(D208="","",VLOOKUP(D208,'G-6 Hedgerow Data'!$B$1:$AH$15,33,FALSE))</f>
        <v/>
      </c>
      <c r="N208" s="513" t="str">
        <f t="shared" si="23"/>
        <v/>
      </c>
      <c r="O208" s="40"/>
      <c r="P208" s="145"/>
      <c r="Q208" s="157"/>
      <c r="R208" s="507" t="str">
        <f t="shared" si="24"/>
        <v/>
      </c>
      <c r="S208" s="507" t="str">
        <f t="shared" si="25"/>
        <v/>
      </c>
      <c r="T208" s="511" t="str">
        <f t="shared" si="26"/>
        <v/>
      </c>
      <c r="U208" s="515"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8" x14ac:dyDescent="0.25">
      <c r="B209" s="141">
        <v>200</v>
      </c>
      <c r="C209" s="203"/>
      <c r="D209" s="203"/>
      <c r="E209" s="153"/>
      <c r="F209" s="498" t="str">
        <f>IF(D209="","",VLOOKUP(D209,'G-6 Hedgerow Data'!$B$2:$AG$15,2,FALSE))</f>
        <v/>
      </c>
      <c r="G209" s="499" t="str">
        <f>IF(D209="","",VLOOKUP(D209,'G-6 Hedgerow Data'!$B$2:$AG$15,3,FALSE))</f>
        <v/>
      </c>
      <c r="H209" s="145"/>
      <c r="I209" s="499" t="str">
        <f>IFERROR(IF(AND(F209="V.Low",OR(H209="Good",H209="Moderate")),"Error ▲",VLOOKUP(H209,'G-1 All Habitats'!$Z$2:$AA$9,2,FALSE)),"")</f>
        <v/>
      </c>
      <c r="J209" s="154"/>
      <c r="K209" s="520" t="str">
        <f>IF(J209="","",IF(VLOOKUP(J209,'G-3 Multipliers'!$L$3:$N$6,2,FALSE)=0,"Spatial Data Missing ⚠",VLOOKUP(J209,'G-3 Multipliers'!$L$3:$N$6,2,FALSE)))</f>
        <v/>
      </c>
      <c r="L209" s="524" t="str">
        <f>IF(J209="","",IF(VLOOKUP(J209,'G-3 Multipliers'!$L$3:$N$6,3,FALSE)=0,"Spatial Data Missing ⚠",VLOOKUP(J209,'G-3 Multipliers'!$L$3:$N$6,3,FALSE)))</f>
        <v/>
      </c>
      <c r="M209" s="506" t="str">
        <f>IF(D209="","",VLOOKUP(D209,'G-6 Hedgerow Data'!$B$1:$AH$15,33,FALSE))</f>
        <v/>
      </c>
      <c r="N209" s="513" t="str">
        <f t="shared" si="23"/>
        <v/>
      </c>
      <c r="O209" s="40"/>
      <c r="P209" s="145"/>
      <c r="Q209" s="157"/>
      <c r="R209" s="507" t="str">
        <f t="shared" si="24"/>
        <v/>
      </c>
      <c r="S209" s="507" t="str">
        <f t="shared" si="25"/>
        <v/>
      </c>
      <c r="T209" s="511" t="str">
        <f t="shared" si="26"/>
        <v/>
      </c>
      <c r="U209" s="515"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8" x14ac:dyDescent="0.25">
      <c r="B210" s="141">
        <v>201</v>
      </c>
      <c r="C210" s="203"/>
      <c r="D210" s="203"/>
      <c r="E210" s="153"/>
      <c r="F210" s="498" t="str">
        <f>IF(D210="","",VLOOKUP(D210,'G-6 Hedgerow Data'!$B$2:$AG$15,2,FALSE))</f>
        <v/>
      </c>
      <c r="G210" s="499" t="str">
        <f>IF(D210="","",VLOOKUP(D210,'G-6 Hedgerow Data'!$B$2:$AG$15,3,FALSE))</f>
        <v/>
      </c>
      <c r="H210" s="145"/>
      <c r="I210" s="499" t="str">
        <f>IFERROR(IF(AND(F210="V.Low",OR(H210="Good",H210="Moderate")),"Error ▲",VLOOKUP(H210,'G-1 All Habitats'!$Z$2:$AA$9,2,FALSE)),"")</f>
        <v/>
      </c>
      <c r="J210" s="154"/>
      <c r="K210" s="520" t="str">
        <f>IF(J210="","",IF(VLOOKUP(J210,'G-3 Multipliers'!$L$3:$N$6,2,FALSE)=0,"Spatial Data Missing ⚠",VLOOKUP(J210,'G-3 Multipliers'!$L$3:$N$6,2,FALSE)))</f>
        <v/>
      </c>
      <c r="L210" s="524" t="str">
        <f>IF(J210="","",IF(VLOOKUP(J210,'G-3 Multipliers'!$L$3:$N$6,3,FALSE)=0,"Spatial Data Missing ⚠",VLOOKUP(J210,'G-3 Multipliers'!$L$3:$N$6,3,FALSE)))</f>
        <v/>
      </c>
      <c r="M210" s="506" t="str">
        <f>IF(D210="","",VLOOKUP(D210,'G-6 Hedgerow Data'!$B$1:$AH$15,33,FALSE))</f>
        <v/>
      </c>
      <c r="N210" s="513" t="str">
        <f t="shared" si="23"/>
        <v/>
      </c>
      <c r="O210" s="40"/>
      <c r="P210" s="145"/>
      <c r="Q210" s="157"/>
      <c r="R210" s="507" t="str">
        <f t="shared" si="24"/>
        <v/>
      </c>
      <c r="S210" s="507" t="str">
        <f t="shared" si="25"/>
        <v/>
      </c>
      <c r="T210" s="511" t="str">
        <f t="shared" si="26"/>
        <v/>
      </c>
      <c r="U210" s="515"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8" x14ac:dyDescent="0.25">
      <c r="B211" s="141">
        <v>202</v>
      </c>
      <c r="C211" s="203"/>
      <c r="D211" s="203"/>
      <c r="E211" s="153"/>
      <c r="F211" s="498" t="str">
        <f>IF(D211="","",VLOOKUP(D211,'G-6 Hedgerow Data'!$B$2:$AG$15,2,FALSE))</f>
        <v/>
      </c>
      <c r="G211" s="499" t="str">
        <f>IF(D211="","",VLOOKUP(D211,'G-6 Hedgerow Data'!$B$2:$AG$15,3,FALSE))</f>
        <v/>
      </c>
      <c r="H211" s="145"/>
      <c r="I211" s="499" t="str">
        <f>IFERROR(IF(AND(F211="V.Low",OR(H211="Good",H211="Moderate")),"Error ▲",VLOOKUP(H211,'G-1 All Habitats'!$Z$2:$AA$9,2,FALSE)),"")</f>
        <v/>
      </c>
      <c r="J211" s="154"/>
      <c r="K211" s="520" t="str">
        <f>IF(J211="","",IF(VLOOKUP(J211,'G-3 Multipliers'!$L$3:$N$6,2,FALSE)=0,"Spatial Data Missing ⚠",VLOOKUP(J211,'G-3 Multipliers'!$L$3:$N$6,2,FALSE)))</f>
        <v/>
      </c>
      <c r="L211" s="524" t="str">
        <f>IF(J211="","",IF(VLOOKUP(J211,'G-3 Multipliers'!$L$3:$N$6,3,FALSE)=0,"Spatial Data Missing ⚠",VLOOKUP(J211,'G-3 Multipliers'!$L$3:$N$6,3,FALSE)))</f>
        <v/>
      </c>
      <c r="M211" s="506" t="str">
        <f>IF(D211="","",VLOOKUP(D211,'G-6 Hedgerow Data'!$B$1:$AH$15,33,FALSE))</f>
        <v/>
      </c>
      <c r="N211" s="513" t="str">
        <f t="shared" si="23"/>
        <v/>
      </c>
      <c r="O211" s="40"/>
      <c r="P211" s="145"/>
      <c r="Q211" s="157"/>
      <c r="R211" s="507" t="str">
        <f t="shared" si="24"/>
        <v/>
      </c>
      <c r="S211" s="507" t="str">
        <f t="shared" si="25"/>
        <v/>
      </c>
      <c r="T211" s="511" t="str">
        <f t="shared" si="26"/>
        <v/>
      </c>
      <c r="U211" s="515"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8" x14ac:dyDescent="0.25">
      <c r="B212" s="141">
        <v>203</v>
      </c>
      <c r="C212" s="203"/>
      <c r="D212" s="203"/>
      <c r="E212" s="153"/>
      <c r="F212" s="498" t="str">
        <f>IF(D212="","",VLOOKUP(D212,'G-6 Hedgerow Data'!$B$2:$AG$15,2,FALSE))</f>
        <v/>
      </c>
      <c r="G212" s="499" t="str">
        <f>IF(D212="","",VLOOKUP(D212,'G-6 Hedgerow Data'!$B$2:$AG$15,3,FALSE))</f>
        <v/>
      </c>
      <c r="H212" s="145"/>
      <c r="I212" s="499" t="str">
        <f>IFERROR(IF(AND(F212="V.Low",OR(H212="Good",H212="Moderate")),"Error ▲",VLOOKUP(H212,'G-1 All Habitats'!$Z$2:$AA$9,2,FALSE)),"")</f>
        <v/>
      </c>
      <c r="J212" s="154"/>
      <c r="K212" s="520" t="str">
        <f>IF(J212="","",IF(VLOOKUP(J212,'G-3 Multipliers'!$L$3:$N$6,2,FALSE)=0,"Spatial Data Missing ⚠",VLOOKUP(J212,'G-3 Multipliers'!$L$3:$N$6,2,FALSE)))</f>
        <v/>
      </c>
      <c r="L212" s="524" t="str">
        <f>IF(J212="","",IF(VLOOKUP(J212,'G-3 Multipliers'!$L$3:$N$6,3,FALSE)=0,"Spatial Data Missing ⚠",VLOOKUP(J212,'G-3 Multipliers'!$L$3:$N$6,3,FALSE)))</f>
        <v/>
      </c>
      <c r="M212" s="506" t="str">
        <f>IF(D212="","",VLOOKUP(D212,'G-6 Hedgerow Data'!$B$1:$AH$15,33,FALSE))</f>
        <v/>
      </c>
      <c r="N212" s="513" t="str">
        <f t="shared" si="23"/>
        <v/>
      </c>
      <c r="O212" s="40"/>
      <c r="P212" s="145"/>
      <c r="Q212" s="157"/>
      <c r="R212" s="507" t="str">
        <f t="shared" si="24"/>
        <v/>
      </c>
      <c r="S212" s="507" t="str">
        <f t="shared" si="25"/>
        <v/>
      </c>
      <c r="T212" s="511" t="str">
        <f t="shared" si="26"/>
        <v/>
      </c>
      <c r="U212" s="515"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8" x14ac:dyDescent="0.25">
      <c r="B213" s="141">
        <v>204</v>
      </c>
      <c r="C213" s="203"/>
      <c r="D213" s="203"/>
      <c r="E213" s="153"/>
      <c r="F213" s="498" t="str">
        <f>IF(D213="","",VLOOKUP(D213,'G-6 Hedgerow Data'!$B$2:$AG$15,2,FALSE))</f>
        <v/>
      </c>
      <c r="G213" s="499" t="str">
        <f>IF(D213="","",VLOOKUP(D213,'G-6 Hedgerow Data'!$B$2:$AG$15,3,FALSE))</f>
        <v/>
      </c>
      <c r="H213" s="145"/>
      <c r="I213" s="499" t="str">
        <f>IFERROR(IF(AND(F213="V.Low",OR(H213="Good",H213="Moderate")),"Error ▲",VLOOKUP(H213,'G-1 All Habitats'!$Z$2:$AA$9,2,FALSE)),"")</f>
        <v/>
      </c>
      <c r="J213" s="154"/>
      <c r="K213" s="520" t="str">
        <f>IF(J213="","",IF(VLOOKUP(J213,'G-3 Multipliers'!$L$3:$N$6,2,FALSE)=0,"Spatial Data Missing ⚠",VLOOKUP(J213,'G-3 Multipliers'!$L$3:$N$6,2,FALSE)))</f>
        <v/>
      </c>
      <c r="L213" s="524" t="str">
        <f>IF(J213="","",IF(VLOOKUP(J213,'G-3 Multipliers'!$L$3:$N$6,3,FALSE)=0,"Spatial Data Missing ⚠",VLOOKUP(J213,'G-3 Multipliers'!$L$3:$N$6,3,FALSE)))</f>
        <v/>
      </c>
      <c r="M213" s="506" t="str">
        <f>IF(D213="","",VLOOKUP(D213,'G-6 Hedgerow Data'!$B$1:$AH$15,33,FALSE))</f>
        <v/>
      </c>
      <c r="N213" s="513" t="str">
        <f t="shared" si="23"/>
        <v/>
      </c>
      <c r="O213" s="40"/>
      <c r="P213" s="145"/>
      <c r="Q213" s="157"/>
      <c r="R213" s="507" t="str">
        <f t="shared" si="24"/>
        <v/>
      </c>
      <c r="S213" s="507" t="str">
        <f t="shared" si="25"/>
        <v/>
      </c>
      <c r="T213" s="511" t="str">
        <f t="shared" si="26"/>
        <v/>
      </c>
      <c r="U213" s="515"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8" x14ac:dyDescent="0.25">
      <c r="B214" s="141">
        <v>205</v>
      </c>
      <c r="C214" s="203"/>
      <c r="D214" s="203"/>
      <c r="E214" s="153"/>
      <c r="F214" s="498" t="str">
        <f>IF(D214="","",VLOOKUP(D214,'G-6 Hedgerow Data'!$B$2:$AG$15,2,FALSE))</f>
        <v/>
      </c>
      <c r="G214" s="499" t="str">
        <f>IF(D214="","",VLOOKUP(D214,'G-6 Hedgerow Data'!$B$2:$AG$15,3,FALSE))</f>
        <v/>
      </c>
      <c r="H214" s="145"/>
      <c r="I214" s="499" t="str">
        <f>IFERROR(IF(AND(F214="V.Low",OR(H214="Good",H214="Moderate")),"Error ▲",VLOOKUP(H214,'G-1 All Habitats'!$Z$2:$AA$9,2,FALSE)),"")</f>
        <v/>
      </c>
      <c r="J214" s="154"/>
      <c r="K214" s="520" t="str">
        <f>IF(J214="","",IF(VLOOKUP(J214,'G-3 Multipliers'!$L$3:$N$6,2,FALSE)=0,"Spatial Data Missing ⚠",VLOOKUP(J214,'G-3 Multipliers'!$L$3:$N$6,2,FALSE)))</f>
        <v/>
      </c>
      <c r="L214" s="524" t="str">
        <f>IF(J214="","",IF(VLOOKUP(J214,'G-3 Multipliers'!$L$3:$N$6,3,FALSE)=0,"Spatial Data Missing ⚠",VLOOKUP(J214,'G-3 Multipliers'!$L$3:$N$6,3,FALSE)))</f>
        <v/>
      </c>
      <c r="M214" s="506" t="str">
        <f>IF(D214="","",VLOOKUP(D214,'G-6 Hedgerow Data'!$B$1:$AH$15,33,FALSE))</f>
        <v/>
      </c>
      <c r="N214" s="513" t="str">
        <f t="shared" si="23"/>
        <v/>
      </c>
      <c r="O214" s="40"/>
      <c r="P214" s="145"/>
      <c r="Q214" s="157"/>
      <c r="R214" s="507" t="str">
        <f t="shared" si="24"/>
        <v/>
      </c>
      <c r="S214" s="507" t="str">
        <f t="shared" si="25"/>
        <v/>
      </c>
      <c r="T214" s="511" t="str">
        <f t="shared" si="26"/>
        <v/>
      </c>
      <c r="U214" s="515"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8" x14ac:dyDescent="0.25">
      <c r="B215" s="141">
        <v>206</v>
      </c>
      <c r="C215" s="203"/>
      <c r="D215" s="203"/>
      <c r="E215" s="153"/>
      <c r="F215" s="498" t="str">
        <f>IF(D215="","",VLOOKUP(D215,'G-6 Hedgerow Data'!$B$2:$AG$15,2,FALSE))</f>
        <v/>
      </c>
      <c r="G215" s="499" t="str">
        <f>IF(D215="","",VLOOKUP(D215,'G-6 Hedgerow Data'!$B$2:$AG$15,3,FALSE))</f>
        <v/>
      </c>
      <c r="H215" s="145"/>
      <c r="I215" s="499" t="str">
        <f>IFERROR(IF(AND(F215="V.Low",OR(H215="Good",H215="Moderate")),"Error ▲",VLOOKUP(H215,'G-1 All Habitats'!$Z$2:$AA$9,2,FALSE)),"")</f>
        <v/>
      </c>
      <c r="J215" s="154"/>
      <c r="K215" s="520" t="str">
        <f>IF(J215="","",IF(VLOOKUP(J215,'G-3 Multipliers'!$L$3:$N$6,2,FALSE)=0,"Spatial Data Missing ⚠",VLOOKUP(J215,'G-3 Multipliers'!$L$3:$N$6,2,FALSE)))</f>
        <v/>
      </c>
      <c r="L215" s="524" t="str">
        <f>IF(J215="","",IF(VLOOKUP(J215,'G-3 Multipliers'!$L$3:$N$6,3,FALSE)=0,"Spatial Data Missing ⚠",VLOOKUP(J215,'G-3 Multipliers'!$L$3:$N$6,3,FALSE)))</f>
        <v/>
      </c>
      <c r="M215" s="506" t="str">
        <f>IF(D215="","",VLOOKUP(D215,'G-6 Hedgerow Data'!$B$1:$AH$15,33,FALSE))</f>
        <v/>
      </c>
      <c r="N215" s="513" t="str">
        <f t="shared" si="23"/>
        <v/>
      </c>
      <c r="O215" s="40"/>
      <c r="P215" s="145"/>
      <c r="Q215" s="157"/>
      <c r="R215" s="507" t="str">
        <f t="shared" si="24"/>
        <v/>
      </c>
      <c r="S215" s="507" t="str">
        <f t="shared" si="25"/>
        <v/>
      </c>
      <c r="T215" s="511" t="str">
        <f t="shared" si="26"/>
        <v/>
      </c>
      <c r="U215" s="515"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8" x14ac:dyDescent="0.25">
      <c r="B216" s="141">
        <v>207</v>
      </c>
      <c r="C216" s="203"/>
      <c r="D216" s="203"/>
      <c r="E216" s="153"/>
      <c r="F216" s="498" t="str">
        <f>IF(D216="","",VLOOKUP(D216,'G-6 Hedgerow Data'!$B$2:$AG$15,2,FALSE))</f>
        <v/>
      </c>
      <c r="G216" s="499" t="str">
        <f>IF(D216="","",VLOOKUP(D216,'G-6 Hedgerow Data'!$B$2:$AG$15,3,FALSE))</f>
        <v/>
      </c>
      <c r="H216" s="145"/>
      <c r="I216" s="499" t="str">
        <f>IFERROR(IF(AND(F216="V.Low",OR(H216="Good",H216="Moderate")),"Error ▲",VLOOKUP(H216,'G-1 All Habitats'!$Z$2:$AA$9,2,FALSE)),"")</f>
        <v/>
      </c>
      <c r="J216" s="154"/>
      <c r="K216" s="520" t="str">
        <f>IF(J216="","",IF(VLOOKUP(J216,'G-3 Multipliers'!$L$3:$N$6,2,FALSE)=0,"Spatial Data Missing ⚠",VLOOKUP(J216,'G-3 Multipliers'!$L$3:$N$6,2,FALSE)))</f>
        <v/>
      </c>
      <c r="L216" s="524" t="str">
        <f>IF(J216="","",IF(VLOOKUP(J216,'G-3 Multipliers'!$L$3:$N$6,3,FALSE)=0,"Spatial Data Missing ⚠",VLOOKUP(J216,'G-3 Multipliers'!$L$3:$N$6,3,FALSE)))</f>
        <v/>
      </c>
      <c r="M216" s="506" t="str">
        <f>IF(D216="","",VLOOKUP(D216,'G-6 Hedgerow Data'!$B$1:$AH$15,33,FALSE))</f>
        <v/>
      </c>
      <c r="N216" s="513" t="str">
        <f t="shared" si="23"/>
        <v/>
      </c>
      <c r="O216" s="40"/>
      <c r="P216" s="145"/>
      <c r="Q216" s="157"/>
      <c r="R216" s="507" t="str">
        <f t="shared" si="24"/>
        <v/>
      </c>
      <c r="S216" s="507" t="str">
        <f t="shared" si="25"/>
        <v/>
      </c>
      <c r="T216" s="511" t="str">
        <f t="shared" si="26"/>
        <v/>
      </c>
      <c r="U216" s="515"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8" x14ac:dyDescent="0.25">
      <c r="B217" s="141">
        <v>208</v>
      </c>
      <c r="C217" s="203"/>
      <c r="D217" s="203"/>
      <c r="E217" s="153"/>
      <c r="F217" s="498" t="str">
        <f>IF(D217="","",VLOOKUP(D217,'G-6 Hedgerow Data'!$B$2:$AG$15,2,FALSE))</f>
        <v/>
      </c>
      <c r="G217" s="499" t="str">
        <f>IF(D217="","",VLOOKUP(D217,'G-6 Hedgerow Data'!$B$2:$AG$15,3,FALSE))</f>
        <v/>
      </c>
      <c r="H217" s="145"/>
      <c r="I217" s="499" t="str">
        <f>IFERROR(IF(AND(F217="V.Low",OR(H217="Good",H217="Moderate")),"Error ▲",VLOOKUP(H217,'G-1 All Habitats'!$Z$2:$AA$9,2,FALSE)),"")</f>
        <v/>
      </c>
      <c r="J217" s="154"/>
      <c r="K217" s="520" t="str">
        <f>IF(J217="","",IF(VLOOKUP(J217,'G-3 Multipliers'!$L$3:$N$6,2,FALSE)=0,"Spatial Data Missing ⚠",VLOOKUP(J217,'G-3 Multipliers'!$L$3:$N$6,2,FALSE)))</f>
        <v/>
      </c>
      <c r="L217" s="524" t="str">
        <f>IF(J217="","",IF(VLOOKUP(J217,'G-3 Multipliers'!$L$3:$N$6,3,FALSE)=0,"Spatial Data Missing ⚠",VLOOKUP(J217,'G-3 Multipliers'!$L$3:$N$6,3,FALSE)))</f>
        <v/>
      </c>
      <c r="M217" s="506" t="str">
        <f>IF(D217="","",VLOOKUP(D217,'G-6 Hedgerow Data'!$B$1:$AH$15,33,FALSE))</f>
        <v/>
      </c>
      <c r="N217" s="513" t="str">
        <f t="shared" si="23"/>
        <v/>
      </c>
      <c r="O217" s="40"/>
      <c r="P217" s="145"/>
      <c r="Q217" s="157"/>
      <c r="R217" s="507" t="str">
        <f t="shared" si="24"/>
        <v/>
      </c>
      <c r="S217" s="507" t="str">
        <f t="shared" si="25"/>
        <v/>
      </c>
      <c r="T217" s="511" t="str">
        <f t="shared" si="26"/>
        <v/>
      </c>
      <c r="U217" s="515"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8" x14ac:dyDescent="0.25">
      <c r="B218" s="141">
        <v>209</v>
      </c>
      <c r="C218" s="203"/>
      <c r="D218" s="203"/>
      <c r="E218" s="153"/>
      <c r="F218" s="498" t="str">
        <f>IF(D218="","",VLOOKUP(D218,'G-6 Hedgerow Data'!$B$2:$AG$15,2,FALSE))</f>
        <v/>
      </c>
      <c r="G218" s="499" t="str">
        <f>IF(D218="","",VLOOKUP(D218,'G-6 Hedgerow Data'!$B$2:$AG$15,3,FALSE))</f>
        <v/>
      </c>
      <c r="H218" s="145"/>
      <c r="I218" s="499" t="str">
        <f>IFERROR(IF(AND(F218="V.Low",OR(H218="Good",H218="Moderate")),"Error ▲",VLOOKUP(H218,'G-1 All Habitats'!$Z$2:$AA$9,2,FALSE)),"")</f>
        <v/>
      </c>
      <c r="J218" s="154"/>
      <c r="K218" s="520" t="str">
        <f>IF(J218="","",IF(VLOOKUP(J218,'G-3 Multipliers'!$L$3:$N$6,2,FALSE)=0,"Spatial Data Missing ⚠",VLOOKUP(J218,'G-3 Multipliers'!$L$3:$N$6,2,FALSE)))</f>
        <v/>
      </c>
      <c r="L218" s="524" t="str">
        <f>IF(J218="","",IF(VLOOKUP(J218,'G-3 Multipliers'!$L$3:$N$6,3,FALSE)=0,"Spatial Data Missing ⚠",VLOOKUP(J218,'G-3 Multipliers'!$L$3:$N$6,3,FALSE)))</f>
        <v/>
      </c>
      <c r="M218" s="506" t="str">
        <f>IF(D218="","",VLOOKUP(D218,'G-6 Hedgerow Data'!$B$1:$AH$15,33,FALSE))</f>
        <v/>
      </c>
      <c r="N218" s="513" t="str">
        <f t="shared" si="23"/>
        <v/>
      </c>
      <c r="O218" s="40"/>
      <c r="P218" s="145"/>
      <c r="Q218" s="157"/>
      <c r="R218" s="507" t="str">
        <f t="shared" si="24"/>
        <v/>
      </c>
      <c r="S218" s="507" t="str">
        <f t="shared" si="25"/>
        <v/>
      </c>
      <c r="T218" s="511" t="str">
        <f t="shared" si="26"/>
        <v/>
      </c>
      <c r="U218" s="515"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8" x14ac:dyDescent="0.25">
      <c r="B219" s="141">
        <v>210</v>
      </c>
      <c r="C219" s="203"/>
      <c r="D219" s="203"/>
      <c r="E219" s="153"/>
      <c r="F219" s="498" t="str">
        <f>IF(D219="","",VLOOKUP(D219,'G-6 Hedgerow Data'!$B$2:$AG$15,2,FALSE))</f>
        <v/>
      </c>
      <c r="G219" s="499" t="str">
        <f>IF(D219="","",VLOOKUP(D219,'G-6 Hedgerow Data'!$B$2:$AG$15,3,FALSE))</f>
        <v/>
      </c>
      <c r="H219" s="145"/>
      <c r="I219" s="499" t="str">
        <f>IFERROR(IF(AND(F219="V.Low",OR(H219="Good",H219="Moderate")),"Error ▲",VLOOKUP(H219,'G-1 All Habitats'!$Z$2:$AA$9,2,FALSE)),"")</f>
        <v/>
      </c>
      <c r="J219" s="154"/>
      <c r="K219" s="520" t="str">
        <f>IF(J219="","",IF(VLOOKUP(J219,'G-3 Multipliers'!$L$3:$N$6,2,FALSE)=0,"Spatial Data Missing ⚠",VLOOKUP(J219,'G-3 Multipliers'!$L$3:$N$6,2,FALSE)))</f>
        <v/>
      </c>
      <c r="L219" s="524" t="str">
        <f>IF(J219="","",IF(VLOOKUP(J219,'G-3 Multipliers'!$L$3:$N$6,3,FALSE)=0,"Spatial Data Missing ⚠",VLOOKUP(J219,'G-3 Multipliers'!$L$3:$N$6,3,FALSE)))</f>
        <v/>
      </c>
      <c r="M219" s="506" t="str">
        <f>IF(D219="","",VLOOKUP(D219,'G-6 Hedgerow Data'!$B$1:$AH$15,33,FALSE))</f>
        <v/>
      </c>
      <c r="N219" s="513" t="str">
        <f t="shared" si="23"/>
        <v/>
      </c>
      <c r="O219" s="40"/>
      <c r="P219" s="145"/>
      <c r="Q219" s="157"/>
      <c r="R219" s="507" t="str">
        <f t="shared" si="24"/>
        <v/>
      </c>
      <c r="S219" s="507" t="str">
        <f t="shared" si="25"/>
        <v/>
      </c>
      <c r="T219" s="511" t="str">
        <f t="shared" si="26"/>
        <v/>
      </c>
      <c r="U219" s="515"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8" x14ac:dyDescent="0.25">
      <c r="B220" s="141">
        <v>211</v>
      </c>
      <c r="C220" s="203"/>
      <c r="D220" s="203"/>
      <c r="E220" s="153"/>
      <c r="F220" s="498" t="str">
        <f>IF(D220="","",VLOOKUP(D220,'G-6 Hedgerow Data'!$B$2:$AG$15,2,FALSE))</f>
        <v/>
      </c>
      <c r="G220" s="499" t="str">
        <f>IF(D220="","",VLOOKUP(D220,'G-6 Hedgerow Data'!$B$2:$AG$15,3,FALSE))</f>
        <v/>
      </c>
      <c r="H220" s="145"/>
      <c r="I220" s="499" t="str">
        <f>IFERROR(IF(AND(F220="V.Low",OR(H220="Good",H220="Moderate")),"Error ▲",VLOOKUP(H220,'G-1 All Habitats'!$Z$2:$AA$9,2,FALSE)),"")</f>
        <v/>
      </c>
      <c r="J220" s="154"/>
      <c r="K220" s="520" t="str">
        <f>IF(J220="","",IF(VLOOKUP(J220,'G-3 Multipliers'!$L$3:$N$6,2,FALSE)=0,"Spatial Data Missing ⚠",VLOOKUP(J220,'G-3 Multipliers'!$L$3:$N$6,2,FALSE)))</f>
        <v/>
      </c>
      <c r="L220" s="524" t="str">
        <f>IF(J220="","",IF(VLOOKUP(J220,'G-3 Multipliers'!$L$3:$N$6,3,FALSE)=0,"Spatial Data Missing ⚠",VLOOKUP(J220,'G-3 Multipliers'!$L$3:$N$6,3,FALSE)))</f>
        <v/>
      </c>
      <c r="M220" s="506" t="str">
        <f>IF(D220="","",VLOOKUP(D220,'G-6 Hedgerow Data'!$B$1:$AH$15,33,FALSE))</f>
        <v/>
      </c>
      <c r="N220" s="513" t="str">
        <f t="shared" si="23"/>
        <v/>
      </c>
      <c r="O220" s="40"/>
      <c r="P220" s="145"/>
      <c r="Q220" s="157"/>
      <c r="R220" s="507" t="str">
        <f t="shared" si="24"/>
        <v/>
      </c>
      <c r="S220" s="507" t="str">
        <f t="shared" si="25"/>
        <v/>
      </c>
      <c r="T220" s="511" t="str">
        <f t="shared" si="26"/>
        <v/>
      </c>
      <c r="U220" s="515"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8" x14ac:dyDescent="0.25">
      <c r="B221" s="141">
        <v>212</v>
      </c>
      <c r="C221" s="203"/>
      <c r="D221" s="203"/>
      <c r="E221" s="153"/>
      <c r="F221" s="498" t="str">
        <f>IF(D221="","",VLOOKUP(D221,'G-6 Hedgerow Data'!$B$2:$AG$15,2,FALSE))</f>
        <v/>
      </c>
      <c r="G221" s="499" t="str">
        <f>IF(D221="","",VLOOKUP(D221,'G-6 Hedgerow Data'!$B$2:$AG$15,3,FALSE))</f>
        <v/>
      </c>
      <c r="H221" s="145"/>
      <c r="I221" s="499" t="str">
        <f>IFERROR(IF(AND(F221="V.Low",OR(H221="Good",H221="Moderate")),"Error ▲",VLOOKUP(H221,'G-1 All Habitats'!$Z$2:$AA$9,2,FALSE)),"")</f>
        <v/>
      </c>
      <c r="J221" s="154"/>
      <c r="K221" s="520" t="str">
        <f>IF(J221="","",IF(VLOOKUP(J221,'G-3 Multipliers'!$L$3:$N$6,2,FALSE)=0,"Spatial Data Missing ⚠",VLOOKUP(J221,'G-3 Multipliers'!$L$3:$N$6,2,FALSE)))</f>
        <v/>
      </c>
      <c r="L221" s="524" t="str">
        <f>IF(J221="","",IF(VLOOKUP(J221,'G-3 Multipliers'!$L$3:$N$6,3,FALSE)=0,"Spatial Data Missing ⚠",VLOOKUP(J221,'G-3 Multipliers'!$L$3:$N$6,3,FALSE)))</f>
        <v/>
      </c>
      <c r="M221" s="506" t="str">
        <f>IF(D221="","",VLOOKUP(D221,'G-6 Hedgerow Data'!$B$1:$AH$15,33,FALSE))</f>
        <v/>
      </c>
      <c r="N221" s="513" t="str">
        <f t="shared" si="23"/>
        <v/>
      </c>
      <c r="O221" s="40"/>
      <c r="P221" s="145"/>
      <c r="Q221" s="157"/>
      <c r="R221" s="507" t="str">
        <f t="shared" si="24"/>
        <v/>
      </c>
      <c r="S221" s="507" t="str">
        <f t="shared" si="25"/>
        <v/>
      </c>
      <c r="T221" s="511" t="str">
        <f t="shared" si="26"/>
        <v/>
      </c>
      <c r="U221" s="515"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8" x14ac:dyDescent="0.25">
      <c r="B222" s="141">
        <v>213</v>
      </c>
      <c r="C222" s="203"/>
      <c r="D222" s="203"/>
      <c r="E222" s="153"/>
      <c r="F222" s="498" t="str">
        <f>IF(D222="","",VLOOKUP(D222,'G-6 Hedgerow Data'!$B$2:$AG$15,2,FALSE))</f>
        <v/>
      </c>
      <c r="G222" s="499" t="str">
        <f>IF(D222="","",VLOOKUP(D222,'G-6 Hedgerow Data'!$B$2:$AG$15,3,FALSE))</f>
        <v/>
      </c>
      <c r="H222" s="145"/>
      <c r="I222" s="499" t="str">
        <f>IFERROR(IF(AND(F222="V.Low",OR(H222="Good",H222="Moderate")),"Error ▲",VLOOKUP(H222,'G-1 All Habitats'!$Z$2:$AA$9,2,FALSE)),"")</f>
        <v/>
      </c>
      <c r="J222" s="154"/>
      <c r="K222" s="520" t="str">
        <f>IF(J222="","",IF(VLOOKUP(J222,'G-3 Multipliers'!$L$3:$N$6,2,FALSE)=0,"Spatial Data Missing ⚠",VLOOKUP(J222,'G-3 Multipliers'!$L$3:$N$6,2,FALSE)))</f>
        <v/>
      </c>
      <c r="L222" s="524" t="str">
        <f>IF(J222="","",IF(VLOOKUP(J222,'G-3 Multipliers'!$L$3:$N$6,3,FALSE)=0,"Spatial Data Missing ⚠",VLOOKUP(J222,'G-3 Multipliers'!$L$3:$N$6,3,FALSE)))</f>
        <v/>
      </c>
      <c r="M222" s="506" t="str">
        <f>IF(D222="","",VLOOKUP(D222,'G-6 Hedgerow Data'!$B$1:$AH$15,33,FALSE))</f>
        <v/>
      </c>
      <c r="N222" s="513" t="str">
        <f t="shared" si="23"/>
        <v/>
      </c>
      <c r="O222" s="40"/>
      <c r="P222" s="145"/>
      <c r="Q222" s="157"/>
      <c r="R222" s="507" t="str">
        <f t="shared" si="24"/>
        <v/>
      </c>
      <c r="S222" s="507" t="str">
        <f t="shared" si="25"/>
        <v/>
      </c>
      <c r="T222" s="511" t="str">
        <f t="shared" si="26"/>
        <v/>
      </c>
      <c r="U222" s="515"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8" x14ac:dyDescent="0.25">
      <c r="B223" s="141">
        <v>214</v>
      </c>
      <c r="C223" s="203"/>
      <c r="D223" s="203"/>
      <c r="E223" s="153"/>
      <c r="F223" s="498" t="str">
        <f>IF(D223="","",VLOOKUP(D223,'G-6 Hedgerow Data'!$B$2:$AG$15,2,FALSE))</f>
        <v/>
      </c>
      <c r="G223" s="499" t="str">
        <f>IF(D223="","",VLOOKUP(D223,'G-6 Hedgerow Data'!$B$2:$AG$15,3,FALSE))</f>
        <v/>
      </c>
      <c r="H223" s="145"/>
      <c r="I223" s="499" t="str">
        <f>IFERROR(IF(AND(F223="V.Low",OR(H223="Good",H223="Moderate")),"Error ▲",VLOOKUP(H223,'G-1 All Habitats'!$Z$2:$AA$9,2,FALSE)),"")</f>
        <v/>
      </c>
      <c r="J223" s="154"/>
      <c r="K223" s="520" t="str">
        <f>IF(J223="","",IF(VLOOKUP(J223,'G-3 Multipliers'!$L$3:$N$6,2,FALSE)=0,"Spatial Data Missing ⚠",VLOOKUP(J223,'G-3 Multipliers'!$L$3:$N$6,2,FALSE)))</f>
        <v/>
      </c>
      <c r="L223" s="524" t="str">
        <f>IF(J223="","",IF(VLOOKUP(J223,'G-3 Multipliers'!$L$3:$N$6,3,FALSE)=0,"Spatial Data Missing ⚠",VLOOKUP(J223,'G-3 Multipliers'!$L$3:$N$6,3,FALSE)))</f>
        <v/>
      </c>
      <c r="M223" s="506" t="str">
        <f>IF(D223="","",VLOOKUP(D223,'G-6 Hedgerow Data'!$B$1:$AH$15,33,FALSE))</f>
        <v/>
      </c>
      <c r="N223" s="513" t="str">
        <f t="shared" si="23"/>
        <v/>
      </c>
      <c r="O223" s="40"/>
      <c r="P223" s="145"/>
      <c r="Q223" s="157"/>
      <c r="R223" s="507" t="str">
        <f t="shared" si="24"/>
        <v/>
      </c>
      <c r="S223" s="507" t="str">
        <f t="shared" si="25"/>
        <v/>
      </c>
      <c r="T223" s="511" t="str">
        <f t="shared" si="26"/>
        <v/>
      </c>
      <c r="U223" s="515"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8" x14ac:dyDescent="0.25">
      <c r="B224" s="141">
        <v>215</v>
      </c>
      <c r="C224" s="203"/>
      <c r="D224" s="203"/>
      <c r="E224" s="153"/>
      <c r="F224" s="498" t="str">
        <f>IF(D224="","",VLOOKUP(D224,'G-6 Hedgerow Data'!$B$2:$AG$15,2,FALSE))</f>
        <v/>
      </c>
      <c r="G224" s="499" t="str">
        <f>IF(D224="","",VLOOKUP(D224,'G-6 Hedgerow Data'!$B$2:$AG$15,3,FALSE))</f>
        <v/>
      </c>
      <c r="H224" s="145"/>
      <c r="I224" s="499" t="str">
        <f>IFERROR(IF(AND(F224="V.Low",OR(H224="Good",H224="Moderate")),"Error ▲",VLOOKUP(H224,'G-1 All Habitats'!$Z$2:$AA$9,2,FALSE)),"")</f>
        <v/>
      </c>
      <c r="J224" s="154"/>
      <c r="K224" s="520" t="str">
        <f>IF(J224="","",IF(VLOOKUP(J224,'G-3 Multipliers'!$L$3:$N$6,2,FALSE)=0,"Spatial Data Missing ⚠",VLOOKUP(J224,'G-3 Multipliers'!$L$3:$N$6,2,FALSE)))</f>
        <v/>
      </c>
      <c r="L224" s="524" t="str">
        <f>IF(J224="","",IF(VLOOKUP(J224,'G-3 Multipliers'!$L$3:$N$6,3,FALSE)=0,"Spatial Data Missing ⚠",VLOOKUP(J224,'G-3 Multipliers'!$L$3:$N$6,3,FALSE)))</f>
        <v/>
      </c>
      <c r="M224" s="506" t="str">
        <f>IF(D224="","",VLOOKUP(D224,'G-6 Hedgerow Data'!$B$1:$AH$15,33,FALSE))</f>
        <v/>
      </c>
      <c r="N224" s="513" t="str">
        <f t="shared" si="23"/>
        <v/>
      </c>
      <c r="O224" s="40"/>
      <c r="P224" s="145"/>
      <c r="Q224" s="157"/>
      <c r="R224" s="507" t="str">
        <f t="shared" si="24"/>
        <v/>
      </c>
      <c r="S224" s="507" t="str">
        <f t="shared" si="25"/>
        <v/>
      </c>
      <c r="T224" s="511" t="str">
        <f t="shared" si="26"/>
        <v/>
      </c>
      <c r="U224" s="515"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8" x14ac:dyDescent="0.25">
      <c r="B225" s="141">
        <v>216</v>
      </c>
      <c r="C225" s="203"/>
      <c r="D225" s="203"/>
      <c r="E225" s="153"/>
      <c r="F225" s="498" t="str">
        <f>IF(D225="","",VLOOKUP(D225,'G-6 Hedgerow Data'!$B$2:$AG$15,2,FALSE))</f>
        <v/>
      </c>
      <c r="G225" s="499" t="str">
        <f>IF(D225="","",VLOOKUP(D225,'G-6 Hedgerow Data'!$B$2:$AG$15,3,FALSE))</f>
        <v/>
      </c>
      <c r="H225" s="145"/>
      <c r="I225" s="499" t="str">
        <f>IFERROR(IF(AND(F225="V.Low",OR(H225="Good",H225="Moderate")),"Error ▲",VLOOKUP(H225,'G-1 All Habitats'!$Z$2:$AA$9,2,FALSE)),"")</f>
        <v/>
      </c>
      <c r="J225" s="154"/>
      <c r="K225" s="520" t="str">
        <f>IF(J225="","",IF(VLOOKUP(J225,'G-3 Multipliers'!$L$3:$N$6,2,FALSE)=0,"Spatial Data Missing ⚠",VLOOKUP(J225,'G-3 Multipliers'!$L$3:$N$6,2,FALSE)))</f>
        <v/>
      </c>
      <c r="L225" s="524" t="str">
        <f>IF(J225="","",IF(VLOOKUP(J225,'G-3 Multipliers'!$L$3:$N$6,3,FALSE)=0,"Spatial Data Missing ⚠",VLOOKUP(J225,'G-3 Multipliers'!$L$3:$N$6,3,FALSE)))</f>
        <v/>
      </c>
      <c r="M225" s="506" t="str">
        <f>IF(D225="","",VLOOKUP(D225,'G-6 Hedgerow Data'!$B$1:$AH$15,33,FALSE))</f>
        <v/>
      </c>
      <c r="N225" s="513" t="str">
        <f t="shared" si="23"/>
        <v/>
      </c>
      <c r="O225" s="40"/>
      <c r="P225" s="145"/>
      <c r="Q225" s="157"/>
      <c r="R225" s="507" t="str">
        <f t="shared" si="24"/>
        <v/>
      </c>
      <c r="S225" s="507" t="str">
        <f t="shared" si="25"/>
        <v/>
      </c>
      <c r="T225" s="511" t="str">
        <f t="shared" si="26"/>
        <v/>
      </c>
      <c r="U225" s="515"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8" x14ac:dyDescent="0.25">
      <c r="B226" s="141">
        <v>217</v>
      </c>
      <c r="C226" s="203"/>
      <c r="D226" s="203"/>
      <c r="E226" s="153"/>
      <c r="F226" s="498" t="str">
        <f>IF(D226="","",VLOOKUP(D226,'G-6 Hedgerow Data'!$B$2:$AG$15,2,FALSE))</f>
        <v/>
      </c>
      <c r="G226" s="499" t="str">
        <f>IF(D226="","",VLOOKUP(D226,'G-6 Hedgerow Data'!$B$2:$AG$15,3,FALSE))</f>
        <v/>
      </c>
      <c r="H226" s="145"/>
      <c r="I226" s="499" t="str">
        <f>IFERROR(IF(AND(F226="V.Low",OR(H226="Good",H226="Moderate")),"Error ▲",VLOOKUP(H226,'G-1 All Habitats'!$Z$2:$AA$9,2,FALSE)),"")</f>
        <v/>
      </c>
      <c r="J226" s="154"/>
      <c r="K226" s="520" t="str">
        <f>IF(J226="","",IF(VLOOKUP(J226,'G-3 Multipliers'!$L$3:$N$6,2,FALSE)=0,"Spatial Data Missing ⚠",VLOOKUP(J226,'G-3 Multipliers'!$L$3:$N$6,2,FALSE)))</f>
        <v/>
      </c>
      <c r="L226" s="524" t="str">
        <f>IF(J226="","",IF(VLOOKUP(J226,'G-3 Multipliers'!$L$3:$N$6,3,FALSE)=0,"Spatial Data Missing ⚠",VLOOKUP(J226,'G-3 Multipliers'!$L$3:$N$6,3,FALSE)))</f>
        <v/>
      </c>
      <c r="M226" s="506" t="str">
        <f>IF(D226="","",VLOOKUP(D226,'G-6 Hedgerow Data'!$B$1:$AH$15,33,FALSE))</f>
        <v/>
      </c>
      <c r="N226" s="513" t="str">
        <f t="shared" si="23"/>
        <v/>
      </c>
      <c r="O226" s="40"/>
      <c r="P226" s="145"/>
      <c r="Q226" s="157"/>
      <c r="R226" s="507" t="str">
        <f t="shared" si="24"/>
        <v/>
      </c>
      <c r="S226" s="507" t="str">
        <f t="shared" si="25"/>
        <v/>
      </c>
      <c r="T226" s="511" t="str">
        <f t="shared" si="26"/>
        <v/>
      </c>
      <c r="U226" s="515"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8" x14ac:dyDescent="0.25">
      <c r="B227" s="141">
        <v>218</v>
      </c>
      <c r="C227" s="203"/>
      <c r="D227" s="203"/>
      <c r="E227" s="153"/>
      <c r="F227" s="498" t="str">
        <f>IF(D227="","",VLOOKUP(D227,'G-6 Hedgerow Data'!$B$2:$AG$15,2,FALSE))</f>
        <v/>
      </c>
      <c r="G227" s="499" t="str">
        <f>IF(D227="","",VLOOKUP(D227,'G-6 Hedgerow Data'!$B$2:$AG$15,3,FALSE))</f>
        <v/>
      </c>
      <c r="H227" s="145"/>
      <c r="I227" s="499" t="str">
        <f>IFERROR(IF(AND(F227="V.Low",OR(H227="Good",H227="Moderate")),"Error ▲",VLOOKUP(H227,'G-1 All Habitats'!$Z$2:$AA$9,2,FALSE)),"")</f>
        <v/>
      </c>
      <c r="J227" s="154"/>
      <c r="K227" s="520" t="str">
        <f>IF(J227="","",IF(VLOOKUP(J227,'G-3 Multipliers'!$L$3:$N$6,2,FALSE)=0,"Spatial Data Missing ⚠",VLOOKUP(J227,'G-3 Multipliers'!$L$3:$N$6,2,FALSE)))</f>
        <v/>
      </c>
      <c r="L227" s="524" t="str">
        <f>IF(J227="","",IF(VLOOKUP(J227,'G-3 Multipliers'!$L$3:$N$6,3,FALSE)=0,"Spatial Data Missing ⚠",VLOOKUP(J227,'G-3 Multipliers'!$L$3:$N$6,3,FALSE)))</f>
        <v/>
      </c>
      <c r="M227" s="506" t="str">
        <f>IF(D227="","",VLOOKUP(D227,'G-6 Hedgerow Data'!$B$1:$AH$15,33,FALSE))</f>
        <v/>
      </c>
      <c r="N227" s="513" t="str">
        <f t="shared" si="23"/>
        <v/>
      </c>
      <c r="O227" s="40"/>
      <c r="P227" s="145"/>
      <c r="Q227" s="157"/>
      <c r="R227" s="507" t="str">
        <f t="shared" si="24"/>
        <v/>
      </c>
      <c r="S227" s="507" t="str">
        <f t="shared" si="25"/>
        <v/>
      </c>
      <c r="T227" s="511" t="str">
        <f t="shared" si="26"/>
        <v/>
      </c>
      <c r="U227" s="515"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8" x14ac:dyDescent="0.25">
      <c r="B228" s="141">
        <v>219</v>
      </c>
      <c r="C228" s="203"/>
      <c r="D228" s="203"/>
      <c r="E228" s="153"/>
      <c r="F228" s="498" t="str">
        <f>IF(D228="","",VLOOKUP(D228,'G-6 Hedgerow Data'!$B$2:$AG$15,2,FALSE))</f>
        <v/>
      </c>
      <c r="G228" s="499" t="str">
        <f>IF(D228="","",VLOOKUP(D228,'G-6 Hedgerow Data'!$B$2:$AG$15,3,FALSE))</f>
        <v/>
      </c>
      <c r="H228" s="145"/>
      <c r="I228" s="499" t="str">
        <f>IFERROR(IF(AND(F228="V.Low",OR(H228="Good",H228="Moderate")),"Error ▲",VLOOKUP(H228,'G-1 All Habitats'!$Z$2:$AA$9,2,FALSE)),"")</f>
        <v/>
      </c>
      <c r="J228" s="154"/>
      <c r="K228" s="520" t="str">
        <f>IF(J228="","",IF(VLOOKUP(J228,'G-3 Multipliers'!$L$3:$N$6,2,FALSE)=0,"Spatial Data Missing ⚠",VLOOKUP(J228,'G-3 Multipliers'!$L$3:$N$6,2,FALSE)))</f>
        <v/>
      </c>
      <c r="L228" s="524" t="str">
        <f>IF(J228="","",IF(VLOOKUP(J228,'G-3 Multipliers'!$L$3:$N$6,3,FALSE)=0,"Spatial Data Missing ⚠",VLOOKUP(J228,'G-3 Multipliers'!$L$3:$N$6,3,FALSE)))</f>
        <v/>
      </c>
      <c r="M228" s="506" t="str">
        <f>IF(D228="","",VLOOKUP(D228,'G-6 Hedgerow Data'!$B$1:$AH$15,33,FALSE))</f>
        <v/>
      </c>
      <c r="N228" s="513" t="str">
        <f t="shared" si="23"/>
        <v/>
      </c>
      <c r="O228" s="40"/>
      <c r="P228" s="145"/>
      <c r="Q228" s="157"/>
      <c r="R228" s="507" t="str">
        <f t="shared" si="24"/>
        <v/>
      </c>
      <c r="S228" s="507" t="str">
        <f t="shared" si="25"/>
        <v/>
      </c>
      <c r="T228" s="511" t="str">
        <f t="shared" si="26"/>
        <v/>
      </c>
      <c r="U228" s="515"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8" x14ac:dyDescent="0.25">
      <c r="B229" s="141">
        <v>220</v>
      </c>
      <c r="C229" s="203"/>
      <c r="D229" s="203"/>
      <c r="E229" s="153"/>
      <c r="F229" s="498" t="str">
        <f>IF(D229="","",VLOOKUP(D229,'G-6 Hedgerow Data'!$B$2:$AG$15,2,FALSE))</f>
        <v/>
      </c>
      <c r="G229" s="499" t="str">
        <f>IF(D229="","",VLOOKUP(D229,'G-6 Hedgerow Data'!$B$2:$AG$15,3,FALSE))</f>
        <v/>
      </c>
      <c r="H229" s="145"/>
      <c r="I229" s="499" t="str">
        <f>IFERROR(IF(AND(F229="V.Low",OR(H229="Good",H229="Moderate")),"Error ▲",VLOOKUP(H229,'G-1 All Habitats'!$Z$2:$AA$9,2,FALSE)),"")</f>
        <v/>
      </c>
      <c r="J229" s="154"/>
      <c r="K229" s="520" t="str">
        <f>IF(J229="","",IF(VLOOKUP(J229,'G-3 Multipliers'!$L$3:$N$6,2,FALSE)=0,"Spatial Data Missing ⚠",VLOOKUP(J229,'G-3 Multipliers'!$L$3:$N$6,2,FALSE)))</f>
        <v/>
      </c>
      <c r="L229" s="524" t="str">
        <f>IF(J229="","",IF(VLOOKUP(J229,'G-3 Multipliers'!$L$3:$N$6,3,FALSE)=0,"Spatial Data Missing ⚠",VLOOKUP(J229,'G-3 Multipliers'!$L$3:$N$6,3,FALSE)))</f>
        <v/>
      </c>
      <c r="M229" s="506" t="str">
        <f>IF(D229="","",VLOOKUP(D229,'G-6 Hedgerow Data'!$B$1:$AH$15,33,FALSE))</f>
        <v/>
      </c>
      <c r="N229" s="513" t="str">
        <f t="shared" si="23"/>
        <v/>
      </c>
      <c r="O229" s="40"/>
      <c r="P229" s="145"/>
      <c r="Q229" s="157"/>
      <c r="R229" s="507" t="str">
        <f t="shared" si="24"/>
        <v/>
      </c>
      <c r="S229" s="507" t="str">
        <f t="shared" si="25"/>
        <v/>
      </c>
      <c r="T229" s="511" t="str">
        <f t="shared" si="26"/>
        <v/>
      </c>
      <c r="U229" s="515"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8" x14ac:dyDescent="0.25">
      <c r="B230" s="141">
        <v>221</v>
      </c>
      <c r="C230" s="203"/>
      <c r="D230" s="203"/>
      <c r="E230" s="153"/>
      <c r="F230" s="498" t="str">
        <f>IF(D230="","",VLOOKUP(D230,'G-6 Hedgerow Data'!$B$2:$AG$15,2,FALSE))</f>
        <v/>
      </c>
      <c r="G230" s="499" t="str">
        <f>IF(D230="","",VLOOKUP(D230,'G-6 Hedgerow Data'!$B$2:$AG$15,3,FALSE))</f>
        <v/>
      </c>
      <c r="H230" s="145"/>
      <c r="I230" s="499" t="str">
        <f>IFERROR(IF(AND(F230="V.Low",OR(H230="Good",H230="Moderate")),"Error ▲",VLOOKUP(H230,'G-1 All Habitats'!$Z$2:$AA$9,2,FALSE)),"")</f>
        <v/>
      </c>
      <c r="J230" s="154"/>
      <c r="K230" s="520" t="str">
        <f>IF(J230="","",IF(VLOOKUP(J230,'G-3 Multipliers'!$L$3:$N$6,2,FALSE)=0,"Spatial Data Missing ⚠",VLOOKUP(J230,'G-3 Multipliers'!$L$3:$N$6,2,FALSE)))</f>
        <v/>
      </c>
      <c r="L230" s="524" t="str">
        <f>IF(J230="","",IF(VLOOKUP(J230,'G-3 Multipliers'!$L$3:$N$6,3,FALSE)=0,"Spatial Data Missing ⚠",VLOOKUP(J230,'G-3 Multipliers'!$L$3:$N$6,3,FALSE)))</f>
        <v/>
      </c>
      <c r="M230" s="506" t="str">
        <f>IF(D230="","",VLOOKUP(D230,'G-6 Hedgerow Data'!$B$1:$AH$15,33,FALSE))</f>
        <v/>
      </c>
      <c r="N230" s="513" t="str">
        <f t="shared" si="23"/>
        <v/>
      </c>
      <c r="O230" s="40"/>
      <c r="P230" s="145"/>
      <c r="Q230" s="157"/>
      <c r="R230" s="507" t="str">
        <f t="shared" si="24"/>
        <v/>
      </c>
      <c r="S230" s="507" t="str">
        <f t="shared" si="25"/>
        <v/>
      </c>
      <c r="T230" s="511" t="str">
        <f t="shared" si="26"/>
        <v/>
      </c>
      <c r="U230" s="515"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8" x14ac:dyDescent="0.25">
      <c r="B231" s="141">
        <v>222</v>
      </c>
      <c r="C231" s="203"/>
      <c r="D231" s="203"/>
      <c r="E231" s="153"/>
      <c r="F231" s="498" t="str">
        <f>IF(D231="","",VLOOKUP(D231,'G-6 Hedgerow Data'!$B$2:$AG$15,2,FALSE))</f>
        <v/>
      </c>
      <c r="G231" s="499" t="str">
        <f>IF(D231="","",VLOOKUP(D231,'G-6 Hedgerow Data'!$B$2:$AG$15,3,FALSE))</f>
        <v/>
      </c>
      <c r="H231" s="145"/>
      <c r="I231" s="499" t="str">
        <f>IFERROR(IF(AND(F231="V.Low",OR(H231="Good",H231="Moderate")),"Error ▲",VLOOKUP(H231,'G-1 All Habitats'!$Z$2:$AA$9,2,FALSE)),"")</f>
        <v/>
      </c>
      <c r="J231" s="154"/>
      <c r="K231" s="520" t="str">
        <f>IF(J231="","",IF(VLOOKUP(J231,'G-3 Multipliers'!$L$3:$N$6,2,FALSE)=0,"Spatial Data Missing ⚠",VLOOKUP(J231,'G-3 Multipliers'!$L$3:$N$6,2,FALSE)))</f>
        <v/>
      </c>
      <c r="L231" s="524" t="str">
        <f>IF(J231="","",IF(VLOOKUP(J231,'G-3 Multipliers'!$L$3:$N$6,3,FALSE)=0,"Spatial Data Missing ⚠",VLOOKUP(J231,'G-3 Multipliers'!$L$3:$N$6,3,FALSE)))</f>
        <v/>
      </c>
      <c r="M231" s="506" t="str">
        <f>IF(D231="","",VLOOKUP(D231,'G-6 Hedgerow Data'!$B$1:$AH$15,33,FALSE))</f>
        <v/>
      </c>
      <c r="N231" s="513" t="str">
        <f t="shared" si="23"/>
        <v/>
      </c>
      <c r="O231" s="40"/>
      <c r="P231" s="145"/>
      <c r="Q231" s="157"/>
      <c r="R231" s="507" t="str">
        <f t="shared" si="24"/>
        <v/>
      </c>
      <c r="S231" s="507" t="str">
        <f t="shared" si="25"/>
        <v/>
      </c>
      <c r="T231" s="511" t="str">
        <f t="shared" si="26"/>
        <v/>
      </c>
      <c r="U231" s="515"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8" x14ac:dyDescent="0.25">
      <c r="B232" s="141">
        <v>223</v>
      </c>
      <c r="C232" s="203"/>
      <c r="D232" s="203"/>
      <c r="E232" s="153"/>
      <c r="F232" s="498" t="str">
        <f>IF(D232="","",VLOOKUP(D232,'G-6 Hedgerow Data'!$B$2:$AG$15,2,FALSE))</f>
        <v/>
      </c>
      <c r="G232" s="499" t="str">
        <f>IF(D232="","",VLOOKUP(D232,'G-6 Hedgerow Data'!$B$2:$AG$15,3,FALSE))</f>
        <v/>
      </c>
      <c r="H232" s="145"/>
      <c r="I232" s="499" t="str">
        <f>IFERROR(IF(AND(F232="V.Low",OR(H232="Good",H232="Moderate")),"Error ▲",VLOOKUP(H232,'G-1 All Habitats'!$Z$2:$AA$9,2,FALSE)),"")</f>
        <v/>
      </c>
      <c r="J232" s="154"/>
      <c r="K232" s="520" t="str">
        <f>IF(J232="","",IF(VLOOKUP(J232,'G-3 Multipliers'!$L$3:$N$6,2,FALSE)=0,"Spatial Data Missing ⚠",VLOOKUP(J232,'G-3 Multipliers'!$L$3:$N$6,2,FALSE)))</f>
        <v/>
      </c>
      <c r="L232" s="524" t="str">
        <f>IF(J232="","",IF(VLOOKUP(J232,'G-3 Multipliers'!$L$3:$N$6,3,FALSE)=0,"Spatial Data Missing ⚠",VLOOKUP(J232,'G-3 Multipliers'!$L$3:$N$6,3,FALSE)))</f>
        <v/>
      </c>
      <c r="M232" s="506" t="str">
        <f>IF(D232="","",VLOOKUP(D232,'G-6 Hedgerow Data'!$B$1:$AH$15,33,FALSE))</f>
        <v/>
      </c>
      <c r="N232" s="513" t="str">
        <f t="shared" si="23"/>
        <v/>
      </c>
      <c r="O232" s="40"/>
      <c r="P232" s="145"/>
      <c r="Q232" s="157"/>
      <c r="R232" s="507" t="str">
        <f t="shared" si="24"/>
        <v/>
      </c>
      <c r="S232" s="507" t="str">
        <f t="shared" si="25"/>
        <v/>
      </c>
      <c r="T232" s="511" t="str">
        <f t="shared" si="26"/>
        <v/>
      </c>
      <c r="U232" s="515"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8" x14ac:dyDescent="0.25">
      <c r="B233" s="141">
        <v>224</v>
      </c>
      <c r="C233" s="203"/>
      <c r="D233" s="203"/>
      <c r="E233" s="153"/>
      <c r="F233" s="498" t="str">
        <f>IF(D233="","",VLOOKUP(D233,'G-6 Hedgerow Data'!$B$2:$AG$15,2,FALSE))</f>
        <v/>
      </c>
      <c r="G233" s="499" t="str">
        <f>IF(D233="","",VLOOKUP(D233,'G-6 Hedgerow Data'!$B$2:$AG$15,3,FALSE))</f>
        <v/>
      </c>
      <c r="H233" s="145"/>
      <c r="I233" s="499" t="str">
        <f>IFERROR(IF(AND(F233="V.Low",OR(H233="Good",H233="Moderate")),"Error ▲",VLOOKUP(H233,'G-1 All Habitats'!$Z$2:$AA$9,2,FALSE)),"")</f>
        <v/>
      </c>
      <c r="J233" s="154"/>
      <c r="K233" s="520" t="str">
        <f>IF(J233="","",IF(VLOOKUP(J233,'G-3 Multipliers'!$L$3:$N$6,2,FALSE)=0,"Spatial Data Missing ⚠",VLOOKUP(J233,'G-3 Multipliers'!$L$3:$N$6,2,FALSE)))</f>
        <v/>
      </c>
      <c r="L233" s="524" t="str">
        <f>IF(J233="","",IF(VLOOKUP(J233,'G-3 Multipliers'!$L$3:$N$6,3,FALSE)=0,"Spatial Data Missing ⚠",VLOOKUP(J233,'G-3 Multipliers'!$L$3:$N$6,3,FALSE)))</f>
        <v/>
      </c>
      <c r="M233" s="506" t="str">
        <f>IF(D233="","",VLOOKUP(D233,'G-6 Hedgerow Data'!$B$1:$AH$15,33,FALSE))</f>
        <v/>
      </c>
      <c r="N233" s="513" t="str">
        <f t="shared" si="23"/>
        <v/>
      </c>
      <c r="O233" s="40"/>
      <c r="P233" s="145"/>
      <c r="Q233" s="157"/>
      <c r="R233" s="507" t="str">
        <f t="shared" si="24"/>
        <v/>
      </c>
      <c r="S233" s="507" t="str">
        <f t="shared" si="25"/>
        <v/>
      </c>
      <c r="T233" s="511" t="str">
        <f t="shared" si="26"/>
        <v/>
      </c>
      <c r="U233" s="515"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8" x14ac:dyDescent="0.25">
      <c r="B234" s="141">
        <v>225</v>
      </c>
      <c r="C234" s="203"/>
      <c r="D234" s="203"/>
      <c r="E234" s="153"/>
      <c r="F234" s="498" t="str">
        <f>IF(D234="","",VLOOKUP(D234,'G-6 Hedgerow Data'!$B$2:$AG$15,2,FALSE))</f>
        <v/>
      </c>
      <c r="G234" s="499" t="str">
        <f>IF(D234="","",VLOOKUP(D234,'G-6 Hedgerow Data'!$B$2:$AG$15,3,FALSE))</f>
        <v/>
      </c>
      <c r="H234" s="145"/>
      <c r="I234" s="499" t="str">
        <f>IFERROR(IF(AND(F234="V.Low",OR(H234="Good",H234="Moderate")),"Error ▲",VLOOKUP(H234,'G-1 All Habitats'!$Z$2:$AA$9,2,FALSE)),"")</f>
        <v/>
      </c>
      <c r="J234" s="154"/>
      <c r="K234" s="520" t="str">
        <f>IF(J234="","",IF(VLOOKUP(J234,'G-3 Multipliers'!$L$3:$N$6,2,FALSE)=0,"Spatial Data Missing ⚠",VLOOKUP(J234,'G-3 Multipliers'!$L$3:$N$6,2,FALSE)))</f>
        <v/>
      </c>
      <c r="L234" s="524" t="str">
        <f>IF(J234="","",IF(VLOOKUP(J234,'G-3 Multipliers'!$L$3:$N$6,3,FALSE)=0,"Spatial Data Missing ⚠",VLOOKUP(J234,'G-3 Multipliers'!$L$3:$N$6,3,FALSE)))</f>
        <v/>
      </c>
      <c r="M234" s="506" t="str">
        <f>IF(D234="","",VLOOKUP(D234,'G-6 Hedgerow Data'!$B$1:$AH$15,33,FALSE))</f>
        <v/>
      </c>
      <c r="N234" s="513" t="str">
        <f t="shared" si="23"/>
        <v/>
      </c>
      <c r="O234" s="40"/>
      <c r="P234" s="145"/>
      <c r="Q234" s="157"/>
      <c r="R234" s="507" t="str">
        <f t="shared" si="24"/>
        <v/>
      </c>
      <c r="S234" s="507" t="str">
        <f t="shared" si="25"/>
        <v/>
      </c>
      <c r="T234" s="511" t="str">
        <f t="shared" si="26"/>
        <v/>
      </c>
      <c r="U234" s="515"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8" x14ac:dyDescent="0.25">
      <c r="B235" s="141">
        <v>226</v>
      </c>
      <c r="C235" s="203"/>
      <c r="D235" s="203"/>
      <c r="E235" s="153"/>
      <c r="F235" s="498" t="str">
        <f>IF(D235="","",VLOOKUP(D235,'G-6 Hedgerow Data'!$B$2:$AG$15,2,FALSE))</f>
        <v/>
      </c>
      <c r="G235" s="499" t="str">
        <f>IF(D235="","",VLOOKUP(D235,'G-6 Hedgerow Data'!$B$2:$AG$15,3,FALSE))</f>
        <v/>
      </c>
      <c r="H235" s="145"/>
      <c r="I235" s="499" t="str">
        <f>IFERROR(IF(AND(F235="V.Low",OR(H235="Good",H235="Moderate")),"Error ▲",VLOOKUP(H235,'G-1 All Habitats'!$Z$2:$AA$9,2,FALSE)),"")</f>
        <v/>
      </c>
      <c r="J235" s="154"/>
      <c r="K235" s="520" t="str">
        <f>IF(J235="","",IF(VLOOKUP(J235,'G-3 Multipliers'!$L$3:$N$6,2,FALSE)=0,"Spatial Data Missing ⚠",VLOOKUP(J235,'G-3 Multipliers'!$L$3:$N$6,2,FALSE)))</f>
        <v/>
      </c>
      <c r="L235" s="524" t="str">
        <f>IF(J235="","",IF(VLOOKUP(J235,'G-3 Multipliers'!$L$3:$N$6,3,FALSE)=0,"Spatial Data Missing ⚠",VLOOKUP(J235,'G-3 Multipliers'!$L$3:$N$6,3,FALSE)))</f>
        <v/>
      </c>
      <c r="M235" s="506" t="str">
        <f>IF(D235="","",VLOOKUP(D235,'G-6 Hedgerow Data'!$B$1:$AH$15,33,FALSE))</f>
        <v/>
      </c>
      <c r="N235" s="513" t="str">
        <f t="shared" si="23"/>
        <v/>
      </c>
      <c r="O235" s="40"/>
      <c r="P235" s="145"/>
      <c r="Q235" s="157"/>
      <c r="R235" s="507" t="str">
        <f t="shared" si="24"/>
        <v/>
      </c>
      <c r="S235" s="507" t="str">
        <f t="shared" si="25"/>
        <v/>
      </c>
      <c r="T235" s="511" t="str">
        <f t="shared" si="26"/>
        <v/>
      </c>
      <c r="U235" s="515"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8" x14ac:dyDescent="0.25">
      <c r="B236" s="141">
        <v>227</v>
      </c>
      <c r="C236" s="203"/>
      <c r="D236" s="203"/>
      <c r="E236" s="153"/>
      <c r="F236" s="498" t="str">
        <f>IF(D236="","",VLOOKUP(D236,'G-6 Hedgerow Data'!$B$2:$AG$15,2,FALSE))</f>
        <v/>
      </c>
      <c r="G236" s="499" t="str">
        <f>IF(D236="","",VLOOKUP(D236,'G-6 Hedgerow Data'!$B$2:$AG$15,3,FALSE))</f>
        <v/>
      </c>
      <c r="H236" s="145"/>
      <c r="I236" s="499" t="str">
        <f>IFERROR(IF(AND(F236="V.Low",OR(H236="Good",H236="Moderate")),"Error ▲",VLOOKUP(H236,'G-1 All Habitats'!$Z$2:$AA$9,2,FALSE)),"")</f>
        <v/>
      </c>
      <c r="J236" s="154"/>
      <c r="K236" s="520" t="str">
        <f>IF(J236="","",IF(VLOOKUP(J236,'G-3 Multipliers'!$L$3:$N$6,2,FALSE)=0,"Spatial Data Missing ⚠",VLOOKUP(J236,'G-3 Multipliers'!$L$3:$N$6,2,FALSE)))</f>
        <v/>
      </c>
      <c r="L236" s="524" t="str">
        <f>IF(J236="","",IF(VLOOKUP(J236,'G-3 Multipliers'!$L$3:$N$6,3,FALSE)=0,"Spatial Data Missing ⚠",VLOOKUP(J236,'G-3 Multipliers'!$L$3:$N$6,3,FALSE)))</f>
        <v/>
      </c>
      <c r="M236" s="506" t="str">
        <f>IF(D236="","",VLOOKUP(D236,'G-6 Hedgerow Data'!$B$1:$AH$15,33,FALSE))</f>
        <v/>
      </c>
      <c r="N236" s="513" t="str">
        <f t="shared" si="23"/>
        <v/>
      </c>
      <c r="O236" s="40"/>
      <c r="P236" s="145"/>
      <c r="Q236" s="157"/>
      <c r="R236" s="507" t="str">
        <f t="shared" si="24"/>
        <v/>
      </c>
      <c r="S236" s="507" t="str">
        <f t="shared" si="25"/>
        <v/>
      </c>
      <c r="T236" s="511" t="str">
        <f t="shared" si="26"/>
        <v/>
      </c>
      <c r="U236" s="515"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8" x14ac:dyDescent="0.25">
      <c r="B237" s="141">
        <v>228</v>
      </c>
      <c r="C237" s="203"/>
      <c r="D237" s="203"/>
      <c r="E237" s="153"/>
      <c r="F237" s="498" t="str">
        <f>IF(D237="","",VLOOKUP(D237,'G-6 Hedgerow Data'!$B$2:$AG$15,2,FALSE))</f>
        <v/>
      </c>
      <c r="G237" s="499" t="str">
        <f>IF(D237="","",VLOOKUP(D237,'G-6 Hedgerow Data'!$B$2:$AG$15,3,FALSE))</f>
        <v/>
      </c>
      <c r="H237" s="145"/>
      <c r="I237" s="499" t="str">
        <f>IFERROR(IF(AND(F237="V.Low",OR(H237="Good",H237="Moderate")),"Error ▲",VLOOKUP(H237,'G-1 All Habitats'!$Z$2:$AA$9,2,FALSE)),"")</f>
        <v/>
      </c>
      <c r="J237" s="154"/>
      <c r="K237" s="520" t="str">
        <f>IF(J237="","",IF(VLOOKUP(J237,'G-3 Multipliers'!$L$3:$N$6,2,FALSE)=0,"Spatial Data Missing ⚠",VLOOKUP(J237,'G-3 Multipliers'!$L$3:$N$6,2,FALSE)))</f>
        <v/>
      </c>
      <c r="L237" s="524" t="str">
        <f>IF(J237="","",IF(VLOOKUP(J237,'G-3 Multipliers'!$L$3:$N$6,3,FALSE)=0,"Spatial Data Missing ⚠",VLOOKUP(J237,'G-3 Multipliers'!$L$3:$N$6,3,FALSE)))</f>
        <v/>
      </c>
      <c r="M237" s="506" t="str">
        <f>IF(D237="","",VLOOKUP(D237,'G-6 Hedgerow Data'!$B$1:$AH$15,33,FALSE))</f>
        <v/>
      </c>
      <c r="N237" s="513" t="str">
        <f t="shared" si="23"/>
        <v/>
      </c>
      <c r="O237" s="40"/>
      <c r="P237" s="145"/>
      <c r="Q237" s="157"/>
      <c r="R237" s="507" t="str">
        <f t="shared" si="24"/>
        <v/>
      </c>
      <c r="S237" s="507" t="str">
        <f t="shared" si="25"/>
        <v/>
      </c>
      <c r="T237" s="511" t="str">
        <f t="shared" si="26"/>
        <v/>
      </c>
      <c r="U237" s="515"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8" x14ac:dyDescent="0.25">
      <c r="B238" s="141">
        <v>229</v>
      </c>
      <c r="C238" s="203"/>
      <c r="D238" s="203"/>
      <c r="E238" s="153"/>
      <c r="F238" s="498" t="str">
        <f>IF(D238="","",VLOOKUP(D238,'G-6 Hedgerow Data'!$B$2:$AG$15,2,FALSE))</f>
        <v/>
      </c>
      <c r="G238" s="499" t="str">
        <f>IF(D238="","",VLOOKUP(D238,'G-6 Hedgerow Data'!$B$2:$AG$15,3,FALSE))</f>
        <v/>
      </c>
      <c r="H238" s="145"/>
      <c r="I238" s="499" t="str">
        <f>IFERROR(IF(AND(F238="V.Low",OR(H238="Good",H238="Moderate")),"Error ▲",VLOOKUP(H238,'G-1 All Habitats'!$Z$2:$AA$9,2,FALSE)),"")</f>
        <v/>
      </c>
      <c r="J238" s="154"/>
      <c r="K238" s="520" t="str">
        <f>IF(J238="","",IF(VLOOKUP(J238,'G-3 Multipliers'!$L$3:$N$6,2,FALSE)=0,"Spatial Data Missing ⚠",VLOOKUP(J238,'G-3 Multipliers'!$L$3:$N$6,2,FALSE)))</f>
        <v/>
      </c>
      <c r="L238" s="524" t="str">
        <f>IF(J238="","",IF(VLOOKUP(J238,'G-3 Multipliers'!$L$3:$N$6,3,FALSE)=0,"Spatial Data Missing ⚠",VLOOKUP(J238,'G-3 Multipliers'!$L$3:$N$6,3,FALSE)))</f>
        <v/>
      </c>
      <c r="M238" s="506" t="str">
        <f>IF(D238="","",VLOOKUP(D238,'G-6 Hedgerow Data'!$B$1:$AH$15,33,FALSE))</f>
        <v/>
      </c>
      <c r="N238" s="513" t="str">
        <f t="shared" si="23"/>
        <v/>
      </c>
      <c r="O238" s="40"/>
      <c r="P238" s="145"/>
      <c r="Q238" s="157"/>
      <c r="R238" s="507" t="str">
        <f t="shared" si="24"/>
        <v/>
      </c>
      <c r="S238" s="507" t="str">
        <f t="shared" si="25"/>
        <v/>
      </c>
      <c r="T238" s="511" t="str">
        <f t="shared" si="26"/>
        <v/>
      </c>
      <c r="U238" s="515"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8" x14ac:dyDescent="0.25">
      <c r="B239" s="141">
        <v>230</v>
      </c>
      <c r="C239" s="203"/>
      <c r="D239" s="203"/>
      <c r="E239" s="153"/>
      <c r="F239" s="498" t="str">
        <f>IF(D239="","",VLOOKUP(D239,'G-6 Hedgerow Data'!$B$2:$AG$15,2,FALSE))</f>
        <v/>
      </c>
      <c r="G239" s="499" t="str">
        <f>IF(D239="","",VLOOKUP(D239,'G-6 Hedgerow Data'!$B$2:$AG$15,3,FALSE))</f>
        <v/>
      </c>
      <c r="H239" s="145"/>
      <c r="I239" s="499" t="str">
        <f>IFERROR(IF(AND(F239="V.Low",OR(H239="Good",H239="Moderate")),"Error ▲",VLOOKUP(H239,'G-1 All Habitats'!$Z$2:$AA$9,2,FALSE)),"")</f>
        <v/>
      </c>
      <c r="J239" s="154"/>
      <c r="K239" s="520" t="str">
        <f>IF(J239="","",IF(VLOOKUP(J239,'G-3 Multipliers'!$L$3:$N$6,2,FALSE)=0,"Spatial Data Missing ⚠",VLOOKUP(J239,'G-3 Multipliers'!$L$3:$N$6,2,FALSE)))</f>
        <v/>
      </c>
      <c r="L239" s="524" t="str">
        <f>IF(J239="","",IF(VLOOKUP(J239,'G-3 Multipliers'!$L$3:$N$6,3,FALSE)=0,"Spatial Data Missing ⚠",VLOOKUP(J239,'G-3 Multipliers'!$L$3:$N$6,3,FALSE)))</f>
        <v/>
      </c>
      <c r="M239" s="506" t="str">
        <f>IF(D239="","",VLOOKUP(D239,'G-6 Hedgerow Data'!$B$1:$AH$15,33,FALSE))</f>
        <v/>
      </c>
      <c r="N239" s="513" t="str">
        <f t="shared" si="23"/>
        <v/>
      </c>
      <c r="O239" s="40"/>
      <c r="P239" s="145"/>
      <c r="Q239" s="157"/>
      <c r="R239" s="507" t="str">
        <f t="shared" si="24"/>
        <v/>
      </c>
      <c r="S239" s="507" t="str">
        <f t="shared" si="25"/>
        <v/>
      </c>
      <c r="T239" s="511" t="str">
        <f t="shared" si="26"/>
        <v/>
      </c>
      <c r="U239" s="515"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8" x14ac:dyDescent="0.25">
      <c r="B240" s="141">
        <v>231</v>
      </c>
      <c r="C240" s="203"/>
      <c r="D240" s="203"/>
      <c r="E240" s="153"/>
      <c r="F240" s="498" t="str">
        <f>IF(D240="","",VLOOKUP(D240,'G-6 Hedgerow Data'!$B$2:$AG$15,2,FALSE))</f>
        <v/>
      </c>
      <c r="G240" s="499" t="str">
        <f>IF(D240="","",VLOOKUP(D240,'G-6 Hedgerow Data'!$B$2:$AG$15,3,FALSE))</f>
        <v/>
      </c>
      <c r="H240" s="145"/>
      <c r="I240" s="499" t="str">
        <f>IFERROR(IF(AND(F240="V.Low",OR(H240="Good",H240="Moderate")),"Error ▲",VLOOKUP(H240,'G-1 All Habitats'!$Z$2:$AA$9,2,FALSE)),"")</f>
        <v/>
      </c>
      <c r="J240" s="154"/>
      <c r="K240" s="520" t="str">
        <f>IF(J240="","",IF(VLOOKUP(J240,'G-3 Multipliers'!$L$3:$N$6,2,FALSE)=0,"Spatial Data Missing ⚠",VLOOKUP(J240,'G-3 Multipliers'!$L$3:$N$6,2,FALSE)))</f>
        <v/>
      </c>
      <c r="L240" s="524" t="str">
        <f>IF(J240="","",IF(VLOOKUP(J240,'G-3 Multipliers'!$L$3:$N$6,3,FALSE)=0,"Spatial Data Missing ⚠",VLOOKUP(J240,'G-3 Multipliers'!$L$3:$N$6,3,FALSE)))</f>
        <v/>
      </c>
      <c r="M240" s="506" t="str">
        <f>IF(D240="","",VLOOKUP(D240,'G-6 Hedgerow Data'!$B$1:$AH$15,33,FALSE))</f>
        <v/>
      </c>
      <c r="N240" s="513" t="str">
        <f t="shared" si="23"/>
        <v/>
      </c>
      <c r="O240" s="40"/>
      <c r="P240" s="145"/>
      <c r="Q240" s="157"/>
      <c r="R240" s="507" t="str">
        <f t="shared" si="24"/>
        <v/>
      </c>
      <c r="S240" s="507" t="str">
        <f t="shared" si="25"/>
        <v/>
      </c>
      <c r="T240" s="511" t="str">
        <f t="shared" si="26"/>
        <v/>
      </c>
      <c r="U240" s="515"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8" x14ac:dyDescent="0.25">
      <c r="B241" s="141">
        <v>232</v>
      </c>
      <c r="C241" s="203"/>
      <c r="D241" s="203"/>
      <c r="E241" s="153"/>
      <c r="F241" s="498" t="str">
        <f>IF(D241="","",VLOOKUP(D241,'G-6 Hedgerow Data'!$B$2:$AG$15,2,FALSE))</f>
        <v/>
      </c>
      <c r="G241" s="499" t="str">
        <f>IF(D241="","",VLOOKUP(D241,'G-6 Hedgerow Data'!$B$2:$AG$15,3,FALSE))</f>
        <v/>
      </c>
      <c r="H241" s="145"/>
      <c r="I241" s="499" t="str">
        <f>IFERROR(IF(AND(F241="V.Low",OR(H241="Good",H241="Moderate")),"Error ▲",VLOOKUP(H241,'G-1 All Habitats'!$Z$2:$AA$9,2,FALSE)),"")</f>
        <v/>
      </c>
      <c r="J241" s="154"/>
      <c r="K241" s="520" t="str">
        <f>IF(J241="","",IF(VLOOKUP(J241,'G-3 Multipliers'!$L$3:$N$6,2,FALSE)=0,"Spatial Data Missing ⚠",VLOOKUP(J241,'G-3 Multipliers'!$L$3:$N$6,2,FALSE)))</f>
        <v/>
      </c>
      <c r="L241" s="524" t="str">
        <f>IF(J241="","",IF(VLOOKUP(J241,'G-3 Multipliers'!$L$3:$N$6,3,FALSE)=0,"Spatial Data Missing ⚠",VLOOKUP(J241,'G-3 Multipliers'!$L$3:$N$6,3,FALSE)))</f>
        <v/>
      </c>
      <c r="M241" s="506" t="str">
        <f>IF(D241="","",VLOOKUP(D241,'G-6 Hedgerow Data'!$B$1:$AH$15,33,FALSE))</f>
        <v/>
      </c>
      <c r="N241" s="513" t="str">
        <f t="shared" si="23"/>
        <v/>
      </c>
      <c r="O241" s="40"/>
      <c r="P241" s="145"/>
      <c r="Q241" s="157"/>
      <c r="R241" s="507" t="str">
        <f t="shared" si="24"/>
        <v/>
      </c>
      <c r="S241" s="507" t="str">
        <f t="shared" si="25"/>
        <v/>
      </c>
      <c r="T241" s="511" t="str">
        <f t="shared" si="26"/>
        <v/>
      </c>
      <c r="U241" s="515"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8" x14ac:dyDescent="0.25">
      <c r="B242" s="141">
        <v>233</v>
      </c>
      <c r="C242" s="203"/>
      <c r="D242" s="203"/>
      <c r="E242" s="153"/>
      <c r="F242" s="498" t="str">
        <f>IF(D242="","",VLOOKUP(D242,'G-6 Hedgerow Data'!$B$2:$AG$15,2,FALSE))</f>
        <v/>
      </c>
      <c r="G242" s="499" t="str">
        <f>IF(D242="","",VLOOKUP(D242,'G-6 Hedgerow Data'!$B$2:$AG$15,3,FALSE))</f>
        <v/>
      </c>
      <c r="H242" s="145"/>
      <c r="I242" s="499" t="str">
        <f>IFERROR(IF(AND(F242="V.Low",OR(H242="Good",H242="Moderate")),"Error ▲",VLOOKUP(H242,'G-1 All Habitats'!$Z$2:$AA$9,2,FALSE)),"")</f>
        <v/>
      </c>
      <c r="J242" s="154"/>
      <c r="K242" s="520" t="str">
        <f>IF(J242="","",IF(VLOOKUP(J242,'G-3 Multipliers'!$L$3:$N$6,2,FALSE)=0,"Spatial Data Missing ⚠",VLOOKUP(J242,'G-3 Multipliers'!$L$3:$N$6,2,FALSE)))</f>
        <v/>
      </c>
      <c r="L242" s="524" t="str">
        <f>IF(J242="","",IF(VLOOKUP(J242,'G-3 Multipliers'!$L$3:$N$6,3,FALSE)=0,"Spatial Data Missing ⚠",VLOOKUP(J242,'G-3 Multipliers'!$L$3:$N$6,3,FALSE)))</f>
        <v/>
      </c>
      <c r="M242" s="506" t="str">
        <f>IF(D242="","",VLOOKUP(D242,'G-6 Hedgerow Data'!$B$1:$AH$15,33,FALSE))</f>
        <v/>
      </c>
      <c r="N242" s="513" t="str">
        <f t="shared" si="23"/>
        <v/>
      </c>
      <c r="O242" s="40"/>
      <c r="P242" s="145"/>
      <c r="Q242" s="157"/>
      <c r="R242" s="507" t="str">
        <f t="shared" si="24"/>
        <v/>
      </c>
      <c r="S242" s="507" t="str">
        <f t="shared" si="25"/>
        <v/>
      </c>
      <c r="T242" s="511" t="str">
        <f t="shared" si="26"/>
        <v/>
      </c>
      <c r="U242" s="515"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8" x14ac:dyDescent="0.25">
      <c r="B243" s="141">
        <v>234</v>
      </c>
      <c r="C243" s="203"/>
      <c r="D243" s="203"/>
      <c r="E243" s="153"/>
      <c r="F243" s="498" t="str">
        <f>IF(D243="","",VLOOKUP(D243,'G-6 Hedgerow Data'!$B$2:$AG$15,2,FALSE))</f>
        <v/>
      </c>
      <c r="G243" s="499" t="str">
        <f>IF(D243="","",VLOOKUP(D243,'G-6 Hedgerow Data'!$B$2:$AG$15,3,FALSE))</f>
        <v/>
      </c>
      <c r="H243" s="145"/>
      <c r="I243" s="499" t="str">
        <f>IFERROR(IF(AND(F243="V.Low",OR(H243="Good",H243="Moderate")),"Error ▲",VLOOKUP(H243,'G-1 All Habitats'!$Z$2:$AA$9,2,FALSE)),"")</f>
        <v/>
      </c>
      <c r="J243" s="154"/>
      <c r="K243" s="520" t="str">
        <f>IF(J243="","",IF(VLOOKUP(J243,'G-3 Multipliers'!$L$3:$N$6,2,FALSE)=0,"Spatial Data Missing ⚠",VLOOKUP(J243,'G-3 Multipliers'!$L$3:$N$6,2,FALSE)))</f>
        <v/>
      </c>
      <c r="L243" s="524" t="str">
        <f>IF(J243="","",IF(VLOOKUP(J243,'G-3 Multipliers'!$L$3:$N$6,3,FALSE)=0,"Spatial Data Missing ⚠",VLOOKUP(J243,'G-3 Multipliers'!$L$3:$N$6,3,FALSE)))</f>
        <v/>
      </c>
      <c r="M243" s="506" t="str">
        <f>IF(D243="","",VLOOKUP(D243,'G-6 Hedgerow Data'!$B$1:$AH$15,33,FALSE))</f>
        <v/>
      </c>
      <c r="N243" s="513" t="str">
        <f t="shared" si="23"/>
        <v/>
      </c>
      <c r="O243" s="40"/>
      <c r="P243" s="145"/>
      <c r="Q243" s="157"/>
      <c r="R243" s="507" t="str">
        <f t="shared" si="24"/>
        <v/>
      </c>
      <c r="S243" s="507" t="str">
        <f t="shared" si="25"/>
        <v/>
      </c>
      <c r="T243" s="511" t="str">
        <f t="shared" si="26"/>
        <v/>
      </c>
      <c r="U243" s="515"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8" x14ac:dyDescent="0.25">
      <c r="B244" s="141">
        <v>235</v>
      </c>
      <c r="C244" s="203"/>
      <c r="D244" s="203"/>
      <c r="E244" s="153"/>
      <c r="F244" s="498" t="str">
        <f>IF(D244="","",VLOOKUP(D244,'G-6 Hedgerow Data'!$B$2:$AG$15,2,FALSE))</f>
        <v/>
      </c>
      <c r="G244" s="499" t="str">
        <f>IF(D244="","",VLOOKUP(D244,'G-6 Hedgerow Data'!$B$2:$AG$15,3,FALSE))</f>
        <v/>
      </c>
      <c r="H244" s="145"/>
      <c r="I244" s="499" t="str">
        <f>IFERROR(IF(AND(F244="V.Low",OR(H244="Good",H244="Moderate")),"Error ▲",VLOOKUP(H244,'G-1 All Habitats'!$Z$2:$AA$9,2,FALSE)),"")</f>
        <v/>
      </c>
      <c r="J244" s="154"/>
      <c r="K244" s="520" t="str">
        <f>IF(J244="","",IF(VLOOKUP(J244,'G-3 Multipliers'!$L$3:$N$6,2,FALSE)=0,"Spatial Data Missing ⚠",VLOOKUP(J244,'G-3 Multipliers'!$L$3:$N$6,2,FALSE)))</f>
        <v/>
      </c>
      <c r="L244" s="524" t="str">
        <f>IF(J244="","",IF(VLOOKUP(J244,'G-3 Multipliers'!$L$3:$N$6,3,FALSE)=0,"Spatial Data Missing ⚠",VLOOKUP(J244,'G-3 Multipliers'!$L$3:$N$6,3,FALSE)))</f>
        <v/>
      </c>
      <c r="M244" s="506" t="str">
        <f>IF(D244="","",VLOOKUP(D244,'G-6 Hedgerow Data'!$B$1:$AH$15,33,FALSE))</f>
        <v/>
      </c>
      <c r="N244" s="513" t="str">
        <f t="shared" si="23"/>
        <v/>
      </c>
      <c r="O244" s="40"/>
      <c r="P244" s="145"/>
      <c r="Q244" s="157"/>
      <c r="R244" s="507" t="str">
        <f t="shared" si="24"/>
        <v/>
      </c>
      <c r="S244" s="507" t="str">
        <f t="shared" si="25"/>
        <v/>
      </c>
      <c r="T244" s="511" t="str">
        <f t="shared" si="26"/>
        <v/>
      </c>
      <c r="U244" s="515"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8" x14ac:dyDescent="0.25">
      <c r="B245" s="141">
        <v>236</v>
      </c>
      <c r="C245" s="203"/>
      <c r="D245" s="203"/>
      <c r="E245" s="153"/>
      <c r="F245" s="498" t="str">
        <f>IF(D245="","",VLOOKUP(D245,'G-6 Hedgerow Data'!$B$2:$AG$15,2,FALSE))</f>
        <v/>
      </c>
      <c r="G245" s="499" t="str">
        <f>IF(D245="","",VLOOKUP(D245,'G-6 Hedgerow Data'!$B$2:$AG$15,3,FALSE))</f>
        <v/>
      </c>
      <c r="H245" s="145"/>
      <c r="I245" s="499" t="str">
        <f>IFERROR(IF(AND(F245="V.Low",OR(H245="Good",H245="Moderate")),"Error ▲",VLOOKUP(H245,'G-1 All Habitats'!$Z$2:$AA$9,2,FALSE)),"")</f>
        <v/>
      </c>
      <c r="J245" s="154"/>
      <c r="K245" s="520" t="str">
        <f>IF(J245="","",IF(VLOOKUP(J245,'G-3 Multipliers'!$L$3:$N$6,2,FALSE)=0,"Spatial Data Missing ⚠",VLOOKUP(J245,'G-3 Multipliers'!$L$3:$N$6,2,FALSE)))</f>
        <v/>
      </c>
      <c r="L245" s="524" t="str">
        <f>IF(J245="","",IF(VLOOKUP(J245,'G-3 Multipliers'!$L$3:$N$6,3,FALSE)=0,"Spatial Data Missing ⚠",VLOOKUP(J245,'G-3 Multipliers'!$L$3:$N$6,3,FALSE)))</f>
        <v/>
      </c>
      <c r="M245" s="506" t="str">
        <f>IF(D245="","",VLOOKUP(D245,'G-6 Hedgerow Data'!$B$1:$AH$15,33,FALSE))</f>
        <v/>
      </c>
      <c r="N245" s="513" t="str">
        <f t="shared" si="23"/>
        <v/>
      </c>
      <c r="O245" s="40"/>
      <c r="P245" s="145"/>
      <c r="Q245" s="157"/>
      <c r="R245" s="507" t="str">
        <f t="shared" si="24"/>
        <v/>
      </c>
      <c r="S245" s="507" t="str">
        <f t="shared" si="25"/>
        <v/>
      </c>
      <c r="T245" s="511" t="str">
        <f t="shared" si="26"/>
        <v/>
      </c>
      <c r="U245" s="515"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8" x14ac:dyDescent="0.25">
      <c r="B246" s="141">
        <v>237</v>
      </c>
      <c r="C246" s="203"/>
      <c r="D246" s="203"/>
      <c r="E246" s="153"/>
      <c r="F246" s="498" t="str">
        <f>IF(D246="","",VLOOKUP(D246,'G-6 Hedgerow Data'!$B$2:$AG$15,2,FALSE))</f>
        <v/>
      </c>
      <c r="G246" s="499" t="str">
        <f>IF(D246="","",VLOOKUP(D246,'G-6 Hedgerow Data'!$B$2:$AG$15,3,FALSE))</f>
        <v/>
      </c>
      <c r="H246" s="145"/>
      <c r="I246" s="499" t="str">
        <f>IFERROR(IF(AND(F246="V.Low",OR(H246="Good",H246="Moderate")),"Error ▲",VLOOKUP(H246,'G-1 All Habitats'!$Z$2:$AA$9,2,FALSE)),"")</f>
        <v/>
      </c>
      <c r="J246" s="154"/>
      <c r="K246" s="520" t="str">
        <f>IF(J246="","",IF(VLOOKUP(J246,'G-3 Multipliers'!$L$3:$N$6,2,FALSE)=0,"Spatial Data Missing ⚠",VLOOKUP(J246,'G-3 Multipliers'!$L$3:$N$6,2,FALSE)))</f>
        <v/>
      </c>
      <c r="L246" s="524" t="str">
        <f>IF(J246="","",IF(VLOOKUP(J246,'G-3 Multipliers'!$L$3:$N$6,3,FALSE)=0,"Spatial Data Missing ⚠",VLOOKUP(J246,'G-3 Multipliers'!$L$3:$N$6,3,FALSE)))</f>
        <v/>
      </c>
      <c r="M246" s="506" t="str">
        <f>IF(D246="","",VLOOKUP(D246,'G-6 Hedgerow Data'!$B$1:$AH$15,33,FALSE))</f>
        <v/>
      </c>
      <c r="N246" s="513" t="str">
        <f t="shared" si="23"/>
        <v/>
      </c>
      <c r="O246" s="40"/>
      <c r="P246" s="145"/>
      <c r="Q246" s="157"/>
      <c r="R246" s="507" t="str">
        <f t="shared" si="24"/>
        <v/>
      </c>
      <c r="S246" s="507" t="str">
        <f t="shared" si="25"/>
        <v/>
      </c>
      <c r="T246" s="511" t="str">
        <f t="shared" si="26"/>
        <v/>
      </c>
      <c r="U246" s="515"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8" x14ac:dyDescent="0.25">
      <c r="B247" s="141">
        <v>238</v>
      </c>
      <c r="C247" s="203"/>
      <c r="D247" s="203"/>
      <c r="E247" s="153"/>
      <c r="F247" s="498" t="str">
        <f>IF(D247="","",VLOOKUP(D247,'G-6 Hedgerow Data'!$B$2:$AG$15,2,FALSE))</f>
        <v/>
      </c>
      <c r="G247" s="499" t="str">
        <f>IF(D247="","",VLOOKUP(D247,'G-6 Hedgerow Data'!$B$2:$AG$15,3,FALSE))</f>
        <v/>
      </c>
      <c r="H247" s="145"/>
      <c r="I247" s="499" t="str">
        <f>IFERROR(IF(AND(F247="V.Low",OR(H247="Good",H247="Moderate")),"Error ▲",VLOOKUP(H247,'G-1 All Habitats'!$Z$2:$AA$9,2,FALSE)),"")</f>
        <v/>
      </c>
      <c r="J247" s="154"/>
      <c r="K247" s="520" t="str">
        <f>IF(J247="","",IF(VLOOKUP(J247,'G-3 Multipliers'!$L$3:$N$6,2,FALSE)=0,"Spatial Data Missing ⚠",VLOOKUP(J247,'G-3 Multipliers'!$L$3:$N$6,2,FALSE)))</f>
        <v/>
      </c>
      <c r="L247" s="524" t="str">
        <f>IF(J247="","",IF(VLOOKUP(J247,'G-3 Multipliers'!$L$3:$N$6,3,FALSE)=0,"Spatial Data Missing ⚠",VLOOKUP(J247,'G-3 Multipliers'!$L$3:$N$6,3,FALSE)))</f>
        <v/>
      </c>
      <c r="M247" s="506" t="str">
        <f>IF(D247="","",VLOOKUP(D247,'G-6 Hedgerow Data'!$B$1:$AH$15,33,FALSE))</f>
        <v/>
      </c>
      <c r="N247" s="513" t="str">
        <f t="shared" si="23"/>
        <v/>
      </c>
      <c r="O247" s="40"/>
      <c r="P247" s="145"/>
      <c r="Q247" s="157"/>
      <c r="R247" s="507" t="str">
        <f t="shared" si="24"/>
        <v/>
      </c>
      <c r="S247" s="507" t="str">
        <f t="shared" si="25"/>
        <v/>
      </c>
      <c r="T247" s="511" t="str">
        <f t="shared" si="26"/>
        <v/>
      </c>
      <c r="U247" s="515"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8" x14ac:dyDescent="0.25">
      <c r="B248" s="141">
        <v>239</v>
      </c>
      <c r="C248" s="203"/>
      <c r="D248" s="203"/>
      <c r="E248" s="153"/>
      <c r="F248" s="498" t="str">
        <f>IF(D248="","",VLOOKUP(D248,'G-6 Hedgerow Data'!$B$2:$AG$15,2,FALSE))</f>
        <v/>
      </c>
      <c r="G248" s="499" t="str">
        <f>IF(D248="","",VLOOKUP(D248,'G-6 Hedgerow Data'!$B$2:$AG$15,3,FALSE))</f>
        <v/>
      </c>
      <c r="H248" s="145"/>
      <c r="I248" s="499" t="str">
        <f>IFERROR(IF(AND(F248="V.Low",OR(H248="Good",H248="Moderate")),"Error ▲",VLOOKUP(H248,'G-1 All Habitats'!$Z$2:$AA$9,2,FALSE)),"")</f>
        <v/>
      </c>
      <c r="J248" s="154"/>
      <c r="K248" s="520" t="str">
        <f>IF(J248="","",IF(VLOOKUP(J248,'G-3 Multipliers'!$L$3:$N$6,2,FALSE)=0,"Spatial Data Missing ⚠",VLOOKUP(J248,'G-3 Multipliers'!$L$3:$N$6,2,FALSE)))</f>
        <v/>
      </c>
      <c r="L248" s="524" t="str">
        <f>IF(J248="","",IF(VLOOKUP(J248,'G-3 Multipliers'!$L$3:$N$6,3,FALSE)=0,"Spatial Data Missing ⚠",VLOOKUP(J248,'G-3 Multipliers'!$L$3:$N$6,3,FALSE)))</f>
        <v/>
      </c>
      <c r="M248" s="506" t="str">
        <f>IF(D248="","",VLOOKUP(D248,'G-6 Hedgerow Data'!$B$1:$AH$15,33,FALSE))</f>
        <v/>
      </c>
      <c r="N248" s="513" t="str">
        <f t="shared" si="23"/>
        <v/>
      </c>
      <c r="O248" s="40"/>
      <c r="P248" s="145"/>
      <c r="Q248" s="157"/>
      <c r="R248" s="507" t="str">
        <f t="shared" si="24"/>
        <v/>
      </c>
      <c r="S248" s="507" t="str">
        <f t="shared" si="25"/>
        <v/>
      </c>
      <c r="T248" s="511" t="str">
        <f t="shared" si="26"/>
        <v/>
      </c>
      <c r="U248" s="515"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8" x14ac:dyDescent="0.25">
      <c r="B249" s="141">
        <v>240</v>
      </c>
      <c r="C249" s="203"/>
      <c r="D249" s="203"/>
      <c r="E249" s="153"/>
      <c r="F249" s="498" t="str">
        <f>IF(D249="","",VLOOKUP(D249,'G-6 Hedgerow Data'!$B$2:$AG$15,2,FALSE))</f>
        <v/>
      </c>
      <c r="G249" s="499" t="str">
        <f>IF(D249="","",VLOOKUP(D249,'G-6 Hedgerow Data'!$B$2:$AG$15,3,FALSE))</f>
        <v/>
      </c>
      <c r="H249" s="145"/>
      <c r="I249" s="499" t="str">
        <f>IFERROR(IF(AND(F249="V.Low",OR(H249="Good",H249="Moderate")),"Error ▲",VLOOKUP(H249,'G-1 All Habitats'!$Z$2:$AA$9,2,FALSE)),"")</f>
        <v/>
      </c>
      <c r="J249" s="154"/>
      <c r="K249" s="520" t="str">
        <f>IF(J249="","",IF(VLOOKUP(J249,'G-3 Multipliers'!$L$3:$N$6,2,FALSE)=0,"Spatial Data Missing ⚠",VLOOKUP(J249,'G-3 Multipliers'!$L$3:$N$6,2,FALSE)))</f>
        <v/>
      </c>
      <c r="L249" s="524" t="str">
        <f>IF(J249="","",IF(VLOOKUP(J249,'G-3 Multipliers'!$L$3:$N$6,3,FALSE)=0,"Spatial Data Missing ⚠",VLOOKUP(J249,'G-3 Multipliers'!$L$3:$N$6,3,FALSE)))</f>
        <v/>
      </c>
      <c r="M249" s="506" t="str">
        <f>IF(D249="","",VLOOKUP(D249,'G-6 Hedgerow Data'!$B$1:$AH$15,33,FALSE))</f>
        <v/>
      </c>
      <c r="N249" s="513" t="str">
        <f t="shared" si="23"/>
        <v/>
      </c>
      <c r="O249" s="40"/>
      <c r="P249" s="145"/>
      <c r="Q249" s="157"/>
      <c r="R249" s="507" t="str">
        <f t="shared" si="24"/>
        <v/>
      </c>
      <c r="S249" s="507" t="str">
        <f t="shared" si="25"/>
        <v/>
      </c>
      <c r="T249" s="511" t="str">
        <f t="shared" si="26"/>
        <v/>
      </c>
      <c r="U249" s="515"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8" x14ac:dyDescent="0.25">
      <c r="B250" s="141">
        <v>241</v>
      </c>
      <c r="C250" s="203"/>
      <c r="D250" s="203"/>
      <c r="E250" s="153"/>
      <c r="F250" s="498" t="str">
        <f>IF(D250="","",VLOOKUP(D250,'G-6 Hedgerow Data'!$B$2:$AG$15,2,FALSE))</f>
        <v/>
      </c>
      <c r="G250" s="499" t="str">
        <f>IF(D250="","",VLOOKUP(D250,'G-6 Hedgerow Data'!$B$2:$AG$15,3,FALSE))</f>
        <v/>
      </c>
      <c r="H250" s="145"/>
      <c r="I250" s="499" t="str">
        <f>IFERROR(IF(AND(F250="V.Low",OR(H250="Good",H250="Moderate")),"Error ▲",VLOOKUP(H250,'G-1 All Habitats'!$Z$2:$AA$9,2,FALSE)),"")</f>
        <v/>
      </c>
      <c r="J250" s="154"/>
      <c r="K250" s="520" t="str">
        <f>IF(J250="","",IF(VLOOKUP(J250,'G-3 Multipliers'!$L$3:$N$6,2,FALSE)=0,"Spatial Data Missing ⚠",VLOOKUP(J250,'G-3 Multipliers'!$L$3:$N$6,2,FALSE)))</f>
        <v/>
      </c>
      <c r="L250" s="524" t="str">
        <f>IF(J250="","",IF(VLOOKUP(J250,'G-3 Multipliers'!$L$3:$N$6,3,FALSE)=0,"Spatial Data Missing ⚠",VLOOKUP(J250,'G-3 Multipliers'!$L$3:$N$6,3,FALSE)))</f>
        <v/>
      </c>
      <c r="M250" s="506" t="str">
        <f>IF(D250="","",VLOOKUP(D250,'G-6 Hedgerow Data'!$B$1:$AH$15,33,FALSE))</f>
        <v/>
      </c>
      <c r="N250" s="513" t="str">
        <f t="shared" si="23"/>
        <v/>
      </c>
      <c r="O250" s="40"/>
      <c r="P250" s="145"/>
      <c r="Q250" s="157"/>
      <c r="R250" s="507" t="str">
        <f t="shared" si="24"/>
        <v/>
      </c>
      <c r="S250" s="507" t="str">
        <f t="shared" si="25"/>
        <v/>
      </c>
      <c r="T250" s="511" t="str">
        <f t="shared" si="26"/>
        <v/>
      </c>
      <c r="U250" s="515"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8" x14ac:dyDescent="0.25">
      <c r="B251" s="141">
        <v>242</v>
      </c>
      <c r="C251" s="203"/>
      <c r="D251" s="203"/>
      <c r="E251" s="153"/>
      <c r="F251" s="498" t="str">
        <f>IF(D251="","",VLOOKUP(D251,'G-6 Hedgerow Data'!$B$2:$AG$15,2,FALSE))</f>
        <v/>
      </c>
      <c r="G251" s="499" t="str">
        <f>IF(D251="","",VLOOKUP(D251,'G-6 Hedgerow Data'!$B$2:$AG$15,3,FALSE))</f>
        <v/>
      </c>
      <c r="H251" s="145"/>
      <c r="I251" s="499" t="str">
        <f>IFERROR(IF(AND(F251="V.Low",OR(H251="Good",H251="Moderate")),"Error ▲",VLOOKUP(H251,'G-1 All Habitats'!$Z$2:$AA$9,2,FALSE)),"")</f>
        <v/>
      </c>
      <c r="J251" s="154"/>
      <c r="K251" s="520" t="str">
        <f>IF(J251="","",IF(VLOOKUP(J251,'G-3 Multipliers'!$L$3:$N$6,2,FALSE)=0,"Spatial Data Missing ⚠",VLOOKUP(J251,'G-3 Multipliers'!$L$3:$N$6,2,FALSE)))</f>
        <v/>
      </c>
      <c r="L251" s="524" t="str">
        <f>IF(J251="","",IF(VLOOKUP(J251,'G-3 Multipliers'!$L$3:$N$6,3,FALSE)=0,"Spatial Data Missing ⚠",VLOOKUP(J251,'G-3 Multipliers'!$L$3:$N$6,3,FALSE)))</f>
        <v/>
      </c>
      <c r="M251" s="506" t="str">
        <f>IF(D251="","",VLOOKUP(D251,'G-6 Hedgerow Data'!$B$1:$AH$15,33,FALSE))</f>
        <v/>
      </c>
      <c r="N251" s="513" t="str">
        <f t="shared" si="23"/>
        <v/>
      </c>
      <c r="O251" s="40"/>
      <c r="P251" s="145"/>
      <c r="Q251" s="157"/>
      <c r="R251" s="507" t="str">
        <f t="shared" si="24"/>
        <v/>
      </c>
      <c r="S251" s="507" t="str">
        <f t="shared" si="25"/>
        <v/>
      </c>
      <c r="T251" s="511" t="str">
        <f t="shared" si="26"/>
        <v/>
      </c>
      <c r="U251" s="515"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8" x14ac:dyDescent="0.25">
      <c r="B252" s="141">
        <v>243</v>
      </c>
      <c r="C252" s="203"/>
      <c r="D252" s="203"/>
      <c r="E252" s="153"/>
      <c r="F252" s="498" t="str">
        <f>IF(D252="","",VLOOKUP(D252,'G-6 Hedgerow Data'!$B$2:$AG$15,2,FALSE))</f>
        <v/>
      </c>
      <c r="G252" s="499" t="str">
        <f>IF(D252="","",VLOOKUP(D252,'G-6 Hedgerow Data'!$B$2:$AG$15,3,FALSE))</f>
        <v/>
      </c>
      <c r="H252" s="145"/>
      <c r="I252" s="499" t="str">
        <f>IFERROR(IF(AND(F252="V.Low",OR(H252="Good",H252="Moderate")),"Error ▲",VLOOKUP(H252,'G-1 All Habitats'!$Z$2:$AA$9,2,FALSE)),"")</f>
        <v/>
      </c>
      <c r="J252" s="154"/>
      <c r="K252" s="520" t="str">
        <f>IF(J252="","",IF(VLOOKUP(J252,'G-3 Multipliers'!$L$3:$N$6,2,FALSE)=0,"Spatial Data Missing ⚠",VLOOKUP(J252,'G-3 Multipliers'!$L$3:$N$6,2,FALSE)))</f>
        <v/>
      </c>
      <c r="L252" s="524" t="str">
        <f>IF(J252="","",IF(VLOOKUP(J252,'G-3 Multipliers'!$L$3:$N$6,3,FALSE)=0,"Spatial Data Missing ⚠",VLOOKUP(J252,'G-3 Multipliers'!$L$3:$N$6,3,FALSE)))</f>
        <v/>
      </c>
      <c r="M252" s="506" t="str">
        <f>IF(D252="","",VLOOKUP(D252,'G-6 Hedgerow Data'!$B$1:$AH$15,33,FALSE))</f>
        <v/>
      </c>
      <c r="N252" s="513" t="str">
        <f t="shared" si="23"/>
        <v/>
      </c>
      <c r="O252" s="40"/>
      <c r="P252" s="145"/>
      <c r="Q252" s="157"/>
      <c r="R252" s="507" t="str">
        <f t="shared" si="24"/>
        <v/>
      </c>
      <c r="S252" s="507" t="str">
        <f t="shared" si="25"/>
        <v/>
      </c>
      <c r="T252" s="511" t="str">
        <f t="shared" si="26"/>
        <v/>
      </c>
      <c r="U252" s="515"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8" x14ac:dyDescent="0.25">
      <c r="B253" s="141">
        <v>244</v>
      </c>
      <c r="C253" s="203"/>
      <c r="D253" s="203"/>
      <c r="E253" s="153"/>
      <c r="F253" s="498" t="str">
        <f>IF(D253="","",VLOOKUP(D253,'G-6 Hedgerow Data'!$B$2:$AG$15,2,FALSE))</f>
        <v/>
      </c>
      <c r="G253" s="499" t="str">
        <f>IF(D253="","",VLOOKUP(D253,'G-6 Hedgerow Data'!$B$2:$AG$15,3,FALSE))</f>
        <v/>
      </c>
      <c r="H253" s="145"/>
      <c r="I253" s="499" t="str">
        <f>IFERROR(IF(AND(F253="V.Low",OR(H253="Good",H253="Moderate")),"Error ▲",VLOOKUP(H253,'G-1 All Habitats'!$Z$2:$AA$9,2,FALSE)),"")</f>
        <v/>
      </c>
      <c r="J253" s="154"/>
      <c r="K253" s="520" t="str">
        <f>IF(J253="","",IF(VLOOKUP(J253,'G-3 Multipliers'!$L$3:$N$6,2,FALSE)=0,"Spatial Data Missing ⚠",VLOOKUP(J253,'G-3 Multipliers'!$L$3:$N$6,2,FALSE)))</f>
        <v/>
      </c>
      <c r="L253" s="524" t="str">
        <f>IF(J253="","",IF(VLOOKUP(J253,'G-3 Multipliers'!$L$3:$N$6,3,FALSE)=0,"Spatial Data Missing ⚠",VLOOKUP(J253,'G-3 Multipliers'!$L$3:$N$6,3,FALSE)))</f>
        <v/>
      </c>
      <c r="M253" s="506" t="str">
        <f>IF(D253="","",VLOOKUP(D253,'G-6 Hedgerow Data'!$B$1:$AH$15,33,FALSE))</f>
        <v/>
      </c>
      <c r="N253" s="513" t="str">
        <f t="shared" si="23"/>
        <v/>
      </c>
      <c r="O253" s="40"/>
      <c r="P253" s="145"/>
      <c r="Q253" s="157"/>
      <c r="R253" s="507" t="str">
        <f t="shared" si="24"/>
        <v/>
      </c>
      <c r="S253" s="507" t="str">
        <f t="shared" si="25"/>
        <v/>
      </c>
      <c r="T253" s="511" t="str">
        <f t="shared" si="26"/>
        <v/>
      </c>
      <c r="U253" s="515"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8" x14ac:dyDescent="0.25">
      <c r="B254" s="141">
        <v>245</v>
      </c>
      <c r="C254" s="203"/>
      <c r="D254" s="203"/>
      <c r="E254" s="153"/>
      <c r="F254" s="498" t="str">
        <f>IF(D254="","",VLOOKUP(D254,'G-6 Hedgerow Data'!$B$2:$AG$15,2,FALSE))</f>
        <v/>
      </c>
      <c r="G254" s="499" t="str">
        <f>IF(D254="","",VLOOKUP(D254,'G-6 Hedgerow Data'!$B$2:$AG$15,3,FALSE))</f>
        <v/>
      </c>
      <c r="H254" s="145"/>
      <c r="I254" s="499" t="str">
        <f>IFERROR(IF(AND(F254="V.Low",OR(H254="Good",H254="Moderate")),"Error ▲",VLOOKUP(H254,'G-1 All Habitats'!$Z$2:$AA$9,2,FALSE)),"")</f>
        <v/>
      </c>
      <c r="J254" s="154"/>
      <c r="K254" s="520" t="str">
        <f>IF(J254="","",IF(VLOOKUP(J254,'G-3 Multipliers'!$L$3:$N$6,2,FALSE)=0,"Spatial Data Missing ⚠",VLOOKUP(J254,'G-3 Multipliers'!$L$3:$N$6,2,FALSE)))</f>
        <v/>
      </c>
      <c r="L254" s="524" t="str">
        <f>IF(J254="","",IF(VLOOKUP(J254,'G-3 Multipliers'!$L$3:$N$6,3,FALSE)=0,"Spatial Data Missing ⚠",VLOOKUP(J254,'G-3 Multipliers'!$L$3:$N$6,3,FALSE)))</f>
        <v/>
      </c>
      <c r="M254" s="506" t="str">
        <f>IF(D254="","",VLOOKUP(D254,'G-6 Hedgerow Data'!$B$1:$AH$15,33,FALSE))</f>
        <v/>
      </c>
      <c r="N254" s="513" t="str">
        <f t="shared" si="23"/>
        <v/>
      </c>
      <c r="O254" s="40"/>
      <c r="P254" s="145"/>
      <c r="Q254" s="157"/>
      <c r="R254" s="507" t="str">
        <f t="shared" si="24"/>
        <v/>
      </c>
      <c r="S254" s="507" t="str">
        <f t="shared" si="25"/>
        <v/>
      </c>
      <c r="T254" s="511" t="str">
        <f t="shared" si="26"/>
        <v/>
      </c>
      <c r="U254" s="515"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8" x14ac:dyDescent="0.25">
      <c r="B255" s="141">
        <v>246</v>
      </c>
      <c r="C255" s="203"/>
      <c r="D255" s="203"/>
      <c r="E255" s="153"/>
      <c r="F255" s="498" t="str">
        <f>IF(D255="","",VLOOKUP(D255,'G-6 Hedgerow Data'!$B$2:$AG$15,2,FALSE))</f>
        <v/>
      </c>
      <c r="G255" s="499" t="str">
        <f>IF(D255="","",VLOOKUP(D255,'G-6 Hedgerow Data'!$B$2:$AG$15,3,FALSE))</f>
        <v/>
      </c>
      <c r="H255" s="145"/>
      <c r="I255" s="499" t="str">
        <f>IFERROR(IF(AND(F255="V.Low",OR(H255="Good",H255="Moderate")),"Error ▲",VLOOKUP(H255,'G-1 All Habitats'!$Z$2:$AA$9,2,FALSE)),"")</f>
        <v/>
      </c>
      <c r="J255" s="154"/>
      <c r="K255" s="520" t="str">
        <f>IF(J255="","",IF(VLOOKUP(J255,'G-3 Multipliers'!$L$3:$N$6,2,FALSE)=0,"Spatial Data Missing ⚠",VLOOKUP(J255,'G-3 Multipliers'!$L$3:$N$6,2,FALSE)))</f>
        <v/>
      </c>
      <c r="L255" s="524" t="str">
        <f>IF(J255="","",IF(VLOOKUP(J255,'G-3 Multipliers'!$L$3:$N$6,3,FALSE)=0,"Spatial Data Missing ⚠",VLOOKUP(J255,'G-3 Multipliers'!$L$3:$N$6,3,FALSE)))</f>
        <v/>
      </c>
      <c r="M255" s="506" t="str">
        <f>IF(D255="","",VLOOKUP(D255,'G-6 Hedgerow Data'!$B$1:$AH$15,33,FALSE))</f>
        <v/>
      </c>
      <c r="N255" s="513" t="str">
        <f t="shared" si="23"/>
        <v/>
      </c>
      <c r="O255" s="40"/>
      <c r="P255" s="145"/>
      <c r="Q255" s="157"/>
      <c r="R255" s="507" t="str">
        <f t="shared" si="24"/>
        <v/>
      </c>
      <c r="S255" s="507" t="str">
        <f t="shared" si="25"/>
        <v/>
      </c>
      <c r="T255" s="511" t="str">
        <f t="shared" si="26"/>
        <v/>
      </c>
      <c r="U255" s="515"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8" x14ac:dyDescent="0.25">
      <c r="B256" s="141">
        <v>247</v>
      </c>
      <c r="C256" s="203"/>
      <c r="D256" s="203"/>
      <c r="E256" s="153"/>
      <c r="F256" s="498" t="str">
        <f>IF(D256="","",VLOOKUP(D256,'G-6 Hedgerow Data'!$B$2:$AG$15,2,FALSE))</f>
        <v/>
      </c>
      <c r="G256" s="499" t="str">
        <f>IF(D256="","",VLOOKUP(D256,'G-6 Hedgerow Data'!$B$2:$AG$15,3,FALSE))</f>
        <v/>
      </c>
      <c r="H256" s="145"/>
      <c r="I256" s="499" t="str">
        <f>IFERROR(IF(AND(F256="V.Low",OR(H256="Good",H256="Moderate")),"Error ▲",VLOOKUP(H256,'G-1 All Habitats'!$Z$2:$AA$9,2,FALSE)),"")</f>
        <v/>
      </c>
      <c r="J256" s="154"/>
      <c r="K256" s="520" t="str">
        <f>IF(J256="","",IF(VLOOKUP(J256,'G-3 Multipliers'!$L$3:$N$6,2,FALSE)=0,"Spatial Data Missing ⚠",VLOOKUP(J256,'G-3 Multipliers'!$L$3:$N$6,2,FALSE)))</f>
        <v/>
      </c>
      <c r="L256" s="524" t="str">
        <f>IF(J256="","",IF(VLOOKUP(J256,'G-3 Multipliers'!$L$3:$N$6,3,FALSE)=0,"Spatial Data Missing ⚠",VLOOKUP(J256,'G-3 Multipliers'!$L$3:$N$6,3,FALSE)))</f>
        <v/>
      </c>
      <c r="M256" s="506" t="str">
        <f>IF(D256="","",VLOOKUP(D256,'G-6 Hedgerow Data'!$B$1:$AH$15,33,FALSE))</f>
        <v/>
      </c>
      <c r="N256" s="513" t="str">
        <f t="shared" si="23"/>
        <v/>
      </c>
      <c r="O256" s="40"/>
      <c r="P256" s="145"/>
      <c r="Q256" s="157"/>
      <c r="R256" s="507" t="str">
        <f t="shared" si="24"/>
        <v/>
      </c>
      <c r="S256" s="507" t="str">
        <f t="shared" si="25"/>
        <v/>
      </c>
      <c r="T256" s="511" t="str">
        <f t="shared" si="26"/>
        <v/>
      </c>
      <c r="U256" s="515"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 thickBot="1" x14ac:dyDescent="0.3">
      <c r="B257" s="158">
        <v>248</v>
      </c>
      <c r="C257" s="206"/>
      <c r="D257" s="206"/>
      <c r="E257" s="160"/>
      <c r="F257" s="498" t="str">
        <f>IF(D257="","",VLOOKUP(D257,'G-6 Hedgerow Data'!$B$2:$AG$15,2,FALSE))</f>
        <v/>
      </c>
      <c r="G257" s="499" t="str">
        <f>IF(D257="","",VLOOKUP(D257,'G-6 Hedgerow Data'!$B$2:$AG$15,3,FALSE))</f>
        <v/>
      </c>
      <c r="H257" s="145"/>
      <c r="I257" s="499" t="str">
        <f>IFERROR(IF(AND(F257="V.Low",OR(H257="Good",H257="Moderate")),"Error ▲",VLOOKUP(H257,'G-1 All Habitats'!$Z$2:$AA$9,2,FALSE)),"")</f>
        <v/>
      </c>
      <c r="J257" s="161"/>
      <c r="K257" s="520" t="str">
        <f>IF(J257="","",IF(VLOOKUP(J257,'G-3 Multipliers'!$L$3:$N$6,2,FALSE)=0,"Spatial Data Missing ⚠",VLOOKUP(J257,'G-3 Multipliers'!$L$3:$N$6,2,FALSE)))</f>
        <v/>
      </c>
      <c r="L257" s="524" t="str">
        <f>IF(J257="","",IF(VLOOKUP(J257,'G-3 Multipliers'!$L$3:$N$6,3,FALSE)=0,"Spatial Data Missing ⚠",VLOOKUP(J257,'G-3 Multipliers'!$L$3:$N$6,3,FALSE)))</f>
        <v/>
      </c>
      <c r="M257" s="506" t="str">
        <f>IF(D257="","",VLOOKUP(D257,'G-6 Hedgerow Data'!$B$1:$AH$15,33,FALSE))</f>
        <v/>
      </c>
      <c r="N257" s="513" t="str">
        <f t="shared" si="23"/>
        <v/>
      </c>
      <c r="O257" s="40"/>
      <c r="P257" s="410"/>
      <c r="Q257" s="411"/>
      <c r="R257" s="621" t="str">
        <f t="shared" si="24"/>
        <v/>
      </c>
      <c r="S257" s="621" t="str">
        <f t="shared" si="25"/>
        <v/>
      </c>
      <c r="T257" s="511" t="str">
        <f t="shared" si="26"/>
        <v/>
      </c>
      <c r="U257" s="515"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 thickBot="1" x14ac:dyDescent="0.3">
      <c r="D258" s="443"/>
      <c r="E258" s="620">
        <f>SUM(E10:E257)</f>
        <v>0</v>
      </c>
      <c r="M258" s="444"/>
      <c r="N258" s="563">
        <f>SUM(N10:N257)</f>
        <v>0</v>
      </c>
      <c r="O258" s="166"/>
      <c r="P258" s="517">
        <f t="shared" ref="P258:U258" si="28">SUM(P10:P257)</f>
        <v>0</v>
      </c>
      <c r="Q258" s="518">
        <f t="shared" si="28"/>
        <v>0</v>
      </c>
      <c r="R258" s="518">
        <f t="shared" si="28"/>
        <v>0</v>
      </c>
      <c r="S258" s="518">
        <f t="shared" si="28"/>
        <v>0</v>
      </c>
      <c r="T258" s="518">
        <f t="shared" si="28"/>
        <v>0</v>
      </c>
      <c r="U258" s="514">
        <f t="shared" si="28"/>
        <v>0</v>
      </c>
    </row>
    <row r="259" spans="2:37" ht="13.8" x14ac:dyDescent="0.25">
      <c r="O259" s="166"/>
      <c r="P259" s="166"/>
      <c r="Q259" s="166"/>
      <c r="R259" s="166"/>
      <c r="S259" s="166"/>
      <c r="T259" s="166"/>
      <c r="U259" s="166"/>
    </row>
    <row r="260" spans="2:37" ht="13.8" x14ac:dyDescent="0.25">
      <c r="B260" s="132"/>
      <c r="C260" s="132"/>
    </row>
    <row r="261" spans="2:37" ht="13.8" x14ac:dyDescent="0.25">
      <c r="B261" s="132"/>
      <c r="C261" s="132"/>
    </row>
    <row r="262" spans="2:37" ht="13.8" x14ac:dyDescent="0.25">
      <c r="B262" s="132"/>
      <c r="C262" s="132"/>
    </row>
    <row r="263" spans="2:37" ht="13.8" x14ac:dyDescent="0.25">
      <c r="B263" s="132"/>
      <c r="C263" s="132"/>
    </row>
    <row r="264" spans="2:37" ht="13.8" x14ac:dyDescent="0.25">
      <c r="B264" s="132"/>
      <c r="C264" s="132"/>
    </row>
    <row r="265" spans="2:37" ht="13.8" x14ac:dyDescent="0.25">
      <c r="B265" s="132"/>
      <c r="C265" s="132"/>
    </row>
    <row r="266" spans="2:37" ht="13.8" x14ac:dyDescent="0.25">
      <c r="B266" s="132"/>
      <c r="C266" s="132"/>
    </row>
    <row r="267" spans="2:37" ht="13.8" hidden="1" x14ac:dyDescent="0.25">
      <c r="B267" s="132"/>
      <c r="C267" s="132"/>
    </row>
    <row r="268" spans="2:37" ht="13.8" hidden="1" x14ac:dyDescent="0.25">
      <c r="B268" s="132"/>
      <c r="C268" s="132"/>
    </row>
    <row r="269" spans="2:37" ht="13.8" hidden="1" x14ac:dyDescent="0.25">
      <c r="B269" s="132"/>
      <c r="C269" s="132"/>
    </row>
    <row r="270" spans="2:37" ht="13.8" hidden="1" x14ac:dyDescent="0.25">
      <c r="B270" s="132"/>
      <c r="C270" s="132"/>
    </row>
    <row r="271" spans="2:37" ht="13.8" hidden="1" x14ac:dyDescent="0.25">
      <c r="B271" s="132"/>
      <c r="C271" s="132"/>
    </row>
    <row r="272" spans="2:37" ht="13.8" hidden="1" x14ac:dyDescent="0.25">
      <c r="B272" s="132"/>
      <c r="C272" s="132"/>
    </row>
  </sheetData>
  <sheetProtection algorithmName="SHA-512" hashValue="dMrctn7xR9Y3GQUnpVgvbqVH+MKBgssfoNML+5sGn5/91URvi5DxyrRhl5lZ45FZkKnHPKDA4Hky2hZvPwkodA==" saltValue="2hBMgq6SN1txedhtwJfdZ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89" priority="6" operator="containsText" text="Error">
      <formula>NOT(ISERROR(SEARCH("Error",I10)))</formula>
    </cfRule>
  </conditionalFormatting>
  <conditionalFormatting sqref="J9:L257">
    <cfRule type="containsText" dxfId="88" priority="5" operator="containsText" text="Spatial">
      <formula>NOT(ISERROR(SEARCH("Spatial",J9)))</formula>
    </cfRule>
  </conditionalFormatting>
  <conditionalFormatting sqref="M10:M257">
    <cfRule type="cellIs" dxfId="87" priority="2" operator="equal">
      <formula>"Like for like or better"</formula>
    </cfRule>
    <cfRule type="cellIs" dxfId="86" priority="3" operator="equal">
      <formula>"Like for like"</formula>
    </cfRule>
    <cfRule type="containsText" dxfId="85" priority="4" operator="containsText" text="Same distinctiveness">
      <formula>NOT(ISERROR(SEARCH("Same distinctiveness",M10)))</formula>
    </cfRule>
  </conditionalFormatting>
  <conditionalFormatting sqref="T10:U257">
    <cfRule type="containsText" dxfId="84"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activeCell="B3" sqref="B3:E4"/>
    </sheetView>
  </sheetViews>
  <sheetFormatPr defaultColWidth="0" defaultRowHeight="0" customHeight="1" zeroHeight="1" x14ac:dyDescent="0.25"/>
  <cols>
    <col min="1" max="1" width="2.88671875" style="31" customWidth="1"/>
    <col min="2" max="2" width="11.33203125" style="31" customWidth="1"/>
    <col min="3" max="3" width="9.33203125" style="31" customWidth="1"/>
    <col min="4" max="4" width="60.6640625" style="31" customWidth="1"/>
    <col min="5" max="5" width="10.33203125" style="31" customWidth="1"/>
    <col min="6" max="6" width="19.109375" style="31" customWidth="1"/>
    <col min="7" max="7" width="11.88671875" style="31" customWidth="1"/>
    <col min="8" max="8" width="11.5546875" style="31" customWidth="1"/>
    <col min="9" max="9" width="12.5546875" style="31" customWidth="1"/>
    <col min="10" max="10" width="41.6640625" style="31" customWidth="1"/>
    <col min="11" max="11" width="21.109375" style="31" customWidth="1"/>
    <col min="12" max="12" width="12.33203125" style="31" customWidth="1"/>
    <col min="13" max="13" width="67.6640625" style="31" customWidth="1"/>
    <col min="14" max="14" width="12.33203125" style="31" customWidth="1"/>
    <col min="15" max="17" width="17.6640625" style="31" customWidth="1"/>
    <col min="18" max="18" width="35.554687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546875" style="31" customWidth="1"/>
    <col min="25" max="25" width="12.6640625" style="31" customWidth="1"/>
    <col min="26" max="27" width="42.5546875" style="31" customWidth="1"/>
    <col min="28" max="32" width="8.88671875" style="31" customWidth="1"/>
    <col min="33" max="33" width="15.88671875" style="31" hidden="1" customWidth="1"/>
    <col min="34" max="35" width="8.88671875" style="31" hidden="1" customWidth="1"/>
    <col min="36" max="36" width="0" style="31" hidden="1" customWidth="1"/>
    <col min="37" max="16384" width="8.88671875" style="31" hidden="1"/>
  </cols>
  <sheetData>
    <row r="1" spans="2:33" ht="15.75" customHeight="1" thickBot="1" x14ac:dyDescent="0.3"/>
    <row r="2" spans="2:33" ht="15.75" customHeight="1" thickBot="1" x14ac:dyDescent="0.3">
      <c r="B2" s="786" t="str">
        <f>IF(Start!$F$12="","",Start!$F$12)</f>
        <v>Land at Doncaster Road, Goldthorpe, Rotherham</v>
      </c>
      <c r="C2" s="787"/>
      <c r="D2" s="787"/>
      <c r="E2" s="788"/>
      <c r="O2" s="909" t="str">
        <f>IF(OR(COUNTIF($O$12:O259,"*30+*")&gt;0,COUNTIF($S$12:S259,"*30+*")&gt;0),"Note; Habitat selected has a time to target condition greater than 30 years. Non standard agreement may be required. ⚠","")</f>
        <v/>
      </c>
      <c r="P2" s="909"/>
      <c r="Q2" s="909"/>
      <c r="R2" s="909"/>
      <c r="S2" s="909"/>
      <c r="T2" s="909"/>
    </row>
    <row r="3" spans="2:33" ht="15.75" customHeight="1" thickBot="1" x14ac:dyDescent="0.3">
      <c r="B3" s="998" t="str">
        <f ca="1">MID(CELL("filename",A1),FIND("]",CELL("filename",A1))+1,256)</f>
        <v>E-2 Off Site Hedge Creation</v>
      </c>
      <c r="C3" s="999"/>
      <c r="D3" s="999"/>
      <c r="E3" s="1000"/>
      <c r="O3" s="909"/>
      <c r="P3" s="909"/>
      <c r="Q3" s="909"/>
      <c r="R3" s="909"/>
      <c r="S3" s="909"/>
      <c r="T3" s="909"/>
    </row>
    <row r="4" spans="2:33" ht="15.75" customHeight="1" thickBot="1" x14ac:dyDescent="0.3">
      <c r="B4" s="998"/>
      <c r="C4" s="999"/>
      <c r="D4" s="999"/>
      <c r="E4" s="1000"/>
      <c r="O4" s="909"/>
      <c r="P4" s="909"/>
      <c r="Q4" s="909"/>
      <c r="R4" s="909"/>
      <c r="S4" s="909"/>
      <c r="T4" s="909"/>
    </row>
    <row r="5" spans="2:33" ht="15.75" customHeight="1" x14ac:dyDescent="0.25">
      <c r="O5" s="909"/>
      <c r="P5" s="909"/>
      <c r="Q5" s="909"/>
      <c r="R5" s="909"/>
      <c r="S5" s="909"/>
      <c r="T5" s="909"/>
    </row>
    <row r="6" spans="2:33" ht="15.75" customHeight="1" x14ac:dyDescent="0.25">
      <c r="O6" s="403"/>
      <c r="P6" s="403"/>
      <c r="Q6" s="403"/>
      <c r="R6" s="403"/>
      <c r="S6" s="403"/>
    </row>
    <row r="7" spans="2:33" ht="15.75" customHeight="1" x14ac:dyDescent="0.25">
      <c r="B7" s="132"/>
      <c r="C7" s="132"/>
    </row>
    <row r="8" spans="2:33" ht="13.8"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200"/>
      <c r="P9" s="200"/>
      <c r="Q9" s="200"/>
      <c r="R9" s="200"/>
      <c r="S9" s="200"/>
      <c r="T9" s="200"/>
      <c r="U9" s="200"/>
      <c r="V9" s="200"/>
      <c r="W9" s="200"/>
      <c r="X9" s="200"/>
    </row>
    <row r="10" spans="2:33" s="42" customFormat="1" ht="30" customHeight="1" thickBot="1" x14ac:dyDescent="0.3">
      <c r="B10" s="40"/>
      <c r="C10" s="40"/>
      <c r="D10" s="970" t="s">
        <v>301</v>
      </c>
      <c r="E10" s="972"/>
      <c r="F10" s="970" t="s">
        <v>272</v>
      </c>
      <c r="G10" s="972"/>
      <c r="H10" s="971" t="s">
        <v>273</v>
      </c>
      <c r="I10" s="972"/>
      <c r="J10" s="970" t="s">
        <v>191</v>
      </c>
      <c r="K10" s="971"/>
      <c r="L10" s="972"/>
      <c r="M10" s="970" t="s">
        <v>280</v>
      </c>
      <c r="N10" s="972"/>
      <c r="O10" s="970" t="s">
        <v>228</v>
      </c>
      <c r="P10" s="971"/>
      <c r="Q10" s="971"/>
      <c r="R10" s="971"/>
      <c r="S10" s="971"/>
      <c r="T10" s="972"/>
      <c r="U10" s="970" t="s">
        <v>252</v>
      </c>
      <c r="V10" s="971"/>
      <c r="W10" s="971"/>
      <c r="X10" s="972"/>
      <c r="Y10" s="973" t="s">
        <v>302</v>
      </c>
      <c r="Z10" s="970" t="s">
        <v>196</v>
      </c>
      <c r="AA10" s="972"/>
    </row>
    <row r="11" spans="2:33" ht="55.2" x14ac:dyDescent="0.25">
      <c r="B11" s="135" t="s">
        <v>254</v>
      </c>
      <c r="C11" s="136" t="s">
        <v>303</v>
      </c>
      <c r="D11" s="201" t="s">
        <v>275</v>
      </c>
      <c r="E11" s="202" t="s">
        <v>316</v>
      </c>
      <c r="F11" s="412" t="s">
        <v>189</v>
      </c>
      <c r="G11" s="413" t="s">
        <v>206</v>
      </c>
      <c r="H11" s="414" t="s">
        <v>190</v>
      </c>
      <c r="I11" s="413" t="s">
        <v>206</v>
      </c>
      <c r="J11" s="368" t="s">
        <v>191</v>
      </c>
      <c r="K11" s="201" t="s">
        <v>191</v>
      </c>
      <c r="L11" s="202" t="s">
        <v>231</v>
      </c>
      <c r="M11" s="368" t="s">
        <v>283</v>
      </c>
      <c r="N11" s="202" t="s">
        <v>280</v>
      </c>
      <c r="O11" s="368" t="s">
        <v>304</v>
      </c>
      <c r="P11" s="201" t="s">
        <v>233</v>
      </c>
      <c r="Q11" s="201" t="s">
        <v>234</v>
      </c>
      <c r="R11" s="201" t="s">
        <v>235</v>
      </c>
      <c r="S11" s="201" t="s">
        <v>236</v>
      </c>
      <c r="T11" s="202" t="s">
        <v>312</v>
      </c>
      <c r="U11" s="368" t="s">
        <v>238</v>
      </c>
      <c r="V11" s="201" t="s">
        <v>305</v>
      </c>
      <c r="W11" s="201" t="s">
        <v>240</v>
      </c>
      <c r="X11" s="202" t="s">
        <v>241</v>
      </c>
      <c r="Y11" s="1002"/>
      <c r="Z11" s="141" t="s">
        <v>215</v>
      </c>
      <c r="AA11" s="359" t="s">
        <v>216</v>
      </c>
      <c r="AG11" s="131" t="s">
        <v>200</v>
      </c>
    </row>
    <row r="12" spans="2:33" ht="13.8" x14ac:dyDescent="0.25">
      <c r="B12" s="201">
        <v>1</v>
      </c>
      <c r="C12" s="268"/>
      <c r="D12" s="82"/>
      <c r="E12" s="203"/>
      <c r="F12" s="498" t="str">
        <f>IF(D12="","",VLOOKUP(D12,'G-6 Hedgerow Data'!$B$2:$AG$15,2,FALSE))</f>
        <v/>
      </c>
      <c r="G12" s="524" t="str">
        <f>IF(D12="","",VLOOKUP(D12,'G-6 Hedgerow Data'!$B$2:$AG$15,3,FALSE))</f>
        <v/>
      </c>
      <c r="H12" s="72"/>
      <c r="I12" s="499" t="str">
        <f>IFERROR(IF(AND(F12="V.Low",OR(H12="Good",H12="Moderate")),"Error ▲",VLOOKUP(H12,'G-1 All Habitats'!$Z$2:$AA$9,2,FALSE)),"")</f>
        <v/>
      </c>
      <c r="J12" s="146"/>
      <c r="K12" s="520" t="str">
        <f>IF(J12="","",IF(VLOOKUP(J12,'G-3 Multipliers'!$L$3:$N$6,2,FALSE)=0,"Spatial Data Missing",VLOOKUP(J12,'G-3 Multipliers'!$L$3:$N$6,2,FALSE)))</f>
        <v/>
      </c>
      <c r="L12" s="524" t="str">
        <f>IF(J12="","",IF(VLOOKUP(J12,'G-3 Multipliers'!$L$3:$N$6,3,FALSE)=0,"Spatial Data Missing",VLOOKUP(J12,'G-3 Multipliers'!$L$3:$N$6,3,FALSE)))</f>
        <v/>
      </c>
      <c r="M12" s="197"/>
      <c r="N12" s="499" t="str">
        <f>IF(M12="","",IF(VLOOKUP(M12,'G-3 Multipliers'!$S$3:$T$6,2,FALSE)=0,"Spatial Data Missing ⚠",VLOOKUP(M12,'G-3 Multipliers'!$S$3:$T$6,2,FALSE)))</f>
        <v/>
      </c>
      <c r="O12" s="498" t="str">
        <f>IF(OR(D12="",H12=""),"",(INDEX('G-6 Hedgerow Data'!$E$3:$I$15,MATCH(D12,'G-6 Hedgerow Data'!$B$3:$B$15,0),MATCH(H12,'G-6 Hedgerow Data'!$E$2:$I$2,0))))</f>
        <v/>
      </c>
      <c r="P12" s="195"/>
      <c r="Q12" s="195"/>
      <c r="R12" s="507"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1" t="str">
        <f>IF(O12="","",IF(LEFT(R12,5)="Error ▲","Check Data ⚠",IF(OR(P12="30+",P12="Habitat already in target condition"),0,IF(Q12="30+","30+",IF(AND(O12="30+",OR(P12="",P12=0)),"30+ ⚠",IF(AND(O12="30+",P12&gt;0),32-P12,IF(O12+Q12&gt;30,"30+ ⚠",IF(O12+Q12-P12&gt;0,O12+Q12-P12,IF(O12-P12&lt;0,0,O12+Q12-P12)))))))))</f>
        <v/>
      </c>
      <c r="T12" s="522" t="str">
        <f t="shared" ref="T12:T75" si="0">IF(D12="","",IF(LEFT(R12,5)="Error ▲","Check Data ⚠",VLOOKUP(S12,TemporalMultipliers,3,FALSE)))</f>
        <v/>
      </c>
      <c r="U12" s="537" t="str">
        <f>IF(D12="","",VLOOKUP(D12,'G-6 Hedgerow Data'!$B$3:$AG$15,31,FALSE))</f>
        <v/>
      </c>
      <c r="V12" s="520" t="str">
        <f>IF(D12="","",IF(S12="Check Data ⚠","Check Data ⚠",IF(H12="","",IF($R12="Check details - Is there evidence that habitat has reached target condition? ⚠","Low Difficulty - only applicable if all habitat created before losses","Standard difficulty applied"))))</f>
        <v/>
      </c>
      <c r="W12" s="520" t="str">
        <f>(IF(AND(V12="Standard difficulty applied",O12&gt;P12),U12,IF(AND(V12="Low Difficulty - only applicable if all habitat created before losses",P12&gt;=O12),"Low",U12)))</f>
        <v/>
      </c>
      <c r="X12" s="524" t="str">
        <f>IF(F12="","",VLOOKUP(U12,'G-3 Multipliers'!$P$3:$Q$6,2,FALSE))</f>
        <v/>
      </c>
      <c r="Y12" s="529" t="str">
        <f>IFERROR(E12*G12*I12*L12*T12*X12*N12,"")</f>
        <v/>
      </c>
      <c r="Z12" s="149"/>
      <c r="AA12" s="150"/>
      <c r="AG12" s="31" t="str">
        <f>IFERROR(INDEX('G-6 Hedgerow Data'!$BJ$3:$BJ$15,MATCH(D12,'G-6 Hedgerow Data'!$B$3:$B$15,0)),"")</f>
        <v/>
      </c>
    </row>
    <row r="13" spans="2:33" ht="13.8" x14ac:dyDescent="0.25">
      <c r="B13" s="103">
        <v>2</v>
      </c>
      <c r="C13" s="268"/>
      <c r="D13" s="82"/>
      <c r="E13" s="203"/>
      <c r="F13" s="498" t="str">
        <f>IF(D13="","",VLOOKUP(D13,'G-6 Hedgerow Data'!$B$2:$AG$15,2,FALSE))</f>
        <v/>
      </c>
      <c r="G13" s="524" t="str">
        <f>IF(D13="","",VLOOKUP(D13,'G-6 Hedgerow Data'!$B$2:$AG$15,3,FALSE))</f>
        <v/>
      </c>
      <c r="H13" s="72"/>
      <c r="I13" s="499" t="str">
        <f>IFERROR(IF(AND(F13="V.Low",OR(H13="Good",H13="Moderate")),"Error ▲",VLOOKUP(H13,'G-1 All Habitats'!$Z$2:$AA$9,2,FALSE)),"")</f>
        <v/>
      </c>
      <c r="J13" s="146"/>
      <c r="K13" s="520" t="str">
        <f>IF(J13="","",IF(VLOOKUP(J13,'G-3 Multipliers'!$L$3:$N$6,2,FALSE)=0,"Spatial Data Missing",VLOOKUP(J13,'G-3 Multipliers'!$L$3:$N$6,2,FALSE)))</f>
        <v/>
      </c>
      <c r="L13" s="524" t="str">
        <f>IF(J13="","",IF(VLOOKUP(J13,'G-3 Multipliers'!$L$3:$N$6,3,FALSE)=0,"Spatial Data Missing",VLOOKUP(J13,'G-3 Multipliers'!$L$3:$N$6,3,FALSE)))</f>
        <v/>
      </c>
      <c r="M13" s="197"/>
      <c r="N13" s="499" t="str">
        <f>IF(M13="","",IF(VLOOKUP(M13,'G-3 Multipliers'!$S$3:$T$6,2,FALSE)=0,"Spatial Data Missing ⚠",VLOOKUP(M13,'G-3 Multipliers'!$S$3:$T$6,2,FALSE)))</f>
        <v/>
      </c>
      <c r="O13" s="498" t="str">
        <f>IF(OR(D13="",H13=""),"",(INDEX('G-6 Hedgerow Data'!$E$3:$I$15,MATCH(D13,'G-6 Hedgerow Data'!$B$3:$B$15,0),MATCH(H13,'G-6 Hedgerow Data'!$E$2:$I$2,0))))</f>
        <v/>
      </c>
      <c r="P13" s="195"/>
      <c r="Q13" s="195"/>
      <c r="R13" s="507"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1" t="str">
        <f t="shared" ref="S13:S76" si="2">IF(O13="","",IF(LEFT(R13,5)="Error ▲","Check Data ⚠",IF(OR(P13="30+",P13="Habitat already in target condition"),0,IF(Q13="30+","30+",IF(AND(O13="30+",OR(P13="",P13=0)),"30+ ⚠",IF(AND(O13="30+",P13&gt;0),32-P13,IF(O13+Q13&gt;30,"30+ ⚠",IF(O13+Q13-P13&gt;0,O13+Q13-P13,IF(O13-P13&lt;0,0,O13+Q13-P13)))))))))</f>
        <v/>
      </c>
      <c r="T13" s="522" t="str">
        <f t="shared" si="0"/>
        <v/>
      </c>
      <c r="U13" s="537" t="str">
        <f>IF(D13="","",VLOOKUP(D13,'G-6 Hedgerow Data'!$B$3:$AG$15,31,FALSE))</f>
        <v/>
      </c>
      <c r="V13" s="520" t="str">
        <f t="shared" ref="V13:V76" si="3">IF(D13="","",IF(S13="Check Data ⚠","Check Data ⚠",IF(H13="","",IF($R13="Check details - Is there evidence that habitat has reached target condition? ⚠","Low Difficulty - only applicable if all habitat created before losses","Standard difficulty applied"))))</f>
        <v/>
      </c>
      <c r="W13" s="520" t="str">
        <f t="shared" ref="W13:W76" si="4">(IF(AND(V13="Standard difficulty applied",O13&gt;P13),U13,IF(AND(V13="Low Difficulty - only applicable if all habitat created before losses",P13&gt;=O13),"Low",U13)))</f>
        <v/>
      </c>
      <c r="X13" s="524" t="str">
        <f>IF(F13="","",VLOOKUP(U13,'G-3 Multipliers'!$P$3:$Q$6,2,FALSE))</f>
        <v/>
      </c>
      <c r="Y13" s="529" t="str">
        <f t="shared" ref="Y13:Y76" si="5">IFERROR(E13*G13*I13*L13*T13*X13*N13,"")</f>
        <v/>
      </c>
      <c r="Z13" s="149"/>
      <c r="AA13" s="150"/>
      <c r="AG13" s="31" t="str">
        <f>IFERROR(INDEX('G-6 Hedgerow Data'!$BJ$3:$BJ$15,MATCH(D13,'G-6 Hedgerow Data'!$B$3:$B$15,0)),"")</f>
        <v/>
      </c>
    </row>
    <row r="14" spans="2:33" ht="13.8" x14ac:dyDescent="0.25">
      <c r="B14" s="103">
        <v>3</v>
      </c>
      <c r="C14" s="268"/>
      <c r="D14" s="82"/>
      <c r="E14" s="203"/>
      <c r="F14" s="498" t="str">
        <f>IF(D14="","",VLOOKUP(D14,'G-6 Hedgerow Data'!$B$2:$AG$15,2,FALSE))</f>
        <v/>
      </c>
      <c r="G14" s="524" t="str">
        <f>IF(D14="","",VLOOKUP(D14,'G-6 Hedgerow Data'!$B$2:$AG$15,3,FALSE))</f>
        <v/>
      </c>
      <c r="H14" s="72"/>
      <c r="I14" s="499" t="str">
        <f>IFERROR(IF(AND(F14="V.Low",OR(H14="Good",H14="Moderate")),"Error ▲",VLOOKUP(H14,'G-1 All Habitats'!$Z$2:$AA$9,2,FALSE)),"")</f>
        <v/>
      </c>
      <c r="J14" s="146"/>
      <c r="K14" s="520" t="str">
        <f>IF(J14="","",IF(VLOOKUP(J14,'G-3 Multipliers'!$L$3:$N$6,2,FALSE)=0,"Spatial Data Missing",VLOOKUP(J14,'G-3 Multipliers'!$L$3:$N$6,2,FALSE)))</f>
        <v/>
      </c>
      <c r="L14" s="524" t="str">
        <f>IF(J14="","",IF(VLOOKUP(J14,'G-3 Multipliers'!$L$3:$N$6,3,FALSE)=0,"Spatial Data Missing",VLOOKUP(J14,'G-3 Multipliers'!$L$3:$N$6,3,FALSE)))</f>
        <v/>
      </c>
      <c r="M14" s="197"/>
      <c r="N14" s="499" t="str">
        <f>IF(M14="","",IF(VLOOKUP(M14,'G-3 Multipliers'!$S$3:$T$6,2,FALSE)=0,"Spatial Data Missing ⚠",VLOOKUP(M14,'G-3 Multipliers'!$S$3:$T$6,2,FALSE)))</f>
        <v/>
      </c>
      <c r="O14" s="498" t="str">
        <f>IF(OR(D14="",H14=""),"",(INDEX('G-6 Hedgerow Data'!$E$3:$I$15,MATCH(D14,'G-6 Hedgerow Data'!$B$3:$B$15,0),MATCH(H14,'G-6 Hedgerow Data'!$E$2:$I$2,0))))</f>
        <v/>
      </c>
      <c r="P14" s="195"/>
      <c r="Q14" s="195"/>
      <c r="R14" s="507" t="str">
        <f t="shared" si="1"/>
        <v/>
      </c>
      <c r="S14" s="521" t="str">
        <f t="shared" si="2"/>
        <v/>
      </c>
      <c r="T14" s="522" t="str">
        <f t="shared" si="0"/>
        <v/>
      </c>
      <c r="U14" s="537" t="str">
        <f>IF(D14="","",VLOOKUP(D14,'G-6 Hedgerow Data'!$B$3:$AG$15,31,FALSE))</f>
        <v/>
      </c>
      <c r="V14" s="520" t="str">
        <f t="shared" si="3"/>
        <v/>
      </c>
      <c r="W14" s="520" t="str">
        <f t="shared" si="4"/>
        <v/>
      </c>
      <c r="X14" s="524" t="str">
        <f>IF(F14="","",VLOOKUP(U14,'G-3 Multipliers'!$P$3:$Q$6,2,FALSE))</f>
        <v/>
      </c>
      <c r="Y14" s="529" t="str">
        <f t="shared" si="5"/>
        <v/>
      </c>
      <c r="Z14" s="149"/>
      <c r="AA14" s="150"/>
      <c r="AG14" s="31" t="str">
        <f>IFERROR(INDEX('G-6 Hedgerow Data'!$BJ$3:$BJ$15,MATCH(D14,'G-6 Hedgerow Data'!$B$3:$B$15,0)),"")</f>
        <v/>
      </c>
    </row>
    <row r="15" spans="2:33" ht="13.8" x14ac:dyDescent="0.25">
      <c r="B15" s="103">
        <v>4</v>
      </c>
      <c r="C15" s="268"/>
      <c r="D15" s="82"/>
      <c r="E15" s="203"/>
      <c r="F15" s="498" t="str">
        <f>IF(D15="","",VLOOKUP(D15,'G-6 Hedgerow Data'!$B$2:$AG$15,2,FALSE))</f>
        <v/>
      </c>
      <c r="G15" s="524" t="str">
        <f>IF(D15="","",VLOOKUP(D15,'G-6 Hedgerow Data'!$B$2:$AG$15,3,FALSE))</f>
        <v/>
      </c>
      <c r="H15" s="72"/>
      <c r="I15" s="499" t="str">
        <f>IFERROR(IF(AND(F15="V.Low",OR(H15="Good",H15="Moderate")),"Error ▲",VLOOKUP(H15,'G-1 All Habitats'!$Z$2:$AA$9,2,FALSE)),"")</f>
        <v/>
      </c>
      <c r="J15" s="146"/>
      <c r="K15" s="520" t="str">
        <f>IF(J15="","",IF(VLOOKUP(J15,'G-3 Multipliers'!$L$3:$N$6,2,FALSE)=0,"Spatial Data Missing",VLOOKUP(J15,'G-3 Multipliers'!$L$3:$N$6,2,FALSE)))</f>
        <v/>
      </c>
      <c r="L15" s="524" t="str">
        <f>IF(J15="","",IF(VLOOKUP(J15,'G-3 Multipliers'!$L$3:$N$6,3,FALSE)=0,"Spatial Data Missing",VLOOKUP(J15,'G-3 Multipliers'!$L$3:$N$6,3,FALSE)))</f>
        <v/>
      </c>
      <c r="M15" s="197"/>
      <c r="N15" s="499" t="str">
        <f>IF(M15="","",IF(VLOOKUP(M15,'G-3 Multipliers'!$S$3:$T$6,2,FALSE)=0,"Spatial Data Missing ⚠",VLOOKUP(M15,'G-3 Multipliers'!$S$3:$T$6,2,FALSE)))</f>
        <v/>
      </c>
      <c r="O15" s="498" t="str">
        <f>IF(OR(D15="",H15=""),"",(INDEX('G-6 Hedgerow Data'!$E$3:$I$15,MATCH(D15,'G-6 Hedgerow Data'!$B$3:$B$15,0),MATCH(H15,'G-6 Hedgerow Data'!$E$2:$I$2,0))))</f>
        <v/>
      </c>
      <c r="P15" s="195"/>
      <c r="Q15" s="195"/>
      <c r="R15" s="507" t="str">
        <f t="shared" si="1"/>
        <v/>
      </c>
      <c r="S15" s="521" t="str">
        <f t="shared" si="2"/>
        <v/>
      </c>
      <c r="T15" s="522" t="str">
        <f t="shared" si="0"/>
        <v/>
      </c>
      <c r="U15" s="537" t="str">
        <f>IF(D15="","",VLOOKUP(D15,'G-6 Hedgerow Data'!$B$3:$AG$15,31,FALSE))</f>
        <v/>
      </c>
      <c r="V15" s="520" t="str">
        <f t="shared" si="3"/>
        <v/>
      </c>
      <c r="W15" s="520" t="str">
        <f t="shared" si="4"/>
        <v/>
      </c>
      <c r="X15" s="524" t="str">
        <f>IF(F15="","",VLOOKUP(U15,'G-3 Multipliers'!$P$3:$Q$6,2,FALSE))</f>
        <v/>
      </c>
      <c r="Y15" s="529" t="str">
        <f t="shared" si="5"/>
        <v/>
      </c>
      <c r="Z15" s="149"/>
      <c r="AA15" s="150"/>
      <c r="AG15" s="31" t="str">
        <f>IFERROR(INDEX('G-6 Hedgerow Data'!$BJ$3:$BJ$15,MATCH(D15,'G-6 Hedgerow Data'!$B$3:$B$15,0)),"")</f>
        <v/>
      </c>
    </row>
    <row r="16" spans="2:33" ht="13.8" x14ac:dyDescent="0.25">
      <c r="B16" s="103">
        <v>5</v>
      </c>
      <c r="C16" s="268"/>
      <c r="D16" s="82"/>
      <c r="E16" s="203"/>
      <c r="F16" s="498" t="str">
        <f>IF(D16="","",VLOOKUP(D16,'G-6 Hedgerow Data'!$B$2:$AG$15,2,FALSE))</f>
        <v/>
      </c>
      <c r="G16" s="524" t="str">
        <f>IF(D16="","",VLOOKUP(D16,'G-6 Hedgerow Data'!$B$2:$AG$15,3,FALSE))</f>
        <v/>
      </c>
      <c r="H16" s="72"/>
      <c r="I16" s="499" t="str">
        <f>IFERROR(IF(AND(F16="V.Low",OR(H16="Good",H16="Moderate")),"Error ▲",VLOOKUP(H16,'G-1 All Habitats'!$Z$2:$AA$9,2,FALSE)),"")</f>
        <v/>
      </c>
      <c r="J16" s="146"/>
      <c r="K16" s="520" t="str">
        <f>IF(J16="","",IF(VLOOKUP(J16,'G-3 Multipliers'!$L$3:$N$6,2,FALSE)=0,"Spatial Data Missing",VLOOKUP(J16,'G-3 Multipliers'!$L$3:$N$6,2,FALSE)))</f>
        <v/>
      </c>
      <c r="L16" s="524" t="str">
        <f>IF(J16="","",IF(VLOOKUP(J16,'G-3 Multipliers'!$L$3:$N$6,3,FALSE)=0,"Spatial Data Missing",VLOOKUP(J16,'G-3 Multipliers'!$L$3:$N$6,3,FALSE)))</f>
        <v/>
      </c>
      <c r="M16" s="197"/>
      <c r="N16" s="499" t="str">
        <f>IF(M16="","",IF(VLOOKUP(M16,'G-3 Multipliers'!$S$3:$T$6,2,FALSE)=0,"Spatial Data Missing ⚠",VLOOKUP(M16,'G-3 Multipliers'!$S$3:$T$6,2,FALSE)))</f>
        <v/>
      </c>
      <c r="O16" s="498" t="str">
        <f>IF(OR(D16="",H16=""),"",(INDEX('G-6 Hedgerow Data'!$E$3:$I$15,MATCH(D16,'G-6 Hedgerow Data'!$B$3:$B$15,0),MATCH(H16,'G-6 Hedgerow Data'!$E$2:$I$2,0))))</f>
        <v/>
      </c>
      <c r="P16" s="195"/>
      <c r="Q16" s="195"/>
      <c r="R16" s="507" t="str">
        <f t="shared" si="1"/>
        <v/>
      </c>
      <c r="S16" s="521" t="str">
        <f t="shared" si="2"/>
        <v/>
      </c>
      <c r="T16" s="522" t="str">
        <f t="shared" si="0"/>
        <v/>
      </c>
      <c r="U16" s="537" t="str">
        <f>IF(D16="","",VLOOKUP(D16,'G-6 Hedgerow Data'!$B$3:$AG$15,31,FALSE))</f>
        <v/>
      </c>
      <c r="V16" s="520" t="str">
        <f t="shared" si="3"/>
        <v/>
      </c>
      <c r="W16" s="520" t="str">
        <f t="shared" si="4"/>
        <v/>
      </c>
      <c r="X16" s="524" t="str">
        <f>IF(F16="","",VLOOKUP(U16,'G-3 Multipliers'!$P$3:$Q$6,2,FALSE))</f>
        <v/>
      </c>
      <c r="Y16" s="529" t="str">
        <f t="shared" si="5"/>
        <v/>
      </c>
      <c r="Z16" s="149"/>
      <c r="AA16" s="150"/>
      <c r="AG16" s="31" t="str">
        <f>IFERROR(INDEX('G-6 Hedgerow Data'!$BJ$3:$BJ$15,MATCH(D16,'G-6 Hedgerow Data'!$B$3:$B$15,0)),"")</f>
        <v/>
      </c>
    </row>
    <row r="17" spans="2:33" ht="13.8" x14ac:dyDescent="0.25">
      <c r="B17" s="103">
        <v>6</v>
      </c>
      <c r="C17" s="268"/>
      <c r="D17" s="82"/>
      <c r="E17" s="203"/>
      <c r="F17" s="498" t="str">
        <f>IF(D17="","",VLOOKUP(D17,'G-6 Hedgerow Data'!$B$2:$AG$15,2,FALSE))</f>
        <v/>
      </c>
      <c r="G17" s="524" t="str">
        <f>IF(D17="","",VLOOKUP(D17,'G-6 Hedgerow Data'!$B$2:$AG$15,3,FALSE))</f>
        <v/>
      </c>
      <c r="H17" s="72"/>
      <c r="I17" s="499" t="str">
        <f>IFERROR(IF(AND(F17="V.Low",OR(H17="Good",H17="Moderate")),"Error ▲",VLOOKUP(H17,'G-1 All Habitats'!$Z$2:$AA$9,2,FALSE)),"")</f>
        <v/>
      </c>
      <c r="J17" s="146"/>
      <c r="K17" s="520" t="str">
        <f>IF(J17="","",IF(VLOOKUP(J17,'G-3 Multipliers'!$L$3:$N$6,2,FALSE)=0,"Spatial Data Missing",VLOOKUP(J17,'G-3 Multipliers'!$L$3:$N$6,2,FALSE)))</f>
        <v/>
      </c>
      <c r="L17" s="524" t="str">
        <f>IF(J17="","",IF(VLOOKUP(J17,'G-3 Multipliers'!$L$3:$N$6,3,FALSE)=0,"Spatial Data Missing",VLOOKUP(J17,'G-3 Multipliers'!$L$3:$N$6,3,FALSE)))</f>
        <v/>
      </c>
      <c r="M17" s="197"/>
      <c r="N17" s="499" t="str">
        <f>IF(M17="","",IF(VLOOKUP(M17,'G-3 Multipliers'!$S$3:$T$6,2,FALSE)=0,"Spatial Data Missing ⚠",VLOOKUP(M17,'G-3 Multipliers'!$S$3:$T$6,2,FALSE)))</f>
        <v/>
      </c>
      <c r="O17" s="498" t="str">
        <f>IF(OR(D17="",H17=""),"",(INDEX('G-6 Hedgerow Data'!$E$3:$I$15,MATCH(D17,'G-6 Hedgerow Data'!$B$3:$B$15,0),MATCH(H17,'G-6 Hedgerow Data'!$E$2:$I$2,0))))</f>
        <v/>
      </c>
      <c r="P17" s="195"/>
      <c r="Q17" s="195"/>
      <c r="R17" s="507" t="str">
        <f t="shared" si="1"/>
        <v/>
      </c>
      <c r="S17" s="521" t="str">
        <f t="shared" si="2"/>
        <v/>
      </c>
      <c r="T17" s="522" t="str">
        <f t="shared" si="0"/>
        <v/>
      </c>
      <c r="U17" s="537" t="str">
        <f>IF(D17="","",VLOOKUP(D17,'G-6 Hedgerow Data'!$B$3:$AG$15,31,FALSE))</f>
        <v/>
      </c>
      <c r="V17" s="520" t="str">
        <f t="shared" si="3"/>
        <v/>
      </c>
      <c r="W17" s="520" t="str">
        <f t="shared" si="4"/>
        <v/>
      </c>
      <c r="X17" s="524" t="str">
        <f>IF(F17="","",VLOOKUP(U17,'G-3 Multipliers'!$P$3:$Q$6,2,FALSE))</f>
        <v/>
      </c>
      <c r="Y17" s="529" t="str">
        <f t="shared" si="5"/>
        <v/>
      </c>
      <c r="Z17" s="149"/>
      <c r="AA17" s="150"/>
      <c r="AG17" s="31" t="str">
        <f>IFERROR(INDEX('G-6 Hedgerow Data'!$BJ$3:$BJ$15,MATCH(D17,'G-6 Hedgerow Data'!$B$3:$B$15,0)),"")</f>
        <v/>
      </c>
    </row>
    <row r="18" spans="2:33" ht="13.8" x14ac:dyDescent="0.25">
      <c r="B18" s="103">
        <v>7</v>
      </c>
      <c r="C18" s="268"/>
      <c r="D18" s="82"/>
      <c r="E18" s="203"/>
      <c r="F18" s="498" t="str">
        <f>IF(D18="","",VLOOKUP(D18,'G-6 Hedgerow Data'!$B$2:$AG$15,2,FALSE))</f>
        <v/>
      </c>
      <c r="G18" s="524" t="str">
        <f>IF(D18="","",VLOOKUP(D18,'G-6 Hedgerow Data'!$B$2:$AG$15,3,FALSE))</f>
        <v/>
      </c>
      <c r="H18" s="72"/>
      <c r="I18" s="499" t="str">
        <f>IFERROR(IF(AND(F18="V.Low",OR(H18="Good",H18="Moderate")),"Error ▲",VLOOKUP(H18,'G-1 All Habitats'!$Z$2:$AA$9,2,FALSE)),"")</f>
        <v/>
      </c>
      <c r="J18" s="146"/>
      <c r="K18" s="520" t="str">
        <f>IF(J18="","",IF(VLOOKUP(J18,'G-3 Multipliers'!$L$3:$N$6,2,FALSE)=0,"Spatial Data Missing",VLOOKUP(J18,'G-3 Multipliers'!$L$3:$N$6,2,FALSE)))</f>
        <v/>
      </c>
      <c r="L18" s="524" t="str">
        <f>IF(J18="","",IF(VLOOKUP(J18,'G-3 Multipliers'!$L$3:$N$6,3,FALSE)=0,"Spatial Data Missing",VLOOKUP(J18,'G-3 Multipliers'!$L$3:$N$6,3,FALSE)))</f>
        <v/>
      </c>
      <c r="M18" s="197"/>
      <c r="N18" s="499" t="str">
        <f>IF(M18="","",IF(VLOOKUP(M18,'G-3 Multipliers'!$S$3:$T$6,2,FALSE)=0,"Spatial Data Missing ⚠",VLOOKUP(M18,'G-3 Multipliers'!$S$3:$T$6,2,FALSE)))</f>
        <v/>
      </c>
      <c r="O18" s="498" t="str">
        <f>IF(OR(D18="",H18=""),"",(INDEX('G-6 Hedgerow Data'!$E$3:$I$15,MATCH(D18,'G-6 Hedgerow Data'!$B$3:$B$15,0),MATCH(H18,'G-6 Hedgerow Data'!$E$2:$I$2,0))))</f>
        <v/>
      </c>
      <c r="P18" s="195"/>
      <c r="Q18" s="195"/>
      <c r="R18" s="507" t="str">
        <f t="shared" si="1"/>
        <v/>
      </c>
      <c r="S18" s="521" t="str">
        <f t="shared" si="2"/>
        <v/>
      </c>
      <c r="T18" s="522" t="str">
        <f t="shared" si="0"/>
        <v/>
      </c>
      <c r="U18" s="537" t="str">
        <f>IF(D18="","",VLOOKUP(D18,'G-6 Hedgerow Data'!$B$3:$AG$15,31,FALSE))</f>
        <v/>
      </c>
      <c r="V18" s="520" t="str">
        <f t="shared" si="3"/>
        <v/>
      </c>
      <c r="W18" s="520" t="str">
        <f t="shared" si="4"/>
        <v/>
      </c>
      <c r="X18" s="524" t="str">
        <f>IF(F18="","",VLOOKUP(U18,'G-3 Multipliers'!$P$3:$Q$6,2,FALSE))</f>
        <v/>
      </c>
      <c r="Y18" s="529" t="str">
        <f t="shared" si="5"/>
        <v/>
      </c>
      <c r="Z18" s="149"/>
      <c r="AA18" s="150"/>
      <c r="AG18" s="31" t="str">
        <f>IFERROR(INDEX('G-6 Hedgerow Data'!$BJ$3:$BJ$15,MATCH(D18,'G-6 Hedgerow Data'!$B$3:$B$15,0)),"")</f>
        <v/>
      </c>
    </row>
    <row r="19" spans="2:33" ht="13.8" x14ac:dyDescent="0.25">
      <c r="B19" s="103">
        <v>8</v>
      </c>
      <c r="C19" s="268"/>
      <c r="D19" s="82"/>
      <c r="E19" s="203"/>
      <c r="F19" s="498" t="str">
        <f>IF(D19="","",VLOOKUP(D19,'G-6 Hedgerow Data'!$B$2:$AG$15,2,FALSE))</f>
        <v/>
      </c>
      <c r="G19" s="524" t="str">
        <f>IF(D19="","",VLOOKUP(D19,'G-6 Hedgerow Data'!$B$2:$AG$15,3,FALSE))</f>
        <v/>
      </c>
      <c r="H19" s="72"/>
      <c r="I19" s="499" t="str">
        <f>IFERROR(IF(AND(F19="V.Low",OR(H19="Good",H19="Moderate")),"Error ▲",VLOOKUP(H19,'G-1 All Habitats'!$Z$2:$AA$9,2,FALSE)),"")</f>
        <v/>
      </c>
      <c r="J19" s="146"/>
      <c r="K19" s="520" t="str">
        <f>IF(J19="","",IF(VLOOKUP(J19,'G-3 Multipliers'!$L$3:$N$6,2,FALSE)=0,"Spatial Data Missing",VLOOKUP(J19,'G-3 Multipliers'!$L$3:$N$6,2,FALSE)))</f>
        <v/>
      </c>
      <c r="L19" s="524" t="str">
        <f>IF(J19="","",IF(VLOOKUP(J19,'G-3 Multipliers'!$L$3:$N$6,3,FALSE)=0,"Spatial Data Missing",VLOOKUP(J19,'G-3 Multipliers'!$L$3:$N$6,3,FALSE)))</f>
        <v/>
      </c>
      <c r="M19" s="197"/>
      <c r="N19" s="499" t="str">
        <f>IF(M19="","",IF(VLOOKUP(M19,'G-3 Multipliers'!$S$3:$T$6,2,FALSE)=0,"Spatial Data Missing ⚠",VLOOKUP(M19,'G-3 Multipliers'!$S$3:$T$6,2,FALSE)))</f>
        <v/>
      </c>
      <c r="O19" s="498" t="str">
        <f>IF(OR(D19="",H19=""),"",(INDEX('G-6 Hedgerow Data'!$E$3:$I$15,MATCH(D19,'G-6 Hedgerow Data'!$B$3:$B$15,0),MATCH(H19,'G-6 Hedgerow Data'!$E$2:$I$2,0))))</f>
        <v/>
      </c>
      <c r="P19" s="195"/>
      <c r="Q19" s="195"/>
      <c r="R19" s="507" t="str">
        <f t="shared" si="1"/>
        <v/>
      </c>
      <c r="S19" s="521" t="str">
        <f t="shared" si="2"/>
        <v/>
      </c>
      <c r="T19" s="522" t="str">
        <f t="shared" si="0"/>
        <v/>
      </c>
      <c r="U19" s="537" t="str">
        <f>IF(D19="","",VLOOKUP(D19,'G-6 Hedgerow Data'!$B$3:$AG$15,31,FALSE))</f>
        <v/>
      </c>
      <c r="V19" s="520" t="str">
        <f t="shared" si="3"/>
        <v/>
      </c>
      <c r="W19" s="520" t="str">
        <f t="shared" si="4"/>
        <v/>
      </c>
      <c r="X19" s="524" t="str">
        <f>IF(F19="","",VLOOKUP(U19,'G-3 Multipliers'!$P$3:$Q$6,2,FALSE))</f>
        <v/>
      </c>
      <c r="Y19" s="529" t="str">
        <f t="shared" si="5"/>
        <v/>
      </c>
      <c r="Z19" s="149"/>
      <c r="AA19" s="150"/>
      <c r="AG19" s="31" t="str">
        <f>IFERROR(INDEX('G-6 Hedgerow Data'!$BJ$3:$BJ$15,MATCH(D19,'G-6 Hedgerow Data'!$B$3:$B$15,0)),"")</f>
        <v/>
      </c>
    </row>
    <row r="20" spans="2:33" ht="13.8" x14ac:dyDescent="0.25">
      <c r="B20" s="103">
        <v>9</v>
      </c>
      <c r="C20" s="268"/>
      <c r="D20" s="82"/>
      <c r="E20" s="203"/>
      <c r="F20" s="498" t="str">
        <f>IF(D20="","",VLOOKUP(D20,'G-6 Hedgerow Data'!$B$2:$AG$15,2,FALSE))</f>
        <v/>
      </c>
      <c r="G20" s="524" t="str">
        <f>IF(D20="","",VLOOKUP(D20,'G-6 Hedgerow Data'!$B$2:$AG$15,3,FALSE))</f>
        <v/>
      </c>
      <c r="H20" s="72"/>
      <c r="I20" s="499" t="str">
        <f>IFERROR(IF(AND(F20="V.Low",OR(H20="Good",H20="Moderate")),"Error ▲",VLOOKUP(H20,'G-1 All Habitats'!$Z$2:$AA$9,2,FALSE)),"")</f>
        <v/>
      </c>
      <c r="J20" s="146"/>
      <c r="K20" s="520" t="str">
        <f>IF(J20="","",IF(VLOOKUP(J20,'G-3 Multipliers'!$L$3:$N$6,2,FALSE)=0,"Spatial Data Missing",VLOOKUP(J20,'G-3 Multipliers'!$L$3:$N$6,2,FALSE)))</f>
        <v/>
      </c>
      <c r="L20" s="524" t="str">
        <f>IF(J20="","",IF(VLOOKUP(J20,'G-3 Multipliers'!$L$3:$N$6,3,FALSE)=0,"Spatial Data Missing",VLOOKUP(J20,'G-3 Multipliers'!$L$3:$N$6,3,FALSE)))</f>
        <v/>
      </c>
      <c r="M20" s="197"/>
      <c r="N20" s="499" t="str">
        <f>IF(M20="","",IF(VLOOKUP(M20,'G-3 Multipliers'!$S$3:$T$6,2,FALSE)=0,"Spatial Data Missing ⚠",VLOOKUP(M20,'G-3 Multipliers'!$S$3:$T$6,2,FALSE)))</f>
        <v/>
      </c>
      <c r="O20" s="498" t="str">
        <f>IF(OR(D20="",H20=""),"",(INDEX('G-6 Hedgerow Data'!$E$3:$I$15,MATCH(D20,'G-6 Hedgerow Data'!$B$3:$B$15,0),MATCH(H20,'G-6 Hedgerow Data'!$E$2:$I$2,0))))</f>
        <v/>
      </c>
      <c r="P20" s="195"/>
      <c r="Q20" s="195"/>
      <c r="R20" s="507" t="str">
        <f t="shared" si="1"/>
        <v/>
      </c>
      <c r="S20" s="521" t="str">
        <f t="shared" si="2"/>
        <v/>
      </c>
      <c r="T20" s="522" t="str">
        <f t="shared" si="0"/>
        <v/>
      </c>
      <c r="U20" s="537" t="str">
        <f>IF(D20="","",VLOOKUP(D20,'G-6 Hedgerow Data'!$B$3:$AG$15,31,FALSE))</f>
        <v/>
      </c>
      <c r="V20" s="520" t="str">
        <f t="shared" si="3"/>
        <v/>
      </c>
      <c r="W20" s="520" t="str">
        <f t="shared" si="4"/>
        <v/>
      </c>
      <c r="X20" s="524" t="str">
        <f>IF(F20="","",VLOOKUP(U20,'G-3 Multipliers'!$P$3:$Q$6,2,FALSE))</f>
        <v/>
      </c>
      <c r="Y20" s="529" t="str">
        <f t="shared" si="5"/>
        <v/>
      </c>
      <c r="Z20" s="149"/>
      <c r="AA20" s="150"/>
      <c r="AG20" s="31" t="str">
        <f>IFERROR(INDEX('G-6 Hedgerow Data'!$BJ$3:$BJ$15,MATCH(D20,'G-6 Hedgerow Data'!$B$3:$B$15,0)),"")</f>
        <v/>
      </c>
    </row>
    <row r="21" spans="2:33" ht="13.8" x14ac:dyDescent="0.25">
      <c r="B21" s="103">
        <v>10</v>
      </c>
      <c r="C21" s="268"/>
      <c r="D21" s="82"/>
      <c r="E21" s="203"/>
      <c r="F21" s="498" t="str">
        <f>IF(D21="","",VLOOKUP(D21,'G-6 Hedgerow Data'!$B$2:$AG$15,2,FALSE))</f>
        <v/>
      </c>
      <c r="G21" s="524" t="str">
        <f>IF(D21="","",VLOOKUP(D21,'G-6 Hedgerow Data'!$B$2:$AG$15,3,FALSE))</f>
        <v/>
      </c>
      <c r="H21" s="72"/>
      <c r="I21" s="499" t="str">
        <f>IFERROR(IF(AND(F21="V.Low",OR(H21="Good",H21="Moderate")),"Error ▲",VLOOKUP(H21,'G-1 All Habitats'!$Z$2:$AA$9,2,FALSE)),"")</f>
        <v/>
      </c>
      <c r="J21" s="146"/>
      <c r="K21" s="520" t="str">
        <f>IF(J21="","",IF(VLOOKUP(J21,'G-3 Multipliers'!$L$3:$N$6,2,FALSE)=0,"Spatial Data Missing",VLOOKUP(J21,'G-3 Multipliers'!$L$3:$N$6,2,FALSE)))</f>
        <v/>
      </c>
      <c r="L21" s="524" t="str">
        <f>IF(J21="","",IF(VLOOKUP(J21,'G-3 Multipliers'!$L$3:$N$6,3,FALSE)=0,"Spatial Data Missing",VLOOKUP(J21,'G-3 Multipliers'!$L$3:$N$6,3,FALSE)))</f>
        <v/>
      </c>
      <c r="M21" s="197"/>
      <c r="N21" s="499" t="str">
        <f>IF(M21="","",IF(VLOOKUP(M21,'G-3 Multipliers'!$S$3:$T$6,2,FALSE)=0,"Spatial Data Missing ⚠",VLOOKUP(M21,'G-3 Multipliers'!$S$3:$T$6,2,FALSE)))</f>
        <v/>
      </c>
      <c r="O21" s="498" t="str">
        <f>IF(OR(D21="",H21=""),"",(INDEX('G-6 Hedgerow Data'!$E$3:$I$15,MATCH(D21,'G-6 Hedgerow Data'!$B$3:$B$15,0),MATCH(H21,'G-6 Hedgerow Data'!$E$2:$I$2,0))))</f>
        <v/>
      </c>
      <c r="P21" s="195"/>
      <c r="Q21" s="195"/>
      <c r="R21" s="507" t="str">
        <f t="shared" si="1"/>
        <v/>
      </c>
      <c r="S21" s="521" t="str">
        <f t="shared" si="2"/>
        <v/>
      </c>
      <c r="T21" s="522" t="str">
        <f t="shared" si="0"/>
        <v/>
      </c>
      <c r="U21" s="537" t="str">
        <f>IF(D21="","",VLOOKUP(D21,'G-6 Hedgerow Data'!$B$3:$AG$15,31,FALSE))</f>
        <v/>
      </c>
      <c r="V21" s="520" t="str">
        <f t="shared" si="3"/>
        <v/>
      </c>
      <c r="W21" s="520" t="str">
        <f t="shared" si="4"/>
        <v/>
      </c>
      <c r="X21" s="524" t="str">
        <f>IF(F21="","",VLOOKUP(U21,'G-3 Multipliers'!$P$3:$Q$6,2,FALSE))</f>
        <v/>
      </c>
      <c r="Y21" s="529" t="str">
        <f t="shared" si="5"/>
        <v/>
      </c>
      <c r="Z21" s="149"/>
      <c r="AA21" s="150"/>
      <c r="AG21" s="31" t="str">
        <f>IFERROR(INDEX('G-6 Hedgerow Data'!$BJ$3:$BJ$15,MATCH(D21,'G-6 Hedgerow Data'!$B$3:$B$15,0)),"")</f>
        <v/>
      </c>
    </row>
    <row r="22" spans="2:33" ht="13.8" x14ac:dyDescent="0.25">
      <c r="B22" s="103">
        <v>11</v>
      </c>
      <c r="C22" s="268"/>
      <c r="D22" s="82"/>
      <c r="E22" s="203"/>
      <c r="F22" s="498" t="str">
        <f>IF(D22="","",VLOOKUP(D22,'G-6 Hedgerow Data'!$B$2:$AG$15,2,FALSE))</f>
        <v/>
      </c>
      <c r="G22" s="524" t="str">
        <f>IF(D22="","",VLOOKUP(D22,'G-6 Hedgerow Data'!$B$2:$AG$15,3,FALSE))</f>
        <v/>
      </c>
      <c r="H22" s="72"/>
      <c r="I22" s="499" t="str">
        <f>IFERROR(IF(AND(F22="V.Low",OR(H22="Good",H22="Moderate")),"Error ▲",VLOOKUP(H22,'G-1 All Habitats'!$Z$2:$AA$9,2,FALSE)),"")</f>
        <v/>
      </c>
      <c r="J22" s="146"/>
      <c r="K22" s="520" t="str">
        <f>IF(J22="","",IF(VLOOKUP(J22,'G-3 Multipliers'!$L$3:$N$6,2,FALSE)=0,"Spatial Data Missing",VLOOKUP(J22,'G-3 Multipliers'!$L$3:$N$6,2,FALSE)))</f>
        <v/>
      </c>
      <c r="L22" s="524" t="str">
        <f>IF(J22="","",IF(VLOOKUP(J22,'G-3 Multipliers'!$L$3:$N$6,3,FALSE)=0,"Spatial Data Missing",VLOOKUP(J22,'G-3 Multipliers'!$L$3:$N$6,3,FALSE)))</f>
        <v/>
      </c>
      <c r="M22" s="197"/>
      <c r="N22" s="499" t="str">
        <f>IF(M22="","",IF(VLOOKUP(M22,'G-3 Multipliers'!$S$3:$T$6,2,FALSE)=0,"Spatial Data Missing ⚠",VLOOKUP(M22,'G-3 Multipliers'!$S$3:$T$6,2,FALSE)))</f>
        <v/>
      </c>
      <c r="O22" s="498" t="str">
        <f>IF(OR(D22="",H22=""),"",(INDEX('G-6 Hedgerow Data'!$E$3:$I$15,MATCH(D22,'G-6 Hedgerow Data'!$B$3:$B$15,0),MATCH(H22,'G-6 Hedgerow Data'!$E$2:$I$2,0))))</f>
        <v/>
      </c>
      <c r="P22" s="195"/>
      <c r="Q22" s="195"/>
      <c r="R22" s="507" t="str">
        <f t="shared" si="1"/>
        <v/>
      </c>
      <c r="S22" s="521" t="str">
        <f t="shared" si="2"/>
        <v/>
      </c>
      <c r="T22" s="522" t="str">
        <f t="shared" si="0"/>
        <v/>
      </c>
      <c r="U22" s="537" t="str">
        <f>IF(D22="","",VLOOKUP(D22,'G-6 Hedgerow Data'!$B$3:$AG$15,31,FALSE))</f>
        <v/>
      </c>
      <c r="V22" s="520" t="str">
        <f t="shared" si="3"/>
        <v/>
      </c>
      <c r="W22" s="520" t="str">
        <f t="shared" si="4"/>
        <v/>
      </c>
      <c r="X22" s="524" t="str">
        <f>IF(F22="","",VLOOKUP(U22,'G-3 Multipliers'!$P$3:$Q$6,2,FALSE))</f>
        <v/>
      </c>
      <c r="Y22" s="529" t="str">
        <f t="shared" si="5"/>
        <v/>
      </c>
      <c r="Z22" s="149"/>
      <c r="AA22" s="150"/>
      <c r="AG22" s="31" t="str">
        <f>IFERROR(INDEX('G-6 Hedgerow Data'!$BJ$3:$BJ$15,MATCH(D22,'G-6 Hedgerow Data'!$B$3:$B$15,0)),"")</f>
        <v/>
      </c>
    </row>
    <row r="23" spans="2:33" ht="13.8" x14ac:dyDescent="0.25">
      <c r="B23" s="103">
        <v>12</v>
      </c>
      <c r="C23" s="268"/>
      <c r="D23" s="82"/>
      <c r="E23" s="203"/>
      <c r="F23" s="498" t="str">
        <f>IF(D23="","",VLOOKUP(D23,'G-6 Hedgerow Data'!$B$2:$AG$15,2,FALSE))</f>
        <v/>
      </c>
      <c r="G23" s="524" t="str">
        <f>IF(D23="","",VLOOKUP(D23,'G-6 Hedgerow Data'!$B$2:$AG$15,3,FALSE))</f>
        <v/>
      </c>
      <c r="H23" s="72"/>
      <c r="I23" s="499" t="str">
        <f>IFERROR(IF(AND(F23="V.Low",OR(H23="Good",H23="Moderate")),"Error ▲",VLOOKUP(H23,'G-1 All Habitats'!$Z$2:$AA$9,2,FALSE)),"")</f>
        <v/>
      </c>
      <c r="J23" s="146"/>
      <c r="K23" s="520" t="str">
        <f>IF(J23="","",IF(VLOOKUP(J23,'G-3 Multipliers'!$L$3:$N$6,2,FALSE)=0,"Spatial Data Missing",VLOOKUP(J23,'G-3 Multipliers'!$L$3:$N$6,2,FALSE)))</f>
        <v/>
      </c>
      <c r="L23" s="524" t="str">
        <f>IF(J23="","",IF(VLOOKUP(J23,'G-3 Multipliers'!$L$3:$N$6,3,FALSE)=0,"Spatial Data Missing",VLOOKUP(J23,'G-3 Multipliers'!$L$3:$N$6,3,FALSE)))</f>
        <v/>
      </c>
      <c r="M23" s="197"/>
      <c r="N23" s="499" t="str">
        <f>IF(M23="","",IF(VLOOKUP(M23,'G-3 Multipliers'!$S$3:$T$6,2,FALSE)=0,"Spatial Data Missing ⚠",VLOOKUP(M23,'G-3 Multipliers'!$S$3:$T$6,2,FALSE)))</f>
        <v/>
      </c>
      <c r="O23" s="498" t="str">
        <f>IF(OR(D23="",H23=""),"",(INDEX('G-6 Hedgerow Data'!$E$3:$I$15,MATCH(D23,'G-6 Hedgerow Data'!$B$3:$B$15,0),MATCH(H23,'G-6 Hedgerow Data'!$E$2:$I$2,0))))</f>
        <v/>
      </c>
      <c r="P23" s="195"/>
      <c r="Q23" s="195"/>
      <c r="R23" s="507" t="str">
        <f t="shared" si="1"/>
        <v/>
      </c>
      <c r="S23" s="521" t="str">
        <f t="shared" si="2"/>
        <v/>
      </c>
      <c r="T23" s="522" t="str">
        <f t="shared" si="0"/>
        <v/>
      </c>
      <c r="U23" s="537" t="str">
        <f>IF(D23="","",VLOOKUP(D23,'G-6 Hedgerow Data'!$B$3:$AG$15,31,FALSE))</f>
        <v/>
      </c>
      <c r="V23" s="520" t="str">
        <f t="shared" si="3"/>
        <v/>
      </c>
      <c r="W23" s="520" t="str">
        <f t="shared" si="4"/>
        <v/>
      </c>
      <c r="X23" s="524" t="str">
        <f>IF(F23="","",VLOOKUP(U23,'G-3 Multipliers'!$P$3:$Q$6,2,FALSE))</f>
        <v/>
      </c>
      <c r="Y23" s="529" t="str">
        <f t="shared" si="5"/>
        <v/>
      </c>
      <c r="Z23" s="149"/>
      <c r="AA23" s="150"/>
      <c r="AG23" s="31" t="str">
        <f>IFERROR(INDEX('G-6 Hedgerow Data'!$BJ$3:$BJ$15,MATCH(D23,'G-6 Hedgerow Data'!$B$3:$B$15,0)),"")</f>
        <v/>
      </c>
    </row>
    <row r="24" spans="2:33" ht="13.8" x14ac:dyDescent="0.25">
      <c r="B24" s="103">
        <v>13</v>
      </c>
      <c r="C24" s="268"/>
      <c r="D24" s="82"/>
      <c r="E24" s="203"/>
      <c r="F24" s="498" t="str">
        <f>IF(D24="","",VLOOKUP(D24,'G-6 Hedgerow Data'!$B$2:$AG$15,2,FALSE))</f>
        <v/>
      </c>
      <c r="G24" s="524" t="str">
        <f>IF(D24="","",VLOOKUP(D24,'G-6 Hedgerow Data'!$B$2:$AG$15,3,FALSE))</f>
        <v/>
      </c>
      <c r="H24" s="72"/>
      <c r="I24" s="499" t="str">
        <f>IFERROR(IF(AND(F24="V.Low",OR(H24="Good",H24="Moderate")),"Error ▲",VLOOKUP(H24,'G-1 All Habitats'!$Z$2:$AA$9,2,FALSE)),"")</f>
        <v/>
      </c>
      <c r="J24" s="146"/>
      <c r="K24" s="520" t="str">
        <f>IF(J24="","",IF(VLOOKUP(J24,'G-3 Multipliers'!$L$3:$N$6,2,FALSE)=0,"Spatial Data Missing",VLOOKUP(J24,'G-3 Multipliers'!$L$3:$N$6,2,FALSE)))</f>
        <v/>
      </c>
      <c r="L24" s="524" t="str">
        <f>IF(J24="","",IF(VLOOKUP(J24,'G-3 Multipliers'!$L$3:$N$6,3,FALSE)=0,"Spatial Data Missing",VLOOKUP(J24,'G-3 Multipliers'!$L$3:$N$6,3,FALSE)))</f>
        <v/>
      </c>
      <c r="M24" s="197"/>
      <c r="N24" s="499" t="str">
        <f>IF(M24="","",IF(VLOOKUP(M24,'G-3 Multipliers'!$S$3:$T$6,2,FALSE)=0,"Spatial Data Missing ⚠",VLOOKUP(M24,'G-3 Multipliers'!$S$3:$T$6,2,FALSE)))</f>
        <v/>
      </c>
      <c r="O24" s="498" t="str">
        <f>IF(OR(D24="",H24=""),"",(INDEX('G-6 Hedgerow Data'!$E$3:$I$15,MATCH(D24,'G-6 Hedgerow Data'!$B$3:$B$15,0),MATCH(H24,'G-6 Hedgerow Data'!$E$2:$I$2,0))))</f>
        <v/>
      </c>
      <c r="P24" s="195"/>
      <c r="Q24" s="195"/>
      <c r="R24" s="507" t="str">
        <f t="shared" si="1"/>
        <v/>
      </c>
      <c r="S24" s="521" t="str">
        <f t="shared" si="2"/>
        <v/>
      </c>
      <c r="T24" s="522" t="str">
        <f t="shared" si="0"/>
        <v/>
      </c>
      <c r="U24" s="537" t="str">
        <f>IF(D24="","",VLOOKUP(D24,'G-6 Hedgerow Data'!$B$3:$AG$15,31,FALSE))</f>
        <v/>
      </c>
      <c r="V24" s="520" t="str">
        <f t="shared" si="3"/>
        <v/>
      </c>
      <c r="W24" s="520" t="str">
        <f t="shared" si="4"/>
        <v/>
      </c>
      <c r="X24" s="524" t="str">
        <f>IF(F24="","",VLOOKUP(U24,'G-3 Multipliers'!$P$3:$Q$6,2,FALSE))</f>
        <v/>
      </c>
      <c r="Y24" s="529" t="str">
        <f t="shared" si="5"/>
        <v/>
      </c>
      <c r="Z24" s="149"/>
      <c r="AA24" s="150"/>
      <c r="AG24" s="31" t="str">
        <f>IFERROR(INDEX('G-6 Hedgerow Data'!$BJ$3:$BJ$15,MATCH(D24,'G-6 Hedgerow Data'!$B$3:$B$15,0)),"")</f>
        <v/>
      </c>
    </row>
    <row r="25" spans="2:33" ht="13.8" x14ac:dyDescent="0.25">
      <c r="B25" s="103">
        <v>14</v>
      </c>
      <c r="C25" s="268"/>
      <c r="D25" s="82"/>
      <c r="E25" s="203"/>
      <c r="F25" s="498" t="str">
        <f>IF(D25="","",VLOOKUP(D25,'G-6 Hedgerow Data'!$B$2:$AG$15,2,FALSE))</f>
        <v/>
      </c>
      <c r="G25" s="524" t="str">
        <f>IF(D25="","",VLOOKUP(D25,'G-6 Hedgerow Data'!$B$2:$AG$15,3,FALSE))</f>
        <v/>
      </c>
      <c r="H25" s="72"/>
      <c r="I25" s="499" t="str">
        <f>IFERROR(IF(AND(F25="V.Low",OR(H25="Good",H25="Moderate")),"Error ▲",VLOOKUP(H25,'G-1 All Habitats'!$Z$2:$AA$9,2,FALSE)),"")</f>
        <v/>
      </c>
      <c r="J25" s="146"/>
      <c r="K25" s="520" t="str">
        <f>IF(J25="","",IF(VLOOKUP(J25,'G-3 Multipliers'!$L$3:$N$6,2,FALSE)=0,"Spatial Data Missing",VLOOKUP(J25,'G-3 Multipliers'!$L$3:$N$6,2,FALSE)))</f>
        <v/>
      </c>
      <c r="L25" s="524" t="str">
        <f>IF(J25="","",IF(VLOOKUP(J25,'G-3 Multipliers'!$L$3:$N$6,3,FALSE)=0,"Spatial Data Missing",VLOOKUP(J25,'G-3 Multipliers'!$L$3:$N$6,3,FALSE)))</f>
        <v/>
      </c>
      <c r="M25" s="197"/>
      <c r="N25" s="499" t="str">
        <f>IF(M25="","",IF(VLOOKUP(M25,'G-3 Multipliers'!$S$3:$T$6,2,FALSE)=0,"Spatial Data Missing ⚠",VLOOKUP(M25,'G-3 Multipliers'!$S$3:$T$6,2,FALSE)))</f>
        <v/>
      </c>
      <c r="O25" s="498" t="str">
        <f>IF(OR(D25="",H25=""),"",(INDEX('G-6 Hedgerow Data'!$E$3:$I$15,MATCH(D25,'G-6 Hedgerow Data'!$B$3:$B$15,0),MATCH(H25,'G-6 Hedgerow Data'!$E$2:$I$2,0))))</f>
        <v/>
      </c>
      <c r="P25" s="195"/>
      <c r="Q25" s="195"/>
      <c r="R25" s="507" t="str">
        <f t="shared" si="1"/>
        <v/>
      </c>
      <c r="S25" s="521" t="str">
        <f t="shared" si="2"/>
        <v/>
      </c>
      <c r="T25" s="522" t="str">
        <f t="shared" si="0"/>
        <v/>
      </c>
      <c r="U25" s="537" t="str">
        <f>IF(D25="","",VLOOKUP(D25,'G-6 Hedgerow Data'!$B$3:$AG$15,31,FALSE))</f>
        <v/>
      </c>
      <c r="V25" s="520" t="str">
        <f t="shared" si="3"/>
        <v/>
      </c>
      <c r="W25" s="520" t="str">
        <f t="shared" si="4"/>
        <v/>
      </c>
      <c r="X25" s="524" t="str">
        <f>IF(F25="","",VLOOKUP(U25,'G-3 Multipliers'!$P$3:$Q$6,2,FALSE))</f>
        <v/>
      </c>
      <c r="Y25" s="529" t="str">
        <f t="shared" si="5"/>
        <v/>
      </c>
      <c r="Z25" s="149"/>
      <c r="AA25" s="150"/>
      <c r="AG25" s="31" t="str">
        <f>IFERROR(INDEX('G-6 Hedgerow Data'!$BJ$3:$BJ$15,MATCH(D25,'G-6 Hedgerow Data'!$B$3:$B$15,0)),"")</f>
        <v/>
      </c>
    </row>
    <row r="26" spans="2:33" ht="13.8" x14ac:dyDescent="0.25">
      <c r="B26" s="103">
        <v>15</v>
      </c>
      <c r="C26" s="268"/>
      <c r="D26" s="82"/>
      <c r="E26" s="203"/>
      <c r="F26" s="498" t="str">
        <f>IF(D26="","",VLOOKUP(D26,'G-6 Hedgerow Data'!$B$2:$AG$15,2,FALSE))</f>
        <v/>
      </c>
      <c r="G26" s="524" t="str">
        <f>IF(D26="","",VLOOKUP(D26,'G-6 Hedgerow Data'!$B$2:$AG$15,3,FALSE))</f>
        <v/>
      </c>
      <c r="H26" s="72"/>
      <c r="I26" s="499" t="str">
        <f>IFERROR(IF(AND(F26="V.Low",OR(H26="Good",H26="Moderate")),"Error ▲",VLOOKUP(H26,'G-1 All Habitats'!$Z$2:$AA$9,2,FALSE)),"")</f>
        <v/>
      </c>
      <c r="J26" s="146"/>
      <c r="K26" s="520" t="str">
        <f>IF(J26="","",IF(VLOOKUP(J26,'G-3 Multipliers'!$L$3:$N$6,2,FALSE)=0,"Spatial Data Missing",VLOOKUP(J26,'G-3 Multipliers'!$L$3:$N$6,2,FALSE)))</f>
        <v/>
      </c>
      <c r="L26" s="524" t="str">
        <f>IF(J26="","",IF(VLOOKUP(J26,'G-3 Multipliers'!$L$3:$N$6,3,FALSE)=0,"Spatial Data Missing",VLOOKUP(J26,'G-3 Multipliers'!$L$3:$N$6,3,FALSE)))</f>
        <v/>
      </c>
      <c r="M26" s="197"/>
      <c r="N26" s="499" t="str">
        <f>IF(M26="","",IF(VLOOKUP(M26,'G-3 Multipliers'!$S$3:$T$6,2,FALSE)=0,"Spatial Data Missing ⚠",VLOOKUP(M26,'G-3 Multipliers'!$S$3:$T$6,2,FALSE)))</f>
        <v/>
      </c>
      <c r="O26" s="498" t="str">
        <f>IF(OR(D26="",H26=""),"",(INDEX('G-6 Hedgerow Data'!$E$3:$I$15,MATCH(D26,'G-6 Hedgerow Data'!$B$3:$B$15,0),MATCH(H26,'G-6 Hedgerow Data'!$E$2:$I$2,0))))</f>
        <v/>
      </c>
      <c r="P26" s="195"/>
      <c r="Q26" s="195"/>
      <c r="R26" s="507" t="str">
        <f t="shared" si="1"/>
        <v/>
      </c>
      <c r="S26" s="521" t="str">
        <f t="shared" si="2"/>
        <v/>
      </c>
      <c r="T26" s="522" t="str">
        <f t="shared" si="0"/>
        <v/>
      </c>
      <c r="U26" s="537" t="str">
        <f>IF(D26="","",VLOOKUP(D26,'G-6 Hedgerow Data'!$B$3:$AG$15,31,FALSE))</f>
        <v/>
      </c>
      <c r="V26" s="520" t="str">
        <f t="shared" si="3"/>
        <v/>
      </c>
      <c r="W26" s="520" t="str">
        <f t="shared" si="4"/>
        <v/>
      </c>
      <c r="X26" s="524" t="str">
        <f>IF(F26="","",VLOOKUP(U26,'G-3 Multipliers'!$P$3:$Q$6,2,FALSE))</f>
        <v/>
      </c>
      <c r="Y26" s="529" t="str">
        <f t="shared" si="5"/>
        <v/>
      </c>
      <c r="Z26" s="149"/>
      <c r="AA26" s="150"/>
      <c r="AG26" s="31" t="str">
        <f>IFERROR(INDEX('G-6 Hedgerow Data'!$BJ$3:$BJ$15,MATCH(D26,'G-6 Hedgerow Data'!$B$3:$B$15,0)),"")</f>
        <v/>
      </c>
    </row>
    <row r="27" spans="2:33" ht="13.8" x14ac:dyDescent="0.25">
      <c r="B27" s="103">
        <v>16</v>
      </c>
      <c r="C27" s="268"/>
      <c r="D27" s="82"/>
      <c r="E27" s="203"/>
      <c r="F27" s="498" t="str">
        <f>IF(D27="","",VLOOKUP(D27,'G-6 Hedgerow Data'!$B$2:$AG$15,2,FALSE))</f>
        <v/>
      </c>
      <c r="G27" s="524" t="str">
        <f>IF(D27="","",VLOOKUP(D27,'G-6 Hedgerow Data'!$B$2:$AG$15,3,FALSE))</f>
        <v/>
      </c>
      <c r="H27" s="72"/>
      <c r="I27" s="499" t="str">
        <f>IFERROR(IF(AND(F27="V.Low",OR(H27="Good",H27="Moderate")),"Error ▲",VLOOKUP(H27,'G-1 All Habitats'!$Z$2:$AA$9,2,FALSE)),"")</f>
        <v/>
      </c>
      <c r="J27" s="146"/>
      <c r="K27" s="520" t="str">
        <f>IF(J27="","",IF(VLOOKUP(J27,'G-3 Multipliers'!$L$3:$N$6,2,FALSE)=0,"Spatial Data Missing",VLOOKUP(J27,'G-3 Multipliers'!$L$3:$N$6,2,FALSE)))</f>
        <v/>
      </c>
      <c r="L27" s="524" t="str">
        <f>IF(J27="","",IF(VLOOKUP(J27,'G-3 Multipliers'!$L$3:$N$6,3,FALSE)=0,"Spatial Data Missing",VLOOKUP(J27,'G-3 Multipliers'!$L$3:$N$6,3,FALSE)))</f>
        <v/>
      </c>
      <c r="M27" s="197"/>
      <c r="N27" s="499" t="str">
        <f>IF(M27="","",IF(VLOOKUP(M27,'G-3 Multipliers'!$S$3:$T$6,2,FALSE)=0,"Spatial Data Missing ⚠",VLOOKUP(M27,'G-3 Multipliers'!$S$3:$T$6,2,FALSE)))</f>
        <v/>
      </c>
      <c r="O27" s="498" t="str">
        <f>IF(OR(D27="",H27=""),"",(INDEX('G-6 Hedgerow Data'!$E$3:$I$15,MATCH(D27,'G-6 Hedgerow Data'!$B$3:$B$15,0),MATCH(H27,'G-6 Hedgerow Data'!$E$2:$I$2,0))))</f>
        <v/>
      </c>
      <c r="P27" s="195"/>
      <c r="Q27" s="195"/>
      <c r="R27" s="507" t="str">
        <f t="shared" si="1"/>
        <v/>
      </c>
      <c r="S27" s="521" t="str">
        <f t="shared" si="2"/>
        <v/>
      </c>
      <c r="T27" s="522" t="str">
        <f t="shared" si="0"/>
        <v/>
      </c>
      <c r="U27" s="537" t="str">
        <f>IF(D27="","",VLOOKUP(D27,'G-6 Hedgerow Data'!$B$3:$AG$15,31,FALSE))</f>
        <v/>
      </c>
      <c r="V27" s="520" t="str">
        <f t="shared" si="3"/>
        <v/>
      </c>
      <c r="W27" s="520" t="str">
        <f t="shared" si="4"/>
        <v/>
      </c>
      <c r="X27" s="524" t="str">
        <f>IF(F27="","",VLOOKUP(U27,'G-3 Multipliers'!$P$3:$Q$6,2,FALSE))</f>
        <v/>
      </c>
      <c r="Y27" s="529" t="str">
        <f t="shared" si="5"/>
        <v/>
      </c>
      <c r="Z27" s="149"/>
      <c r="AA27" s="150"/>
      <c r="AG27" s="31" t="str">
        <f>IFERROR(INDEX('G-6 Hedgerow Data'!$BJ$3:$BJ$15,MATCH(D27,'G-6 Hedgerow Data'!$B$3:$B$15,0)),"")</f>
        <v/>
      </c>
    </row>
    <row r="28" spans="2:33" ht="13.8" x14ac:dyDescent="0.25">
      <c r="B28" s="103">
        <v>17</v>
      </c>
      <c r="C28" s="268"/>
      <c r="D28" s="82"/>
      <c r="E28" s="203"/>
      <c r="F28" s="498" t="str">
        <f>IF(D28="","",VLOOKUP(D28,'G-6 Hedgerow Data'!$B$2:$AG$15,2,FALSE))</f>
        <v/>
      </c>
      <c r="G28" s="524" t="str">
        <f>IF(D28="","",VLOOKUP(D28,'G-6 Hedgerow Data'!$B$2:$AG$15,3,FALSE))</f>
        <v/>
      </c>
      <c r="H28" s="72"/>
      <c r="I28" s="499" t="str">
        <f>IFERROR(IF(AND(F28="V.Low",OR(H28="Good",H28="Moderate")),"Error ▲",VLOOKUP(H28,'G-1 All Habitats'!$Z$2:$AA$9,2,FALSE)),"")</f>
        <v/>
      </c>
      <c r="J28" s="146"/>
      <c r="K28" s="520" t="str">
        <f>IF(J28="","",IF(VLOOKUP(J28,'G-3 Multipliers'!$L$3:$N$6,2,FALSE)=0,"Spatial Data Missing",VLOOKUP(J28,'G-3 Multipliers'!$L$3:$N$6,2,FALSE)))</f>
        <v/>
      </c>
      <c r="L28" s="524" t="str">
        <f>IF(J28="","",IF(VLOOKUP(J28,'G-3 Multipliers'!$L$3:$N$6,3,FALSE)=0,"Spatial Data Missing",VLOOKUP(J28,'G-3 Multipliers'!$L$3:$N$6,3,FALSE)))</f>
        <v/>
      </c>
      <c r="M28" s="197"/>
      <c r="N28" s="499" t="str">
        <f>IF(M28="","",IF(VLOOKUP(M28,'G-3 Multipliers'!$S$3:$T$6,2,FALSE)=0,"Spatial Data Missing ⚠",VLOOKUP(M28,'G-3 Multipliers'!$S$3:$T$6,2,FALSE)))</f>
        <v/>
      </c>
      <c r="O28" s="498" t="str">
        <f>IF(OR(D28="",H28=""),"",(INDEX('G-6 Hedgerow Data'!$E$3:$I$15,MATCH(D28,'G-6 Hedgerow Data'!$B$3:$B$15,0),MATCH(H28,'G-6 Hedgerow Data'!$E$2:$I$2,0))))</f>
        <v/>
      </c>
      <c r="P28" s="195"/>
      <c r="Q28" s="195"/>
      <c r="R28" s="507" t="str">
        <f t="shared" si="1"/>
        <v/>
      </c>
      <c r="S28" s="521" t="str">
        <f t="shared" si="2"/>
        <v/>
      </c>
      <c r="T28" s="522" t="str">
        <f t="shared" si="0"/>
        <v/>
      </c>
      <c r="U28" s="537" t="str">
        <f>IF(D28="","",VLOOKUP(D28,'G-6 Hedgerow Data'!$B$3:$AG$15,31,FALSE))</f>
        <v/>
      </c>
      <c r="V28" s="520" t="str">
        <f t="shared" si="3"/>
        <v/>
      </c>
      <c r="W28" s="520" t="str">
        <f t="shared" si="4"/>
        <v/>
      </c>
      <c r="X28" s="524" t="str">
        <f>IF(F28="","",VLOOKUP(U28,'G-3 Multipliers'!$P$3:$Q$6,2,FALSE))</f>
        <v/>
      </c>
      <c r="Y28" s="529" t="str">
        <f t="shared" si="5"/>
        <v/>
      </c>
      <c r="Z28" s="149"/>
      <c r="AA28" s="150"/>
      <c r="AG28" s="31" t="str">
        <f>IFERROR(INDEX('G-6 Hedgerow Data'!$BJ$3:$BJ$15,MATCH(D28,'G-6 Hedgerow Data'!$B$3:$B$15,0)),"")</f>
        <v/>
      </c>
    </row>
    <row r="29" spans="2:33" ht="13.8" x14ac:dyDescent="0.25">
      <c r="B29" s="103">
        <v>18</v>
      </c>
      <c r="C29" s="268"/>
      <c r="D29" s="82"/>
      <c r="E29" s="203"/>
      <c r="F29" s="498" t="str">
        <f>IF(D29="","",VLOOKUP(D29,'G-6 Hedgerow Data'!$B$2:$AG$15,2,FALSE))</f>
        <v/>
      </c>
      <c r="G29" s="524" t="str">
        <f>IF(D29="","",VLOOKUP(D29,'G-6 Hedgerow Data'!$B$2:$AG$15,3,FALSE))</f>
        <v/>
      </c>
      <c r="H29" s="72"/>
      <c r="I29" s="499" t="str">
        <f>IFERROR(IF(AND(F29="V.Low",OR(H29="Good",H29="Moderate")),"Error ▲",VLOOKUP(H29,'G-1 All Habitats'!$Z$2:$AA$9,2,FALSE)),"")</f>
        <v/>
      </c>
      <c r="J29" s="146"/>
      <c r="K29" s="520" t="str">
        <f>IF(J29="","",IF(VLOOKUP(J29,'G-3 Multipliers'!$L$3:$N$6,2,FALSE)=0,"Spatial Data Missing",VLOOKUP(J29,'G-3 Multipliers'!$L$3:$N$6,2,FALSE)))</f>
        <v/>
      </c>
      <c r="L29" s="524" t="str">
        <f>IF(J29="","",IF(VLOOKUP(J29,'G-3 Multipliers'!$L$3:$N$6,3,FALSE)=0,"Spatial Data Missing",VLOOKUP(J29,'G-3 Multipliers'!$L$3:$N$6,3,FALSE)))</f>
        <v/>
      </c>
      <c r="M29" s="197"/>
      <c r="N29" s="499" t="str">
        <f>IF(M29="","",IF(VLOOKUP(M29,'G-3 Multipliers'!$S$3:$T$6,2,FALSE)=0,"Spatial Data Missing ⚠",VLOOKUP(M29,'G-3 Multipliers'!$S$3:$T$6,2,FALSE)))</f>
        <v/>
      </c>
      <c r="O29" s="498" t="str">
        <f>IF(OR(D29="",H29=""),"",(INDEX('G-6 Hedgerow Data'!$E$3:$I$15,MATCH(D29,'G-6 Hedgerow Data'!$B$3:$B$15,0),MATCH(H29,'G-6 Hedgerow Data'!$E$2:$I$2,0))))</f>
        <v/>
      </c>
      <c r="P29" s="195"/>
      <c r="Q29" s="195"/>
      <c r="R29" s="507" t="str">
        <f t="shared" si="1"/>
        <v/>
      </c>
      <c r="S29" s="521" t="str">
        <f t="shared" si="2"/>
        <v/>
      </c>
      <c r="T29" s="522" t="str">
        <f t="shared" si="0"/>
        <v/>
      </c>
      <c r="U29" s="537" t="str">
        <f>IF(D29="","",VLOOKUP(D29,'G-6 Hedgerow Data'!$B$3:$AG$15,31,FALSE))</f>
        <v/>
      </c>
      <c r="V29" s="520" t="str">
        <f t="shared" si="3"/>
        <v/>
      </c>
      <c r="W29" s="520" t="str">
        <f t="shared" si="4"/>
        <v/>
      </c>
      <c r="X29" s="524" t="str">
        <f>IF(F29="","",VLOOKUP(U29,'G-3 Multipliers'!$P$3:$Q$6,2,FALSE))</f>
        <v/>
      </c>
      <c r="Y29" s="529" t="str">
        <f t="shared" si="5"/>
        <v/>
      </c>
      <c r="Z29" s="149"/>
      <c r="AA29" s="150"/>
      <c r="AG29" s="31" t="str">
        <f>IFERROR(INDEX('G-6 Hedgerow Data'!$BJ$3:$BJ$15,MATCH(D29,'G-6 Hedgerow Data'!$B$3:$B$15,0)),"")</f>
        <v/>
      </c>
    </row>
    <row r="30" spans="2:33" ht="13.8" x14ac:dyDescent="0.25">
      <c r="B30" s="103">
        <v>19</v>
      </c>
      <c r="C30" s="268"/>
      <c r="D30" s="82"/>
      <c r="E30" s="203"/>
      <c r="F30" s="498" t="str">
        <f>IF(D30="","",VLOOKUP(D30,'G-6 Hedgerow Data'!$B$2:$AG$15,2,FALSE))</f>
        <v/>
      </c>
      <c r="G30" s="524" t="str">
        <f>IF(D30="","",VLOOKUP(D30,'G-6 Hedgerow Data'!$B$2:$AG$15,3,FALSE))</f>
        <v/>
      </c>
      <c r="H30" s="72"/>
      <c r="I30" s="499" t="str">
        <f>IFERROR(IF(AND(F30="V.Low",OR(H30="Good",H30="Moderate")),"Error ▲",VLOOKUP(H30,'G-1 All Habitats'!$Z$2:$AA$9,2,FALSE)),"")</f>
        <v/>
      </c>
      <c r="J30" s="146"/>
      <c r="K30" s="520" t="str">
        <f>IF(J30="","",IF(VLOOKUP(J30,'G-3 Multipliers'!$L$3:$N$6,2,FALSE)=0,"Spatial Data Missing",VLOOKUP(J30,'G-3 Multipliers'!$L$3:$N$6,2,FALSE)))</f>
        <v/>
      </c>
      <c r="L30" s="524" t="str">
        <f>IF(J30="","",IF(VLOOKUP(J30,'G-3 Multipliers'!$L$3:$N$6,3,FALSE)=0,"Spatial Data Missing",VLOOKUP(J30,'G-3 Multipliers'!$L$3:$N$6,3,FALSE)))</f>
        <v/>
      </c>
      <c r="M30" s="197"/>
      <c r="N30" s="499" t="str">
        <f>IF(M30="","",IF(VLOOKUP(M30,'G-3 Multipliers'!$S$3:$T$6,2,FALSE)=0,"Spatial Data Missing ⚠",VLOOKUP(M30,'G-3 Multipliers'!$S$3:$T$6,2,FALSE)))</f>
        <v/>
      </c>
      <c r="O30" s="498" t="str">
        <f>IF(OR(D30="",H30=""),"",(INDEX('G-6 Hedgerow Data'!$E$3:$I$15,MATCH(D30,'G-6 Hedgerow Data'!$B$3:$B$15,0),MATCH(H30,'G-6 Hedgerow Data'!$E$2:$I$2,0))))</f>
        <v/>
      </c>
      <c r="P30" s="195"/>
      <c r="Q30" s="195"/>
      <c r="R30" s="507" t="str">
        <f t="shared" si="1"/>
        <v/>
      </c>
      <c r="S30" s="521" t="str">
        <f t="shared" si="2"/>
        <v/>
      </c>
      <c r="T30" s="522" t="str">
        <f t="shared" si="0"/>
        <v/>
      </c>
      <c r="U30" s="537" t="str">
        <f>IF(D30="","",VLOOKUP(D30,'G-6 Hedgerow Data'!$B$3:$AG$15,31,FALSE))</f>
        <v/>
      </c>
      <c r="V30" s="520" t="str">
        <f t="shared" si="3"/>
        <v/>
      </c>
      <c r="W30" s="520" t="str">
        <f t="shared" si="4"/>
        <v/>
      </c>
      <c r="X30" s="524" t="str">
        <f>IF(F30="","",VLOOKUP(U30,'G-3 Multipliers'!$P$3:$Q$6,2,FALSE))</f>
        <v/>
      </c>
      <c r="Y30" s="529" t="str">
        <f t="shared" si="5"/>
        <v/>
      </c>
      <c r="Z30" s="149"/>
      <c r="AA30" s="150"/>
      <c r="AG30" s="31" t="str">
        <f>IFERROR(INDEX('G-6 Hedgerow Data'!$BJ$3:$BJ$15,MATCH(D30,'G-6 Hedgerow Data'!$B$3:$B$15,0)),"")</f>
        <v/>
      </c>
    </row>
    <row r="31" spans="2:33" ht="13.8" x14ac:dyDescent="0.25">
      <c r="B31" s="103">
        <v>20</v>
      </c>
      <c r="C31" s="268"/>
      <c r="D31" s="82"/>
      <c r="E31" s="203"/>
      <c r="F31" s="498" t="str">
        <f>IF(D31="","",VLOOKUP(D31,'G-6 Hedgerow Data'!$B$2:$AG$15,2,FALSE))</f>
        <v/>
      </c>
      <c r="G31" s="524" t="str">
        <f>IF(D31="","",VLOOKUP(D31,'G-6 Hedgerow Data'!$B$2:$AG$15,3,FALSE))</f>
        <v/>
      </c>
      <c r="H31" s="72"/>
      <c r="I31" s="499" t="str">
        <f>IFERROR(IF(AND(F31="V.Low",OR(H31="Good",H31="Moderate")),"Error ▲",VLOOKUP(H31,'G-1 All Habitats'!$Z$2:$AA$9,2,FALSE)),"")</f>
        <v/>
      </c>
      <c r="J31" s="146"/>
      <c r="K31" s="520" t="str">
        <f>IF(J31="","",IF(VLOOKUP(J31,'G-3 Multipliers'!$L$3:$N$6,2,FALSE)=0,"Spatial Data Missing",VLOOKUP(J31,'G-3 Multipliers'!$L$3:$N$6,2,FALSE)))</f>
        <v/>
      </c>
      <c r="L31" s="524" t="str">
        <f>IF(J31="","",IF(VLOOKUP(J31,'G-3 Multipliers'!$L$3:$N$6,3,FALSE)=0,"Spatial Data Missing",VLOOKUP(J31,'G-3 Multipliers'!$L$3:$N$6,3,FALSE)))</f>
        <v/>
      </c>
      <c r="M31" s="197"/>
      <c r="N31" s="499" t="str">
        <f>IF(M31="","",IF(VLOOKUP(M31,'G-3 Multipliers'!$S$3:$T$6,2,FALSE)=0,"Spatial Data Missing ⚠",VLOOKUP(M31,'G-3 Multipliers'!$S$3:$T$6,2,FALSE)))</f>
        <v/>
      </c>
      <c r="O31" s="498" t="str">
        <f>IF(OR(D31="",H31=""),"",(INDEX('G-6 Hedgerow Data'!$E$3:$I$15,MATCH(D31,'G-6 Hedgerow Data'!$B$3:$B$15,0),MATCH(H31,'G-6 Hedgerow Data'!$E$2:$I$2,0))))</f>
        <v/>
      </c>
      <c r="P31" s="195"/>
      <c r="Q31" s="195"/>
      <c r="R31" s="507" t="str">
        <f t="shared" si="1"/>
        <v/>
      </c>
      <c r="S31" s="521" t="str">
        <f t="shared" si="2"/>
        <v/>
      </c>
      <c r="T31" s="522" t="str">
        <f t="shared" si="0"/>
        <v/>
      </c>
      <c r="U31" s="537" t="str">
        <f>IF(D31="","",VLOOKUP(D31,'G-6 Hedgerow Data'!$B$3:$AG$15,31,FALSE))</f>
        <v/>
      </c>
      <c r="V31" s="520" t="str">
        <f t="shared" si="3"/>
        <v/>
      </c>
      <c r="W31" s="520" t="str">
        <f t="shared" si="4"/>
        <v/>
      </c>
      <c r="X31" s="524" t="str">
        <f>IF(F31="","",VLOOKUP(U31,'G-3 Multipliers'!$P$3:$Q$6,2,FALSE))</f>
        <v/>
      </c>
      <c r="Y31" s="529" t="str">
        <f t="shared" si="5"/>
        <v/>
      </c>
      <c r="Z31" s="149"/>
      <c r="AA31" s="150"/>
      <c r="AG31" s="31" t="str">
        <f>IFERROR(INDEX('G-6 Hedgerow Data'!$BJ$3:$BJ$15,MATCH(D31,'G-6 Hedgerow Data'!$B$3:$B$15,0)),"")</f>
        <v/>
      </c>
    </row>
    <row r="32" spans="2:33" ht="13.8" x14ac:dyDescent="0.25">
      <c r="B32" s="103">
        <v>21</v>
      </c>
      <c r="C32" s="268"/>
      <c r="D32" s="82"/>
      <c r="E32" s="203"/>
      <c r="F32" s="498" t="str">
        <f>IF(D32="","",VLOOKUP(D32,'G-6 Hedgerow Data'!$B$2:$AG$15,2,FALSE))</f>
        <v/>
      </c>
      <c r="G32" s="524" t="str">
        <f>IF(D32="","",VLOOKUP(D32,'G-6 Hedgerow Data'!$B$2:$AG$15,3,FALSE))</f>
        <v/>
      </c>
      <c r="H32" s="72"/>
      <c r="I32" s="499" t="str">
        <f>IFERROR(IF(AND(F32="V.Low",OR(H32="Good",H32="Moderate")),"Error ▲",VLOOKUP(H32,'G-1 All Habitats'!$Z$2:$AA$9,2,FALSE)),"")</f>
        <v/>
      </c>
      <c r="J32" s="146"/>
      <c r="K32" s="520" t="str">
        <f>IF(J32="","",IF(VLOOKUP(J32,'G-3 Multipliers'!$L$3:$N$6,2,FALSE)=0,"Spatial Data Missing",VLOOKUP(J32,'G-3 Multipliers'!$L$3:$N$6,2,FALSE)))</f>
        <v/>
      </c>
      <c r="L32" s="524" t="str">
        <f>IF(J32="","",IF(VLOOKUP(J32,'G-3 Multipliers'!$L$3:$N$6,3,FALSE)=0,"Spatial Data Missing",VLOOKUP(J32,'G-3 Multipliers'!$L$3:$N$6,3,FALSE)))</f>
        <v/>
      </c>
      <c r="M32" s="197"/>
      <c r="N32" s="499" t="str">
        <f>IF(M32="","",IF(VLOOKUP(M32,'G-3 Multipliers'!$S$3:$T$6,2,FALSE)=0,"Spatial Data Missing ⚠",VLOOKUP(M32,'G-3 Multipliers'!$S$3:$T$6,2,FALSE)))</f>
        <v/>
      </c>
      <c r="O32" s="498" t="str">
        <f>IF(OR(D32="",H32=""),"",(INDEX('G-6 Hedgerow Data'!$E$3:$I$15,MATCH(D32,'G-6 Hedgerow Data'!$B$3:$B$15,0),MATCH(H32,'G-6 Hedgerow Data'!$E$2:$I$2,0))))</f>
        <v/>
      </c>
      <c r="P32" s="195"/>
      <c r="Q32" s="195"/>
      <c r="R32" s="507" t="str">
        <f t="shared" si="1"/>
        <v/>
      </c>
      <c r="S32" s="521" t="str">
        <f t="shared" si="2"/>
        <v/>
      </c>
      <c r="T32" s="522" t="str">
        <f t="shared" si="0"/>
        <v/>
      </c>
      <c r="U32" s="537" t="str">
        <f>IF(D32="","",VLOOKUP(D32,'G-6 Hedgerow Data'!$B$3:$AG$15,31,FALSE))</f>
        <v/>
      </c>
      <c r="V32" s="520" t="str">
        <f t="shared" si="3"/>
        <v/>
      </c>
      <c r="W32" s="520" t="str">
        <f t="shared" si="4"/>
        <v/>
      </c>
      <c r="X32" s="524" t="str">
        <f>IF(F32="","",VLOOKUP(U32,'G-3 Multipliers'!$P$3:$Q$6,2,FALSE))</f>
        <v/>
      </c>
      <c r="Y32" s="529" t="str">
        <f t="shared" si="5"/>
        <v/>
      </c>
      <c r="Z32" s="149"/>
      <c r="AA32" s="150"/>
      <c r="AG32" s="31" t="str">
        <f>IFERROR(INDEX('G-6 Hedgerow Data'!$BJ$3:$BJ$15,MATCH(D32,'G-6 Hedgerow Data'!$B$3:$B$15,0)),"")</f>
        <v/>
      </c>
    </row>
    <row r="33" spans="2:33" ht="13.8" x14ac:dyDescent="0.25">
      <c r="B33" s="103">
        <v>22</v>
      </c>
      <c r="C33" s="268"/>
      <c r="D33" s="82"/>
      <c r="E33" s="203"/>
      <c r="F33" s="498" t="str">
        <f>IF(D33="","",VLOOKUP(D33,'G-6 Hedgerow Data'!$B$2:$AG$15,2,FALSE))</f>
        <v/>
      </c>
      <c r="G33" s="524" t="str">
        <f>IF(D33="","",VLOOKUP(D33,'G-6 Hedgerow Data'!$B$2:$AG$15,3,FALSE))</f>
        <v/>
      </c>
      <c r="H33" s="72"/>
      <c r="I33" s="499" t="str">
        <f>IFERROR(IF(AND(F33="V.Low",OR(H33="Good",H33="Moderate")),"Error ▲",VLOOKUP(H33,'G-1 All Habitats'!$Z$2:$AA$9,2,FALSE)),"")</f>
        <v/>
      </c>
      <c r="J33" s="146"/>
      <c r="K33" s="520" t="str">
        <f>IF(J33="","",IF(VLOOKUP(J33,'G-3 Multipliers'!$L$3:$N$6,2,FALSE)=0,"Spatial Data Missing",VLOOKUP(J33,'G-3 Multipliers'!$L$3:$N$6,2,FALSE)))</f>
        <v/>
      </c>
      <c r="L33" s="524" t="str">
        <f>IF(J33="","",IF(VLOOKUP(J33,'G-3 Multipliers'!$L$3:$N$6,3,FALSE)=0,"Spatial Data Missing",VLOOKUP(J33,'G-3 Multipliers'!$L$3:$N$6,3,FALSE)))</f>
        <v/>
      </c>
      <c r="M33" s="197"/>
      <c r="N33" s="499" t="str">
        <f>IF(M33="","",IF(VLOOKUP(M33,'G-3 Multipliers'!$S$3:$T$6,2,FALSE)=0,"Spatial Data Missing ⚠",VLOOKUP(M33,'G-3 Multipliers'!$S$3:$T$6,2,FALSE)))</f>
        <v/>
      </c>
      <c r="O33" s="498" t="str">
        <f>IF(OR(D33="",H33=""),"",(INDEX('G-6 Hedgerow Data'!$E$3:$I$15,MATCH(D33,'G-6 Hedgerow Data'!$B$3:$B$15,0),MATCH(H33,'G-6 Hedgerow Data'!$E$2:$I$2,0))))</f>
        <v/>
      </c>
      <c r="P33" s="195"/>
      <c r="Q33" s="195"/>
      <c r="R33" s="507" t="str">
        <f t="shared" si="1"/>
        <v/>
      </c>
      <c r="S33" s="521" t="str">
        <f t="shared" si="2"/>
        <v/>
      </c>
      <c r="T33" s="522" t="str">
        <f t="shared" si="0"/>
        <v/>
      </c>
      <c r="U33" s="537" t="str">
        <f>IF(D33="","",VLOOKUP(D33,'G-6 Hedgerow Data'!$B$3:$AG$15,31,FALSE))</f>
        <v/>
      </c>
      <c r="V33" s="520" t="str">
        <f t="shared" si="3"/>
        <v/>
      </c>
      <c r="W33" s="520" t="str">
        <f t="shared" si="4"/>
        <v/>
      </c>
      <c r="X33" s="524" t="str">
        <f>IF(F33="","",VLOOKUP(U33,'G-3 Multipliers'!$P$3:$Q$6,2,FALSE))</f>
        <v/>
      </c>
      <c r="Y33" s="529" t="str">
        <f t="shared" si="5"/>
        <v/>
      </c>
      <c r="Z33" s="149"/>
      <c r="AA33" s="150"/>
      <c r="AG33" s="31" t="str">
        <f>IFERROR(INDEX('G-6 Hedgerow Data'!$BJ$3:$BJ$15,MATCH(D33,'G-6 Hedgerow Data'!$B$3:$B$15,0)),"")</f>
        <v/>
      </c>
    </row>
    <row r="34" spans="2:33" ht="13.8" x14ac:dyDescent="0.25">
      <c r="B34" s="103">
        <v>23</v>
      </c>
      <c r="C34" s="268"/>
      <c r="D34" s="82"/>
      <c r="E34" s="203"/>
      <c r="F34" s="498" t="str">
        <f>IF(D34="","",VLOOKUP(D34,'G-6 Hedgerow Data'!$B$2:$AG$15,2,FALSE))</f>
        <v/>
      </c>
      <c r="G34" s="524" t="str">
        <f>IF(D34="","",VLOOKUP(D34,'G-6 Hedgerow Data'!$B$2:$AG$15,3,FALSE))</f>
        <v/>
      </c>
      <c r="H34" s="72"/>
      <c r="I34" s="499" t="str">
        <f>IFERROR(IF(AND(F34="V.Low",OR(H34="Good",H34="Moderate")),"Error ▲",VLOOKUP(H34,'G-1 All Habitats'!$Z$2:$AA$9,2,FALSE)),"")</f>
        <v/>
      </c>
      <c r="J34" s="146"/>
      <c r="K34" s="520" t="str">
        <f>IF(J34="","",IF(VLOOKUP(J34,'G-3 Multipliers'!$L$3:$N$6,2,FALSE)=0,"Spatial Data Missing",VLOOKUP(J34,'G-3 Multipliers'!$L$3:$N$6,2,FALSE)))</f>
        <v/>
      </c>
      <c r="L34" s="524" t="str">
        <f>IF(J34="","",IF(VLOOKUP(J34,'G-3 Multipliers'!$L$3:$N$6,3,FALSE)=0,"Spatial Data Missing",VLOOKUP(J34,'G-3 Multipliers'!$L$3:$N$6,3,FALSE)))</f>
        <v/>
      </c>
      <c r="M34" s="197"/>
      <c r="N34" s="499" t="str">
        <f>IF(M34="","",IF(VLOOKUP(M34,'G-3 Multipliers'!$S$3:$T$6,2,FALSE)=0,"Spatial Data Missing ⚠",VLOOKUP(M34,'G-3 Multipliers'!$S$3:$T$6,2,FALSE)))</f>
        <v/>
      </c>
      <c r="O34" s="498" t="str">
        <f>IF(OR(D34="",H34=""),"",(INDEX('G-6 Hedgerow Data'!$E$3:$I$15,MATCH(D34,'G-6 Hedgerow Data'!$B$3:$B$15,0),MATCH(H34,'G-6 Hedgerow Data'!$E$2:$I$2,0))))</f>
        <v/>
      </c>
      <c r="P34" s="195"/>
      <c r="Q34" s="195"/>
      <c r="R34" s="507" t="str">
        <f t="shared" si="1"/>
        <v/>
      </c>
      <c r="S34" s="521" t="str">
        <f t="shared" si="2"/>
        <v/>
      </c>
      <c r="T34" s="522" t="str">
        <f t="shared" si="0"/>
        <v/>
      </c>
      <c r="U34" s="537" t="str">
        <f>IF(D34="","",VLOOKUP(D34,'G-6 Hedgerow Data'!$B$3:$AG$15,31,FALSE))</f>
        <v/>
      </c>
      <c r="V34" s="520" t="str">
        <f t="shared" si="3"/>
        <v/>
      </c>
      <c r="W34" s="520" t="str">
        <f t="shared" si="4"/>
        <v/>
      </c>
      <c r="X34" s="524" t="str">
        <f>IF(F34="","",VLOOKUP(U34,'G-3 Multipliers'!$P$3:$Q$6,2,FALSE))</f>
        <v/>
      </c>
      <c r="Y34" s="529" t="str">
        <f t="shared" si="5"/>
        <v/>
      </c>
      <c r="Z34" s="149"/>
      <c r="AA34" s="150"/>
      <c r="AG34" s="31" t="str">
        <f>IFERROR(INDEX('G-6 Hedgerow Data'!$BJ$3:$BJ$15,MATCH(D34,'G-6 Hedgerow Data'!$B$3:$B$15,0)),"")</f>
        <v/>
      </c>
    </row>
    <row r="35" spans="2:33" ht="13.8" x14ac:dyDescent="0.25">
      <c r="B35" s="103">
        <v>24</v>
      </c>
      <c r="C35" s="268"/>
      <c r="D35" s="82"/>
      <c r="E35" s="203"/>
      <c r="F35" s="498" t="str">
        <f>IF(D35="","",VLOOKUP(D35,'G-6 Hedgerow Data'!$B$2:$AG$15,2,FALSE))</f>
        <v/>
      </c>
      <c r="G35" s="524" t="str">
        <f>IF(D35="","",VLOOKUP(D35,'G-6 Hedgerow Data'!$B$2:$AG$15,3,FALSE))</f>
        <v/>
      </c>
      <c r="H35" s="72"/>
      <c r="I35" s="499" t="str">
        <f>IFERROR(IF(AND(F35="V.Low",OR(H35="Good",H35="Moderate")),"Error ▲",VLOOKUP(H35,'G-1 All Habitats'!$Z$2:$AA$9,2,FALSE)),"")</f>
        <v/>
      </c>
      <c r="J35" s="146"/>
      <c r="K35" s="520" t="str">
        <f>IF(J35="","",IF(VLOOKUP(J35,'G-3 Multipliers'!$L$3:$N$6,2,FALSE)=0,"Spatial Data Missing",VLOOKUP(J35,'G-3 Multipliers'!$L$3:$N$6,2,FALSE)))</f>
        <v/>
      </c>
      <c r="L35" s="524" t="str">
        <f>IF(J35="","",IF(VLOOKUP(J35,'G-3 Multipliers'!$L$3:$N$6,3,FALSE)=0,"Spatial Data Missing",VLOOKUP(J35,'G-3 Multipliers'!$L$3:$N$6,3,FALSE)))</f>
        <v/>
      </c>
      <c r="M35" s="197"/>
      <c r="N35" s="499" t="str">
        <f>IF(M35="","",IF(VLOOKUP(M35,'G-3 Multipliers'!$S$3:$T$6,2,FALSE)=0,"Spatial Data Missing ⚠",VLOOKUP(M35,'G-3 Multipliers'!$S$3:$T$6,2,FALSE)))</f>
        <v/>
      </c>
      <c r="O35" s="498" t="str">
        <f>IF(OR(D35="",H35=""),"",(INDEX('G-6 Hedgerow Data'!$E$3:$I$15,MATCH(D35,'G-6 Hedgerow Data'!$B$3:$B$15,0),MATCH(H35,'G-6 Hedgerow Data'!$E$2:$I$2,0))))</f>
        <v/>
      </c>
      <c r="P35" s="195"/>
      <c r="Q35" s="195"/>
      <c r="R35" s="507" t="str">
        <f t="shared" si="1"/>
        <v/>
      </c>
      <c r="S35" s="521" t="str">
        <f t="shared" si="2"/>
        <v/>
      </c>
      <c r="T35" s="522" t="str">
        <f t="shared" si="0"/>
        <v/>
      </c>
      <c r="U35" s="537" t="str">
        <f>IF(D35="","",VLOOKUP(D35,'G-6 Hedgerow Data'!$B$3:$AG$15,31,FALSE))</f>
        <v/>
      </c>
      <c r="V35" s="520" t="str">
        <f t="shared" si="3"/>
        <v/>
      </c>
      <c r="W35" s="520" t="str">
        <f t="shared" si="4"/>
        <v/>
      </c>
      <c r="X35" s="524" t="str">
        <f>IF(F35="","",VLOOKUP(U35,'G-3 Multipliers'!$P$3:$Q$6,2,FALSE))</f>
        <v/>
      </c>
      <c r="Y35" s="529" t="str">
        <f t="shared" si="5"/>
        <v/>
      </c>
      <c r="Z35" s="149"/>
      <c r="AA35" s="150"/>
      <c r="AG35" s="31" t="str">
        <f>IFERROR(INDEX('G-6 Hedgerow Data'!$BJ$3:$BJ$15,MATCH(D35,'G-6 Hedgerow Data'!$B$3:$B$15,0)),"")</f>
        <v/>
      </c>
    </row>
    <row r="36" spans="2:33" ht="13.8" x14ac:dyDescent="0.25">
      <c r="B36" s="103">
        <v>25</v>
      </c>
      <c r="C36" s="268"/>
      <c r="D36" s="82"/>
      <c r="E36" s="203"/>
      <c r="F36" s="498" t="str">
        <f>IF(D36="","",VLOOKUP(D36,'G-6 Hedgerow Data'!$B$2:$AG$15,2,FALSE))</f>
        <v/>
      </c>
      <c r="G36" s="524" t="str">
        <f>IF(D36="","",VLOOKUP(D36,'G-6 Hedgerow Data'!$B$2:$AG$15,3,FALSE))</f>
        <v/>
      </c>
      <c r="H36" s="72"/>
      <c r="I36" s="499" t="str">
        <f>IFERROR(IF(AND(F36="V.Low",OR(H36="Good",H36="Moderate")),"Error ▲",VLOOKUP(H36,'G-1 All Habitats'!$Z$2:$AA$9,2,FALSE)),"")</f>
        <v/>
      </c>
      <c r="J36" s="146"/>
      <c r="K36" s="520" t="str">
        <f>IF(J36="","",IF(VLOOKUP(J36,'G-3 Multipliers'!$L$3:$N$6,2,FALSE)=0,"Spatial Data Missing",VLOOKUP(J36,'G-3 Multipliers'!$L$3:$N$6,2,FALSE)))</f>
        <v/>
      </c>
      <c r="L36" s="524" t="str">
        <f>IF(J36="","",IF(VLOOKUP(J36,'G-3 Multipliers'!$L$3:$N$6,3,FALSE)=0,"Spatial Data Missing",VLOOKUP(J36,'G-3 Multipliers'!$L$3:$N$6,3,FALSE)))</f>
        <v/>
      </c>
      <c r="M36" s="197"/>
      <c r="N36" s="499" t="str">
        <f>IF(M36="","",IF(VLOOKUP(M36,'G-3 Multipliers'!$S$3:$T$6,2,FALSE)=0,"Spatial Data Missing ⚠",VLOOKUP(M36,'G-3 Multipliers'!$S$3:$T$6,2,FALSE)))</f>
        <v/>
      </c>
      <c r="O36" s="498" t="str">
        <f>IF(OR(D36="",H36=""),"",(INDEX('G-6 Hedgerow Data'!$E$3:$I$15,MATCH(D36,'G-6 Hedgerow Data'!$B$3:$B$15,0),MATCH(H36,'G-6 Hedgerow Data'!$E$2:$I$2,0))))</f>
        <v/>
      </c>
      <c r="P36" s="195"/>
      <c r="Q36" s="195"/>
      <c r="R36" s="507" t="str">
        <f t="shared" si="1"/>
        <v/>
      </c>
      <c r="S36" s="521" t="str">
        <f t="shared" si="2"/>
        <v/>
      </c>
      <c r="T36" s="522" t="str">
        <f t="shared" si="0"/>
        <v/>
      </c>
      <c r="U36" s="537" t="str">
        <f>IF(D36="","",VLOOKUP(D36,'G-6 Hedgerow Data'!$B$3:$AG$15,31,FALSE))</f>
        <v/>
      </c>
      <c r="V36" s="520" t="str">
        <f t="shared" si="3"/>
        <v/>
      </c>
      <c r="W36" s="520" t="str">
        <f t="shared" si="4"/>
        <v/>
      </c>
      <c r="X36" s="524" t="str">
        <f>IF(F36="","",VLOOKUP(U36,'G-3 Multipliers'!$P$3:$Q$6,2,FALSE))</f>
        <v/>
      </c>
      <c r="Y36" s="529" t="str">
        <f t="shared" si="5"/>
        <v/>
      </c>
      <c r="Z36" s="149"/>
      <c r="AA36" s="150"/>
      <c r="AG36" s="31" t="str">
        <f>IFERROR(INDEX('G-6 Hedgerow Data'!$BJ$3:$BJ$15,MATCH(D36,'G-6 Hedgerow Data'!$B$3:$B$15,0)),"")</f>
        <v/>
      </c>
    </row>
    <row r="37" spans="2:33" ht="13.8" x14ac:dyDescent="0.25">
      <c r="B37" s="103">
        <v>26</v>
      </c>
      <c r="C37" s="268"/>
      <c r="D37" s="82"/>
      <c r="E37" s="203"/>
      <c r="F37" s="498" t="str">
        <f>IF(D37="","",VLOOKUP(D37,'G-6 Hedgerow Data'!$B$2:$AG$15,2,FALSE))</f>
        <v/>
      </c>
      <c r="G37" s="524" t="str">
        <f>IF(D37="","",VLOOKUP(D37,'G-6 Hedgerow Data'!$B$2:$AG$15,3,FALSE))</f>
        <v/>
      </c>
      <c r="H37" s="72"/>
      <c r="I37" s="499" t="str">
        <f>IFERROR(IF(AND(F37="V.Low",OR(H37="Good",H37="Moderate")),"Error ▲",VLOOKUP(H37,'G-1 All Habitats'!$Z$2:$AA$9,2,FALSE)),"")</f>
        <v/>
      </c>
      <c r="J37" s="146"/>
      <c r="K37" s="520" t="str">
        <f>IF(J37="","",IF(VLOOKUP(J37,'G-3 Multipliers'!$L$3:$N$6,2,FALSE)=0,"Spatial Data Missing",VLOOKUP(J37,'G-3 Multipliers'!$L$3:$N$6,2,FALSE)))</f>
        <v/>
      </c>
      <c r="L37" s="524" t="str">
        <f>IF(J37="","",IF(VLOOKUP(J37,'G-3 Multipliers'!$L$3:$N$6,3,FALSE)=0,"Spatial Data Missing",VLOOKUP(J37,'G-3 Multipliers'!$L$3:$N$6,3,FALSE)))</f>
        <v/>
      </c>
      <c r="M37" s="197"/>
      <c r="N37" s="499" t="str">
        <f>IF(M37="","",IF(VLOOKUP(M37,'G-3 Multipliers'!$S$3:$T$6,2,FALSE)=0,"Spatial Data Missing ⚠",VLOOKUP(M37,'G-3 Multipliers'!$S$3:$T$6,2,FALSE)))</f>
        <v/>
      </c>
      <c r="O37" s="498" t="str">
        <f>IF(OR(D37="",H37=""),"",(INDEX('G-6 Hedgerow Data'!$E$3:$I$15,MATCH(D37,'G-6 Hedgerow Data'!$B$3:$B$15,0),MATCH(H37,'G-6 Hedgerow Data'!$E$2:$I$2,0))))</f>
        <v/>
      </c>
      <c r="P37" s="195"/>
      <c r="Q37" s="195"/>
      <c r="R37" s="507" t="str">
        <f t="shared" si="1"/>
        <v/>
      </c>
      <c r="S37" s="521" t="str">
        <f t="shared" si="2"/>
        <v/>
      </c>
      <c r="T37" s="522" t="str">
        <f t="shared" si="0"/>
        <v/>
      </c>
      <c r="U37" s="537" t="str">
        <f>IF(D37="","",VLOOKUP(D37,'G-6 Hedgerow Data'!$B$3:$AG$15,31,FALSE))</f>
        <v/>
      </c>
      <c r="V37" s="520" t="str">
        <f t="shared" si="3"/>
        <v/>
      </c>
      <c r="W37" s="520" t="str">
        <f t="shared" si="4"/>
        <v/>
      </c>
      <c r="X37" s="524" t="str">
        <f>IF(F37="","",VLOOKUP(U37,'G-3 Multipliers'!$P$3:$Q$6,2,FALSE))</f>
        <v/>
      </c>
      <c r="Y37" s="529" t="str">
        <f t="shared" si="5"/>
        <v/>
      </c>
      <c r="Z37" s="149"/>
      <c r="AA37" s="150"/>
      <c r="AG37" s="31" t="str">
        <f>IFERROR(INDEX('G-6 Hedgerow Data'!$BJ$3:$BJ$15,MATCH(D37,'G-6 Hedgerow Data'!$B$3:$B$15,0)),"")</f>
        <v/>
      </c>
    </row>
    <row r="38" spans="2:33" ht="13.8" x14ac:dyDescent="0.25">
      <c r="B38" s="103">
        <v>27</v>
      </c>
      <c r="C38" s="268"/>
      <c r="D38" s="82"/>
      <c r="E38" s="203"/>
      <c r="F38" s="498" t="str">
        <f>IF(D38="","",VLOOKUP(D38,'G-6 Hedgerow Data'!$B$2:$AG$15,2,FALSE))</f>
        <v/>
      </c>
      <c r="G38" s="524" t="str">
        <f>IF(D38="","",VLOOKUP(D38,'G-6 Hedgerow Data'!$B$2:$AG$15,3,FALSE))</f>
        <v/>
      </c>
      <c r="H38" s="72"/>
      <c r="I38" s="499" t="str">
        <f>IFERROR(IF(AND(F38="V.Low",OR(H38="Good",H38="Moderate")),"Error ▲",VLOOKUP(H38,'G-1 All Habitats'!$Z$2:$AA$9,2,FALSE)),"")</f>
        <v/>
      </c>
      <c r="J38" s="146"/>
      <c r="K38" s="520" t="str">
        <f>IF(J38="","",IF(VLOOKUP(J38,'G-3 Multipliers'!$L$3:$N$6,2,FALSE)=0,"Spatial Data Missing",VLOOKUP(J38,'G-3 Multipliers'!$L$3:$N$6,2,FALSE)))</f>
        <v/>
      </c>
      <c r="L38" s="524" t="str">
        <f>IF(J38="","",IF(VLOOKUP(J38,'G-3 Multipliers'!$L$3:$N$6,3,FALSE)=0,"Spatial Data Missing",VLOOKUP(J38,'G-3 Multipliers'!$L$3:$N$6,3,FALSE)))</f>
        <v/>
      </c>
      <c r="M38" s="197"/>
      <c r="N38" s="499" t="str">
        <f>IF(M38="","",IF(VLOOKUP(M38,'G-3 Multipliers'!$S$3:$T$6,2,FALSE)=0,"Spatial Data Missing ⚠",VLOOKUP(M38,'G-3 Multipliers'!$S$3:$T$6,2,FALSE)))</f>
        <v/>
      </c>
      <c r="O38" s="498" t="str">
        <f>IF(OR(D38="",H38=""),"",(INDEX('G-6 Hedgerow Data'!$E$3:$I$15,MATCH(D38,'G-6 Hedgerow Data'!$B$3:$B$15,0),MATCH(H38,'G-6 Hedgerow Data'!$E$2:$I$2,0))))</f>
        <v/>
      </c>
      <c r="P38" s="195"/>
      <c r="Q38" s="195"/>
      <c r="R38" s="507" t="str">
        <f t="shared" si="1"/>
        <v/>
      </c>
      <c r="S38" s="521" t="str">
        <f t="shared" si="2"/>
        <v/>
      </c>
      <c r="T38" s="522" t="str">
        <f t="shared" si="0"/>
        <v/>
      </c>
      <c r="U38" s="537" t="str">
        <f>IF(D38="","",VLOOKUP(D38,'G-6 Hedgerow Data'!$B$3:$AG$15,31,FALSE))</f>
        <v/>
      </c>
      <c r="V38" s="520" t="str">
        <f t="shared" si="3"/>
        <v/>
      </c>
      <c r="W38" s="520" t="str">
        <f t="shared" si="4"/>
        <v/>
      </c>
      <c r="X38" s="524" t="str">
        <f>IF(F38="","",VLOOKUP(U38,'G-3 Multipliers'!$P$3:$Q$6,2,FALSE))</f>
        <v/>
      </c>
      <c r="Y38" s="529" t="str">
        <f t="shared" si="5"/>
        <v/>
      </c>
      <c r="Z38" s="149"/>
      <c r="AA38" s="150"/>
      <c r="AG38" s="31" t="str">
        <f>IFERROR(INDEX('G-6 Hedgerow Data'!$BJ$3:$BJ$15,MATCH(D38,'G-6 Hedgerow Data'!$B$3:$B$15,0)),"")</f>
        <v/>
      </c>
    </row>
    <row r="39" spans="2:33" ht="13.8" x14ac:dyDescent="0.25">
      <c r="B39" s="103">
        <v>28</v>
      </c>
      <c r="C39" s="268"/>
      <c r="D39" s="82"/>
      <c r="E39" s="203"/>
      <c r="F39" s="498" t="str">
        <f>IF(D39="","",VLOOKUP(D39,'G-6 Hedgerow Data'!$B$2:$AG$15,2,FALSE))</f>
        <v/>
      </c>
      <c r="G39" s="524" t="str">
        <f>IF(D39="","",VLOOKUP(D39,'G-6 Hedgerow Data'!$B$2:$AG$15,3,FALSE))</f>
        <v/>
      </c>
      <c r="H39" s="72"/>
      <c r="I39" s="499" t="str">
        <f>IFERROR(IF(AND(F39="V.Low",OR(H39="Good",H39="Moderate")),"Error ▲",VLOOKUP(H39,'G-1 All Habitats'!$Z$2:$AA$9,2,FALSE)),"")</f>
        <v/>
      </c>
      <c r="J39" s="146"/>
      <c r="K39" s="520" t="str">
        <f>IF(J39="","",IF(VLOOKUP(J39,'G-3 Multipliers'!$L$3:$N$6,2,FALSE)=0,"Spatial Data Missing",VLOOKUP(J39,'G-3 Multipliers'!$L$3:$N$6,2,FALSE)))</f>
        <v/>
      </c>
      <c r="L39" s="524" t="str">
        <f>IF(J39="","",IF(VLOOKUP(J39,'G-3 Multipliers'!$L$3:$N$6,3,FALSE)=0,"Spatial Data Missing",VLOOKUP(J39,'G-3 Multipliers'!$L$3:$N$6,3,FALSE)))</f>
        <v/>
      </c>
      <c r="M39" s="197"/>
      <c r="N39" s="499" t="str">
        <f>IF(M39="","",IF(VLOOKUP(M39,'G-3 Multipliers'!$S$3:$T$6,2,FALSE)=0,"Spatial Data Missing ⚠",VLOOKUP(M39,'G-3 Multipliers'!$S$3:$T$6,2,FALSE)))</f>
        <v/>
      </c>
      <c r="O39" s="498" t="str">
        <f>IF(OR(D39="",H39=""),"",(INDEX('G-6 Hedgerow Data'!$E$3:$I$15,MATCH(D39,'G-6 Hedgerow Data'!$B$3:$B$15,0),MATCH(H39,'G-6 Hedgerow Data'!$E$2:$I$2,0))))</f>
        <v/>
      </c>
      <c r="P39" s="195"/>
      <c r="Q39" s="195"/>
      <c r="R39" s="507" t="str">
        <f t="shared" si="1"/>
        <v/>
      </c>
      <c r="S39" s="521" t="str">
        <f t="shared" si="2"/>
        <v/>
      </c>
      <c r="T39" s="522" t="str">
        <f t="shared" si="0"/>
        <v/>
      </c>
      <c r="U39" s="537" t="str">
        <f>IF(D39="","",VLOOKUP(D39,'G-6 Hedgerow Data'!$B$3:$AG$15,31,FALSE))</f>
        <v/>
      </c>
      <c r="V39" s="520" t="str">
        <f t="shared" si="3"/>
        <v/>
      </c>
      <c r="W39" s="520" t="str">
        <f t="shared" si="4"/>
        <v/>
      </c>
      <c r="X39" s="524" t="str">
        <f>IF(F39="","",VLOOKUP(U39,'G-3 Multipliers'!$P$3:$Q$6,2,FALSE))</f>
        <v/>
      </c>
      <c r="Y39" s="529" t="str">
        <f t="shared" si="5"/>
        <v/>
      </c>
      <c r="Z39" s="149"/>
      <c r="AA39" s="150"/>
      <c r="AG39" s="31" t="str">
        <f>IFERROR(INDEX('G-6 Hedgerow Data'!$BJ$3:$BJ$15,MATCH(D39,'G-6 Hedgerow Data'!$B$3:$B$15,0)),"")</f>
        <v/>
      </c>
    </row>
    <row r="40" spans="2:33" ht="13.8" x14ac:dyDescent="0.25">
      <c r="B40" s="103">
        <v>29</v>
      </c>
      <c r="C40" s="268"/>
      <c r="D40" s="82"/>
      <c r="E40" s="203"/>
      <c r="F40" s="498" t="str">
        <f>IF(D40="","",VLOOKUP(D40,'G-6 Hedgerow Data'!$B$2:$AG$15,2,FALSE))</f>
        <v/>
      </c>
      <c r="G40" s="524" t="str">
        <f>IF(D40="","",VLOOKUP(D40,'G-6 Hedgerow Data'!$B$2:$AG$15,3,FALSE))</f>
        <v/>
      </c>
      <c r="H40" s="72"/>
      <c r="I40" s="499" t="str">
        <f>IFERROR(IF(AND(F40="V.Low",OR(H40="Good",H40="Moderate")),"Error ▲",VLOOKUP(H40,'G-1 All Habitats'!$Z$2:$AA$9,2,FALSE)),"")</f>
        <v/>
      </c>
      <c r="J40" s="146"/>
      <c r="K40" s="520" t="str">
        <f>IF(J40="","",IF(VLOOKUP(J40,'G-3 Multipliers'!$L$3:$N$6,2,FALSE)=0,"Spatial Data Missing",VLOOKUP(J40,'G-3 Multipliers'!$L$3:$N$6,2,FALSE)))</f>
        <v/>
      </c>
      <c r="L40" s="524" t="str">
        <f>IF(J40="","",IF(VLOOKUP(J40,'G-3 Multipliers'!$L$3:$N$6,3,FALSE)=0,"Spatial Data Missing",VLOOKUP(J40,'G-3 Multipliers'!$L$3:$N$6,3,FALSE)))</f>
        <v/>
      </c>
      <c r="M40" s="197"/>
      <c r="N40" s="499" t="str">
        <f>IF(M40="","",IF(VLOOKUP(M40,'G-3 Multipliers'!$S$3:$T$6,2,FALSE)=0,"Spatial Data Missing ⚠",VLOOKUP(M40,'G-3 Multipliers'!$S$3:$T$6,2,FALSE)))</f>
        <v/>
      </c>
      <c r="O40" s="498" t="str">
        <f>IF(OR(D40="",H40=""),"",(INDEX('G-6 Hedgerow Data'!$E$3:$I$15,MATCH(D40,'G-6 Hedgerow Data'!$B$3:$B$15,0),MATCH(H40,'G-6 Hedgerow Data'!$E$2:$I$2,0))))</f>
        <v/>
      </c>
      <c r="P40" s="195"/>
      <c r="Q40" s="195"/>
      <c r="R40" s="507" t="str">
        <f t="shared" si="1"/>
        <v/>
      </c>
      <c r="S40" s="521" t="str">
        <f t="shared" si="2"/>
        <v/>
      </c>
      <c r="T40" s="522" t="str">
        <f t="shared" si="0"/>
        <v/>
      </c>
      <c r="U40" s="537" t="str">
        <f>IF(D40="","",VLOOKUP(D40,'G-6 Hedgerow Data'!$B$3:$AG$15,31,FALSE))</f>
        <v/>
      </c>
      <c r="V40" s="520" t="str">
        <f t="shared" si="3"/>
        <v/>
      </c>
      <c r="W40" s="520" t="str">
        <f t="shared" si="4"/>
        <v/>
      </c>
      <c r="X40" s="524" t="str">
        <f>IF(F40="","",VLOOKUP(U40,'G-3 Multipliers'!$P$3:$Q$6,2,FALSE))</f>
        <v/>
      </c>
      <c r="Y40" s="529" t="str">
        <f t="shared" si="5"/>
        <v/>
      </c>
      <c r="Z40" s="149"/>
      <c r="AA40" s="150"/>
      <c r="AG40" s="31" t="str">
        <f>IFERROR(INDEX('G-6 Hedgerow Data'!$BJ$3:$BJ$15,MATCH(D40,'G-6 Hedgerow Data'!$B$3:$B$15,0)),"")</f>
        <v/>
      </c>
    </row>
    <row r="41" spans="2:33" ht="13.8" x14ac:dyDescent="0.25">
      <c r="B41" s="103">
        <v>30</v>
      </c>
      <c r="C41" s="268"/>
      <c r="D41" s="82"/>
      <c r="E41" s="203"/>
      <c r="F41" s="498" t="str">
        <f>IF(D41="","",VLOOKUP(D41,'G-6 Hedgerow Data'!$B$2:$AG$15,2,FALSE))</f>
        <v/>
      </c>
      <c r="G41" s="524" t="str">
        <f>IF(D41="","",VLOOKUP(D41,'G-6 Hedgerow Data'!$B$2:$AG$15,3,FALSE))</f>
        <v/>
      </c>
      <c r="H41" s="72"/>
      <c r="I41" s="499" t="str">
        <f>IFERROR(IF(AND(F41="V.Low",OR(H41="Good",H41="Moderate")),"Error ▲",VLOOKUP(H41,'G-1 All Habitats'!$Z$2:$AA$9,2,FALSE)),"")</f>
        <v/>
      </c>
      <c r="J41" s="146"/>
      <c r="K41" s="520" t="str">
        <f>IF(J41="","",IF(VLOOKUP(J41,'G-3 Multipliers'!$L$3:$N$6,2,FALSE)=0,"Spatial Data Missing",VLOOKUP(J41,'G-3 Multipliers'!$L$3:$N$6,2,FALSE)))</f>
        <v/>
      </c>
      <c r="L41" s="524" t="str">
        <f>IF(J41="","",IF(VLOOKUP(J41,'G-3 Multipliers'!$L$3:$N$6,3,FALSE)=0,"Spatial Data Missing",VLOOKUP(J41,'G-3 Multipliers'!$L$3:$N$6,3,FALSE)))</f>
        <v/>
      </c>
      <c r="M41" s="197"/>
      <c r="N41" s="499" t="str">
        <f>IF(M41="","",IF(VLOOKUP(M41,'G-3 Multipliers'!$S$3:$T$6,2,FALSE)=0,"Spatial Data Missing ⚠",VLOOKUP(M41,'G-3 Multipliers'!$S$3:$T$6,2,FALSE)))</f>
        <v/>
      </c>
      <c r="O41" s="498" t="str">
        <f>IF(OR(D41="",H41=""),"",(INDEX('G-6 Hedgerow Data'!$E$3:$I$15,MATCH(D41,'G-6 Hedgerow Data'!$B$3:$B$15,0),MATCH(H41,'G-6 Hedgerow Data'!$E$2:$I$2,0))))</f>
        <v/>
      </c>
      <c r="P41" s="195"/>
      <c r="Q41" s="195"/>
      <c r="R41" s="507" t="str">
        <f t="shared" si="1"/>
        <v/>
      </c>
      <c r="S41" s="521" t="str">
        <f t="shared" si="2"/>
        <v/>
      </c>
      <c r="T41" s="522" t="str">
        <f t="shared" si="0"/>
        <v/>
      </c>
      <c r="U41" s="537" t="str">
        <f>IF(D41="","",VLOOKUP(D41,'G-6 Hedgerow Data'!$B$3:$AG$15,31,FALSE))</f>
        <v/>
      </c>
      <c r="V41" s="520" t="str">
        <f t="shared" si="3"/>
        <v/>
      </c>
      <c r="W41" s="520" t="str">
        <f t="shared" si="4"/>
        <v/>
      </c>
      <c r="X41" s="524" t="str">
        <f>IF(F41="","",VLOOKUP(U41,'G-3 Multipliers'!$P$3:$Q$6,2,FALSE))</f>
        <v/>
      </c>
      <c r="Y41" s="529" t="str">
        <f t="shared" si="5"/>
        <v/>
      </c>
      <c r="Z41" s="149"/>
      <c r="AA41" s="150"/>
      <c r="AG41" s="31" t="str">
        <f>IFERROR(INDEX('G-6 Hedgerow Data'!$BJ$3:$BJ$15,MATCH(D41,'G-6 Hedgerow Data'!$B$3:$B$15,0)),"")</f>
        <v/>
      </c>
    </row>
    <row r="42" spans="2:33" ht="13.8" x14ac:dyDescent="0.25">
      <c r="B42" s="103">
        <v>31</v>
      </c>
      <c r="C42" s="268"/>
      <c r="D42" s="82"/>
      <c r="E42" s="203"/>
      <c r="F42" s="498" t="str">
        <f>IF(D42="","",VLOOKUP(D42,'G-6 Hedgerow Data'!$B$2:$AG$15,2,FALSE))</f>
        <v/>
      </c>
      <c r="G42" s="524" t="str">
        <f>IF(D42="","",VLOOKUP(D42,'G-6 Hedgerow Data'!$B$2:$AG$15,3,FALSE))</f>
        <v/>
      </c>
      <c r="H42" s="72"/>
      <c r="I42" s="499" t="str">
        <f>IFERROR(IF(AND(F42="V.Low",OR(H42="Good",H42="Moderate")),"Error ▲",VLOOKUP(H42,'G-1 All Habitats'!$Z$2:$AA$9,2,FALSE)),"")</f>
        <v/>
      </c>
      <c r="J42" s="146"/>
      <c r="K42" s="520" t="str">
        <f>IF(J42="","",IF(VLOOKUP(J42,'G-3 Multipliers'!$L$3:$N$6,2,FALSE)=0,"Spatial Data Missing",VLOOKUP(J42,'G-3 Multipliers'!$L$3:$N$6,2,FALSE)))</f>
        <v/>
      </c>
      <c r="L42" s="524" t="str">
        <f>IF(J42="","",IF(VLOOKUP(J42,'G-3 Multipliers'!$L$3:$N$6,3,FALSE)=0,"Spatial Data Missing",VLOOKUP(J42,'G-3 Multipliers'!$L$3:$N$6,3,FALSE)))</f>
        <v/>
      </c>
      <c r="M42" s="197"/>
      <c r="N42" s="499" t="str">
        <f>IF(M42="","",IF(VLOOKUP(M42,'G-3 Multipliers'!$S$3:$T$6,2,FALSE)=0,"Spatial Data Missing ⚠",VLOOKUP(M42,'G-3 Multipliers'!$S$3:$T$6,2,FALSE)))</f>
        <v/>
      </c>
      <c r="O42" s="498" t="str">
        <f>IF(OR(D42="",H42=""),"",(INDEX('G-6 Hedgerow Data'!$E$3:$I$15,MATCH(D42,'G-6 Hedgerow Data'!$B$3:$B$15,0),MATCH(H42,'G-6 Hedgerow Data'!$E$2:$I$2,0))))</f>
        <v/>
      </c>
      <c r="P42" s="195"/>
      <c r="Q42" s="195"/>
      <c r="R42" s="507" t="str">
        <f t="shared" si="1"/>
        <v/>
      </c>
      <c r="S42" s="521" t="str">
        <f t="shared" si="2"/>
        <v/>
      </c>
      <c r="T42" s="522" t="str">
        <f t="shared" si="0"/>
        <v/>
      </c>
      <c r="U42" s="537" t="str">
        <f>IF(D42="","",VLOOKUP(D42,'G-6 Hedgerow Data'!$B$3:$AG$15,31,FALSE))</f>
        <v/>
      </c>
      <c r="V42" s="520" t="str">
        <f t="shared" si="3"/>
        <v/>
      </c>
      <c r="W42" s="520" t="str">
        <f t="shared" si="4"/>
        <v/>
      </c>
      <c r="X42" s="524" t="str">
        <f>IF(F42="","",VLOOKUP(U42,'G-3 Multipliers'!$P$3:$Q$6,2,FALSE))</f>
        <v/>
      </c>
      <c r="Y42" s="529" t="str">
        <f t="shared" si="5"/>
        <v/>
      </c>
      <c r="Z42" s="149"/>
      <c r="AA42" s="150"/>
      <c r="AG42" s="31" t="str">
        <f>IFERROR(INDEX('G-6 Hedgerow Data'!$BJ$3:$BJ$15,MATCH(D42,'G-6 Hedgerow Data'!$B$3:$B$15,0)),"")</f>
        <v/>
      </c>
    </row>
    <row r="43" spans="2:33" ht="13.8" x14ac:dyDescent="0.25">
      <c r="B43" s="103">
        <v>32</v>
      </c>
      <c r="C43" s="268"/>
      <c r="D43" s="82"/>
      <c r="E43" s="203"/>
      <c r="F43" s="498" t="str">
        <f>IF(D43="","",VLOOKUP(D43,'G-6 Hedgerow Data'!$B$2:$AG$15,2,FALSE))</f>
        <v/>
      </c>
      <c r="G43" s="524" t="str">
        <f>IF(D43="","",VLOOKUP(D43,'G-6 Hedgerow Data'!$B$2:$AG$15,3,FALSE))</f>
        <v/>
      </c>
      <c r="H43" s="72"/>
      <c r="I43" s="499" t="str">
        <f>IFERROR(IF(AND(F43="V.Low",OR(H43="Good",H43="Moderate")),"Error ▲",VLOOKUP(H43,'G-1 All Habitats'!$Z$2:$AA$9,2,FALSE)),"")</f>
        <v/>
      </c>
      <c r="J43" s="146"/>
      <c r="K43" s="520" t="str">
        <f>IF(J43="","",IF(VLOOKUP(J43,'G-3 Multipliers'!$L$3:$N$6,2,FALSE)=0,"Spatial Data Missing",VLOOKUP(J43,'G-3 Multipliers'!$L$3:$N$6,2,FALSE)))</f>
        <v/>
      </c>
      <c r="L43" s="524" t="str">
        <f>IF(J43="","",IF(VLOOKUP(J43,'G-3 Multipliers'!$L$3:$N$6,3,FALSE)=0,"Spatial Data Missing",VLOOKUP(J43,'G-3 Multipliers'!$L$3:$N$6,3,FALSE)))</f>
        <v/>
      </c>
      <c r="M43" s="197"/>
      <c r="N43" s="499" t="str">
        <f>IF(M43="","",IF(VLOOKUP(M43,'G-3 Multipliers'!$S$3:$T$6,2,FALSE)=0,"Spatial Data Missing ⚠",VLOOKUP(M43,'G-3 Multipliers'!$S$3:$T$6,2,FALSE)))</f>
        <v/>
      </c>
      <c r="O43" s="498" t="str">
        <f>IF(OR(D43="",H43=""),"",(INDEX('G-6 Hedgerow Data'!$E$3:$I$15,MATCH(D43,'G-6 Hedgerow Data'!$B$3:$B$15,0),MATCH(H43,'G-6 Hedgerow Data'!$E$2:$I$2,0))))</f>
        <v/>
      </c>
      <c r="P43" s="195"/>
      <c r="Q43" s="195"/>
      <c r="R43" s="507" t="str">
        <f t="shared" si="1"/>
        <v/>
      </c>
      <c r="S43" s="521" t="str">
        <f t="shared" si="2"/>
        <v/>
      </c>
      <c r="T43" s="522" t="str">
        <f t="shared" si="0"/>
        <v/>
      </c>
      <c r="U43" s="537" t="str">
        <f>IF(D43="","",VLOOKUP(D43,'G-6 Hedgerow Data'!$B$3:$AG$15,31,FALSE))</f>
        <v/>
      </c>
      <c r="V43" s="520" t="str">
        <f t="shared" si="3"/>
        <v/>
      </c>
      <c r="W43" s="520" t="str">
        <f t="shared" si="4"/>
        <v/>
      </c>
      <c r="X43" s="524" t="str">
        <f>IF(F43="","",VLOOKUP(U43,'G-3 Multipliers'!$P$3:$Q$6,2,FALSE))</f>
        <v/>
      </c>
      <c r="Y43" s="529" t="str">
        <f t="shared" si="5"/>
        <v/>
      </c>
      <c r="Z43" s="149"/>
      <c r="AA43" s="150"/>
      <c r="AG43" s="31" t="str">
        <f>IFERROR(INDEX('G-6 Hedgerow Data'!$BJ$3:$BJ$15,MATCH(D43,'G-6 Hedgerow Data'!$B$3:$B$15,0)),"")</f>
        <v/>
      </c>
    </row>
    <row r="44" spans="2:33" ht="13.8" x14ac:dyDescent="0.25">
      <c r="B44" s="103">
        <v>33</v>
      </c>
      <c r="C44" s="268"/>
      <c r="D44" s="82"/>
      <c r="E44" s="203"/>
      <c r="F44" s="498" t="str">
        <f>IF(D44="","",VLOOKUP(D44,'G-6 Hedgerow Data'!$B$2:$AG$15,2,FALSE))</f>
        <v/>
      </c>
      <c r="G44" s="524" t="str">
        <f>IF(D44="","",VLOOKUP(D44,'G-6 Hedgerow Data'!$B$2:$AG$15,3,FALSE))</f>
        <v/>
      </c>
      <c r="H44" s="72"/>
      <c r="I44" s="499" t="str">
        <f>IFERROR(IF(AND(F44="V.Low",OR(H44="Good",H44="Moderate")),"Error ▲",VLOOKUP(H44,'G-1 All Habitats'!$Z$2:$AA$9,2,FALSE)),"")</f>
        <v/>
      </c>
      <c r="J44" s="146"/>
      <c r="K44" s="520" t="str">
        <f>IF(J44="","",IF(VLOOKUP(J44,'G-3 Multipliers'!$L$3:$N$6,2,FALSE)=0,"Spatial Data Missing",VLOOKUP(J44,'G-3 Multipliers'!$L$3:$N$6,2,FALSE)))</f>
        <v/>
      </c>
      <c r="L44" s="524" t="str">
        <f>IF(J44="","",IF(VLOOKUP(J44,'G-3 Multipliers'!$L$3:$N$6,3,FALSE)=0,"Spatial Data Missing",VLOOKUP(J44,'G-3 Multipliers'!$L$3:$N$6,3,FALSE)))</f>
        <v/>
      </c>
      <c r="M44" s="197"/>
      <c r="N44" s="499" t="str">
        <f>IF(M44="","",IF(VLOOKUP(M44,'G-3 Multipliers'!$S$3:$T$6,2,FALSE)=0,"Spatial Data Missing ⚠",VLOOKUP(M44,'G-3 Multipliers'!$S$3:$T$6,2,FALSE)))</f>
        <v/>
      </c>
      <c r="O44" s="498" t="str">
        <f>IF(OR(D44="",H44=""),"",(INDEX('G-6 Hedgerow Data'!$E$3:$I$15,MATCH(D44,'G-6 Hedgerow Data'!$B$3:$B$15,0),MATCH(H44,'G-6 Hedgerow Data'!$E$2:$I$2,0))))</f>
        <v/>
      </c>
      <c r="P44" s="195"/>
      <c r="Q44" s="195"/>
      <c r="R44" s="507" t="str">
        <f t="shared" si="1"/>
        <v/>
      </c>
      <c r="S44" s="521" t="str">
        <f t="shared" si="2"/>
        <v/>
      </c>
      <c r="T44" s="522" t="str">
        <f t="shared" si="0"/>
        <v/>
      </c>
      <c r="U44" s="537" t="str">
        <f>IF(D44="","",VLOOKUP(D44,'G-6 Hedgerow Data'!$B$3:$AG$15,31,FALSE))</f>
        <v/>
      </c>
      <c r="V44" s="520" t="str">
        <f t="shared" si="3"/>
        <v/>
      </c>
      <c r="W44" s="520" t="str">
        <f t="shared" si="4"/>
        <v/>
      </c>
      <c r="X44" s="524" t="str">
        <f>IF(F44="","",VLOOKUP(U44,'G-3 Multipliers'!$P$3:$Q$6,2,FALSE))</f>
        <v/>
      </c>
      <c r="Y44" s="529" t="str">
        <f t="shared" si="5"/>
        <v/>
      </c>
      <c r="Z44" s="149"/>
      <c r="AA44" s="150"/>
      <c r="AG44" s="31" t="str">
        <f>IFERROR(INDEX('G-6 Hedgerow Data'!$BJ$3:$BJ$15,MATCH(D44,'G-6 Hedgerow Data'!$B$3:$B$15,0)),"")</f>
        <v/>
      </c>
    </row>
    <row r="45" spans="2:33" ht="13.8" x14ac:dyDescent="0.25">
      <c r="B45" s="103">
        <v>34</v>
      </c>
      <c r="C45" s="268"/>
      <c r="D45" s="82"/>
      <c r="E45" s="203"/>
      <c r="F45" s="498" t="str">
        <f>IF(D45="","",VLOOKUP(D45,'G-6 Hedgerow Data'!$B$2:$AG$15,2,FALSE))</f>
        <v/>
      </c>
      <c r="G45" s="524" t="str">
        <f>IF(D45="","",VLOOKUP(D45,'G-6 Hedgerow Data'!$B$2:$AG$15,3,FALSE))</f>
        <v/>
      </c>
      <c r="H45" s="72"/>
      <c r="I45" s="499" t="str">
        <f>IFERROR(IF(AND(F45="V.Low",OR(H45="Good",H45="Moderate")),"Error ▲",VLOOKUP(H45,'G-1 All Habitats'!$Z$2:$AA$9,2,FALSE)),"")</f>
        <v/>
      </c>
      <c r="J45" s="146"/>
      <c r="K45" s="520" t="str">
        <f>IF(J45="","",IF(VLOOKUP(J45,'G-3 Multipliers'!$L$3:$N$6,2,FALSE)=0,"Spatial Data Missing",VLOOKUP(J45,'G-3 Multipliers'!$L$3:$N$6,2,FALSE)))</f>
        <v/>
      </c>
      <c r="L45" s="524" t="str">
        <f>IF(J45="","",IF(VLOOKUP(J45,'G-3 Multipliers'!$L$3:$N$6,3,FALSE)=0,"Spatial Data Missing",VLOOKUP(J45,'G-3 Multipliers'!$L$3:$N$6,3,FALSE)))</f>
        <v/>
      </c>
      <c r="M45" s="197"/>
      <c r="N45" s="499" t="str">
        <f>IF(M45="","",IF(VLOOKUP(M45,'G-3 Multipliers'!$S$3:$T$6,2,FALSE)=0,"Spatial Data Missing ⚠",VLOOKUP(M45,'G-3 Multipliers'!$S$3:$T$6,2,FALSE)))</f>
        <v/>
      </c>
      <c r="O45" s="498" t="str">
        <f>IF(OR(D45="",H45=""),"",(INDEX('G-6 Hedgerow Data'!$E$3:$I$15,MATCH(D45,'G-6 Hedgerow Data'!$B$3:$B$15,0),MATCH(H45,'G-6 Hedgerow Data'!$E$2:$I$2,0))))</f>
        <v/>
      </c>
      <c r="P45" s="195"/>
      <c r="Q45" s="195"/>
      <c r="R45" s="507" t="str">
        <f t="shared" si="1"/>
        <v/>
      </c>
      <c r="S45" s="521" t="str">
        <f t="shared" si="2"/>
        <v/>
      </c>
      <c r="T45" s="522" t="str">
        <f t="shared" si="0"/>
        <v/>
      </c>
      <c r="U45" s="537" t="str">
        <f>IF(D45="","",VLOOKUP(D45,'G-6 Hedgerow Data'!$B$3:$AG$15,31,FALSE))</f>
        <v/>
      </c>
      <c r="V45" s="520" t="str">
        <f t="shared" si="3"/>
        <v/>
      </c>
      <c r="W45" s="520" t="str">
        <f t="shared" si="4"/>
        <v/>
      </c>
      <c r="X45" s="524" t="str">
        <f>IF(F45="","",VLOOKUP(U45,'G-3 Multipliers'!$P$3:$Q$6,2,FALSE))</f>
        <v/>
      </c>
      <c r="Y45" s="529" t="str">
        <f t="shared" si="5"/>
        <v/>
      </c>
      <c r="Z45" s="149"/>
      <c r="AA45" s="150"/>
      <c r="AG45" s="31" t="str">
        <f>IFERROR(INDEX('G-6 Hedgerow Data'!$BJ$3:$BJ$15,MATCH(D45,'G-6 Hedgerow Data'!$B$3:$B$15,0)),"")</f>
        <v/>
      </c>
    </row>
    <row r="46" spans="2:33" ht="13.8" x14ac:dyDescent="0.25">
      <c r="B46" s="103">
        <v>35</v>
      </c>
      <c r="C46" s="268"/>
      <c r="D46" s="82"/>
      <c r="E46" s="203"/>
      <c r="F46" s="498" t="str">
        <f>IF(D46="","",VLOOKUP(D46,'G-6 Hedgerow Data'!$B$2:$AG$15,2,FALSE))</f>
        <v/>
      </c>
      <c r="G46" s="524" t="str">
        <f>IF(D46="","",VLOOKUP(D46,'G-6 Hedgerow Data'!$B$2:$AG$15,3,FALSE))</f>
        <v/>
      </c>
      <c r="H46" s="72"/>
      <c r="I46" s="499" t="str">
        <f>IFERROR(IF(AND(F46="V.Low",OR(H46="Good",H46="Moderate")),"Error ▲",VLOOKUP(H46,'G-1 All Habitats'!$Z$2:$AA$9,2,FALSE)),"")</f>
        <v/>
      </c>
      <c r="J46" s="146"/>
      <c r="K46" s="520" t="str">
        <f>IF(J46="","",IF(VLOOKUP(J46,'G-3 Multipliers'!$L$3:$N$6,2,FALSE)=0,"Spatial Data Missing",VLOOKUP(J46,'G-3 Multipliers'!$L$3:$N$6,2,FALSE)))</f>
        <v/>
      </c>
      <c r="L46" s="524" t="str">
        <f>IF(J46="","",IF(VLOOKUP(J46,'G-3 Multipliers'!$L$3:$N$6,3,FALSE)=0,"Spatial Data Missing",VLOOKUP(J46,'G-3 Multipliers'!$L$3:$N$6,3,FALSE)))</f>
        <v/>
      </c>
      <c r="M46" s="197"/>
      <c r="N46" s="499" t="str">
        <f>IF(M46="","",IF(VLOOKUP(M46,'G-3 Multipliers'!$S$3:$T$6,2,FALSE)=0,"Spatial Data Missing ⚠",VLOOKUP(M46,'G-3 Multipliers'!$S$3:$T$6,2,FALSE)))</f>
        <v/>
      </c>
      <c r="O46" s="498" t="str">
        <f>IF(OR(D46="",H46=""),"",(INDEX('G-6 Hedgerow Data'!$E$3:$I$15,MATCH(D46,'G-6 Hedgerow Data'!$B$3:$B$15,0),MATCH(H46,'G-6 Hedgerow Data'!$E$2:$I$2,0))))</f>
        <v/>
      </c>
      <c r="P46" s="195"/>
      <c r="Q46" s="195"/>
      <c r="R46" s="507" t="str">
        <f t="shared" si="1"/>
        <v/>
      </c>
      <c r="S46" s="521" t="str">
        <f t="shared" si="2"/>
        <v/>
      </c>
      <c r="T46" s="522" t="str">
        <f t="shared" si="0"/>
        <v/>
      </c>
      <c r="U46" s="537" t="str">
        <f>IF(D46="","",VLOOKUP(D46,'G-6 Hedgerow Data'!$B$3:$AG$15,31,FALSE))</f>
        <v/>
      </c>
      <c r="V46" s="520" t="str">
        <f t="shared" si="3"/>
        <v/>
      </c>
      <c r="W46" s="520" t="str">
        <f t="shared" si="4"/>
        <v/>
      </c>
      <c r="X46" s="524" t="str">
        <f>IF(F46="","",VLOOKUP(U46,'G-3 Multipliers'!$P$3:$Q$6,2,FALSE))</f>
        <v/>
      </c>
      <c r="Y46" s="529" t="str">
        <f t="shared" si="5"/>
        <v/>
      </c>
      <c r="Z46" s="149"/>
      <c r="AA46" s="150"/>
      <c r="AG46" s="31" t="str">
        <f>IFERROR(INDEX('G-6 Hedgerow Data'!$BJ$3:$BJ$15,MATCH(D46,'G-6 Hedgerow Data'!$B$3:$B$15,0)),"")</f>
        <v/>
      </c>
    </row>
    <row r="47" spans="2:33" ht="13.8" x14ac:dyDescent="0.25">
      <c r="B47" s="103">
        <v>36</v>
      </c>
      <c r="C47" s="268"/>
      <c r="D47" s="82"/>
      <c r="E47" s="203"/>
      <c r="F47" s="498" t="str">
        <f>IF(D47="","",VLOOKUP(D47,'G-6 Hedgerow Data'!$B$2:$AG$15,2,FALSE))</f>
        <v/>
      </c>
      <c r="G47" s="524" t="str">
        <f>IF(D47="","",VLOOKUP(D47,'G-6 Hedgerow Data'!$B$2:$AG$15,3,FALSE))</f>
        <v/>
      </c>
      <c r="H47" s="72"/>
      <c r="I47" s="499" t="str">
        <f>IFERROR(IF(AND(F47="V.Low",OR(H47="Good",H47="Moderate")),"Error ▲",VLOOKUP(H47,'G-1 All Habitats'!$Z$2:$AA$9,2,FALSE)),"")</f>
        <v/>
      </c>
      <c r="J47" s="146"/>
      <c r="K47" s="520" t="str">
        <f>IF(J47="","",IF(VLOOKUP(J47,'G-3 Multipliers'!$L$3:$N$6,2,FALSE)=0,"Spatial Data Missing",VLOOKUP(J47,'G-3 Multipliers'!$L$3:$N$6,2,FALSE)))</f>
        <v/>
      </c>
      <c r="L47" s="524" t="str">
        <f>IF(J47="","",IF(VLOOKUP(J47,'G-3 Multipliers'!$L$3:$N$6,3,FALSE)=0,"Spatial Data Missing",VLOOKUP(J47,'G-3 Multipliers'!$L$3:$N$6,3,FALSE)))</f>
        <v/>
      </c>
      <c r="M47" s="197"/>
      <c r="N47" s="499" t="str">
        <f>IF(M47="","",IF(VLOOKUP(M47,'G-3 Multipliers'!$S$3:$T$6,2,FALSE)=0,"Spatial Data Missing ⚠",VLOOKUP(M47,'G-3 Multipliers'!$S$3:$T$6,2,FALSE)))</f>
        <v/>
      </c>
      <c r="O47" s="498" t="str">
        <f>IF(OR(D47="",H47=""),"",(INDEX('G-6 Hedgerow Data'!$E$3:$I$15,MATCH(D47,'G-6 Hedgerow Data'!$B$3:$B$15,0),MATCH(H47,'G-6 Hedgerow Data'!$E$2:$I$2,0))))</f>
        <v/>
      </c>
      <c r="P47" s="195"/>
      <c r="Q47" s="195"/>
      <c r="R47" s="507" t="str">
        <f t="shared" si="1"/>
        <v/>
      </c>
      <c r="S47" s="521" t="str">
        <f t="shared" si="2"/>
        <v/>
      </c>
      <c r="T47" s="522" t="str">
        <f t="shared" si="0"/>
        <v/>
      </c>
      <c r="U47" s="537" t="str">
        <f>IF(D47="","",VLOOKUP(D47,'G-6 Hedgerow Data'!$B$3:$AG$15,31,FALSE))</f>
        <v/>
      </c>
      <c r="V47" s="520" t="str">
        <f t="shared" si="3"/>
        <v/>
      </c>
      <c r="W47" s="520" t="str">
        <f t="shared" si="4"/>
        <v/>
      </c>
      <c r="X47" s="524" t="str">
        <f>IF(F47="","",VLOOKUP(U47,'G-3 Multipliers'!$P$3:$Q$6,2,FALSE))</f>
        <v/>
      </c>
      <c r="Y47" s="529" t="str">
        <f t="shared" si="5"/>
        <v/>
      </c>
      <c r="Z47" s="149"/>
      <c r="AA47" s="150"/>
      <c r="AG47" s="31" t="str">
        <f>IFERROR(INDEX('G-6 Hedgerow Data'!$BJ$3:$BJ$15,MATCH(D47,'G-6 Hedgerow Data'!$B$3:$B$15,0)),"")</f>
        <v/>
      </c>
    </row>
    <row r="48" spans="2:33" ht="13.8" x14ac:dyDescent="0.25">
      <c r="B48" s="103">
        <v>37</v>
      </c>
      <c r="C48" s="268"/>
      <c r="D48" s="82"/>
      <c r="E48" s="203"/>
      <c r="F48" s="498" t="str">
        <f>IF(D48="","",VLOOKUP(D48,'G-6 Hedgerow Data'!$B$2:$AG$15,2,FALSE))</f>
        <v/>
      </c>
      <c r="G48" s="524" t="str">
        <f>IF(D48="","",VLOOKUP(D48,'G-6 Hedgerow Data'!$B$2:$AG$15,3,FALSE))</f>
        <v/>
      </c>
      <c r="H48" s="72"/>
      <c r="I48" s="499" t="str">
        <f>IFERROR(IF(AND(F48="V.Low",OR(H48="Good",H48="Moderate")),"Error ▲",VLOOKUP(H48,'G-1 All Habitats'!$Z$2:$AA$9,2,FALSE)),"")</f>
        <v/>
      </c>
      <c r="J48" s="146"/>
      <c r="K48" s="520" t="str">
        <f>IF(J48="","",IF(VLOOKUP(J48,'G-3 Multipliers'!$L$3:$N$6,2,FALSE)=0,"Spatial Data Missing",VLOOKUP(J48,'G-3 Multipliers'!$L$3:$N$6,2,FALSE)))</f>
        <v/>
      </c>
      <c r="L48" s="524" t="str">
        <f>IF(J48="","",IF(VLOOKUP(J48,'G-3 Multipliers'!$L$3:$N$6,3,FALSE)=0,"Spatial Data Missing",VLOOKUP(J48,'G-3 Multipliers'!$L$3:$N$6,3,FALSE)))</f>
        <v/>
      </c>
      <c r="M48" s="197"/>
      <c r="N48" s="499" t="str">
        <f>IF(M48="","",IF(VLOOKUP(M48,'G-3 Multipliers'!$S$3:$T$6,2,FALSE)=0,"Spatial Data Missing ⚠",VLOOKUP(M48,'G-3 Multipliers'!$S$3:$T$6,2,FALSE)))</f>
        <v/>
      </c>
      <c r="O48" s="498" t="str">
        <f>IF(OR(D48="",H48=""),"",(INDEX('G-6 Hedgerow Data'!$E$3:$I$15,MATCH(D48,'G-6 Hedgerow Data'!$B$3:$B$15,0),MATCH(H48,'G-6 Hedgerow Data'!$E$2:$I$2,0))))</f>
        <v/>
      </c>
      <c r="P48" s="195"/>
      <c r="Q48" s="195"/>
      <c r="R48" s="507" t="str">
        <f t="shared" si="1"/>
        <v/>
      </c>
      <c r="S48" s="521" t="str">
        <f t="shared" si="2"/>
        <v/>
      </c>
      <c r="T48" s="522" t="str">
        <f t="shared" si="0"/>
        <v/>
      </c>
      <c r="U48" s="537" t="str">
        <f>IF(D48="","",VLOOKUP(D48,'G-6 Hedgerow Data'!$B$3:$AG$15,31,FALSE))</f>
        <v/>
      </c>
      <c r="V48" s="520" t="str">
        <f t="shared" si="3"/>
        <v/>
      </c>
      <c r="W48" s="520" t="str">
        <f t="shared" si="4"/>
        <v/>
      </c>
      <c r="X48" s="524" t="str">
        <f>IF(F48="","",VLOOKUP(U48,'G-3 Multipliers'!$P$3:$Q$6,2,FALSE))</f>
        <v/>
      </c>
      <c r="Y48" s="529" t="str">
        <f t="shared" si="5"/>
        <v/>
      </c>
      <c r="Z48" s="149"/>
      <c r="AA48" s="150"/>
      <c r="AG48" s="31" t="str">
        <f>IFERROR(INDEX('G-6 Hedgerow Data'!$BJ$3:$BJ$15,MATCH(D48,'G-6 Hedgerow Data'!$B$3:$B$15,0)),"")</f>
        <v/>
      </c>
    </row>
    <row r="49" spans="2:33" ht="13.8" x14ac:dyDescent="0.25">
      <c r="B49" s="103">
        <v>38</v>
      </c>
      <c r="C49" s="268"/>
      <c r="D49" s="82"/>
      <c r="E49" s="203"/>
      <c r="F49" s="498" t="str">
        <f>IF(D49="","",VLOOKUP(D49,'G-6 Hedgerow Data'!$B$2:$AG$15,2,FALSE))</f>
        <v/>
      </c>
      <c r="G49" s="524" t="str">
        <f>IF(D49="","",VLOOKUP(D49,'G-6 Hedgerow Data'!$B$2:$AG$15,3,FALSE))</f>
        <v/>
      </c>
      <c r="H49" s="72"/>
      <c r="I49" s="499" t="str">
        <f>IFERROR(IF(AND(F49="V.Low",OR(H49="Good",H49="Moderate")),"Error ▲",VLOOKUP(H49,'G-1 All Habitats'!$Z$2:$AA$9,2,FALSE)),"")</f>
        <v/>
      </c>
      <c r="J49" s="146"/>
      <c r="K49" s="520" t="str">
        <f>IF(J49="","",IF(VLOOKUP(J49,'G-3 Multipliers'!$L$3:$N$6,2,FALSE)=0,"Spatial Data Missing",VLOOKUP(J49,'G-3 Multipliers'!$L$3:$N$6,2,FALSE)))</f>
        <v/>
      </c>
      <c r="L49" s="524" t="str">
        <f>IF(J49="","",IF(VLOOKUP(J49,'G-3 Multipliers'!$L$3:$N$6,3,FALSE)=0,"Spatial Data Missing",VLOOKUP(J49,'G-3 Multipliers'!$L$3:$N$6,3,FALSE)))</f>
        <v/>
      </c>
      <c r="M49" s="197"/>
      <c r="N49" s="499" t="str">
        <f>IF(M49="","",IF(VLOOKUP(M49,'G-3 Multipliers'!$S$3:$T$6,2,FALSE)=0,"Spatial Data Missing ⚠",VLOOKUP(M49,'G-3 Multipliers'!$S$3:$T$6,2,FALSE)))</f>
        <v/>
      </c>
      <c r="O49" s="498" t="str">
        <f>IF(OR(D49="",H49=""),"",(INDEX('G-6 Hedgerow Data'!$E$3:$I$15,MATCH(D49,'G-6 Hedgerow Data'!$B$3:$B$15,0),MATCH(H49,'G-6 Hedgerow Data'!$E$2:$I$2,0))))</f>
        <v/>
      </c>
      <c r="P49" s="195"/>
      <c r="Q49" s="195"/>
      <c r="R49" s="507" t="str">
        <f t="shared" si="1"/>
        <v/>
      </c>
      <c r="S49" s="521" t="str">
        <f t="shared" si="2"/>
        <v/>
      </c>
      <c r="T49" s="522" t="str">
        <f t="shared" si="0"/>
        <v/>
      </c>
      <c r="U49" s="537" t="str">
        <f>IF(D49="","",VLOOKUP(D49,'G-6 Hedgerow Data'!$B$3:$AG$15,31,FALSE))</f>
        <v/>
      </c>
      <c r="V49" s="520" t="str">
        <f t="shared" si="3"/>
        <v/>
      </c>
      <c r="W49" s="520" t="str">
        <f t="shared" si="4"/>
        <v/>
      </c>
      <c r="X49" s="524" t="str">
        <f>IF(F49="","",VLOOKUP(U49,'G-3 Multipliers'!$P$3:$Q$6,2,FALSE))</f>
        <v/>
      </c>
      <c r="Y49" s="529" t="str">
        <f t="shared" si="5"/>
        <v/>
      </c>
      <c r="Z49" s="149"/>
      <c r="AA49" s="150"/>
      <c r="AG49" s="31" t="str">
        <f>IFERROR(INDEX('G-6 Hedgerow Data'!$BJ$3:$BJ$15,MATCH(D49,'G-6 Hedgerow Data'!$B$3:$B$15,0)),"")</f>
        <v/>
      </c>
    </row>
    <row r="50" spans="2:33" ht="13.8" x14ac:dyDescent="0.25">
      <c r="B50" s="103">
        <v>39</v>
      </c>
      <c r="C50" s="268"/>
      <c r="D50" s="82"/>
      <c r="E50" s="203"/>
      <c r="F50" s="498" t="str">
        <f>IF(D50="","",VLOOKUP(D50,'G-6 Hedgerow Data'!$B$2:$AG$15,2,FALSE))</f>
        <v/>
      </c>
      <c r="G50" s="524" t="str">
        <f>IF(D50="","",VLOOKUP(D50,'G-6 Hedgerow Data'!$B$2:$AG$15,3,FALSE))</f>
        <v/>
      </c>
      <c r="H50" s="72"/>
      <c r="I50" s="499" t="str">
        <f>IFERROR(IF(AND(F50="V.Low",OR(H50="Good",H50="Moderate")),"Error ▲",VLOOKUP(H50,'G-1 All Habitats'!$Z$2:$AA$9,2,FALSE)),"")</f>
        <v/>
      </c>
      <c r="J50" s="146"/>
      <c r="K50" s="520" t="str">
        <f>IF(J50="","",IF(VLOOKUP(J50,'G-3 Multipliers'!$L$3:$N$6,2,FALSE)=0,"Spatial Data Missing",VLOOKUP(J50,'G-3 Multipliers'!$L$3:$N$6,2,FALSE)))</f>
        <v/>
      </c>
      <c r="L50" s="524" t="str">
        <f>IF(J50="","",IF(VLOOKUP(J50,'G-3 Multipliers'!$L$3:$N$6,3,FALSE)=0,"Spatial Data Missing",VLOOKUP(J50,'G-3 Multipliers'!$L$3:$N$6,3,FALSE)))</f>
        <v/>
      </c>
      <c r="M50" s="197"/>
      <c r="N50" s="499" t="str">
        <f>IF(M50="","",IF(VLOOKUP(M50,'G-3 Multipliers'!$S$3:$T$6,2,FALSE)=0,"Spatial Data Missing ⚠",VLOOKUP(M50,'G-3 Multipliers'!$S$3:$T$6,2,FALSE)))</f>
        <v/>
      </c>
      <c r="O50" s="498" t="str">
        <f>IF(OR(D50="",H50=""),"",(INDEX('G-6 Hedgerow Data'!$E$3:$I$15,MATCH(D50,'G-6 Hedgerow Data'!$B$3:$B$15,0),MATCH(H50,'G-6 Hedgerow Data'!$E$2:$I$2,0))))</f>
        <v/>
      </c>
      <c r="P50" s="195"/>
      <c r="Q50" s="195"/>
      <c r="R50" s="507" t="str">
        <f t="shared" si="1"/>
        <v/>
      </c>
      <c r="S50" s="521" t="str">
        <f t="shared" si="2"/>
        <v/>
      </c>
      <c r="T50" s="522" t="str">
        <f t="shared" si="0"/>
        <v/>
      </c>
      <c r="U50" s="537" t="str">
        <f>IF(D50="","",VLOOKUP(D50,'G-6 Hedgerow Data'!$B$3:$AG$15,31,FALSE))</f>
        <v/>
      </c>
      <c r="V50" s="520" t="str">
        <f t="shared" si="3"/>
        <v/>
      </c>
      <c r="W50" s="520" t="str">
        <f t="shared" si="4"/>
        <v/>
      </c>
      <c r="X50" s="524" t="str">
        <f>IF(F50="","",VLOOKUP(U50,'G-3 Multipliers'!$P$3:$Q$6,2,FALSE))</f>
        <v/>
      </c>
      <c r="Y50" s="529" t="str">
        <f t="shared" si="5"/>
        <v/>
      </c>
      <c r="Z50" s="149"/>
      <c r="AA50" s="150"/>
      <c r="AG50" s="31" t="str">
        <f>IFERROR(INDEX('G-6 Hedgerow Data'!$BJ$3:$BJ$15,MATCH(D50,'G-6 Hedgerow Data'!$B$3:$B$15,0)),"")</f>
        <v/>
      </c>
    </row>
    <row r="51" spans="2:33" ht="13.8" x14ac:dyDescent="0.25">
      <c r="B51" s="103">
        <v>40</v>
      </c>
      <c r="C51" s="268"/>
      <c r="D51" s="82"/>
      <c r="E51" s="203"/>
      <c r="F51" s="498" t="str">
        <f>IF(D51="","",VLOOKUP(D51,'G-6 Hedgerow Data'!$B$2:$AG$15,2,FALSE))</f>
        <v/>
      </c>
      <c r="G51" s="524" t="str">
        <f>IF(D51="","",VLOOKUP(D51,'G-6 Hedgerow Data'!$B$2:$AG$15,3,FALSE))</f>
        <v/>
      </c>
      <c r="H51" s="72"/>
      <c r="I51" s="499" t="str">
        <f>IFERROR(IF(AND(F51="V.Low",OR(H51="Good",H51="Moderate")),"Error ▲",VLOOKUP(H51,'G-1 All Habitats'!$Z$2:$AA$9,2,FALSE)),"")</f>
        <v/>
      </c>
      <c r="J51" s="146"/>
      <c r="K51" s="520" t="str">
        <f>IF(J51="","",IF(VLOOKUP(J51,'G-3 Multipliers'!$L$3:$N$6,2,FALSE)=0,"Spatial Data Missing",VLOOKUP(J51,'G-3 Multipliers'!$L$3:$N$6,2,FALSE)))</f>
        <v/>
      </c>
      <c r="L51" s="524" t="str">
        <f>IF(J51="","",IF(VLOOKUP(J51,'G-3 Multipliers'!$L$3:$N$6,3,FALSE)=0,"Spatial Data Missing",VLOOKUP(J51,'G-3 Multipliers'!$L$3:$N$6,3,FALSE)))</f>
        <v/>
      </c>
      <c r="M51" s="197"/>
      <c r="N51" s="499" t="str">
        <f>IF(M51="","",IF(VLOOKUP(M51,'G-3 Multipliers'!$S$3:$T$6,2,FALSE)=0,"Spatial Data Missing ⚠",VLOOKUP(M51,'G-3 Multipliers'!$S$3:$T$6,2,FALSE)))</f>
        <v/>
      </c>
      <c r="O51" s="498" t="str">
        <f>IF(OR(D51="",H51=""),"",(INDEX('G-6 Hedgerow Data'!$E$3:$I$15,MATCH(D51,'G-6 Hedgerow Data'!$B$3:$B$15,0),MATCH(H51,'G-6 Hedgerow Data'!$E$2:$I$2,0))))</f>
        <v/>
      </c>
      <c r="P51" s="195"/>
      <c r="Q51" s="195"/>
      <c r="R51" s="507" t="str">
        <f t="shared" si="1"/>
        <v/>
      </c>
      <c r="S51" s="521" t="str">
        <f t="shared" si="2"/>
        <v/>
      </c>
      <c r="T51" s="522" t="str">
        <f t="shared" si="0"/>
        <v/>
      </c>
      <c r="U51" s="537" t="str">
        <f>IF(D51="","",VLOOKUP(D51,'G-6 Hedgerow Data'!$B$3:$AG$15,31,FALSE))</f>
        <v/>
      </c>
      <c r="V51" s="520" t="str">
        <f t="shared" si="3"/>
        <v/>
      </c>
      <c r="W51" s="520" t="str">
        <f t="shared" si="4"/>
        <v/>
      </c>
      <c r="X51" s="524" t="str">
        <f>IF(F51="","",VLOOKUP(U51,'G-3 Multipliers'!$P$3:$Q$6,2,FALSE))</f>
        <v/>
      </c>
      <c r="Y51" s="529" t="str">
        <f t="shared" si="5"/>
        <v/>
      </c>
      <c r="Z51" s="149"/>
      <c r="AA51" s="150"/>
      <c r="AG51" s="31" t="str">
        <f>IFERROR(INDEX('G-6 Hedgerow Data'!$BJ$3:$BJ$15,MATCH(D51,'G-6 Hedgerow Data'!$B$3:$B$15,0)),"")</f>
        <v/>
      </c>
    </row>
    <row r="52" spans="2:33" ht="13.8" x14ac:dyDescent="0.25">
      <c r="B52" s="103">
        <v>41</v>
      </c>
      <c r="C52" s="268"/>
      <c r="D52" s="82"/>
      <c r="E52" s="203"/>
      <c r="F52" s="498" t="str">
        <f>IF(D52="","",VLOOKUP(D52,'G-6 Hedgerow Data'!$B$2:$AG$15,2,FALSE))</f>
        <v/>
      </c>
      <c r="G52" s="524" t="str">
        <f>IF(D52="","",VLOOKUP(D52,'G-6 Hedgerow Data'!$B$2:$AG$15,3,FALSE))</f>
        <v/>
      </c>
      <c r="H52" s="72"/>
      <c r="I52" s="499" t="str">
        <f>IFERROR(IF(AND(F52="V.Low",OR(H52="Good",H52="Moderate")),"Error ▲",VLOOKUP(H52,'G-1 All Habitats'!$Z$2:$AA$9,2,FALSE)),"")</f>
        <v/>
      </c>
      <c r="J52" s="146"/>
      <c r="K52" s="520" t="str">
        <f>IF(J52="","",IF(VLOOKUP(J52,'G-3 Multipliers'!$L$3:$N$6,2,FALSE)=0,"Spatial Data Missing",VLOOKUP(J52,'G-3 Multipliers'!$L$3:$N$6,2,FALSE)))</f>
        <v/>
      </c>
      <c r="L52" s="524" t="str">
        <f>IF(J52="","",IF(VLOOKUP(J52,'G-3 Multipliers'!$L$3:$N$6,3,FALSE)=0,"Spatial Data Missing",VLOOKUP(J52,'G-3 Multipliers'!$L$3:$N$6,3,FALSE)))</f>
        <v/>
      </c>
      <c r="M52" s="197"/>
      <c r="N52" s="499" t="str">
        <f>IF(M52="","",IF(VLOOKUP(M52,'G-3 Multipliers'!$S$3:$T$6,2,FALSE)=0,"Spatial Data Missing ⚠",VLOOKUP(M52,'G-3 Multipliers'!$S$3:$T$6,2,FALSE)))</f>
        <v/>
      </c>
      <c r="O52" s="498" t="str">
        <f>IF(OR(D52="",H52=""),"",(INDEX('G-6 Hedgerow Data'!$E$3:$I$15,MATCH(D52,'G-6 Hedgerow Data'!$B$3:$B$15,0),MATCH(H52,'G-6 Hedgerow Data'!$E$2:$I$2,0))))</f>
        <v/>
      </c>
      <c r="P52" s="195"/>
      <c r="Q52" s="195"/>
      <c r="R52" s="507" t="str">
        <f t="shared" si="1"/>
        <v/>
      </c>
      <c r="S52" s="521" t="str">
        <f t="shared" si="2"/>
        <v/>
      </c>
      <c r="T52" s="522" t="str">
        <f t="shared" si="0"/>
        <v/>
      </c>
      <c r="U52" s="537" t="str">
        <f>IF(D52="","",VLOOKUP(D52,'G-6 Hedgerow Data'!$B$3:$AG$15,31,FALSE))</f>
        <v/>
      </c>
      <c r="V52" s="520" t="str">
        <f t="shared" si="3"/>
        <v/>
      </c>
      <c r="W52" s="520" t="str">
        <f t="shared" si="4"/>
        <v/>
      </c>
      <c r="X52" s="524" t="str">
        <f>IF(F52="","",VLOOKUP(U52,'G-3 Multipliers'!$P$3:$Q$6,2,FALSE))</f>
        <v/>
      </c>
      <c r="Y52" s="529" t="str">
        <f t="shared" si="5"/>
        <v/>
      </c>
      <c r="Z52" s="149"/>
      <c r="AA52" s="150"/>
      <c r="AG52" s="31" t="str">
        <f>IFERROR(INDEX('G-6 Hedgerow Data'!$BJ$3:$BJ$15,MATCH(D52,'G-6 Hedgerow Data'!$B$3:$B$15,0)),"")</f>
        <v/>
      </c>
    </row>
    <row r="53" spans="2:33" ht="13.8" x14ac:dyDescent="0.25">
      <c r="B53" s="103">
        <v>42</v>
      </c>
      <c r="C53" s="268"/>
      <c r="D53" s="82"/>
      <c r="E53" s="203"/>
      <c r="F53" s="498" t="str">
        <f>IF(D53="","",VLOOKUP(D53,'G-6 Hedgerow Data'!$B$2:$AG$15,2,FALSE))</f>
        <v/>
      </c>
      <c r="G53" s="524" t="str">
        <f>IF(D53="","",VLOOKUP(D53,'G-6 Hedgerow Data'!$B$2:$AG$15,3,FALSE))</f>
        <v/>
      </c>
      <c r="H53" s="72"/>
      <c r="I53" s="499" t="str">
        <f>IFERROR(IF(AND(F53="V.Low",OR(H53="Good",H53="Moderate")),"Error ▲",VLOOKUP(H53,'G-1 All Habitats'!$Z$2:$AA$9,2,FALSE)),"")</f>
        <v/>
      </c>
      <c r="J53" s="146"/>
      <c r="K53" s="520" t="str">
        <f>IF(J53="","",IF(VLOOKUP(J53,'G-3 Multipliers'!$L$3:$N$6,2,FALSE)=0,"Spatial Data Missing",VLOOKUP(J53,'G-3 Multipliers'!$L$3:$N$6,2,FALSE)))</f>
        <v/>
      </c>
      <c r="L53" s="524" t="str">
        <f>IF(J53="","",IF(VLOOKUP(J53,'G-3 Multipliers'!$L$3:$N$6,3,FALSE)=0,"Spatial Data Missing",VLOOKUP(J53,'G-3 Multipliers'!$L$3:$N$6,3,FALSE)))</f>
        <v/>
      </c>
      <c r="M53" s="197"/>
      <c r="N53" s="499" t="str">
        <f>IF(M53="","",IF(VLOOKUP(M53,'G-3 Multipliers'!$S$3:$T$6,2,FALSE)=0,"Spatial Data Missing ⚠",VLOOKUP(M53,'G-3 Multipliers'!$S$3:$T$6,2,FALSE)))</f>
        <v/>
      </c>
      <c r="O53" s="498" t="str">
        <f>IF(OR(D53="",H53=""),"",(INDEX('G-6 Hedgerow Data'!$E$3:$I$15,MATCH(D53,'G-6 Hedgerow Data'!$B$3:$B$15,0),MATCH(H53,'G-6 Hedgerow Data'!$E$2:$I$2,0))))</f>
        <v/>
      </c>
      <c r="P53" s="195"/>
      <c r="Q53" s="195"/>
      <c r="R53" s="507" t="str">
        <f t="shared" si="1"/>
        <v/>
      </c>
      <c r="S53" s="521" t="str">
        <f t="shared" si="2"/>
        <v/>
      </c>
      <c r="T53" s="522" t="str">
        <f t="shared" si="0"/>
        <v/>
      </c>
      <c r="U53" s="537" t="str">
        <f>IF(D53="","",VLOOKUP(D53,'G-6 Hedgerow Data'!$B$3:$AG$15,31,FALSE))</f>
        <v/>
      </c>
      <c r="V53" s="520" t="str">
        <f t="shared" si="3"/>
        <v/>
      </c>
      <c r="W53" s="520" t="str">
        <f t="shared" si="4"/>
        <v/>
      </c>
      <c r="X53" s="524" t="str">
        <f>IF(F53="","",VLOOKUP(U53,'G-3 Multipliers'!$P$3:$Q$6,2,FALSE))</f>
        <v/>
      </c>
      <c r="Y53" s="529" t="str">
        <f t="shared" si="5"/>
        <v/>
      </c>
      <c r="Z53" s="149"/>
      <c r="AA53" s="150"/>
      <c r="AG53" s="31" t="str">
        <f>IFERROR(INDEX('G-6 Hedgerow Data'!$BJ$3:$BJ$15,MATCH(D53,'G-6 Hedgerow Data'!$B$3:$B$15,0)),"")</f>
        <v/>
      </c>
    </row>
    <row r="54" spans="2:33" ht="13.8" x14ac:dyDescent="0.25">
      <c r="B54" s="103">
        <v>43</v>
      </c>
      <c r="C54" s="268"/>
      <c r="D54" s="82"/>
      <c r="E54" s="203"/>
      <c r="F54" s="498" t="str">
        <f>IF(D54="","",VLOOKUP(D54,'G-6 Hedgerow Data'!$B$2:$AG$15,2,FALSE))</f>
        <v/>
      </c>
      <c r="G54" s="524" t="str">
        <f>IF(D54="","",VLOOKUP(D54,'G-6 Hedgerow Data'!$B$2:$AG$15,3,FALSE))</f>
        <v/>
      </c>
      <c r="H54" s="72"/>
      <c r="I54" s="499" t="str">
        <f>IFERROR(IF(AND(F54="V.Low",OR(H54="Good",H54="Moderate")),"Error ▲",VLOOKUP(H54,'G-1 All Habitats'!$Z$2:$AA$9,2,FALSE)),"")</f>
        <v/>
      </c>
      <c r="J54" s="146"/>
      <c r="K54" s="520" t="str">
        <f>IF(J54="","",IF(VLOOKUP(J54,'G-3 Multipliers'!$L$3:$N$6,2,FALSE)=0,"Spatial Data Missing",VLOOKUP(J54,'G-3 Multipliers'!$L$3:$N$6,2,FALSE)))</f>
        <v/>
      </c>
      <c r="L54" s="524" t="str">
        <f>IF(J54="","",IF(VLOOKUP(J54,'G-3 Multipliers'!$L$3:$N$6,3,FALSE)=0,"Spatial Data Missing",VLOOKUP(J54,'G-3 Multipliers'!$L$3:$N$6,3,FALSE)))</f>
        <v/>
      </c>
      <c r="M54" s="197"/>
      <c r="N54" s="499" t="str">
        <f>IF(M54="","",IF(VLOOKUP(M54,'G-3 Multipliers'!$S$3:$T$6,2,FALSE)=0,"Spatial Data Missing ⚠",VLOOKUP(M54,'G-3 Multipliers'!$S$3:$T$6,2,FALSE)))</f>
        <v/>
      </c>
      <c r="O54" s="498" t="str">
        <f>IF(OR(D54="",H54=""),"",(INDEX('G-6 Hedgerow Data'!$E$3:$I$15,MATCH(D54,'G-6 Hedgerow Data'!$B$3:$B$15,0),MATCH(H54,'G-6 Hedgerow Data'!$E$2:$I$2,0))))</f>
        <v/>
      </c>
      <c r="P54" s="195"/>
      <c r="Q54" s="195"/>
      <c r="R54" s="507" t="str">
        <f t="shared" si="1"/>
        <v/>
      </c>
      <c r="S54" s="521" t="str">
        <f t="shared" si="2"/>
        <v/>
      </c>
      <c r="T54" s="522" t="str">
        <f t="shared" si="0"/>
        <v/>
      </c>
      <c r="U54" s="537" t="str">
        <f>IF(D54="","",VLOOKUP(D54,'G-6 Hedgerow Data'!$B$3:$AG$15,31,FALSE))</f>
        <v/>
      </c>
      <c r="V54" s="520" t="str">
        <f t="shared" si="3"/>
        <v/>
      </c>
      <c r="W54" s="520" t="str">
        <f t="shared" si="4"/>
        <v/>
      </c>
      <c r="X54" s="524" t="str">
        <f>IF(F54="","",VLOOKUP(U54,'G-3 Multipliers'!$P$3:$Q$6,2,FALSE))</f>
        <v/>
      </c>
      <c r="Y54" s="529" t="str">
        <f t="shared" si="5"/>
        <v/>
      </c>
      <c r="Z54" s="149"/>
      <c r="AA54" s="150"/>
      <c r="AG54" s="31" t="str">
        <f>IFERROR(INDEX('G-6 Hedgerow Data'!$BJ$3:$BJ$15,MATCH(D54,'G-6 Hedgerow Data'!$B$3:$B$15,0)),"")</f>
        <v/>
      </c>
    </row>
    <row r="55" spans="2:33" ht="13.8" x14ac:dyDescent="0.25">
      <c r="B55" s="103">
        <v>44</v>
      </c>
      <c r="C55" s="268"/>
      <c r="D55" s="82"/>
      <c r="E55" s="203"/>
      <c r="F55" s="498" t="str">
        <f>IF(D55="","",VLOOKUP(D55,'G-6 Hedgerow Data'!$B$2:$AG$15,2,FALSE))</f>
        <v/>
      </c>
      <c r="G55" s="524" t="str">
        <f>IF(D55="","",VLOOKUP(D55,'G-6 Hedgerow Data'!$B$2:$AG$15,3,FALSE))</f>
        <v/>
      </c>
      <c r="H55" s="72"/>
      <c r="I55" s="499" t="str">
        <f>IFERROR(IF(AND(F55="V.Low",OR(H55="Good",H55="Moderate")),"Error ▲",VLOOKUP(H55,'G-1 All Habitats'!$Z$2:$AA$9,2,FALSE)),"")</f>
        <v/>
      </c>
      <c r="J55" s="146"/>
      <c r="K55" s="520" t="str">
        <f>IF(J55="","",IF(VLOOKUP(J55,'G-3 Multipliers'!$L$3:$N$6,2,FALSE)=0,"Spatial Data Missing",VLOOKUP(J55,'G-3 Multipliers'!$L$3:$N$6,2,FALSE)))</f>
        <v/>
      </c>
      <c r="L55" s="524" t="str">
        <f>IF(J55="","",IF(VLOOKUP(J55,'G-3 Multipliers'!$L$3:$N$6,3,FALSE)=0,"Spatial Data Missing",VLOOKUP(J55,'G-3 Multipliers'!$L$3:$N$6,3,FALSE)))</f>
        <v/>
      </c>
      <c r="M55" s="197"/>
      <c r="N55" s="499" t="str">
        <f>IF(M55="","",IF(VLOOKUP(M55,'G-3 Multipliers'!$S$3:$T$6,2,FALSE)=0,"Spatial Data Missing ⚠",VLOOKUP(M55,'G-3 Multipliers'!$S$3:$T$6,2,FALSE)))</f>
        <v/>
      </c>
      <c r="O55" s="498" t="str">
        <f>IF(OR(D55="",H55=""),"",(INDEX('G-6 Hedgerow Data'!$E$3:$I$15,MATCH(D55,'G-6 Hedgerow Data'!$B$3:$B$15,0),MATCH(H55,'G-6 Hedgerow Data'!$E$2:$I$2,0))))</f>
        <v/>
      </c>
      <c r="P55" s="195"/>
      <c r="Q55" s="195"/>
      <c r="R55" s="507" t="str">
        <f t="shared" si="1"/>
        <v/>
      </c>
      <c r="S55" s="521" t="str">
        <f t="shared" si="2"/>
        <v/>
      </c>
      <c r="T55" s="522" t="str">
        <f t="shared" si="0"/>
        <v/>
      </c>
      <c r="U55" s="537" t="str">
        <f>IF(D55="","",VLOOKUP(D55,'G-6 Hedgerow Data'!$B$3:$AG$15,31,FALSE))</f>
        <v/>
      </c>
      <c r="V55" s="520" t="str">
        <f t="shared" si="3"/>
        <v/>
      </c>
      <c r="W55" s="520" t="str">
        <f t="shared" si="4"/>
        <v/>
      </c>
      <c r="X55" s="524" t="str">
        <f>IF(F55="","",VLOOKUP(U55,'G-3 Multipliers'!$P$3:$Q$6,2,FALSE))</f>
        <v/>
      </c>
      <c r="Y55" s="529" t="str">
        <f t="shared" si="5"/>
        <v/>
      </c>
      <c r="Z55" s="149"/>
      <c r="AA55" s="150"/>
      <c r="AG55" s="31" t="str">
        <f>IFERROR(INDEX('G-6 Hedgerow Data'!$BJ$3:$BJ$15,MATCH(D55,'G-6 Hedgerow Data'!$B$3:$B$15,0)),"")</f>
        <v/>
      </c>
    </row>
    <row r="56" spans="2:33" ht="13.8" x14ac:dyDescent="0.25">
      <c r="B56" s="103">
        <v>45</v>
      </c>
      <c r="C56" s="268"/>
      <c r="D56" s="82"/>
      <c r="E56" s="203"/>
      <c r="F56" s="498" t="str">
        <f>IF(D56="","",VLOOKUP(D56,'G-6 Hedgerow Data'!$B$2:$AG$15,2,FALSE))</f>
        <v/>
      </c>
      <c r="G56" s="524" t="str">
        <f>IF(D56="","",VLOOKUP(D56,'G-6 Hedgerow Data'!$B$2:$AG$15,3,FALSE))</f>
        <v/>
      </c>
      <c r="H56" s="72"/>
      <c r="I56" s="499" t="str">
        <f>IFERROR(IF(AND(F56="V.Low",OR(H56="Good",H56="Moderate")),"Error ▲",VLOOKUP(H56,'G-1 All Habitats'!$Z$2:$AA$9,2,FALSE)),"")</f>
        <v/>
      </c>
      <c r="J56" s="146"/>
      <c r="K56" s="520" t="str">
        <f>IF(J56="","",IF(VLOOKUP(J56,'G-3 Multipliers'!$L$3:$N$6,2,FALSE)=0,"Spatial Data Missing",VLOOKUP(J56,'G-3 Multipliers'!$L$3:$N$6,2,FALSE)))</f>
        <v/>
      </c>
      <c r="L56" s="524" t="str">
        <f>IF(J56="","",IF(VLOOKUP(J56,'G-3 Multipliers'!$L$3:$N$6,3,FALSE)=0,"Spatial Data Missing",VLOOKUP(J56,'G-3 Multipliers'!$L$3:$N$6,3,FALSE)))</f>
        <v/>
      </c>
      <c r="M56" s="197"/>
      <c r="N56" s="499" t="str">
        <f>IF(M56="","",IF(VLOOKUP(M56,'G-3 Multipliers'!$S$3:$T$6,2,FALSE)=0,"Spatial Data Missing ⚠",VLOOKUP(M56,'G-3 Multipliers'!$S$3:$T$6,2,FALSE)))</f>
        <v/>
      </c>
      <c r="O56" s="498" t="str">
        <f>IF(OR(D56="",H56=""),"",(INDEX('G-6 Hedgerow Data'!$E$3:$I$15,MATCH(D56,'G-6 Hedgerow Data'!$B$3:$B$15,0),MATCH(H56,'G-6 Hedgerow Data'!$E$2:$I$2,0))))</f>
        <v/>
      </c>
      <c r="P56" s="195"/>
      <c r="Q56" s="195"/>
      <c r="R56" s="507" t="str">
        <f t="shared" si="1"/>
        <v/>
      </c>
      <c r="S56" s="521" t="str">
        <f t="shared" si="2"/>
        <v/>
      </c>
      <c r="T56" s="522" t="str">
        <f t="shared" si="0"/>
        <v/>
      </c>
      <c r="U56" s="537" t="str">
        <f>IF(D56="","",VLOOKUP(D56,'G-6 Hedgerow Data'!$B$3:$AG$15,31,FALSE))</f>
        <v/>
      </c>
      <c r="V56" s="520" t="str">
        <f t="shared" si="3"/>
        <v/>
      </c>
      <c r="W56" s="520" t="str">
        <f t="shared" si="4"/>
        <v/>
      </c>
      <c r="X56" s="524" t="str">
        <f>IF(F56="","",VLOOKUP(U56,'G-3 Multipliers'!$P$3:$Q$6,2,FALSE))</f>
        <v/>
      </c>
      <c r="Y56" s="529" t="str">
        <f t="shared" si="5"/>
        <v/>
      </c>
      <c r="Z56" s="149"/>
      <c r="AA56" s="150"/>
      <c r="AG56" s="31" t="str">
        <f>IFERROR(INDEX('G-6 Hedgerow Data'!$BJ$3:$BJ$15,MATCH(D56,'G-6 Hedgerow Data'!$B$3:$B$15,0)),"")</f>
        <v/>
      </c>
    </row>
    <row r="57" spans="2:33" ht="13.8" x14ac:dyDescent="0.25">
      <c r="B57" s="103">
        <v>46</v>
      </c>
      <c r="C57" s="268"/>
      <c r="D57" s="82"/>
      <c r="E57" s="203"/>
      <c r="F57" s="498" t="str">
        <f>IF(D57="","",VLOOKUP(D57,'G-6 Hedgerow Data'!$B$2:$AG$15,2,FALSE))</f>
        <v/>
      </c>
      <c r="G57" s="524" t="str">
        <f>IF(D57="","",VLOOKUP(D57,'G-6 Hedgerow Data'!$B$2:$AG$15,3,FALSE))</f>
        <v/>
      </c>
      <c r="H57" s="72"/>
      <c r="I57" s="499" t="str">
        <f>IFERROR(IF(AND(F57="V.Low",OR(H57="Good",H57="Moderate")),"Error ▲",VLOOKUP(H57,'G-1 All Habitats'!$Z$2:$AA$9,2,FALSE)),"")</f>
        <v/>
      </c>
      <c r="J57" s="146"/>
      <c r="K57" s="520" t="str">
        <f>IF(J57="","",IF(VLOOKUP(J57,'G-3 Multipliers'!$L$3:$N$6,2,FALSE)=0,"Spatial Data Missing",VLOOKUP(J57,'G-3 Multipliers'!$L$3:$N$6,2,FALSE)))</f>
        <v/>
      </c>
      <c r="L57" s="524" t="str">
        <f>IF(J57="","",IF(VLOOKUP(J57,'G-3 Multipliers'!$L$3:$N$6,3,FALSE)=0,"Spatial Data Missing",VLOOKUP(J57,'G-3 Multipliers'!$L$3:$N$6,3,FALSE)))</f>
        <v/>
      </c>
      <c r="M57" s="197"/>
      <c r="N57" s="499" t="str">
        <f>IF(M57="","",IF(VLOOKUP(M57,'G-3 Multipliers'!$S$3:$T$6,2,FALSE)=0,"Spatial Data Missing ⚠",VLOOKUP(M57,'G-3 Multipliers'!$S$3:$T$6,2,FALSE)))</f>
        <v/>
      </c>
      <c r="O57" s="498" t="str">
        <f>IF(OR(D57="",H57=""),"",(INDEX('G-6 Hedgerow Data'!$E$3:$I$15,MATCH(D57,'G-6 Hedgerow Data'!$B$3:$B$15,0),MATCH(H57,'G-6 Hedgerow Data'!$E$2:$I$2,0))))</f>
        <v/>
      </c>
      <c r="P57" s="195"/>
      <c r="Q57" s="195"/>
      <c r="R57" s="507" t="str">
        <f t="shared" si="1"/>
        <v/>
      </c>
      <c r="S57" s="521" t="str">
        <f t="shared" si="2"/>
        <v/>
      </c>
      <c r="T57" s="522" t="str">
        <f t="shared" si="0"/>
        <v/>
      </c>
      <c r="U57" s="537" t="str">
        <f>IF(D57="","",VLOOKUP(D57,'G-6 Hedgerow Data'!$B$3:$AG$15,31,FALSE))</f>
        <v/>
      </c>
      <c r="V57" s="520" t="str">
        <f t="shared" si="3"/>
        <v/>
      </c>
      <c r="W57" s="520" t="str">
        <f t="shared" si="4"/>
        <v/>
      </c>
      <c r="X57" s="524" t="str">
        <f>IF(F57="","",VLOOKUP(U57,'G-3 Multipliers'!$P$3:$Q$6,2,FALSE))</f>
        <v/>
      </c>
      <c r="Y57" s="529" t="str">
        <f t="shared" si="5"/>
        <v/>
      </c>
      <c r="Z57" s="149"/>
      <c r="AA57" s="150"/>
      <c r="AG57" s="31" t="str">
        <f>IFERROR(INDEX('G-6 Hedgerow Data'!$BJ$3:$BJ$15,MATCH(D57,'G-6 Hedgerow Data'!$B$3:$B$15,0)),"")</f>
        <v/>
      </c>
    </row>
    <row r="58" spans="2:33" ht="13.8" x14ac:dyDescent="0.25">
      <c r="B58" s="103">
        <v>47</v>
      </c>
      <c r="C58" s="268"/>
      <c r="D58" s="82"/>
      <c r="E58" s="203"/>
      <c r="F58" s="498" t="str">
        <f>IF(D58="","",VLOOKUP(D58,'G-6 Hedgerow Data'!$B$2:$AG$15,2,FALSE))</f>
        <v/>
      </c>
      <c r="G58" s="524" t="str">
        <f>IF(D58="","",VLOOKUP(D58,'G-6 Hedgerow Data'!$B$2:$AG$15,3,FALSE))</f>
        <v/>
      </c>
      <c r="H58" s="72"/>
      <c r="I58" s="499" t="str">
        <f>IFERROR(IF(AND(F58="V.Low",OR(H58="Good",H58="Moderate")),"Error ▲",VLOOKUP(H58,'G-1 All Habitats'!$Z$2:$AA$9,2,FALSE)),"")</f>
        <v/>
      </c>
      <c r="J58" s="146"/>
      <c r="K58" s="520" t="str">
        <f>IF(J58="","",IF(VLOOKUP(J58,'G-3 Multipliers'!$L$3:$N$6,2,FALSE)=0,"Spatial Data Missing",VLOOKUP(J58,'G-3 Multipliers'!$L$3:$N$6,2,FALSE)))</f>
        <v/>
      </c>
      <c r="L58" s="524" t="str">
        <f>IF(J58="","",IF(VLOOKUP(J58,'G-3 Multipliers'!$L$3:$N$6,3,FALSE)=0,"Spatial Data Missing",VLOOKUP(J58,'G-3 Multipliers'!$L$3:$N$6,3,FALSE)))</f>
        <v/>
      </c>
      <c r="M58" s="197"/>
      <c r="N58" s="499" t="str">
        <f>IF(M58="","",IF(VLOOKUP(M58,'G-3 Multipliers'!$S$3:$T$6,2,FALSE)=0,"Spatial Data Missing ⚠",VLOOKUP(M58,'G-3 Multipliers'!$S$3:$T$6,2,FALSE)))</f>
        <v/>
      </c>
      <c r="O58" s="498" t="str">
        <f>IF(OR(D58="",H58=""),"",(INDEX('G-6 Hedgerow Data'!$E$3:$I$15,MATCH(D58,'G-6 Hedgerow Data'!$B$3:$B$15,0),MATCH(H58,'G-6 Hedgerow Data'!$E$2:$I$2,0))))</f>
        <v/>
      </c>
      <c r="P58" s="195"/>
      <c r="Q58" s="195"/>
      <c r="R58" s="507" t="str">
        <f t="shared" si="1"/>
        <v/>
      </c>
      <c r="S58" s="521" t="str">
        <f t="shared" si="2"/>
        <v/>
      </c>
      <c r="T58" s="522" t="str">
        <f t="shared" si="0"/>
        <v/>
      </c>
      <c r="U58" s="537" t="str">
        <f>IF(D58="","",VLOOKUP(D58,'G-6 Hedgerow Data'!$B$3:$AG$15,31,FALSE))</f>
        <v/>
      </c>
      <c r="V58" s="520" t="str">
        <f t="shared" si="3"/>
        <v/>
      </c>
      <c r="W58" s="520" t="str">
        <f t="shared" si="4"/>
        <v/>
      </c>
      <c r="X58" s="524" t="str">
        <f>IF(F58="","",VLOOKUP(U58,'G-3 Multipliers'!$P$3:$Q$6,2,FALSE))</f>
        <v/>
      </c>
      <c r="Y58" s="529" t="str">
        <f t="shared" si="5"/>
        <v/>
      </c>
      <c r="Z58" s="149"/>
      <c r="AA58" s="150"/>
      <c r="AG58" s="31" t="str">
        <f>IFERROR(INDEX('G-6 Hedgerow Data'!$BJ$3:$BJ$15,MATCH(D58,'G-6 Hedgerow Data'!$B$3:$B$15,0)),"")</f>
        <v/>
      </c>
    </row>
    <row r="59" spans="2:33" ht="13.8" x14ac:dyDescent="0.25">
      <c r="B59" s="103">
        <v>48</v>
      </c>
      <c r="C59" s="268"/>
      <c r="D59" s="82"/>
      <c r="E59" s="203"/>
      <c r="F59" s="498" t="str">
        <f>IF(D59="","",VLOOKUP(D59,'G-6 Hedgerow Data'!$B$2:$AG$15,2,FALSE))</f>
        <v/>
      </c>
      <c r="G59" s="524" t="str">
        <f>IF(D59="","",VLOOKUP(D59,'G-6 Hedgerow Data'!$B$2:$AG$15,3,FALSE))</f>
        <v/>
      </c>
      <c r="H59" s="72"/>
      <c r="I59" s="499" t="str">
        <f>IFERROR(IF(AND(F59="V.Low",OR(H59="Good",H59="Moderate")),"Error ▲",VLOOKUP(H59,'G-1 All Habitats'!$Z$2:$AA$9,2,FALSE)),"")</f>
        <v/>
      </c>
      <c r="J59" s="146"/>
      <c r="K59" s="520" t="str">
        <f>IF(J59="","",IF(VLOOKUP(J59,'G-3 Multipliers'!$L$3:$N$6,2,FALSE)=0,"Spatial Data Missing",VLOOKUP(J59,'G-3 Multipliers'!$L$3:$N$6,2,FALSE)))</f>
        <v/>
      </c>
      <c r="L59" s="524" t="str">
        <f>IF(J59="","",IF(VLOOKUP(J59,'G-3 Multipliers'!$L$3:$N$6,3,FALSE)=0,"Spatial Data Missing",VLOOKUP(J59,'G-3 Multipliers'!$L$3:$N$6,3,FALSE)))</f>
        <v/>
      </c>
      <c r="M59" s="197"/>
      <c r="N59" s="499" t="str">
        <f>IF(M59="","",IF(VLOOKUP(M59,'G-3 Multipliers'!$S$3:$T$6,2,FALSE)=0,"Spatial Data Missing ⚠",VLOOKUP(M59,'G-3 Multipliers'!$S$3:$T$6,2,FALSE)))</f>
        <v/>
      </c>
      <c r="O59" s="498" t="str">
        <f>IF(OR(D59="",H59=""),"",(INDEX('G-6 Hedgerow Data'!$E$3:$I$15,MATCH(D59,'G-6 Hedgerow Data'!$B$3:$B$15,0),MATCH(H59,'G-6 Hedgerow Data'!$E$2:$I$2,0))))</f>
        <v/>
      </c>
      <c r="P59" s="195"/>
      <c r="Q59" s="195"/>
      <c r="R59" s="507" t="str">
        <f t="shared" si="1"/>
        <v/>
      </c>
      <c r="S59" s="521" t="str">
        <f t="shared" si="2"/>
        <v/>
      </c>
      <c r="T59" s="522" t="str">
        <f t="shared" si="0"/>
        <v/>
      </c>
      <c r="U59" s="537" t="str">
        <f>IF(D59="","",VLOOKUP(D59,'G-6 Hedgerow Data'!$B$3:$AG$15,31,FALSE))</f>
        <v/>
      </c>
      <c r="V59" s="520" t="str">
        <f t="shared" si="3"/>
        <v/>
      </c>
      <c r="W59" s="520" t="str">
        <f t="shared" si="4"/>
        <v/>
      </c>
      <c r="X59" s="524" t="str">
        <f>IF(F59="","",VLOOKUP(U59,'G-3 Multipliers'!$P$3:$Q$6,2,FALSE))</f>
        <v/>
      </c>
      <c r="Y59" s="529" t="str">
        <f t="shared" si="5"/>
        <v/>
      </c>
      <c r="Z59" s="149"/>
      <c r="AA59" s="150"/>
      <c r="AG59" s="31" t="str">
        <f>IFERROR(INDEX('G-6 Hedgerow Data'!$BJ$3:$BJ$15,MATCH(D59,'G-6 Hedgerow Data'!$B$3:$B$15,0)),"")</f>
        <v/>
      </c>
    </row>
    <row r="60" spans="2:33" ht="13.8" x14ac:dyDescent="0.25">
      <c r="B60" s="103">
        <v>49</v>
      </c>
      <c r="C60" s="268"/>
      <c r="D60" s="82"/>
      <c r="E60" s="203"/>
      <c r="F60" s="498" t="str">
        <f>IF(D60="","",VLOOKUP(D60,'G-6 Hedgerow Data'!$B$2:$AG$15,2,FALSE))</f>
        <v/>
      </c>
      <c r="G60" s="524" t="str">
        <f>IF(D60="","",VLOOKUP(D60,'G-6 Hedgerow Data'!$B$2:$AG$15,3,FALSE))</f>
        <v/>
      </c>
      <c r="H60" s="72"/>
      <c r="I60" s="499" t="str">
        <f>IFERROR(IF(AND(F60="V.Low",OR(H60="Good",H60="Moderate")),"Error ▲",VLOOKUP(H60,'G-1 All Habitats'!$Z$2:$AA$9,2,FALSE)),"")</f>
        <v/>
      </c>
      <c r="J60" s="146"/>
      <c r="K60" s="520" t="str">
        <f>IF(J60="","",IF(VLOOKUP(J60,'G-3 Multipliers'!$L$3:$N$6,2,FALSE)=0,"Spatial Data Missing",VLOOKUP(J60,'G-3 Multipliers'!$L$3:$N$6,2,FALSE)))</f>
        <v/>
      </c>
      <c r="L60" s="524" t="str">
        <f>IF(J60="","",IF(VLOOKUP(J60,'G-3 Multipliers'!$L$3:$N$6,3,FALSE)=0,"Spatial Data Missing",VLOOKUP(J60,'G-3 Multipliers'!$L$3:$N$6,3,FALSE)))</f>
        <v/>
      </c>
      <c r="M60" s="197"/>
      <c r="N60" s="499" t="str">
        <f>IF(M60="","",IF(VLOOKUP(M60,'G-3 Multipliers'!$S$3:$T$6,2,FALSE)=0,"Spatial Data Missing ⚠",VLOOKUP(M60,'G-3 Multipliers'!$S$3:$T$6,2,FALSE)))</f>
        <v/>
      </c>
      <c r="O60" s="498" t="str">
        <f>IF(OR(D60="",H60=""),"",(INDEX('G-6 Hedgerow Data'!$E$3:$I$15,MATCH(D60,'G-6 Hedgerow Data'!$B$3:$B$15,0),MATCH(H60,'G-6 Hedgerow Data'!$E$2:$I$2,0))))</f>
        <v/>
      </c>
      <c r="P60" s="195"/>
      <c r="Q60" s="195"/>
      <c r="R60" s="507" t="str">
        <f t="shared" si="1"/>
        <v/>
      </c>
      <c r="S60" s="521" t="str">
        <f t="shared" si="2"/>
        <v/>
      </c>
      <c r="T60" s="522" t="str">
        <f t="shared" si="0"/>
        <v/>
      </c>
      <c r="U60" s="537" t="str">
        <f>IF(D60="","",VLOOKUP(D60,'G-6 Hedgerow Data'!$B$3:$AG$15,31,FALSE))</f>
        <v/>
      </c>
      <c r="V60" s="520" t="str">
        <f t="shared" si="3"/>
        <v/>
      </c>
      <c r="W60" s="520" t="str">
        <f t="shared" si="4"/>
        <v/>
      </c>
      <c r="X60" s="524" t="str">
        <f>IF(F60="","",VLOOKUP(U60,'G-3 Multipliers'!$P$3:$Q$6,2,FALSE))</f>
        <v/>
      </c>
      <c r="Y60" s="529" t="str">
        <f t="shared" si="5"/>
        <v/>
      </c>
      <c r="Z60" s="149"/>
      <c r="AA60" s="150"/>
      <c r="AG60" s="31" t="str">
        <f>IFERROR(INDEX('G-6 Hedgerow Data'!$BJ$3:$BJ$15,MATCH(D60,'G-6 Hedgerow Data'!$B$3:$B$15,0)),"")</f>
        <v/>
      </c>
    </row>
    <row r="61" spans="2:33" ht="13.8" x14ac:dyDescent="0.25">
      <c r="B61" s="103">
        <v>50</v>
      </c>
      <c r="C61" s="268"/>
      <c r="D61" s="82"/>
      <c r="E61" s="203"/>
      <c r="F61" s="498" t="str">
        <f>IF(D61="","",VLOOKUP(D61,'G-6 Hedgerow Data'!$B$2:$AG$15,2,FALSE))</f>
        <v/>
      </c>
      <c r="G61" s="524" t="str">
        <f>IF(D61="","",VLOOKUP(D61,'G-6 Hedgerow Data'!$B$2:$AG$15,3,FALSE))</f>
        <v/>
      </c>
      <c r="H61" s="72"/>
      <c r="I61" s="499" t="str">
        <f>IFERROR(IF(AND(F61="V.Low",OR(H61="Good",H61="Moderate")),"Error ▲",VLOOKUP(H61,'G-1 All Habitats'!$Z$2:$AA$9,2,FALSE)),"")</f>
        <v/>
      </c>
      <c r="J61" s="146"/>
      <c r="K61" s="520" t="str">
        <f>IF(J61="","",IF(VLOOKUP(J61,'G-3 Multipliers'!$L$3:$N$6,2,FALSE)=0,"Spatial Data Missing",VLOOKUP(J61,'G-3 Multipliers'!$L$3:$N$6,2,FALSE)))</f>
        <v/>
      </c>
      <c r="L61" s="524" t="str">
        <f>IF(J61="","",IF(VLOOKUP(J61,'G-3 Multipliers'!$L$3:$N$6,3,FALSE)=0,"Spatial Data Missing",VLOOKUP(J61,'G-3 Multipliers'!$L$3:$N$6,3,FALSE)))</f>
        <v/>
      </c>
      <c r="M61" s="197"/>
      <c r="N61" s="499" t="str">
        <f>IF(M61="","",IF(VLOOKUP(M61,'G-3 Multipliers'!$S$3:$T$6,2,FALSE)=0,"Spatial Data Missing ⚠",VLOOKUP(M61,'G-3 Multipliers'!$S$3:$T$6,2,FALSE)))</f>
        <v/>
      </c>
      <c r="O61" s="498" t="str">
        <f>IF(OR(D61="",H61=""),"",(INDEX('G-6 Hedgerow Data'!$E$3:$I$15,MATCH(D61,'G-6 Hedgerow Data'!$B$3:$B$15,0),MATCH(H61,'G-6 Hedgerow Data'!$E$2:$I$2,0))))</f>
        <v/>
      </c>
      <c r="P61" s="195"/>
      <c r="Q61" s="195"/>
      <c r="R61" s="507" t="str">
        <f t="shared" si="1"/>
        <v/>
      </c>
      <c r="S61" s="521" t="str">
        <f t="shared" si="2"/>
        <v/>
      </c>
      <c r="T61" s="522" t="str">
        <f t="shared" si="0"/>
        <v/>
      </c>
      <c r="U61" s="537" t="str">
        <f>IF(D61="","",VLOOKUP(D61,'G-6 Hedgerow Data'!$B$3:$AG$15,31,FALSE))</f>
        <v/>
      </c>
      <c r="V61" s="520" t="str">
        <f t="shared" si="3"/>
        <v/>
      </c>
      <c r="W61" s="520" t="str">
        <f t="shared" si="4"/>
        <v/>
      </c>
      <c r="X61" s="524" t="str">
        <f>IF(F61="","",VLOOKUP(U61,'G-3 Multipliers'!$P$3:$Q$6,2,FALSE))</f>
        <v/>
      </c>
      <c r="Y61" s="529" t="str">
        <f t="shared" si="5"/>
        <v/>
      </c>
      <c r="Z61" s="149"/>
      <c r="AA61" s="150"/>
      <c r="AG61" s="31" t="str">
        <f>IFERROR(INDEX('G-6 Hedgerow Data'!$BJ$3:$BJ$15,MATCH(D61,'G-6 Hedgerow Data'!$B$3:$B$15,0)),"")</f>
        <v/>
      </c>
    </row>
    <row r="62" spans="2:33" ht="13.8" x14ac:dyDescent="0.25">
      <c r="B62" s="103">
        <v>51</v>
      </c>
      <c r="C62" s="268"/>
      <c r="D62" s="82"/>
      <c r="E62" s="203"/>
      <c r="F62" s="498" t="str">
        <f>IF(D62="","",VLOOKUP(D62,'G-6 Hedgerow Data'!$B$2:$AG$15,2,FALSE))</f>
        <v/>
      </c>
      <c r="G62" s="524" t="str">
        <f>IF(D62="","",VLOOKUP(D62,'G-6 Hedgerow Data'!$B$2:$AG$15,3,FALSE))</f>
        <v/>
      </c>
      <c r="H62" s="72"/>
      <c r="I62" s="499" t="str">
        <f>IFERROR(IF(AND(F62="V.Low",OR(H62="Good",H62="Moderate")),"Error ▲",VLOOKUP(H62,'G-1 All Habitats'!$Z$2:$AA$9,2,FALSE)),"")</f>
        <v/>
      </c>
      <c r="J62" s="146"/>
      <c r="K62" s="520" t="str">
        <f>IF(J62="","",IF(VLOOKUP(J62,'G-3 Multipliers'!$L$3:$N$6,2,FALSE)=0,"Spatial Data Missing",VLOOKUP(J62,'G-3 Multipliers'!$L$3:$N$6,2,FALSE)))</f>
        <v/>
      </c>
      <c r="L62" s="524" t="str">
        <f>IF(J62="","",IF(VLOOKUP(J62,'G-3 Multipliers'!$L$3:$N$6,3,FALSE)=0,"Spatial Data Missing",VLOOKUP(J62,'G-3 Multipliers'!$L$3:$N$6,3,FALSE)))</f>
        <v/>
      </c>
      <c r="M62" s="197"/>
      <c r="N62" s="499" t="str">
        <f>IF(M62="","",IF(VLOOKUP(M62,'G-3 Multipliers'!$S$3:$T$6,2,FALSE)=0,"Spatial Data Missing ⚠",VLOOKUP(M62,'G-3 Multipliers'!$S$3:$T$6,2,FALSE)))</f>
        <v/>
      </c>
      <c r="O62" s="498" t="str">
        <f>IF(OR(D62="",H62=""),"",(INDEX('G-6 Hedgerow Data'!$E$3:$I$15,MATCH(D62,'G-6 Hedgerow Data'!$B$3:$B$15,0),MATCH(H62,'G-6 Hedgerow Data'!$E$2:$I$2,0))))</f>
        <v/>
      </c>
      <c r="P62" s="195"/>
      <c r="Q62" s="195"/>
      <c r="R62" s="507" t="str">
        <f t="shared" si="1"/>
        <v/>
      </c>
      <c r="S62" s="521" t="str">
        <f t="shared" si="2"/>
        <v/>
      </c>
      <c r="T62" s="522" t="str">
        <f t="shared" si="0"/>
        <v/>
      </c>
      <c r="U62" s="537" t="str">
        <f>IF(D62="","",VLOOKUP(D62,'G-6 Hedgerow Data'!$B$3:$AG$15,31,FALSE))</f>
        <v/>
      </c>
      <c r="V62" s="520" t="str">
        <f t="shared" si="3"/>
        <v/>
      </c>
      <c r="W62" s="520" t="str">
        <f t="shared" si="4"/>
        <v/>
      </c>
      <c r="X62" s="524" t="str">
        <f>IF(F62="","",VLOOKUP(U62,'G-3 Multipliers'!$P$3:$Q$6,2,FALSE))</f>
        <v/>
      </c>
      <c r="Y62" s="529" t="str">
        <f t="shared" si="5"/>
        <v/>
      </c>
      <c r="Z62" s="149"/>
      <c r="AA62" s="150"/>
      <c r="AG62" s="31" t="str">
        <f>IFERROR(INDEX('G-6 Hedgerow Data'!$BJ$3:$BJ$15,MATCH(D62,'G-6 Hedgerow Data'!$B$3:$B$15,0)),"")</f>
        <v/>
      </c>
    </row>
    <row r="63" spans="2:33" ht="13.8" x14ac:dyDescent="0.25">
      <c r="B63" s="103">
        <v>52</v>
      </c>
      <c r="C63" s="268"/>
      <c r="D63" s="82"/>
      <c r="E63" s="203"/>
      <c r="F63" s="498" t="str">
        <f>IF(D63="","",VLOOKUP(D63,'G-6 Hedgerow Data'!$B$2:$AG$15,2,FALSE))</f>
        <v/>
      </c>
      <c r="G63" s="524" t="str">
        <f>IF(D63="","",VLOOKUP(D63,'G-6 Hedgerow Data'!$B$2:$AG$15,3,FALSE))</f>
        <v/>
      </c>
      <c r="H63" s="72"/>
      <c r="I63" s="499" t="str">
        <f>IFERROR(IF(AND(F63="V.Low",OR(H63="Good",H63="Moderate")),"Error ▲",VLOOKUP(H63,'G-1 All Habitats'!$Z$2:$AA$9,2,FALSE)),"")</f>
        <v/>
      </c>
      <c r="J63" s="146"/>
      <c r="K63" s="520" t="str">
        <f>IF(J63="","",IF(VLOOKUP(J63,'G-3 Multipliers'!$L$3:$N$6,2,FALSE)=0,"Spatial Data Missing",VLOOKUP(J63,'G-3 Multipliers'!$L$3:$N$6,2,FALSE)))</f>
        <v/>
      </c>
      <c r="L63" s="524" t="str">
        <f>IF(J63="","",IF(VLOOKUP(J63,'G-3 Multipliers'!$L$3:$N$6,3,FALSE)=0,"Spatial Data Missing",VLOOKUP(J63,'G-3 Multipliers'!$L$3:$N$6,3,FALSE)))</f>
        <v/>
      </c>
      <c r="M63" s="197"/>
      <c r="N63" s="499" t="str">
        <f>IF(M63="","",IF(VLOOKUP(M63,'G-3 Multipliers'!$S$3:$T$6,2,FALSE)=0,"Spatial Data Missing ⚠",VLOOKUP(M63,'G-3 Multipliers'!$S$3:$T$6,2,FALSE)))</f>
        <v/>
      </c>
      <c r="O63" s="498" t="str">
        <f>IF(OR(D63="",H63=""),"",(INDEX('G-6 Hedgerow Data'!$E$3:$I$15,MATCH(D63,'G-6 Hedgerow Data'!$B$3:$B$15,0),MATCH(H63,'G-6 Hedgerow Data'!$E$2:$I$2,0))))</f>
        <v/>
      </c>
      <c r="P63" s="195"/>
      <c r="Q63" s="195"/>
      <c r="R63" s="507" t="str">
        <f t="shared" si="1"/>
        <v/>
      </c>
      <c r="S63" s="521" t="str">
        <f t="shared" si="2"/>
        <v/>
      </c>
      <c r="T63" s="522" t="str">
        <f t="shared" si="0"/>
        <v/>
      </c>
      <c r="U63" s="537" t="str">
        <f>IF(D63="","",VLOOKUP(D63,'G-6 Hedgerow Data'!$B$3:$AG$15,31,FALSE))</f>
        <v/>
      </c>
      <c r="V63" s="520" t="str">
        <f t="shared" si="3"/>
        <v/>
      </c>
      <c r="W63" s="520" t="str">
        <f t="shared" si="4"/>
        <v/>
      </c>
      <c r="X63" s="524" t="str">
        <f>IF(F63="","",VLOOKUP(U63,'G-3 Multipliers'!$P$3:$Q$6,2,FALSE))</f>
        <v/>
      </c>
      <c r="Y63" s="529" t="str">
        <f t="shared" si="5"/>
        <v/>
      </c>
      <c r="Z63" s="149"/>
      <c r="AA63" s="150"/>
      <c r="AG63" s="31" t="str">
        <f>IFERROR(INDEX('G-6 Hedgerow Data'!$BJ$3:$BJ$15,MATCH(D63,'G-6 Hedgerow Data'!$B$3:$B$15,0)),"")</f>
        <v/>
      </c>
    </row>
    <row r="64" spans="2:33" ht="13.8" x14ac:dyDescent="0.25">
      <c r="B64" s="103">
        <v>53</v>
      </c>
      <c r="C64" s="268"/>
      <c r="D64" s="82"/>
      <c r="E64" s="203"/>
      <c r="F64" s="498" t="str">
        <f>IF(D64="","",VLOOKUP(D64,'G-6 Hedgerow Data'!$B$2:$AG$15,2,FALSE))</f>
        <v/>
      </c>
      <c r="G64" s="524" t="str">
        <f>IF(D64="","",VLOOKUP(D64,'G-6 Hedgerow Data'!$B$2:$AG$15,3,FALSE))</f>
        <v/>
      </c>
      <c r="H64" s="72"/>
      <c r="I64" s="499" t="str">
        <f>IFERROR(IF(AND(F64="V.Low",OR(H64="Good",H64="Moderate")),"Error ▲",VLOOKUP(H64,'G-1 All Habitats'!$Z$2:$AA$9,2,FALSE)),"")</f>
        <v/>
      </c>
      <c r="J64" s="146"/>
      <c r="K64" s="520" t="str">
        <f>IF(J64="","",IF(VLOOKUP(J64,'G-3 Multipliers'!$L$3:$N$6,2,FALSE)=0,"Spatial Data Missing",VLOOKUP(J64,'G-3 Multipliers'!$L$3:$N$6,2,FALSE)))</f>
        <v/>
      </c>
      <c r="L64" s="524" t="str">
        <f>IF(J64="","",IF(VLOOKUP(J64,'G-3 Multipliers'!$L$3:$N$6,3,FALSE)=0,"Spatial Data Missing",VLOOKUP(J64,'G-3 Multipliers'!$L$3:$N$6,3,FALSE)))</f>
        <v/>
      </c>
      <c r="M64" s="197"/>
      <c r="N64" s="499" t="str">
        <f>IF(M64="","",IF(VLOOKUP(M64,'G-3 Multipliers'!$S$3:$T$6,2,FALSE)=0,"Spatial Data Missing ⚠",VLOOKUP(M64,'G-3 Multipliers'!$S$3:$T$6,2,FALSE)))</f>
        <v/>
      </c>
      <c r="O64" s="498" t="str">
        <f>IF(OR(D64="",H64=""),"",(INDEX('G-6 Hedgerow Data'!$E$3:$I$15,MATCH(D64,'G-6 Hedgerow Data'!$B$3:$B$15,0),MATCH(H64,'G-6 Hedgerow Data'!$E$2:$I$2,0))))</f>
        <v/>
      </c>
      <c r="P64" s="195"/>
      <c r="Q64" s="195"/>
      <c r="R64" s="507" t="str">
        <f t="shared" si="1"/>
        <v/>
      </c>
      <c r="S64" s="521" t="str">
        <f t="shared" si="2"/>
        <v/>
      </c>
      <c r="T64" s="522" t="str">
        <f t="shared" si="0"/>
        <v/>
      </c>
      <c r="U64" s="537" t="str">
        <f>IF(D64="","",VLOOKUP(D64,'G-6 Hedgerow Data'!$B$3:$AG$15,31,FALSE))</f>
        <v/>
      </c>
      <c r="V64" s="520" t="str">
        <f t="shared" si="3"/>
        <v/>
      </c>
      <c r="W64" s="520" t="str">
        <f t="shared" si="4"/>
        <v/>
      </c>
      <c r="X64" s="524" t="str">
        <f>IF(F64="","",VLOOKUP(U64,'G-3 Multipliers'!$P$3:$Q$6,2,FALSE))</f>
        <v/>
      </c>
      <c r="Y64" s="529" t="str">
        <f t="shared" si="5"/>
        <v/>
      </c>
      <c r="Z64" s="149"/>
      <c r="AA64" s="150"/>
      <c r="AG64" s="31" t="str">
        <f>IFERROR(INDEX('G-6 Hedgerow Data'!$BJ$3:$BJ$15,MATCH(D64,'G-6 Hedgerow Data'!$B$3:$B$15,0)),"")</f>
        <v/>
      </c>
    </row>
    <row r="65" spans="2:33" ht="13.8" x14ac:dyDescent="0.25">
      <c r="B65" s="103">
        <v>54</v>
      </c>
      <c r="C65" s="268"/>
      <c r="D65" s="82"/>
      <c r="E65" s="203"/>
      <c r="F65" s="498" t="str">
        <f>IF(D65="","",VLOOKUP(D65,'G-6 Hedgerow Data'!$B$2:$AG$15,2,FALSE))</f>
        <v/>
      </c>
      <c r="G65" s="524" t="str">
        <f>IF(D65="","",VLOOKUP(D65,'G-6 Hedgerow Data'!$B$2:$AG$15,3,FALSE))</f>
        <v/>
      </c>
      <c r="H65" s="72"/>
      <c r="I65" s="499" t="str">
        <f>IFERROR(IF(AND(F65="V.Low",OR(H65="Good",H65="Moderate")),"Error ▲",VLOOKUP(H65,'G-1 All Habitats'!$Z$2:$AA$9,2,FALSE)),"")</f>
        <v/>
      </c>
      <c r="J65" s="146"/>
      <c r="K65" s="520" t="str">
        <f>IF(J65="","",IF(VLOOKUP(J65,'G-3 Multipliers'!$L$3:$N$6,2,FALSE)=0,"Spatial Data Missing",VLOOKUP(J65,'G-3 Multipliers'!$L$3:$N$6,2,FALSE)))</f>
        <v/>
      </c>
      <c r="L65" s="524" t="str">
        <f>IF(J65="","",IF(VLOOKUP(J65,'G-3 Multipliers'!$L$3:$N$6,3,FALSE)=0,"Spatial Data Missing",VLOOKUP(J65,'G-3 Multipliers'!$L$3:$N$6,3,FALSE)))</f>
        <v/>
      </c>
      <c r="M65" s="197"/>
      <c r="N65" s="499" t="str">
        <f>IF(M65="","",IF(VLOOKUP(M65,'G-3 Multipliers'!$S$3:$T$6,2,FALSE)=0,"Spatial Data Missing ⚠",VLOOKUP(M65,'G-3 Multipliers'!$S$3:$T$6,2,FALSE)))</f>
        <v/>
      </c>
      <c r="O65" s="498" t="str">
        <f>IF(OR(D65="",H65=""),"",(INDEX('G-6 Hedgerow Data'!$E$3:$I$15,MATCH(D65,'G-6 Hedgerow Data'!$B$3:$B$15,0),MATCH(H65,'G-6 Hedgerow Data'!$E$2:$I$2,0))))</f>
        <v/>
      </c>
      <c r="P65" s="195"/>
      <c r="Q65" s="195"/>
      <c r="R65" s="507" t="str">
        <f t="shared" si="1"/>
        <v/>
      </c>
      <c r="S65" s="521" t="str">
        <f t="shared" si="2"/>
        <v/>
      </c>
      <c r="T65" s="522" t="str">
        <f t="shared" si="0"/>
        <v/>
      </c>
      <c r="U65" s="537" t="str">
        <f>IF(D65="","",VLOOKUP(D65,'G-6 Hedgerow Data'!$B$3:$AG$15,31,FALSE))</f>
        <v/>
      </c>
      <c r="V65" s="520" t="str">
        <f t="shared" si="3"/>
        <v/>
      </c>
      <c r="W65" s="520" t="str">
        <f t="shared" si="4"/>
        <v/>
      </c>
      <c r="X65" s="524" t="str">
        <f>IF(F65="","",VLOOKUP(U65,'G-3 Multipliers'!$P$3:$Q$6,2,FALSE))</f>
        <v/>
      </c>
      <c r="Y65" s="529" t="str">
        <f t="shared" si="5"/>
        <v/>
      </c>
      <c r="Z65" s="149"/>
      <c r="AA65" s="150"/>
      <c r="AG65" s="31" t="str">
        <f>IFERROR(INDEX('G-6 Hedgerow Data'!$BJ$3:$BJ$15,MATCH(D65,'G-6 Hedgerow Data'!$B$3:$B$15,0)),"")</f>
        <v/>
      </c>
    </row>
    <row r="66" spans="2:33" ht="13.8" x14ac:dyDescent="0.25">
      <c r="B66" s="103">
        <v>55</v>
      </c>
      <c r="C66" s="268"/>
      <c r="D66" s="82"/>
      <c r="E66" s="203"/>
      <c r="F66" s="498" t="str">
        <f>IF(D66="","",VLOOKUP(D66,'G-6 Hedgerow Data'!$B$2:$AG$15,2,FALSE))</f>
        <v/>
      </c>
      <c r="G66" s="524" t="str">
        <f>IF(D66="","",VLOOKUP(D66,'G-6 Hedgerow Data'!$B$2:$AG$15,3,FALSE))</f>
        <v/>
      </c>
      <c r="H66" s="72"/>
      <c r="I66" s="499" t="str">
        <f>IFERROR(IF(AND(F66="V.Low",OR(H66="Good",H66="Moderate")),"Error ▲",VLOOKUP(H66,'G-1 All Habitats'!$Z$2:$AA$9,2,FALSE)),"")</f>
        <v/>
      </c>
      <c r="J66" s="146"/>
      <c r="K66" s="520" t="str">
        <f>IF(J66="","",IF(VLOOKUP(J66,'G-3 Multipliers'!$L$3:$N$6,2,FALSE)=0,"Spatial Data Missing",VLOOKUP(J66,'G-3 Multipliers'!$L$3:$N$6,2,FALSE)))</f>
        <v/>
      </c>
      <c r="L66" s="524" t="str">
        <f>IF(J66="","",IF(VLOOKUP(J66,'G-3 Multipliers'!$L$3:$N$6,3,FALSE)=0,"Spatial Data Missing",VLOOKUP(J66,'G-3 Multipliers'!$L$3:$N$6,3,FALSE)))</f>
        <v/>
      </c>
      <c r="M66" s="197"/>
      <c r="N66" s="499" t="str">
        <f>IF(M66="","",IF(VLOOKUP(M66,'G-3 Multipliers'!$S$3:$T$6,2,FALSE)=0,"Spatial Data Missing ⚠",VLOOKUP(M66,'G-3 Multipliers'!$S$3:$T$6,2,FALSE)))</f>
        <v/>
      </c>
      <c r="O66" s="498" t="str">
        <f>IF(OR(D66="",H66=""),"",(INDEX('G-6 Hedgerow Data'!$E$3:$I$15,MATCH(D66,'G-6 Hedgerow Data'!$B$3:$B$15,0),MATCH(H66,'G-6 Hedgerow Data'!$E$2:$I$2,0))))</f>
        <v/>
      </c>
      <c r="P66" s="195"/>
      <c r="Q66" s="195"/>
      <c r="R66" s="507" t="str">
        <f t="shared" si="1"/>
        <v/>
      </c>
      <c r="S66" s="521" t="str">
        <f t="shared" si="2"/>
        <v/>
      </c>
      <c r="T66" s="522" t="str">
        <f t="shared" si="0"/>
        <v/>
      </c>
      <c r="U66" s="537" t="str">
        <f>IF(D66="","",VLOOKUP(D66,'G-6 Hedgerow Data'!$B$3:$AG$15,31,FALSE))</f>
        <v/>
      </c>
      <c r="V66" s="520" t="str">
        <f t="shared" si="3"/>
        <v/>
      </c>
      <c r="W66" s="520" t="str">
        <f t="shared" si="4"/>
        <v/>
      </c>
      <c r="X66" s="524" t="str">
        <f>IF(F66="","",VLOOKUP(U66,'G-3 Multipliers'!$P$3:$Q$6,2,FALSE))</f>
        <v/>
      </c>
      <c r="Y66" s="529" t="str">
        <f t="shared" si="5"/>
        <v/>
      </c>
      <c r="Z66" s="149"/>
      <c r="AA66" s="150"/>
      <c r="AG66" s="31" t="str">
        <f>IFERROR(INDEX('G-6 Hedgerow Data'!$BJ$3:$BJ$15,MATCH(D66,'G-6 Hedgerow Data'!$B$3:$B$15,0)),"")</f>
        <v/>
      </c>
    </row>
    <row r="67" spans="2:33" ht="13.8" x14ac:dyDescent="0.25">
      <c r="B67" s="103">
        <v>56</v>
      </c>
      <c r="C67" s="268"/>
      <c r="D67" s="82"/>
      <c r="E67" s="203"/>
      <c r="F67" s="498" t="str">
        <f>IF(D67="","",VLOOKUP(D67,'G-6 Hedgerow Data'!$B$2:$AG$15,2,FALSE))</f>
        <v/>
      </c>
      <c r="G67" s="524" t="str">
        <f>IF(D67="","",VLOOKUP(D67,'G-6 Hedgerow Data'!$B$2:$AG$15,3,FALSE))</f>
        <v/>
      </c>
      <c r="H67" s="72"/>
      <c r="I67" s="499" t="str">
        <f>IFERROR(IF(AND(F67="V.Low",OR(H67="Good",H67="Moderate")),"Error ▲",VLOOKUP(H67,'G-1 All Habitats'!$Z$2:$AA$9,2,FALSE)),"")</f>
        <v/>
      </c>
      <c r="J67" s="146"/>
      <c r="K67" s="520" t="str">
        <f>IF(J67="","",IF(VLOOKUP(J67,'G-3 Multipliers'!$L$3:$N$6,2,FALSE)=0,"Spatial Data Missing",VLOOKUP(J67,'G-3 Multipliers'!$L$3:$N$6,2,FALSE)))</f>
        <v/>
      </c>
      <c r="L67" s="524" t="str">
        <f>IF(J67="","",IF(VLOOKUP(J67,'G-3 Multipliers'!$L$3:$N$6,3,FALSE)=0,"Spatial Data Missing",VLOOKUP(J67,'G-3 Multipliers'!$L$3:$N$6,3,FALSE)))</f>
        <v/>
      </c>
      <c r="M67" s="197"/>
      <c r="N67" s="499" t="str">
        <f>IF(M67="","",IF(VLOOKUP(M67,'G-3 Multipliers'!$S$3:$T$6,2,FALSE)=0,"Spatial Data Missing ⚠",VLOOKUP(M67,'G-3 Multipliers'!$S$3:$T$6,2,FALSE)))</f>
        <v/>
      </c>
      <c r="O67" s="498" t="str">
        <f>IF(OR(D67="",H67=""),"",(INDEX('G-6 Hedgerow Data'!$E$3:$I$15,MATCH(D67,'G-6 Hedgerow Data'!$B$3:$B$15,0),MATCH(H67,'G-6 Hedgerow Data'!$E$2:$I$2,0))))</f>
        <v/>
      </c>
      <c r="P67" s="195"/>
      <c r="Q67" s="195"/>
      <c r="R67" s="507" t="str">
        <f t="shared" si="1"/>
        <v/>
      </c>
      <c r="S67" s="521" t="str">
        <f t="shared" si="2"/>
        <v/>
      </c>
      <c r="T67" s="522" t="str">
        <f t="shared" si="0"/>
        <v/>
      </c>
      <c r="U67" s="537" t="str">
        <f>IF(D67="","",VLOOKUP(D67,'G-6 Hedgerow Data'!$B$3:$AG$15,31,FALSE))</f>
        <v/>
      </c>
      <c r="V67" s="520" t="str">
        <f t="shared" si="3"/>
        <v/>
      </c>
      <c r="W67" s="520" t="str">
        <f t="shared" si="4"/>
        <v/>
      </c>
      <c r="X67" s="524" t="str">
        <f>IF(F67="","",VLOOKUP(U67,'G-3 Multipliers'!$P$3:$Q$6,2,FALSE))</f>
        <v/>
      </c>
      <c r="Y67" s="529" t="str">
        <f t="shared" si="5"/>
        <v/>
      </c>
      <c r="Z67" s="149"/>
      <c r="AA67" s="150"/>
      <c r="AG67" s="31" t="str">
        <f>IFERROR(INDEX('G-6 Hedgerow Data'!$BJ$3:$BJ$15,MATCH(D67,'G-6 Hedgerow Data'!$B$3:$B$15,0)),"")</f>
        <v/>
      </c>
    </row>
    <row r="68" spans="2:33" ht="13.8" x14ac:dyDescent="0.25">
      <c r="B68" s="103">
        <v>57</v>
      </c>
      <c r="C68" s="268"/>
      <c r="D68" s="82"/>
      <c r="E68" s="203"/>
      <c r="F68" s="498" t="str">
        <f>IF(D68="","",VLOOKUP(D68,'G-6 Hedgerow Data'!$B$2:$AG$15,2,FALSE))</f>
        <v/>
      </c>
      <c r="G68" s="524" t="str">
        <f>IF(D68="","",VLOOKUP(D68,'G-6 Hedgerow Data'!$B$2:$AG$15,3,FALSE))</f>
        <v/>
      </c>
      <c r="H68" s="72"/>
      <c r="I68" s="499" t="str">
        <f>IFERROR(IF(AND(F68="V.Low",OR(H68="Good",H68="Moderate")),"Error ▲",VLOOKUP(H68,'G-1 All Habitats'!$Z$2:$AA$9,2,FALSE)),"")</f>
        <v/>
      </c>
      <c r="J68" s="146"/>
      <c r="K68" s="520" t="str">
        <f>IF(J68="","",IF(VLOOKUP(J68,'G-3 Multipliers'!$L$3:$N$6,2,FALSE)=0,"Spatial Data Missing",VLOOKUP(J68,'G-3 Multipliers'!$L$3:$N$6,2,FALSE)))</f>
        <v/>
      </c>
      <c r="L68" s="524" t="str">
        <f>IF(J68="","",IF(VLOOKUP(J68,'G-3 Multipliers'!$L$3:$N$6,3,FALSE)=0,"Spatial Data Missing",VLOOKUP(J68,'G-3 Multipliers'!$L$3:$N$6,3,FALSE)))</f>
        <v/>
      </c>
      <c r="M68" s="197"/>
      <c r="N68" s="499" t="str">
        <f>IF(M68="","",IF(VLOOKUP(M68,'G-3 Multipliers'!$S$3:$T$6,2,FALSE)=0,"Spatial Data Missing ⚠",VLOOKUP(M68,'G-3 Multipliers'!$S$3:$T$6,2,FALSE)))</f>
        <v/>
      </c>
      <c r="O68" s="498" t="str">
        <f>IF(OR(D68="",H68=""),"",(INDEX('G-6 Hedgerow Data'!$E$3:$I$15,MATCH(D68,'G-6 Hedgerow Data'!$B$3:$B$15,0),MATCH(H68,'G-6 Hedgerow Data'!$E$2:$I$2,0))))</f>
        <v/>
      </c>
      <c r="P68" s="195"/>
      <c r="Q68" s="195"/>
      <c r="R68" s="507" t="str">
        <f t="shared" si="1"/>
        <v/>
      </c>
      <c r="S68" s="521" t="str">
        <f t="shared" si="2"/>
        <v/>
      </c>
      <c r="T68" s="522" t="str">
        <f t="shared" si="0"/>
        <v/>
      </c>
      <c r="U68" s="537" t="str">
        <f>IF(D68="","",VLOOKUP(D68,'G-6 Hedgerow Data'!$B$3:$AG$15,31,FALSE))</f>
        <v/>
      </c>
      <c r="V68" s="520" t="str">
        <f t="shared" si="3"/>
        <v/>
      </c>
      <c r="W68" s="520" t="str">
        <f t="shared" si="4"/>
        <v/>
      </c>
      <c r="X68" s="524" t="str">
        <f>IF(F68="","",VLOOKUP(U68,'G-3 Multipliers'!$P$3:$Q$6,2,FALSE))</f>
        <v/>
      </c>
      <c r="Y68" s="529" t="str">
        <f t="shared" si="5"/>
        <v/>
      </c>
      <c r="Z68" s="149"/>
      <c r="AA68" s="150"/>
      <c r="AG68" s="31" t="str">
        <f>IFERROR(INDEX('G-6 Hedgerow Data'!$BJ$3:$BJ$15,MATCH(D68,'G-6 Hedgerow Data'!$B$3:$B$15,0)),"")</f>
        <v/>
      </c>
    </row>
    <row r="69" spans="2:33" ht="13.8" x14ac:dyDescent="0.25">
      <c r="B69" s="103">
        <v>58</v>
      </c>
      <c r="C69" s="268"/>
      <c r="D69" s="82"/>
      <c r="E69" s="203"/>
      <c r="F69" s="498" t="str">
        <f>IF(D69="","",VLOOKUP(D69,'G-6 Hedgerow Data'!$B$2:$AG$15,2,FALSE))</f>
        <v/>
      </c>
      <c r="G69" s="524" t="str">
        <f>IF(D69="","",VLOOKUP(D69,'G-6 Hedgerow Data'!$B$2:$AG$15,3,FALSE))</f>
        <v/>
      </c>
      <c r="H69" s="72"/>
      <c r="I69" s="499" t="str">
        <f>IFERROR(IF(AND(F69="V.Low",OR(H69="Good",H69="Moderate")),"Error ▲",VLOOKUP(H69,'G-1 All Habitats'!$Z$2:$AA$9,2,FALSE)),"")</f>
        <v/>
      </c>
      <c r="J69" s="146"/>
      <c r="K69" s="520" t="str">
        <f>IF(J69="","",IF(VLOOKUP(J69,'G-3 Multipliers'!$L$3:$N$6,2,FALSE)=0,"Spatial Data Missing",VLOOKUP(J69,'G-3 Multipliers'!$L$3:$N$6,2,FALSE)))</f>
        <v/>
      </c>
      <c r="L69" s="524" t="str">
        <f>IF(J69="","",IF(VLOOKUP(J69,'G-3 Multipliers'!$L$3:$N$6,3,FALSE)=0,"Spatial Data Missing",VLOOKUP(J69,'G-3 Multipliers'!$L$3:$N$6,3,FALSE)))</f>
        <v/>
      </c>
      <c r="M69" s="197"/>
      <c r="N69" s="499" t="str">
        <f>IF(M69="","",IF(VLOOKUP(M69,'G-3 Multipliers'!$S$3:$T$6,2,FALSE)=0,"Spatial Data Missing ⚠",VLOOKUP(M69,'G-3 Multipliers'!$S$3:$T$6,2,FALSE)))</f>
        <v/>
      </c>
      <c r="O69" s="498" t="str">
        <f>IF(OR(D69="",H69=""),"",(INDEX('G-6 Hedgerow Data'!$E$3:$I$15,MATCH(D69,'G-6 Hedgerow Data'!$B$3:$B$15,0),MATCH(H69,'G-6 Hedgerow Data'!$E$2:$I$2,0))))</f>
        <v/>
      </c>
      <c r="P69" s="195"/>
      <c r="Q69" s="195"/>
      <c r="R69" s="507" t="str">
        <f t="shared" si="1"/>
        <v/>
      </c>
      <c r="S69" s="521" t="str">
        <f t="shared" si="2"/>
        <v/>
      </c>
      <c r="T69" s="522" t="str">
        <f t="shared" si="0"/>
        <v/>
      </c>
      <c r="U69" s="537" t="str">
        <f>IF(D69="","",VLOOKUP(D69,'G-6 Hedgerow Data'!$B$3:$AG$15,31,FALSE))</f>
        <v/>
      </c>
      <c r="V69" s="520" t="str">
        <f t="shared" si="3"/>
        <v/>
      </c>
      <c r="W69" s="520" t="str">
        <f t="shared" si="4"/>
        <v/>
      </c>
      <c r="X69" s="524" t="str">
        <f>IF(F69="","",VLOOKUP(U69,'G-3 Multipliers'!$P$3:$Q$6,2,FALSE))</f>
        <v/>
      </c>
      <c r="Y69" s="529" t="str">
        <f t="shared" si="5"/>
        <v/>
      </c>
      <c r="Z69" s="149"/>
      <c r="AA69" s="150"/>
      <c r="AG69" s="31" t="str">
        <f>IFERROR(INDEX('G-6 Hedgerow Data'!$BJ$3:$BJ$15,MATCH(D69,'G-6 Hedgerow Data'!$B$3:$B$15,0)),"")</f>
        <v/>
      </c>
    </row>
    <row r="70" spans="2:33" ht="13.8" x14ac:dyDescent="0.25">
      <c r="B70" s="103">
        <v>59</v>
      </c>
      <c r="C70" s="268"/>
      <c r="D70" s="82"/>
      <c r="E70" s="203"/>
      <c r="F70" s="498" t="str">
        <f>IF(D70="","",VLOOKUP(D70,'G-6 Hedgerow Data'!$B$2:$AG$15,2,FALSE))</f>
        <v/>
      </c>
      <c r="G70" s="524" t="str">
        <f>IF(D70="","",VLOOKUP(D70,'G-6 Hedgerow Data'!$B$2:$AG$15,3,FALSE))</f>
        <v/>
      </c>
      <c r="H70" s="72"/>
      <c r="I70" s="499" t="str">
        <f>IFERROR(IF(AND(F70="V.Low",OR(H70="Good",H70="Moderate")),"Error ▲",VLOOKUP(H70,'G-1 All Habitats'!$Z$2:$AA$9,2,FALSE)),"")</f>
        <v/>
      </c>
      <c r="J70" s="146"/>
      <c r="K70" s="520" t="str">
        <f>IF(J70="","",IF(VLOOKUP(J70,'G-3 Multipliers'!$L$3:$N$6,2,FALSE)=0,"Spatial Data Missing",VLOOKUP(J70,'G-3 Multipliers'!$L$3:$N$6,2,FALSE)))</f>
        <v/>
      </c>
      <c r="L70" s="524" t="str">
        <f>IF(J70="","",IF(VLOOKUP(J70,'G-3 Multipliers'!$L$3:$N$6,3,FALSE)=0,"Spatial Data Missing",VLOOKUP(J70,'G-3 Multipliers'!$L$3:$N$6,3,FALSE)))</f>
        <v/>
      </c>
      <c r="M70" s="197"/>
      <c r="N70" s="499" t="str">
        <f>IF(M70="","",IF(VLOOKUP(M70,'G-3 Multipliers'!$S$3:$T$6,2,FALSE)=0,"Spatial Data Missing ⚠",VLOOKUP(M70,'G-3 Multipliers'!$S$3:$T$6,2,FALSE)))</f>
        <v/>
      </c>
      <c r="O70" s="498" t="str">
        <f>IF(OR(D70="",H70=""),"",(INDEX('G-6 Hedgerow Data'!$E$3:$I$15,MATCH(D70,'G-6 Hedgerow Data'!$B$3:$B$15,0),MATCH(H70,'G-6 Hedgerow Data'!$E$2:$I$2,0))))</f>
        <v/>
      </c>
      <c r="P70" s="195"/>
      <c r="Q70" s="195"/>
      <c r="R70" s="507" t="str">
        <f t="shared" si="1"/>
        <v/>
      </c>
      <c r="S70" s="521" t="str">
        <f t="shared" si="2"/>
        <v/>
      </c>
      <c r="T70" s="522" t="str">
        <f t="shared" si="0"/>
        <v/>
      </c>
      <c r="U70" s="537" t="str">
        <f>IF(D70="","",VLOOKUP(D70,'G-6 Hedgerow Data'!$B$3:$AG$15,31,FALSE))</f>
        <v/>
      </c>
      <c r="V70" s="520" t="str">
        <f t="shared" si="3"/>
        <v/>
      </c>
      <c r="W70" s="520" t="str">
        <f t="shared" si="4"/>
        <v/>
      </c>
      <c r="X70" s="524" t="str">
        <f>IF(F70="","",VLOOKUP(U70,'G-3 Multipliers'!$P$3:$Q$6,2,FALSE))</f>
        <v/>
      </c>
      <c r="Y70" s="529" t="str">
        <f t="shared" si="5"/>
        <v/>
      </c>
      <c r="Z70" s="149"/>
      <c r="AA70" s="150"/>
      <c r="AG70" s="31" t="str">
        <f>IFERROR(INDEX('G-6 Hedgerow Data'!$BJ$3:$BJ$15,MATCH(D70,'G-6 Hedgerow Data'!$B$3:$B$15,0)),"")</f>
        <v/>
      </c>
    </row>
    <row r="71" spans="2:33" ht="13.8" x14ac:dyDescent="0.25">
      <c r="B71" s="103">
        <v>60</v>
      </c>
      <c r="C71" s="268"/>
      <c r="D71" s="82"/>
      <c r="E71" s="203"/>
      <c r="F71" s="498" t="str">
        <f>IF(D71="","",VLOOKUP(D71,'G-6 Hedgerow Data'!$B$2:$AG$15,2,FALSE))</f>
        <v/>
      </c>
      <c r="G71" s="524" t="str">
        <f>IF(D71="","",VLOOKUP(D71,'G-6 Hedgerow Data'!$B$2:$AG$15,3,FALSE))</f>
        <v/>
      </c>
      <c r="H71" s="72"/>
      <c r="I71" s="499" t="str">
        <f>IFERROR(IF(AND(F71="V.Low",OR(H71="Good",H71="Moderate")),"Error ▲",VLOOKUP(H71,'G-1 All Habitats'!$Z$2:$AA$9,2,FALSE)),"")</f>
        <v/>
      </c>
      <c r="J71" s="146"/>
      <c r="K71" s="520" t="str">
        <f>IF(J71="","",IF(VLOOKUP(J71,'G-3 Multipliers'!$L$3:$N$6,2,FALSE)=0,"Spatial Data Missing",VLOOKUP(J71,'G-3 Multipliers'!$L$3:$N$6,2,FALSE)))</f>
        <v/>
      </c>
      <c r="L71" s="524" t="str">
        <f>IF(J71="","",IF(VLOOKUP(J71,'G-3 Multipliers'!$L$3:$N$6,3,FALSE)=0,"Spatial Data Missing",VLOOKUP(J71,'G-3 Multipliers'!$L$3:$N$6,3,FALSE)))</f>
        <v/>
      </c>
      <c r="M71" s="197"/>
      <c r="N71" s="499" t="str">
        <f>IF(M71="","",IF(VLOOKUP(M71,'G-3 Multipliers'!$S$3:$T$6,2,FALSE)=0,"Spatial Data Missing ⚠",VLOOKUP(M71,'G-3 Multipliers'!$S$3:$T$6,2,FALSE)))</f>
        <v/>
      </c>
      <c r="O71" s="498" t="str">
        <f>IF(OR(D71="",H71=""),"",(INDEX('G-6 Hedgerow Data'!$E$3:$I$15,MATCH(D71,'G-6 Hedgerow Data'!$B$3:$B$15,0),MATCH(H71,'G-6 Hedgerow Data'!$E$2:$I$2,0))))</f>
        <v/>
      </c>
      <c r="P71" s="195"/>
      <c r="Q71" s="195"/>
      <c r="R71" s="507" t="str">
        <f t="shared" si="1"/>
        <v/>
      </c>
      <c r="S71" s="521" t="str">
        <f t="shared" si="2"/>
        <v/>
      </c>
      <c r="T71" s="522" t="str">
        <f t="shared" si="0"/>
        <v/>
      </c>
      <c r="U71" s="537" t="str">
        <f>IF(D71="","",VLOOKUP(D71,'G-6 Hedgerow Data'!$B$3:$AG$15,31,FALSE))</f>
        <v/>
      </c>
      <c r="V71" s="520" t="str">
        <f t="shared" si="3"/>
        <v/>
      </c>
      <c r="W71" s="520" t="str">
        <f t="shared" si="4"/>
        <v/>
      </c>
      <c r="X71" s="524" t="str">
        <f>IF(F71="","",VLOOKUP(U71,'G-3 Multipliers'!$P$3:$Q$6,2,FALSE))</f>
        <v/>
      </c>
      <c r="Y71" s="529" t="str">
        <f t="shared" si="5"/>
        <v/>
      </c>
      <c r="Z71" s="149"/>
      <c r="AA71" s="150"/>
      <c r="AG71" s="31" t="str">
        <f>IFERROR(INDEX('G-6 Hedgerow Data'!$BJ$3:$BJ$15,MATCH(D71,'G-6 Hedgerow Data'!$B$3:$B$15,0)),"")</f>
        <v/>
      </c>
    </row>
    <row r="72" spans="2:33" ht="13.8" x14ac:dyDescent="0.25">
      <c r="B72" s="103">
        <v>61</v>
      </c>
      <c r="C72" s="268"/>
      <c r="D72" s="82"/>
      <c r="E72" s="203"/>
      <c r="F72" s="498" t="str">
        <f>IF(D72="","",VLOOKUP(D72,'G-6 Hedgerow Data'!$B$2:$AG$15,2,FALSE))</f>
        <v/>
      </c>
      <c r="G72" s="524" t="str">
        <f>IF(D72="","",VLOOKUP(D72,'G-6 Hedgerow Data'!$B$2:$AG$15,3,FALSE))</f>
        <v/>
      </c>
      <c r="H72" s="72"/>
      <c r="I72" s="499" t="str">
        <f>IFERROR(IF(AND(F72="V.Low",OR(H72="Good",H72="Moderate")),"Error ▲",VLOOKUP(H72,'G-1 All Habitats'!$Z$2:$AA$9,2,FALSE)),"")</f>
        <v/>
      </c>
      <c r="J72" s="146"/>
      <c r="K72" s="520" t="str">
        <f>IF(J72="","",IF(VLOOKUP(J72,'G-3 Multipliers'!$L$3:$N$6,2,FALSE)=0,"Spatial Data Missing",VLOOKUP(J72,'G-3 Multipliers'!$L$3:$N$6,2,FALSE)))</f>
        <v/>
      </c>
      <c r="L72" s="524" t="str">
        <f>IF(J72="","",IF(VLOOKUP(J72,'G-3 Multipliers'!$L$3:$N$6,3,FALSE)=0,"Spatial Data Missing",VLOOKUP(J72,'G-3 Multipliers'!$L$3:$N$6,3,FALSE)))</f>
        <v/>
      </c>
      <c r="M72" s="197"/>
      <c r="N72" s="499" t="str">
        <f>IF(M72="","",IF(VLOOKUP(M72,'G-3 Multipliers'!$S$3:$T$6,2,FALSE)=0,"Spatial Data Missing ⚠",VLOOKUP(M72,'G-3 Multipliers'!$S$3:$T$6,2,FALSE)))</f>
        <v/>
      </c>
      <c r="O72" s="498" t="str">
        <f>IF(OR(D72="",H72=""),"",(INDEX('G-6 Hedgerow Data'!$E$3:$I$15,MATCH(D72,'G-6 Hedgerow Data'!$B$3:$B$15,0),MATCH(H72,'G-6 Hedgerow Data'!$E$2:$I$2,0))))</f>
        <v/>
      </c>
      <c r="P72" s="195"/>
      <c r="Q72" s="195"/>
      <c r="R72" s="507" t="str">
        <f t="shared" si="1"/>
        <v/>
      </c>
      <c r="S72" s="521" t="str">
        <f t="shared" si="2"/>
        <v/>
      </c>
      <c r="T72" s="522" t="str">
        <f t="shared" si="0"/>
        <v/>
      </c>
      <c r="U72" s="537" t="str">
        <f>IF(D72="","",VLOOKUP(D72,'G-6 Hedgerow Data'!$B$3:$AG$15,31,FALSE))</f>
        <v/>
      </c>
      <c r="V72" s="520" t="str">
        <f t="shared" si="3"/>
        <v/>
      </c>
      <c r="W72" s="520" t="str">
        <f t="shared" si="4"/>
        <v/>
      </c>
      <c r="X72" s="524" t="str">
        <f>IF(F72="","",VLOOKUP(U72,'G-3 Multipliers'!$P$3:$Q$6,2,FALSE))</f>
        <v/>
      </c>
      <c r="Y72" s="529" t="str">
        <f t="shared" si="5"/>
        <v/>
      </c>
      <c r="Z72" s="149"/>
      <c r="AA72" s="150"/>
      <c r="AG72" s="31" t="str">
        <f>IFERROR(INDEX('G-6 Hedgerow Data'!$BJ$3:$BJ$15,MATCH(D72,'G-6 Hedgerow Data'!$B$3:$B$15,0)),"")</f>
        <v/>
      </c>
    </row>
    <row r="73" spans="2:33" ht="13.8" x14ac:dyDescent="0.25">
      <c r="B73" s="103">
        <v>62</v>
      </c>
      <c r="C73" s="268"/>
      <c r="D73" s="82"/>
      <c r="E73" s="203"/>
      <c r="F73" s="498" t="str">
        <f>IF(D73="","",VLOOKUP(D73,'G-6 Hedgerow Data'!$B$2:$AG$15,2,FALSE))</f>
        <v/>
      </c>
      <c r="G73" s="524" t="str">
        <f>IF(D73="","",VLOOKUP(D73,'G-6 Hedgerow Data'!$B$2:$AG$15,3,FALSE))</f>
        <v/>
      </c>
      <c r="H73" s="72"/>
      <c r="I73" s="499" t="str">
        <f>IFERROR(IF(AND(F73="V.Low",OR(H73="Good",H73="Moderate")),"Error ▲",VLOOKUP(H73,'G-1 All Habitats'!$Z$2:$AA$9,2,FALSE)),"")</f>
        <v/>
      </c>
      <c r="J73" s="146"/>
      <c r="K73" s="520" t="str">
        <f>IF(J73="","",IF(VLOOKUP(J73,'G-3 Multipliers'!$L$3:$N$6,2,FALSE)=0,"Spatial Data Missing",VLOOKUP(J73,'G-3 Multipliers'!$L$3:$N$6,2,FALSE)))</f>
        <v/>
      </c>
      <c r="L73" s="524" t="str">
        <f>IF(J73="","",IF(VLOOKUP(J73,'G-3 Multipliers'!$L$3:$N$6,3,FALSE)=0,"Spatial Data Missing",VLOOKUP(J73,'G-3 Multipliers'!$L$3:$N$6,3,FALSE)))</f>
        <v/>
      </c>
      <c r="M73" s="197"/>
      <c r="N73" s="499" t="str">
        <f>IF(M73="","",IF(VLOOKUP(M73,'G-3 Multipliers'!$S$3:$T$6,2,FALSE)=0,"Spatial Data Missing ⚠",VLOOKUP(M73,'G-3 Multipliers'!$S$3:$T$6,2,FALSE)))</f>
        <v/>
      </c>
      <c r="O73" s="498" t="str">
        <f>IF(OR(D73="",H73=""),"",(INDEX('G-6 Hedgerow Data'!$E$3:$I$15,MATCH(D73,'G-6 Hedgerow Data'!$B$3:$B$15,0),MATCH(H73,'G-6 Hedgerow Data'!$E$2:$I$2,0))))</f>
        <v/>
      </c>
      <c r="P73" s="195"/>
      <c r="Q73" s="195"/>
      <c r="R73" s="507" t="str">
        <f t="shared" si="1"/>
        <v/>
      </c>
      <c r="S73" s="521" t="str">
        <f t="shared" si="2"/>
        <v/>
      </c>
      <c r="T73" s="522" t="str">
        <f t="shared" si="0"/>
        <v/>
      </c>
      <c r="U73" s="537" t="str">
        <f>IF(D73="","",VLOOKUP(D73,'G-6 Hedgerow Data'!$B$3:$AG$15,31,FALSE))</f>
        <v/>
      </c>
      <c r="V73" s="520" t="str">
        <f t="shared" si="3"/>
        <v/>
      </c>
      <c r="W73" s="520" t="str">
        <f t="shared" si="4"/>
        <v/>
      </c>
      <c r="X73" s="524" t="str">
        <f>IF(F73="","",VLOOKUP(U73,'G-3 Multipliers'!$P$3:$Q$6,2,FALSE))</f>
        <v/>
      </c>
      <c r="Y73" s="529" t="str">
        <f t="shared" si="5"/>
        <v/>
      </c>
      <c r="Z73" s="149"/>
      <c r="AA73" s="150"/>
      <c r="AG73" s="31" t="str">
        <f>IFERROR(INDEX('G-6 Hedgerow Data'!$BJ$3:$BJ$15,MATCH(D73,'G-6 Hedgerow Data'!$B$3:$B$15,0)),"")</f>
        <v/>
      </c>
    </row>
    <row r="74" spans="2:33" ht="13.8" x14ac:dyDescent="0.25">
      <c r="B74" s="103">
        <v>63</v>
      </c>
      <c r="C74" s="268"/>
      <c r="D74" s="82"/>
      <c r="E74" s="203"/>
      <c r="F74" s="498" t="str">
        <f>IF(D74="","",VLOOKUP(D74,'G-6 Hedgerow Data'!$B$2:$AG$15,2,FALSE))</f>
        <v/>
      </c>
      <c r="G74" s="524" t="str">
        <f>IF(D74="","",VLOOKUP(D74,'G-6 Hedgerow Data'!$B$2:$AG$15,3,FALSE))</f>
        <v/>
      </c>
      <c r="H74" s="72"/>
      <c r="I74" s="499" t="str">
        <f>IFERROR(IF(AND(F74="V.Low",OR(H74="Good",H74="Moderate")),"Error ▲",VLOOKUP(H74,'G-1 All Habitats'!$Z$2:$AA$9,2,FALSE)),"")</f>
        <v/>
      </c>
      <c r="J74" s="146"/>
      <c r="K74" s="520" t="str">
        <f>IF(J74="","",IF(VLOOKUP(J74,'G-3 Multipliers'!$L$3:$N$6,2,FALSE)=0,"Spatial Data Missing",VLOOKUP(J74,'G-3 Multipliers'!$L$3:$N$6,2,FALSE)))</f>
        <v/>
      </c>
      <c r="L74" s="524" t="str">
        <f>IF(J74="","",IF(VLOOKUP(J74,'G-3 Multipliers'!$L$3:$N$6,3,FALSE)=0,"Spatial Data Missing",VLOOKUP(J74,'G-3 Multipliers'!$L$3:$N$6,3,FALSE)))</f>
        <v/>
      </c>
      <c r="M74" s="197"/>
      <c r="N74" s="499" t="str">
        <f>IF(M74="","",IF(VLOOKUP(M74,'G-3 Multipliers'!$S$3:$T$6,2,FALSE)=0,"Spatial Data Missing ⚠",VLOOKUP(M74,'G-3 Multipliers'!$S$3:$T$6,2,FALSE)))</f>
        <v/>
      </c>
      <c r="O74" s="498" t="str">
        <f>IF(OR(D74="",H74=""),"",(INDEX('G-6 Hedgerow Data'!$E$3:$I$15,MATCH(D74,'G-6 Hedgerow Data'!$B$3:$B$15,0),MATCH(H74,'G-6 Hedgerow Data'!$E$2:$I$2,0))))</f>
        <v/>
      </c>
      <c r="P74" s="195"/>
      <c r="Q74" s="195"/>
      <c r="R74" s="507" t="str">
        <f t="shared" si="1"/>
        <v/>
      </c>
      <c r="S74" s="521" t="str">
        <f t="shared" si="2"/>
        <v/>
      </c>
      <c r="T74" s="522" t="str">
        <f t="shared" si="0"/>
        <v/>
      </c>
      <c r="U74" s="537" t="str">
        <f>IF(D74="","",VLOOKUP(D74,'G-6 Hedgerow Data'!$B$3:$AG$15,31,FALSE))</f>
        <v/>
      </c>
      <c r="V74" s="520" t="str">
        <f t="shared" si="3"/>
        <v/>
      </c>
      <c r="W74" s="520" t="str">
        <f t="shared" si="4"/>
        <v/>
      </c>
      <c r="X74" s="524" t="str">
        <f>IF(F74="","",VLOOKUP(U74,'G-3 Multipliers'!$P$3:$Q$6,2,FALSE))</f>
        <v/>
      </c>
      <c r="Y74" s="529" t="str">
        <f t="shared" si="5"/>
        <v/>
      </c>
      <c r="Z74" s="149"/>
      <c r="AA74" s="150"/>
      <c r="AG74" s="31" t="str">
        <f>IFERROR(INDEX('G-6 Hedgerow Data'!$BJ$3:$BJ$15,MATCH(D74,'G-6 Hedgerow Data'!$B$3:$B$15,0)),"")</f>
        <v/>
      </c>
    </row>
    <row r="75" spans="2:33" ht="13.8" x14ac:dyDescent="0.25">
      <c r="B75" s="103">
        <v>64</v>
      </c>
      <c r="C75" s="268"/>
      <c r="D75" s="82"/>
      <c r="E75" s="203"/>
      <c r="F75" s="498" t="str">
        <f>IF(D75="","",VLOOKUP(D75,'G-6 Hedgerow Data'!$B$2:$AG$15,2,FALSE))</f>
        <v/>
      </c>
      <c r="G75" s="524" t="str">
        <f>IF(D75="","",VLOOKUP(D75,'G-6 Hedgerow Data'!$B$2:$AG$15,3,FALSE))</f>
        <v/>
      </c>
      <c r="H75" s="72"/>
      <c r="I75" s="499" t="str">
        <f>IFERROR(IF(AND(F75="V.Low",OR(H75="Good",H75="Moderate")),"Error ▲",VLOOKUP(H75,'G-1 All Habitats'!$Z$2:$AA$9,2,FALSE)),"")</f>
        <v/>
      </c>
      <c r="J75" s="146"/>
      <c r="K75" s="520" t="str">
        <f>IF(J75="","",IF(VLOOKUP(J75,'G-3 Multipliers'!$L$3:$N$6,2,FALSE)=0,"Spatial Data Missing",VLOOKUP(J75,'G-3 Multipliers'!$L$3:$N$6,2,FALSE)))</f>
        <v/>
      </c>
      <c r="L75" s="524" t="str">
        <f>IF(J75="","",IF(VLOOKUP(J75,'G-3 Multipliers'!$L$3:$N$6,3,FALSE)=0,"Spatial Data Missing",VLOOKUP(J75,'G-3 Multipliers'!$L$3:$N$6,3,FALSE)))</f>
        <v/>
      </c>
      <c r="M75" s="197"/>
      <c r="N75" s="499" t="str">
        <f>IF(M75="","",IF(VLOOKUP(M75,'G-3 Multipliers'!$S$3:$T$6,2,FALSE)=0,"Spatial Data Missing ⚠",VLOOKUP(M75,'G-3 Multipliers'!$S$3:$T$6,2,FALSE)))</f>
        <v/>
      </c>
      <c r="O75" s="498" t="str">
        <f>IF(OR(D75="",H75=""),"",(INDEX('G-6 Hedgerow Data'!$E$3:$I$15,MATCH(D75,'G-6 Hedgerow Data'!$B$3:$B$15,0),MATCH(H75,'G-6 Hedgerow Data'!$E$2:$I$2,0))))</f>
        <v/>
      </c>
      <c r="P75" s="195"/>
      <c r="Q75" s="195"/>
      <c r="R75" s="507" t="str">
        <f t="shared" si="1"/>
        <v/>
      </c>
      <c r="S75" s="521" t="str">
        <f t="shared" si="2"/>
        <v/>
      </c>
      <c r="T75" s="522" t="str">
        <f t="shared" si="0"/>
        <v/>
      </c>
      <c r="U75" s="537" t="str">
        <f>IF(D75="","",VLOOKUP(D75,'G-6 Hedgerow Data'!$B$3:$AG$15,31,FALSE))</f>
        <v/>
      </c>
      <c r="V75" s="520" t="str">
        <f t="shared" si="3"/>
        <v/>
      </c>
      <c r="W75" s="520" t="str">
        <f t="shared" si="4"/>
        <v/>
      </c>
      <c r="X75" s="524" t="str">
        <f>IF(F75="","",VLOOKUP(U75,'G-3 Multipliers'!$P$3:$Q$6,2,FALSE))</f>
        <v/>
      </c>
      <c r="Y75" s="529" t="str">
        <f t="shared" si="5"/>
        <v/>
      </c>
      <c r="Z75" s="149"/>
      <c r="AA75" s="150"/>
      <c r="AG75" s="31" t="str">
        <f>IFERROR(INDEX('G-6 Hedgerow Data'!$BJ$3:$BJ$15,MATCH(D75,'G-6 Hedgerow Data'!$B$3:$B$15,0)),"")</f>
        <v/>
      </c>
    </row>
    <row r="76" spans="2:33" ht="13.8" x14ac:dyDescent="0.25">
      <c r="B76" s="103">
        <v>65</v>
      </c>
      <c r="C76" s="268"/>
      <c r="D76" s="82"/>
      <c r="E76" s="203"/>
      <c r="F76" s="498" t="str">
        <f>IF(D76="","",VLOOKUP(D76,'G-6 Hedgerow Data'!$B$2:$AG$15,2,FALSE))</f>
        <v/>
      </c>
      <c r="G76" s="524" t="str">
        <f>IF(D76="","",VLOOKUP(D76,'G-6 Hedgerow Data'!$B$2:$AG$15,3,FALSE))</f>
        <v/>
      </c>
      <c r="H76" s="72"/>
      <c r="I76" s="499" t="str">
        <f>IFERROR(IF(AND(F76="V.Low",OR(H76="Good",H76="Moderate")),"Error ▲",VLOOKUP(H76,'G-1 All Habitats'!$Z$2:$AA$9,2,FALSE)),"")</f>
        <v/>
      </c>
      <c r="J76" s="146"/>
      <c r="K76" s="520" t="str">
        <f>IF(J76="","",IF(VLOOKUP(J76,'G-3 Multipliers'!$L$3:$N$6,2,FALSE)=0,"Spatial Data Missing",VLOOKUP(J76,'G-3 Multipliers'!$L$3:$N$6,2,FALSE)))</f>
        <v/>
      </c>
      <c r="L76" s="524" t="str">
        <f>IF(J76="","",IF(VLOOKUP(J76,'G-3 Multipliers'!$L$3:$N$6,3,FALSE)=0,"Spatial Data Missing",VLOOKUP(J76,'G-3 Multipliers'!$L$3:$N$6,3,FALSE)))</f>
        <v/>
      </c>
      <c r="M76" s="197"/>
      <c r="N76" s="499" t="str">
        <f>IF(M76="","",IF(VLOOKUP(M76,'G-3 Multipliers'!$S$3:$T$6,2,FALSE)=0,"Spatial Data Missing ⚠",VLOOKUP(M76,'G-3 Multipliers'!$S$3:$T$6,2,FALSE)))</f>
        <v/>
      </c>
      <c r="O76" s="498" t="str">
        <f>IF(OR(D76="",H76=""),"",(INDEX('G-6 Hedgerow Data'!$E$3:$I$15,MATCH(D76,'G-6 Hedgerow Data'!$B$3:$B$15,0),MATCH(H76,'G-6 Hedgerow Data'!$E$2:$I$2,0))))</f>
        <v/>
      </c>
      <c r="P76" s="195"/>
      <c r="Q76" s="195"/>
      <c r="R76" s="507" t="str">
        <f t="shared" si="1"/>
        <v/>
      </c>
      <c r="S76" s="521" t="str">
        <f t="shared" si="2"/>
        <v/>
      </c>
      <c r="T76" s="522" t="str">
        <f t="shared" ref="T76:T139" si="6">IF(D76="","",IF(LEFT(R76,5)="Error ▲","Check Data ⚠",VLOOKUP(S76,TemporalMultipliers,3,FALSE)))</f>
        <v/>
      </c>
      <c r="U76" s="537" t="str">
        <f>IF(D76="","",VLOOKUP(D76,'G-6 Hedgerow Data'!$B$3:$AG$15,31,FALSE))</f>
        <v/>
      </c>
      <c r="V76" s="520" t="str">
        <f t="shared" si="3"/>
        <v/>
      </c>
      <c r="W76" s="520" t="str">
        <f t="shared" si="4"/>
        <v/>
      </c>
      <c r="X76" s="524" t="str">
        <f>IF(F76="","",VLOOKUP(U76,'G-3 Multipliers'!$P$3:$Q$6,2,FALSE))</f>
        <v/>
      </c>
      <c r="Y76" s="529" t="str">
        <f t="shared" si="5"/>
        <v/>
      </c>
      <c r="Z76" s="149"/>
      <c r="AA76" s="150"/>
      <c r="AG76" s="31" t="str">
        <f>IFERROR(INDEX('G-6 Hedgerow Data'!$BJ$3:$BJ$15,MATCH(D76,'G-6 Hedgerow Data'!$B$3:$B$15,0)),"")</f>
        <v/>
      </c>
    </row>
    <row r="77" spans="2:33" ht="13.8" x14ac:dyDescent="0.25">
      <c r="B77" s="103">
        <v>66</v>
      </c>
      <c r="C77" s="268"/>
      <c r="D77" s="82"/>
      <c r="E77" s="203"/>
      <c r="F77" s="498" t="str">
        <f>IF(D77="","",VLOOKUP(D77,'G-6 Hedgerow Data'!$B$2:$AG$15,2,FALSE))</f>
        <v/>
      </c>
      <c r="G77" s="524" t="str">
        <f>IF(D77="","",VLOOKUP(D77,'G-6 Hedgerow Data'!$B$2:$AG$15,3,FALSE))</f>
        <v/>
      </c>
      <c r="H77" s="72"/>
      <c r="I77" s="499" t="str">
        <f>IFERROR(IF(AND(F77="V.Low",OR(H77="Good",H77="Moderate")),"Error ▲",VLOOKUP(H77,'G-1 All Habitats'!$Z$2:$AA$9,2,FALSE)),"")</f>
        <v/>
      </c>
      <c r="J77" s="146"/>
      <c r="K77" s="520" t="str">
        <f>IF(J77="","",IF(VLOOKUP(J77,'G-3 Multipliers'!$L$3:$N$6,2,FALSE)=0,"Spatial Data Missing",VLOOKUP(J77,'G-3 Multipliers'!$L$3:$N$6,2,FALSE)))</f>
        <v/>
      </c>
      <c r="L77" s="524" t="str">
        <f>IF(J77="","",IF(VLOOKUP(J77,'G-3 Multipliers'!$L$3:$N$6,3,FALSE)=0,"Spatial Data Missing",VLOOKUP(J77,'G-3 Multipliers'!$L$3:$N$6,3,FALSE)))</f>
        <v/>
      </c>
      <c r="M77" s="197"/>
      <c r="N77" s="499" t="str">
        <f>IF(M77="","",IF(VLOOKUP(M77,'G-3 Multipliers'!$S$3:$T$6,2,FALSE)=0,"Spatial Data Missing ⚠",VLOOKUP(M77,'G-3 Multipliers'!$S$3:$T$6,2,FALSE)))</f>
        <v/>
      </c>
      <c r="O77" s="498" t="str">
        <f>IF(OR(D77="",H77=""),"",(INDEX('G-6 Hedgerow Data'!$E$3:$I$15,MATCH(D77,'G-6 Hedgerow Data'!$B$3:$B$15,0),MATCH(H77,'G-6 Hedgerow Data'!$E$2:$I$2,0))))</f>
        <v/>
      </c>
      <c r="P77" s="195"/>
      <c r="Q77" s="195"/>
      <c r="R77" s="507" t="str">
        <f t="shared" ref="R77:R140" si="7">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1" t="str">
        <f t="shared" ref="S77:S140" si="8">IF(O77="","",IF(LEFT(R77,5)="Error ▲","Check Data ⚠",IF(OR(P77="30+",P77="Habitat already in target condition"),0,IF(Q77="30+","30+",IF(AND(O77="30+",OR(P77="",P77=0)),"30+ ⚠",IF(AND(O77="30+",P77&gt;0),32-P77,IF(O77+Q77&gt;30,"30+ ⚠",IF(O77+Q77-P77&gt;0,O77+Q77-P77,IF(O77-P77&lt;0,0,O77+Q77-P77)))))))))</f>
        <v/>
      </c>
      <c r="T77" s="522" t="str">
        <f t="shared" si="6"/>
        <v/>
      </c>
      <c r="U77" s="537" t="str">
        <f>IF(D77="","",VLOOKUP(D77,'G-6 Hedgerow Data'!$B$3:$AG$15,31,FALSE))</f>
        <v/>
      </c>
      <c r="V77" s="520" t="str">
        <f t="shared" ref="V77:V140" si="9">IF(D77="","",IF(S77="Check Data ⚠","Check Data ⚠",IF(H77="","",IF($R77="Check details - Is there evidence that habitat has reached target condition? ⚠","Low Difficulty - only applicable if all habitat created before losses","Standard difficulty applied"))))</f>
        <v/>
      </c>
      <c r="W77" s="520" t="str">
        <f t="shared" ref="W77:W140" si="10">(IF(AND(V77="Standard difficulty applied",O77&gt;P77),U77,IF(AND(V77="Low Difficulty - only applicable if all habitat created before losses",P77&gt;=O77),"Low",U77)))</f>
        <v/>
      </c>
      <c r="X77" s="524" t="str">
        <f>IF(F77="","",VLOOKUP(U77,'G-3 Multipliers'!$P$3:$Q$6,2,FALSE))</f>
        <v/>
      </c>
      <c r="Y77" s="529" t="str">
        <f t="shared" ref="Y77:Y140" si="11">IFERROR(E77*G77*I77*L77*T77*X77*N77,"")</f>
        <v/>
      </c>
      <c r="Z77" s="149"/>
      <c r="AA77" s="150"/>
      <c r="AG77" s="31" t="str">
        <f>IFERROR(INDEX('G-6 Hedgerow Data'!$BJ$3:$BJ$15,MATCH(D77,'G-6 Hedgerow Data'!$B$3:$B$15,0)),"")</f>
        <v/>
      </c>
    </row>
    <row r="78" spans="2:33" ht="13.8" x14ac:dyDescent="0.25">
      <c r="B78" s="103">
        <v>67</v>
      </c>
      <c r="C78" s="268"/>
      <c r="D78" s="82"/>
      <c r="E78" s="203"/>
      <c r="F78" s="498" t="str">
        <f>IF(D78="","",VLOOKUP(D78,'G-6 Hedgerow Data'!$B$2:$AG$15,2,FALSE))</f>
        <v/>
      </c>
      <c r="G78" s="524" t="str">
        <f>IF(D78="","",VLOOKUP(D78,'G-6 Hedgerow Data'!$B$2:$AG$15,3,FALSE))</f>
        <v/>
      </c>
      <c r="H78" s="72"/>
      <c r="I78" s="499" t="str">
        <f>IFERROR(IF(AND(F78="V.Low",OR(H78="Good",H78="Moderate")),"Error ▲",VLOOKUP(H78,'G-1 All Habitats'!$Z$2:$AA$9,2,FALSE)),"")</f>
        <v/>
      </c>
      <c r="J78" s="146"/>
      <c r="K78" s="520" t="str">
        <f>IF(J78="","",IF(VLOOKUP(J78,'G-3 Multipliers'!$L$3:$N$6,2,FALSE)=0,"Spatial Data Missing",VLOOKUP(J78,'G-3 Multipliers'!$L$3:$N$6,2,FALSE)))</f>
        <v/>
      </c>
      <c r="L78" s="524" t="str">
        <f>IF(J78="","",IF(VLOOKUP(J78,'G-3 Multipliers'!$L$3:$N$6,3,FALSE)=0,"Spatial Data Missing",VLOOKUP(J78,'G-3 Multipliers'!$L$3:$N$6,3,FALSE)))</f>
        <v/>
      </c>
      <c r="M78" s="197"/>
      <c r="N78" s="499" t="str">
        <f>IF(M78="","",IF(VLOOKUP(M78,'G-3 Multipliers'!$S$3:$T$6,2,FALSE)=0,"Spatial Data Missing ⚠",VLOOKUP(M78,'G-3 Multipliers'!$S$3:$T$6,2,FALSE)))</f>
        <v/>
      </c>
      <c r="O78" s="498" t="str">
        <f>IF(OR(D78="",H78=""),"",(INDEX('G-6 Hedgerow Data'!$E$3:$I$15,MATCH(D78,'G-6 Hedgerow Data'!$B$3:$B$15,0),MATCH(H78,'G-6 Hedgerow Data'!$E$2:$I$2,0))))</f>
        <v/>
      </c>
      <c r="P78" s="195"/>
      <c r="Q78" s="195"/>
      <c r="R78" s="507" t="str">
        <f t="shared" si="7"/>
        <v/>
      </c>
      <c r="S78" s="521" t="str">
        <f t="shared" si="8"/>
        <v/>
      </c>
      <c r="T78" s="522" t="str">
        <f t="shared" si="6"/>
        <v/>
      </c>
      <c r="U78" s="537" t="str">
        <f>IF(D78="","",VLOOKUP(D78,'G-6 Hedgerow Data'!$B$3:$AG$15,31,FALSE))</f>
        <v/>
      </c>
      <c r="V78" s="520" t="str">
        <f t="shared" si="9"/>
        <v/>
      </c>
      <c r="W78" s="520" t="str">
        <f t="shared" si="10"/>
        <v/>
      </c>
      <c r="X78" s="524" t="str">
        <f>IF(F78="","",VLOOKUP(U78,'G-3 Multipliers'!$P$3:$Q$6,2,FALSE))</f>
        <v/>
      </c>
      <c r="Y78" s="529" t="str">
        <f t="shared" si="11"/>
        <v/>
      </c>
      <c r="Z78" s="149"/>
      <c r="AA78" s="150"/>
      <c r="AG78" s="31" t="str">
        <f>IFERROR(INDEX('G-6 Hedgerow Data'!$BJ$3:$BJ$15,MATCH(D78,'G-6 Hedgerow Data'!$B$3:$B$15,0)),"")</f>
        <v/>
      </c>
    </row>
    <row r="79" spans="2:33" ht="13.8" x14ac:dyDescent="0.25">
      <c r="B79" s="103">
        <v>68</v>
      </c>
      <c r="C79" s="268"/>
      <c r="D79" s="82"/>
      <c r="E79" s="203"/>
      <c r="F79" s="498" t="str">
        <f>IF(D79="","",VLOOKUP(D79,'G-6 Hedgerow Data'!$B$2:$AG$15,2,FALSE))</f>
        <v/>
      </c>
      <c r="G79" s="524" t="str">
        <f>IF(D79="","",VLOOKUP(D79,'G-6 Hedgerow Data'!$B$2:$AG$15,3,FALSE))</f>
        <v/>
      </c>
      <c r="H79" s="72"/>
      <c r="I79" s="499" t="str">
        <f>IFERROR(IF(AND(F79="V.Low",OR(H79="Good",H79="Moderate")),"Error ▲",VLOOKUP(H79,'G-1 All Habitats'!$Z$2:$AA$9,2,FALSE)),"")</f>
        <v/>
      </c>
      <c r="J79" s="146"/>
      <c r="K79" s="520" t="str">
        <f>IF(J79="","",IF(VLOOKUP(J79,'G-3 Multipliers'!$L$3:$N$6,2,FALSE)=0,"Spatial Data Missing",VLOOKUP(J79,'G-3 Multipliers'!$L$3:$N$6,2,FALSE)))</f>
        <v/>
      </c>
      <c r="L79" s="524" t="str">
        <f>IF(J79="","",IF(VLOOKUP(J79,'G-3 Multipliers'!$L$3:$N$6,3,FALSE)=0,"Spatial Data Missing",VLOOKUP(J79,'G-3 Multipliers'!$L$3:$N$6,3,FALSE)))</f>
        <v/>
      </c>
      <c r="M79" s="197"/>
      <c r="N79" s="499" t="str">
        <f>IF(M79="","",IF(VLOOKUP(M79,'G-3 Multipliers'!$S$3:$T$6,2,FALSE)=0,"Spatial Data Missing ⚠",VLOOKUP(M79,'G-3 Multipliers'!$S$3:$T$6,2,FALSE)))</f>
        <v/>
      </c>
      <c r="O79" s="498" t="str">
        <f>IF(OR(D79="",H79=""),"",(INDEX('G-6 Hedgerow Data'!$E$3:$I$15,MATCH(D79,'G-6 Hedgerow Data'!$B$3:$B$15,0),MATCH(H79,'G-6 Hedgerow Data'!$E$2:$I$2,0))))</f>
        <v/>
      </c>
      <c r="P79" s="195"/>
      <c r="Q79" s="195"/>
      <c r="R79" s="507" t="str">
        <f t="shared" si="7"/>
        <v/>
      </c>
      <c r="S79" s="521" t="str">
        <f t="shared" si="8"/>
        <v/>
      </c>
      <c r="T79" s="522" t="str">
        <f t="shared" si="6"/>
        <v/>
      </c>
      <c r="U79" s="537" t="str">
        <f>IF(D79="","",VLOOKUP(D79,'G-6 Hedgerow Data'!$B$3:$AG$15,31,FALSE))</f>
        <v/>
      </c>
      <c r="V79" s="520" t="str">
        <f t="shared" si="9"/>
        <v/>
      </c>
      <c r="W79" s="520" t="str">
        <f t="shared" si="10"/>
        <v/>
      </c>
      <c r="X79" s="524" t="str">
        <f>IF(F79="","",VLOOKUP(U79,'G-3 Multipliers'!$P$3:$Q$6,2,FALSE))</f>
        <v/>
      </c>
      <c r="Y79" s="529" t="str">
        <f t="shared" si="11"/>
        <v/>
      </c>
      <c r="Z79" s="149"/>
      <c r="AA79" s="150"/>
      <c r="AG79" s="31" t="str">
        <f>IFERROR(INDEX('G-6 Hedgerow Data'!$BJ$3:$BJ$15,MATCH(D79,'G-6 Hedgerow Data'!$B$3:$B$15,0)),"")</f>
        <v/>
      </c>
    </row>
    <row r="80" spans="2:33" ht="13.8" x14ac:dyDescent="0.25">
      <c r="B80" s="103">
        <v>69</v>
      </c>
      <c r="C80" s="268"/>
      <c r="D80" s="82"/>
      <c r="E80" s="203"/>
      <c r="F80" s="498" t="str">
        <f>IF(D80="","",VLOOKUP(D80,'G-6 Hedgerow Data'!$B$2:$AG$15,2,FALSE))</f>
        <v/>
      </c>
      <c r="G80" s="524" t="str">
        <f>IF(D80="","",VLOOKUP(D80,'G-6 Hedgerow Data'!$B$2:$AG$15,3,FALSE))</f>
        <v/>
      </c>
      <c r="H80" s="72"/>
      <c r="I80" s="499" t="str">
        <f>IFERROR(IF(AND(F80="V.Low",OR(H80="Good",H80="Moderate")),"Error ▲",VLOOKUP(H80,'G-1 All Habitats'!$Z$2:$AA$9,2,FALSE)),"")</f>
        <v/>
      </c>
      <c r="J80" s="146"/>
      <c r="K80" s="520" t="str">
        <f>IF(J80="","",IF(VLOOKUP(J80,'G-3 Multipliers'!$L$3:$N$6,2,FALSE)=0,"Spatial Data Missing",VLOOKUP(J80,'G-3 Multipliers'!$L$3:$N$6,2,FALSE)))</f>
        <v/>
      </c>
      <c r="L80" s="524" t="str">
        <f>IF(J80="","",IF(VLOOKUP(J80,'G-3 Multipliers'!$L$3:$N$6,3,FALSE)=0,"Spatial Data Missing",VLOOKUP(J80,'G-3 Multipliers'!$L$3:$N$6,3,FALSE)))</f>
        <v/>
      </c>
      <c r="M80" s="197"/>
      <c r="N80" s="499" t="str">
        <f>IF(M80="","",IF(VLOOKUP(M80,'G-3 Multipliers'!$S$3:$T$6,2,FALSE)=0,"Spatial Data Missing ⚠",VLOOKUP(M80,'G-3 Multipliers'!$S$3:$T$6,2,FALSE)))</f>
        <v/>
      </c>
      <c r="O80" s="498" t="str">
        <f>IF(OR(D80="",H80=""),"",(INDEX('G-6 Hedgerow Data'!$E$3:$I$15,MATCH(D80,'G-6 Hedgerow Data'!$B$3:$B$15,0),MATCH(H80,'G-6 Hedgerow Data'!$E$2:$I$2,0))))</f>
        <v/>
      </c>
      <c r="P80" s="195"/>
      <c r="Q80" s="195"/>
      <c r="R80" s="507" t="str">
        <f t="shared" si="7"/>
        <v/>
      </c>
      <c r="S80" s="521" t="str">
        <f t="shared" si="8"/>
        <v/>
      </c>
      <c r="T80" s="522" t="str">
        <f t="shared" si="6"/>
        <v/>
      </c>
      <c r="U80" s="537" t="str">
        <f>IF(D80="","",VLOOKUP(D80,'G-6 Hedgerow Data'!$B$3:$AG$15,31,FALSE))</f>
        <v/>
      </c>
      <c r="V80" s="520" t="str">
        <f t="shared" si="9"/>
        <v/>
      </c>
      <c r="W80" s="520" t="str">
        <f t="shared" si="10"/>
        <v/>
      </c>
      <c r="X80" s="524" t="str">
        <f>IF(F80="","",VLOOKUP(U80,'G-3 Multipliers'!$P$3:$Q$6,2,FALSE))</f>
        <v/>
      </c>
      <c r="Y80" s="529" t="str">
        <f t="shared" si="11"/>
        <v/>
      </c>
      <c r="Z80" s="149"/>
      <c r="AA80" s="150"/>
      <c r="AG80" s="31" t="str">
        <f>IFERROR(INDEX('G-6 Hedgerow Data'!$BJ$3:$BJ$15,MATCH(D80,'G-6 Hedgerow Data'!$B$3:$B$15,0)),"")</f>
        <v/>
      </c>
    </row>
    <row r="81" spans="2:33" ht="13.8" x14ac:dyDescent="0.25">
      <c r="B81" s="103">
        <v>70</v>
      </c>
      <c r="C81" s="268"/>
      <c r="D81" s="82"/>
      <c r="E81" s="203"/>
      <c r="F81" s="498" t="str">
        <f>IF(D81="","",VLOOKUP(D81,'G-6 Hedgerow Data'!$B$2:$AG$15,2,FALSE))</f>
        <v/>
      </c>
      <c r="G81" s="524" t="str">
        <f>IF(D81="","",VLOOKUP(D81,'G-6 Hedgerow Data'!$B$2:$AG$15,3,FALSE))</f>
        <v/>
      </c>
      <c r="H81" s="72"/>
      <c r="I81" s="499" t="str">
        <f>IFERROR(IF(AND(F81="V.Low",OR(H81="Good",H81="Moderate")),"Error ▲",VLOOKUP(H81,'G-1 All Habitats'!$Z$2:$AA$9,2,FALSE)),"")</f>
        <v/>
      </c>
      <c r="J81" s="146"/>
      <c r="K81" s="520" t="str">
        <f>IF(J81="","",IF(VLOOKUP(J81,'G-3 Multipliers'!$L$3:$N$6,2,FALSE)=0,"Spatial Data Missing",VLOOKUP(J81,'G-3 Multipliers'!$L$3:$N$6,2,FALSE)))</f>
        <v/>
      </c>
      <c r="L81" s="524" t="str">
        <f>IF(J81="","",IF(VLOOKUP(J81,'G-3 Multipliers'!$L$3:$N$6,3,FALSE)=0,"Spatial Data Missing",VLOOKUP(J81,'G-3 Multipliers'!$L$3:$N$6,3,FALSE)))</f>
        <v/>
      </c>
      <c r="M81" s="197"/>
      <c r="N81" s="499" t="str">
        <f>IF(M81="","",IF(VLOOKUP(M81,'G-3 Multipliers'!$S$3:$T$6,2,FALSE)=0,"Spatial Data Missing ⚠",VLOOKUP(M81,'G-3 Multipliers'!$S$3:$T$6,2,FALSE)))</f>
        <v/>
      </c>
      <c r="O81" s="498" t="str">
        <f>IF(OR(D81="",H81=""),"",(INDEX('G-6 Hedgerow Data'!$E$3:$I$15,MATCH(D81,'G-6 Hedgerow Data'!$B$3:$B$15,0),MATCH(H81,'G-6 Hedgerow Data'!$E$2:$I$2,0))))</f>
        <v/>
      </c>
      <c r="P81" s="195"/>
      <c r="Q81" s="195"/>
      <c r="R81" s="507" t="str">
        <f t="shared" si="7"/>
        <v/>
      </c>
      <c r="S81" s="521" t="str">
        <f t="shared" si="8"/>
        <v/>
      </c>
      <c r="T81" s="522" t="str">
        <f t="shared" si="6"/>
        <v/>
      </c>
      <c r="U81" s="537" t="str">
        <f>IF(D81="","",VLOOKUP(D81,'G-6 Hedgerow Data'!$B$3:$AG$15,31,FALSE))</f>
        <v/>
      </c>
      <c r="V81" s="520" t="str">
        <f t="shared" si="9"/>
        <v/>
      </c>
      <c r="W81" s="520" t="str">
        <f t="shared" si="10"/>
        <v/>
      </c>
      <c r="X81" s="524" t="str">
        <f>IF(F81="","",VLOOKUP(U81,'G-3 Multipliers'!$P$3:$Q$6,2,FALSE))</f>
        <v/>
      </c>
      <c r="Y81" s="529" t="str">
        <f t="shared" si="11"/>
        <v/>
      </c>
      <c r="Z81" s="149"/>
      <c r="AA81" s="150"/>
      <c r="AG81" s="31" t="str">
        <f>IFERROR(INDEX('G-6 Hedgerow Data'!$BJ$3:$BJ$15,MATCH(D81,'G-6 Hedgerow Data'!$B$3:$B$15,0)),"")</f>
        <v/>
      </c>
    </row>
    <row r="82" spans="2:33" ht="13.8" x14ac:dyDescent="0.25">
      <c r="B82" s="103">
        <v>71</v>
      </c>
      <c r="C82" s="268"/>
      <c r="D82" s="82"/>
      <c r="E82" s="203"/>
      <c r="F82" s="498" t="str">
        <f>IF(D82="","",VLOOKUP(D82,'G-6 Hedgerow Data'!$B$2:$AG$15,2,FALSE))</f>
        <v/>
      </c>
      <c r="G82" s="524" t="str">
        <f>IF(D82="","",VLOOKUP(D82,'G-6 Hedgerow Data'!$B$2:$AG$15,3,FALSE))</f>
        <v/>
      </c>
      <c r="H82" s="72"/>
      <c r="I82" s="499" t="str">
        <f>IFERROR(IF(AND(F82="V.Low",OR(H82="Good",H82="Moderate")),"Error ▲",VLOOKUP(H82,'G-1 All Habitats'!$Z$2:$AA$9,2,FALSE)),"")</f>
        <v/>
      </c>
      <c r="J82" s="146"/>
      <c r="K82" s="520" t="str">
        <f>IF(J82="","",IF(VLOOKUP(J82,'G-3 Multipliers'!$L$3:$N$6,2,FALSE)=0,"Spatial Data Missing",VLOOKUP(J82,'G-3 Multipliers'!$L$3:$N$6,2,FALSE)))</f>
        <v/>
      </c>
      <c r="L82" s="524" t="str">
        <f>IF(J82="","",IF(VLOOKUP(J82,'G-3 Multipliers'!$L$3:$N$6,3,FALSE)=0,"Spatial Data Missing",VLOOKUP(J82,'G-3 Multipliers'!$L$3:$N$6,3,FALSE)))</f>
        <v/>
      </c>
      <c r="M82" s="197"/>
      <c r="N82" s="499" t="str">
        <f>IF(M82="","",IF(VLOOKUP(M82,'G-3 Multipliers'!$S$3:$T$6,2,FALSE)=0,"Spatial Data Missing ⚠",VLOOKUP(M82,'G-3 Multipliers'!$S$3:$T$6,2,FALSE)))</f>
        <v/>
      </c>
      <c r="O82" s="498" t="str">
        <f>IF(OR(D82="",H82=""),"",(INDEX('G-6 Hedgerow Data'!$E$3:$I$15,MATCH(D82,'G-6 Hedgerow Data'!$B$3:$B$15,0),MATCH(H82,'G-6 Hedgerow Data'!$E$2:$I$2,0))))</f>
        <v/>
      </c>
      <c r="P82" s="195"/>
      <c r="Q82" s="195"/>
      <c r="R82" s="507" t="str">
        <f t="shared" si="7"/>
        <v/>
      </c>
      <c r="S82" s="521" t="str">
        <f t="shared" si="8"/>
        <v/>
      </c>
      <c r="T82" s="522" t="str">
        <f t="shared" si="6"/>
        <v/>
      </c>
      <c r="U82" s="537" t="str">
        <f>IF(D82="","",VLOOKUP(D82,'G-6 Hedgerow Data'!$B$3:$AG$15,31,FALSE))</f>
        <v/>
      </c>
      <c r="V82" s="520" t="str">
        <f t="shared" si="9"/>
        <v/>
      </c>
      <c r="W82" s="520" t="str">
        <f t="shared" si="10"/>
        <v/>
      </c>
      <c r="X82" s="524" t="str">
        <f>IF(F82="","",VLOOKUP(U82,'G-3 Multipliers'!$P$3:$Q$6,2,FALSE))</f>
        <v/>
      </c>
      <c r="Y82" s="529" t="str">
        <f t="shared" si="11"/>
        <v/>
      </c>
      <c r="Z82" s="149"/>
      <c r="AA82" s="150"/>
      <c r="AG82" s="31" t="str">
        <f>IFERROR(INDEX('G-6 Hedgerow Data'!$BJ$3:$BJ$15,MATCH(D82,'G-6 Hedgerow Data'!$B$3:$B$15,0)),"")</f>
        <v/>
      </c>
    </row>
    <row r="83" spans="2:33" ht="13.8" x14ac:dyDescent="0.25">
      <c r="B83" s="103">
        <v>72</v>
      </c>
      <c r="C83" s="268"/>
      <c r="D83" s="82"/>
      <c r="E83" s="203"/>
      <c r="F83" s="498" t="str">
        <f>IF(D83="","",VLOOKUP(D83,'G-6 Hedgerow Data'!$B$2:$AG$15,2,FALSE))</f>
        <v/>
      </c>
      <c r="G83" s="524" t="str">
        <f>IF(D83="","",VLOOKUP(D83,'G-6 Hedgerow Data'!$B$2:$AG$15,3,FALSE))</f>
        <v/>
      </c>
      <c r="H83" s="72"/>
      <c r="I83" s="499" t="str">
        <f>IFERROR(IF(AND(F83="V.Low",OR(H83="Good",H83="Moderate")),"Error ▲",VLOOKUP(H83,'G-1 All Habitats'!$Z$2:$AA$9,2,FALSE)),"")</f>
        <v/>
      </c>
      <c r="J83" s="146"/>
      <c r="K83" s="520" t="str">
        <f>IF(J83="","",IF(VLOOKUP(J83,'G-3 Multipliers'!$L$3:$N$6,2,FALSE)=0,"Spatial Data Missing",VLOOKUP(J83,'G-3 Multipliers'!$L$3:$N$6,2,FALSE)))</f>
        <v/>
      </c>
      <c r="L83" s="524" t="str">
        <f>IF(J83="","",IF(VLOOKUP(J83,'G-3 Multipliers'!$L$3:$N$6,3,FALSE)=0,"Spatial Data Missing",VLOOKUP(J83,'G-3 Multipliers'!$L$3:$N$6,3,FALSE)))</f>
        <v/>
      </c>
      <c r="M83" s="197"/>
      <c r="N83" s="499" t="str">
        <f>IF(M83="","",IF(VLOOKUP(M83,'G-3 Multipliers'!$S$3:$T$6,2,FALSE)=0,"Spatial Data Missing ⚠",VLOOKUP(M83,'G-3 Multipliers'!$S$3:$T$6,2,FALSE)))</f>
        <v/>
      </c>
      <c r="O83" s="498" t="str">
        <f>IF(OR(D83="",H83=""),"",(INDEX('G-6 Hedgerow Data'!$E$3:$I$15,MATCH(D83,'G-6 Hedgerow Data'!$B$3:$B$15,0),MATCH(H83,'G-6 Hedgerow Data'!$E$2:$I$2,0))))</f>
        <v/>
      </c>
      <c r="P83" s="195"/>
      <c r="Q83" s="195"/>
      <c r="R83" s="507" t="str">
        <f t="shared" si="7"/>
        <v/>
      </c>
      <c r="S83" s="521" t="str">
        <f t="shared" si="8"/>
        <v/>
      </c>
      <c r="T83" s="522" t="str">
        <f t="shared" si="6"/>
        <v/>
      </c>
      <c r="U83" s="537" t="str">
        <f>IF(D83="","",VLOOKUP(D83,'G-6 Hedgerow Data'!$B$3:$AG$15,31,FALSE))</f>
        <v/>
      </c>
      <c r="V83" s="520" t="str">
        <f t="shared" si="9"/>
        <v/>
      </c>
      <c r="W83" s="520" t="str">
        <f t="shared" si="10"/>
        <v/>
      </c>
      <c r="X83" s="524" t="str">
        <f>IF(F83="","",VLOOKUP(U83,'G-3 Multipliers'!$P$3:$Q$6,2,FALSE))</f>
        <v/>
      </c>
      <c r="Y83" s="529" t="str">
        <f t="shared" si="11"/>
        <v/>
      </c>
      <c r="Z83" s="149"/>
      <c r="AA83" s="150"/>
      <c r="AG83" s="31" t="str">
        <f>IFERROR(INDEX('G-6 Hedgerow Data'!$BJ$3:$BJ$15,MATCH(D83,'G-6 Hedgerow Data'!$B$3:$B$15,0)),"")</f>
        <v/>
      </c>
    </row>
    <row r="84" spans="2:33" ht="13.8" x14ac:dyDescent="0.25">
      <c r="B84" s="103">
        <v>73</v>
      </c>
      <c r="C84" s="268"/>
      <c r="D84" s="82"/>
      <c r="E84" s="203"/>
      <c r="F84" s="498" t="str">
        <f>IF(D84="","",VLOOKUP(D84,'G-6 Hedgerow Data'!$B$2:$AG$15,2,FALSE))</f>
        <v/>
      </c>
      <c r="G84" s="524" t="str">
        <f>IF(D84="","",VLOOKUP(D84,'G-6 Hedgerow Data'!$B$2:$AG$15,3,FALSE))</f>
        <v/>
      </c>
      <c r="H84" s="72"/>
      <c r="I84" s="499" t="str">
        <f>IFERROR(IF(AND(F84="V.Low",OR(H84="Good",H84="Moderate")),"Error ▲",VLOOKUP(H84,'G-1 All Habitats'!$Z$2:$AA$9,2,FALSE)),"")</f>
        <v/>
      </c>
      <c r="J84" s="146"/>
      <c r="K84" s="520" t="str">
        <f>IF(J84="","",IF(VLOOKUP(J84,'G-3 Multipliers'!$L$3:$N$6,2,FALSE)=0,"Spatial Data Missing",VLOOKUP(J84,'G-3 Multipliers'!$L$3:$N$6,2,FALSE)))</f>
        <v/>
      </c>
      <c r="L84" s="524" t="str">
        <f>IF(J84="","",IF(VLOOKUP(J84,'G-3 Multipliers'!$L$3:$N$6,3,FALSE)=0,"Spatial Data Missing",VLOOKUP(J84,'G-3 Multipliers'!$L$3:$N$6,3,FALSE)))</f>
        <v/>
      </c>
      <c r="M84" s="197"/>
      <c r="N84" s="499" t="str">
        <f>IF(M84="","",IF(VLOOKUP(M84,'G-3 Multipliers'!$S$3:$T$6,2,FALSE)=0,"Spatial Data Missing ⚠",VLOOKUP(M84,'G-3 Multipliers'!$S$3:$T$6,2,FALSE)))</f>
        <v/>
      </c>
      <c r="O84" s="498" t="str">
        <f>IF(OR(D84="",H84=""),"",(INDEX('G-6 Hedgerow Data'!$E$3:$I$15,MATCH(D84,'G-6 Hedgerow Data'!$B$3:$B$15,0),MATCH(H84,'G-6 Hedgerow Data'!$E$2:$I$2,0))))</f>
        <v/>
      </c>
      <c r="P84" s="195"/>
      <c r="Q84" s="195"/>
      <c r="R84" s="507" t="str">
        <f t="shared" si="7"/>
        <v/>
      </c>
      <c r="S84" s="521" t="str">
        <f t="shared" si="8"/>
        <v/>
      </c>
      <c r="T84" s="522" t="str">
        <f t="shared" si="6"/>
        <v/>
      </c>
      <c r="U84" s="537" t="str">
        <f>IF(D84="","",VLOOKUP(D84,'G-6 Hedgerow Data'!$B$3:$AG$15,31,FALSE))</f>
        <v/>
      </c>
      <c r="V84" s="520" t="str">
        <f t="shared" si="9"/>
        <v/>
      </c>
      <c r="W84" s="520" t="str">
        <f t="shared" si="10"/>
        <v/>
      </c>
      <c r="X84" s="524" t="str">
        <f>IF(F84="","",VLOOKUP(U84,'G-3 Multipliers'!$P$3:$Q$6,2,FALSE))</f>
        <v/>
      </c>
      <c r="Y84" s="529" t="str">
        <f t="shared" si="11"/>
        <v/>
      </c>
      <c r="Z84" s="149"/>
      <c r="AA84" s="150"/>
      <c r="AG84" s="31" t="str">
        <f>IFERROR(INDEX('G-6 Hedgerow Data'!$BJ$3:$BJ$15,MATCH(D84,'G-6 Hedgerow Data'!$B$3:$B$15,0)),"")</f>
        <v/>
      </c>
    </row>
    <row r="85" spans="2:33" ht="13.8" x14ac:dyDescent="0.25">
      <c r="B85" s="103">
        <v>74</v>
      </c>
      <c r="C85" s="268"/>
      <c r="D85" s="82"/>
      <c r="E85" s="203"/>
      <c r="F85" s="498" t="str">
        <f>IF(D85="","",VLOOKUP(D85,'G-6 Hedgerow Data'!$B$2:$AG$15,2,FALSE))</f>
        <v/>
      </c>
      <c r="G85" s="524" t="str">
        <f>IF(D85="","",VLOOKUP(D85,'G-6 Hedgerow Data'!$B$2:$AG$15,3,FALSE))</f>
        <v/>
      </c>
      <c r="H85" s="72"/>
      <c r="I85" s="499" t="str">
        <f>IFERROR(IF(AND(F85="V.Low",OR(H85="Good",H85="Moderate")),"Error ▲",VLOOKUP(H85,'G-1 All Habitats'!$Z$2:$AA$9,2,FALSE)),"")</f>
        <v/>
      </c>
      <c r="J85" s="146"/>
      <c r="K85" s="520" t="str">
        <f>IF(J85="","",IF(VLOOKUP(J85,'G-3 Multipliers'!$L$3:$N$6,2,FALSE)=0,"Spatial Data Missing",VLOOKUP(J85,'G-3 Multipliers'!$L$3:$N$6,2,FALSE)))</f>
        <v/>
      </c>
      <c r="L85" s="524" t="str">
        <f>IF(J85="","",IF(VLOOKUP(J85,'G-3 Multipliers'!$L$3:$N$6,3,FALSE)=0,"Spatial Data Missing",VLOOKUP(J85,'G-3 Multipliers'!$L$3:$N$6,3,FALSE)))</f>
        <v/>
      </c>
      <c r="M85" s="197"/>
      <c r="N85" s="499" t="str">
        <f>IF(M85="","",IF(VLOOKUP(M85,'G-3 Multipliers'!$S$3:$T$6,2,FALSE)=0,"Spatial Data Missing ⚠",VLOOKUP(M85,'G-3 Multipliers'!$S$3:$T$6,2,FALSE)))</f>
        <v/>
      </c>
      <c r="O85" s="498" t="str">
        <f>IF(OR(D85="",H85=""),"",(INDEX('G-6 Hedgerow Data'!$E$3:$I$15,MATCH(D85,'G-6 Hedgerow Data'!$B$3:$B$15,0),MATCH(H85,'G-6 Hedgerow Data'!$E$2:$I$2,0))))</f>
        <v/>
      </c>
      <c r="P85" s="195"/>
      <c r="Q85" s="195"/>
      <c r="R85" s="507" t="str">
        <f t="shared" si="7"/>
        <v/>
      </c>
      <c r="S85" s="521" t="str">
        <f t="shared" si="8"/>
        <v/>
      </c>
      <c r="T85" s="522" t="str">
        <f t="shared" si="6"/>
        <v/>
      </c>
      <c r="U85" s="537" t="str">
        <f>IF(D85="","",VLOOKUP(D85,'G-6 Hedgerow Data'!$B$3:$AG$15,31,FALSE))</f>
        <v/>
      </c>
      <c r="V85" s="520" t="str">
        <f t="shared" si="9"/>
        <v/>
      </c>
      <c r="W85" s="520" t="str">
        <f t="shared" si="10"/>
        <v/>
      </c>
      <c r="X85" s="524" t="str">
        <f>IF(F85="","",VLOOKUP(U85,'G-3 Multipliers'!$P$3:$Q$6,2,FALSE))</f>
        <v/>
      </c>
      <c r="Y85" s="529" t="str">
        <f t="shared" si="11"/>
        <v/>
      </c>
      <c r="Z85" s="149"/>
      <c r="AA85" s="150"/>
      <c r="AG85" s="31" t="str">
        <f>IFERROR(INDEX('G-6 Hedgerow Data'!$BJ$3:$BJ$15,MATCH(D85,'G-6 Hedgerow Data'!$B$3:$B$15,0)),"")</f>
        <v/>
      </c>
    </row>
    <row r="86" spans="2:33" ht="13.8" x14ac:dyDescent="0.25">
      <c r="B86" s="103">
        <v>75</v>
      </c>
      <c r="C86" s="268"/>
      <c r="D86" s="82"/>
      <c r="E86" s="203"/>
      <c r="F86" s="498" t="str">
        <f>IF(D86="","",VLOOKUP(D86,'G-6 Hedgerow Data'!$B$2:$AG$15,2,FALSE))</f>
        <v/>
      </c>
      <c r="G86" s="524" t="str">
        <f>IF(D86="","",VLOOKUP(D86,'G-6 Hedgerow Data'!$B$2:$AG$15,3,FALSE))</f>
        <v/>
      </c>
      <c r="H86" s="72"/>
      <c r="I86" s="499" t="str">
        <f>IFERROR(IF(AND(F86="V.Low",OR(H86="Good",H86="Moderate")),"Error ▲",VLOOKUP(H86,'G-1 All Habitats'!$Z$2:$AA$9,2,FALSE)),"")</f>
        <v/>
      </c>
      <c r="J86" s="146"/>
      <c r="K86" s="520" t="str">
        <f>IF(J86="","",IF(VLOOKUP(J86,'G-3 Multipliers'!$L$3:$N$6,2,FALSE)=0,"Spatial Data Missing",VLOOKUP(J86,'G-3 Multipliers'!$L$3:$N$6,2,FALSE)))</f>
        <v/>
      </c>
      <c r="L86" s="524" t="str">
        <f>IF(J86="","",IF(VLOOKUP(J86,'G-3 Multipliers'!$L$3:$N$6,3,FALSE)=0,"Spatial Data Missing",VLOOKUP(J86,'G-3 Multipliers'!$L$3:$N$6,3,FALSE)))</f>
        <v/>
      </c>
      <c r="M86" s="197"/>
      <c r="N86" s="499" t="str">
        <f>IF(M86="","",IF(VLOOKUP(M86,'G-3 Multipliers'!$S$3:$T$6,2,FALSE)=0,"Spatial Data Missing ⚠",VLOOKUP(M86,'G-3 Multipliers'!$S$3:$T$6,2,FALSE)))</f>
        <v/>
      </c>
      <c r="O86" s="498" t="str">
        <f>IF(OR(D86="",H86=""),"",(INDEX('G-6 Hedgerow Data'!$E$3:$I$15,MATCH(D86,'G-6 Hedgerow Data'!$B$3:$B$15,0),MATCH(H86,'G-6 Hedgerow Data'!$E$2:$I$2,0))))</f>
        <v/>
      </c>
      <c r="P86" s="195"/>
      <c r="Q86" s="195"/>
      <c r="R86" s="507" t="str">
        <f t="shared" si="7"/>
        <v/>
      </c>
      <c r="S86" s="521" t="str">
        <f t="shared" si="8"/>
        <v/>
      </c>
      <c r="T86" s="522" t="str">
        <f t="shared" si="6"/>
        <v/>
      </c>
      <c r="U86" s="537" t="str">
        <f>IF(D86="","",VLOOKUP(D86,'G-6 Hedgerow Data'!$B$3:$AG$15,31,FALSE))</f>
        <v/>
      </c>
      <c r="V86" s="520" t="str">
        <f t="shared" si="9"/>
        <v/>
      </c>
      <c r="W86" s="520" t="str">
        <f t="shared" si="10"/>
        <v/>
      </c>
      <c r="X86" s="524" t="str">
        <f>IF(F86="","",VLOOKUP(U86,'G-3 Multipliers'!$P$3:$Q$6,2,FALSE))</f>
        <v/>
      </c>
      <c r="Y86" s="529" t="str">
        <f t="shared" si="11"/>
        <v/>
      </c>
      <c r="Z86" s="149"/>
      <c r="AA86" s="150"/>
      <c r="AG86" s="31" t="str">
        <f>IFERROR(INDEX('G-6 Hedgerow Data'!$BJ$3:$BJ$15,MATCH(D86,'G-6 Hedgerow Data'!$B$3:$B$15,0)),"")</f>
        <v/>
      </c>
    </row>
    <row r="87" spans="2:33" ht="13.8" x14ac:dyDescent="0.25">
      <c r="B87" s="103">
        <v>76</v>
      </c>
      <c r="C87" s="268"/>
      <c r="D87" s="82"/>
      <c r="E87" s="203"/>
      <c r="F87" s="498" t="str">
        <f>IF(D87="","",VLOOKUP(D87,'G-6 Hedgerow Data'!$B$2:$AG$15,2,FALSE))</f>
        <v/>
      </c>
      <c r="G87" s="524" t="str">
        <f>IF(D87="","",VLOOKUP(D87,'G-6 Hedgerow Data'!$B$2:$AG$15,3,FALSE))</f>
        <v/>
      </c>
      <c r="H87" s="72"/>
      <c r="I87" s="499" t="str">
        <f>IFERROR(IF(AND(F87="V.Low",OR(H87="Good",H87="Moderate")),"Error ▲",VLOOKUP(H87,'G-1 All Habitats'!$Z$2:$AA$9,2,FALSE)),"")</f>
        <v/>
      </c>
      <c r="J87" s="146"/>
      <c r="K87" s="520" t="str">
        <f>IF(J87="","",IF(VLOOKUP(J87,'G-3 Multipliers'!$L$3:$N$6,2,FALSE)=0,"Spatial Data Missing",VLOOKUP(J87,'G-3 Multipliers'!$L$3:$N$6,2,FALSE)))</f>
        <v/>
      </c>
      <c r="L87" s="524" t="str">
        <f>IF(J87="","",IF(VLOOKUP(J87,'G-3 Multipliers'!$L$3:$N$6,3,FALSE)=0,"Spatial Data Missing",VLOOKUP(J87,'G-3 Multipliers'!$L$3:$N$6,3,FALSE)))</f>
        <v/>
      </c>
      <c r="M87" s="197"/>
      <c r="N87" s="499" t="str">
        <f>IF(M87="","",IF(VLOOKUP(M87,'G-3 Multipliers'!$S$3:$T$6,2,FALSE)=0,"Spatial Data Missing ⚠",VLOOKUP(M87,'G-3 Multipliers'!$S$3:$T$6,2,FALSE)))</f>
        <v/>
      </c>
      <c r="O87" s="498" t="str">
        <f>IF(OR(D87="",H87=""),"",(INDEX('G-6 Hedgerow Data'!$E$3:$I$15,MATCH(D87,'G-6 Hedgerow Data'!$B$3:$B$15,0),MATCH(H87,'G-6 Hedgerow Data'!$E$2:$I$2,0))))</f>
        <v/>
      </c>
      <c r="P87" s="195"/>
      <c r="Q87" s="195"/>
      <c r="R87" s="507" t="str">
        <f t="shared" si="7"/>
        <v/>
      </c>
      <c r="S87" s="521" t="str">
        <f t="shared" si="8"/>
        <v/>
      </c>
      <c r="T87" s="522" t="str">
        <f t="shared" si="6"/>
        <v/>
      </c>
      <c r="U87" s="537" t="str">
        <f>IF(D87="","",VLOOKUP(D87,'G-6 Hedgerow Data'!$B$3:$AG$15,31,FALSE))</f>
        <v/>
      </c>
      <c r="V87" s="520" t="str">
        <f t="shared" si="9"/>
        <v/>
      </c>
      <c r="W87" s="520" t="str">
        <f t="shared" si="10"/>
        <v/>
      </c>
      <c r="X87" s="524" t="str">
        <f>IF(F87="","",VLOOKUP(U87,'G-3 Multipliers'!$P$3:$Q$6,2,FALSE))</f>
        <v/>
      </c>
      <c r="Y87" s="529" t="str">
        <f t="shared" si="11"/>
        <v/>
      </c>
      <c r="Z87" s="149"/>
      <c r="AA87" s="150"/>
      <c r="AG87" s="31" t="str">
        <f>IFERROR(INDEX('G-6 Hedgerow Data'!$BJ$3:$BJ$15,MATCH(D87,'G-6 Hedgerow Data'!$B$3:$B$15,0)),"")</f>
        <v/>
      </c>
    </row>
    <row r="88" spans="2:33" ht="13.8" x14ac:dyDescent="0.25">
      <c r="B88" s="103">
        <v>77</v>
      </c>
      <c r="C88" s="268"/>
      <c r="D88" s="82"/>
      <c r="E88" s="203"/>
      <c r="F88" s="498" t="str">
        <f>IF(D88="","",VLOOKUP(D88,'G-6 Hedgerow Data'!$B$2:$AG$15,2,FALSE))</f>
        <v/>
      </c>
      <c r="G88" s="524" t="str">
        <f>IF(D88="","",VLOOKUP(D88,'G-6 Hedgerow Data'!$B$2:$AG$15,3,FALSE))</f>
        <v/>
      </c>
      <c r="H88" s="72"/>
      <c r="I88" s="499" t="str">
        <f>IFERROR(IF(AND(F88="V.Low",OR(H88="Good",H88="Moderate")),"Error ▲",VLOOKUP(H88,'G-1 All Habitats'!$Z$2:$AA$9,2,FALSE)),"")</f>
        <v/>
      </c>
      <c r="J88" s="146"/>
      <c r="K88" s="520" t="str">
        <f>IF(J88="","",IF(VLOOKUP(J88,'G-3 Multipliers'!$L$3:$N$6,2,FALSE)=0,"Spatial Data Missing",VLOOKUP(J88,'G-3 Multipliers'!$L$3:$N$6,2,FALSE)))</f>
        <v/>
      </c>
      <c r="L88" s="524" t="str">
        <f>IF(J88="","",IF(VLOOKUP(J88,'G-3 Multipliers'!$L$3:$N$6,3,FALSE)=0,"Spatial Data Missing",VLOOKUP(J88,'G-3 Multipliers'!$L$3:$N$6,3,FALSE)))</f>
        <v/>
      </c>
      <c r="M88" s="197"/>
      <c r="N88" s="499" t="str">
        <f>IF(M88="","",IF(VLOOKUP(M88,'G-3 Multipliers'!$S$3:$T$6,2,FALSE)=0,"Spatial Data Missing ⚠",VLOOKUP(M88,'G-3 Multipliers'!$S$3:$T$6,2,FALSE)))</f>
        <v/>
      </c>
      <c r="O88" s="498" t="str">
        <f>IF(OR(D88="",H88=""),"",(INDEX('G-6 Hedgerow Data'!$E$3:$I$15,MATCH(D88,'G-6 Hedgerow Data'!$B$3:$B$15,0),MATCH(H88,'G-6 Hedgerow Data'!$E$2:$I$2,0))))</f>
        <v/>
      </c>
      <c r="P88" s="195"/>
      <c r="Q88" s="195"/>
      <c r="R88" s="507" t="str">
        <f t="shared" si="7"/>
        <v/>
      </c>
      <c r="S88" s="521" t="str">
        <f t="shared" si="8"/>
        <v/>
      </c>
      <c r="T88" s="522" t="str">
        <f t="shared" si="6"/>
        <v/>
      </c>
      <c r="U88" s="537" t="str">
        <f>IF(D88="","",VLOOKUP(D88,'G-6 Hedgerow Data'!$B$3:$AG$15,31,FALSE))</f>
        <v/>
      </c>
      <c r="V88" s="520" t="str">
        <f t="shared" si="9"/>
        <v/>
      </c>
      <c r="W88" s="520" t="str">
        <f t="shared" si="10"/>
        <v/>
      </c>
      <c r="X88" s="524" t="str">
        <f>IF(F88="","",VLOOKUP(U88,'G-3 Multipliers'!$P$3:$Q$6,2,FALSE))</f>
        <v/>
      </c>
      <c r="Y88" s="529" t="str">
        <f t="shared" si="11"/>
        <v/>
      </c>
      <c r="Z88" s="149"/>
      <c r="AA88" s="150"/>
      <c r="AG88" s="31" t="str">
        <f>IFERROR(INDEX('G-6 Hedgerow Data'!$BJ$3:$BJ$15,MATCH(D88,'G-6 Hedgerow Data'!$B$3:$B$15,0)),"")</f>
        <v/>
      </c>
    </row>
    <row r="89" spans="2:33" ht="13.8" x14ac:dyDescent="0.25">
      <c r="B89" s="103">
        <v>78</v>
      </c>
      <c r="C89" s="268"/>
      <c r="D89" s="82"/>
      <c r="E89" s="203"/>
      <c r="F89" s="498" t="str">
        <f>IF(D89="","",VLOOKUP(D89,'G-6 Hedgerow Data'!$B$2:$AG$15,2,FALSE))</f>
        <v/>
      </c>
      <c r="G89" s="524" t="str">
        <f>IF(D89="","",VLOOKUP(D89,'G-6 Hedgerow Data'!$B$2:$AG$15,3,FALSE))</f>
        <v/>
      </c>
      <c r="H89" s="72"/>
      <c r="I89" s="499" t="str">
        <f>IFERROR(IF(AND(F89="V.Low",OR(H89="Good",H89="Moderate")),"Error ▲",VLOOKUP(H89,'G-1 All Habitats'!$Z$2:$AA$9,2,FALSE)),"")</f>
        <v/>
      </c>
      <c r="J89" s="146"/>
      <c r="K89" s="520" t="str">
        <f>IF(J89="","",IF(VLOOKUP(J89,'G-3 Multipliers'!$L$3:$N$6,2,FALSE)=0,"Spatial Data Missing",VLOOKUP(J89,'G-3 Multipliers'!$L$3:$N$6,2,FALSE)))</f>
        <v/>
      </c>
      <c r="L89" s="524" t="str">
        <f>IF(J89="","",IF(VLOOKUP(J89,'G-3 Multipliers'!$L$3:$N$6,3,FALSE)=0,"Spatial Data Missing",VLOOKUP(J89,'G-3 Multipliers'!$L$3:$N$6,3,FALSE)))</f>
        <v/>
      </c>
      <c r="M89" s="197"/>
      <c r="N89" s="499" t="str">
        <f>IF(M89="","",IF(VLOOKUP(M89,'G-3 Multipliers'!$S$3:$T$6,2,FALSE)=0,"Spatial Data Missing ⚠",VLOOKUP(M89,'G-3 Multipliers'!$S$3:$T$6,2,FALSE)))</f>
        <v/>
      </c>
      <c r="O89" s="498" t="str">
        <f>IF(OR(D89="",H89=""),"",(INDEX('G-6 Hedgerow Data'!$E$3:$I$15,MATCH(D89,'G-6 Hedgerow Data'!$B$3:$B$15,0),MATCH(H89,'G-6 Hedgerow Data'!$E$2:$I$2,0))))</f>
        <v/>
      </c>
      <c r="P89" s="195"/>
      <c r="Q89" s="195"/>
      <c r="R89" s="507" t="str">
        <f t="shared" si="7"/>
        <v/>
      </c>
      <c r="S89" s="521" t="str">
        <f t="shared" si="8"/>
        <v/>
      </c>
      <c r="T89" s="522" t="str">
        <f t="shared" si="6"/>
        <v/>
      </c>
      <c r="U89" s="537" t="str">
        <f>IF(D89="","",VLOOKUP(D89,'G-6 Hedgerow Data'!$B$3:$AG$15,31,FALSE))</f>
        <v/>
      </c>
      <c r="V89" s="520" t="str">
        <f t="shared" si="9"/>
        <v/>
      </c>
      <c r="W89" s="520" t="str">
        <f t="shared" si="10"/>
        <v/>
      </c>
      <c r="X89" s="524" t="str">
        <f>IF(F89="","",VLOOKUP(U89,'G-3 Multipliers'!$P$3:$Q$6,2,FALSE))</f>
        <v/>
      </c>
      <c r="Y89" s="529" t="str">
        <f t="shared" si="11"/>
        <v/>
      </c>
      <c r="Z89" s="149"/>
      <c r="AA89" s="150"/>
      <c r="AG89" s="31" t="str">
        <f>IFERROR(INDEX('G-6 Hedgerow Data'!$BJ$3:$BJ$15,MATCH(D89,'G-6 Hedgerow Data'!$B$3:$B$15,0)),"")</f>
        <v/>
      </c>
    </row>
    <row r="90" spans="2:33" ht="13.8" x14ac:dyDescent="0.25">
      <c r="B90" s="103">
        <v>79</v>
      </c>
      <c r="C90" s="268"/>
      <c r="D90" s="82"/>
      <c r="E90" s="203"/>
      <c r="F90" s="498" t="str">
        <f>IF(D90="","",VLOOKUP(D90,'G-6 Hedgerow Data'!$B$2:$AG$15,2,FALSE))</f>
        <v/>
      </c>
      <c r="G90" s="524" t="str">
        <f>IF(D90="","",VLOOKUP(D90,'G-6 Hedgerow Data'!$B$2:$AG$15,3,FALSE))</f>
        <v/>
      </c>
      <c r="H90" s="72"/>
      <c r="I90" s="499" t="str">
        <f>IFERROR(IF(AND(F90="V.Low",OR(H90="Good",H90="Moderate")),"Error ▲",VLOOKUP(H90,'G-1 All Habitats'!$Z$2:$AA$9,2,FALSE)),"")</f>
        <v/>
      </c>
      <c r="J90" s="146"/>
      <c r="K90" s="520" t="str">
        <f>IF(J90="","",IF(VLOOKUP(J90,'G-3 Multipliers'!$L$3:$N$6,2,FALSE)=0,"Spatial Data Missing",VLOOKUP(J90,'G-3 Multipliers'!$L$3:$N$6,2,FALSE)))</f>
        <v/>
      </c>
      <c r="L90" s="524" t="str">
        <f>IF(J90="","",IF(VLOOKUP(J90,'G-3 Multipliers'!$L$3:$N$6,3,FALSE)=0,"Spatial Data Missing",VLOOKUP(J90,'G-3 Multipliers'!$L$3:$N$6,3,FALSE)))</f>
        <v/>
      </c>
      <c r="M90" s="197"/>
      <c r="N90" s="499" t="str">
        <f>IF(M90="","",IF(VLOOKUP(M90,'G-3 Multipliers'!$S$3:$T$6,2,FALSE)=0,"Spatial Data Missing ⚠",VLOOKUP(M90,'G-3 Multipliers'!$S$3:$T$6,2,FALSE)))</f>
        <v/>
      </c>
      <c r="O90" s="498" t="str">
        <f>IF(OR(D90="",H90=""),"",(INDEX('G-6 Hedgerow Data'!$E$3:$I$15,MATCH(D90,'G-6 Hedgerow Data'!$B$3:$B$15,0),MATCH(H90,'G-6 Hedgerow Data'!$E$2:$I$2,0))))</f>
        <v/>
      </c>
      <c r="P90" s="195"/>
      <c r="Q90" s="195"/>
      <c r="R90" s="507" t="str">
        <f t="shared" si="7"/>
        <v/>
      </c>
      <c r="S90" s="521" t="str">
        <f t="shared" si="8"/>
        <v/>
      </c>
      <c r="T90" s="522" t="str">
        <f t="shared" si="6"/>
        <v/>
      </c>
      <c r="U90" s="537" t="str">
        <f>IF(D90="","",VLOOKUP(D90,'G-6 Hedgerow Data'!$B$3:$AG$15,31,FALSE))</f>
        <v/>
      </c>
      <c r="V90" s="520" t="str">
        <f t="shared" si="9"/>
        <v/>
      </c>
      <c r="W90" s="520" t="str">
        <f t="shared" si="10"/>
        <v/>
      </c>
      <c r="X90" s="524" t="str">
        <f>IF(F90="","",VLOOKUP(U90,'G-3 Multipliers'!$P$3:$Q$6,2,FALSE))</f>
        <v/>
      </c>
      <c r="Y90" s="529" t="str">
        <f t="shared" si="11"/>
        <v/>
      </c>
      <c r="Z90" s="149"/>
      <c r="AA90" s="150"/>
      <c r="AG90" s="31" t="str">
        <f>IFERROR(INDEX('G-6 Hedgerow Data'!$BJ$3:$BJ$15,MATCH(D90,'G-6 Hedgerow Data'!$B$3:$B$15,0)),"")</f>
        <v/>
      </c>
    </row>
    <row r="91" spans="2:33" ht="13.8" x14ac:dyDescent="0.25">
      <c r="B91" s="103">
        <v>80</v>
      </c>
      <c r="C91" s="268"/>
      <c r="D91" s="82"/>
      <c r="E91" s="203"/>
      <c r="F91" s="498" t="str">
        <f>IF(D91="","",VLOOKUP(D91,'G-6 Hedgerow Data'!$B$2:$AG$15,2,FALSE))</f>
        <v/>
      </c>
      <c r="G91" s="524" t="str">
        <f>IF(D91="","",VLOOKUP(D91,'G-6 Hedgerow Data'!$B$2:$AG$15,3,FALSE))</f>
        <v/>
      </c>
      <c r="H91" s="72"/>
      <c r="I91" s="499" t="str">
        <f>IFERROR(IF(AND(F91="V.Low",OR(H91="Good",H91="Moderate")),"Error ▲",VLOOKUP(H91,'G-1 All Habitats'!$Z$2:$AA$9,2,FALSE)),"")</f>
        <v/>
      </c>
      <c r="J91" s="146"/>
      <c r="K91" s="520" t="str">
        <f>IF(J91="","",IF(VLOOKUP(J91,'G-3 Multipliers'!$L$3:$N$6,2,FALSE)=0,"Spatial Data Missing",VLOOKUP(J91,'G-3 Multipliers'!$L$3:$N$6,2,FALSE)))</f>
        <v/>
      </c>
      <c r="L91" s="524" t="str">
        <f>IF(J91="","",IF(VLOOKUP(J91,'G-3 Multipliers'!$L$3:$N$6,3,FALSE)=0,"Spatial Data Missing",VLOOKUP(J91,'G-3 Multipliers'!$L$3:$N$6,3,FALSE)))</f>
        <v/>
      </c>
      <c r="M91" s="197"/>
      <c r="N91" s="499" t="str">
        <f>IF(M91="","",IF(VLOOKUP(M91,'G-3 Multipliers'!$S$3:$T$6,2,FALSE)=0,"Spatial Data Missing ⚠",VLOOKUP(M91,'G-3 Multipliers'!$S$3:$T$6,2,FALSE)))</f>
        <v/>
      </c>
      <c r="O91" s="498" t="str">
        <f>IF(OR(D91="",H91=""),"",(INDEX('G-6 Hedgerow Data'!$E$3:$I$15,MATCH(D91,'G-6 Hedgerow Data'!$B$3:$B$15,0),MATCH(H91,'G-6 Hedgerow Data'!$E$2:$I$2,0))))</f>
        <v/>
      </c>
      <c r="P91" s="195"/>
      <c r="Q91" s="195"/>
      <c r="R91" s="507" t="str">
        <f t="shared" si="7"/>
        <v/>
      </c>
      <c r="S91" s="521" t="str">
        <f t="shared" si="8"/>
        <v/>
      </c>
      <c r="T91" s="522" t="str">
        <f t="shared" si="6"/>
        <v/>
      </c>
      <c r="U91" s="537" t="str">
        <f>IF(D91="","",VLOOKUP(D91,'G-6 Hedgerow Data'!$B$3:$AG$15,31,FALSE))</f>
        <v/>
      </c>
      <c r="V91" s="520" t="str">
        <f t="shared" si="9"/>
        <v/>
      </c>
      <c r="W91" s="520" t="str">
        <f t="shared" si="10"/>
        <v/>
      </c>
      <c r="X91" s="524" t="str">
        <f>IF(F91="","",VLOOKUP(U91,'G-3 Multipliers'!$P$3:$Q$6,2,FALSE))</f>
        <v/>
      </c>
      <c r="Y91" s="529" t="str">
        <f t="shared" si="11"/>
        <v/>
      </c>
      <c r="Z91" s="149"/>
      <c r="AA91" s="150"/>
      <c r="AG91" s="31" t="str">
        <f>IFERROR(INDEX('G-6 Hedgerow Data'!$BJ$3:$BJ$15,MATCH(D91,'G-6 Hedgerow Data'!$B$3:$B$15,0)),"")</f>
        <v/>
      </c>
    </row>
    <row r="92" spans="2:33" ht="13.8" x14ac:dyDescent="0.25">
      <c r="B92" s="103">
        <v>81</v>
      </c>
      <c r="C92" s="268"/>
      <c r="D92" s="82"/>
      <c r="E92" s="203"/>
      <c r="F92" s="498" t="str">
        <f>IF(D92="","",VLOOKUP(D92,'G-6 Hedgerow Data'!$B$2:$AG$15,2,FALSE))</f>
        <v/>
      </c>
      <c r="G92" s="524" t="str">
        <f>IF(D92="","",VLOOKUP(D92,'G-6 Hedgerow Data'!$B$2:$AG$15,3,FALSE))</f>
        <v/>
      </c>
      <c r="H92" s="72"/>
      <c r="I92" s="499" t="str">
        <f>IFERROR(IF(AND(F92="V.Low",OR(H92="Good",H92="Moderate")),"Error ▲",VLOOKUP(H92,'G-1 All Habitats'!$Z$2:$AA$9,2,FALSE)),"")</f>
        <v/>
      </c>
      <c r="J92" s="146"/>
      <c r="K92" s="520" t="str">
        <f>IF(J92="","",IF(VLOOKUP(J92,'G-3 Multipliers'!$L$3:$N$6,2,FALSE)=0,"Spatial Data Missing",VLOOKUP(J92,'G-3 Multipliers'!$L$3:$N$6,2,FALSE)))</f>
        <v/>
      </c>
      <c r="L92" s="524" t="str">
        <f>IF(J92="","",IF(VLOOKUP(J92,'G-3 Multipliers'!$L$3:$N$6,3,FALSE)=0,"Spatial Data Missing",VLOOKUP(J92,'G-3 Multipliers'!$L$3:$N$6,3,FALSE)))</f>
        <v/>
      </c>
      <c r="M92" s="197"/>
      <c r="N92" s="499" t="str">
        <f>IF(M92="","",IF(VLOOKUP(M92,'G-3 Multipliers'!$S$3:$T$6,2,FALSE)=0,"Spatial Data Missing ⚠",VLOOKUP(M92,'G-3 Multipliers'!$S$3:$T$6,2,FALSE)))</f>
        <v/>
      </c>
      <c r="O92" s="498" t="str">
        <f>IF(OR(D92="",H92=""),"",(INDEX('G-6 Hedgerow Data'!$E$3:$I$15,MATCH(D92,'G-6 Hedgerow Data'!$B$3:$B$15,0),MATCH(H92,'G-6 Hedgerow Data'!$E$2:$I$2,0))))</f>
        <v/>
      </c>
      <c r="P92" s="195"/>
      <c r="Q92" s="195"/>
      <c r="R92" s="507" t="str">
        <f t="shared" si="7"/>
        <v/>
      </c>
      <c r="S92" s="521" t="str">
        <f t="shared" si="8"/>
        <v/>
      </c>
      <c r="T92" s="522" t="str">
        <f t="shared" si="6"/>
        <v/>
      </c>
      <c r="U92" s="537" t="str">
        <f>IF(D92="","",VLOOKUP(D92,'G-6 Hedgerow Data'!$B$3:$AG$15,31,FALSE))</f>
        <v/>
      </c>
      <c r="V92" s="520" t="str">
        <f t="shared" si="9"/>
        <v/>
      </c>
      <c r="W92" s="520" t="str">
        <f t="shared" si="10"/>
        <v/>
      </c>
      <c r="X92" s="524" t="str">
        <f>IF(F92="","",VLOOKUP(U92,'G-3 Multipliers'!$P$3:$Q$6,2,FALSE))</f>
        <v/>
      </c>
      <c r="Y92" s="529" t="str">
        <f t="shared" si="11"/>
        <v/>
      </c>
      <c r="Z92" s="149"/>
      <c r="AA92" s="150"/>
      <c r="AG92" s="31" t="str">
        <f>IFERROR(INDEX('G-6 Hedgerow Data'!$BJ$3:$BJ$15,MATCH(D92,'G-6 Hedgerow Data'!$B$3:$B$15,0)),"")</f>
        <v/>
      </c>
    </row>
    <row r="93" spans="2:33" ht="13.8" x14ac:dyDescent="0.25">
      <c r="B93" s="103">
        <v>82</v>
      </c>
      <c r="C93" s="268"/>
      <c r="D93" s="82"/>
      <c r="E93" s="203"/>
      <c r="F93" s="498" t="str">
        <f>IF(D93="","",VLOOKUP(D93,'G-6 Hedgerow Data'!$B$2:$AG$15,2,FALSE))</f>
        <v/>
      </c>
      <c r="G93" s="524" t="str">
        <f>IF(D93="","",VLOOKUP(D93,'G-6 Hedgerow Data'!$B$2:$AG$15,3,FALSE))</f>
        <v/>
      </c>
      <c r="H93" s="72"/>
      <c r="I93" s="499" t="str">
        <f>IFERROR(IF(AND(F93="V.Low",OR(H93="Good",H93="Moderate")),"Error ▲",VLOOKUP(H93,'G-1 All Habitats'!$Z$2:$AA$9,2,FALSE)),"")</f>
        <v/>
      </c>
      <c r="J93" s="146"/>
      <c r="K93" s="520" t="str">
        <f>IF(J93="","",IF(VLOOKUP(J93,'G-3 Multipliers'!$L$3:$N$6,2,FALSE)=0,"Spatial Data Missing",VLOOKUP(J93,'G-3 Multipliers'!$L$3:$N$6,2,FALSE)))</f>
        <v/>
      </c>
      <c r="L93" s="524" t="str">
        <f>IF(J93="","",IF(VLOOKUP(J93,'G-3 Multipliers'!$L$3:$N$6,3,FALSE)=0,"Spatial Data Missing",VLOOKUP(J93,'G-3 Multipliers'!$L$3:$N$6,3,FALSE)))</f>
        <v/>
      </c>
      <c r="M93" s="197"/>
      <c r="N93" s="499" t="str">
        <f>IF(M93="","",IF(VLOOKUP(M93,'G-3 Multipliers'!$S$3:$T$6,2,FALSE)=0,"Spatial Data Missing ⚠",VLOOKUP(M93,'G-3 Multipliers'!$S$3:$T$6,2,FALSE)))</f>
        <v/>
      </c>
      <c r="O93" s="498" t="str">
        <f>IF(OR(D93="",H93=""),"",(INDEX('G-6 Hedgerow Data'!$E$3:$I$15,MATCH(D93,'G-6 Hedgerow Data'!$B$3:$B$15,0),MATCH(H93,'G-6 Hedgerow Data'!$E$2:$I$2,0))))</f>
        <v/>
      </c>
      <c r="P93" s="195"/>
      <c r="Q93" s="195"/>
      <c r="R93" s="507" t="str">
        <f t="shared" si="7"/>
        <v/>
      </c>
      <c r="S93" s="521" t="str">
        <f t="shared" si="8"/>
        <v/>
      </c>
      <c r="T93" s="522" t="str">
        <f t="shared" si="6"/>
        <v/>
      </c>
      <c r="U93" s="537" t="str">
        <f>IF(D93="","",VLOOKUP(D93,'G-6 Hedgerow Data'!$B$3:$AG$15,31,FALSE))</f>
        <v/>
      </c>
      <c r="V93" s="520" t="str">
        <f t="shared" si="9"/>
        <v/>
      </c>
      <c r="W93" s="520" t="str">
        <f t="shared" si="10"/>
        <v/>
      </c>
      <c r="X93" s="524" t="str">
        <f>IF(F93="","",VLOOKUP(U93,'G-3 Multipliers'!$P$3:$Q$6,2,FALSE))</f>
        <v/>
      </c>
      <c r="Y93" s="529" t="str">
        <f t="shared" si="11"/>
        <v/>
      </c>
      <c r="Z93" s="149"/>
      <c r="AA93" s="150"/>
      <c r="AG93" s="31" t="str">
        <f>IFERROR(INDEX('G-6 Hedgerow Data'!$BJ$3:$BJ$15,MATCH(D93,'G-6 Hedgerow Data'!$B$3:$B$15,0)),"")</f>
        <v/>
      </c>
    </row>
    <row r="94" spans="2:33" ht="13.8" x14ac:dyDescent="0.25">
      <c r="B94" s="103">
        <v>83</v>
      </c>
      <c r="C94" s="268"/>
      <c r="D94" s="82"/>
      <c r="E94" s="203"/>
      <c r="F94" s="498" t="str">
        <f>IF(D94="","",VLOOKUP(D94,'G-6 Hedgerow Data'!$B$2:$AG$15,2,FALSE))</f>
        <v/>
      </c>
      <c r="G94" s="524" t="str">
        <f>IF(D94="","",VLOOKUP(D94,'G-6 Hedgerow Data'!$B$2:$AG$15,3,FALSE))</f>
        <v/>
      </c>
      <c r="H94" s="72"/>
      <c r="I94" s="499" t="str">
        <f>IFERROR(IF(AND(F94="V.Low",OR(H94="Good",H94="Moderate")),"Error ▲",VLOOKUP(H94,'G-1 All Habitats'!$Z$2:$AA$9,2,FALSE)),"")</f>
        <v/>
      </c>
      <c r="J94" s="146"/>
      <c r="K94" s="520" t="str">
        <f>IF(J94="","",IF(VLOOKUP(J94,'G-3 Multipliers'!$L$3:$N$6,2,FALSE)=0,"Spatial Data Missing",VLOOKUP(J94,'G-3 Multipliers'!$L$3:$N$6,2,FALSE)))</f>
        <v/>
      </c>
      <c r="L94" s="524" t="str">
        <f>IF(J94="","",IF(VLOOKUP(J94,'G-3 Multipliers'!$L$3:$N$6,3,FALSE)=0,"Spatial Data Missing",VLOOKUP(J94,'G-3 Multipliers'!$L$3:$N$6,3,FALSE)))</f>
        <v/>
      </c>
      <c r="M94" s="197"/>
      <c r="N94" s="499" t="str">
        <f>IF(M94="","",IF(VLOOKUP(M94,'G-3 Multipliers'!$S$3:$T$6,2,FALSE)=0,"Spatial Data Missing ⚠",VLOOKUP(M94,'G-3 Multipliers'!$S$3:$T$6,2,FALSE)))</f>
        <v/>
      </c>
      <c r="O94" s="498" t="str">
        <f>IF(OR(D94="",H94=""),"",(INDEX('G-6 Hedgerow Data'!$E$3:$I$15,MATCH(D94,'G-6 Hedgerow Data'!$B$3:$B$15,0),MATCH(H94,'G-6 Hedgerow Data'!$E$2:$I$2,0))))</f>
        <v/>
      </c>
      <c r="P94" s="195"/>
      <c r="Q94" s="195"/>
      <c r="R94" s="507" t="str">
        <f t="shared" si="7"/>
        <v/>
      </c>
      <c r="S94" s="521" t="str">
        <f t="shared" si="8"/>
        <v/>
      </c>
      <c r="T94" s="522" t="str">
        <f t="shared" si="6"/>
        <v/>
      </c>
      <c r="U94" s="537" t="str">
        <f>IF(D94="","",VLOOKUP(D94,'G-6 Hedgerow Data'!$B$3:$AG$15,31,FALSE))</f>
        <v/>
      </c>
      <c r="V94" s="520" t="str">
        <f t="shared" si="9"/>
        <v/>
      </c>
      <c r="W94" s="520" t="str">
        <f t="shared" si="10"/>
        <v/>
      </c>
      <c r="X94" s="524" t="str">
        <f>IF(F94="","",VLOOKUP(U94,'G-3 Multipliers'!$P$3:$Q$6,2,FALSE))</f>
        <v/>
      </c>
      <c r="Y94" s="529" t="str">
        <f t="shared" si="11"/>
        <v/>
      </c>
      <c r="Z94" s="149"/>
      <c r="AA94" s="150"/>
      <c r="AG94" s="31" t="str">
        <f>IFERROR(INDEX('G-6 Hedgerow Data'!$BJ$3:$BJ$15,MATCH(D94,'G-6 Hedgerow Data'!$B$3:$B$15,0)),"")</f>
        <v/>
      </c>
    </row>
    <row r="95" spans="2:33" ht="13.8" x14ac:dyDescent="0.25">
      <c r="B95" s="103">
        <v>84</v>
      </c>
      <c r="C95" s="268"/>
      <c r="D95" s="82"/>
      <c r="E95" s="203"/>
      <c r="F95" s="498" t="str">
        <f>IF(D95="","",VLOOKUP(D95,'G-6 Hedgerow Data'!$B$2:$AG$15,2,FALSE))</f>
        <v/>
      </c>
      <c r="G95" s="524" t="str">
        <f>IF(D95="","",VLOOKUP(D95,'G-6 Hedgerow Data'!$B$2:$AG$15,3,FALSE))</f>
        <v/>
      </c>
      <c r="H95" s="72"/>
      <c r="I95" s="499" t="str">
        <f>IFERROR(IF(AND(F95="V.Low",OR(H95="Good",H95="Moderate")),"Error ▲",VLOOKUP(H95,'G-1 All Habitats'!$Z$2:$AA$9,2,FALSE)),"")</f>
        <v/>
      </c>
      <c r="J95" s="146"/>
      <c r="K95" s="520" t="str">
        <f>IF(J95="","",IF(VLOOKUP(J95,'G-3 Multipliers'!$L$3:$N$6,2,FALSE)=0,"Spatial Data Missing",VLOOKUP(J95,'G-3 Multipliers'!$L$3:$N$6,2,FALSE)))</f>
        <v/>
      </c>
      <c r="L95" s="524" t="str">
        <f>IF(J95="","",IF(VLOOKUP(J95,'G-3 Multipliers'!$L$3:$N$6,3,FALSE)=0,"Spatial Data Missing",VLOOKUP(J95,'G-3 Multipliers'!$L$3:$N$6,3,FALSE)))</f>
        <v/>
      </c>
      <c r="M95" s="197"/>
      <c r="N95" s="499" t="str">
        <f>IF(M95="","",IF(VLOOKUP(M95,'G-3 Multipliers'!$S$3:$T$6,2,FALSE)=0,"Spatial Data Missing ⚠",VLOOKUP(M95,'G-3 Multipliers'!$S$3:$T$6,2,FALSE)))</f>
        <v/>
      </c>
      <c r="O95" s="498" t="str">
        <f>IF(OR(D95="",H95=""),"",(INDEX('G-6 Hedgerow Data'!$E$3:$I$15,MATCH(D95,'G-6 Hedgerow Data'!$B$3:$B$15,0),MATCH(H95,'G-6 Hedgerow Data'!$E$2:$I$2,0))))</f>
        <v/>
      </c>
      <c r="P95" s="195"/>
      <c r="Q95" s="195"/>
      <c r="R95" s="507" t="str">
        <f t="shared" si="7"/>
        <v/>
      </c>
      <c r="S95" s="521" t="str">
        <f t="shared" si="8"/>
        <v/>
      </c>
      <c r="T95" s="522" t="str">
        <f t="shared" si="6"/>
        <v/>
      </c>
      <c r="U95" s="537" t="str">
        <f>IF(D95="","",VLOOKUP(D95,'G-6 Hedgerow Data'!$B$3:$AG$15,31,FALSE))</f>
        <v/>
      </c>
      <c r="V95" s="520" t="str">
        <f t="shared" si="9"/>
        <v/>
      </c>
      <c r="W95" s="520" t="str">
        <f t="shared" si="10"/>
        <v/>
      </c>
      <c r="X95" s="524" t="str">
        <f>IF(F95="","",VLOOKUP(U95,'G-3 Multipliers'!$P$3:$Q$6,2,FALSE))</f>
        <v/>
      </c>
      <c r="Y95" s="529" t="str">
        <f t="shared" si="11"/>
        <v/>
      </c>
      <c r="Z95" s="149"/>
      <c r="AA95" s="150"/>
      <c r="AG95" s="31" t="str">
        <f>IFERROR(INDEX('G-6 Hedgerow Data'!$BJ$3:$BJ$15,MATCH(D95,'G-6 Hedgerow Data'!$B$3:$B$15,0)),"")</f>
        <v/>
      </c>
    </row>
    <row r="96" spans="2:33" ht="13.8" x14ac:dyDescent="0.25">
      <c r="B96" s="103">
        <v>85</v>
      </c>
      <c r="C96" s="268"/>
      <c r="D96" s="82"/>
      <c r="E96" s="203"/>
      <c r="F96" s="498" t="str">
        <f>IF(D96="","",VLOOKUP(D96,'G-6 Hedgerow Data'!$B$2:$AG$15,2,FALSE))</f>
        <v/>
      </c>
      <c r="G96" s="524" t="str">
        <f>IF(D96="","",VLOOKUP(D96,'G-6 Hedgerow Data'!$B$2:$AG$15,3,FALSE))</f>
        <v/>
      </c>
      <c r="H96" s="72"/>
      <c r="I96" s="499" t="str">
        <f>IFERROR(IF(AND(F96="V.Low",OR(H96="Good",H96="Moderate")),"Error ▲",VLOOKUP(H96,'G-1 All Habitats'!$Z$2:$AA$9,2,FALSE)),"")</f>
        <v/>
      </c>
      <c r="J96" s="146"/>
      <c r="K96" s="520" t="str">
        <f>IF(J96="","",IF(VLOOKUP(J96,'G-3 Multipliers'!$L$3:$N$6,2,FALSE)=0,"Spatial Data Missing",VLOOKUP(J96,'G-3 Multipliers'!$L$3:$N$6,2,FALSE)))</f>
        <v/>
      </c>
      <c r="L96" s="524" t="str">
        <f>IF(J96="","",IF(VLOOKUP(J96,'G-3 Multipliers'!$L$3:$N$6,3,FALSE)=0,"Spatial Data Missing",VLOOKUP(J96,'G-3 Multipliers'!$L$3:$N$6,3,FALSE)))</f>
        <v/>
      </c>
      <c r="M96" s="197"/>
      <c r="N96" s="499" t="str">
        <f>IF(M96="","",IF(VLOOKUP(M96,'G-3 Multipliers'!$S$3:$T$6,2,FALSE)=0,"Spatial Data Missing ⚠",VLOOKUP(M96,'G-3 Multipliers'!$S$3:$T$6,2,FALSE)))</f>
        <v/>
      </c>
      <c r="O96" s="498" t="str">
        <f>IF(OR(D96="",H96=""),"",(INDEX('G-6 Hedgerow Data'!$E$3:$I$15,MATCH(D96,'G-6 Hedgerow Data'!$B$3:$B$15,0),MATCH(H96,'G-6 Hedgerow Data'!$E$2:$I$2,0))))</f>
        <v/>
      </c>
      <c r="P96" s="195"/>
      <c r="Q96" s="195"/>
      <c r="R96" s="507" t="str">
        <f t="shared" si="7"/>
        <v/>
      </c>
      <c r="S96" s="521" t="str">
        <f t="shared" si="8"/>
        <v/>
      </c>
      <c r="T96" s="522" t="str">
        <f t="shared" si="6"/>
        <v/>
      </c>
      <c r="U96" s="537" t="str">
        <f>IF(D96="","",VLOOKUP(D96,'G-6 Hedgerow Data'!$B$3:$AG$15,31,FALSE))</f>
        <v/>
      </c>
      <c r="V96" s="520" t="str">
        <f t="shared" si="9"/>
        <v/>
      </c>
      <c r="W96" s="520" t="str">
        <f t="shared" si="10"/>
        <v/>
      </c>
      <c r="X96" s="524" t="str">
        <f>IF(F96="","",VLOOKUP(U96,'G-3 Multipliers'!$P$3:$Q$6,2,FALSE))</f>
        <v/>
      </c>
      <c r="Y96" s="529" t="str">
        <f t="shared" si="11"/>
        <v/>
      </c>
      <c r="Z96" s="149"/>
      <c r="AA96" s="150"/>
      <c r="AG96" s="31" t="str">
        <f>IFERROR(INDEX('G-6 Hedgerow Data'!$BJ$3:$BJ$15,MATCH(D96,'G-6 Hedgerow Data'!$B$3:$B$15,0)),"")</f>
        <v/>
      </c>
    </row>
    <row r="97" spans="2:33" ht="13.8" x14ac:dyDescent="0.25">
      <c r="B97" s="103">
        <v>86</v>
      </c>
      <c r="C97" s="268"/>
      <c r="D97" s="82"/>
      <c r="E97" s="203"/>
      <c r="F97" s="498" t="str">
        <f>IF(D97="","",VLOOKUP(D97,'G-6 Hedgerow Data'!$B$2:$AG$15,2,FALSE))</f>
        <v/>
      </c>
      <c r="G97" s="524" t="str">
        <f>IF(D97="","",VLOOKUP(D97,'G-6 Hedgerow Data'!$B$2:$AG$15,3,FALSE))</f>
        <v/>
      </c>
      <c r="H97" s="72"/>
      <c r="I97" s="499" t="str">
        <f>IFERROR(IF(AND(F97="V.Low",OR(H97="Good",H97="Moderate")),"Error ▲",VLOOKUP(H97,'G-1 All Habitats'!$Z$2:$AA$9,2,FALSE)),"")</f>
        <v/>
      </c>
      <c r="J97" s="146"/>
      <c r="K97" s="520" t="str">
        <f>IF(J97="","",IF(VLOOKUP(J97,'G-3 Multipliers'!$L$3:$N$6,2,FALSE)=0,"Spatial Data Missing",VLOOKUP(J97,'G-3 Multipliers'!$L$3:$N$6,2,FALSE)))</f>
        <v/>
      </c>
      <c r="L97" s="524" t="str">
        <f>IF(J97="","",IF(VLOOKUP(J97,'G-3 Multipliers'!$L$3:$N$6,3,FALSE)=0,"Spatial Data Missing",VLOOKUP(J97,'G-3 Multipliers'!$L$3:$N$6,3,FALSE)))</f>
        <v/>
      </c>
      <c r="M97" s="197"/>
      <c r="N97" s="499" t="str">
        <f>IF(M97="","",IF(VLOOKUP(M97,'G-3 Multipliers'!$S$3:$T$6,2,FALSE)=0,"Spatial Data Missing ⚠",VLOOKUP(M97,'G-3 Multipliers'!$S$3:$T$6,2,FALSE)))</f>
        <v/>
      </c>
      <c r="O97" s="498" t="str">
        <f>IF(OR(D97="",H97=""),"",(INDEX('G-6 Hedgerow Data'!$E$3:$I$15,MATCH(D97,'G-6 Hedgerow Data'!$B$3:$B$15,0),MATCH(H97,'G-6 Hedgerow Data'!$E$2:$I$2,0))))</f>
        <v/>
      </c>
      <c r="P97" s="195"/>
      <c r="Q97" s="195"/>
      <c r="R97" s="507" t="str">
        <f t="shared" si="7"/>
        <v/>
      </c>
      <c r="S97" s="521" t="str">
        <f t="shared" si="8"/>
        <v/>
      </c>
      <c r="T97" s="522" t="str">
        <f t="shared" si="6"/>
        <v/>
      </c>
      <c r="U97" s="537" t="str">
        <f>IF(D97="","",VLOOKUP(D97,'G-6 Hedgerow Data'!$B$3:$AG$15,31,FALSE))</f>
        <v/>
      </c>
      <c r="V97" s="520" t="str">
        <f t="shared" si="9"/>
        <v/>
      </c>
      <c r="W97" s="520" t="str">
        <f t="shared" si="10"/>
        <v/>
      </c>
      <c r="X97" s="524" t="str">
        <f>IF(F97="","",VLOOKUP(U97,'G-3 Multipliers'!$P$3:$Q$6,2,FALSE))</f>
        <v/>
      </c>
      <c r="Y97" s="529" t="str">
        <f t="shared" si="11"/>
        <v/>
      </c>
      <c r="Z97" s="149"/>
      <c r="AA97" s="150"/>
      <c r="AG97" s="31" t="str">
        <f>IFERROR(INDEX('G-6 Hedgerow Data'!$BJ$3:$BJ$15,MATCH(D97,'G-6 Hedgerow Data'!$B$3:$B$15,0)),"")</f>
        <v/>
      </c>
    </row>
    <row r="98" spans="2:33" ht="13.8" x14ac:dyDescent="0.25">
      <c r="B98" s="103">
        <v>87</v>
      </c>
      <c r="C98" s="268"/>
      <c r="D98" s="82"/>
      <c r="E98" s="203"/>
      <c r="F98" s="498" t="str">
        <f>IF(D98="","",VLOOKUP(D98,'G-6 Hedgerow Data'!$B$2:$AG$15,2,FALSE))</f>
        <v/>
      </c>
      <c r="G98" s="524" t="str">
        <f>IF(D98="","",VLOOKUP(D98,'G-6 Hedgerow Data'!$B$2:$AG$15,3,FALSE))</f>
        <v/>
      </c>
      <c r="H98" s="72"/>
      <c r="I98" s="499" t="str">
        <f>IFERROR(IF(AND(F98="V.Low",OR(H98="Good",H98="Moderate")),"Error ▲",VLOOKUP(H98,'G-1 All Habitats'!$Z$2:$AA$9,2,FALSE)),"")</f>
        <v/>
      </c>
      <c r="J98" s="146"/>
      <c r="K98" s="520" t="str">
        <f>IF(J98="","",IF(VLOOKUP(J98,'G-3 Multipliers'!$L$3:$N$6,2,FALSE)=0,"Spatial Data Missing",VLOOKUP(J98,'G-3 Multipliers'!$L$3:$N$6,2,FALSE)))</f>
        <v/>
      </c>
      <c r="L98" s="524" t="str">
        <f>IF(J98="","",IF(VLOOKUP(J98,'G-3 Multipliers'!$L$3:$N$6,3,FALSE)=0,"Spatial Data Missing",VLOOKUP(J98,'G-3 Multipliers'!$L$3:$N$6,3,FALSE)))</f>
        <v/>
      </c>
      <c r="M98" s="197"/>
      <c r="N98" s="499" t="str">
        <f>IF(M98="","",IF(VLOOKUP(M98,'G-3 Multipliers'!$S$3:$T$6,2,FALSE)=0,"Spatial Data Missing ⚠",VLOOKUP(M98,'G-3 Multipliers'!$S$3:$T$6,2,FALSE)))</f>
        <v/>
      </c>
      <c r="O98" s="498" t="str">
        <f>IF(OR(D98="",H98=""),"",(INDEX('G-6 Hedgerow Data'!$E$3:$I$15,MATCH(D98,'G-6 Hedgerow Data'!$B$3:$B$15,0),MATCH(H98,'G-6 Hedgerow Data'!$E$2:$I$2,0))))</f>
        <v/>
      </c>
      <c r="P98" s="195"/>
      <c r="Q98" s="195"/>
      <c r="R98" s="507" t="str">
        <f t="shared" si="7"/>
        <v/>
      </c>
      <c r="S98" s="521" t="str">
        <f t="shared" si="8"/>
        <v/>
      </c>
      <c r="T98" s="522" t="str">
        <f t="shared" si="6"/>
        <v/>
      </c>
      <c r="U98" s="537" t="str">
        <f>IF(D98="","",VLOOKUP(D98,'G-6 Hedgerow Data'!$B$3:$AG$15,31,FALSE))</f>
        <v/>
      </c>
      <c r="V98" s="520" t="str">
        <f t="shared" si="9"/>
        <v/>
      </c>
      <c r="W98" s="520" t="str">
        <f t="shared" si="10"/>
        <v/>
      </c>
      <c r="X98" s="524" t="str">
        <f>IF(F98="","",VLOOKUP(U98,'G-3 Multipliers'!$P$3:$Q$6,2,FALSE))</f>
        <v/>
      </c>
      <c r="Y98" s="529" t="str">
        <f t="shared" si="11"/>
        <v/>
      </c>
      <c r="Z98" s="149"/>
      <c r="AA98" s="150"/>
      <c r="AG98" s="31" t="str">
        <f>IFERROR(INDEX('G-6 Hedgerow Data'!$BJ$3:$BJ$15,MATCH(D98,'G-6 Hedgerow Data'!$B$3:$B$15,0)),"")</f>
        <v/>
      </c>
    </row>
    <row r="99" spans="2:33" ht="13.8" x14ac:dyDescent="0.25">
      <c r="B99" s="103">
        <v>88</v>
      </c>
      <c r="C99" s="268"/>
      <c r="D99" s="82"/>
      <c r="E99" s="203"/>
      <c r="F99" s="498" t="str">
        <f>IF(D99="","",VLOOKUP(D99,'G-6 Hedgerow Data'!$B$2:$AG$15,2,FALSE))</f>
        <v/>
      </c>
      <c r="G99" s="524" t="str">
        <f>IF(D99="","",VLOOKUP(D99,'G-6 Hedgerow Data'!$B$2:$AG$15,3,FALSE))</f>
        <v/>
      </c>
      <c r="H99" s="72"/>
      <c r="I99" s="499" t="str">
        <f>IFERROR(IF(AND(F99="V.Low",OR(H99="Good",H99="Moderate")),"Error ▲",VLOOKUP(H99,'G-1 All Habitats'!$Z$2:$AA$9,2,FALSE)),"")</f>
        <v/>
      </c>
      <c r="J99" s="146"/>
      <c r="K99" s="520" t="str">
        <f>IF(J99="","",IF(VLOOKUP(J99,'G-3 Multipliers'!$L$3:$N$6,2,FALSE)=0,"Spatial Data Missing",VLOOKUP(J99,'G-3 Multipliers'!$L$3:$N$6,2,FALSE)))</f>
        <v/>
      </c>
      <c r="L99" s="524" t="str">
        <f>IF(J99="","",IF(VLOOKUP(J99,'G-3 Multipliers'!$L$3:$N$6,3,FALSE)=0,"Spatial Data Missing",VLOOKUP(J99,'G-3 Multipliers'!$L$3:$N$6,3,FALSE)))</f>
        <v/>
      </c>
      <c r="M99" s="197"/>
      <c r="N99" s="499" t="str">
        <f>IF(M99="","",IF(VLOOKUP(M99,'G-3 Multipliers'!$S$3:$T$6,2,FALSE)=0,"Spatial Data Missing ⚠",VLOOKUP(M99,'G-3 Multipliers'!$S$3:$T$6,2,FALSE)))</f>
        <v/>
      </c>
      <c r="O99" s="498" t="str">
        <f>IF(OR(D99="",H99=""),"",(INDEX('G-6 Hedgerow Data'!$E$3:$I$15,MATCH(D99,'G-6 Hedgerow Data'!$B$3:$B$15,0),MATCH(H99,'G-6 Hedgerow Data'!$E$2:$I$2,0))))</f>
        <v/>
      </c>
      <c r="P99" s="195"/>
      <c r="Q99" s="195"/>
      <c r="R99" s="507" t="str">
        <f t="shared" si="7"/>
        <v/>
      </c>
      <c r="S99" s="521" t="str">
        <f t="shared" si="8"/>
        <v/>
      </c>
      <c r="T99" s="522" t="str">
        <f t="shared" si="6"/>
        <v/>
      </c>
      <c r="U99" s="537" t="str">
        <f>IF(D99="","",VLOOKUP(D99,'G-6 Hedgerow Data'!$B$3:$AG$15,31,FALSE))</f>
        <v/>
      </c>
      <c r="V99" s="520" t="str">
        <f t="shared" si="9"/>
        <v/>
      </c>
      <c r="W99" s="520" t="str">
        <f t="shared" si="10"/>
        <v/>
      </c>
      <c r="X99" s="524" t="str">
        <f>IF(F99="","",VLOOKUP(U99,'G-3 Multipliers'!$P$3:$Q$6,2,FALSE))</f>
        <v/>
      </c>
      <c r="Y99" s="529" t="str">
        <f t="shared" si="11"/>
        <v/>
      </c>
      <c r="Z99" s="149"/>
      <c r="AA99" s="150"/>
      <c r="AG99" s="31" t="str">
        <f>IFERROR(INDEX('G-6 Hedgerow Data'!$BJ$3:$BJ$15,MATCH(D99,'G-6 Hedgerow Data'!$B$3:$B$15,0)),"")</f>
        <v/>
      </c>
    </row>
    <row r="100" spans="2:33" ht="13.8" x14ac:dyDescent="0.25">
      <c r="B100" s="103">
        <v>89</v>
      </c>
      <c r="C100" s="268"/>
      <c r="D100" s="82"/>
      <c r="E100" s="203"/>
      <c r="F100" s="498" t="str">
        <f>IF(D100="","",VLOOKUP(D100,'G-6 Hedgerow Data'!$B$2:$AG$15,2,FALSE))</f>
        <v/>
      </c>
      <c r="G100" s="524" t="str">
        <f>IF(D100="","",VLOOKUP(D100,'G-6 Hedgerow Data'!$B$2:$AG$15,3,FALSE))</f>
        <v/>
      </c>
      <c r="H100" s="72"/>
      <c r="I100" s="499" t="str">
        <f>IFERROR(IF(AND(F100="V.Low",OR(H100="Good",H100="Moderate")),"Error ▲",VLOOKUP(H100,'G-1 All Habitats'!$Z$2:$AA$9,2,FALSE)),"")</f>
        <v/>
      </c>
      <c r="J100" s="146"/>
      <c r="K100" s="520" t="str">
        <f>IF(J100="","",IF(VLOOKUP(J100,'G-3 Multipliers'!$L$3:$N$6,2,FALSE)=0,"Spatial Data Missing",VLOOKUP(J100,'G-3 Multipliers'!$L$3:$N$6,2,FALSE)))</f>
        <v/>
      </c>
      <c r="L100" s="524" t="str">
        <f>IF(J100="","",IF(VLOOKUP(J100,'G-3 Multipliers'!$L$3:$N$6,3,FALSE)=0,"Spatial Data Missing",VLOOKUP(J100,'G-3 Multipliers'!$L$3:$N$6,3,FALSE)))</f>
        <v/>
      </c>
      <c r="M100" s="197"/>
      <c r="N100" s="499" t="str">
        <f>IF(M100="","",IF(VLOOKUP(M100,'G-3 Multipliers'!$S$3:$T$6,2,FALSE)=0,"Spatial Data Missing ⚠",VLOOKUP(M100,'G-3 Multipliers'!$S$3:$T$6,2,FALSE)))</f>
        <v/>
      </c>
      <c r="O100" s="498" t="str">
        <f>IF(OR(D100="",H100=""),"",(INDEX('G-6 Hedgerow Data'!$E$3:$I$15,MATCH(D100,'G-6 Hedgerow Data'!$B$3:$B$15,0),MATCH(H100,'G-6 Hedgerow Data'!$E$2:$I$2,0))))</f>
        <v/>
      </c>
      <c r="P100" s="195"/>
      <c r="Q100" s="195"/>
      <c r="R100" s="507" t="str">
        <f t="shared" si="7"/>
        <v/>
      </c>
      <c r="S100" s="521" t="str">
        <f t="shared" si="8"/>
        <v/>
      </c>
      <c r="T100" s="522" t="str">
        <f t="shared" si="6"/>
        <v/>
      </c>
      <c r="U100" s="537" t="str">
        <f>IF(D100="","",VLOOKUP(D100,'G-6 Hedgerow Data'!$B$3:$AG$15,31,FALSE))</f>
        <v/>
      </c>
      <c r="V100" s="520" t="str">
        <f t="shared" si="9"/>
        <v/>
      </c>
      <c r="W100" s="520" t="str">
        <f t="shared" si="10"/>
        <v/>
      </c>
      <c r="X100" s="524" t="str">
        <f>IF(F100="","",VLOOKUP(U100,'G-3 Multipliers'!$P$3:$Q$6,2,FALSE))</f>
        <v/>
      </c>
      <c r="Y100" s="529" t="str">
        <f t="shared" si="11"/>
        <v/>
      </c>
      <c r="Z100" s="149"/>
      <c r="AA100" s="150"/>
      <c r="AG100" s="31" t="str">
        <f>IFERROR(INDEX('G-6 Hedgerow Data'!$BJ$3:$BJ$15,MATCH(D100,'G-6 Hedgerow Data'!$B$3:$B$15,0)),"")</f>
        <v/>
      </c>
    </row>
    <row r="101" spans="2:33" ht="13.8" x14ac:dyDescent="0.25">
      <c r="B101" s="103">
        <v>90</v>
      </c>
      <c r="C101" s="268"/>
      <c r="D101" s="82"/>
      <c r="E101" s="203"/>
      <c r="F101" s="498" t="str">
        <f>IF(D101="","",VLOOKUP(D101,'G-6 Hedgerow Data'!$B$2:$AG$15,2,FALSE))</f>
        <v/>
      </c>
      <c r="G101" s="524" t="str">
        <f>IF(D101="","",VLOOKUP(D101,'G-6 Hedgerow Data'!$B$2:$AG$15,3,FALSE))</f>
        <v/>
      </c>
      <c r="H101" s="72"/>
      <c r="I101" s="499" t="str">
        <f>IFERROR(IF(AND(F101="V.Low",OR(H101="Good",H101="Moderate")),"Error ▲",VLOOKUP(H101,'G-1 All Habitats'!$Z$2:$AA$9,2,FALSE)),"")</f>
        <v/>
      </c>
      <c r="J101" s="146"/>
      <c r="K101" s="520" t="str">
        <f>IF(J101="","",IF(VLOOKUP(J101,'G-3 Multipliers'!$L$3:$N$6,2,FALSE)=0,"Spatial Data Missing",VLOOKUP(J101,'G-3 Multipliers'!$L$3:$N$6,2,FALSE)))</f>
        <v/>
      </c>
      <c r="L101" s="524" t="str">
        <f>IF(J101="","",IF(VLOOKUP(J101,'G-3 Multipliers'!$L$3:$N$6,3,FALSE)=0,"Spatial Data Missing",VLOOKUP(J101,'G-3 Multipliers'!$L$3:$N$6,3,FALSE)))</f>
        <v/>
      </c>
      <c r="M101" s="197"/>
      <c r="N101" s="499" t="str">
        <f>IF(M101="","",IF(VLOOKUP(M101,'G-3 Multipliers'!$S$3:$T$6,2,FALSE)=0,"Spatial Data Missing ⚠",VLOOKUP(M101,'G-3 Multipliers'!$S$3:$T$6,2,FALSE)))</f>
        <v/>
      </c>
      <c r="O101" s="498" t="str">
        <f>IF(OR(D101="",H101=""),"",(INDEX('G-6 Hedgerow Data'!$E$3:$I$15,MATCH(D101,'G-6 Hedgerow Data'!$B$3:$B$15,0),MATCH(H101,'G-6 Hedgerow Data'!$E$2:$I$2,0))))</f>
        <v/>
      </c>
      <c r="P101" s="195"/>
      <c r="Q101" s="195"/>
      <c r="R101" s="507" t="str">
        <f t="shared" si="7"/>
        <v/>
      </c>
      <c r="S101" s="521" t="str">
        <f t="shared" si="8"/>
        <v/>
      </c>
      <c r="T101" s="522" t="str">
        <f t="shared" si="6"/>
        <v/>
      </c>
      <c r="U101" s="537" t="str">
        <f>IF(D101="","",VLOOKUP(D101,'G-6 Hedgerow Data'!$B$3:$AG$15,31,FALSE))</f>
        <v/>
      </c>
      <c r="V101" s="520" t="str">
        <f t="shared" si="9"/>
        <v/>
      </c>
      <c r="W101" s="520" t="str">
        <f t="shared" si="10"/>
        <v/>
      </c>
      <c r="X101" s="524" t="str">
        <f>IF(F101="","",VLOOKUP(U101,'G-3 Multipliers'!$P$3:$Q$6,2,FALSE))</f>
        <v/>
      </c>
      <c r="Y101" s="529" t="str">
        <f t="shared" si="11"/>
        <v/>
      </c>
      <c r="Z101" s="149"/>
      <c r="AA101" s="150"/>
      <c r="AG101" s="31" t="str">
        <f>IFERROR(INDEX('G-6 Hedgerow Data'!$BJ$3:$BJ$15,MATCH(D101,'G-6 Hedgerow Data'!$B$3:$B$15,0)),"")</f>
        <v/>
      </c>
    </row>
    <row r="102" spans="2:33" ht="13.8" x14ac:dyDescent="0.25">
      <c r="B102" s="103">
        <v>91</v>
      </c>
      <c r="C102" s="268"/>
      <c r="D102" s="82"/>
      <c r="E102" s="203"/>
      <c r="F102" s="498" t="str">
        <f>IF(D102="","",VLOOKUP(D102,'G-6 Hedgerow Data'!$B$2:$AG$15,2,FALSE))</f>
        <v/>
      </c>
      <c r="G102" s="524" t="str">
        <f>IF(D102="","",VLOOKUP(D102,'G-6 Hedgerow Data'!$B$2:$AG$15,3,FALSE))</f>
        <v/>
      </c>
      <c r="H102" s="72"/>
      <c r="I102" s="499" t="str">
        <f>IFERROR(IF(AND(F102="V.Low",OR(H102="Good",H102="Moderate")),"Error ▲",VLOOKUP(H102,'G-1 All Habitats'!$Z$2:$AA$9,2,FALSE)),"")</f>
        <v/>
      </c>
      <c r="J102" s="146"/>
      <c r="K102" s="520" t="str">
        <f>IF(J102="","",IF(VLOOKUP(J102,'G-3 Multipliers'!$L$3:$N$6,2,FALSE)=0,"Spatial Data Missing",VLOOKUP(J102,'G-3 Multipliers'!$L$3:$N$6,2,FALSE)))</f>
        <v/>
      </c>
      <c r="L102" s="524" t="str">
        <f>IF(J102="","",IF(VLOOKUP(J102,'G-3 Multipliers'!$L$3:$N$6,3,FALSE)=0,"Spatial Data Missing",VLOOKUP(J102,'G-3 Multipliers'!$L$3:$N$6,3,FALSE)))</f>
        <v/>
      </c>
      <c r="M102" s="197"/>
      <c r="N102" s="499" t="str">
        <f>IF(M102="","",IF(VLOOKUP(M102,'G-3 Multipliers'!$S$3:$T$6,2,FALSE)=0,"Spatial Data Missing ⚠",VLOOKUP(M102,'G-3 Multipliers'!$S$3:$T$6,2,FALSE)))</f>
        <v/>
      </c>
      <c r="O102" s="498" t="str">
        <f>IF(OR(D102="",H102=""),"",(INDEX('G-6 Hedgerow Data'!$E$3:$I$15,MATCH(D102,'G-6 Hedgerow Data'!$B$3:$B$15,0),MATCH(H102,'G-6 Hedgerow Data'!$E$2:$I$2,0))))</f>
        <v/>
      </c>
      <c r="P102" s="195"/>
      <c r="Q102" s="195"/>
      <c r="R102" s="507" t="str">
        <f t="shared" si="7"/>
        <v/>
      </c>
      <c r="S102" s="521" t="str">
        <f t="shared" si="8"/>
        <v/>
      </c>
      <c r="T102" s="522" t="str">
        <f t="shared" si="6"/>
        <v/>
      </c>
      <c r="U102" s="537" t="str">
        <f>IF(D102="","",VLOOKUP(D102,'G-6 Hedgerow Data'!$B$3:$AG$15,31,FALSE))</f>
        <v/>
      </c>
      <c r="V102" s="520" t="str">
        <f t="shared" si="9"/>
        <v/>
      </c>
      <c r="W102" s="520" t="str">
        <f t="shared" si="10"/>
        <v/>
      </c>
      <c r="X102" s="524" t="str">
        <f>IF(F102="","",VLOOKUP(U102,'G-3 Multipliers'!$P$3:$Q$6,2,FALSE))</f>
        <v/>
      </c>
      <c r="Y102" s="529" t="str">
        <f t="shared" si="11"/>
        <v/>
      </c>
      <c r="Z102" s="149"/>
      <c r="AA102" s="150"/>
      <c r="AG102" s="31" t="str">
        <f>IFERROR(INDEX('G-6 Hedgerow Data'!$BJ$3:$BJ$15,MATCH(D102,'G-6 Hedgerow Data'!$B$3:$B$15,0)),"")</f>
        <v/>
      </c>
    </row>
    <row r="103" spans="2:33" ht="13.8" x14ac:dyDescent="0.25">
      <c r="B103" s="103">
        <v>92</v>
      </c>
      <c r="C103" s="268"/>
      <c r="D103" s="82"/>
      <c r="E103" s="203"/>
      <c r="F103" s="498" t="str">
        <f>IF(D103="","",VLOOKUP(D103,'G-6 Hedgerow Data'!$B$2:$AG$15,2,FALSE))</f>
        <v/>
      </c>
      <c r="G103" s="524" t="str">
        <f>IF(D103="","",VLOOKUP(D103,'G-6 Hedgerow Data'!$B$2:$AG$15,3,FALSE))</f>
        <v/>
      </c>
      <c r="H103" s="72"/>
      <c r="I103" s="499" t="str">
        <f>IFERROR(IF(AND(F103="V.Low",OR(H103="Good",H103="Moderate")),"Error ▲",VLOOKUP(H103,'G-1 All Habitats'!$Z$2:$AA$9,2,FALSE)),"")</f>
        <v/>
      </c>
      <c r="J103" s="146"/>
      <c r="K103" s="520" t="str">
        <f>IF(J103="","",IF(VLOOKUP(J103,'G-3 Multipliers'!$L$3:$N$6,2,FALSE)=0,"Spatial Data Missing",VLOOKUP(J103,'G-3 Multipliers'!$L$3:$N$6,2,FALSE)))</f>
        <v/>
      </c>
      <c r="L103" s="524" t="str">
        <f>IF(J103="","",IF(VLOOKUP(J103,'G-3 Multipliers'!$L$3:$N$6,3,FALSE)=0,"Spatial Data Missing",VLOOKUP(J103,'G-3 Multipliers'!$L$3:$N$6,3,FALSE)))</f>
        <v/>
      </c>
      <c r="M103" s="197"/>
      <c r="N103" s="499" t="str">
        <f>IF(M103="","",IF(VLOOKUP(M103,'G-3 Multipliers'!$S$3:$T$6,2,FALSE)=0,"Spatial Data Missing ⚠",VLOOKUP(M103,'G-3 Multipliers'!$S$3:$T$6,2,FALSE)))</f>
        <v/>
      </c>
      <c r="O103" s="498" t="str">
        <f>IF(OR(D103="",H103=""),"",(INDEX('G-6 Hedgerow Data'!$E$3:$I$15,MATCH(D103,'G-6 Hedgerow Data'!$B$3:$B$15,0),MATCH(H103,'G-6 Hedgerow Data'!$E$2:$I$2,0))))</f>
        <v/>
      </c>
      <c r="P103" s="195"/>
      <c r="Q103" s="195"/>
      <c r="R103" s="507" t="str">
        <f t="shared" si="7"/>
        <v/>
      </c>
      <c r="S103" s="521" t="str">
        <f t="shared" si="8"/>
        <v/>
      </c>
      <c r="T103" s="522" t="str">
        <f t="shared" si="6"/>
        <v/>
      </c>
      <c r="U103" s="537" t="str">
        <f>IF(D103="","",VLOOKUP(D103,'G-6 Hedgerow Data'!$B$3:$AG$15,31,FALSE))</f>
        <v/>
      </c>
      <c r="V103" s="520" t="str">
        <f t="shared" si="9"/>
        <v/>
      </c>
      <c r="W103" s="520" t="str">
        <f t="shared" si="10"/>
        <v/>
      </c>
      <c r="X103" s="524" t="str">
        <f>IF(F103="","",VLOOKUP(U103,'G-3 Multipliers'!$P$3:$Q$6,2,FALSE))</f>
        <v/>
      </c>
      <c r="Y103" s="529" t="str">
        <f t="shared" si="11"/>
        <v/>
      </c>
      <c r="Z103" s="149"/>
      <c r="AA103" s="150"/>
      <c r="AG103" s="31" t="str">
        <f>IFERROR(INDEX('G-6 Hedgerow Data'!$BJ$3:$BJ$15,MATCH(D103,'G-6 Hedgerow Data'!$B$3:$B$15,0)),"")</f>
        <v/>
      </c>
    </row>
    <row r="104" spans="2:33" ht="13.8" x14ac:dyDescent="0.25">
      <c r="B104" s="103">
        <v>93</v>
      </c>
      <c r="C104" s="268"/>
      <c r="D104" s="82"/>
      <c r="E104" s="203"/>
      <c r="F104" s="498" t="str">
        <f>IF(D104="","",VLOOKUP(D104,'G-6 Hedgerow Data'!$B$2:$AG$15,2,FALSE))</f>
        <v/>
      </c>
      <c r="G104" s="524" t="str">
        <f>IF(D104="","",VLOOKUP(D104,'G-6 Hedgerow Data'!$B$2:$AG$15,3,FALSE))</f>
        <v/>
      </c>
      <c r="H104" s="72"/>
      <c r="I104" s="499" t="str">
        <f>IFERROR(IF(AND(F104="V.Low",OR(H104="Good",H104="Moderate")),"Error ▲",VLOOKUP(H104,'G-1 All Habitats'!$Z$2:$AA$9,2,FALSE)),"")</f>
        <v/>
      </c>
      <c r="J104" s="146"/>
      <c r="K104" s="520" t="str">
        <f>IF(J104="","",IF(VLOOKUP(J104,'G-3 Multipliers'!$L$3:$N$6,2,FALSE)=0,"Spatial Data Missing",VLOOKUP(J104,'G-3 Multipliers'!$L$3:$N$6,2,FALSE)))</f>
        <v/>
      </c>
      <c r="L104" s="524" t="str">
        <f>IF(J104="","",IF(VLOOKUP(J104,'G-3 Multipliers'!$L$3:$N$6,3,FALSE)=0,"Spatial Data Missing",VLOOKUP(J104,'G-3 Multipliers'!$L$3:$N$6,3,FALSE)))</f>
        <v/>
      </c>
      <c r="M104" s="197"/>
      <c r="N104" s="499" t="str">
        <f>IF(M104="","",IF(VLOOKUP(M104,'G-3 Multipliers'!$S$3:$T$6,2,FALSE)=0,"Spatial Data Missing ⚠",VLOOKUP(M104,'G-3 Multipliers'!$S$3:$T$6,2,FALSE)))</f>
        <v/>
      </c>
      <c r="O104" s="498" t="str">
        <f>IF(OR(D104="",H104=""),"",(INDEX('G-6 Hedgerow Data'!$E$3:$I$15,MATCH(D104,'G-6 Hedgerow Data'!$B$3:$B$15,0),MATCH(H104,'G-6 Hedgerow Data'!$E$2:$I$2,0))))</f>
        <v/>
      </c>
      <c r="P104" s="195"/>
      <c r="Q104" s="195"/>
      <c r="R104" s="507" t="str">
        <f t="shared" si="7"/>
        <v/>
      </c>
      <c r="S104" s="521" t="str">
        <f t="shared" si="8"/>
        <v/>
      </c>
      <c r="T104" s="522" t="str">
        <f t="shared" si="6"/>
        <v/>
      </c>
      <c r="U104" s="537" t="str">
        <f>IF(D104="","",VLOOKUP(D104,'G-6 Hedgerow Data'!$B$3:$AG$15,31,FALSE))</f>
        <v/>
      </c>
      <c r="V104" s="520" t="str">
        <f t="shared" si="9"/>
        <v/>
      </c>
      <c r="W104" s="520" t="str">
        <f t="shared" si="10"/>
        <v/>
      </c>
      <c r="X104" s="524" t="str">
        <f>IF(F104="","",VLOOKUP(U104,'G-3 Multipliers'!$P$3:$Q$6,2,FALSE))</f>
        <v/>
      </c>
      <c r="Y104" s="529" t="str">
        <f t="shared" si="11"/>
        <v/>
      </c>
      <c r="Z104" s="149"/>
      <c r="AA104" s="150"/>
      <c r="AG104" s="31" t="str">
        <f>IFERROR(INDEX('G-6 Hedgerow Data'!$BJ$3:$BJ$15,MATCH(D104,'G-6 Hedgerow Data'!$B$3:$B$15,0)),"")</f>
        <v/>
      </c>
    </row>
    <row r="105" spans="2:33" ht="13.8" x14ac:dyDescent="0.25">
      <c r="B105" s="103">
        <v>94</v>
      </c>
      <c r="C105" s="268"/>
      <c r="D105" s="82"/>
      <c r="E105" s="203"/>
      <c r="F105" s="498" t="str">
        <f>IF(D105="","",VLOOKUP(D105,'G-6 Hedgerow Data'!$B$2:$AG$15,2,FALSE))</f>
        <v/>
      </c>
      <c r="G105" s="524" t="str">
        <f>IF(D105="","",VLOOKUP(D105,'G-6 Hedgerow Data'!$B$2:$AG$15,3,FALSE))</f>
        <v/>
      </c>
      <c r="H105" s="72"/>
      <c r="I105" s="499" t="str">
        <f>IFERROR(IF(AND(F105="V.Low",OR(H105="Good",H105="Moderate")),"Error ▲",VLOOKUP(H105,'G-1 All Habitats'!$Z$2:$AA$9,2,FALSE)),"")</f>
        <v/>
      </c>
      <c r="J105" s="146"/>
      <c r="K105" s="520" t="str">
        <f>IF(J105="","",IF(VLOOKUP(J105,'G-3 Multipliers'!$L$3:$N$6,2,FALSE)=0,"Spatial Data Missing",VLOOKUP(J105,'G-3 Multipliers'!$L$3:$N$6,2,FALSE)))</f>
        <v/>
      </c>
      <c r="L105" s="524" t="str">
        <f>IF(J105="","",IF(VLOOKUP(J105,'G-3 Multipliers'!$L$3:$N$6,3,FALSE)=0,"Spatial Data Missing",VLOOKUP(J105,'G-3 Multipliers'!$L$3:$N$6,3,FALSE)))</f>
        <v/>
      </c>
      <c r="M105" s="197"/>
      <c r="N105" s="499" t="str">
        <f>IF(M105="","",IF(VLOOKUP(M105,'G-3 Multipliers'!$S$3:$T$6,2,FALSE)=0,"Spatial Data Missing ⚠",VLOOKUP(M105,'G-3 Multipliers'!$S$3:$T$6,2,FALSE)))</f>
        <v/>
      </c>
      <c r="O105" s="498" t="str">
        <f>IF(OR(D105="",H105=""),"",(INDEX('G-6 Hedgerow Data'!$E$3:$I$15,MATCH(D105,'G-6 Hedgerow Data'!$B$3:$B$15,0),MATCH(H105,'G-6 Hedgerow Data'!$E$2:$I$2,0))))</f>
        <v/>
      </c>
      <c r="P105" s="195"/>
      <c r="Q105" s="195"/>
      <c r="R105" s="507" t="str">
        <f t="shared" si="7"/>
        <v/>
      </c>
      <c r="S105" s="521" t="str">
        <f t="shared" si="8"/>
        <v/>
      </c>
      <c r="T105" s="522" t="str">
        <f t="shared" si="6"/>
        <v/>
      </c>
      <c r="U105" s="537" t="str">
        <f>IF(D105="","",VLOOKUP(D105,'G-6 Hedgerow Data'!$B$3:$AG$15,31,FALSE))</f>
        <v/>
      </c>
      <c r="V105" s="520" t="str">
        <f t="shared" si="9"/>
        <v/>
      </c>
      <c r="W105" s="520" t="str">
        <f t="shared" si="10"/>
        <v/>
      </c>
      <c r="X105" s="524" t="str">
        <f>IF(F105="","",VLOOKUP(U105,'G-3 Multipliers'!$P$3:$Q$6,2,FALSE))</f>
        <v/>
      </c>
      <c r="Y105" s="529" t="str">
        <f t="shared" si="11"/>
        <v/>
      </c>
      <c r="Z105" s="149"/>
      <c r="AA105" s="150"/>
      <c r="AG105" s="31" t="str">
        <f>IFERROR(INDEX('G-6 Hedgerow Data'!$BJ$3:$BJ$15,MATCH(D105,'G-6 Hedgerow Data'!$B$3:$B$15,0)),"")</f>
        <v/>
      </c>
    </row>
    <row r="106" spans="2:33" ht="13.8" x14ac:dyDescent="0.25">
      <c r="B106" s="103">
        <v>95</v>
      </c>
      <c r="C106" s="268"/>
      <c r="D106" s="82"/>
      <c r="E106" s="203"/>
      <c r="F106" s="498" t="str">
        <f>IF(D106="","",VLOOKUP(D106,'G-6 Hedgerow Data'!$B$2:$AG$15,2,FALSE))</f>
        <v/>
      </c>
      <c r="G106" s="524" t="str">
        <f>IF(D106="","",VLOOKUP(D106,'G-6 Hedgerow Data'!$B$2:$AG$15,3,FALSE))</f>
        <v/>
      </c>
      <c r="H106" s="72"/>
      <c r="I106" s="499" t="str">
        <f>IFERROR(IF(AND(F106="V.Low",OR(H106="Good",H106="Moderate")),"Error ▲",VLOOKUP(H106,'G-1 All Habitats'!$Z$2:$AA$9,2,FALSE)),"")</f>
        <v/>
      </c>
      <c r="J106" s="146"/>
      <c r="K106" s="520" t="str">
        <f>IF(J106="","",IF(VLOOKUP(J106,'G-3 Multipliers'!$L$3:$N$6,2,FALSE)=0,"Spatial Data Missing",VLOOKUP(J106,'G-3 Multipliers'!$L$3:$N$6,2,FALSE)))</f>
        <v/>
      </c>
      <c r="L106" s="524" t="str">
        <f>IF(J106="","",IF(VLOOKUP(J106,'G-3 Multipliers'!$L$3:$N$6,3,FALSE)=0,"Spatial Data Missing",VLOOKUP(J106,'G-3 Multipliers'!$L$3:$N$6,3,FALSE)))</f>
        <v/>
      </c>
      <c r="M106" s="197"/>
      <c r="N106" s="499" t="str">
        <f>IF(M106="","",IF(VLOOKUP(M106,'G-3 Multipliers'!$S$3:$T$6,2,FALSE)=0,"Spatial Data Missing ⚠",VLOOKUP(M106,'G-3 Multipliers'!$S$3:$T$6,2,FALSE)))</f>
        <v/>
      </c>
      <c r="O106" s="498" t="str">
        <f>IF(OR(D106="",H106=""),"",(INDEX('G-6 Hedgerow Data'!$E$3:$I$15,MATCH(D106,'G-6 Hedgerow Data'!$B$3:$B$15,0),MATCH(H106,'G-6 Hedgerow Data'!$E$2:$I$2,0))))</f>
        <v/>
      </c>
      <c r="P106" s="195"/>
      <c r="Q106" s="195"/>
      <c r="R106" s="507" t="str">
        <f t="shared" si="7"/>
        <v/>
      </c>
      <c r="S106" s="521" t="str">
        <f t="shared" si="8"/>
        <v/>
      </c>
      <c r="T106" s="522" t="str">
        <f t="shared" si="6"/>
        <v/>
      </c>
      <c r="U106" s="537" t="str">
        <f>IF(D106="","",VLOOKUP(D106,'G-6 Hedgerow Data'!$B$3:$AG$15,31,FALSE))</f>
        <v/>
      </c>
      <c r="V106" s="520" t="str">
        <f t="shared" si="9"/>
        <v/>
      </c>
      <c r="W106" s="520" t="str">
        <f t="shared" si="10"/>
        <v/>
      </c>
      <c r="X106" s="524" t="str">
        <f>IF(F106="","",VLOOKUP(U106,'G-3 Multipliers'!$P$3:$Q$6,2,FALSE))</f>
        <v/>
      </c>
      <c r="Y106" s="529" t="str">
        <f t="shared" si="11"/>
        <v/>
      </c>
      <c r="Z106" s="149"/>
      <c r="AA106" s="150"/>
      <c r="AG106" s="31" t="str">
        <f>IFERROR(INDEX('G-6 Hedgerow Data'!$BJ$3:$BJ$15,MATCH(D106,'G-6 Hedgerow Data'!$B$3:$B$15,0)),"")</f>
        <v/>
      </c>
    </row>
    <row r="107" spans="2:33" ht="13.8" x14ac:dyDescent="0.25">
      <c r="B107" s="103">
        <v>96</v>
      </c>
      <c r="C107" s="268"/>
      <c r="D107" s="82"/>
      <c r="E107" s="203"/>
      <c r="F107" s="498" t="str">
        <f>IF(D107="","",VLOOKUP(D107,'G-6 Hedgerow Data'!$B$2:$AG$15,2,FALSE))</f>
        <v/>
      </c>
      <c r="G107" s="524" t="str">
        <f>IF(D107="","",VLOOKUP(D107,'G-6 Hedgerow Data'!$B$2:$AG$15,3,FALSE))</f>
        <v/>
      </c>
      <c r="H107" s="72"/>
      <c r="I107" s="499" t="str">
        <f>IFERROR(IF(AND(F107="V.Low",OR(H107="Good",H107="Moderate")),"Error ▲",VLOOKUP(H107,'G-1 All Habitats'!$Z$2:$AA$9,2,FALSE)),"")</f>
        <v/>
      </c>
      <c r="J107" s="146"/>
      <c r="K107" s="520" t="str">
        <f>IF(J107="","",IF(VLOOKUP(J107,'G-3 Multipliers'!$L$3:$N$6,2,FALSE)=0,"Spatial Data Missing",VLOOKUP(J107,'G-3 Multipliers'!$L$3:$N$6,2,FALSE)))</f>
        <v/>
      </c>
      <c r="L107" s="524" t="str">
        <f>IF(J107="","",IF(VLOOKUP(J107,'G-3 Multipliers'!$L$3:$N$6,3,FALSE)=0,"Spatial Data Missing",VLOOKUP(J107,'G-3 Multipliers'!$L$3:$N$6,3,FALSE)))</f>
        <v/>
      </c>
      <c r="M107" s="197"/>
      <c r="N107" s="499" t="str">
        <f>IF(M107="","",IF(VLOOKUP(M107,'G-3 Multipliers'!$S$3:$T$6,2,FALSE)=0,"Spatial Data Missing ⚠",VLOOKUP(M107,'G-3 Multipliers'!$S$3:$T$6,2,FALSE)))</f>
        <v/>
      </c>
      <c r="O107" s="498" t="str">
        <f>IF(OR(D107="",H107=""),"",(INDEX('G-6 Hedgerow Data'!$E$3:$I$15,MATCH(D107,'G-6 Hedgerow Data'!$B$3:$B$15,0),MATCH(H107,'G-6 Hedgerow Data'!$E$2:$I$2,0))))</f>
        <v/>
      </c>
      <c r="P107" s="195"/>
      <c r="Q107" s="195"/>
      <c r="R107" s="507" t="str">
        <f t="shared" si="7"/>
        <v/>
      </c>
      <c r="S107" s="521" t="str">
        <f t="shared" si="8"/>
        <v/>
      </c>
      <c r="T107" s="522" t="str">
        <f t="shared" si="6"/>
        <v/>
      </c>
      <c r="U107" s="537" t="str">
        <f>IF(D107="","",VLOOKUP(D107,'G-6 Hedgerow Data'!$B$3:$AG$15,31,FALSE))</f>
        <v/>
      </c>
      <c r="V107" s="520" t="str">
        <f t="shared" si="9"/>
        <v/>
      </c>
      <c r="W107" s="520" t="str">
        <f t="shared" si="10"/>
        <v/>
      </c>
      <c r="X107" s="524" t="str">
        <f>IF(F107="","",VLOOKUP(U107,'G-3 Multipliers'!$P$3:$Q$6,2,FALSE))</f>
        <v/>
      </c>
      <c r="Y107" s="529" t="str">
        <f t="shared" si="11"/>
        <v/>
      </c>
      <c r="Z107" s="149"/>
      <c r="AA107" s="150"/>
      <c r="AG107" s="31" t="str">
        <f>IFERROR(INDEX('G-6 Hedgerow Data'!$BJ$3:$BJ$15,MATCH(D107,'G-6 Hedgerow Data'!$B$3:$B$15,0)),"")</f>
        <v/>
      </c>
    </row>
    <row r="108" spans="2:33" ht="13.8" x14ac:dyDescent="0.25">
      <c r="B108" s="103">
        <v>97</v>
      </c>
      <c r="C108" s="268"/>
      <c r="D108" s="82"/>
      <c r="E108" s="203"/>
      <c r="F108" s="498" t="str">
        <f>IF(D108="","",VLOOKUP(D108,'G-6 Hedgerow Data'!$B$2:$AG$15,2,FALSE))</f>
        <v/>
      </c>
      <c r="G108" s="524" t="str">
        <f>IF(D108="","",VLOOKUP(D108,'G-6 Hedgerow Data'!$B$2:$AG$15,3,FALSE))</f>
        <v/>
      </c>
      <c r="H108" s="72"/>
      <c r="I108" s="499" t="str">
        <f>IFERROR(IF(AND(F108="V.Low",OR(H108="Good",H108="Moderate")),"Error ▲",VLOOKUP(H108,'G-1 All Habitats'!$Z$2:$AA$9,2,FALSE)),"")</f>
        <v/>
      </c>
      <c r="J108" s="146"/>
      <c r="K108" s="520" t="str">
        <f>IF(J108="","",IF(VLOOKUP(J108,'G-3 Multipliers'!$L$3:$N$6,2,FALSE)=0,"Spatial Data Missing",VLOOKUP(J108,'G-3 Multipliers'!$L$3:$N$6,2,FALSE)))</f>
        <v/>
      </c>
      <c r="L108" s="524" t="str">
        <f>IF(J108="","",IF(VLOOKUP(J108,'G-3 Multipliers'!$L$3:$N$6,3,FALSE)=0,"Spatial Data Missing",VLOOKUP(J108,'G-3 Multipliers'!$L$3:$N$6,3,FALSE)))</f>
        <v/>
      </c>
      <c r="M108" s="197"/>
      <c r="N108" s="499" t="str">
        <f>IF(M108="","",IF(VLOOKUP(M108,'G-3 Multipliers'!$S$3:$T$6,2,FALSE)=0,"Spatial Data Missing ⚠",VLOOKUP(M108,'G-3 Multipliers'!$S$3:$T$6,2,FALSE)))</f>
        <v/>
      </c>
      <c r="O108" s="498" t="str">
        <f>IF(OR(D108="",H108=""),"",(INDEX('G-6 Hedgerow Data'!$E$3:$I$15,MATCH(D108,'G-6 Hedgerow Data'!$B$3:$B$15,0),MATCH(H108,'G-6 Hedgerow Data'!$E$2:$I$2,0))))</f>
        <v/>
      </c>
      <c r="P108" s="195"/>
      <c r="Q108" s="195"/>
      <c r="R108" s="507" t="str">
        <f t="shared" si="7"/>
        <v/>
      </c>
      <c r="S108" s="521" t="str">
        <f t="shared" si="8"/>
        <v/>
      </c>
      <c r="T108" s="522" t="str">
        <f t="shared" si="6"/>
        <v/>
      </c>
      <c r="U108" s="537" t="str">
        <f>IF(D108="","",VLOOKUP(D108,'G-6 Hedgerow Data'!$B$3:$AG$15,31,FALSE))</f>
        <v/>
      </c>
      <c r="V108" s="520" t="str">
        <f t="shared" si="9"/>
        <v/>
      </c>
      <c r="W108" s="520" t="str">
        <f t="shared" si="10"/>
        <v/>
      </c>
      <c r="X108" s="524" t="str">
        <f>IF(F108="","",VLOOKUP(U108,'G-3 Multipliers'!$P$3:$Q$6,2,FALSE))</f>
        <v/>
      </c>
      <c r="Y108" s="529" t="str">
        <f t="shared" si="11"/>
        <v/>
      </c>
      <c r="Z108" s="149"/>
      <c r="AA108" s="150"/>
      <c r="AG108" s="31" t="str">
        <f>IFERROR(INDEX('G-6 Hedgerow Data'!$BJ$3:$BJ$15,MATCH(D108,'G-6 Hedgerow Data'!$B$3:$B$15,0)),"")</f>
        <v/>
      </c>
    </row>
    <row r="109" spans="2:33" ht="13.8" x14ac:dyDescent="0.25">
      <c r="B109" s="103">
        <v>98</v>
      </c>
      <c r="C109" s="268"/>
      <c r="D109" s="82"/>
      <c r="E109" s="203"/>
      <c r="F109" s="498" t="str">
        <f>IF(D109="","",VLOOKUP(D109,'G-6 Hedgerow Data'!$B$2:$AG$15,2,FALSE))</f>
        <v/>
      </c>
      <c r="G109" s="524" t="str">
        <f>IF(D109="","",VLOOKUP(D109,'G-6 Hedgerow Data'!$B$2:$AG$15,3,FALSE))</f>
        <v/>
      </c>
      <c r="H109" s="72"/>
      <c r="I109" s="499" t="str">
        <f>IFERROR(IF(AND(F109="V.Low",OR(H109="Good",H109="Moderate")),"Error ▲",VLOOKUP(H109,'G-1 All Habitats'!$Z$2:$AA$9,2,FALSE)),"")</f>
        <v/>
      </c>
      <c r="J109" s="146"/>
      <c r="K109" s="520" t="str">
        <f>IF(J109="","",IF(VLOOKUP(J109,'G-3 Multipliers'!$L$3:$N$6,2,FALSE)=0,"Spatial Data Missing",VLOOKUP(J109,'G-3 Multipliers'!$L$3:$N$6,2,FALSE)))</f>
        <v/>
      </c>
      <c r="L109" s="524" t="str">
        <f>IF(J109="","",IF(VLOOKUP(J109,'G-3 Multipliers'!$L$3:$N$6,3,FALSE)=0,"Spatial Data Missing",VLOOKUP(J109,'G-3 Multipliers'!$L$3:$N$6,3,FALSE)))</f>
        <v/>
      </c>
      <c r="M109" s="197"/>
      <c r="N109" s="499" t="str">
        <f>IF(M109="","",IF(VLOOKUP(M109,'G-3 Multipliers'!$S$3:$T$6,2,FALSE)=0,"Spatial Data Missing ⚠",VLOOKUP(M109,'G-3 Multipliers'!$S$3:$T$6,2,FALSE)))</f>
        <v/>
      </c>
      <c r="O109" s="498" t="str">
        <f>IF(OR(D109="",H109=""),"",(INDEX('G-6 Hedgerow Data'!$E$3:$I$15,MATCH(D109,'G-6 Hedgerow Data'!$B$3:$B$15,0),MATCH(H109,'G-6 Hedgerow Data'!$E$2:$I$2,0))))</f>
        <v/>
      </c>
      <c r="P109" s="195"/>
      <c r="Q109" s="195"/>
      <c r="R109" s="507" t="str">
        <f t="shared" si="7"/>
        <v/>
      </c>
      <c r="S109" s="521" t="str">
        <f t="shared" si="8"/>
        <v/>
      </c>
      <c r="T109" s="522" t="str">
        <f t="shared" si="6"/>
        <v/>
      </c>
      <c r="U109" s="537" t="str">
        <f>IF(D109="","",VLOOKUP(D109,'G-6 Hedgerow Data'!$B$3:$AG$15,31,FALSE))</f>
        <v/>
      </c>
      <c r="V109" s="520" t="str">
        <f t="shared" si="9"/>
        <v/>
      </c>
      <c r="W109" s="520" t="str">
        <f t="shared" si="10"/>
        <v/>
      </c>
      <c r="X109" s="524" t="str">
        <f>IF(F109="","",VLOOKUP(U109,'G-3 Multipliers'!$P$3:$Q$6,2,FALSE))</f>
        <v/>
      </c>
      <c r="Y109" s="529" t="str">
        <f t="shared" si="11"/>
        <v/>
      </c>
      <c r="Z109" s="149"/>
      <c r="AA109" s="150"/>
      <c r="AG109" s="31" t="str">
        <f>IFERROR(INDEX('G-6 Hedgerow Data'!$BJ$3:$BJ$15,MATCH(D109,'G-6 Hedgerow Data'!$B$3:$B$15,0)),"")</f>
        <v/>
      </c>
    </row>
    <row r="110" spans="2:33" ht="13.8" x14ac:dyDescent="0.25">
      <c r="B110" s="103">
        <v>99</v>
      </c>
      <c r="C110" s="268"/>
      <c r="D110" s="82"/>
      <c r="E110" s="203"/>
      <c r="F110" s="498" t="str">
        <f>IF(D110="","",VLOOKUP(D110,'G-6 Hedgerow Data'!$B$2:$AG$15,2,FALSE))</f>
        <v/>
      </c>
      <c r="G110" s="524" t="str">
        <f>IF(D110="","",VLOOKUP(D110,'G-6 Hedgerow Data'!$B$2:$AG$15,3,FALSE))</f>
        <v/>
      </c>
      <c r="H110" s="72"/>
      <c r="I110" s="499" t="str">
        <f>IFERROR(IF(AND(F110="V.Low",OR(H110="Good",H110="Moderate")),"Error ▲",VLOOKUP(H110,'G-1 All Habitats'!$Z$2:$AA$9,2,FALSE)),"")</f>
        <v/>
      </c>
      <c r="J110" s="146"/>
      <c r="K110" s="520" t="str">
        <f>IF(J110="","",IF(VLOOKUP(J110,'G-3 Multipliers'!$L$3:$N$6,2,FALSE)=0,"Spatial Data Missing",VLOOKUP(J110,'G-3 Multipliers'!$L$3:$N$6,2,FALSE)))</f>
        <v/>
      </c>
      <c r="L110" s="524" t="str">
        <f>IF(J110="","",IF(VLOOKUP(J110,'G-3 Multipliers'!$L$3:$N$6,3,FALSE)=0,"Spatial Data Missing",VLOOKUP(J110,'G-3 Multipliers'!$L$3:$N$6,3,FALSE)))</f>
        <v/>
      </c>
      <c r="M110" s="197"/>
      <c r="N110" s="499" t="str">
        <f>IF(M110="","",IF(VLOOKUP(M110,'G-3 Multipliers'!$S$3:$T$6,2,FALSE)=0,"Spatial Data Missing ⚠",VLOOKUP(M110,'G-3 Multipliers'!$S$3:$T$6,2,FALSE)))</f>
        <v/>
      </c>
      <c r="O110" s="498" t="str">
        <f>IF(OR(D110="",H110=""),"",(INDEX('G-6 Hedgerow Data'!$E$3:$I$15,MATCH(D110,'G-6 Hedgerow Data'!$B$3:$B$15,0),MATCH(H110,'G-6 Hedgerow Data'!$E$2:$I$2,0))))</f>
        <v/>
      </c>
      <c r="P110" s="195"/>
      <c r="Q110" s="195"/>
      <c r="R110" s="507" t="str">
        <f t="shared" si="7"/>
        <v/>
      </c>
      <c r="S110" s="521" t="str">
        <f t="shared" si="8"/>
        <v/>
      </c>
      <c r="T110" s="522" t="str">
        <f t="shared" si="6"/>
        <v/>
      </c>
      <c r="U110" s="537" t="str">
        <f>IF(D110="","",VLOOKUP(D110,'G-6 Hedgerow Data'!$B$3:$AG$15,31,FALSE))</f>
        <v/>
      </c>
      <c r="V110" s="520" t="str">
        <f t="shared" si="9"/>
        <v/>
      </c>
      <c r="W110" s="520" t="str">
        <f t="shared" si="10"/>
        <v/>
      </c>
      <c r="X110" s="524" t="str">
        <f>IF(F110="","",VLOOKUP(U110,'G-3 Multipliers'!$P$3:$Q$6,2,FALSE))</f>
        <v/>
      </c>
      <c r="Y110" s="529" t="str">
        <f t="shared" si="11"/>
        <v/>
      </c>
      <c r="Z110" s="149"/>
      <c r="AA110" s="150"/>
      <c r="AG110" s="31" t="str">
        <f>IFERROR(INDEX('G-6 Hedgerow Data'!$BJ$3:$BJ$15,MATCH(D110,'G-6 Hedgerow Data'!$B$3:$B$15,0)),"")</f>
        <v/>
      </c>
    </row>
    <row r="111" spans="2:33" ht="13.8" x14ac:dyDescent="0.25">
      <c r="B111" s="103">
        <v>100</v>
      </c>
      <c r="C111" s="268"/>
      <c r="D111" s="82"/>
      <c r="E111" s="203"/>
      <c r="F111" s="498" t="str">
        <f>IF(D111="","",VLOOKUP(D111,'G-6 Hedgerow Data'!$B$2:$AG$15,2,FALSE))</f>
        <v/>
      </c>
      <c r="G111" s="524" t="str">
        <f>IF(D111="","",VLOOKUP(D111,'G-6 Hedgerow Data'!$B$2:$AG$15,3,FALSE))</f>
        <v/>
      </c>
      <c r="H111" s="72"/>
      <c r="I111" s="499" t="str">
        <f>IFERROR(IF(AND(F111="V.Low",OR(H111="Good",H111="Moderate")),"Error ▲",VLOOKUP(H111,'G-1 All Habitats'!$Z$2:$AA$9,2,FALSE)),"")</f>
        <v/>
      </c>
      <c r="J111" s="146"/>
      <c r="K111" s="520" t="str">
        <f>IF(J111="","",IF(VLOOKUP(J111,'G-3 Multipliers'!$L$3:$N$6,2,FALSE)=0,"Spatial Data Missing",VLOOKUP(J111,'G-3 Multipliers'!$L$3:$N$6,2,FALSE)))</f>
        <v/>
      </c>
      <c r="L111" s="524" t="str">
        <f>IF(J111="","",IF(VLOOKUP(J111,'G-3 Multipliers'!$L$3:$N$6,3,FALSE)=0,"Spatial Data Missing",VLOOKUP(J111,'G-3 Multipliers'!$L$3:$N$6,3,FALSE)))</f>
        <v/>
      </c>
      <c r="M111" s="197"/>
      <c r="N111" s="499" t="str">
        <f>IF(M111="","",IF(VLOOKUP(M111,'G-3 Multipliers'!$S$3:$T$6,2,FALSE)=0,"Spatial Data Missing ⚠",VLOOKUP(M111,'G-3 Multipliers'!$S$3:$T$6,2,FALSE)))</f>
        <v/>
      </c>
      <c r="O111" s="498" t="str">
        <f>IF(OR(D111="",H111=""),"",(INDEX('G-6 Hedgerow Data'!$E$3:$I$15,MATCH(D111,'G-6 Hedgerow Data'!$B$3:$B$15,0),MATCH(H111,'G-6 Hedgerow Data'!$E$2:$I$2,0))))</f>
        <v/>
      </c>
      <c r="P111" s="195"/>
      <c r="Q111" s="195"/>
      <c r="R111" s="507" t="str">
        <f t="shared" si="7"/>
        <v/>
      </c>
      <c r="S111" s="521" t="str">
        <f t="shared" si="8"/>
        <v/>
      </c>
      <c r="T111" s="522" t="str">
        <f t="shared" si="6"/>
        <v/>
      </c>
      <c r="U111" s="537" t="str">
        <f>IF(D111="","",VLOOKUP(D111,'G-6 Hedgerow Data'!$B$3:$AG$15,31,FALSE))</f>
        <v/>
      </c>
      <c r="V111" s="520" t="str">
        <f t="shared" si="9"/>
        <v/>
      </c>
      <c r="W111" s="520" t="str">
        <f t="shared" si="10"/>
        <v/>
      </c>
      <c r="X111" s="524" t="str">
        <f>IF(F111="","",VLOOKUP(U111,'G-3 Multipliers'!$P$3:$Q$6,2,FALSE))</f>
        <v/>
      </c>
      <c r="Y111" s="529" t="str">
        <f t="shared" si="11"/>
        <v/>
      </c>
      <c r="Z111" s="149"/>
      <c r="AA111" s="150"/>
      <c r="AG111" s="31" t="str">
        <f>IFERROR(INDEX('G-6 Hedgerow Data'!$BJ$3:$BJ$15,MATCH(D111,'G-6 Hedgerow Data'!$B$3:$B$15,0)),"")</f>
        <v/>
      </c>
    </row>
    <row r="112" spans="2:33" ht="13.8" x14ac:dyDescent="0.25">
      <c r="B112" s="103">
        <v>101</v>
      </c>
      <c r="C112" s="268"/>
      <c r="D112" s="82"/>
      <c r="E112" s="203"/>
      <c r="F112" s="498" t="str">
        <f>IF(D112="","",VLOOKUP(D112,'G-6 Hedgerow Data'!$B$2:$AG$15,2,FALSE))</f>
        <v/>
      </c>
      <c r="G112" s="524" t="str">
        <f>IF(D112="","",VLOOKUP(D112,'G-6 Hedgerow Data'!$B$2:$AG$15,3,FALSE))</f>
        <v/>
      </c>
      <c r="H112" s="72"/>
      <c r="I112" s="499" t="str">
        <f>IFERROR(IF(AND(F112="V.Low",OR(H112="Good",H112="Moderate")),"Error ▲",VLOOKUP(H112,'G-1 All Habitats'!$Z$2:$AA$9,2,FALSE)),"")</f>
        <v/>
      </c>
      <c r="J112" s="146"/>
      <c r="K112" s="520" t="str">
        <f>IF(J112="","",IF(VLOOKUP(J112,'G-3 Multipliers'!$L$3:$N$6,2,FALSE)=0,"Spatial Data Missing",VLOOKUP(J112,'G-3 Multipliers'!$L$3:$N$6,2,FALSE)))</f>
        <v/>
      </c>
      <c r="L112" s="524" t="str">
        <f>IF(J112="","",IF(VLOOKUP(J112,'G-3 Multipliers'!$L$3:$N$6,3,FALSE)=0,"Spatial Data Missing",VLOOKUP(J112,'G-3 Multipliers'!$L$3:$N$6,3,FALSE)))</f>
        <v/>
      </c>
      <c r="M112" s="197"/>
      <c r="N112" s="499" t="str">
        <f>IF(M112="","",IF(VLOOKUP(M112,'G-3 Multipliers'!$S$3:$T$6,2,FALSE)=0,"Spatial Data Missing ⚠",VLOOKUP(M112,'G-3 Multipliers'!$S$3:$T$6,2,FALSE)))</f>
        <v/>
      </c>
      <c r="O112" s="498" t="str">
        <f>IF(OR(D112="",H112=""),"",(INDEX('G-6 Hedgerow Data'!$E$3:$I$15,MATCH(D112,'G-6 Hedgerow Data'!$B$3:$B$15,0),MATCH(H112,'G-6 Hedgerow Data'!$E$2:$I$2,0))))</f>
        <v/>
      </c>
      <c r="P112" s="195"/>
      <c r="Q112" s="195"/>
      <c r="R112" s="507" t="str">
        <f t="shared" si="7"/>
        <v/>
      </c>
      <c r="S112" s="521" t="str">
        <f t="shared" si="8"/>
        <v/>
      </c>
      <c r="T112" s="522" t="str">
        <f t="shared" si="6"/>
        <v/>
      </c>
      <c r="U112" s="537" t="str">
        <f>IF(D112="","",VLOOKUP(D112,'G-6 Hedgerow Data'!$B$3:$AG$15,31,FALSE))</f>
        <v/>
      </c>
      <c r="V112" s="520" t="str">
        <f t="shared" si="9"/>
        <v/>
      </c>
      <c r="W112" s="520" t="str">
        <f t="shared" si="10"/>
        <v/>
      </c>
      <c r="X112" s="524" t="str">
        <f>IF(F112="","",VLOOKUP(U112,'G-3 Multipliers'!$P$3:$Q$6,2,FALSE))</f>
        <v/>
      </c>
      <c r="Y112" s="529" t="str">
        <f t="shared" si="11"/>
        <v/>
      </c>
      <c r="Z112" s="149"/>
      <c r="AA112" s="150"/>
      <c r="AG112" s="31" t="str">
        <f>IFERROR(INDEX('G-6 Hedgerow Data'!$BJ$3:$BJ$15,MATCH(D112,'G-6 Hedgerow Data'!$B$3:$B$15,0)),"")</f>
        <v/>
      </c>
    </row>
    <row r="113" spans="2:33" ht="13.8" x14ac:dyDescent="0.25">
      <c r="B113" s="103">
        <v>102</v>
      </c>
      <c r="C113" s="268"/>
      <c r="D113" s="82"/>
      <c r="E113" s="203"/>
      <c r="F113" s="498" t="str">
        <f>IF(D113="","",VLOOKUP(D113,'G-6 Hedgerow Data'!$B$2:$AG$15,2,FALSE))</f>
        <v/>
      </c>
      <c r="G113" s="524" t="str">
        <f>IF(D113="","",VLOOKUP(D113,'G-6 Hedgerow Data'!$B$2:$AG$15,3,FALSE))</f>
        <v/>
      </c>
      <c r="H113" s="72"/>
      <c r="I113" s="499" t="str">
        <f>IFERROR(IF(AND(F113="V.Low",OR(H113="Good",H113="Moderate")),"Error ▲",VLOOKUP(H113,'G-1 All Habitats'!$Z$2:$AA$9,2,FALSE)),"")</f>
        <v/>
      </c>
      <c r="J113" s="146"/>
      <c r="K113" s="520" t="str">
        <f>IF(J113="","",IF(VLOOKUP(J113,'G-3 Multipliers'!$L$3:$N$6,2,FALSE)=0,"Spatial Data Missing",VLOOKUP(J113,'G-3 Multipliers'!$L$3:$N$6,2,FALSE)))</f>
        <v/>
      </c>
      <c r="L113" s="524" t="str">
        <f>IF(J113="","",IF(VLOOKUP(J113,'G-3 Multipliers'!$L$3:$N$6,3,FALSE)=0,"Spatial Data Missing",VLOOKUP(J113,'G-3 Multipliers'!$L$3:$N$6,3,FALSE)))</f>
        <v/>
      </c>
      <c r="M113" s="197"/>
      <c r="N113" s="499" t="str">
        <f>IF(M113="","",IF(VLOOKUP(M113,'G-3 Multipliers'!$S$3:$T$6,2,FALSE)=0,"Spatial Data Missing ⚠",VLOOKUP(M113,'G-3 Multipliers'!$S$3:$T$6,2,FALSE)))</f>
        <v/>
      </c>
      <c r="O113" s="498" t="str">
        <f>IF(OR(D113="",H113=""),"",(INDEX('G-6 Hedgerow Data'!$E$3:$I$15,MATCH(D113,'G-6 Hedgerow Data'!$B$3:$B$15,0),MATCH(H113,'G-6 Hedgerow Data'!$E$2:$I$2,0))))</f>
        <v/>
      </c>
      <c r="P113" s="195"/>
      <c r="Q113" s="195"/>
      <c r="R113" s="507" t="str">
        <f t="shared" si="7"/>
        <v/>
      </c>
      <c r="S113" s="521" t="str">
        <f t="shared" si="8"/>
        <v/>
      </c>
      <c r="T113" s="522" t="str">
        <f t="shared" si="6"/>
        <v/>
      </c>
      <c r="U113" s="537" t="str">
        <f>IF(D113="","",VLOOKUP(D113,'G-6 Hedgerow Data'!$B$3:$AG$15,31,FALSE))</f>
        <v/>
      </c>
      <c r="V113" s="520" t="str">
        <f t="shared" si="9"/>
        <v/>
      </c>
      <c r="W113" s="520" t="str">
        <f t="shared" si="10"/>
        <v/>
      </c>
      <c r="X113" s="524" t="str">
        <f>IF(F113="","",VLOOKUP(U113,'G-3 Multipliers'!$P$3:$Q$6,2,FALSE))</f>
        <v/>
      </c>
      <c r="Y113" s="529" t="str">
        <f t="shared" si="11"/>
        <v/>
      </c>
      <c r="Z113" s="149"/>
      <c r="AA113" s="150"/>
      <c r="AG113" s="31" t="str">
        <f>IFERROR(INDEX('G-6 Hedgerow Data'!$BJ$3:$BJ$15,MATCH(D113,'G-6 Hedgerow Data'!$B$3:$B$15,0)),"")</f>
        <v/>
      </c>
    </row>
    <row r="114" spans="2:33" ht="13.8" x14ac:dyDescent="0.25">
      <c r="B114" s="103">
        <v>103</v>
      </c>
      <c r="C114" s="268"/>
      <c r="D114" s="82"/>
      <c r="E114" s="203"/>
      <c r="F114" s="498" t="str">
        <f>IF(D114="","",VLOOKUP(D114,'G-6 Hedgerow Data'!$B$2:$AG$15,2,FALSE))</f>
        <v/>
      </c>
      <c r="G114" s="524" t="str">
        <f>IF(D114="","",VLOOKUP(D114,'G-6 Hedgerow Data'!$B$2:$AG$15,3,FALSE))</f>
        <v/>
      </c>
      <c r="H114" s="72"/>
      <c r="I114" s="499" t="str">
        <f>IFERROR(IF(AND(F114="V.Low",OR(H114="Good",H114="Moderate")),"Error ▲",VLOOKUP(H114,'G-1 All Habitats'!$Z$2:$AA$9,2,FALSE)),"")</f>
        <v/>
      </c>
      <c r="J114" s="146"/>
      <c r="K114" s="520" t="str">
        <f>IF(J114="","",IF(VLOOKUP(J114,'G-3 Multipliers'!$L$3:$N$6,2,FALSE)=0,"Spatial Data Missing",VLOOKUP(J114,'G-3 Multipliers'!$L$3:$N$6,2,FALSE)))</f>
        <v/>
      </c>
      <c r="L114" s="524" t="str">
        <f>IF(J114="","",IF(VLOOKUP(J114,'G-3 Multipliers'!$L$3:$N$6,3,FALSE)=0,"Spatial Data Missing",VLOOKUP(J114,'G-3 Multipliers'!$L$3:$N$6,3,FALSE)))</f>
        <v/>
      </c>
      <c r="M114" s="197"/>
      <c r="N114" s="499" t="str">
        <f>IF(M114="","",IF(VLOOKUP(M114,'G-3 Multipliers'!$S$3:$T$6,2,FALSE)=0,"Spatial Data Missing ⚠",VLOOKUP(M114,'G-3 Multipliers'!$S$3:$T$6,2,FALSE)))</f>
        <v/>
      </c>
      <c r="O114" s="498" t="str">
        <f>IF(OR(D114="",H114=""),"",(INDEX('G-6 Hedgerow Data'!$E$3:$I$15,MATCH(D114,'G-6 Hedgerow Data'!$B$3:$B$15,0),MATCH(H114,'G-6 Hedgerow Data'!$E$2:$I$2,0))))</f>
        <v/>
      </c>
      <c r="P114" s="195"/>
      <c r="Q114" s="195"/>
      <c r="R114" s="507" t="str">
        <f t="shared" si="7"/>
        <v/>
      </c>
      <c r="S114" s="521" t="str">
        <f t="shared" si="8"/>
        <v/>
      </c>
      <c r="T114" s="522" t="str">
        <f t="shared" si="6"/>
        <v/>
      </c>
      <c r="U114" s="537" t="str">
        <f>IF(D114="","",VLOOKUP(D114,'G-6 Hedgerow Data'!$B$3:$AG$15,31,FALSE))</f>
        <v/>
      </c>
      <c r="V114" s="520" t="str">
        <f t="shared" si="9"/>
        <v/>
      </c>
      <c r="W114" s="520" t="str">
        <f t="shared" si="10"/>
        <v/>
      </c>
      <c r="X114" s="524" t="str">
        <f>IF(F114="","",VLOOKUP(U114,'G-3 Multipliers'!$P$3:$Q$6,2,FALSE))</f>
        <v/>
      </c>
      <c r="Y114" s="529" t="str">
        <f t="shared" si="11"/>
        <v/>
      </c>
      <c r="Z114" s="149"/>
      <c r="AA114" s="150"/>
      <c r="AG114" s="31" t="str">
        <f>IFERROR(INDEX('G-6 Hedgerow Data'!$BJ$3:$BJ$15,MATCH(D114,'G-6 Hedgerow Data'!$B$3:$B$15,0)),"")</f>
        <v/>
      </c>
    </row>
    <row r="115" spans="2:33" ht="13.8" x14ac:dyDescent="0.25">
      <c r="B115" s="103">
        <v>104</v>
      </c>
      <c r="C115" s="268"/>
      <c r="D115" s="82"/>
      <c r="E115" s="203"/>
      <c r="F115" s="498" t="str">
        <f>IF(D115="","",VLOOKUP(D115,'G-6 Hedgerow Data'!$B$2:$AG$15,2,FALSE))</f>
        <v/>
      </c>
      <c r="G115" s="524" t="str">
        <f>IF(D115="","",VLOOKUP(D115,'G-6 Hedgerow Data'!$B$2:$AG$15,3,FALSE))</f>
        <v/>
      </c>
      <c r="H115" s="72"/>
      <c r="I115" s="499" t="str">
        <f>IFERROR(IF(AND(F115="V.Low",OR(H115="Good",H115="Moderate")),"Error ▲",VLOOKUP(H115,'G-1 All Habitats'!$Z$2:$AA$9,2,FALSE)),"")</f>
        <v/>
      </c>
      <c r="J115" s="146"/>
      <c r="K115" s="520" t="str">
        <f>IF(J115="","",IF(VLOOKUP(J115,'G-3 Multipliers'!$L$3:$N$6,2,FALSE)=0,"Spatial Data Missing",VLOOKUP(J115,'G-3 Multipliers'!$L$3:$N$6,2,FALSE)))</f>
        <v/>
      </c>
      <c r="L115" s="524" t="str">
        <f>IF(J115="","",IF(VLOOKUP(J115,'G-3 Multipliers'!$L$3:$N$6,3,FALSE)=0,"Spatial Data Missing",VLOOKUP(J115,'G-3 Multipliers'!$L$3:$N$6,3,FALSE)))</f>
        <v/>
      </c>
      <c r="M115" s="197"/>
      <c r="N115" s="499" t="str">
        <f>IF(M115="","",IF(VLOOKUP(M115,'G-3 Multipliers'!$S$3:$T$6,2,FALSE)=0,"Spatial Data Missing ⚠",VLOOKUP(M115,'G-3 Multipliers'!$S$3:$T$6,2,FALSE)))</f>
        <v/>
      </c>
      <c r="O115" s="498" t="str">
        <f>IF(OR(D115="",H115=""),"",(INDEX('G-6 Hedgerow Data'!$E$3:$I$15,MATCH(D115,'G-6 Hedgerow Data'!$B$3:$B$15,0),MATCH(H115,'G-6 Hedgerow Data'!$E$2:$I$2,0))))</f>
        <v/>
      </c>
      <c r="P115" s="195"/>
      <c r="Q115" s="195"/>
      <c r="R115" s="507" t="str">
        <f t="shared" si="7"/>
        <v/>
      </c>
      <c r="S115" s="521" t="str">
        <f t="shared" si="8"/>
        <v/>
      </c>
      <c r="T115" s="522" t="str">
        <f t="shared" si="6"/>
        <v/>
      </c>
      <c r="U115" s="537" t="str">
        <f>IF(D115="","",VLOOKUP(D115,'G-6 Hedgerow Data'!$B$3:$AG$15,31,FALSE))</f>
        <v/>
      </c>
      <c r="V115" s="520" t="str">
        <f t="shared" si="9"/>
        <v/>
      </c>
      <c r="W115" s="520" t="str">
        <f t="shared" si="10"/>
        <v/>
      </c>
      <c r="X115" s="524" t="str">
        <f>IF(F115="","",VLOOKUP(U115,'G-3 Multipliers'!$P$3:$Q$6,2,FALSE))</f>
        <v/>
      </c>
      <c r="Y115" s="529" t="str">
        <f t="shared" si="11"/>
        <v/>
      </c>
      <c r="Z115" s="149"/>
      <c r="AA115" s="150"/>
      <c r="AG115" s="31" t="str">
        <f>IFERROR(INDEX('G-6 Hedgerow Data'!$BJ$3:$BJ$15,MATCH(D115,'G-6 Hedgerow Data'!$B$3:$B$15,0)),"")</f>
        <v/>
      </c>
    </row>
    <row r="116" spans="2:33" ht="13.8" x14ac:dyDescent="0.25">
      <c r="B116" s="103">
        <v>105</v>
      </c>
      <c r="C116" s="268"/>
      <c r="D116" s="82"/>
      <c r="E116" s="203"/>
      <c r="F116" s="498" t="str">
        <f>IF(D116="","",VLOOKUP(D116,'G-6 Hedgerow Data'!$B$2:$AG$15,2,FALSE))</f>
        <v/>
      </c>
      <c r="G116" s="524" t="str">
        <f>IF(D116="","",VLOOKUP(D116,'G-6 Hedgerow Data'!$B$2:$AG$15,3,FALSE))</f>
        <v/>
      </c>
      <c r="H116" s="72"/>
      <c r="I116" s="499" t="str">
        <f>IFERROR(IF(AND(F116="V.Low",OR(H116="Good",H116="Moderate")),"Error ▲",VLOOKUP(H116,'G-1 All Habitats'!$Z$2:$AA$9,2,FALSE)),"")</f>
        <v/>
      </c>
      <c r="J116" s="146"/>
      <c r="K116" s="520" t="str">
        <f>IF(J116="","",IF(VLOOKUP(J116,'G-3 Multipliers'!$L$3:$N$6,2,FALSE)=0,"Spatial Data Missing",VLOOKUP(J116,'G-3 Multipliers'!$L$3:$N$6,2,FALSE)))</f>
        <v/>
      </c>
      <c r="L116" s="524" t="str">
        <f>IF(J116="","",IF(VLOOKUP(J116,'G-3 Multipliers'!$L$3:$N$6,3,FALSE)=0,"Spatial Data Missing",VLOOKUP(J116,'G-3 Multipliers'!$L$3:$N$6,3,FALSE)))</f>
        <v/>
      </c>
      <c r="M116" s="197"/>
      <c r="N116" s="499" t="str">
        <f>IF(M116="","",IF(VLOOKUP(M116,'G-3 Multipliers'!$S$3:$T$6,2,FALSE)=0,"Spatial Data Missing ⚠",VLOOKUP(M116,'G-3 Multipliers'!$S$3:$T$6,2,FALSE)))</f>
        <v/>
      </c>
      <c r="O116" s="498" t="str">
        <f>IF(OR(D116="",H116=""),"",(INDEX('G-6 Hedgerow Data'!$E$3:$I$15,MATCH(D116,'G-6 Hedgerow Data'!$B$3:$B$15,0),MATCH(H116,'G-6 Hedgerow Data'!$E$2:$I$2,0))))</f>
        <v/>
      </c>
      <c r="P116" s="195"/>
      <c r="Q116" s="195"/>
      <c r="R116" s="507" t="str">
        <f t="shared" si="7"/>
        <v/>
      </c>
      <c r="S116" s="521" t="str">
        <f t="shared" si="8"/>
        <v/>
      </c>
      <c r="T116" s="522" t="str">
        <f t="shared" si="6"/>
        <v/>
      </c>
      <c r="U116" s="537" t="str">
        <f>IF(D116="","",VLOOKUP(D116,'G-6 Hedgerow Data'!$B$3:$AG$15,31,FALSE))</f>
        <v/>
      </c>
      <c r="V116" s="520" t="str">
        <f t="shared" si="9"/>
        <v/>
      </c>
      <c r="W116" s="520" t="str">
        <f t="shared" si="10"/>
        <v/>
      </c>
      <c r="X116" s="524" t="str">
        <f>IF(F116="","",VLOOKUP(U116,'G-3 Multipliers'!$P$3:$Q$6,2,FALSE))</f>
        <v/>
      </c>
      <c r="Y116" s="529" t="str">
        <f t="shared" si="11"/>
        <v/>
      </c>
      <c r="Z116" s="149"/>
      <c r="AA116" s="150"/>
      <c r="AG116" s="31" t="str">
        <f>IFERROR(INDEX('G-6 Hedgerow Data'!$BJ$3:$BJ$15,MATCH(D116,'G-6 Hedgerow Data'!$B$3:$B$15,0)),"")</f>
        <v/>
      </c>
    </row>
    <row r="117" spans="2:33" ht="13.8" x14ac:dyDescent="0.25">
      <c r="B117" s="103">
        <v>106</v>
      </c>
      <c r="C117" s="268"/>
      <c r="D117" s="82"/>
      <c r="E117" s="203"/>
      <c r="F117" s="498" t="str">
        <f>IF(D117="","",VLOOKUP(D117,'G-6 Hedgerow Data'!$B$2:$AG$15,2,FALSE))</f>
        <v/>
      </c>
      <c r="G117" s="524" t="str">
        <f>IF(D117="","",VLOOKUP(D117,'G-6 Hedgerow Data'!$B$2:$AG$15,3,FALSE))</f>
        <v/>
      </c>
      <c r="H117" s="72"/>
      <c r="I117" s="499" t="str">
        <f>IFERROR(IF(AND(F117="V.Low",OR(H117="Good",H117="Moderate")),"Error ▲",VLOOKUP(H117,'G-1 All Habitats'!$Z$2:$AA$9,2,FALSE)),"")</f>
        <v/>
      </c>
      <c r="J117" s="146"/>
      <c r="K117" s="520" t="str">
        <f>IF(J117="","",IF(VLOOKUP(J117,'G-3 Multipliers'!$L$3:$N$6,2,FALSE)=0,"Spatial Data Missing",VLOOKUP(J117,'G-3 Multipliers'!$L$3:$N$6,2,FALSE)))</f>
        <v/>
      </c>
      <c r="L117" s="524" t="str">
        <f>IF(J117="","",IF(VLOOKUP(J117,'G-3 Multipliers'!$L$3:$N$6,3,FALSE)=0,"Spatial Data Missing",VLOOKUP(J117,'G-3 Multipliers'!$L$3:$N$6,3,FALSE)))</f>
        <v/>
      </c>
      <c r="M117" s="197"/>
      <c r="N117" s="499" t="str">
        <f>IF(M117="","",IF(VLOOKUP(M117,'G-3 Multipliers'!$S$3:$T$6,2,FALSE)=0,"Spatial Data Missing ⚠",VLOOKUP(M117,'G-3 Multipliers'!$S$3:$T$6,2,FALSE)))</f>
        <v/>
      </c>
      <c r="O117" s="498" t="str">
        <f>IF(OR(D117="",H117=""),"",(INDEX('G-6 Hedgerow Data'!$E$3:$I$15,MATCH(D117,'G-6 Hedgerow Data'!$B$3:$B$15,0),MATCH(H117,'G-6 Hedgerow Data'!$E$2:$I$2,0))))</f>
        <v/>
      </c>
      <c r="P117" s="195"/>
      <c r="Q117" s="195"/>
      <c r="R117" s="507" t="str">
        <f t="shared" si="7"/>
        <v/>
      </c>
      <c r="S117" s="521" t="str">
        <f t="shared" si="8"/>
        <v/>
      </c>
      <c r="T117" s="522" t="str">
        <f t="shared" si="6"/>
        <v/>
      </c>
      <c r="U117" s="537" t="str">
        <f>IF(D117="","",VLOOKUP(D117,'G-6 Hedgerow Data'!$B$3:$AG$15,31,FALSE))</f>
        <v/>
      </c>
      <c r="V117" s="520" t="str">
        <f t="shared" si="9"/>
        <v/>
      </c>
      <c r="W117" s="520" t="str">
        <f t="shared" si="10"/>
        <v/>
      </c>
      <c r="X117" s="524" t="str">
        <f>IF(F117="","",VLOOKUP(U117,'G-3 Multipliers'!$P$3:$Q$6,2,FALSE))</f>
        <v/>
      </c>
      <c r="Y117" s="529" t="str">
        <f t="shared" si="11"/>
        <v/>
      </c>
      <c r="Z117" s="149"/>
      <c r="AA117" s="150"/>
      <c r="AG117" s="31" t="str">
        <f>IFERROR(INDEX('G-6 Hedgerow Data'!$BJ$3:$BJ$15,MATCH(D117,'G-6 Hedgerow Data'!$B$3:$B$15,0)),"")</f>
        <v/>
      </c>
    </row>
    <row r="118" spans="2:33" ht="13.8" x14ac:dyDescent="0.25">
      <c r="B118" s="103">
        <v>107</v>
      </c>
      <c r="C118" s="268"/>
      <c r="D118" s="82"/>
      <c r="E118" s="203"/>
      <c r="F118" s="498" t="str">
        <f>IF(D118="","",VLOOKUP(D118,'G-6 Hedgerow Data'!$B$2:$AG$15,2,FALSE))</f>
        <v/>
      </c>
      <c r="G118" s="524" t="str">
        <f>IF(D118="","",VLOOKUP(D118,'G-6 Hedgerow Data'!$B$2:$AG$15,3,FALSE))</f>
        <v/>
      </c>
      <c r="H118" s="72"/>
      <c r="I118" s="499" t="str">
        <f>IFERROR(IF(AND(F118="V.Low",OR(H118="Good",H118="Moderate")),"Error ▲",VLOOKUP(H118,'G-1 All Habitats'!$Z$2:$AA$9,2,FALSE)),"")</f>
        <v/>
      </c>
      <c r="J118" s="146"/>
      <c r="K118" s="520" t="str">
        <f>IF(J118="","",IF(VLOOKUP(J118,'G-3 Multipliers'!$L$3:$N$6,2,FALSE)=0,"Spatial Data Missing",VLOOKUP(J118,'G-3 Multipliers'!$L$3:$N$6,2,FALSE)))</f>
        <v/>
      </c>
      <c r="L118" s="524" t="str">
        <f>IF(J118="","",IF(VLOOKUP(J118,'G-3 Multipliers'!$L$3:$N$6,3,FALSE)=0,"Spatial Data Missing",VLOOKUP(J118,'G-3 Multipliers'!$L$3:$N$6,3,FALSE)))</f>
        <v/>
      </c>
      <c r="M118" s="197"/>
      <c r="N118" s="499" t="str">
        <f>IF(M118="","",IF(VLOOKUP(M118,'G-3 Multipliers'!$S$3:$T$6,2,FALSE)=0,"Spatial Data Missing ⚠",VLOOKUP(M118,'G-3 Multipliers'!$S$3:$T$6,2,FALSE)))</f>
        <v/>
      </c>
      <c r="O118" s="498" t="str">
        <f>IF(OR(D118="",H118=""),"",(INDEX('G-6 Hedgerow Data'!$E$3:$I$15,MATCH(D118,'G-6 Hedgerow Data'!$B$3:$B$15,0),MATCH(H118,'G-6 Hedgerow Data'!$E$2:$I$2,0))))</f>
        <v/>
      </c>
      <c r="P118" s="195"/>
      <c r="Q118" s="195"/>
      <c r="R118" s="507" t="str">
        <f t="shared" si="7"/>
        <v/>
      </c>
      <c r="S118" s="521" t="str">
        <f t="shared" si="8"/>
        <v/>
      </c>
      <c r="T118" s="522" t="str">
        <f t="shared" si="6"/>
        <v/>
      </c>
      <c r="U118" s="537" t="str">
        <f>IF(D118="","",VLOOKUP(D118,'G-6 Hedgerow Data'!$B$3:$AG$15,31,FALSE))</f>
        <v/>
      </c>
      <c r="V118" s="520" t="str">
        <f t="shared" si="9"/>
        <v/>
      </c>
      <c r="W118" s="520" t="str">
        <f t="shared" si="10"/>
        <v/>
      </c>
      <c r="X118" s="524" t="str">
        <f>IF(F118="","",VLOOKUP(U118,'G-3 Multipliers'!$P$3:$Q$6,2,FALSE))</f>
        <v/>
      </c>
      <c r="Y118" s="529" t="str">
        <f t="shared" si="11"/>
        <v/>
      </c>
      <c r="Z118" s="149"/>
      <c r="AA118" s="150"/>
      <c r="AG118" s="31" t="str">
        <f>IFERROR(INDEX('G-6 Hedgerow Data'!$BJ$3:$BJ$15,MATCH(D118,'G-6 Hedgerow Data'!$B$3:$B$15,0)),"")</f>
        <v/>
      </c>
    </row>
    <row r="119" spans="2:33" ht="13.8" x14ac:dyDescent="0.25">
      <c r="B119" s="103">
        <v>108</v>
      </c>
      <c r="C119" s="268"/>
      <c r="D119" s="82"/>
      <c r="E119" s="203"/>
      <c r="F119" s="498" t="str">
        <f>IF(D119="","",VLOOKUP(D119,'G-6 Hedgerow Data'!$B$2:$AG$15,2,FALSE))</f>
        <v/>
      </c>
      <c r="G119" s="524" t="str">
        <f>IF(D119="","",VLOOKUP(D119,'G-6 Hedgerow Data'!$B$2:$AG$15,3,FALSE))</f>
        <v/>
      </c>
      <c r="H119" s="72"/>
      <c r="I119" s="499" t="str">
        <f>IFERROR(IF(AND(F119="V.Low",OR(H119="Good",H119="Moderate")),"Error ▲",VLOOKUP(H119,'G-1 All Habitats'!$Z$2:$AA$9,2,FALSE)),"")</f>
        <v/>
      </c>
      <c r="J119" s="146"/>
      <c r="K119" s="520" t="str">
        <f>IF(J119="","",IF(VLOOKUP(J119,'G-3 Multipliers'!$L$3:$N$6,2,FALSE)=0,"Spatial Data Missing",VLOOKUP(J119,'G-3 Multipliers'!$L$3:$N$6,2,FALSE)))</f>
        <v/>
      </c>
      <c r="L119" s="524" t="str">
        <f>IF(J119="","",IF(VLOOKUP(J119,'G-3 Multipliers'!$L$3:$N$6,3,FALSE)=0,"Spatial Data Missing",VLOOKUP(J119,'G-3 Multipliers'!$L$3:$N$6,3,FALSE)))</f>
        <v/>
      </c>
      <c r="M119" s="197"/>
      <c r="N119" s="499" t="str">
        <f>IF(M119="","",IF(VLOOKUP(M119,'G-3 Multipliers'!$S$3:$T$6,2,FALSE)=0,"Spatial Data Missing ⚠",VLOOKUP(M119,'G-3 Multipliers'!$S$3:$T$6,2,FALSE)))</f>
        <v/>
      </c>
      <c r="O119" s="498" t="str">
        <f>IF(OR(D119="",H119=""),"",(INDEX('G-6 Hedgerow Data'!$E$3:$I$15,MATCH(D119,'G-6 Hedgerow Data'!$B$3:$B$15,0),MATCH(H119,'G-6 Hedgerow Data'!$E$2:$I$2,0))))</f>
        <v/>
      </c>
      <c r="P119" s="195"/>
      <c r="Q119" s="195"/>
      <c r="R119" s="507" t="str">
        <f t="shared" si="7"/>
        <v/>
      </c>
      <c r="S119" s="521" t="str">
        <f t="shared" si="8"/>
        <v/>
      </c>
      <c r="T119" s="522" t="str">
        <f t="shared" si="6"/>
        <v/>
      </c>
      <c r="U119" s="537" t="str">
        <f>IF(D119="","",VLOOKUP(D119,'G-6 Hedgerow Data'!$B$3:$AG$15,31,FALSE))</f>
        <v/>
      </c>
      <c r="V119" s="520" t="str">
        <f t="shared" si="9"/>
        <v/>
      </c>
      <c r="W119" s="520" t="str">
        <f t="shared" si="10"/>
        <v/>
      </c>
      <c r="X119" s="524" t="str">
        <f>IF(F119="","",VLOOKUP(U119,'G-3 Multipliers'!$P$3:$Q$6,2,FALSE))</f>
        <v/>
      </c>
      <c r="Y119" s="529" t="str">
        <f t="shared" si="11"/>
        <v/>
      </c>
      <c r="Z119" s="149"/>
      <c r="AA119" s="150"/>
      <c r="AG119" s="31" t="str">
        <f>IFERROR(INDEX('G-6 Hedgerow Data'!$BJ$3:$BJ$15,MATCH(D119,'G-6 Hedgerow Data'!$B$3:$B$15,0)),"")</f>
        <v/>
      </c>
    </row>
    <row r="120" spans="2:33" ht="13.8" x14ac:dyDescent="0.25">
      <c r="B120" s="103">
        <v>109</v>
      </c>
      <c r="C120" s="268"/>
      <c r="D120" s="82"/>
      <c r="E120" s="203"/>
      <c r="F120" s="498" t="str">
        <f>IF(D120="","",VLOOKUP(D120,'G-6 Hedgerow Data'!$B$2:$AG$15,2,FALSE))</f>
        <v/>
      </c>
      <c r="G120" s="524" t="str">
        <f>IF(D120="","",VLOOKUP(D120,'G-6 Hedgerow Data'!$B$2:$AG$15,3,FALSE))</f>
        <v/>
      </c>
      <c r="H120" s="72"/>
      <c r="I120" s="499" t="str">
        <f>IFERROR(IF(AND(F120="V.Low",OR(H120="Good",H120="Moderate")),"Error ▲",VLOOKUP(H120,'G-1 All Habitats'!$Z$2:$AA$9,2,FALSE)),"")</f>
        <v/>
      </c>
      <c r="J120" s="146"/>
      <c r="K120" s="520" t="str">
        <f>IF(J120="","",IF(VLOOKUP(J120,'G-3 Multipliers'!$L$3:$N$6,2,FALSE)=0,"Spatial Data Missing",VLOOKUP(J120,'G-3 Multipliers'!$L$3:$N$6,2,FALSE)))</f>
        <v/>
      </c>
      <c r="L120" s="524" t="str">
        <f>IF(J120="","",IF(VLOOKUP(J120,'G-3 Multipliers'!$L$3:$N$6,3,FALSE)=0,"Spatial Data Missing",VLOOKUP(J120,'G-3 Multipliers'!$L$3:$N$6,3,FALSE)))</f>
        <v/>
      </c>
      <c r="M120" s="197"/>
      <c r="N120" s="499" t="str">
        <f>IF(M120="","",IF(VLOOKUP(M120,'G-3 Multipliers'!$S$3:$T$6,2,FALSE)=0,"Spatial Data Missing ⚠",VLOOKUP(M120,'G-3 Multipliers'!$S$3:$T$6,2,FALSE)))</f>
        <v/>
      </c>
      <c r="O120" s="498" t="str">
        <f>IF(OR(D120="",H120=""),"",(INDEX('G-6 Hedgerow Data'!$E$3:$I$15,MATCH(D120,'G-6 Hedgerow Data'!$B$3:$B$15,0),MATCH(H120,'G-6 Hedgerow Data'!$E$2:$I$2,0))))</f>
        <v/>
      </c>
      <c r="P120" s="195"/>
      <c r="Q120" s="195"/>
      <c r="R120" s="507" t="str">
        <f t="shared" si="7"/>
        <v/>
      </c>
      <c r="S120" s="521" t="str">
        <f t="shared" si="8"/>
        <v/>
      </c>
      <c r="T120" s="522" t="str">
        <f t="shared" si="6"/>
        <v/>
      </c>
      <c r="U120" s="537" t="str">
        <f>IF(D120="","",VLOOKUP(D120,'G-6 Hedgerow Data'!$B$3:$AG$15,31,FALSE))</f>
        <v/>
      </c>
      <c r="V120" s="520" t="str">
        <f t="shared" si="9"/>
        <v/>
      </c>
      <c r="W120" s="520" t="str">
        <f t="shared" si="10"/>
        <v/>
      </c>
      <c r="X120" s="524" t="str">
        <f>IF(F120="","",VLOOKUP(U120,'G-3 Multipliers'!$P$3:$Q$6,2,FALSE))</f>
        <v/>
      </c>
      <c r="Y120" s="529" t="str">
        <f t="shared" si="11"/>
        <v/>
      </c>
      <c r="Z120" s="149"/>
      <c r="AA120" s="150"/>
      <c r="AG120" s="31" t="str">
        <f>IFERROR(INDEX('G-6 Hedgerow Data'!$BJ$3:$BJ$15,MATCH(D120,'G-6 Hedgerow Data'!$B$3:$B$15,0)),"")</f>
        <v/>
      </c>
    </row>
    <row r="121" spans="2:33" ht="13.8" x14ac:dyDescent="0.25">
      <c r="B121" s="103">
        <v>110</v>
      </c>
      <c r="C121" s="268"/>
      <c r="D121" s="82"/>
      <c r="E121" s="203"/>
      <c r="F121" s="498" t="str">
        <f>IF(D121="","",VLOOKUP(D121,'G-6 Hedgerow Data'!$B$2:$AG$15,2,FALSE))</f>
        <v/>
      </c>
      <c r="G121" s="524" t="str">
        <f>IF(D121="","",VLOOKUP(D121,'G-6 Hedgerow Data'!$B$2:$AG$15,3,FALSE))</f>
        <v/>
      </c>
      <c r="H121" s="72"/>
      <c r="I121" s="499" t="str">
        <f>IFERROR(IF(AND(F121="V.Low",OR(H121="Good",H121="Moderate")),"Error ▲",VLOOKUP(H121,'G-1 All Habitats'!$Z$2:$AA$9,2,FALSE)),"")</f>
        <v/>
      </c>
      <c r="J121" s="146"/>
      <c r="K121" s="520" t="str">
        <f>IF(J121="","",IF(VLOOKUP(J121,'G-3 Multipliers'!$L$3:$N$6,2,FALSE)=0,"Spatial Data Missing",VLOOKUP(J121,'G-3 Multipliers'!$L$3:$N$6,2,FALSE)))</f>
        <v/>
      </c>
      <c r="L121" s="524" t="str">
        <f>IF(J121="","",IF(VLOOKUP(J121,'G-3 Multipliers'!$L$3:$N$6,3,FALSE)=0,"Spatial Data Missing",VLOOKUP(J121,'G-3 Multipliers'!$L$3:$N$6,3,FALSE)))</f>
        <v/>
      </c>
      <c r="M121" s="197"/>
      <c r="N121" s="499" t="str">
        <f>IF(M121="","",IF(VLOOKUP(M121,'G-3 Multipliers'!$S$3:$T$6,2,FALSE)=0,"Spatial Data Missing ⚠",VLOOKUP(M121,'G-3 Multipliers'!$S$3:$T$6,2,FALSE)))</f>
        <v/>
      </c>
      <c r="O121" s="498" t="str">
        <f>IF(OR(D121="",H121=""),"",(INDEX('G-6 Hedgerow Data'!$E$3:$I$15,MATCH(D121,'G-6 Hedgerow Data'!$B$3:$B$15,0),MATCH(H121,'G-6 Hedgerow Data'!$E$2:$I$2,0))))</f>
        <v/>
      </c>
      <c r="P121" s="195"/>
      <c r="Q121" s="195"/>
      <c r="R121" s="507" t="str">
        <f t="shared" si="7"/>
        <v/>
      </c>
      <c r="S121" s="521" t="str">
        <f t="shared" si="8"/>
        <v/>
      </c>
      <c r="T121" s="522" t="str">
        <f t="shared" si="6"/>
        <v/>
      </c>
      <c r="U121" s="537" t="str">
        <f>IF(D121="","",VLOOKUP(D121,'G-6 Hedgerow Data'!$B$3:$AG$15,31,FALSE))</f>
        <v/>
      </c>
      <c r="V121" s="520" t="str">
        <f t="shared" si="9"/>
        <v/>
      </c>
      <c r="W121" s="520" t="str">
        <f t="shared" si="10"/>
        <v/>
      </c>
      <c r="X121" s="524" t="str">
        <f>IF(F121="","",VLOOKUP(U121,'G-3 Multipliers'!$P$3:$Q$6,2,FALSE))</f>
        <v/>
      </c>
      <c r="Y121" s="529" t="str">
        <f t="shared" si="11"/>
        <v/>
      </c>
      <c r="Z121" s="149"/>
      <c r="AA121" s="150"/>
      <c r="AG121" s="31" t="str">
        <f>IFERROR(INDEX('G-6 Hedgerow Data'!$BJ$3:$BJ$15,MATCH(D121,'G-6 Hedgerow Data'!$B$3:$B$15,0)),"")</f>
        <v/>
      </c>
    </row>
    <row r="122" spans="2:33" ht="13.8" x14ac:dyDescent="0.25">
      <c r="B122" s="103">
        <v>111</v>
      </c>
      <c r="C122" s="268"/>
      <c r="D122" s="82"/>
      <c r="E122" s="203"/>
      <c r="F122" s="498" t="str">
        <f>IF(D122="","",VLOOKUP(D122,'G-6 Hedgerow Data'!$B$2:$AG$15,2,FALSE))</f>
        <v/>
      </c>
      <c r="G122" s="524" t="str">
        <f>IF(D122="","",VLOOKUP(D122,'G-6 Hedgerow Data'!$B$2:$AG$15,3,FALSE))</f>
        <v/>
      </c>
      <c r="H122" s="72"/>
      <c r="I122" s="499" t="str">
        <f>IFERROR(IF(AND(F122="V.Low",OR(H122="Good",H122="Moderate")),"Error ▲",VLOOKUP(H122,'G-1 All Habitats'!$Z$2:$AA$9,2,FALSE)),"")</f>
        <v/>
      </c>
      <c r="J122" s="146"/>
      <c r="K122" s="520" t="str">
        <f>IF(J122="","",IF(VLOOKUP(J122,'G-3 Multipliers'!$L$3:$N$6,2,FALSE)=0,"Spatial Data Missing",VLOOKUP(J122,'G-3 Multipliers'!$L$3:$N$6,2,FALSE)))</f>
        <v/>
      </c>
      <c r="L122" s="524" t="str">
        <f>IF(J122="","",IF(VLOOKUP(J122,'G-3 Multipliers'!$L$3:$N$6,3,FALSE)=0,"Spatial Data Missing",VLOOKUP(J122,'G-3 Multipliers'!$L$3:$N$6,3,FALSE)))</f>
        <v/>
      </c>
      <c r="M122" s="197"/>
      <c r="N122" s="499" t="str">
        <f>IF(M122="","",IF(VLOOKUP(M122,'G-3 Multipliers'!$S$3:$T$6,2,FALSE)=0,"Spatial Data Missing ⚠",VLOOKUP(M122,'G-3 Multipliers'!$S$3:$T$6,2,FALSE)))</f>
        <v/>
      </c>
      <c r="O122" s="498" t="str">
        <f>IF(OR(D122="",H122=""),"",(INDEX('G-6 Hedgerow Data'!$E$3:$I$15,MATCH(D122,'G-6 Hedgerow Data'!$B$3:$B$15,0),MATCH(H122,'G-6 Hedgerow Data'!$E$2:$I$2,0))))</f>
        <v/>
      </c>
      <c r="P122" s="195"/>
      <c r="Q122" s="195"/>
      <c r="R122" s="507" t="str">
        <f t="shared" si="7"/>
        <v/>
      </c>
      <c r="S122" s="521" t="str">
        <f t="shared" si="8"/>
        <v/>
      </c>
      <c r="T122" s="522" t="str">
        <f t="shared" si="6"/>
        <v/>
      </c>
      <c r="U122" s="537" t="str">
        <f>IF(D122="","",VLOOKUP(D122,'G-6 Hedgerow Data'!$B$3:$AG$15,31,FALSE))</f>
        <v/>
      </c>
      <c r="V122" s="520" t="str">
        <f t="shared" si="9"/>
        <v/>
      </c>
      <c r="W122" s="520" t="str">
        <f t="shared" si="10"/>
        <v/>
      </c>
      <c r="X122" s="524" t="str">
        <f>IF(F122="","",VLOOKUP(U122,'G-3 Multipliers'!$P$3:$Q$6,2,FALSE))</f>
        <v/>
      </c>
      <c r="Y122" s="529" t="str">
        <f t="shared" si="11"/>
        <v/>
      </c>
      <c r="Z122" s="149"/>
      <c r="AA122" s="150"/>
      <c r="AG122" s="31" t="str">
        <f>IFERROR(INDEX('G-6 Hedgerow Data'!$BJ$3:$BJ$15,MATCH(D122,'G-6 Hedgerow Data'!$B$3:$B$15,0)),"")</f>
        <v/>
      </c>
    </row>
    <row r="123" spans="2:33" ht="13.8" x14ac:dyDescent="0.25">
      <c r="B123" s="103">
        <v>112</v>
      </c>
      <c r="C123" s="268"/>
      <c r="D123" s="82"/>
      <c r="E123" s="203"/>
      <c r="F123" s="498" t="str">
        <f>IF(D123="","",VLOOKUP(D123,'G-6 Hedgerow Data'!$B$2:$AG$15,2,FALSE))</f>
        <v/>
      </c>
      <c r="G123" s="524" t="str">
        <f>IF(D123="","",VLOOKUP(D123,'G-6 Hedgerow Data'!$B$2:$AG$15,3,FALSE))</f>
        <v/>
      </c>
      <c r="H123" s="72"/>
      <c r="I123" s="499" t="str">
        <f>IFERROR(IF(AND(F123="V.Low",OR(H123="Good",H123="Moderate")),"Error ▲",VLOOKUP(H123,'G-1 All Habitats'!$Z$2:$AA$9,2,FALSE)),"")</f>
        <v/>
      </c>
      <c r="J123" s="146"/>
      <c r="K123" s="520" t="str">
        <f>IF(J123="","",IF(VLOOKUP(J123,'G-3 Multipliers'!$L$3:$N$6,2,FALSE)=0,"Spatial Data Missing",VLOOKUP(J123,'G-3 Multipliers'!$L$3:$N$6,2,FALSE)))</f>
        <v/>
      </c>
      <c r="L123" s="524" t="str">
        <f>IF(J123="","",IF(VLOOKUP(J123,'G-3 Multipliers'!$L$3:$N$6,3,FALSE)=0,"Spatial Data Missing",VLOOKUP(J123,'G-3 Multipliers'!$L$3:$N$6,3,FALSE)))</f>
        <v/>
      </c>
      <c r="M123" s="197"/>
      <c r="N123" s="499" t="str">
        <f>IF(M123="","",IF(VLOOKUP(M123,'G-3 Multipliers'!$S$3:$T$6,2,FALSE)=0,"Spatial Data Missing ⚠",VLOOKUP(M123,'G-3 Multipliers'!$S$3:$T$6,2,FALSE)))</f>
        <v/>
      </c>
      <c r="O123" s="498" t="str">
        <f>IF(OR(D123="",H123=""),"",(INDEX('G-6 Hedgerow Data'!$E$3:$I$15,MATCH(D123,'G-6 Hedgerow Data'!$B$3:$B$15,0),MATCH(H123,'G-6 Hedgerow Data'!$E$2:$I$2,0))))</f>
        <v/>
      </c>
      <c r="P123" s="195"/>
      <c r="Q123" s="195"/>
      <c r="R123" s="507" t="str">
        <f t="shared" si="7"/>
        <v/>
      </c>
      <c r="S123" s="521" t="str">
        <f t="shared" si="8"/>
        <v/>
      </c>
      <c r="T123" s="522" t="str">
        <f t="shared" si="6"/>
        <v/>
      </c>
      <c r="U123" s="537" t="str">
        <f>IF(D123="","",VLOOKUP(D123,'G-6 Hedgerow Data'!$B$3:$AG$15,31,FALSE))</f>
        <v/>
      </c>
      <c r="V123" s="520" t="str">
        <f t="shared" si="9"/>
        <v/>
      </c>
      <c r="W123" s="520" t="str">
        <f t="shared" si="10"/>
        <v/>
      </c>
      <c r="X123" s="524" t="str">
        <f>IF(F123="","",VLOOKUP(U123,'G-3 Multipliers'!$P$3:$Q$6,2,FALSE))</f>
        <v/>
      </c>
      <c r="Y123" s="529" t="str">
        <f t="shared" si="11"/>
        <v/>
      </c>
      <c r="Z123" s="149"/>
      <c r="AA123" s="150"/>
      <c r="AG123" s="31" t="str">
        <f>IFERROR(INDEX('G-6 Hedgerow Data'!$BJ$3:$BJ$15,MATCH(D123,'G-6 Hedgerow Data'!$B$3:$B$15,0)),"")</f>
        <v/>
      </c>
    </row>
    <row r="124" spans="2:33" ht="13.8" x14ac:dyDescent="0.25">
      <c r="B124" s="103">
        <v>113</v>
      </c>
      <c r="C124" s="268"/>
      <c r="D124" s="82"/>
      <c r="E124" s="203"/>
      <c r="F124" s="498" t="str">
        <f>IF(D124="","",VLOOKUP(D124,'G-6 Hedgerow Data'!$B$2:$AG$15,2,FALSE))</f>
        <v/>
      </c>
      <c r="G124" s="524" t="str">
        <f>IF(D124="","",VLOOKUP(D124,'G-6 Hedgerow Data'!$B$2:$AG$15,3,FALSE))</f>
        <v/>
      </c>
      <c r="H124" s="72"/>
      <c r="I124" s="499" t="str">
        <f>IFERROR(IF(AND(F124="V.Low",OR(H124="Good",H124="Moderate")),"Error ▲",VLOOKUP(H124,'G-1 All Habitats'!$Z$2:$AA$9,2,FALSE)),"")</f>
        <v/>
      </c>
      <c r="J124" s="146"/>
      <c r="K124" s="520" t="str">
        <f>IF(J124="","",IF(VLOOKUP(J124,'G-3 Multipliers'!$L$3:$N$6,2,FALSE)=0,"Spatial Data Missing",VLOOKUP(J124,'G-3 Multipliers'!$L$3:$N$6,2,FALSE)))</f>
        <v/>
      </c>
      <c r="L124" s="524" t="str">
        <f>IF(J124="","",IF(VLOOKUP(J124,'G-3 Multipliers'!$L$3:$N$6,3,FALSE)=0,"Spatial Data Missing",VLOOKUP(J124,'G-3 Multipliers'!$L$3:$N$6,3,FALSE)))</f>
        <v/>
      </c>
      <c r="M124" s="197"/>
      <c r="N124" s="499" t="str">
        <f>IF(M124="","",IF(VLOOKUP(M124,'G-3 Multipliers'!$S$3:$T$6,2,FALSE)=0,"Spatial Data Missing ⚠",VLOOKUP(M124,'G-3 Multipliers'!$S$3:$T$6,2,FALSE)))</f>
        <v/>
      </c>
      <c r="O124" s="498" t="str">
        <f>IF(OR(D124="",H124=""),"",(INDEX('G-6 Hedgerow Data'!$E$3:$I$15,MATCH(D124,'G-6 Hedgerow Data'!$B$3:$B$15,0),MATCH(H124,'G-6 Hedgerow Data'!$E$2:$I$2,0))))</f>
        <v/>
      </c>
      <c r="P124" s="195"/>
      <c r="Q124" s="195"/>
      <c r="R124" s="507" t="str">
        <f t="shared" si="7"/>
        <v/>
      </c>
      <c r="S124" s="521" t="str">
        <f t="shared" si="8"/>
        <v/>
      </c>
      <c r="T124" s="522" t="str">
        <f t="shared" si="6"/>
        <v/>
      </c>
      <c r="U124" s="537" t="str">
        <f>IF(D124="","",VLOOKUP(D124,'G-6 Hedgerow Data'!$B$3:$AG$15,31,FALSE))</f>
        <v/>
      </c>
      <c r="V124" s="520" t="str">
        <f t="shared" si="9"/>
        <v/>
      </c>
      <c r="W124" s="520" t="str">
        <f t="shared" si="10"/>
        <v/>
      </c>
      <c r="X124" s="524" t="str">
        <f>IF(F124="","",VLOOKUP(U124,'G-3 Multipliers'!$P$3:$Q$6,2,FALSE))</f>
        <v/>
      </c>
      <c r="Y124" s="529" t="str">
        <f t="shared" si="11"/>
        <v/>
      </c>
      <c r="Z124" s="149"/>
      <c r="AA124" s="150"/>
      <c r="AG124" s="31" t="str">
        <f>IFERROR(INDEX('G-6 Hedgerow Data'!$BJ$3:$BJ$15,MATCH(D124,'G-6 Hedgerow Data'!$B$3:$B$15,0)),"")</f>
        <v/>
      </c>
    </row>
    <row r="125" spans="2:33" ht="13.8" x14ac:dyDescent="0.25">
      <c r="B125" s="103">
        <v>114</v>
      </c>
      <c r="C125" s="268"/>
      <c r="D125" s="82"/>
      <c r="E125" s="203"/>
      <c r="F125" s="498" t="str">
        <f>IF(D125="","",VLOOKUP(D125,'G-6 Hedgerow Data'!$B$2:$AG$15,2,FALSE))</f>
        <v/>
      </c>
      <c r="G125" s="524" t="str">
        <f>IF(D125="","",VLOOKUP(D125,'G-6 Hedgerow Data'!$B$2:$AG$15,3,FALSE))</f>
        <v/>
      </c>
      <c r="H125" s="72"/>
      <c r="I125" s="499" t="str">
        <f>IFERROR(IF(AND(F125="V.Low",OR(H125="Good",H125="Moderate")),"Error ▲",VLOOKUP(H125,'G-1 All Habitats'!$Z$2:$AA$9,2,FALSE)),"")</f>
        <v/>
      </c>
      <c r="J125" s="146"/>
      <c r="K125" s="520" t="str">
        <f>IF(J125="","",IF(VLOOKUP(J125,'G-3 Multipliers'!$L$3:$N$6,2,FALSE)=0,"Spatial Data Missing",VLOOKUP(J125,'G-3 Multipliers'!$L$3:$N$6,2,FALSE)))</f>
        <v/>
      </c>
      <c r="L125" s="524" t="str">
        <f>IF(J125="","",IF(VLOOKUP(J125,'G-3 Multipliers'!$L$3:$N$6,3,FALSE)=0,"Spatial Data Missing",VLOOKUP(J125,'G-3 Multipliers'!$L$3:$N$6,3,FALSE)))</f>
        <v/>
      </c>
      <c r="M125" s="197"/>
      <c r="N125" s="499" t="str">
        <f>IF(M125="","",IF(VLOOKUP(M125,'G-3 Multipliers'!$S$3:$T$6,2,FALSE)=0,"Spatial Data Missing ⚠",VLOOKUP(M125,'G-3 Multipliers'!$S$3:$T$6,2,FALSE)))</f>
        <v/>
      </c>
      <c r="O125" s="498" t="str">
        <f>IF(OR(D125="",H125=""),"",(INDEX('G-6 Hedgerow Data'!$E$3:$I$15,MATCH(D125,'G-6 Hedgerow Data'!$B$3:$B$15,0),MATCH(H125,'G-6 Hedgerow Data'!$E$2:$I$2,0))))</f>
        <v/>
      </c>
      <c r="P125" s="195"/>
      <c r="Q125" s="195"/>
      <c r="R125" s="507" t="str">
        <f t="shared" si="7"/>
        <v/>
      </c>
      <c r="S125" s="521" t="str">
        <f t="shared" si="8"/>
        <v/>
      </c>
      <c r="T125" s="522" t="str">
        <f t="shared" si="6"/>
        <v/>
      </c>
      <c r="U125" s="537" t="str">
        <f>IF(D125="","",VLOOKUP(D125,'G-6 Hedgerow Data'!$B$3:$AG$15,31,FALSE))</f>
        <v/>
      </c>
      <c r="V125" s="520" t="str">
        <f t="shared" si="9"/>
        <v/>
      </c>
      <c r="W125" s="520" t="str">
        <f t="shared" si="10"/>
        <v/>
      </c>
      <c r="X125" s="524" t="str">
        <f>IF(F125="","",VLOOKUP(U125,'G-3 Multipliers'!$P$3:$Q$6,2,FALSE))</f>
        <v/>
      </c>
      <c r="Y125" s="529" t="str">
        <f t="shared" si="11"/>
        <v/>
      </c>
      <c r="Z125" s="149"/>
      <c r="AA125" s="150"/>
      <c r="AG125" s="31" t="str">
        <f>IFERROR(INDEX('G-6 Hedgerow Data'!$BJ$3:$BJ$15,MATCH(D125,'G-6 Hedgerow Data'!$B$3:$B$15,0)),"")</f>
        <v/>
      </c>
    </row>
    <row r="126" spans="2:33" ht="13.8" x14ac:dyDescent="0.25">
      <c r="B126" s="103">
        <v>115</v>
      </c>
      <c r="C126" s="268"/>
      <c r="D126" s="82"/>
      <c r="E126" s="203"/>
      <c r="F126" s="498" t="str">
        <f>IF(D126="","",VLOOKUP(D126,'G-6 Hedgerow Data'!$B$2:$AG$15,2,FALSE))</f>
        <v/>
      </c>
      <c r="G126" s="524" t="str">
        <f>IF(D126="","",VLOOKUP(D126,'G-6 Hedgerow Data'!$B$2:$AG$15,3,FALSE))</f>
        <v/>
      </c>
      <c r="H126" s="72"/>
      <c r="I126" s="499" t="str">
        <f>IFERROR(IF(AND(F126="V.Low",OR(H126="Good",H126="Moderate")),"Error ▲",VLOOKUP(H126,'G-1 All Habitats'!$Z$2:$AA$9,2,FALSE)),"")</f>
        <v/>
      </c>
      <c r="J126" s="146"/>
      <c r="K126" s="520" t="str">
        <f>IF(J126="","",IF(VLOOKUP(J126,'G-3 Multipliers'!$L$3:$N$6,2,FALSE)=0,"Spatial Data Missing",VLOOKUP(J126,'G-3 Multipliers'!$L$3:$N$6,2,FALSE)))</f>
        <v/>
      </c>
      <c r="L126" s="524" t="str">
        <f>IF(J126="","",IF(VLOOKUP(J126,'G-3 Multipliers'!$L$3:$N$6,3,FALSE)=0,"Spatial Data Missing",VLOOKUP(J126,'G-3 Multipliers'!$L$3:$N$6,3,FALSE)))</f>
        <v/>
      </c>
      <c r="M126" s="197"/>
      <c r="N126" s="499" t="str">
        <f>IF(M126="","",IF(VLOOKUP(M126,'G-3 Multipliers'!$S$3:$T$6,2,FALSE)=0,"Spatial Data Missing ⚠",VLOOKUP(M126,'G-3 Multipliers'!$S$3:$T$6,2,FALSE)))</f>
        <v/>
      </c>
      <c r="O126" s="498" t="str">
        <f>IF(OR(D126="",H126=""),"",(INDEX('G-6 Hedgerow Data'!$E$3:$I$15,MATCH(D126,'G-6 Hedgerow Data'!$B$3:$B$15,0),MATCH(H126,'G-6 Hedgerow Data'!$E$2:$I$2,0))))</f>
        <v/>
      </c>
      <c r="P126" s="195"/>
      <c r="Q126" s="195"/>
      <c r="R126" s="507" t="str">
        <f t="shared" si="7"/>
        <v/>
      </c>
      <c r="S126" s="521" t="str">
        <f t="shared" si="8"/>
        <v/>
      </c>
      <c r="T126" s="522" t="str">
        <f t="shared" si="6"/>
        <v/>
      </c>
      <c r="U126" s="537" t="str">
        <f>IF(D126="","",VLOOKUP(D126,'G-6 Hedgerow Data'!$B$3:$AG$15,31,FALSE))</f>
        <v/>
      </c>
      <c r="V126" s="520" t="str">
        <f t="shared" si="9"/>
        <v/>
      </c>
      <c r="W126" s="520" t="str">
        <f t="shared" si="10"/>
        <v/>
      </c>
      <c r="X126" s="524" t="str">
        <f>IF(F126="","",VLOOKUP(U126,'G-3 Multipliers'!$P$3:$Q$6,2,FALSE))</f>
        <v/>
      </c>
      <c r="Y126" s="529" t="str">
        <f t="shared" si="11"/>
        <v/>
      </c>
      <c r="Z126" s="149"/>
      <c r="AA126" s="150"/>
      <c r="AG126" s="31" t="str">
        <f>IFERROR(INDEX('G-6 Hedgerow Data'!$BJ$3:$BJ$15,MATCH(D126,'G-6 Hedgerow Data'!$B$3:$B$15,0)),"")</f>
        <v/>
      </c>
    </row>
    <row r="127" spans="2:33" ht="13.8" x14ac:dyDescent="0.25">
      <c r="B127" s="103">
        <v>116</v>
      </c>
      <c r="C127" s="268"/>
      <c r="D127" s="82"/>
      <c r="E127" s="203"/>
      <c r="F127" s="498" t="str">
        <f>IF(D127="","",VLOOKUP(D127,'G-6 Hedgerow Data'!$B$2:$AG$15,2,FALSE))</f>
        <v/>
      </c>
      <c r="G127" s="524" t="str">
        <f>IF(D127="","",VLOOKUP(D127,'G-6 Hedgerow Data'!$B$2:$AG$15,3,FALSE))</f>
        <v/>
      </c>
      <c r="H127" s="72"/>
      <c r="I127" s="499" t="str">
        <f>IFERROR(IF(AND(F127="V.Low",OR(H127="Good",H127="Moderate")),"Error ▲",VLOOKUP(H127,'G-1 All Habitats'!$Z$2:$AA$9,2,FALSE)),"")</f>
        <v/>
      </c>
      <c r="J127" s="146"/>
      <c r="K127" s="520" t="str">
        <f>IF(J127="","",IF(VLOOKUP(J127,'G-3 Multipliers'!$L$3:$N$6,2,FALSE)=0,"Spatial Data Missing",VLOOKUP(J127,'G-3 Multipliers'!$L$3:$N$6,2,FALSE)))</f>
        <v/>
      </c>
      <c r="L127" s="524" t="str">
        <f>IF(J127="","",IF(VLOOKUP(J127,'G-3 Multipliers'!$L$3:$N$6,3,FALSE)=0,"Spatial Data Missing",VLOOKUP(J127,'G-3 Multipliers'!$L$3:$N$6,3,FALSE)))</f>
        <v/>
      </c>
      <c r="M127" s="197"/>
      <c r="N127" s="499" t="str">
        <f>IF(M127="","",IF(VLOOKUP(M127,'G-3 Multipliers'!$S$3:$T$6,2,FALSE)=0,"Spatial Data Missing ⚠",VLOOKUP(M127,'G-3 Multipliers'!$S$3:$T$6,2,FALSE)))</f>
        <v/>
      </c>
      <c r="O127" s="498" t="str">
        <f>IF(OR(D127="",H127=""),"",(INDEX('G-6 Hedgerow Data'!$E$3:$I$15,MATCH(D127,'G-6 Hedgerow Data'!$B$3:$B$15,0),MATCH(H127,'G-6 Hedgerow Data'!$E$2:$I$2,0))))</f>
        <v/>
      </c>
      <c r="P127" s="195"/>
      <c r="Q127" s="195"/>
      <c r="R127" s="507" t="str">
        <f t="shared" si="7"/>
        <v/>
      </c>
      <c r="S127" s="521" t="str">
        <f t="shared" si="8"/>
        <v/>
      </c>
      <c r="T127" s="522" t="str">
        <f t="shared" si="6"/>
        <v/>
      </c>
      <c r="U127" s="537" t="str">
        <f>IF(D127="","",VLOOKUP(D127,'G-6 Hedgerow Data'!$B$3:$AG$15,31,FALSE))</f>
        <v/>
      </c>
      <c r="V127" s="520" t="str">
        <f t="shared" si="9"/>
        <v/>
      </c>
      <c r="W127" s="520" t="str">
        <f t="shared" si="10"/>
        <v/>
      </c>
      <c r="X127" s="524" t="str">
        <f>IF(F127="","",VLOOKUP(U127,'G-3 Multipliers'!$P$3:$Q$6,2,FALSE))</f>
        <v/>
      </c>
      <c r="Y127" s="529" t="str">
        <f t="shared" si="11"/>
        <v/>
      </c>
      <c r="Z127" s="149"/>
      <c r="AA127" s="150"/>
      <c r="AG127" s="31" t="str">
        <f>IFERROR(INDEX('G-6 Hedgerow Data'!$BJ$3:$BJ$15,MATCH(D127,'G-6 Hedgerow Data'!$B$3:$B$15,0)),"")</f>
        <v/>
      </c>
    </row>
    <row r="128" spans="2:33" ht="13.8" x14ac:dyDescent="0.25">
      <c r="B128" s="103">
        <v>117</v>
      </c>
      <c r="C128" s="268"/>
      <c r="D128" s="82"/>
      <c r="E128" s="203"/>
      <c r="F128" s="498" t="str">
        <f>IF(D128="","",VLOOKUP(D128,'G-6 Hedgerow Data'!$B$2:$AG$15,2,FALSE))</f>
        <v/>
      </c>
      <c r="G128" s="524" t="str">
        <f>IF(D128="","",VLOOKUP(D128,'G-6 Hedgerow Data'!$B$2:$AG$15,3,FALSE))</f>
        <v/>
      </c>
      <c r="H128" s="72"/>
      <c r="I128" s="499" t="str">
        <f>IFERROR(IF(AND(F128="V.Low",OR(H128="Good",H128="Moderate")),"Error ▲",VLOOKUP(H128,'G-1 All Habitats'!$Z$2:$AA$9,2,FALSE)),"")</f>
        <v/>
      </c>
      <c r="J128" s="146"/>
      <c r="K128" s="520" t="str">
        <f>IF(J128="","",IF(VLOOKUP(J128,'G-3 Multipliers'!$L$3:$N$6,2,FALSE)=0,"Spatial Data Missing",VLOOKUP(J128,'G-3 Multipliers'!$L$3:$N$6,2,FALSE)))</f>
        <v/>
      </c>
      <c r="L128" s="524" t="str">
        <f>IF(J128="","",IF(VLOOKUP(J128,'G-3 Multipliers'!$L$3:$N$6,3,FALSE)=0,"Spatial Data Missing",VLOOKUP(J128,'G-3 Multipliers'!$L$3:$N$6,3,FALSE)))</f>
        <v/>
      </c>
      <c r="M128" s="197"/>
      <c r="N128" s="499" t="str">
        <f>IF(M128="","",IF(VLOOKUP(M128,'G-3 Multipliers'!$S$3:$T$6,2,FALSE)=0,"Spatial Data Missing ⚠",VLOOKUP(M128,'G-3 Multipliers'!$S$3:$T$6,2,FALSE)))</f>
        <v/>
      </c>
      <c r="O128" s="498" t="str">
        <f>IF(OR(D128="",H128=""),"",(INDEX('G-6 Hedgerow Data'!$E$3:$I$15,MATCH(D128,'G-6 Hedgerow Data'!$B$3:$B$15,0),MATCH(H128,'G-6 Hedgerow Data'!$E$2:$I$2,0))))</f>
        <v/>
      </c>
      <c r="P128" s="195"/>
      <c r="Q128" s="195"/>
      <c r="R128" s="507" t="str">
        <f t="shared" si="7"/>
        <v/>
      </c>
      <c r="S128" s="521" t="str">
        <f t="shared" si="8"/>
        <v/>
      </c>
      <c r="T128" s="522" t="str">
        <f t="shared" si="6"/>
        <v/>
      </c>
      <c r="U128" s="537" t="str">
        <f>IF(D128="","",VLOOKUP(D128,'G-6 Hedgerow Data'!$B$3:$AG$15,31,FALSE))</f>
        <v/>
      </c>
      <c r="V128" s="520" t="str">
        <f t="shared" si="9"/>
        <v/>
      </c>
      <c r="W128" s="520" t="str">
        <f t="shared" si="10"/>
        <v/>
      </c>
      <c r="X128" s="524" t="str">
        <f>IF(F128="","",VLOOKUP(U128,'G-3 Multipliers'!$P$3:$Q$6,2,FALSE))</f>
        <v/>
      </c>
      <c r="Y128" s="529" t="str">
        <f t="shared" si="11"/>
        <v/>
      </c>
      <c r="Z128" s="149"/>
      <c r="AA128" s="150"/>
      <c r="AG128" s="31" t="str">
        <f>IFERROR(INDEX('G-6 Hedgerow Data'!$BJ$3:$BJ$15,MATCH(D128,'G-6 Hedgerow Data'!$B$3:$B$15,0)),"")</f>
        <v/>
      </c>
    </row>
    <row r="129" spans="2:33" ht="13.8" x14ac:dyDescent="0.25">
      <c r="B129" s="103">
        <v>118</v>
      </c>
      <c r="C129" s="268"/>
      <c r="D129" s="82"/>
      <c r="E129" s="203"/>
      <c r="F129" s="498" t="str">
        <f>IF(D129="","",VLOOKUP(D129,'G-6 Hedgerow Data'!$B$2:$AG$15,2,FALSE))</f>
        <v/>
      </c>
      <c r="G129" s="524" t="str">
        <f>IF(D129="","",VLOOKUP(D129,'G-6 Hedgerow Data'!$B$2:$AG$15,3,FALSE))</f>
        <v/>
      </c>
      <c r="H129" s="72"/>
      <c r="I129" s="499" t="str">
        <f>IFERROR(IF(AND(F129="V.Low",OR(H129="Good",H129="Moderate")),"Error ▲",VLOOKUP(H129,'G-1 All Habitats'!$Z$2:$AA$9,2,FALSE)),"")</f>
        <v/>
      </c>
      <c r="J129" s="146"/>
      <c r="K129" s="520" t="str">
        <f>IF(J129="","",IF(VLOOKUP(J129,'G-3 Multipliers'!$L$3:$N$6,2,FALSE)=0,"Spatial Data Missing",VLOOKUP(J129,'G-3 Multipliers'!$L$3:$N$6,2,FALSE)))</f>
        <v/>
      </c>
      <c r="L129" s="524" t="str">
        <f>IF(J129="","",IF(VLOOKUP(J129,'G-3 Multipliers'!$L$3:$N$6,3,FALSE)=0,"Spatial Data Missing",VLOOKUP(J129,'G-3 Multipliers'!$L$3:$N$6,3,FALSE)))</f>
        <v/>
      </c>
      <c r="M129" s="197"/>
      <c r="N129" s="499" t="str">
        <f>IF(M129="","",IF(VLOOKUP(M129,'G-3 Multipliers'!$S$3:$T$6,2,FALSE)=0,"Spatial Data Missing ⚠",VLOOKUP(M129,'G-3 Multipliers'!$S$3:$T$6,2,FALSE)))</f>
        <v/>
      </c>
      <c r="O129" s="498" t="str">
        <f>IF(OR(D129="",H129=""),"",(INDEX('G-6 Hedgerow Data'!$E$3:$I$15,MATCH(D129,'G-6 Hedgerow Data'!$B$3:$B$15,0),MATCH(H129,'G-6 Hedgerow Data'!$E$2:$I$2,0))))</f>
        <v/>
      </c>
      <c r="P129" s="195"/>
      <c r="Q129" s="195"/>
      <c r="R129" s="507" t="str">
        <f t="shared" si="7"/>
        <v/>
      </c>
      <c r="S129" s="521" t="str">
        <f t="shared" si="8"/>
        <v/>
      </c>
      <c r="T129" s="522" t="str">
        <f t="shared" si="6"/>
        <v/>
      </c>
      <c r="U129" s="537" t="str">
        <f>IF(D129="","",VLOOKUP(D129,'G-6 Hedgerow Data'!$B$3:$AG$15,31,FALSE))</f>
        <v/>
      </c>
      <c r="V129" s="520" t="str">
        <f t="shared" si="9"/>
        <v/>
      </c>
      <c r="W129" s="520" t="str">
        <f t="shared" si="10"/>
        <v/>
      </c>
      <c r="X129" s="524" t="str">
        <f>IF(F129="","",VLOOKUP(U129,'G-3 Multipliers'!$P$3:$Q$6,2,FALSE))</f>
        <v/>
      </c>
      <c r="Y129" s="529" t="str">
        <f t="shared" si="11"/>
        <v/>
      </c>
      <c r="Z129" s="149"/>
      <c r="AA129" s="150"/>
      <c r="AG129" s="31" t="str">
        <f>IFERROR(INDEX('G-6 Hedgerow Data'!$BJ$3:$BJ$15,MATCH(D129,'G-6 Hedgerow Data'!$B$3:$B$15,0)),"")</f>
        <v/>
      </c>
    </row>
    <row r="130" spans="2:33" ht="13.8" x14ac:dyDescent="0.25">
      <c r="B130" s="103">
        <v>119</v>
      </c>
      <c r="C130" s="268"/>
      <c r="D130" s="82"/>
      <c r="E130" s="203"/>
      <c r="F130" s="498" t="str">
        <f>IF(D130="","",VLOOKUP(D130,'G-6 Hedgerow Data'!$B$2:$AG$15,2,FALSE))</f>
        <v/>
      </c>
      <c r="G130" s="524" t="str">
        <f>IF(D130="","",VLOOKUP(D130,'G-6 Hedgerow Data'!$B$2:$AG$15,3,FALSE))</f>
        <v/>
      </c>
      <c r="H130" s="72"/>
      <c r="I130" s="499" t="str">
        <f>IFERROR(IF(AND(F130="V.Low",OR(H130="Good",H130="Moderate")),"Error ▲",VLOOKUP(H130,'G-1 All Habitats'!$Z$2:$AA$9,2,FALSE)),"")</f>
        <v/>
      </c>
      <c r="J130" s="146"/>
      <c r="K130" s="520" t="str">
        <f>IF(J130="","",IF(VLOOKUP(J130,'G-3 Multipliers'!$L$3:$N$6,2,FALSE)=0,"Spatial Data Missing",VLOOKUP(J130,'G-3 Multipliers'!$L$3:$N$6,2,FALSE)))</f>
        <v/>
      </c>
      <c r="L130" s="524" t="str">
        <f>IF(J130="","",IF(VLOOKUP(J130,'G-3 Multipliers'!$L$3:$N$6,3,FALSE)=0,"Spatial Data Missing",VLOOKUP(J130,'G-3 Multipliers'!$L$3:$N$6,3,FALSE)))</f>
        <v/>
      </c>
      <c r="M130" s="197"/>
      <c r="N130" s="499" t="str">
        <f>IF(M130="","",IF(VLOOKUP(M130,'G-3 Multipliers'!$S$3:$T$6,2,FALSE)=0,"Spatial Data Missing ⚠",VLOOKUP(M130,'G-3 Multipliers'!$S$3:$T$6,2,FALSE)))</f>
        <v/>
      </c>
      <c r="O130" s="498" t="str">
        <f>IF(OR(D130="",H130=""),"",(INDEX('G-6 Hedgerow Data'!$E$3:$I$15,MATCH(D130,'G-6 Hedgerow Data'!$B$3:$B$15,0),MATCH(H130,'G-6 Hedgerow Data'!$E$2:$I$2,0))))</f>
        <v/>
      </c>
      <c r="P130" s="195"/>
      <c r="Q130" s="195"/>
      <c r="R130" s="507" t="str">
        <f t="shared" si="7"/>
        <v/>
      </c>
      <c r="S130" s="521" t="str">
        <f t="shared" si="8"/>
        <v/>
      </c>
      <c r="T130" s="522" t="str">
        <f t="shared" si="6"/>
        <v/>
      </c>
      <c r="U130" s="537" t="str">
        <f>IF(D130="","",VLOOKUP(D130,'G-6 Hedgerow Data'!$B$3:$AG$15,31,FALSE))</f>
        <v/>
      </c>
      <c r="V130" s="520" t="str">
        <f t="shared" si="9"/>
        <v/>
      </c>
      <c r="W130" s="520" t="str">
        <f t="shared" si="10"/>
        <v/>
      </c>
      <c r="X130" s="524" t="str">
        <f>IF(F130="","",VLOOKUP(U130,'G-3 Multipliers'!$P$3:$Q$6,2,FALSE))</f>
        <v/>
      </c>
      <c r="Y130" s="529" t="str">
        <f t="shared" si="11"/>
        <v/>
      </c>
      <c r="Z130" s="149"/>
      <c r="AA130" s="150"/>
      <c r="AG130" s="31" t="str">
        <f>IFERROR(INDEX('G-6 Hedgerow Data'!$BJ$3:$BJ$15,MATCH(D130,'G-6 Hedgerow Data'!$B$3:$B$15,0)),"")</f>
        <v/>
      </c>
    </row>
    <row r="131" spans="2:33" s="42" customFormat="1" ht="13.8" x14ac:dyDescent="0.25">
      <c r="B131" s="103">
        <v>120</v>
      </c>
      <c r="C131" s="268"/>
      <c r="D131" s="82"/>
      <c r="E131" s="203"/>
      <c r="F131" s="498" t="str">
        <f>IF(D131="","",VLOOKUP(D131,'G-6 Hedgerow Data'!$B$2:$AG$15,2,FALSE))</f>
        <v/>
      </c>
      <c r="G131" s="524" t="str">
        <f>IF(D131="","",VLOOKUP(D131,'G-6 Hedgerow Data'!$B$2:$AG$15,3,FALSE))</f>
        <v/>
      </c>
      <c r="H131" s="72"/>
      <c r="I131" s="499" t="str">
        <f>IFERROR(IF(AND(F131="V.Low",OR(H131="Good",H131="Moderate")),"Error ▲",VLOOKUP(H131,'G-1 All Habitats'!$Z$2:$AA$9,2,FALSE)),"")</f>
        <v/>
      </c>
      <c r="J131" s="146"/>
      <c r="K131" s="520" t="str">
        <f>IF(J131="","",IF(VLOOKUP(J131,'G-3 Multipliers'!$L$3:$N$6,2,FALSE)=0,"Spatial Data Missing",VLOOKUP(J131,'G-3 Multipliers'!$L$3:$N$6,2,FALSE)))</f>
        <v/>
      </c>
      <c r="L131" s="524" t="str">
        <f>IF(J131="","",IF(VLOOKUP(J131,'G-3 Multipliers'!$L$3:$N$6,3,FALSE)=0,"Spatial Data Missing",VLOOKUP(J131,'G-3 Multipliers'!$L$3:$N$6,3,FALSE)))</f>
        <v/>
      </c>
      <c r="M131" s="197"/>
      <c r="N131" s="499" t="str">
        <f>IF(M131="","",IF(VLOOKUP(M131,'G-3 Multipliers'!$S$3:$T$6,2,FALSE)=0,"Spatial Data Missing ⚠",VLOOKUP(M131,'G-3 Multipliers'!$S$3:$T$6,2,FALSE)))</f>
        <v/>
      </c>
      <c r="O131" s="498" t="str">
        <f>IF(OR(D131="",H131=""),"",(INDEX('G-6 Hedgerow Data'!$E$3:$I$15,MATCH(D131,'G-6 Hedgerow Data'!$B$3:$B$15,0),MATCH(H131,'G-6 Hedgerow Data'!$E$2:$I$2,0))))</f>
        <v/>
      </c>
      <c r="P131" s="195"/>
      <c r="Q131" s="195"/>
      <c r="R131" s="507" t="str">
        <f t="shared" si="7"/>
        <v/>
      </c>
      <c r="S131" s="507" t="str">
        <f t="shared" si="8"/>
        <v/>
      </c>
      <c r="T131" s="522" t="str">
        <f t="shared" si="6"/>
        <v/>
      </c>
      <c r="U131" s="537" t="str">
        <f>IF(D131="","",VLOOKUP(D131,'G-6 Hedgerow Data'!$B$3:$AG$15,31,FALSE))</f>
        <v/>
      </c>
      <c r="V131" s="520" t="str">
        <f t="shared" si="9"/>
        <v/>
      </c>
      <c r="W131" s="520" t="str">
        <f t="shared" si="10"/>
        <v/>
      </c>
      <c r="X131" s="524" t="str">
        <f>IF(F131="","",VLOOKUP(U131,'G-3 Multipliers'!$P$3:$Q$6,2,FALSE))</f>
        <v/>
      </c>
      <c r="Y131" s="529" t="str">
        <f t="shared" si="11"/>
        <v/>
      </c>
      <c r="Z131" s="149"/>
      <c r="AA131" s="150"/>
      <c r="AG131" s="42" t="str">
        <f>IFERROR(INDEX('G-6 Hedgerow Data'!$BJ$3:$BJ$15,MATCH(D131,'G-6 Hedgerow Data'!$B$3:$B$15,0)),"")</f>
        <v/>
      </c>
    </row>
    <row r="132" spans="2:33" ht="13.8" x14ac:dyDescent="0.25">
      <c r="B132" s="103">
        <v>121</v>
      </c>
      <c r="C132" s="268"/>
      <c r="D132" s="82"/>
      <c r="E132" s="203"/>
      <c r="F132" s="498" t="str">
        <f>IF(D132="","",VLOOKUP(D132,'G-6 Hedgerow Data'!$B$2:$AG$15,2,FALSE))</f>
        <v/>
      </c>
      <c r="G132" s="524" t="str">
        <f>IF(D132="","",VLOOKUP(D132,'G-6 Hedgerow Data'!$B$2:$AG$15,3,FALSE))</f>
        <v/>
      </c>
      <c r="H132" s="72"/>
      <c r="I132" s="499" t="str">
        <f>IFERROR(IF(AND(F132="V.Low",OR(H132="Good",H132="Moderate")),"Error ▲",VLOOKUP(H132,'G-1 All Habitats'!$Z$2:$AA$9,2,FALSE)),"")</f>
        <v/>
      </c>
      <c r="J132" s="146"/>
      <c r="K132" s="520" t="str">
        <f>IF(J132="","",IF(VLOOKUP(J132,'G-3 Multipliers'!$L$3:$N$6,2,FALSE)=0,"Spatial Data Missing",VLOOKUP(J132,'G-3 Multipliers'!$L$3:$N$6,2,FALSE)))</f>
        <v/>
      </c>
      <c r="L132" s="524" t="str">
        <f>IF(J132="","",IF(VLOOKUP(J132,'G-3 Multipliers'!$L$3:$N$6,3,FALSE)=0,"Spatial Data Missing",VLOOKUP(J132,'G-3 Multipliers'!$L$3:$N$6,3,FALSE)))</f>
        <v/>
      </c>
      <c r="M132" s="197"/>
      <c r="N132" s="499" t="str">
        <f>IF(M132="","",IF(VLOOKUP(M132,'G-3 Multipliers'!$S$3:$T$6,2,FALSE)=0,"Spatial Data Missing ⚠",VLOOKUP(M132,'G-3 Multipliers'!$S$3:$T$6,2,FALSE)))</f>
        <v/>
      </c>
      <c r="O132" s="498" t="str">
        <f>IF(OR(D132="",H132=""),"",(INDEX('G-6 Hedgerow Data'!$E$3:$I$15,MATCH(D132,'G-6 Hedgerow Data'!$B$3:$B$15,0),MATCH(H132,'G-6 Hedgerow Data'!$E$2:$I$2,0))))</f>
        <v/>
      </c>
      <c r="P132" s="195"/>
      <c r="Q132" s="195"/>
      <c r="R132" s="507" t="str">
        <f t="shared" si="7"/>
        <v/>
      </c>
      <c r="S132" s="521" t="str">
        <f t="shared" si="8"/>
        <v/>
      </c>
      <c r="T132" s="522" t="str">
        <f t="shared" si="6"/>
        <v/>
      </c>
      <c r="U132" s="537" t="str">
        <f>IF(D132="","",VLOOKUP(D132,'G-6 Hedgerow Data'!$B$3:$AG$15,31,FALSE))</f>
        <v/>
      </c>
      <c r="V132" s="520" t="str">
        <f t="shared" si="9"/>
        <v/>
      </c>
      <c r="W132" s="520" t="str">
        <f t="shared" si="10"/>
        <v/>
      </c>
      <c r="X132" s="524" t="str">
        <f>IF(F132="","",VLOOKUP(U132,'G-3 Multipliers'!$P$3:$Q$6,2,FALSE))</f>
        <v/>
      </c>
      <c r="Y132" s="529" t="str">
        <f t="shared" si="11"/>
        <v/>
      </c>
      <c r="Z132" s="149"/>
      <c r="AA132" s="150"/>
      <c r="AG132" s="31" t="str">
        <f>IFERROR(INDEX('G-6 Hedgerow Data'!$BJ$3:$BJ$15,MATCH(D132,'G-6 Hedgerow Data'!$B$3:$B$15,0)),"")</f>
        <v/>
      </c>
    </row>
    <row r="133" spans="2:33" ht="13.8" x14ac:dyDescent="0.25">
      <c r="B133" s="103">
        <v>122</v>
      </c>
      <c r="C133" s="268"/>
      <c r="D133" s="82"/>
      <c r="E133" s="203"/>
      <c r="F133" s="498" t="str">
        <f>IF(D133="","",VLOOKUP(D133,'G-6 Hedgerow Data'!$B$2:$AG$15,2,FALSE))</f>
        <v/>
      </c>
      <c r="G133" s="524" t="str">
        <f>IF(D133="","",VLOOKUP(D133,'G-6 Hedgerow Data'!$B$2:$AG$15,3,FALSE))</f>
        <v/>
      </c>
      <c r="H133" s="72"/>
      <c r="I133" s="499" t="str">
        <f>IFERROR(IF(AND(F133="V.Low",OR(H133="Good",H133="Moderate")),"Error ▲",VLOOKUP(H133,'G-1 All Habitats'!$Z$2:$AA$9,2,FALSE)),"")</f>
        <v/>
      </c>
      <c r="J133" s="146"/>
      <c r="K133" s="520" t="str">
        <f>IF(J133="","",IF(VLOOKUP(J133,'G-3 Multipliers'!$L$3:$N$6,2,FALSE)=0,"Spatial Data Missing",VLOOKUP(J133,'G-3 Multipliers'!$L$3:$N$6,2,FALSE)))</f>
        <v/>
      </c>
      <c r="L133" s="524" t="str">
        <f>IF(J133="","",IF(VLOOKUP(J133,'G-3 Multipliers'!$L$3:$N$6,3,FALSE)=0,"Spatial Data Missing",VLOOKUP(J133,'G-3 Multipliers'!$L$3:$N$6,3,FALSE)))</f>
        <v/>
      </c>
      <c r="M133" s="197"/>
      <c r="N133" s="499" t="str">
        <f>IF(M133="","",IF(VLOOKUP(M133,'G-3 Multipliers'!$S$3:$T$6,2,FALSE)=0,"Spatial Data Missing ⚠",VLOOKUP(M133,'G-3 Multipliers'!$S$3:$T$6,2,FALSE)))</f>
        <v/>
      </c>
      <c r="O133" s="498" t="str">
        <f>IF(OR(D133="",H133=""),"",(INDEX('G-6 Hedgerow Data'!$E$3:$I$15,MATCH(D133,'G-6 Hedgerow Data'!$B$3:$B$15,0),MATCH(H133,'G-6 Hedgerow Data'!$E$2:$I$2,0))))</f>
        <v/>
      </c>
      <c r="P133" s="195"/>
      <c r="Q133" s="195"/>
      <c r="R133" s="507" t="str">
        <f t="shared" si="7"/>
        <v/>
      </c>
      <c r="S133" s="521" t="str">
        <f t="shared" si="8"/>
        <v/>
      </c>
      <c r="T133" s="522" t="str">
        <f t="shared" si="6"/>
        <v/>
      </c>
      <c r="U133" s="537" t="str">
        <f>IF(D133="","",VLOOKUP(D133,'G-6 Hedgerow Data'!$B$3:$AG$15,31,FALSE))</f>
        <v/>
      </c>
      <c r="V133" s="520" t="str">
        <f t="shared" si="9"/>
        <v/>
      </c>
      <c r="W133" s="520" t="str">
        <f t="shared" si="10"/>
        <v/>
      </c>
      <c r="X133" s="524" t="str">
        <f>IF(F133="","",VLOOKUP(U133,'G-3 Multipliers'!$P$3:$Q$6,2,FALSE))</f>
        <v/>
      </c>
      <c r="Y133" s="529" t="str">
        <f t="shared" si="11"/>
        <v/>
      </c>
      <c r="Z133" s="149"/>
      <c r="AA133" s="150"/>
      <c r="AG133" s="31" t="str">
        <f>IFERROR(INDEX('G-6 Hedgerow Data'!$BJ$3:$BJ$15,MATCH(D133,'G-6 Hedgerow Data'!$B$3:$B$15,0)),"")</f>
        <v/>
      </c>
    </row>
    <row r="134" spans="2:33" ht="13.8" x14ac:dyDescent="0.25">
      <c r="B134" s="103">
        <v>123</v>
      </c>
      <c r="C134" s="268"/>
      <c r="D134" s="82"/>
      <c r="E134" s="203"/>
      <c r="F134" s="498" t="str">
        <f>IF(D134="","",VLOOKUP(D134,'G-6 Hedgerow Data'!$B$2:$AG$15,2,FALSE))</f>
        <v/>
      </c>
      <c r="G134" s="524" t="str">
        <f>IF(D134="","",VLOOKUP(D134,'G-6 Hedgerow Data'!$B$2:$AG$15,3,FALSE))</f>
        <v/>
      </c>
      <c r="H134" s="72"/>
      <c r="I134" s="499" t="str">
        <f>IFERROR(IF(AND(F134="V.Low",OR(H134="Good",H134="Moderate")),"Error ▲",VLOOKUP(H134,'G-1 All Habitats'!$Z$2:$AA$9,2,FALSE)),"")</f>
        <v/>
      </c>
      <c r="J134" s="146"/>
      <c r="K134" s="520" t="str">
        <f>IF(J134="","",IF(VLOOKUP(J134,'G-3 Multipliers'!$L$3:$N$6,2,FALSE)=0,"Spatial Data Missing",VLOOKUP(J134,'G-3 Multipliers'!$L$3:$N$6,2,FALSE)))</f>
        <v/>
      </c>
      <c r="L134" s="524" t="str">
        <f>IF(J134="","",IF(VLOOKUP(J134,'G-3 Multipliers'!$L$3:$N$6,3,FALSE)=0,"Spatial Data Missing",VLOOKUP(J134,'G-3 Multipliers'!$L$3:$N$6,3,FALSE)))</f>
        <v/>
      </c>
      <c r="M134" s="197"/>
      <c r="N134" s="499" t="str">
        <f>IF(M134="","",IF(VLOOKUP(M134,'G-3 Multipliers'!$S$3:$T$6,2,FALSE)=0,"Spatial Data Missing ⚠",VLOOKUP(M134,'G-3 Multipliers'!$S$3:$T$6,2,FALSE)))</f>
        <v/>
      </c>
      <c r="O134" s="498" t="str">
        <f>IF(OR(D134="",H134=""),"",(INDEX('G-6 Hedgerow Data'!$E$3:$I$15,MATCH(D134,'G-6 Hedgerow Data'!$B$3:$B$15,0),MATCH(H134,'G-6 Hedgerow Data'!$E$2:$I$2,0))))</f>
        <v/>
      </c>
      <c r="P134" s="195"/>
      <c r="Q134" s="195"/>
      <c r="R134" s="507" t="str">
        <f t="shared" si="7"/>
        <v/>
      </c>
      <c r="S134" s="521" t="str">
        <f t="shared" si="8"/>
        <v/>
      </c>
      <c r="T134" s="522" t="str">
        <f t="shared" si="6"/>
        <v/>
      </c>
      <c r="U134" s="537" t="str">
        <f>IF(D134="","",VLOOKUP(D134,'G-6 Hedgerow Data'!$B$3:$AG$15,31,FALSE))</f>
        <v/>
      </c>
      <c r="V134" s="520" t="str">
        <f t="shared" si="9"/>
        <v/>
      </c>
      <c r="W134" s="520" t="str">
        <f t="shared" si="10"/>
        <v/>
      </c>
      <c r="X134" s="524" t="str">
        <f>IF(F134="","",VLOOKUP(U134,'G-3 Multipliers'!$P$3:$Q$6,2,FALSE))</f>
        <v/>
      </c>
      <c r="Y134" s="529" t="str">
        <f t="shared" si="11"/>
        <v/>
      </c>
      <c r="Z134" s="149"/>
      <c r="AA134" s="150"/>
      <c r="AG134" s="31" t="str">
        <f>IFERROR(INDEX('G-6 Hedgerow Data'!$BJ$3:$BJ$15,MATCH(D134,'G-6 Hedgerow Data'!$B$3:$B$15,0)),"")</f>
        <v/>
      </c>
    </row>
    <row r="135" spans="2:33" ht="13.8" x14ac:dyDescent="0.25">
      <c r="B135" s="103">
        <v>124</v>
      </c>
      <c r="C135" s="268"/>
      <c r="D135" s="82"/>
      <c r="E135" s="203"/>
      <c r="F135" s="498" t="str">
        <f>IF(D135="","",VLOOKUP(D135,'G-6 Hedgerow Data'!$B$2:$AG$15,2,FALSE))</f>
        <v/>
      </c>
      <c r="G135" s="524" t="str">
        <f>IF(D135="","",VLOOKUP(D135,'G-6 Hedgerow Data'!$B$2:$AG$15,3,FALSE))</f>
        <v/>
      </c>
      <c r="H135" s="72"/>
      <c r="I135" s="499" t="str">
        <f>IFERROR(IF(AND(F135="V.Low",OR(H135="Good",H135="Moderate")),"Error ▲",VLOOKUP(H135,'G-1 All Habitats'!$Z$2:$AA$9,2,FALSE)),"")</f>
        <v/>
      </c>
      <c r="J135" s="146"/>
      <c r="K135" s="520" t="str">
        <f>IF(J135="","",IF(VLOOKUP(J135,'G-3 Multipliers'!$L$3:$N$6,2,FALSE)=0,"Spatial Data Missing",VLOOKUP(J135,'G-3 Multipliers'!$L$3:$N$6,2,FALSE)))</f>
        <v/>
      </c>
      <c r="L135" s="524" t="str">
        <f>IF(J135="","",IF(VLOOKUP(J135,'G-3 Multipliers'!$L$3:$N$6,3,FALSE)=0,"Spatial Data Missing",VLOOKUP(J135,'G-3 Multipliers'!$L$3:$N$6,3,FALSE)))</f>
        <v/>
      </c>
      <c r="M135" s="197"/>
      <c r="N135" s="499" t="str">
        <f>IF(M135="","",IF(VLOOKUP(M135,'G-3 Multipliers'!$S$3:$T$6,2,FALSE)=0,"Spatial Data Missing ⚠",VLOOKUP(M135,'G-3 Multipliers'!$S$3:$T$6,2,FALSE)))</f>
        <v/>
      </c>
      <c r="O135" s="498" t="str">
        <f>IF(OR(D135="",H135=""),"",(INDEX('G-6 Hedgerow Data'!$E$3:$I$15,MATCH(D135,'G-6 Hedgerow Data'!$B$3:$B$15,0),MATCH(H135,'G-6 Hedgerow Data'!$E$2:$I$2,0))))</f>
        <v/>
      </c>
      <c r="P135" s="195"/>
      <c r="Q135" s="195"/>
      <c r="R135" s="507" t="str">
        <f t="shared" si="7"/>
        <v/>
      </c>
      <c r="S135" s="521" t="str">
        <f t="shared" si="8"/>
        <v/>
      </c>
      <c r="T135" s="522" t="str">
        <f t="shared" si="6"/>
        <v/>
      </c>
      <c r="U135" s="537" t="str">
        <f>IF(D135="","",VLOOKUP(D135,'G-6 Hedgerow Data'!$B$3:$AG$15,31,FALSE))</f>
        <v/>
      </c>
      <c r="V135" s="520" t="str">
        <f t="shared" si="9"/>
        <v/>
      </c>
      <c r="W135" s="520" t="str">
        <f t="shared" si="10"/>
        <v/>
      </c>
      <c r="X135" s="524" t="str">
        <f>IF(F135="","",VLOOKUP(U135,'G-3 Multipliers'!$P$3:$Q$6,2,FALSE))</f>
        <v/>
      </c>
      <c r="Y135" s="529" t="str">
        <f t="shared" si="11"/>
        <v/>
      </c>
      <c r="Z135" s="149"/>
      <c r="AA135" s="150"/>
      <c r="AG135" s="31" t="str">
        <f>IFERROR(INDEX('G-6 Hedgerow Data'!$BJ$3:$BJ$15,MATCH(D135,'G-6 Hedgerow Data'!$B$3:$B$15,0)),"")</f>
        <v/>
      </c>
    </row>
    <row r="136" spans="2:33" ht="13.8" x14ac:dyDescent="0.25">
      <c r="B136" s="103">
        <v>125</v>
      </c>
      <c r="C136" s="268"/>
      <c r="D136" s="82"/>
      <c r="E136" s="203"/>
      <c r="F136" s="498" t="str">
        <f>IF(D136="","",VLOOKUP(D136,'G-6 Hedgerow Data'!$B$2:$AG$15,2,FALSE))</f>
        <v/>
      </c>
      <c r="G136" s="524" t="str">
        <f>IF(D136="","",VLOOKUP(D136,'G-6 Hedgerow Data'!$B$2:$AG$15,3,FALSE))</f>
        <v/>
      </c>
      <c r="H136" s="72"/>
      <c r="I136" s="499" t="str">
        <f>IFERROR(IF(AND(F136="V.Low",OR(H136="Good",H136="Moderate")),"Error ▲",VLOOKUP(H136,'G-1 All Habitats'!$Z$2:$AA$9,2,FALSE)),"")</f>
        <v/>
      </c>
      <c r="J136" s="146"/>
      <c r="K136" s="520" t="str">
        <f>IF(J136="","",IF(VLOOKUP(J136,'G-3 Multipliers'!$L$3:$N$6,2,FALSE)=0,"Spatial Data Missing",VLOOKUP(J136,'G-3 Multipliers'!$L$3:$N$6,2,FALSE)))</f>
        <v/>
      </c>
      <c r="L136" s="524" t="str">
        <f>IF(J136="","",IF(VLOOKUP(J136,'G-3 Multipliers'!$L$3:$N$6,3,FALSE)=0,"Spatial Data Missing",VLOOKUP(J136,'G-3 Multipliers'!$L$3:$N$6,3,FALSE)))</f>
        <v/>
      </c>
      <c r="M136" s="197"/>
      <c r="N136" s="499" t="str">
        <f>IF(M136="","",IF(VLOOKUP(M136,'G-3 Multipliers'!$S$3:$T$6,2,FALSE)=0,"Spatial Data Missing ⚠",VLOOKUP(M136,'G-3 Multipliers'!$S$3:$T$6,2,FALSE)))</f>
        <v/>
      </c>
      <c r="O136" s="498" t="str">
        <f>IF(OR(D136="",H136=""),"",(INDEX('G-6 Hedgerow Data'!$E$3:$I$15,MATCH(D136,'G-6 Hedgerow Data'!$B$3:$B$15,0),MATCH(H136,'G-6 Hedgerow Data'!$E$2:$I$2,0))))</f>
        <v/>
      </c>
      <c r="P136" s="195"/>
      <c r="Q136" s="195"/>
      <c r="R136" s="507" t="str">
        <f t="shared" si="7"/>
        <v/>
      </c>
      <c r="S136" s="521" t="str">
        <f t="shared" si="8"/>
        <v/>
      </c>
      <c r="T136" s="522" t="str">
        <f t="shared" si="6"/>
        <v/>
      </c>
      <c r="U136" s="537" t="str">
        <f>IF(D136="","",VLOOKUP(D136,'G-6 Hedgerow Data'!$B$3:$AG$15,31,FALSE))</f>
        <v/>
      </c>
      <c r="V136" s="520" t="str">
        <f t="shared" si="9"/>
        <v/>
      </c>
      <c r="W136" s="520" t="str">
        <f t="shared" si="10"/>
        <v/>
      </c>
      <c r="X136" s="524" t="str">
        <f>IF(F136="","",VLOOKUP(U136,'G-3 Multipliers'!$P$3:$Q$6,2,FALSE))</f>
        <v/>
      </c>
      <c r="Y136" s="529" t="str">
        <f t="shared" si="11"/>
        <v/>
      </c>
      <c r="Z136" s="149"/>
      <c r="AA136" s="150"/>
      <c r="AG136" s="31" t="str">
        <f>IFERROR(INDEX('G-6 Hedgerow Data'!$BJ$3:$BJ$15,MATCH(D136,'G-6 Hedgerow Data'!$B$3:$B$15,0)),"")</f>
        <v/>
      </c>
    </row>
    <row r="137" spans="2:33" ht="13.8" x14ac:dyDescent="0.25">
      <c r="B137" s="103">
        <v>126</v>
      </c>
      <c r="C137" s="268"/>
      <c r="D137" s="82"/>
      <c r="E137" s="203"/>
      <c r="F137" s="498" t="str">
        <f>IF(D137="","",VLOOKUP(D137,'G-6 Hedgerow Data'!$B$2:$AG$15,2,FALSE))</f>
        <v/>
      </c>
      <c r="G137" s="524" t="str">
        <f>IF(D137="","",VLOOKUP(D137,'G-6 Hedgerow Data'!$B$2:$AG$15,3,FALSE))</f>
        <v/>
      </c>
      <c r="H137" s="72"/>
      <c r="I137" s="499" t="str">
        <f>IFERROR(IF(AND(F137="V.Low",OR(H137="Good",H137="Moderate")),"Error ▲",VLOOKUP(H137,'G-1 All Habitats'!$Z$2:$AA$9,2,FALSE)),"")</f>
        <v/>
      </c>
      <c r="J137" s="146"/>
      <c r="K137" s="520" t="str">
        <f>IF(J137="","",IF(VLOOKUP(J137,'G-3 Multipliers'!$L$3:$N$6,2,FALSE)=0,"Spatial Data Missing",VLOOKUP(J137,'G-3 Multipliers'!$L$3:$N$6,2,FALSE)))</f>
        <v/>
      </c>
      <c r="L137" s="524" t="str">
        <f>IF(J137="","",IF(VLOOKUP(J137,'G-3 Multipliers'!$L$3:$N$6,3,FALSE)=0,"Spatial Data Missing",VLOOKUP(J137,'G-3 Multipliers'!$L$3:$N$6,3,FALSE)))</f>
        <v/>
      </c>
      <c r="M137" s="197"/>
      <c r="N137" s="499" t="str">
        <f>IF(M137="","",IF(VLOOKUP(M137,'G-3 Multipliers'!$S$3:$T$6,2,FALSE)=0,"Spatial Data Missing ⚠",VLOOKUP(M137,'G-3 Multipliers'!$S$3:$T$6,2,FALSE)))</f>
        <v/>
      </c>
      <c r="O137" s="498" t="str">
        <f>IF(OR(D137="",H137=""),"",(INDEX('G-6 Hedgerow Data'!$E$3:$I$15,MATCH(D137,'G-6 Hedgerow Data'!$B$3:$B$15,0),MATCH(H137,'G-6 Hedgerow Data'!$E$2:$I$2,0))))</f>
        <v/>
      </c>
      <c r="P137" s="195"/>
      <c r="Q137" s="195"/>
      <c r="R137" s="507" t="str">
        <f t="shared" si="7"/>
        <v/>
      </c>
      <c r="S137" s="521" t="str">
        <f t="shared" si="8"/>
        <v/>
      </c>
      <c r="T137" s="522" t="str">
        <f t="shared" si="6"/>
        <v/>
      </c>
      <c r="U137" s="537" t="str">
        <f>IF(D137="","",VLOOKUP(D137,'G-6 Hedgerow Data'!$B$3:$AG$15,31,FALSE))</f>
        <v/>
      </c>
      <c r="V137" s="520" t="str">
        <f t="shared" si="9"/>
        <v/>
      </c>
      <c r="W137" s="520" t="str">
        <f t="shared" si="10"/>
        <v/>
      </c>
      <c r="X137" s="524" t="str">
        <f>IF(F137="","",VLOOKUP(U137,'G-3 Multipliers'!$P$3:$Q$6,2,FALSE))</f>
        <v/>
      </c>
      <c r="Y137" s="529" t="str">
        <f t="shared" si="11"/>
        <v/>
      </c>
      <c r="Z137" s="149"/>
      <c r="AA137" s="150"/>
      <c r="AG137" s="31" t="str">
        <f>IFERROR(INDEX('G-6 Hedgerow Data'!$BJ$3:$BJ$15,MATCH(D137,'G-6 Hedgerow Data'!$B$3:$B$15,0)),"")</f>
        <v/>
      </c>
    </row>
    <row r="138" spans="2:33" ht="13.8" x14ac:dyDescent="0.25">
      <c r="B138" s="103">
        <v>127</v>
      </c>
      <c r="C138" s="268"/>
      <c r="D138" s="82"/>
      <c r="E138" s="203"/>
      <c r="F138" s="498" t="str">
        <f>IF(D138="","",VLOOKUP(D138,'G-6 Hedgerow Data'!$B$2:$AG$15,2,FALSE))</f>
        <v/>
      </c>
      <c r="G138" s="524" t="str">
        <f>IF(D138="","",VLOOKUP(D138,'G-6 Hedgerow Data'!$B$2:$AG$15,3,FALSE))</f>
        <v/>
      </c>
      <c r="H138" s="72"/>
      <c r="I138" s="499" t="str">
        <f>IFERROR(IF(AND(F138="V.Low",OR(H138="Good",H138="Moderate")),"Error ▲",VLOOKUP(H138,'G-1 All Habitats'!$Z$2:$AA$9,2,FALSE)),"")</f>
        <v/>
      </c>
      <c r="J138" s="146"/>
      <c r="K138" s="520" t="str">
        <f>IF(J138="","",IF(VLOOKUP(J138,'G-3 Multipliers'!$L$3:$N$6,2,FALSE)=0,"Spatial Data Missing",VLOOKUP(J138,'G-3 Multipliers'!$L$3:$N$6,2,FALSE)))</f>
        <v/>
      </c>
      <c r="L138" s="524" t="str">
        <f>IF(J138="","",IF(VLOOKUP(J138,'G-3 Multipliers'!$L$3:$N$6,3,FALSE)=0,"Spatial Data Missing",VLOOKUP(J138,'G-3 Multipliers'!$L$3:$N$6,3,FALSE)))</f>
        <v/>
      </c>
      <c r="M138" s="197"/>
      <c r="N138" s="499" t="str">
        <f>IF(M138="","",IF(VLOOKUP(M138,'G-3 Multipliers'!$S$3:$T$6,2,FALSE)=0,"Spatial Data Missing ⚠",VLOOKUP(M138,'G-3 Multipliers'!$S$3:$T$6,2,FALSE)))</f>
        <v/>
      </c>
      <c r="O138" s="498" t="str">
        <f>IF(OR(D138="",H138=""),"",(INDEX('G-6 Hedgerow Data'!$E$3:$I$15,MATCH(D138,'G-6 Hedgerow Data'!$B$3:$B$15,0),MATCH(H138,'G-6 Hedgerow Data'!$E$2:$I$2,0))))</f>
        <v/>
      </c>
      <c r="P138" s="195"/>
      <c r="Q138" s="195"/>
      <c r="R138" s="507" t="str">
        <f t="shared" si="7"/>
        <v/>
      </c>
      <c r="S138" s="521" t="str">
        <f t="shared" si="8"/>
        <v/>
      </c>
      <c r="T138" s="522" t="str">
        <f t="shared" si="6"/>
        <v/>
      </c>
      <c r="U138" s="537" t="str">
        <f>IF(D138="","",VLOOKUP(D138,'G-6 Hedgerow Data'!$B$3:$AG$15,31,FALSE))</f>
        <v/>
      </c>
      <c r="V138" s="520" t="str">
        <f t="shared" si="9"/>
        <v/>
      </c>
      <c r="W138" s="520" t="str">
        <f t="shared" si="10"/>
        <v/>
      </c>
      <c r="X138" s="524" t="str">
        <f>IF(F138="","",VLOOKUP(U138,'G-3 Multipliers'!$P$3:$Q$6,2,FALSE))</f>
        <v/>
      </c>
      <c r="Y138" s="529" t="str">
        <f t="shared" si="11"/>
        <v/>
      </c>
      <c r="Z138" s="149"/>
      <c r="AA138" s="150"/>
      <c r="AG138" s="31" t="str">
        <f>IFERROR(INDEX('G-6 Hedgerow Data'!$BJ$3:$BJ$15,MATCH(D138,'G-6 Hedgerow Data'!$B$3:$B$15,0)),"")</f>
        <v/>
      </c>
    </row>
    <row r="139" spans="2:33" ht="13.8" x14ac:dyDescent="0.25">
      <c r="B139" s="103">
        <v>128</v>
      </c>
      <c r="C139" s="268"/>
      <c r="D139" s="82"/>
      <c r="E139" s="203"/>
      <c r="F139" s="498" t="str">
        <f>IF(D139="","",VLOOKUP(D139,'G-6 Hedgerow Data'!$B$2:$AG$15,2,FALSE))</f>
        <v/>
      </c>
      <c r="G139" s="524" t="str">
        <f>IF(D139="","",VLOOKUP(D139,'G-6 Hedgerow Data'!$B$2:$AG$15,3,FALSE))</f>
        <v/>
      </c>
      <c r="H139" s="72"/>
      <c r="I139" s="499" t="str">
        <f>IFERROR(IF(AND(F139="V.Low",OR(H139="Good",H139="Moderate")),"Error ▲",VLOOKUP(H139,'G-1 All Habitats'!$Z$2:$AA$9,2,FALSE)),"")</f>
        <v/>
      </c>
      <c r="J139" s="146"/>
      <c r="K139" s="520" t="str">
        <f>IF(J139="","",IF(VLOOKUP(J139,'G-3 Multipliers'!$L$3:$N$6,2,FALSE)=0,"Spatial Data Missing",VLOOKUP(J139,'G-3 Multipliers'!$L$3:$N$6,2,FALSE)))</f>
        <v/>
      </c>
      <c r="L139" s="524" t="str">
        <f>IF(J139="","",IF(VLOOKUP(J139,'G-3 Multipliers'!$L$3:$N$6,3,FALSE)=0,"Spatial Data Missing",VLOOKUP(J139,'G-3 Multipliers'!$L$3:$N$6,3,FALSE)))</f>
        <v/>
      </c>
      <c r="M139" s="197"/>
      <c r="N139" s="499" t="str">
        <f>IF(M139="","",IF(VLOOKUP(M139,'G-3 Multipliers'!$S$3:$T$6,2,FALSE)=0,"Spatial Data Missing ⚠",VLOOKUP(M139,'G-3 Multipliers'!$S$3:$T$6,2,FALSE)))</f>
        <v/>
      </c>
      <c r="O139" s="498" t="str">
        <f>IF(OR(D139="",H139=""),"",(INDEX('G-6 Hedgerow Data'!$E$3:$I$15,MATCH(D139,'G-6 Hedgerow Data'!$B$3:$B$15,0),MATCH(H139,'G-6 Hedgerow Data'!$E$2:$I$2,0))))</f>
        <v/>
      </c>
      <c r="P139" s="195"/>
      <c r="Q139" s="195"/>
      <c r="R139" s="507" t="str">
        <f t="shared" si="7"/>
        <v/>
      </c>
      <c r="S139" s="521" t="str">
        <f t="shared" si="8"/>
        <v/>
      </c>
      <c r="T139" s="522" t="str">
        <f t="shared" si="6"/>
        <v/>
      </c>
      <c r="U139" s="537" t="str">
        <f>IF(D139="","",VLOOKUP(D139,'G-6 Hedgerow Data'!$B$3:$AG$15,31,FALSE))</f>
        <v/>
      </c>
      <c r="V139" s="520" t="str">
        <f t="shared" si="9"/>
        <v/>
      </c>
      <c r="W139" s="520" t="str">
        <f t="shared" si="10"/>
        <v/>
      </c>
      <c r="X139" s="524" t="str">
        <f>IF(F139="","",VLOOKUP(U139,'G-3 Multipliers'!$P$3:$Q$6,2,FALSE))</f>
        <v/>
      </c>
      <c r="Y139" s="529" t="str">
        <f t="shared" si="11"/>
        <v/>
      </c>
      <c r="Z139" s="149"/>
      <c r="AA139" s="150"/>
      <c r="AG139" s="31" t="str">
        <f>IFERROR(INDEX('G-6 Hedgerow Data'!$BJ$3:$BJ$15,MATCH(D139,'G-6 Hedgerow Data'!$B$3:$B$15,0)),"")</f>
        <v/>
      </c>
    </row>
    <row r="140" spans="2:33" ht="13.8" x14ac:dyDescent="0.25">
      <c r="B140" s="103">
        <v>129</v>
      </c>
      <c r="C140" s="268"/>
      <c r="D140" s="82"/>
      <c r="E140" s="203"/>
      <c r="F140" s="498" t="str">
        <f>IF(D140="","",VLOOKUP(D140,'G-6 Hedgerow Data'!$B$2:$AG$15,2,FALSE))</f>
        <v/>
      </c>
      <c r="G140" s="524" t="str">
        <f>IF(D140="","",VLOOKUP(D140,'G-6 Hedgerow Data'!$B$2:$AG$15,3,FALSE))</f>
        <v/>
      </c>
      <c r="H140" s="72"/>
      <c r="I140" s="499" t="str">
        <f>IFERROR(IF(AND(F140="V.Low",OR(H140="Good",H140="Moderate")),"Error ▲",VLOOKUP(H140,'G-1 All Habitats'!$Z$2:$AA$9,2,FALSE)),"")</f>
        <v/>
      </c>
      <c r="J140" s="146"/>
      <c r="K140" s="520" t="str">
        <f>IF(J140="","",IF(VLOOKUP(J140,'G-3 Multipliers'!$L$3:$N$6,2,FALSE)=0,"Spatial Data Missing",VLOOKUP(J140,'G-3 Multipliers'!$L$3:$N$6,2,FALSE)))</f>
        <v/>
      </c>
      <c r="L140" s="524" t="str">
        <f>IF(J140="","",IF(VLOOKUP(J140,'G-3 Multipliers'!$L$3:$N$6,3,FALSE)=0,"Spatial Data Missing",VLOOKUP(J140,'G-3 Multipliers'!$L$3:$N$6,3,FALSE)))</f>
        <v/>
      </c>
      <c r="M140" s="197"/>
      <c r="N140" s="499" t="str">
        <f>IF(M140="","",IF(VLOOKUP(M140,'G-3 Multipliers'!$S$3:$T$6,2,FALSE)=0,"Spatial Data Missing ⚠",VLOOKUP(M140,'G-3 Multipliers'!$S$3:$T$6,2,FALSE)))</f>
        <v/>
      </c>
      <c r="O140" s="498" t="str">
        <f>IF(OR(D140="",H140=""),"",(INDEX('G-6 Hedgerow Data'!$E$3:$I$15,MATCH(D140,'G-6 Hedgerow Data'!$B$3:$B$15,0),MATCH(H140,'G-6 Hedgerow Data'!$E$2:$I$2,0))))</f>
        <v/>
      </c>
      <c r="P140" s="195"/>
      <c r="Q140" s="195"/>
      <c r="R140" s="507" t="str">
        <f t="shared" si="7"/>
        <v/>
      </c>
      <c r="S140" s="521" t="str">
        <f t="shared" si="8"/>
        <v/>
      </c>
      <c r="T140" s="522" t="str">
        <f t="shared" ref="T140:T203" si="12">IF(D140="","",IF(LEFT(R140,5)="Error ▲","Check Data ⚠",VLOOKUP(S140,TemporalMultipliers,3,FALSE)))</f>
        <v/>
      </c>
      <c r="U140" s="537" t="str">
        <f>IF(D140="","",VLOOKUP(D140,'G-6 Hedgerow Data'!$B$3:$AG$15,31,FALSE))</f>
        <v/>
      </c>
      <c r="V140" s="520" t="str">
        <f t="shared" si="9"/>
        <v/>
      </c>
      <c r="W140" s="520" t="str">
        <f t="shared" si="10"/>
        <v/>
      </c>
      <c r="X140" s="524" t="str">
        <f>IF(F140="","",VLOOKUP(U140,'G-3 Multipliers'!$P$3:$Q$6,2,FALSE))</f>
        <v/>
      </c>
      <c r="Y140" s="529" t="str">
        <f t="shared" si="11"/>
        <v/>
      </c>
      <c r="Z140" s="149"/>
      <c r="AA140" s="150"/>
      <c r="AG140" s="31" t="str">
        <f>IFERROR(INDEX('G-6 Hedgerow Data'!$BJ$3:$BJ$15,MATCH(D140,'G-6 Hedgerow Data'!$B$3:$B$15,0)),"")</f>
        <v/>
      </c>
    </row>
    <row r="141" spans="2:33" ht="13.8" x14ac:dyDescent="0.25">
      <c r="B141" s="103">
        <v>130</v>
      </c>
      <c r="C141" s="268"/>
      <c r="D141" s="82"/>
      <c r="E141" s="203"/>
      <c r="F141" s="498" t="str">
        <f>IF(D141="","",VLOOKUP(D141,'G-6 Hedgerow Data'!$B$2:$AG$15,2,FALSE))</f>
        <v/>
      </c>
      <c r="G141" s="524" t="str">
        <f>IF(D141="","",VLOOKUP(D141,'G-6 Hedgerow Data'!$B$2:$AG$15,3,FALSE))</f>
        <v/>
      </c>
      <c r="H141" s="72"/>
      <c r="I141" s="499" t="str">
        <f>IFERROR(IF(AND(F141="V.Low",OR(H141="Good",H141="Moderate")),"Error ▲",VLOOKUP(H141,'G-1 All Habitats'!$Z$2:$AA$9,2,FALSE)),"")</f>
        <v/>
      </c>
      <c r="J141" s="146"/>
      <c r="K141" s="520" t="str">
        <f>IF(J141="","",IF(VLOOKUP(J141,'G-3 Multipliers'!$L$3:$N$6,2,FALSE)=0,"Spatial Data Missing",VLOOKUP(J141,'G-3 Multipliers'!$L$3:$N$6,2,FALSE)))</f>
        <v/>
      </c>
      <c r="L141" s="524" t="str">
        <f>IF(J141="","",IF(VLOOKUP(J141,'G-3 Multipliers'!$L$3:$N$6,3,FALSE)=0,"Spatial Data Missing",VLOOKUP(J141,'G-3 Multipliers'!$L$3:$N$6,3,FALSE)))</f>
        <v/>
      </c>
      <c r="M141" s="197"/>
      <c r="N141" s="499" t="str">
        <f>IF(M141="","",IF(VLOOKUP(M141,'G-3 Multipliers'!$S$3:$T$6,2,FALSE)=0,"Spatial Data Missing ⚠",VLOOKUP(M141,'G-3 Multipliers'!$S$3:$T$6,2,FALSE)))</f>
        <v/>
      </c>
      <c r="O141" s="498" t="str">
        <f>IF(OR(D141="",H141=""),"",(INDEX('G-6 Hedgerow Data'!$E$3:$I$15,MATCH(D141,'G-6 Hedgerow Data'!$B$3:$B$15,0),MATCH(H141,'G-6 Hedgerow Data'!$E$2:$I$2,0))))</f>
        <v/>
      </c>
      <c r="P141" s="195"/>
      <c r="Q141" s="195"/>
      <c r="R141" s="507" t="str">
        <f t="shared" ref="R141:R204" si="13">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1" t="str">
        <f t="shared" ref="S141:S204" si="14">IF(O141="","",IF(LEFT(R141,5)="Error ▲","Check Data ⚠",IF(OR(P141="30+",P141="Habitat already in target condition"),0,IF(Q141="30+","30+",IF(AND(O141="30+",OR(P141="",P141=0)),"30+ ⚠",IF(AND(O141="30+",P141&gt;0),32-P141,IF(O141+Q141&gt;30,"30+ ⚠",IF(O141+Q141-P141&gt;0,O141+Q141-P141,IF(O141-P141&lt;0,0,O141+Q141-P141)))))))))</f>
        <v/>
      </c>
      <c r="T141" s="522" t="str">
        <f t="shared" si="12"/>
        <v/>
      </c>
      <c r="U141" s="537" t="str">
        <f>IF(D141="","",VLOOKUP(D141,'G-6 Hedgerow Data'!$B$3:$AG$15,31,FALSE))</f>
        <v/>
      </c>
      <c r="V141" s="520" t="str">
        <f t="shared" ref="V141:V204" si="15">IF(D141="","",IF(S141="Check Data ⚠","Check Data ⚠",IF(H141="","",IF($R141="Check details - Is there evidence that habitat has reached target condition? ⚠","Low Difficulty - only applicable if all habitat created before losses","Standard difficulty applied"))))</f>
        <v/>
      </c>
      <c r="W141" s="520" t="str">
        <f t="shared" ref="W141:W204" si="16">(IF(AND(V141="Standard difficulty applied",O141&gt;P141),U141,IF(AND(V141="Low Difficulty - only applicable if all habitat created before losses",P141&gt;=O141),"Low",U141)))</f>
        <v/>
      </c>
      <c r="X141" s="524" t="str">
        <f>IF(F141="","",VLOOKUP(U141,'G-3 Multipliers'!$P$3:$Q$6,2,FALSE))</f>
        <v/>
      </c>
      <c r="Y141" s="529" t="str">
        <f t="shared" ref="Y141:Y204" si="17">IFERROR(E141*G141*I141*L141*T141*X141*N141,"")</f>
        <v/>
      </c>
      <c r="Z141" s="149"/>
      <c r="AA141" s="150"/>
      <c r="AG141" s="31" t="str">
        <f>IFERROR(INDEX('G-6 Hedgerow Data'!$BJ$3:$BJ$15,MATCH(D141,'G-6 Hedgerow Data'!$B$3:$B$15,0)),"")</f>
        <v/>
      </c>
    </row>
    <row r="142" spans="2:33" ht="13.8" x14ac:dyDescent="0.25">
      <c r="B142" s="103">
        <v>131</v>
      </c>
      <c r="C142" s="268"/>
      <c r="D142" s="82"/>
      <c r="E142" s="203"/>
      <c r="F142" s="498" t="str">
        <f>IF(D142="","",VLOOKUP(D142,'G-6 Hedgerow Data'!$B$2:$AG$15,2,FALSE))</f>
        <v/>
      </c>
      <c r="G142" s="524" t="str">
        <f>IF(D142="","",VLOOKUP(D142,'G-6 Hedgerow Data'!$B$2:$AG$15,3,FALSE))</f>
        <v/>
      </c>
      <c r="H142" s="72"/>
      <c r="I142" s="499" t="str">
        <f>IFERROR(IF(AND(F142="V.Low",OR(H142="Good",H142="Moderate")),"Error ▲",VLOOKUP(H142,'G-1 All Habitats'!$Z$2:$AA$9,2,FALSE)),"")</f>
        <v/>
      </c>
      <c r="J142" s="146"/>
      <c r="K142" s="520" t="str">
        <f>IF(J142="","",IF(VLOOKUP(J142,'G-3 Multipliers'!$L$3:$N$6,2,FALSE)=0,"Spatial Data Missing",VLOOKUP(J142,'G-3 Multipliers'!$L$3:$N$6,2,FALSE)))</f>
        <v/>
      </c>
      <c r="L142" s="524" t="str">
        <f>IF(J142="","",IF(VLOOKUP(J142,'G-3 Multipliers'!$L$3:$N$6,3,FALSE)=0,"Spatial Data Missing",VLOOKUP(J142,'G-3 Multipliers'!$L$3:$N$6,3,FALSE)))</f>
        <v/>
      </c>
      <c r="M142" s="197"/>
      <c r="N142" s="499" t="str">
        <f>IF(M142="","",IF(VLOOKUP(M142,'G-3 Multipliers'!$S$3:$T$6,2,FALSE)=0,"Spatial Data Missing ⚠",VLOOKUP(M142,'G-3 Multipliers'!$S$3:$T$6,2,FALSE)))</f>
        <v/>
      </c>
      <c r="O142" s="498" t="str">
        <f>IF(OR(D142="",H142=""),"",(INDEX('G-6 Hedgerow Data'!$E$3:$I$15,MATCH(D142,'G-6 Hedgerow Data'!$B$3:$B$15,0),MATCH(H142,'G-6 Hedgerow Data'!$E$2:$I$2,0))))</f>
        <v/>
      </c>
      <c r="P142" s="195"/>
      <c r="Q142" s="195"/>
      <c r="R142" s="507" t="str">
        <f t="shared" si="13"/>
        <v/>
      </c>
      <c r="S142" s="521" t="str">
        <f t="shared" si="14"/>
        <v/>
      </c>
      <c r="T142" s="522" t="str">
        <f t="shared" si="12"/>
        <v/>
      </c>
      <c r="U142" s="537" t="str">
        <f>IF(D142="","",VLOOKUP(D142,'G-6 Hedgerow Data'!$B$3:$AG$15,31,FALSE))</f>
        <v/>
      </c>
      <c r="V142" s="520" t="str">
        <f t="shared" si="15"/>
        <v/>
      </c>
      <c r="W142" s="520" t="str">
        <f t="shared" si="16"/>
        <v/>
      </c>
      <c r="X142" s="524" t="str">
        <f>IF(F142="","",VLOOKUP(U142,'G-3 Multipliers'!$P$3:$Q$6,2,FALSE))</f>
        <v/>
      </c>
      <c r="Y142" s="529" t="str">
        <f t="shared" si="17"/>
        <v/>
      </c>
      <c r="Z142" s="149"/>
      <c r="AA142" s="150"/>
      <c r="AG142" s="31" t="str">
        <f>IFERROR(INDEX('G-6 Hedgerow Data'!$BJ$3:$BJ$15,MATCH(D142,'G-6 Hedgerow Data'!$B$3:$B$15,0)),"")</f>
        <v/>
      </c>
    </row>
    <row r="143" spans="2:33" ht="13.8" x14ac:dyDescent="0.25">
      <c r="B143" s="103">
        <v>132</v>
      </c>
      <c r="C143" s="268"/>
      <c r="D143" s="82"/>
      <c r="E143" s="203"/>
      <c r="F143" s="498" t="str">
        <f>IF(D143="","",VLOOKUP(D143,'G-6 Hedgerow Data'!$B$2:$AG$15,2,FALSE))</f>
        <v/>
      </c>
      <c r="G143" s="524" t="str">
        <f>IF(D143="","",VLOOKUP(D143,'G-6 Hedgerow Data'!$B$2:$AG$15,3,FALSE))</f>
        <v/>
      </c>
      <c r="H143" s="72"/>
      <c r="I143" s="499" t="str">
        <f>IFERROR(IF(AND(F143="V.Low",OR(H143="Good",H143="Moderate")),"Error ▲",VLOOKUP(H143,'G-1 All Habitats'!$Z$2:$AA$9,2,FALSE)),"")</f>
        <v/>
      </c>
      <c r="J143" s="146"/>
      <c r="K143" s="520" t="str">
        <f>IF(J143="","",IF(VLOOKUP(J143,'G-3 Multipliers'!$L$3:$N$6,2,FALSE)=0,"Spatial Data Missing",VLOOKUP(J143,'G-3 Multipliers'!$L$3:$N$6,2,FALSE)))</f>
        <v/>
      </c>
      <c r="L143" s="524" t="str">
        <f>IF(J143="","",IF(VLOOKUP(J143,'G-3 Multipliers'!$L$3:$N$6,3,FALSE)=0,"Spatial Data Missing",VLOOKUP(J143,'G-3 Multipliers'!$L$3:$N$6,3,FALSE)))</f>
        <v/>
      </c>
      <c r="M143" s="197"/>
      <c r="N143" s="499" t="str">
        <f>IF(M143="","",IF(VLOOKUP(M143,'G-3 Multipliers'!$S$3:$T$6,2,FALSE)=0,"Spatial Data Missing ⚠",VLOOKUP(M143,'G-3 Multipliers'!$S$3:$T$6,2,FALSE)))</f>
        <v/>
      </c>
      <c r="O143" s="498" t="str">
        <f>IF(OR(D143="",H143=""),"",(INDEX('G-6 Hedgerow Data'!$E$3:$I$15,MATCH(D143,'G-6 Hedgerow Data'!$B$3:$B$15,0),MATCH(H143,'G-6 Hedgerow Data'!$E$2:$I$2,0))))</f>
        <v/>
      </c>
      <c r="P143" s="195"/>
      <c r="Q143" s="195"/>
      <c r="R143" s="507" t="str">
        <f t="shared" si="13"/>
        <v/>
      </c>
      <c r="S143" s="521" t="str">
        <f t="shared" si="14"/>
        <v/>
      </c>
      <c r="T143" s="522" t="str">
        <f t="shared" si="12"/>
        <v/>
      </c>
      <c r="U143" s="537" t="str">
        <f>IF(D143="","",VLOOKUP(D143,'G-6 Hedgerow Data'!$B$3:$AG$15,31,FALSE))</f>
        <v/>
      </c>
      <c r="V143" s="520" t="str">
        <f t="shared" si="15"/>
        <v/>
      </c>
      <c r="W143" s="520" t="str">
        <f t="shared" si="16"/>
        <v/>
      </c>
      <c r="X143" s="524" t="str">
        <f>IF(F143="","",VLOOKUP(U143,'G-3 Multipliers'!$P$3:$Q$6,2,FALSE))</f>
        <v/>
      </c>
      <c r="Y143" s="529" t="str">
        <f t="shared" si="17"/>
        <v/>
      </c>
      <c r="Z143" s="149"/>
      <c r="AA143" s="150"/>
      <c r="AG143" s="31" t="str">
        <f>IFERROR(INDEX('G-6 Hedgerow Data'!$BJ$3:$BJ$15,MATCH(D143,'G-6 Hedgerow Data'!$B$3:$B$15,0)),"")</f>
        <v/>
      </c>
    </row>
    <row r="144" spans="2:33" ht="13.8" x14ac:dyDescent="0.25">
      <c r="B144" s="103">
        <v>133</v>
      </c>
      <c r="C144" s="268"/>
      <c r="D144" s="82"/>
      <c r="E144" s="203"/>
      <c r="F144" s="498" t="str">
        <f>IF(D144="","",VLOOKUP(D144,'G-6 Hedgerow Data'!$B$2:$AG$15,2,FALSE))</f>
        <v/>
      </c>
      <c r="G144" s="524" t="str">
        <f>IF(D144="","",VLOOKUP(D144,'G-6 Hedgerow Data'!$B$2:$AG$15,3,FALSE))</f>
        <v/>
      </c>
      <c r="H144" s="72"/>
      <c r="I144" s="499" t="str">
        <f>IFERROR(IF(AND(F144="V.Low",OR(H144="Good",H144="Moderate")),"Error ▲",VLOOKUP(H144,'G-1 All Habitats'!$Z$2:$AA$9,2,FALSE)),"")</f>
        <v/>
      </c>
      <c r="J144" s="146"/>
      <c r="K144" s="520" t="str">
        <f>IF(J144="","",IF(VLOOKUP(J144,'G-3 Multipliers'!$L$3:$N$6,2,FALSE)=0,"Spatial Data Missing",VLOOKUP(J144,'G-3 Multipliers'!$L$3:$N$6,2,FALSE)))</f>
        <v/>
      </c>
      <c r="L144" s="524" t="str">
        <f>IF(J144="","",IF(VLOOKUP(J144,'G-3 Multipliers'!$L$3:$N$6,3,FALSE)=0,"Spatial Data Missing",VLOOKUP(J144,'G-3 Multipliers'!$L$3:$N$6,3,FALSE)))</f>
        <v/>
      </c>
      <c r="M144" s="197"/>
      <c r="N144" s="499" t="str">
        <f>IF(M144="","",IF(VLOOKUP(M144,'G-3 Multipliers'!$S$3:$T$6,2,FALSE)=0,"Spatial Data Missing ⚠",VLOOKUP(M144,'G-3 Multipliers'!$S$3:$T$6,2,FALSE)))</f>
        <v/>
      </c>
      <c r="O144" s="498" t="str">
        <f>IF(OR(D144="",H144=""),"",(INDEX('G-6 Hedgerow Data'!$E$3:$I$15,MATCH(D144,'G-6 Hedgerow Data'!$B$3:$B$15,0),MATCH(H144,'G-6 Hedgerow Data'!$E$2:$I$2,0))))</f>
        <v/>
      </c>
      <c r="P144" s="195"/>
      <c r="Q144" s="195"/>
      <c r="R144" s="507" t="str">
        <f t="shared" si="13"/>
        <v/>
      </c>
      <c r="S144" s="521" t="str">
        <f t="shared" si="14"/>
        <v/>
      </c>
      <c r="T144" s="522" t="str">
        <f t="shared" si="12"/>
        <v/>
      </c>
      <c r="U144" s="537" t="str">
        <f>IF(D144="","",VLOOKUP(D144,'G-6 Hedgerow Data'!$B$3:$AG$15,31,FALSE))</f>
        <v/>
      </c>
      <c r="V144" s="520" t="str">
        <f t="shared" si="15"/>
        <v/>
      </c>
      <c r="W144" s="520" t="str">
        <f t="shared" si="16"/>
        <v/>
      </c>
      <c r="X144" s="524" t="str">
        <f>IF(F144="","",VLOOKUP(U144,'G-3 Multipliers'!$P$3:$Q$6,2,FALSE))</f>
        <v/>
      </c>
      <c r="Y144" s="529" t="str">
        <f t="shared" si="17"/>
        <v/>
      </c>
      <c r="Z144" s="149"/>
      <c r="AA144" s="150"/>
      <c r="AG144" s="31" t="str">
        <f>IFERROR(INDEX('G-6 Hedgerow Data'!$BJ$3:$BJ$15,MATCH(D144,'G-6 Hedgerow Data'!$B$3:$B$15,0)),"")</f>
        <v/>
      </c>
    </row>
    <row r="145" spans="2:33" ht="13.8" x14ac:dyDescent="0.25">
      <c r="B145" s="103">
        <v>134</v>
      </c>
      <c r="C145" s="268"/>
      <c r="D145" s="82"/>
      <c r="E145" s="203"/>
      <c r="F145" s="498" t="str">
        <f>IF(D145="","",VLOOKUP(D145,'G-6 Hedgerow Data'!$B$2:$AG$15,2,FALSE))</f>
        <v/>
      </c>
      <c r="G145" s="524" t="str">
        <f>IF(D145="","",VLOOKUP(D145,'G-6 Hedgerow Data'!$B$2:$AG$15,3,FALSE))</f>
        <v/>
      </c>
      <c r="H145" s="72"/>
      <c r="I145" s="499" t="str">
        <f>IFERROR(IF(AND(F145="V.Low",OR(H145="Good",H145="Moderate")),"Error ▲",VLOOKUP(H145,'G-1 All Habitats'!$Z$2:$AA$9,2,FALSE)),"")</f>
        <v/>
      </c>
      <c r="J145" s="146"/>
      <c r="K145" s="520" t="str">
        <f>IF(J145="","",IF(VLOOKUP(J145,'G-3 Multipliers'!$L$3:$N$6,2,FALSE)=0,"Spatial Data Missing",VLOOKUP(J145,'G-3 Multipliers'!$L$3:$N$6,2,FALSE)))</f>
        <v/>
      </c>
      <c r="L145" s="524" t="str">
        <f>IF(J145="","",IF(VLOOKUP(J145,'G-3 Multipliers'!$L$3:$N$6,3,FALSE)=0,"Spatial Data Missing",VLOOKUP(J145,'G-3 Multipliers'!$L$3:$N$6,3,FALSE)))</f>
        <v/>
      </c>
      <c r="M145" s="197"/>
      <c r="N145" s="499" t="str">
        <f>IF(M145="","",IF(VLOOKUP(M145,'G-3 Multipliers'!$S$3:$T$6,2,FALSE)=0,"Spatial Data Missing ⚠",VLOOKUP(M145,'G-3 Multipliers'!$S$3:$T$6,2,FALSE)))</f>
        <v/>
      </c>
      <c r="O145" s="498" t="str">
        <f>IF(OR(D145="",H145=""),"",(INDEX('G-6 Hedgerow Data'!$E$3:$I$15,MATCH(D145,'G-6 Hedgerow Data'!$B$3:$B$15,0),MATCH(H145,'G-6 Hedgerow Data'!$E$2:$I$2,0))))</f>
        <v/>
      </c>
      <c r="P145" s="195"/>
      <c r="Q145" s="195"/>
      <c r="R145" s="507" t="str">
        <f t="shared" si="13"/>
        <v/>
      </c>
      <c r="S145" s="521" t="str">
        <f t="shared" si="14"/>
        <v/>
      </c>
      <c r="T145" s="522" t="str">
        <f t="shared" si="12"/>
        <v/>
      </c>
      <c r="U145" s="537" t="str">
        <f>IF(D145="","",VLOOKUP(D145,'G-6 Hedgerow Data'!$B$3:$AG$15,31,FALSE))</f>
        <v/>
      </c>
      <c r="V145" s="520" t="str">
        <f t="shared" si="15"/>
        <v/>
      </c>
      <c r="W145" s="520" t="str">
        <f t="shared" si="16"/>
        <v/>
      </c>
      <c r="X145" s="524" t="str">
        <f>IF(F145="","",VLOOKUP(U145,'G-3 Multipliers'!$P$3:$Q$6,2,FALSE))</f>
        <v/>
      </c>
      <c r="Y145" s="529" t="str">
        <f t="shared" si="17"/>
        <v/>
      </c>
      <c r="Z145" s="149"/>
      <c r="AA145" s="150"/>
      <c r="AG145" s="31" t="str">
        <f>IFERROR(INDEX('G-6 Hedgerow Data'!$BJ$3:$BJ$15,MATCH(D145,'G-6 Hedgerow Data'!$B$3:$B$15,0)),"")</f>
        <v/>
      </c>
    </row>
    <row r="146" spans="2:33" ht="13.8" x14ac:dyDescent="0.25">
      <c r="B146" s="103">
        <v>135</v>
      </c>
      <c r="C146" s="268"/>
      <c r="D146" s="82"/>
      <c r="E146" s="203"/>
      <c r="F146" s="498" t="str">
        <f>IF(D146="","",VLOOKUP(D146,'G-6 Hedgerow Data'!$B$2:$AG$15,2,FALSE))</f>
        <v/>
      </c>
      <c r="G146" s="524" t="str">
        <f>IF(D146="","",VLOOKUP(D146,'G-6 Hedgerow Data'!$B$2:$AG$15,3,FALSE))</f>
        <v/>
      </c>
      <c r="H146" s="72"/>
      <c r="I146" s="499" t="str">
        <f>IFERROR(IF(AND(F146="V.Low",OR(H146="Good",H146="Moderate")),"Error ▲",VLOOKUP(H146,'G-1 All Habitats'!$Z$2:$AA$9,2,FALSE)),"")</f>
        <v/>
      </c>
      <c r="J146" s="146"/>
      <c r="K146" s="520" t="str">
        <f>IF(J146="","",IF(VLOOKUP(J146,'G-3 Multipliers'!$L$3:$N$6,2,FALSE)=0,"Spatial Data Missing",VLOOKUP(J146,'G-3 Multipliers'!$L$3:$N$6,2,FALSE)))</f>
        <v/>
      </c>
      <c r="L146" s="524" t="str">
        <f>IF(J146="","",IF(VLOOKUP(J146,'G-3 Multipliers'!$L$3:$N$6,3,FALSE)=0,"Spatial Data Missing",VLOOKUP(J146,'G-3 Multipliers'!$L$3:$N$6,3,FALSE)))</f>
        <v/>
      </c>
      <c r="M146" s="197"/>
      <c r="N146" s="499" t="str">
        <f>IF(M146="","",IF(VLOOKUP(M146,'G-3 Multipliers'!$S$3:$T$6,2,FALSE)=0,"Spatial Data Missing ⚠",VLOOKUP(M146,'G-3 Multipliers'!$S$3:$T$6,2,FALSE)))</f>
        <v/>
      </c>
      <c r="O146" s="498" t="str">
        <f>IF(OR(D146="",H146=""),"",(INDEX('G-6 Hedgerow Data'!$E$3:$I$15,MATCH(D146,'G-6 Hedgerow Data'!$B$3:$B$15,0),MATCH(H146,'G-6 Hedgerow Data'!$E$2:$I$2,0))))</f>
        <v/>
      </c>
      <c r="P146" s="195"/>
      <c r="Q146" s="195"/>
      <c r="R146" s="507" t="str">
        <f t="shared" si="13"/>
        <v/>
      </c>
      <c r="S146" s="521" t="str">
        <f t="shared" si="14"/>
        <v/>
      </c>
      <c r="T146" s="522" t="str">
        <f t="shared" si="12"/>
        <v/>
      </c>
      <c r="U146" s="537" t="str">
        <f>IF(D146="","",VLOOKUP(D146,'G-6 Hedgerow Data'!$B$3:$AG$15,31,FALSE))</f>
        <v/>
      </c>
      <c r="V146" s="520" t="str">
        <f t="shared" si="15"/>
        <v/>
      </c>
      <c r="W146" s="520" t="str">
        <f t="shared" si="16"/>
        <v/>
      </c>
      <c r="X146" s="524" t="str">
        <f>IF(F146="","",VLOOKUP(U146,'G-3 Multipliers'!$P$3:$Q$6,2,FALSE))</f>
        <v/>
      </c>
      <c r="Y146" s="529" t="str">
        <f t="shared" si="17"/>
        <v/>
      </c>
      <c r="Z146" s="149"/>
      <c r="AA146" s="150"/>
      <c r="AG146" s="31" t="str">
        <f>IFERROR(INDEX('G-6 Hedgerow Data'!$BJ$3:$BJ$15,MATCH(D146,'G-6 Hedgerow Data'!$B$3:$B$15,0)),"")</f>
        <v/>
      </c>
    </row>
    <row r="147" spans="2:33" ht="13.8" x14ac:dyDescent="0.25">
      <c r="B147" s="103">
        <v>136</v>
      </c>
      <c r="C147" s="268"/>
      <c r="D147" s="82"/>
      <c r="E147" s="203"/>
      <c r="F147" s="498" t="str">
        <f>IF(D147="","",VLOOKUP(D147,'G-6 Hedgerow Data'!$B$2:$AG$15,2,FALSE))</f>
        <v/>
      </c>
      <c r="G147" s="524" t="str">
        <f>IF(D147="","",VLOOKUP(D147,'G-6 Hedgerow Data'!$B$2:$AG$15,3,FALSE))</f>
        <v/>
      </c>
      <c r="H147" s="72"/>
      <c r="I147" s="499" t="str">
        <f>IFERROR(IF(AND(F147="V.Low",OR(H147="Good",H147="Moderate")),"Error ▲",VLOOKUP(H147,'G-1 All Habitats'!$Z$2:$AA$9,2,FALSE)),"")</f>
        <v/>
      </c>
      <c r="J147" s="146"/>
      <c r="K147" s="520" t="str">
        <f>IF(J147="","",IF(VLOOKUP(J147,'G-3 Multipliers'!$L$3:$N$6,2,FALSE)=0,"Spatial Data Missing",VLOOKUP(J147,'G-3 Multipliers'!$L$3:$N$6,2,FALSE)))</f>
        <v/>
      </c>
      <c r="L147" s="524" t="str">
        <f>IF(J147="","",IF(VLOOKUP(J147,'G-3 Multipliers'!$L$3:$N$6,3,FALSE)=0,"Spatial Data Missing",VLOOKUP(J147,'G-3 Multipliers'!$L$3:$N$6,3,FALSE)))</f>
        <v/>
      </c>
      <c r="M147" s="197"/>
      <c r="N147" s="499" t="str">
        <f>IF(M147="","",IF(VLOOKUP(M147,'G-3 Multipliers'!$S$3:$T$6,2,FALSE)=0,"Spatial Data Missing ⚠",VLOOKUP(M147,'G-3 Multipliers'!$S$3:$T$6,2,FALSE)))</f>
        <v/>
      </c>
      <c r="O147" s="498" t="str">
        <f>IF(OR(D147="",H147=""),"",(INDEX('G-6 Hedgerow Data'!$E$3:$I$15,MATCH(D147,'G-6 Hedgerow Data'!$B$3:$B$15,0),MATCH(H147,'G-6 Hedgerow Data'!$E$2:$I$2,0))))</f>
        <v/>
      </c>
      <c r="P147" s="195"/>
      <c r="Q147" s="195"/>
      <c r="R147" s="507" t="str">
        <f t="shared" si="13"/>
        <v/>
      </c>
      <c r="S147" s="521" t="str">
        <f t="shared" si="14"/>
        <v/>
      </c>
      <c r="T147" s="522" t="str">
        <f t="shared" si="12"/>
        <v/>
      </c>
      <c r="U147" s="537" t="str">
        <f>IF(D147="","",VLOOKUP(D147,'G-6 Hedgerow Data'!$B$3:$AG$15,31,FALSE))</f>
        <v/>
      </c>
      <c r="V147" s="520" t="str">
        <f t="shared" si="15"/>
        <v/>
      </c>
      <c r="W147" s="520" t="str">
        <f t="shared" si="16"/>
        <v/>
      </c>
      <c r="X147" s="524" t="str">
        <f>IF(F147="","",VLOOKUP(U147,'G-3 Multipliers'!$P$3:$Q$6,2,FALSE))</f>
        <v/>
      </c>
      <c r="Y147" s="529" t="str">
        <f t="shared" si="17"/>
        <v/>
      </c>
      <c r="Z147" s="149"/>
      <c r="AA147" s="150"/>
      <c r="AG147" s="31" t="str">
        <f>IFERROR(INDEX('G-6 Hedgerow Data'!$BJ$3:$BJ$15,MATCH(D147,'G-6 Hedgerow Data'!$B$3:$B$15,0)),"")</f>
        <v/>
      </c>
    </row>
    <row r="148" spans="2:33" ht="13.8" x14ac:dyDescent="0.25">
      <c r="B148" s="103">
        <v>137</v>
      </c>
      <c r="C148" s="268"/>
      <c r="D148" s="82"/>
      <c r="E148" s="203"/>
      <c r="F148" s="498" t="str">
        <f>IF(D148="","",VLOOKUP(D148,'G-6 Hedgerow Data'!$B$2:$AG$15,2,FALSE))</f>
        <v/>
      </c>
      <c r="G148" s="524" t="str">
        <f>IF(D148="","",VLOOKUP(D148,'G-6 Hedgerow Data'!$B$2:$AG$15,3,FALSE))</f>
        <v/>
      </c>
      <c r="H148" s="72"/>
      <c r="I148" s="499" t="str">
        <f>IFERROR(IF(AND(F148="V.Low",OR(H148="Good",H148="Moderate")),"Error ▲",VLOOKUP(H148,'G-1 All Habitats'!$Z$2:$AA$9,2,FALSE)),"")</f>
        <v/>
      </c>
      <c r="J148" s="146"/>
      <c r="K148" s="520" t="str">
        <f>IF(J148="","",IF(VLOOKUP(J148,'G-3 Multipliers'!$L$3:$N$6,2,FALSE)=0,"Spatial Data Missing",VLOOKUP(J148,'G-3 Multipliers'!$L$3:$N$6,2,FALSE)))</f>
        <v/>
      </c>
      <c r="L148" s="524" t="str">
        <f>IF(J148="","",IF(VLOOKUP(J148,'G-3 Multipliers'!$L$3:$N$6,3,FALSE)=0,"Spatial Data Missing",VLOOKUP(J148,'G-3 Multipliers'!$L$3:$N$6,3,FALSE)))</f>
        <v/>
      </c>
      <c r="M148" s="197"/>
      <c r="N148" s="499" t="str">
        <f>IF(M148="","",IF(VLOOKUP(M148,'G-3 Multipliers'!$S$3:$T$6,2,FALSE)=0,"Spatial Data Missing ⚠",VLOOKUP(M148,'G-3 Multipliers'!$S$3:$T$6,2,FALSE)))</f>
        <v/>
      </c>
      <c r="O148" s="498" t="str">
        <f>IF(OR(D148="",H148=""),"",(INDEX('G-6 Hedgerow Data'!$E$3:$I$15,MATCH(D148,'G-6 Hedgerow Data'!$B$3:$B$15,0),MATCH(H148,'G-6 Hedgerow Data'!$E$2:$I$2,0))))</f>
        <v/>
      </c>
      <c r="P148" s="195"/>
      <c r="Q148" s="195"/>
      <c r="R148" s="507" t="str">
        <f t="shared" si="13"/>
        <v/>
      </c>
      <c r="S148" s="521" t="str">
        <f t="shared" si="14"/>
        <v/>
      </c>
      <c r="T148" s="522" t="str">
        <f t="shared" si="12"/>
        <v/>
      </c>
      <c r="U148" s="537" t="str">
        <f>IF(D148="","",VLOOKUP(D148,'G-6 Hedgerow Data'!$B$3:$AG$15,31,FALSE))</f>
        <v/>
      </c>
      <c r="V148" s="520" t="str">
        <f t="shared" si="15"/>
        <v/>
      </c>
      <c r="W148" s="520" t="str">
        <f t="shared" si="16"/>
        <v/>
      </c>
      <c r="X148" s="524" t="str">
        <f>IF(F148="","",VLOOKUP(U148,'G-3 Multipliers'!$P$3:$Q$6,2,FALSE))</f>
        <v/>
      </c>
      <c r="Y148" s="529" t="str">
        <f t="shared" si="17"/>
        <v/>
      </c>
      <c r="Z148" s="149"/>
      <c r="AA148" s="150"/>
      <c r="AG148" s="31" t="str">
        <f>IFERROR(INDEX('G-6 Hedgerow Data'!$BJ$3:$BJ$15,MATCH(D148,'G-6 Hedgerow Data'!$B$3:$B$15,0)),"")</f>
        <v/>
      </c>
    </row>
    <row r="149" spans="2:33" ht="13.8" x14ac:dyDescent="0.25">
      <c r="B149" s="103">
        <v>138</v>
      </c>
      <c r="C149" s="268"/>
      <c r="D149" s="82"/>
      <c r="E149" s="203"/>
      <c r="F149" s="498" t="str">
        <f>IF(D149="","",VLOOKUP(D149,'G-6 Hedgerow Data'!$B$2:$AG$15,2,FALSE))</f>
        <v/>
      </c>
      <c r="G149" s="524" t="str">
        <f>IF(D149="","",VLOOKUP(D149,'G-6 Hedgerow Data'!$B$2:$AG$15,3,FALSE))</f>
        <v/>
      </c>
      <c r="H149" s="72"/>
      <c r="I149" s="499" t="str">
        <f>IFERROR(IF(AND(F149="V.Low",OR(H149="Good",H149="Moderate")),"Error ▲",VLOOKUP(H149,'G-1 All Habitats'!$Z$2:$AA$9,2,FALSE)),"")</f>
        <v/>
      </c>
      <c r="J149" s="146"/>
      <c r="K149" s="520" t="str">
        <f>IF(J149="","",IF(VLOOKUP(J149,'G-3 Multipliers'!$L$3:$N$6,2,FALSE)=0,"Spatial Data Missing",VLOOKUP(J149,'G-3 Multipliers'!$L$3:$N$6,2,FALSE)))</f>
        <v/>
      </c>
      <c r="L149" s="524" t="str">
        <f>IF(J149="","",IF(VLOOKUP(J149,'G-3 Multipliers'!$L$3:$N$6,3,FALSE)=0,"Spatial Data Missing",VLOOKUP(J149,'G-3 Multipliers'!$L$3:$N$6,3,FALSE)))</f>
        <v/>
      </c>
      <c r="M149" s="197"/>
      <c r="N149" s="499" t="str">
        <f>IF(M149="","",IF(VLOOKUP(M149,'G-3 Multipliers'!$S$3:$T$6,2,FALSE)=0,"Spatial Data Missing ⚠",VLOOKUP(M149,'G-3 Multipliers'!$S$3:$T$6,2,FALSE)))</f>
        <v/>
      </c>
      <c r="O149" s="498" t="str">
        <f>IF(OR(D149="",H149=""),"",(INDEX('G-6 Hedgerow Data'!$E$3:$I$15,MATCH(D149,'G-6 Hedgerow Data'!$B$3:$B$15,0),MATCH(H149,'G-6 Hedgerow Data'!$E$2:$I$2,0))))</f>
        <v/>
      </c>
      <c r="P149" s="195"/>
      <c r="Q149" s="195"/>
      <c r="R149" s="507" t="str">
        <f t="shared" si="13"/>
        <v/>
      </c>
      <c r="S149" s="521" t="str">
        <f t="shared" si="14"/>
        <v/>
      </c>
      <c r="T149" s="522" t="str">
        <f t="shared" si="12"/>
        <v/>
      </c>
      <c r="U149" s="537" t="str">
        <f>IF(D149="","",VLOOKUP(D149,'G-6 Hedgerow Data'!$B$3:$AG$15,31,FALSE))</f>
        <v/>
      </c>
      <c r="V149" s="520" t="str">
        <f t="shared" si="15"/>
        <v/>
      </c>
      <c r="W149" s="520" t="str">
        <f t="shared" si="16"/>
        <v/>
      </c>
      <c r="X149" s="524" t="str">
        <f>IF(F149="","",VLOOKUP(U149,'G-3 Multipliers'!$P$3:$Q$6,2,FALSE))</f>
        <v/>
      </c>
      <c r="Y149" s="529" t="str">
        <f t="shared" si="17"/>
        <v/>
      </c>
      <c r="Z149" s="149"/>
      <c r="AA149" s="150"/>
      <c r="AG149" s="31" t="str">
        <f>IFERROR(INDEX('G-6 Hedgerow Data'!$BJ$3:$BJ$15,MATCH(D149,'G-6 Hedgerow Data'!$B$3:$B$15,0)),"")</f>
        <v/>
      </c>
    </row>
    <row r="150" spans="2:33" ht="13.8" x14ac:dyDescent="0.25">
      <c r="B150" s="103">
        <v>139</v>
      </c>
      <c r="C150" s="268"/>
      <c r="D150" s="82"/>
      <c r="E150" s="203"/>
      <c r="F150" s="498" t="str">
        <f>IF(D150="","",VLOOKUP(D150,'G-6 Hedgerow Data'!$B$2:$AG$15,2,FALSE))</f>
        <v/>
      </c>
      <c r="G150" s="524" t="str">
        <f>IF(D150="","",VLOOKUP(D150,'G-6 Hedgerow Data'!$B$2:$AG$15,3,FALSE))</f>
        <v/>
      </c>
      <c r="H150" s="72"/>
      <c r="I150" s="499" t="str">
        <f>IFERROR(IF(AND(F150="V.Low",OR(H150="Good",H150="Moderate")),"Error ▲",VLOOKUP(H150,'G-1 All Habitats'!$Z$2:$AA$9,2,FALSE)),"")</f>
        <v/>
      </c>
      <c r="J150" s="146"/>
      <c r="K150" s="520" t="str">
        <f>IF(J150="","",IF(VLOOKUP(J150,'G-3 Multipliers'!$L$3:$N$6,2,FALSE)=0,"Spatial Data Missing",VLOOKUP(J150,'G-3 Multipliers'!$L$3:$N$6,2,FALSE)))</f>
        <v/>
      </c>
      <c r="L150" s="524" t="str">
        <f>IF(J150="","",IF(VLOOKUP(J150,'G-3 Multipliers'!$L$3:$N$6,3,FALSE)=0,"Spatial Data Missing",VLOOKUP(J150,'G-3 Multipliers'!$L$3:$N$6,3,FALSE)))</f>
        <v/>
      </c>
      <c r="M150" s="197"/>
      <c r="N150" s="499" t="str">
        <f>IF(M150="","",IF(VLOOKUP(M150,'G-3 Multipliers'!$S$3:$T$6,2,FALSE)=0,"Spatial Data Missing ⚠",VLOOKUP(M150,'G-3 Multipliers'!$S$3:$T$6,2,FALSE)))</f>
        <v/>
      </c>
      <c r="O150" s="498" t="str">
        <f>IF(OR(D150="",H150=""),"",(INDEX('G-6 Hedgerow Data'!$E$3:$I$15,MATCH(D150,'G-6 Hedgerow Data'!$B$3:$B$15,0),MATCH(H150,'G-6 Hedgerow Data'!$E$2:$I$2,0))))</f>
        <v/>
      </c>
      <c r="P150" s="195"/>
      <c r="Q150" s="195"/>
      <c r="R150" s="507" t="str">
        <f t="shared" si="13"/>
        <v/>
      </c>
      <c r="S150" s="521" t="str">
        <f t="shared" si="14"/>
        <v/>
      </c>
      <c r="T150" s="522" t="str">
        <f t="shared" si="12"/>
        <v/>
      </c>
      <c r="U150" s="537" t="str">
        <f>IF(D150="","",VLOOKUP(D150,'G-6 Hedgerow Data'!$B$3:$AG$15,31,FALSE))</f>
        <v/>
      </c>
      <c r="V150" s="520" t="str">
        <f t="shared" si="15"/>
        <v/>
      </c>
      <c r="W150" s="520" t="str">
        <f t="shared" si="16"/>
        <v/>
      </c>
      <c r="X150" s="524" t="str">
        <f>IF(F150="","",VLOOKUP(U150,'G-3 Multipliers'!$P$3:$Q$6,2,FALSE))</f>
        <v/>
      </c>
      <c r="Y150" s="529" t="str">
        <f t="shared" si="17"/>
        <v/>
      </c>
      <c r="Z150" s="149"/>
      <c r="AA150" s="150"/>
      <c r="AG150" s="31" t="str">
        <f>IFERROR(INDEX('G-6 Hedgerow Data'!$BJ$3:$BJ$15,MATCH(D150,'G-6 Hedgerow Data'!$B$3:$B$15,0)),"")</f>
        <v/>
      </c>
    </row>
    <row r="151" spans="2:33" ht="13.8" x14ac:dyDescent="0.25">
      <c r="B151" s="103">
        <v>140</v>
      </c>
      <c r="C151" s="268"/>
      <c r="D151" s="82"/>
      <c r="E151" s="203"/>
      <c r="F151" s="498" t="str">
        <f>IF(D151="","",VLOOKUP(D151,'G-6 Hedgerow Data'!$B$2:$AG$15,2,FALSE))</f>
        <v/>
      </c>
      <c r="G151" s="524" t="str">
        <f>IF(D151="","",VLOOKUP(D151,'G-6 Hedgerow Data'!$B$2:$AG$15,3,FALSE))</f>
        <v/>
      </c>
      <c r="H151" s="72"/>
      <c r="I151" s="499" t="str">
        <f>IFERROR(IF(AND(F151="V.Low",OR(H151="Good",H151="Moderate")),"Error ▲",VLOOKUP(H151,'G-1 All Habitats'!$Z$2:$AA$9,2,FALSE)),"")</f>
        <v/>
      </c>
      <c r="J151" s="146"/>
      <c r="K151" s="520" t="str">
        <f>IF(J151="","",IF(VLOOKUP(J151,'G-3 Multipliers'!$L$3:$N$6,2,FALSE)=0,"Spatial Data Missing",VLOOKUP(J151,'G-3 Multipliers'!$L$3:$N$6,2,FALSE)))</f>
        <v/>
      </c>
      <c r="L151" s="524" t="str">
        <f>IF(J151="","",IF(VLOOKUP(J151,'G-3 Multipliers'!$L$3:$N$6,3,FALSE)=0,"Spatial Data Missing",VLOOKUP(J151,'G-3 Multipliers'!$L$3:$N$6,3,FALSE)))</f>
        <v/>
      </c>
      <c r="M151" s="197"/>
      <c r="N151" s="499" t="str">
        <f>IF(M151="","",IF(VLOOKUP(M151,'G-3 Multipliers'!$S$3:$T$6,2,FALSE)=0,"Spatial Data Missing ⚠",VLOOKUP(M151,'G-3 Multipliers'!$S$3:$T$6,2,FALSE)))</f>
        <v/>
      </c>
      <c r="O151" s="498" t="str">
        <f>IF(OR(D151="",H151=""),"",(INDEX('G-6 Hedgerow Data'!$E$3:$I$15,MATCH(D151,'G-6 Hedgerow Data'!$B$3:$B$15,0),MATCH(H151,'G-6 Hedgerow Data'!$E$2:$I$2,0))))</f>
        <v/>
      </c>
      <c r="P151" s="195"/>
      <c r="Q151" s="195"/>
      <c r="R151" s="507" t="str">
        <f t="shared" si="13"/>
        <v/>
      </c>
      <c r="S151" s="521" t="str">
        <f t="shared" si="14"/>
        <v/>
      </c>
      <c r="T151" s="522" t="str">
        <f t="shared" si="12"/>
        <v/>
      </c>
      <c r="U151" s="537" t="str">
        <f>IF(D151="","",VLOOKUP(D151,'G-6 Hedgerow Data'!$B$3:$AG$15,31,FALSE))</f>
        <v/>
      </c>
      <c r="V151" s="520" t="str">
        <f t="shared" si="15"/>
        <v/>
      </c>
      <c r="W151" s="520" t="str">
        <f t="shared" si="16"/>
        <v/>
      </c>
      <c r="X151" s="524" t="str">
        <f>IF(F151="","",VLOOKUP(U151,'G-3 Multipliers'!$P$3:$Q$6,2,FALSE))</f>
        <v/>
      </c>
      <c r="Y151" s="529" t="str">
        <f t="shared" si="17"/>
        <v/>
      </c>
      <c r="Z151" s="149"/>
      <c r="AA151" s="150"/>
      <c r="AG151" s="31" t="str">
        <f>IFERROR(INDEX('G-6 Hedgerow Data'!$BJ$3:$BJ$15,MATCH(D151,'G-6 Hedgerow Data'!$B$3:$B$15,0)),"")</f>
        <v/>
      </c>
    </row>
    <row r="152" spans="2:33" ht="13.8" x14ac:dyDescent="0.25">
      <c r="B152" s="103">
        <v>141</v>
      </c>
      <c r="C152" s="268"/>
      <c r="D152" s="82"/>
      <c r="E152" s="203"/>
      <c r="F152" s="498" t="str">
        <f>IF(D152="","",VLOOKUP(D152,'G-6 Hedgerow Data'!$B$2:$AG$15,2,FALSE))</f>
        <v/>
      </c>
      <c r="G152" s="524" t="str">
        <f>IF(D152="","",VLOOKUP(D152,'G-6 Hedgerow Data'!$B$2:$AG$15,3,FALSE))</f>
        <v/>
      </c>
      <c r="H152" s="72"/>
      <c r="I152" s="499" t="str">
        <f>IFERROR(IF(AND(F152="V.Low",OR(H152="Good",H152="Moderate")),"Error ▲",VLOOKUP(H152,'G-1 All Habitats'!$Z$2:$AA$9,2,FALSE)),"")</f>
        <v/>
      </c>
      <c r="J152" s="146"/>
      <c r="K152" s="520" t="str">
        <f>IF(J152="","",IF(VLOOKUP(J152,'G-3 Multipliers'!$L$3:$N$6,2,FALSE)=0,"Spatial Data Missing",VLOOKUP(J152,'G-3 Multipliers'!$L$3:$N$6,2,FALSE)))</f>
        <v/>
      </c>
      <c r="L152" s="524" t="str">
        <f>IF(J152="","",IF(VLOOKUP(J152,'G-3 Multipliers'!$L$3:$N$6,3,FALSE)=0,"Spatial Data Missing",VLOOKUP(J152,'G-3 Multipliers'!$L$3:$N$6,3,FALSE)))</f>
        <v/>
      </c>
      <c r="M152" s="197"/>
      <c r="N152" s="499" t="str">
        <f>IF(M152="","",IF(VLOOKUP(M152,'G-3 Multipliers'!$S$3:$T$6,2,FALSE)=0,"Spatial Data Missing ⚠",VLOOKUP(M152,'G-3 Multipliers'!$S$3:$T$6,2,FALSE)))</f>
        <v/>
      </c>
      <c r="O152" s="498" t="str">
        <f>IF(OR(D152="",H152=""),"",(INDEX('G-6 Hedgerow Data'!$E$3:$I$15,MATCH(D152,'G-6 Hedgerow Data'!$B$3:$B$15,0),MATCH(H152,'G-6 Hedgerow Data'!$E$2:$I$2,0))))</f>
        <v/>
      </c>
      <c r="P152" s="195"/>
      <c r="Q152" s="195"/>
      <c r="R152" s="507" t="str">
        <f t="shared" si="13"/>
        <v/>
      </c>
      <c r="S152" s="521" t="str">
        <f t="shared" si="14"/>
        <v/>
      </c>
      <c r="T152" s="522" t="str">
        <f t="shared" si="12"/>
        <v/>
      </c>
      <c r="U152" s="537" t="str">
        <f>IF(D152="","",VLOOKUP(D152,'G-6 Hedgerow Data'!$B$3:$AG$15,31,FALSE))</f>
        <v/>
      </c>
      <c r="V152" s="520" t="str">
        <f t="shared" si="15"/>
        <v/>
      </c>
      <c r="W152" s="520" t="str">
        <f t="shared" si="16"/>
        <v/>
      </c>
      <c r="X152" s="524" t="str">
        <f>IF(F152="","",VLOOKUP(U152,'G-3 Multipliers'!$P$3:$Q$6,2,FALSE))</f>
        <v/>
      </c>
      <c r="Y152" s="529" t="str">
        <f t="shared" si="17"/>
        <v/>
      </c>
      <c r="Z152" s="149"/>
      <c r="AA152" s="150"/>
      <c r="AG152" s="31" t="str">
        <f>IFERROR(INDEX('G-6 Hedgerow Data'!$BJ$3:$BJ$15,MATCH(D152,'G-6 Hedgerow Data'!$B$3:$B$15,0)),"")</f>
        <v/>
      </c>
    </row>
    <row r="153" spans="2:33" ht="13.8" x14ac:dyDescent="0.25">
      <c r="B153" s="103">
        <v>142</v>
      </c>
      <c r="C153" s="268"/>
      <c r="D153" s="82"/>
      <c r="E153" s="203"/>
      <c r="F153" s="498" t="str">
        <f>IF(D153="","",VLOOKUP(D153,'G-6 Hedgerow Data'!$B$2:$AG$15,2,FALSE))</f>
        <v/>
      </c>
      <c r="G153" s="524" t="str">
        <f>IF(D153="","",VLOOKUP(D153,'G-6 Hedgerow Data'!$B$2:$AG$15,3,FALSE))</f>
        <v/>
      </c>
      <c r="H153" s="72"/>
      <c r="I153" s="499" t="str">
        <f>IFERROR(IF(AND(F153="V.Low",OR(H153="Good",H153="Moderate")),"Error ▲",VLOOKUP(H153,'G-1 All Habitats'!$Z$2:$AA$9,2,FALSE)),"")</f>
        <v/>
      </c>
      <c r="J153" s="146"/>
      <c r="K153" s="520" t="str">
        <f>IF(J153="","",IF(VLOOKUP(J153,'G-3 Multipliers'!$L$3:$N$6,2,FALSE)=0,"Spatial Data Missing",VLOOKUP(J153,'G-3 Multipliers'!$L$3:$N$6,2,FALSE)))</f>
        <v/>
      </c>
      <c r="L153" s="524" t="str">
        <f>IF(J153="","",IF(VLOOKUP(J153,'G-3 Multipliers'!$L$3:$N$6,3,FALSE)=0,"Spatial Data Missing",VLOOKUP(J153,'G-3 Multipliers'!$L$3:$N$6,3,FALSE)))</f>
        <v/>
      </c>
      <c r="M153" s="197"/>
      <c r="N153" s="499" t="str">
        <f>IF(M153="","",IF(VLOOKUP(M153,'G-3 Multipliers'!$S$3:$T$6,2,FALSE)=0,"Spatial Data Missing ⚠",VLOOKUP(M153,'G-3 Multipliers'!$S$3:$T$6,2,FALSE)))</f>
        <v/>
      </c>
      <c r="O153" s="498" t="str">
        <f>IF(OR(D153="",H153=""),"",(INDEX('G-6 Hedgerow Data'!$E$3:$I$15,MATCH(D153,'G-6 Hedgerow Data'!$B$3:$B$15,0),MATCH(H153,'G-6 Hedgerow Data'!$E$2:$I$2,0))))</f>
        <v/>
      </c>
      <c r="P153" s="195"/>
      <c r="Q153" s="195"/>
      <c r="R153" s="507" t="str">
        <f t="shared" si="13"/>
        <v/>
      </c>
      <c r="S153" s="521" t="str">
        <f t="shared" si="14"/>
        <v/>
      </c>
      <c r="T153" s="522" t="str">
        <f t="shared" si="12"/>
        <v/>
      </c>
      <c r="U153" s="537" t="str">
        <f>IF(D153="","",VLOOKUP(D153,'G-6 Hedgerow Data'!$B$3:$AG$15,31,FALSE))</f>
        <v/>
      </c>
      <c r="V153" s="520" t="str">
        <f t="shared" si="15"/>
        <v/>
      </c>
      <c r="W153" s="520" t="str">
        <f t="shared" si="16"/>
        <v/>
      </c>
      <c r="X153" s="524" t="str">
        <f>IF(F153="","",VLOOKUP(U153,'G-3 Multipliers'!$P$3:$Q$6,2,FALSE))</f>
        <v/>
      </c>
      <c r="Y153" s="529" t="str">
        <f t="shared" si="17"/>
        <v/>
      </c>
      <c r="Z153" s="149"/>
      <c r="AA153" s="150"/>
      <c r="AG153" s="31" t="str">
        <f>IFERROR(INDEX('G-6 Hedgerow Data'!$BJ$3:$BJ$15,MATCH(D153,'G-6 Hedgerow Data'!$B$3:$B$15,0)),"")</f>
        <v/>
      </c>
    </row>
    <row r="154" spans="2:33" ht="13.8" x14ac:dyDescent="0.25">
      <c r="B154" s="103">
        <v>143</v>
      </c>
      <c r="C154" s="268"/>
      <c r="D154" s="82"/>
      <c r="E154" s="203"/>
      <c r="F154" s="498" t="str">
        <f>IF(D154="","",VLOOKUP(D154,'G-6 Hedgerow Data'!$B$2:$AG$15,2,FALSE))</f>
        <v/>
      </c>
      <c r="G154" s="524" t="str">
        <f>IF(D154="","",VLOOKUP(D154,'G-6 Hedgerow Data'!$B$2:$AG$15,3,FALSE))</f>
        <v/>
      </c>
      <c r="H154" s="72"/>
      <c r="I154" s="499" t="str">
        <f>IFERROR(IF(AND(F154="V.Low",OR(H154="Good",H154="Moderate")),"Error ▲",VLOOKUP(H154,'G-1 All Habitats'!$Z$2:$AA$9,2,FALSE)),"")</f>
        <v/>
      </c>
      <c r="J154" s="146"/>
      <c r="K154" s="520" t="str">
        <f>IF(J154="","",IF(VLOOKUP(J154,'G-3 Multipliers'!$L$3:$N$6,2,FALSE)=0,"Spatial Data Missing",VLOOKUP(J154,'G-3 Multipliers'!$L$3:$N$6,2,FALSE)))</f>
        <v/>
      </c>
      <c r="L154" s="524" t="str">
        <f>IF(J154="","",IF(VLOOKUP(J154,'G-3 Multipliers'!$L$3:$N$6,3,FALSE)=0,"Spatial Data Missing",VLOOKUP(J154,'G-3 Multipliers'!$L$3:$N$6,3,FALSE)))</f>
        <v/>
      </c>
      <c r="M154" s="197"/>
      <c r="N154" s="499" t="str">
        <f>IF(M154="","",IF(VLOOKUP(M154,'G-3 Multipliers'!$S$3:$T$6,2,FALSE)=0,"Spatial Data Missing ⚠",VLOOKUP(M154,'G-3 Multipliers'!$S$3:$T$6,2,FALSE)))</f>
        <v/>
      </c>
      <c r="O154" s="498" t="str">
        <f>IF(OR(D154="",H154=""),"",(INDEX('G-6 Hedgerow Data'!$E$3:$I$15,MATCH(D154,'G-6 Hedgerow Data'!$B$3:$B$15,0),MATCH(H154,'G-6 Hedgerow Data'!$E$2:$I$2,0))))</f>
        <v/>
      </c>
      <c r="P154" s="195"/>
      <c r="Q154" s="195"/>
      <c r="R154" s="507" t="str">
        <f t="shared" si="13"/>
        <v/>
      </c>
      <c r="S154" s="521" t="str">
        <f t="shared" si="14"/>
        <v/>
      </c>
      <c r="T154" s="522" t="str">
        <f t="shared" si="12"/>
        <v/>
      </c>
      <c r="U154" s="537" t="str">
        <f>IF(D154="","",VLOOKUP(D154,'G-6 Hedgerow Data'!$B$3:$AG$15,31,FALSE))</f>
        <v/>
      </c>
      <c r="V154" s="520" t="str">
        <f t="shared" si="15"/>
        <v/>
      </c>
      <c r="W154" s="520" t="str">
        <f t="shared" si="16"/>
        <v/>
      </c>
      <c r="X154" s="524" t="str">
        <f>IF(F154="","",VLOOKUP(U154,'G-3 Multipliers'!$P$3:$Q$6,2,FALSE))</f>
        <v/>
      </c>
      <c r="Y154" s="529" t="str">
        <f t="shared" si="17"/>
        <v/>
      </c>
      <c r="Z154" s="149"/>
      <c r="AA154" s="150"/>
      <c r="AG154" s="31" t="str">
        <f>IFERROR(INDEX('G-6 Hedgerow Data'!$BJ$3:$BJ$15,MATCH(D154,'G-6 Hedgerow Data'!$B$3:$B$15,0)),"")</f>
        <v/>
      </c>
    </row>
    <row r="155" spans="2:33" ht="13.8" x14ac:dyDescent="0.25">
      <c r="B155" s="103">
        <v>144</v>
      </c>
      <c r="C155" s="268"/>
      <c r="D155" s="82"/>
      <c r="E155" s="203"/>
      <c r="F155" s="498" t="str">
        <f>IF(D155="","",VLOOKUP(D155,'G-6 Hedgerow Data'!$B$2:$AG$15,2,FALSE))</f>
        <v/>
      </c>
      <c r="G155" s="524" t="str">
        <f>IF(D155="","",VLOOKUP(D155,'G-6 Hedgerow Data'!$B$2:$AG$15,3,FALSE))</f>
        <v/>
      </c>
      <c r="H155" s="72"/>
      <c r="I155" s="499" t="str">
        <f>IFERROR(IF(AND(F155="V.Low",OR(H155="Good",H155="Moderate")),"Error ▲",VLOOKUP(H155,'G-1 All Habitats'!$Z$2:$AA$9,2,FALSE)),"")</f>
        <v/>
      </c>
      <c r="J155" s="146"/>
      <c r="K155" s="520" t="str">
        <f>IF(J155="","",IF(VLOOKUP(J155,'G-3 Multipliers'!$L$3:$N$6,2,FALSE)=0,"Spatial Data Missing",VLOOKUP(J155,'G-3 Multipliers'!$L$3:$N$6,2,FALSE)))</f>
        <v/>
      </c>
      <c r="L155" s="524" t="str">
        <f>IF(J155="","",IF(VLOOKUP(J155,'G-3 Multipliers'!$L$3:$N$6,3,FALSE)=0,"Spatial Data Missing",VLOOKUP(J155,'G-3 Multipliers'!$L$3:$N$6,3,FALSE)))</f>
        <v/>
      </c>
      <c r="M155" s="197"/>
      <c r="N155" s="499" t="str">
        <f>IF(M155="","",IF(VLOOKUP(M155,'G-3 Multipliers'!$S$3:$T$6,2,FALSE)=0,"Spatial Data Missing ⚠",VLOOKUP(M155,'G-3 Multipliers'!$S$3:$T$6,2,FALSE)))</f>
        <v/>
      </c>
      <c r="O155" s="498" t="str">
        <f>IF(OR(D155="",H155=""),"",(INDEX('G-6 Hedgerow Data'!$E$3:$I$15,MATCH(D155,'G-6 Hedgerow Data'!$B$3:$B$15,0),MATCH(H155,'G-6 Hedgerow Data'!$E$2:$I$2,0))))</f>
        <v/>
      </c>
      <c r="P155" s="195"/>
      <c r="Q155" s="195"/>
      <c r="R155" s="507" t="str">
        <f t="shared" si="13"/>
        <v/>
      </c>
      <c r="S155" s="521" t="str">
        <f t="shared" si="14"/>
        <v/>
      </c>
      <c r="T155" s="522" t="str">
        <f t="shared" si="12"/>
        <v/>
      </c>
      <c r="U155" s="537" t="str">
        <f>IF(D155="","",VLOOKUP(D155,'G-6 Hedgerow Data'!$B$3:$AG$15,31,FALSE))</f>
        <v/>
      </c>
      <c r="V155" s="520" t="str">
        <f t="shared" si="15"/>
        <v/>
      </c>
      <c r="W155" s="520" t="str">
        <f t="shared" si="16"/>
        <v/>
      </c>
      <c r="X155" s="524" t="str">
        <f>IF(F155="","",VLOOKUP(U155,'G-3 Multipliers'!$P$3:$Q$6,2,FALSE))</f>
        <v/>
      </c>
      <c r="Y155" s="529" t="str">
        <f t="shared" si="17"/>
        <v/>
      </c>
      <c r="Z155" s="149"/>
      <c r="AA155" s="150"/>
      <c r="AG155" s="31" t="str">
        <f>IFERROR(INDEX('G-6 Hedgerow Data'!$BJ$3:$BJ$15,MATCH(D155,'G-6 Hedgerow Data'!$B$3:$B$15,0)),"")</f>
        <v/>
      </c>
    </row>
    <row r="156" spans="2:33" ht="13.8" x14ac:dyDescent="0.25">
      <c r="B156" s="103">
        <v>145</v>
      </c>
      <c r="C156" s="268"/>
      <c r="D156" s="82"/>
      <c r="E156" s="203"/>
      <c r="F156" s="498" t="str">
        <f>IF(D156="","",VLOOKUP(D156,'G-6 Hedgerow Data'!$B$2:$AG$15,2,FALSE))</f>
        <v/>
      </c>
      <c r="G156" s="524" t="str">
        <f>IF(D156="","",VLOOKUP(D156,'G-6 Hedgerow Data'!$B$2:$AG$15,3,FALSE))</f>
        <v/>
      </c>
      <c r="H156" s="72"/>
      <c r="I156" s="499" t="str">
        <f>IFERROR(IF(AND(F156="V.Low",OR(H156="Good",H156="Moderate")),"Error ▲",VLOOKUP(H156,'G-1 All Habitats'!$Z$2:$AA$9,2,FALSE)),"")</f>
        <v/>
      </c>
      <c r="J156" s="146"/>
      <c r="K156" s="520" t="str">
        <f>IF(J156="","",IF(VLOOKUP(J156,'G-3 Multipliers'!$L$3:$N$6,2,FALSE)=0,"Spatial Data Missing",VLOOKUP(J156,'G-3 Multipliers'!$L$3:$N$6,2,FALSE)))</f>
        <v/>
      </c>
      <c r="L156" s="524" t="str">
        <f>IF(J156="","",IF(VLOOKUP(J156,'G-3 Multipliers'!$L$3:$N$6,3,FALSE)=0,"Spatial Data Missing",VLOOKUP(J156,'G-3 Multipliers'!$L$3:$N$6,3,FALSE)))</f>
        <v/>
      </c>
      <c r="M156" s="197"/>
      <c r="N156" s="499" t="str">
        <f>IF(M156="","",IF(VLOOKUP(M156,'G-3 Multipliers'!$S$3:$T$6,2,FALSE)=0,"Spatial Data Missing ⚠",VLOOKUP(M156,'G-3 Multipliers'!$S$3:$T$6,2,FALSE)))</f>
        <v/>
      </c>
      <c r="O156" s="498" t="str">
        <f>IF(OR(D156="",H156=""),"",(INDEX('G-6 Hedgerow Data'!$E$3:$I$15,MATCH(D156,'G-6 Hedgerow Data'!$B$3:$B$15,0),MATCH(H156,'G-6 Hedgerow Data'!$E$2:$I$2,0))))</f>
        <v/>
      </c>
      <c r="P156" s="195"/>
      <c r="Q156" s="195"/>
      <c r="R156" s="507" t="str">
        <f t="shared" si="13"/>
        <v/>
      </c>
      <c r="S156" s="521" t="str">
        <f t="shared" si="14"/>
        <v/>
      </c>
      <c r="T156" s="522" t="str">
        <f t="shared" si="12"/>
        <v/>
      </c>
      <c r="U156" s="537" t="str">
        <f>IF(D156="","",VLOOKUP(D156,'G-6 Hedgerow Data'!$B$3:$AG$15,31,FALSE))</f>
        <v/>
      </c>
      <c r="V156" s="520" t="str">
        <f t="shared" si="15"/>
        <v/>
      </c>
      <c r="W156" s="520" t="str">
        <f t="shared" si="16"/>
        <v/>
      </c>
      <c r="X156" s="524" t="str">
        <f>IF(F156="","",VLOOKUP(U156,'G-3 Multipliers'!$P$3:$Q$6,2,FALSE))</f>
        <v/>
      </c>
      <c r="Y156" s="529" t="str">
        <f t="shared" si="17"/>
        <v/>
      </c>
      <c r="Z156" s="149"/>
      <c r="AA156" s="150"/>
      <c r="AG156" s="31" t="str">
        <f>IFERROR(INDEX('G-6 Hedgerow Data'!$BJ$3:$BJ$15,MATCH(D156,'G-6 Hedgerow Data'!$B$3:$B$15,0)),"")</f>
        <v/>
      </c>
    </row>
    <row r="157" spans="2:33" ht="13.8" x14ac:dyDescent="0.25">
      <c r="B157" s="103">
        <v>146</v>
      </c>
      <c r="C157" s="268"/>
      <c r="D157" s="82"/>
      <c r="E157" s="203"/>
      <c r="F157" s="498" t="str">
        <f>IF(D157="","",VLOOKUP(D157,'G-6 Hedgerow Data'!$B$2:$AG$15,2,FALSE))</f>
        <v/>
      </c>
      <c r="G157" s="524" t="str">
        <f>IF(D157="","",VLOOKUP(D157,'G-6 Hedgerow Data'!$B$2:$AG$15,3,FALSE))</f>
        <v/>
      </c>
      <c r="H157" s="72"/>
      <c r="I157" s="499" t="str">
        <f>IFERROR(IF(AND(F157="V.Low",OR(H157="Good",H157="Moderate")),"Error ▲",VLOOKUP(H157,'G-1 All Habitats'!$Z$2:$AA$9,2,FALSE)),"")</f>
        <v/>
      </c>
      <c r="J157" s="146"/>
      <c r="K157" s="520" t="str">
        <f>IF(J157="","",IF(VLOOKUP(J157,'G-3 Multipliers'!$L$3:$N$6,2,FALSE)=0,"Spatial Data Missing",VLOOKUP(J157,'G-3 Multipliers'!$L$3:$N$6,2,FALSE)))</f>
        <v/>
      </c>
      <c r="L157" s="524" t="str">
        <f>IF(J157="","",IF(VLOOKUP(J157,'G-3 Multipliers'!$L$3:$N$6,3,FALSE)=0,"Spatial Data Missing",VLOOKUP(J157,'G-3 Multipliers'!$L$3:$N$6,3,FALSE)))</f>
        <v/>
      </c>
      <c r="M157" s="197"/>
      <c r="N157" s="499" t="str">
        <f>IF(M157="","",IF(VLOOKUP(M157,'G-3 Multipliers'!$S$3:$T$6,2,FALSE)=0,"Spatial Data Missing ⚠",VLOOKUP(M157,'G-3 Multipliers'!$S$3:$T$6,2,FALSE)))</f>
        <v/>
      </c>
      <c r="O157" s="498" t="str">
        <f>IF(OR(D157="",H157=""),"",(INDEX('G-6 Hedgerow Data'!$E$3:$I$15,MATCH(D157,'G-6 Hedgerow Data'!$B$3:$B$15,0),MATCH(H157,'G-6 Hedgerow Data'!$E$2:$I$2,0))))</f>
        <v/>
      </c>
      <c r="P157" s="195"/>
      <c r="Q157" s="195"/>
      <c r="R157" s="507" t="str">
        <f t="shared" si="13"/>
        <v/>
      </c>
      <c r="S157" s="521" t="str">
        <f t="shared" si="14"/>
        <v/>
      </c>
      <c r="T157" s="522" t="str">
        <f t="shared" si="12"/>
        <v/>
      </c>
      <c r="U157" s="537" t="str">
        <f>IF(D157="","",VLOOKUP(D157,'G-6 Hedgerow Data'!$B$3:$AG$15,31,FALSE))</f>
        <v/>
      </c>
      <c r="V157" s="520" t="str">
        <f t="shared" si="15"/>
        <v/>
      </c>
      <c r="W157" s="520" t="str">
        <f t="shared" si="16"/>
        <v/>
      </c>
      <c r="X157" s="524" t="str">
        <f>IF(F157="","",VLOOKUP(U157,'G-3 Multipliers'!$P$3:$Q$6,2,FALSE))</f>
        <v/>
      </c>
      <c r="Y157" s="529" t="str">
        <f t="shared" si="17"/>
        <v/>
      </c>
      <c r="Z157" s="149"/>
      <c r="AA157" s="150"/>
      <c r="AG157" s="31" t="str">
        <f>IFERROR(INDEX('G-6 Hedgerow Data'!$BJ$3:$BJ$15,MATCH(D157,'G-6 Hedgerow Data'!$B$3:$B$15,0)),"")</f>
        <v/>
      </c>
    </row>
    <row r="158" spans="2:33" ht="13.8" x14ac:dyDescent="0.25">
      <c r="B158" s="103">
        <v>147</v>
      </c>
      <c r="C158" s="268"/>
      <c r="D158" s="82"/>
      <c r="E158" s="203"/>
      <c r="F158" s="498" t="str">
        <f>IF(D158="","",VLOOKUP(D158,'G-6 Hedgerow Data'!$B$2:$AG$15,2,FALSE))</f>
        <v/>
      </c>
      <c r="G158" s="524" t="str">
        <f>IF(D158="","",VLOOKUP(D158,'G-6 Hedgerow Data'!$B$2:$AG$15,3,FALSE))</f>
        <v/>
      </c>
      <c r="H158" s="72"/>
      <c r="I158" s="499" t="str">
        <f>IFERROR(IF(AND(F158="V.Low",OR(H158="Good",H158="Moderate")),"Error ▲",VLOOKUP(H158,'G-1 All Habitats'!$Z$2:$AA$9,2,FALSE)),"")</f>
        <v/>
      </c>
      <c r="J158" s="146"/>
      <c r="K158" s="520" t="str">
        <f>IF(J158="","",IF(VLOOKUP(J158,'G-3 Multipliers'!$L$3:$N$6,2,FALSE)=0,"Spatial Data Missing",VLOOKUP(J158,'G-3 Multipliers'!$L$3:$N$6,2,FALSE)))</f>
        <v/>
      </c>
      <c r="L158" s="524" t="str">
        <f>IF(J158="","",IF(VLOOKUP(J158,'G-3 Multipliers'!$L$3:$N$6,3,FALSE)=0,"Spatial Data Missing",VLOOKUP(J158,'G-3 Multipliers'!$L$3:$N$6,3,FALSE)))</f>
        <v/>
      </c>
      <c r="M158" s="197"/>
      <c r="N158" s="499" t="str">
        <f>IF(M158="","",IF(VLOOKUP(M158,'G-3 Multipliers'!$S$3:$T$6,2,FALSE)=0,"Spatial Data Missing ⚠",VLOOKUP(M158,'G-3 Multipliers'!$S$3:$T$6,2,FALSE)))</f>
        <v/>
      </c>
      <c r="O158" s="498" t="str">
        <f>IF(OR(D158="",H158=""),"",(INDEX('G-6 Hedgerow Data'!$E$3:$I$15,MATCH(D158,'G-6 Hedgerow Data'!$B$3:$B$15,0),MATCH(H158,'G-6 Hedgerow Data'!$E$2:$I$2,0))))</f>
        <v/>
      </c>
      <c r="P158" s="195"/>
      <c r="Q158" s="195"/>
      <c r="R158" s="507" t="str">
        <f t="shared" si="13"/>
        <v/>
      </c>
      <c r="S158" s="521" t="str">
        <f t="shared" si="14"/>
        <v/>
      </c>
      <c r="T158" s="522" t="str">
        <f t="shared" si="12"/>
        <v/>
      </c>
      <c r="U158" s="537" t="str">
        <f>IF(D158="","",VLOOKUP(D158,'G-6 Hedgerow Data'!$B$3:$AG$15,31,FALSE))</f>
        <v/>
      </c>
      <c r="V158" s="520" t="str">
        <f t="shared" si="15"/>
        <v/>
      </c>
      <c r="W158" s="520" t="str">
        <f t="shared" si="16"/>
        <v/>
      </c>
      <c r="X158" s="524" t="str">
        <f>IF(F158="","",VLOOKUP(U158,'G-3 Multipliers'!$P$3:$Q$6,2,FALSE))</f>
        <v/>
      </c>
      <c r="Y158" s="529" t="str">
        <f t="shared" si="17"/>
        <v/>
      </c>
      <c r="Z158" s="149"/>
      <c r="AA158" s="150"/>
      <c r="AG158" s="31" t="str">
        <f>IFERROR(INDEX('G-6 Hedgerow Data'!$BJ$3:$BJ$15,MATCH(D158,'G-6 Hedgerow Data'!$B$3:$B$15,0)),"")</f>
        <v/>
      </c>
    </row>
    <row r="159" spans="2:33" ht="13.8" x14ac:dyDescent="0.25">
      <c r="B159" s="103">
        <v>148</v>
      </c>
      <c r="C159" s="268"/>
      <c r="D159" s="82"/>
      <c r="E159" s="203"/>
      <c r="F159" s="498" t="str">
        <f>IF(D159="","",VLOOKUP(D159,'G-6 Hedgerow Data'!$B$2:$AG$15,2,FALSE))</f>
        <v/>
      </c>
      <c r="G159" s="524" t="str">
        <f>IF(D159="","",VLOOKUP(D159,'G-6 Hedgerow Data'!$B$2:$AG$15,3,FALSE))</f>
        <v/>
      </c>
      <c r="H159" s="72"/>
      <c r="I159" s="499" t="str">
        <f>IFERROR(IF(AND(F159="V.Low",OR(H159="Good",H159="Moderate")),"Error ▲",VLOOKUP(H159,'G-1 All Habitats'!$Z$2:$AA$9,2,FALSE)),"")</f>
        <v/>
      </c>
      <c r="J159" s="146"/>
      <c r="K159" s="520" t="str">
        <f>IF(J159="","",IF(VLOOKUP(J159,'G-3 Multipliers'!$L$3:$N$6,2,FALSE)=0,"Spatial Data Missing",VLOOKUP(J159,'G-3 Multipliers'!$L$3:$N$6,2,FALSE)))</f>
        <v/>
      </c>
      <c r="L159" s="524" t="str">
        <f>IF(J159="","",IF(VLOOKUP(J159,'G-3 Multipliers'!$L$3:$N$6,3,FALSE)=0,"Spatial Data Missing",VLOOKUP(J159,'G-3 Multipliers'!$L$3:$N$6,3,FALSE)))</f>
        <v/>
      </c>
      <c r="M159" s="197"/>
      <c r="N159" s="499" t="str">
        <f>IF(M159="","",IF(VLOOKUP(M159,'G-3 Multipliers'!$S$3:$T$6,2,FALSE)=0,"Spatial Data Missing ⚠",VLOOKUP(M159,'G-3 Multipliers'!$S$3:$T$6,2,FALSE)))</f>
        <v/>
      </c>
      <c r="O159" s="498" t="str">
        <f>IF(OR(D159="",H159=""),"",(INDEX('G-6 Hedgerow Data'!$E$3:$I$15,MATCH(D159,'G-6 Hedgerow Data'!$B$3:$B$15,0),MATCH(H159,'G-6 Hedgerow Data'!$E$2:$I$2,0))))</f>
        <v/>
      </c>
      <c r="P159" s="195"/>
      <c r="Q159" s="195"/>
      <c r="R159" s="507" t="str">
        <f t="shared" si="13"/>
        <v/>
      </c>
      <c r="S159" s="521" t="str">
        <f t="shared" si="14"/>
        <v/>
      </c>
      <c r="T159" s="522" t="str">
        <f t="shared" si="12"/>
        <v/>
      </c>
      <c r="U159" s="537" t="str">
        <f>IF(D159="","",VLOOKUP(D159,'G-6 Hedgerow Data'!$B$3:$AG$15,31,FALSE))</f>
        <v/>
      </c>
      <c r="V159" s="520" t="str">
        <f t="shared" si="15"/>
        <v/>
      </c>
      <c r="W159" s="520" t="str">
        <f t="shared" si="16"/>
        <v/>
      </c>
      <c r="X159" s="524" t="str">
        <f>IF(F159="","",VLOOKUP(U159,'G-3 Multipliers'!$P$3:$Q$6,2,FALSE))</f>
        <v/>
      </c>
      <c r="Y159" s="529" t="str">
        <f t="shared" si="17"/>
        <v/>
      </c>
      <c r="Z159" s="149"/>
      <c r="AA159" s="150"/>
      <c r="AG159" s="31" t="str">
        <f>IFERROR(INDEX('G-6 Hedgerow Data'!$BJ$3:$BJ$15,MATCH(D159,'G-6 Hedgerow Data'!$B$3:$B$15,0)),"")</f>
        <v/>
      </c>
    </row>
    <row r="160" spans="2:33" ht="13.8" x14ac:dyDescent="0.25">
      <c r="B160" s="103">
        <v>149</v>
      </c>
      <c r="C160" s="268"/>
      <c r="D160" s="82"/>
      <c r="E160" s="203"/>
      <c r="F160" s="498" t="str">
        <f>IF(D160="","",VLOOKUP(D160,'G-6 Hedgerow Data'!$B$2:$AG$15,2,FALSE))</f>
        <v/>
      </c>
      <c r="G160" s="524" t="str">
        <f>IF(D160="","",VLOOKUP(D160,'G-6 Hedgerow Data'!$B$2:$AG$15,3,FALSE))</f>
        <v/>
      </c>
      <c r="H160" s="72"/>
      <c r="I160" s="499" t="str">
        <f>IFERROR(IF(AND(F160="V.Low",OR(H160="Good",H160="Moderate")),"Error ▲",VLOOKUP(H160,'G-1 All Habitats'!$Z$2:$AA$9,2,FALSE)),"")</f>
        <v/>
      </c>
      <c r="J160" s="146"/>
      <c r="K160" s="520" t="str">
        <f>IF(J160="","",IF(VLOOKUP(J160,'G-3 Multipliers'!$L$3:$N$6,2,FALSE)=0,"Spatial Data Missing",VLOOKUP(J160,'G-3 Multipliers'!$L$3:$N$6,2,FALSE)))</f>
        <v/>
      </c>
      <c r="L160" s="524" t="str">
        <f>IF(J160="","",IF(VLOOKUP(J160,'G-3 Multipliers'!$L$3:$N$6,3,FALSE)=0,"Spatial Data Missing",VLOOKUP(J160,'G-3 Multipliers'!$L$3:$N$6,3,FALSE)))</f>
        <v/>
      </c>
      <c r="M160" s="197"/>
      <c r="N160" s="499" t="str">
        <f>IF(M160="","",IF(VLOOKUP(M160,'G-3 Multipliers'!$S$3:$T$6,2,FALSE)=0,"Spatial Data Missing ⚠",VLOOKUP(M160,'G-3 Multipliers'!$S$3:$T$6,2,FALSE)))</f>
        <v/>
      </c>
      <c r="O160" s="498" t="str">
        <f>IF(OR(D160="",H160=""),"",(INDEX('G-6 Hedgerow Data'!$E$3:$I$15,MATCH(D160,'G-6 Hedgerow Data'!$B$3:$B$15,0),MATCH(H160,'G-6 Hedgerow Data'!$E$2:$I$2,0))))</f>
        <v/>
      </c>
      <c r="P160" s="195"/>
      <c r="Q160" s="195"/>
      <c r="R160" s="507" t="str">
        <f t="shared" si="13"/>
        <v/>
      </c>
      <c r="S160" s="521" t="str">
        <f t="shared" si="14"/>
        <v/>
      </c>
      <c r="T160" s="522" t="str">
        <f t="shared" si="12"/>
        <v/>
      </c>
      <c r="U160" s="537" t="str">
        <f>IF(D160="","",VLOOKUP(D160,'G-6 Hedgerow Data'!$B$3:$AG$15,31,FALSE))</f>
        <v/>
      </c>
      <c r="V160" s="520" t="str">
        <f t="shared" si="15"/>
        <v/>
      </c>
      <c r="W160" s="520" t="str">
        <f t="shared" si="16"/>
        <v/>
      </c>
      <c r="X160" s="524" t="str">
        <f>IF(F160="","",VLOOKUP(U160,'G-3 Multipliers'!$P$3:$Q$6,2,FALSE))</f>
        <v/>
      </c>
      <c r="Y160" s="529" t="str">
        <f t="shared" si="17"/>
        <v/>
      </c>
      <c r="Z160" s="149"/>
      <c r="AA160" s="150"/>
      <c r="AG160" s="31" t="str">
        <f>IFERROR(INDEX('G-6 Hedgerow Data'!$BJ$3:$BJ$15,MATCH(D160,'G-6 Hedgerow Data'!$B$3:$B$15,0)),"")</f>
        <v/>
      </c>
    </row>
    <row r="161" spans="2:33" ht="13.8" x14ac:dyDescent="0.25">
      <c r="B161" s="103">
        <v>150</v>
      </c>
      <c r="C161" s="268"/>
      <c r="D161" s="82"/>
      <c r="E161" s="203"/>
      <c r="F161" s="498" t="str">
        <f>IF(D161="","",VLOOKUP(D161,'G-6 Hedgerow Data'!$B$2:$AG$15,2,FALSE))</f>
        <v/>
      </c>
      <c r="G161" s="524" t="str">
        <f>IF(D161="","",VLOOKUP(D161,'G-6 Hedgerow Data'!$B$2:$AG$15,3,FALSE))</f>
        <v/>
      </c>
      <c r="H161" s="72"/>
      <c r="I161" s="499" t="str">
        <f>IFERROR(IF(AND(F161="V.Low",OR(H161="Good",H161="Moderate")),"Error ▲",VLOOKUP(H161,'G-1 All Habitats'!$Z$2:$AA$9,2,FALSE)),"")</f>
        <v/>
      </c>
      <c r="J161" s="146"/>
      <c r="K161" s="520" t="str">
        <f>IF(J161="","",IF(VLOOKUP(J161,'G-3 Multipliers'!$L$3:$N$6,2,FALSE)=0,"Spatial Data Missing",VLOOKUP(J161,'G-3 Multipliers'!$L$3:$N$6,2,FALSE)))</f>
        <v/>
      </c>
      <c r="L161" s="524" t="str">
        <f>IF(J161="","",IF(VLOOKUP(J161,'G-3 Multipliers'!$L$3:$N$6,3,FALSE)=0,"Spatial Data Missing",VLOOKUP(J161,'G-3 Multipliers'!$L$3:$N$6,3,FALSE)))</f>
        <v/>
      </c>
      <c r="M161" s="197"/>
      <c r="N161" s="499" t="str">
        <f>IF(M161="","",IF(VLOOKUP(M161,'G-3 Multipliers'!$S$3:$T$6,2,FALSE)=0,"Spatial Data Missing ⚠",VLOOKUP(M161,'G-3 Multipliers'!$S$3:$T$6,2,FALSE)))</f>
        <v/>
      </c>
      <c r="O161" s="498" t="str">
        <f>IF(OR(D161="",H161=""),"",(INDEX('G-6 Hedgerow Data'!$E$3:$I$15,MATCH(D161,'G-6 Hedgerow Data'!$B$3:$B$15,0),MATCH(H161,'G-6 Hedgerow Data'!$E$2:$I$2,0))))</f>
        <v/>
      </c>
      <c r="P161" s="195"/>
      <c r="Q161" s="195"/>
      <c r="R161" s="507" t="str">
        <f t="shared" si="13"/>
        <v/>
      </c>
      <c r="S161" s="521" t="str">
        <f t="shared" si="14"/>
        <v/>
      </c>
      <c r="T161" s="522" t="str">
        <f t="shared" si="12"/>
        <v/>
      </c>
      <c r="U161" s="537" t="str">
        <f>IF(D161="","",VLOOKUP(D161,'G-6 Hedgerow Data'!$B$3:$AG$15,31,FALSE))</f>
        <v/>
      </c>
      <c r="V161" s="520" t="str">
        <f t="shared" si="15"/>
        <v/>
      </c>
      <c r="W161" s="520" t="str">
        <f t="shared" si="16"/>
        <v/>
      </c>
      <c r="X161" s="524" t="str">
        <f>IF(F161="","",VLOOKUP(U161,'G-3 Multipliers'!$P$3:$Q$6,2,FALSE))</f>
        <v/>
      </c>
      <c r="Y161" s="529" t="str">
        <f t="shared" si="17"/>
        <v/>
      </c>
      <c r="Z161" s="149"/>
      <c r="AA161" s="150"/>
      <c r="AG161" s="31" t="str">
        <f>IFERROR(INDEX('G-6 Hedgerow Data'!$BJ$3:$BJ$15,MATCH(D161,'G-6 Hedgerow Data'!$B$3:$B$15,0)),"")</f>
        <v/>
      </c>
    </row>
    <row r="162" spans="2:33" ht="13.8" x14ac:dyDescent="0.25">
      <c r="B162" s="103">
        <v>151</v>
      </c>
      <c r="C162" s="268"/>
      <c r="D162" s="82"/>
      <c r="E162" s="203"/>
      <c r="F162" s="498" t="str">
        <f>IF(D162="","",VLOOKUP(D162,'G-6 Hedgerow Data'!$B$2:$AG$15,2,FALSE))</f>
        <v/>
      </c>
      <c r="G162" s="524" t="str">
        <f>IF(D162="","",VLOOKUP(D162,'G-6 Hedgerow Data'!$B$2:$AG$15,3,FALSE))</f>
        <v/>
      </c>
      <c r="H162" s="72"/>
      <c r="I162" s="499" t="str">
        <f>IFERROR(IF(AND(F162="V.Low",OR(H162="Good",H162="Moderate")),"Error ▲",VLOOKUP(H162,'G-1 All Habitats'!$Z$2:$AA$9,2,FALSE)),"")</f>
        <v/>
      </c>
      <c r="J162" s="146"/>
      <c r="K162" s="520" t="str">
        <f>IF(J162="","",IF(VLOOKUP(J162,'G-3 Multipliers'!$L$3:$N$6,2,FALSE)=0,"Spatial Data Missing",VLOOKUP(J162,'G-3 Multipliers'!$L$3:$N$6,2,FALSE)))</f>
        <v/>
      </c>
      <c r="L162" s="524" t="str">
        <f>IF(J162="","",IF(VLOOKUP(J162,'G-3 Multipliers'!$L$3:$N$6,3,FALSE)=0,"Spatial Data Missing",VLOOKUP(J162,'G-3 Multipliers'!$L$3:$N$6,3,FALSE)))</f>
        <v/>
      </c>
      <c r="M162" s="197"/>
      <c r="N162" s="499" t="str">
        <f>IF(M162="","",IF(VLOOKUP(M162,'G-3 Multipliers'!$S$3:$T$6,2,FALSE)=0,"Spatial Data Missing ⚠",VLOOKUP(M162,'G-3 Multipliers'!$S$3:$T$6,2,FALSE)))</f>
        <v/>
      </c>
      <c r="O162" s="498" t="str">
        <f>IF(OR(D162="",H162=""),"",(INDEX('G-6 Hedgerow Data'!$E$3:$I$15,MATCH(D162,'G-6 Hedgerow Data'!$B$3:$B$15,0),MATCH(H162,'G-6 Hedgerow Data'!$E$2:$I$2,0))))</f>
        <v/>
      </c>
      <c r="P162" s="195"/>
      <c r="Q162" s="195"/>
      <c r="R162" s="507" t="str">
        <f t="shared" si="13"/>
        <v/>
      </c>
      <c r="S162" s="521" t="str">
        <f t="shared" si="14"/>
        <v/>
      </c>
      <c r="T162" s="522" t="str">
        <f t="shared" si="12"/>
        <v/>
      </c>
      <c r="U162" s="537" t="str">
        <f>IF(D162="","",VLOOKUP(D162,'G-6 Hedgerow Data'!$B$3:$AG$15,31,FALSE))</f>
        <v/>
      </c>
      <c r="V162" s="520" t="str">
        <f t="shared" si="15"/>
        <v/>
      </c>
      <c r="W162" s="520" t="str">
        <f t="shared" si="16"/>
        <v/>
      </c>
      <c r="X162" s="524" t="str">
        <f>IF(F162="","",VLOOKUP(U162,'G-3 Multipliers'!$P$3:$Q$6,2,FALSE))</f>
        <v/>
      </c>
      <c r="Y162" s="529" t="str">
        <f t="shared" si="17"/>
        <v/>
      </c>
      <c r="Z162" s="149"/>
      <c r="AA162" s="150"/>
      <c r="AG162" s="31" t="str">
        <f>IFERROR(INDEX('G-6 Hedgerow Data'!$BJ$3:$BJ$15,MATCH(D162,'G-6 Hedgerow Data'!$B$3:$B$15,0)),"")</f>
        <v/>
      </c>
    </row>
    <row r="163" spans="2:33" ht="13.8" x14ac:dyDescent="0.25">
      <c r="B163" s="103">
        <v>152</v>
      </c>
      <c r="C163" s="268"/>
      <c r="D163" s="82"/>
      <c r="E163" s="203"/>
      <c r="F163" s="498" t="str">
        <f>IF(D163="","",VLOOKUP(D163,'G-6 Hedgerow Data'!$B$2:$AG$15,2,FALSE))</f>
        <v/>
      </c>
      <c r="G163" s="524" t="str">
        <f>IF(D163="","",VLOOKUP(D163,'G-6 Hedgerow Data'!$B$2:$AG$15,3,FALSE))</f>
        <v/>
      </c>
      <c r="H163" s="72"/>
      <c r="I163" s="499" t="str">
        <f>IFERROR(IF(AND(F163="V.Low",OR(H163="Good",H163="Moderate")),"Error ▲",VLOOKUP(H163,'G-1 All Habitats'!$Z$2:$AA$9,2,FALSE)),"")</f>
        <v/>
      </c>
      <c r="J163" s="146"/>
      <c r="K163" s="520" t="str">
        <f>IF(J163="","",IF(VLOOKUP(J163,'G-3 Multipliers'!$L$3:$N$6,2,FALSE)=0,"Spatial Data Missing",VLOOKUP(J163,'G-3 Multipliers'!$L$3:$N$6,2,FALSE)))</f>
        <v/>
      </c>
      <c r="L163" s="524" t="str">
        <f>IF(J163="","",IF(VLOOKUP(J163,'G-3 Multipliers'!$L$3:$N$6,3,FALSE)=0,"Spatial Data Missing",VLOOKUP(J163,'G-3 Multipliers'!$L$3:$N$6,3,FALSE)))</f>
        <v/>
      </c>
      <c r="M163" s="197"/>
      <c r="N163" s="499" t="str">
        <f>IF(M163="","",IF(VLOOKUP(M163,'G-3 Multipliers'!$S$3:$T$6,2,FALSE)=0,"Spatial Data Missing ⚠",VLOOKUP(M163,'G-3 Multipliers'!$S$3:$T$6,2,FALSE)))</f>
        <v/>
      </c>
      <c r="O163" s="498" t="str">
        <f>IF(OR(D163="",H163=""),"",(INDEX('G-6 Hedgerow Data'!$E$3:$I$15,MATCH(D163,'G-6 Hedgerow Data'!$B$3:$B$15,0),MATCH(H163,'G-6 Hedgerow Data'!$E$2:$I$2,0))))</f>
        <v/>
      </c>
      <c r="P163" s="195"/>
      <c r="Q163" s="195"/>
      <c r="R163" s="507" t="str">
        <f t="shared" si="13"/>
        <v/>
      </c>
      <c r="S163" s="521" t="str">
        <f t="shared" si="14"/>
        <v/>
      </c>
      <c r="T163" s="522" t="str">
        <f t="shared" si="12"/>
        <v/>
      </c>
      <c r="U163" s="537" t="str">
        <f>IF(D163="","",VLOOKUP(D163,'G-6 Hedgerow Data'!$B$3:$AG$15,31,FALSE))</f>
        <v/>
      </c>
      <c r="V163" s="520" t="str">
        <f t="shared" si="15"/>
        <v/>
      </c>
      <c r="W163" s="520" t="str">
        <f t="shared" si="16"/>
        <v/>
      </c>
      <c r="X163" s="524" t="str">
        <f>IF(F163="","",VLOOKUP(U163,'G-3 Multipliers'!$P$3:$Q$6,2,FALSE))</f>
        <v/>
      </c>
      <c r="Y163" s="529" t="str">
        <f t="shared" si="17"/>
        <v/>
      </c>
      <c r="Z163" s="149"/>
      <c r="AA163" s="150"/>
      <c r="AG163" s="31" t="str">
        <f>IFERROR(INDEX('G-6 Hedgerow Data'!$BJ$3:$BJ$15,MATCH(D163,'G-6 Hedgerow Data'!$B$3:$B$15,0)),"")</f>
        <v/>
      </c>
    </row>
    <row r="164" spans="2:33" ht="13.8" x14ac:dyDescent="0.25">
      <c r="B164" s="103">
        <v>153</v>
      </c>
      <c r="C164" s="268"/>
      <c r="D164" s="82"/>
      <c r="E164" s="203"/>
      <c r="F164" s="498" t="str">
        <f>IF(D164="","",VLOOKUP(D164,'G-6 Hedgerow Data'!$B$2:$AG$15,2,FALSE))</f>
        <v/>
      </c>
      <c r="G164" s="524" t="str">
        <f>IF(D164="","",VLOOKUP(D164,'G-6 Hedgerow Data'!$B$2:$AG$15,3,FALSE))</f>
        <v/>
      </c>
      <c r="H164" s="72"/>
      <c r="I164" s="499" t="str">
        <f>IFERROR(IF(AND(F164="V.Low",OR(H164="Good",H164="Moderate")),"Error ▲",VLOOKUP(H164,'G-1 All Habitats'!$Z$2:$AA$9,2,FALSE)),"")</f>
        <v/>
      </c>
      <c r="J164" s="146"/>
      <c r="K164" s="520" t="str">
        <f>IF(J164="","",IF(VLOOKUP(J164,'G-3 Multipliers'!$L$3:$N$6,2,FALSE)=0,"Spatial Data Missing",VLOOKUP(J164,'G-3 Multipliers'!$L$3:$N$6,2,FALSE)))</f>
        <v/>
      </c>
      <c r="L164" s="524" t="str">
        <f>IF(J164="","",IF(VLOOKUP(J164,'G-3 Multipliers'!$L$3:$N$6,3,FALSE)=0,"Spatial Data Missing",VLOOKUP(J164,'G-3 Multipliers'!$L$3:$N$6,3,FALSE)))</f>
        <v/>
      </c>
      <c r="M164" s="197"/>
      <c r="N164" s="499" t="str">
        <f>IF(M164="","",IF(VLOOKUP(M164,'G-3 Multipliers'!$S$3:$T$6,2,FALSE)=0,"Spatial Data Missing ⚠",VLOOKUP(M164,'G-3 Multipliers'!$S$3:$T$6,2,FALSE)))</f>
        <v/>
      </c>
      <c r="O164" s="498" t="str">
        <f>IF(OR(D164="",H164=""),"",(INDEX('G-6 Hedgerow Data'!$E$3:$I$15,MATCH(D164,'G-6 Hedgerow Data'!$B$3:$B$15,0),MATCH(H164,'G-6 Hedgerow Data'!$E$2:$I$2,0))))</f>
        <v/>
      </c>
      <c r="P164" s="195"/>
      <c r="Q164" s="195"/>
      <c r="R164" s="507" t="str">
        <f t="shared" si="13"/>
        <v/>
      </c>
      <c r="S164" s="521" t="str">
        <f t="shared" si="14"/>
        <v/>
      </c>
      <c r="T164" s="522" t="str">
        <f t="shared" si="12"/>
        <v/>
      </c>
      <c r="U164" s="537" t="str">
        <f>IF(D164="","",VLOOKUP(D164,'G-6 Hedgerow Data'!$B$3:$AG$15,31,FALSE))</f>
        <v/>
      </c>
      <c r="V164" s="520" t="str">
        <f t="shared" si="15"/>
        <v/>
      </c>
      <c r="W164" s="520" t="str">
        <f t="shared" si="16"/>
        <v/>
      </c>
      <c r="X164" s="524" t="str">
        <f>IF(F164="","",VLOOKUP(U164,'G-3 Multipliers'!$P$3:$Q$6,2,FALSE))</f>
        <v/>
      </c>
      <c r="Y164" s="529" t="str">
        <f t="shared" si="17"/>
        <v/>
      </c>
      <c r="Z164" s="149"/>
      <c r="AA164" s="150"/>
      <c r="AG164" s="31" t="str">
        <f>IFERROR(INDEX('G-6 Hedgerow Data'!$BJ$3:$BJ$15,MATCH(D164,'G-6 Hedgerow Data'!$B$3:$B$15,0)),"")</f>
        <v/>
      </c>
    </row>
    <row r="165" spans="2:33" ht="13.8" x14ac:dyDescent="0.25">
      <c r="B165" s="103">
        <v>154</v>
      </c>
      <c r="C165" s="268"/>
      <c r="D165" s="82"/>
      <c r="E165" s="203"/>
      <c r="F165" s="498" t="str">
        <f>IF(D165="","",VLOOKUP(D165,'G-6 Hedgerow Data'!$B$2:$AG$15,2,FALSE))</f>
        <v/>
      </c>
      <c r="G165" s="524" t="str">
        <f>IF(D165="","",VLOOKUP(D165,'G-6 Hedgerow Data'!$B$2:$AG$15,3,FALSE))</f>
        <v/>
      </c>
      <c r="H165" s="72"/>
      <c r="I165" s="499" t="str">
        <f>IFERROR(IF(AND(F165="V.Low",OR(H165="Good",H165="Moderate")),"Error ▲",VLOOKUP(H165,'G-1 All Habitats'!$Z$2:$AA$9,2,FALSE)),"")</f>
        <v/>
      </c>
      <c r="J165" s="146"/>
      <c r="K165" s="520" t="str">
        <f>IF(J165="","",IF(VLOOKUP(J165,'G-3 Multipliers'!$L$3:$N$6,2,FALSE)=0,"Spatial Data Missing",VLOOKUP(J165,'G-3 Multipliers'!$L$3:$N$6,2,FALSE)))</f>
        <v/>
      </c>
      <c r="L165" s="524" t="str">
        <f>IF(J165="","",IF(VLOOKUP(J165,'G-3 Multipliers'!$L$3:$N$6,3,FALSE)=0,"Spatial Data Missing",VLOOKUP(J165,'G-3 Multipliers'!$L$3:$N$6,3,FALSE)))</f>
        <v/>
      </c>
      <c r="M165" s="197"/>
      <c r="N165" s="499" t="str">
        <f>IF(M165="","",IF(VLOOKUP(M165,'G-3 Multipliers'!$S$3:$T$6,2,FALSE)=0,"Spatial Data Missing ⚠",VLOOKUP(M165,'G-3 Multipliers'!$S$3:$T$6,2,FALSE)))</f>
        <v/>
      </c>
      <c r="O165" s="498" t="str">
        <f>IF(OR(D165="",H165=""),"",(INDEX('G-6 Hedgerow Data'!$E$3:$I$15,MATCH(D165,'G-6 Hedgerow Data'!$B$3:$B$15,0),MATCH(H165,'G-6 Hedgerow Data'!$E$2:$I$2,0))))</f>
        <v/>
      </c>
      <c r="P165" s="195"/>
      <c r="Q165" s="195"/>
      <c r="R165" s="507" t="str">
        <f t="shared" si="13"/>
        <v/>
      </c>
      <c r="S165" s="521" t="str">
        <f t="shared" si="14"/>
        <v/>
      </c>
      <c r="T165" s="522" t="str">
        <f t="shared" si="12"/>
        <v/>
      </c>
      <c r="U165" s="537" t="str">
        <f>IF(D165="","",VLOOKUP(D165,'G-6 Hedgerow Data'!$B$3:$AG$15,31,FALSE))</f>
        <v/>
      </c>
      <c r="V165" s="520" t="str">
        <f t="shared" si="15"/>
        <v/>
      </c>
      <c r="W165" s="520" t="str">
        <f t="shared" si="16"/>
        <v/>
      </c>
      <c r="X165" s="524" t="str">
        <f>IF(F165="","",VLOOKUP(U165,'G-3 Multipliers'!$P$3:$Q$6,2,FALSE))</f>
        <v/>
      </c>
      <c r="Y165" s="529" t="str">
        <f t="shared" si="17"/>
        <v/>
      </c>
      <c r="Z165" s="149"/>
      <c r="AA165" s="150"/>
      <c r="AG165" s="31" t="str">
        <f>IFERROR(INDEX('G-6 Hedgerow Data'!$BJ$3:$BJ$15,MATCH(D165,'G-6 Hedgerow Data'!$B$3:$B$15,0)),"")</f>
        <v/>
      </c>
    </row>
    <row r="166" spans="2:33" ht="13.8" x14ac:dyDescent="0.25">
      <c r="B166" s="103">
        <v>155</v>
      </c>
      <c r="C166" s="268"/>
      <c r="D166" s="82"/>
      <c r="E166" s="203"/>
      <c r="F166" s="498" t="str">
        <f>IF(D166="","",VLOOKUP(D166,'G-6 Hedgerow Data'!$B$2:$AG$15,2,FALSE))</f>
        <v/>
      </c>
      <c r="G166" s="524" t="str">
        <f>IF(D166="","",VLOOKUP(D166,'G-6 Hedgerow Data'!$B$2:$AG$15,3,FALSE))</f>
        <v/>
      </c>
      <c r="H166" s="72"/>
      <c r="I166" s="499" t="str">
        <f>IFERROR(IF(AND(F166="V.Low",OR(H166="Good",H166="Moderate")),"Error ▲",VLOOKUP(H166,'G-1 All Habitats'!$Z$2:$AA$9,2,FALSE)),"")</f>
        <v/>
      </c>
      <c r="J166" s="146"/>
      <c r="K166" s="520" t="str">
        <f>IF(J166="","",IF(VLOOKUP(J166,'G-3 Multipliers'!$L$3:$N$6,2,FALSE)=0,"Spatial Data Missing",VLOOKUP(J166,'G-3 Multipliers'!$L$3:$N$6,2,FALSE)))</f>
        <v/>
      </c>
      <c r="L166" s="524" t="str">
        <f>IF(J166="","",IF(VLOOKUP(J166,'G-3 Multipliers'!$L$3:$N$6,3,FALSE)=0,"Spatial Data Missing",VLOOKUP(J166,'G-3 Multipliers'!$L$3:$N$6,3,FALSE)))</f>
        <v/>
      </c>
      <c r="M166" s="197"/>
      <c r="N166" s="499" t="str">
        <f>IF(M166="","",IF(VLOOKUP(M166,'G-3 Multipliers'!$S$3:$T$6,2,FALSE)=0,"Spatial Data Missing ⚠",VLOOKUP(M166,'G-3 Multipliers'!$S$3:$T$6,2,FALSE)))</f>
        <v/>
      </c>
      <c r="O166" s="498" t="str">
        <f>IF(OR(D166="",H166=""),"",(INDEX('G-6 Hedgerow Data'!$E$3:$I$15,MATCH(D166,'G-6 Hedgerow Data'!$B$3:$B$15,0),MATCH(H166,'G-6 Hedgerow Data'!$E$2:$I$2,0))))</f>
        <v/>
      </c>
      <c r="P166" s="195"/>
      <c r="Q166" s="195"/>
      <c r="R166" s="507" t="str">
        <f t="shared" si="13"/>
        <v/>
      </c>
      <c r="S166" s="521" t="str">
        <f t="shared" si="14"/>
        <v/>
      </c>
      <c r="T166" s="522" t="str">
        <f t="shared" si="12"/>
        <v/>
      </c>
      <c r="U166" s="537" t="str">
        <f>IF(D166="","",VLOOKUP(D166,'G-6 Hedgerow Data'!$B$3:$AG$15,31,FALSE))</f>
        <v/>
      </c>
      <c r="V166" s="520" t="str">
        <f t="shared" si="15"/>
        <v/>
      </c>
      <c r="W166" s="520" t="str">
        <f t="shared" si="16"/>
        <v/>
      </c>
      <c r="X166" s="524" t="str">
        <f>IF(F166="","",VLOOKUP(U166,'G-3 Multipliers'!$P$3:$Q$6,2,FALSE))</f>
        <v/>
      </c>
      <c r="Y166" s="529" t="str">
        <f t="shared" si="17"/>
        <v/>
      </c>
      <c r="Z166" s="149"/>
      <c r="AA166" s="150"/>
      <c r="AG166" s="31" t="str">
        <f>IFERROR(INDEX('G-6 Hedgerow Data'!$BJ$3:$BJ$15,MATCH(D166,'G-6 Hedgerow Data'!$B$3:$B$15,0)),"")</f>
        <v/>
      </c>
    </row>
    <row r="167" spans="2:33" ht="13.8" x14ac:dyDescent="0.25">
      <c r="B167" s="103">
        <v>156</v>
      </c>
      <c r="C167" s="268"/>
      <c r="D167" s="82"/>
      <c r="E167" s="203"/>
      <c r="F167" s="498" t="str">
        <f>IF(D167="","",VLOOKUP(D167,'G-6 Hedgerow Data'!$B$2:$AG$15,2,FALSE))</f>
        <v/>
      </c>
      <c r="G167" s="524" t="str">
        <f>IF(D167="","",VLOOKUP(D167,'G-6 Hedgerow Data'!$B$2:$AG$15,3,FALSE))</f>
        <v/>
      </c>
      <c r="H167" s="72"/>
      <c r="I167" s="499" t="str">
        <f>IFERROR(IF(AND(F167="V.Low",OR(H167="Good",H167="Moderate")),"Error ▲",VLOOKUP(H167,'G-1 All Habitats'!$Z$2:$AA$9,2,FALSE)),"")</f>
        <v/>
      </c>
      <c r="J167" s="146"/>
      <c r="K167" s="520" t="str">
        <f>IF(J167="","",IF(VLOOKUP(J167,'G-3 Multipliers'!$L$3:$N$6,2,FALSE)=0,"Spatial Data Missing",VLOOKUP(J167,'G-3 Multipliers'!$L$3:$N$6,2,FALSE)))</f>
        <v/>
      </c>
      <c r="L167" s="524" t="str">
        <f>IF(J167="","",IF(VLOOKUP(J167,'G-3 Multipliers'!$L$3:$N$6,3,FALSE)=0,"Spatial Data Missing",VLOOKUP(J167,'G-3 Multipliers'!$L$3:$N$6,3,FALSE)))</f>
        <v/>
      </c>
      <c r="M167" s="197"/>
      <c r="N167" s="499" t="str">
        <f>IF(M167="","",IF(VLOOKUP(M167,'G-3 Multipliers'!$S$3:$T$6,2,FALSE)=0,"Spatial Data Missing ⚠",VLOOKUP(M167,'G-3 Multipliers'!$S$3:$T$6,2,FALSE)))</f>
        <v/>
      </c>
      <c r="O167" s="498" t="str">
        <f>IF(OR(D167="",H167=""),"",(INDEX('G-6 Hedgerow Data'!$E$3:$I$15,MATCH(D167,'G-6 Hedgerow Data'!$B$3:$B$15,0),MATCH(H167,'G-6 Hedgerow Data'!$E$2:$I$2,0))))</f>
        <v/>
      </c>
      <c r="P167" s="195"/>
      <c r="Q167" s="195"/>
      <c r="R167" s="507" t="str">
        <f t="shared" si="13"/>
        <v/>
      </c>
      <c r="S167" s="521" t="str">
        <f t="shared" si="14"/>
        <v/>
      </c>
      <c r="T167" s="522" t="str">
        <f t="shared" si="12"/>
        <v/>
      </c>
      <c r="U167" s="537" t="str">
        <f>IF(D167="","",VLOOKUP(D167,'G-6 Hedgerow Data'!$B$3:$AG$15,31,FALSE))</f>
        <v/>
      </c>
      <c r="V167" s="520" t="str">
        <f t="shared" si="15"/>
        <v/>
      </c>
      <c r="W167" s="520" t="str">
        <f t="shared" si="16"/>
        <v/>
      </c>
      <c r="X167" s="524" t="str">
        <f>IF(F167="","",VLOOKUP(U167,'G-3 Multipliers'!$P$3:$Q$6,2,FALSE))</f>
        <v/>
      </c>
      <c r="Y167" s="529" t="str">
        <f t="shared" si="17"/>
        <v/>
      </c>
      <c r="Z167" s="149"/>
      <c r="AA167" s="150"/>
      <c r="AG167" s="31" t="str">
        <f>IFERROR(INDEX('G-6 Hedgerow Data'!$BJ$3:$BJ$15,MATCH(D167,'G-6 Hedgerow Data'!$B$3:$B$15,0)),"")</f>
        <v/>
      </c>
    </row>
    <row r="168" spans="2:33" ht="13.8" x14ac:dyDescent="0.25">
      <c r="B168" s="103">
        <v>157</v>
      </c>
      <c r="C168" s="268"/>
      <c r="D168" s="82"/>
      <c r="E168" s="203"/>
      <c r="F168" s="498" t="str">
        <f>IF(D168="","",VLOOKUP(D168,'G-6 Hedgerow Data'!$B$2:$AG$15,2,FALSE))</f>
        <v/>
      </c>
      <c r="G168" s="524" t="str">
        <f>IF(D168="","",VLOOKUP(D168,'G-6 Hedgerow Data'!$B$2:$AG$15,3,FALSE))</f>
        <v/>
      </c>
      <c r="H168" s="72"/>
      <c r="I168" s="499" t="str">
        <f>IFERROR(IF(AND(F168="V.Low",OR(H168="Good",H168="Moderate")),"Error ▲",VLOOKUP(H168,'G-1 All Habitats'!$Z$2:$AA$9,2,FALSE)),"")</f>
        <v/>
      </c>
      <c r="J168" s="146"/>
      <c r="K168" s="520" t="str">
        <f>IF(J168="","",IF(VLOOKUP(J168,'G-3 Multipliers'!$L$3:$N$6,2,FALSE)=0,"Spatial Data Missing",VLOOKUP(J168,'G-3 Multipliers'!$L$3:$N$6,2,FALSE)))</f>
        <v/>
      </c>
      <c r="L168" s="524" t="str">
        <f>IF(J168="","",IF(VLOOKUP(J168,'G-3 Multipliers'!$L$3:$N$6,3,FALSE)=0,"Spatial Data Missing",VLOOKUP(J168,'G-3 Multipliers'!$L$3:$N$6,3,FALSE)))</f>
        <v/>
      </c>
      <c r="M168" s="197"/>
      <c r="N168" s="499" t="str">
        <f>IF(M168="","",IF(VLOOKUP(M168,'G-3 Multipliers'!$S$3:$T$6,2,FALSE)=0,"Spatial Data Missing ⚠",VLOOKUP(M168,'G-3 Multipliers'!$S$3:$T$6,2,FALSE)))</f>
        <v/>
      </c>
      <c r="O168" s="498" t="str">
        <f>IF(OR(D168="",H168=""),"",(INDEX('G-6 Hedgerow Data'!$E$3:$I$15,MATCH(D168,'G-6 Hedgerow Data'!$B$3:$B$15,0),MATCH(H168,'G-6 Hedgerow Data'!$E$2:$I$2,0))))</f>
        <v/>
      </c>
      <c r="P168" s="195"/>
      <c r="Q168" s="195"/>
      <c r="R168" s="507" t="str">
        <f t="shared" si="13"/>
        <v/>
      </c>
      <c r="S168" s="521" t="str">
        <f t="shared" si="14"/>
        <v/>
      </c>
      <c r="T168" s="522" t="str">
        <f t="shared" si="12"/>
        <v/>
      </c>
      <c r="U168" s="537" t="str">
        <f>IF(D168="","",VLOOKUP(D168,'G-6 Hedgerow Data'!$B$3:$AG$15,31,FALSE))</f>
        <v/>
      </c>
      <c r="V168" s="520" t="str">
        <f t="shared" si="15"/>
        <v/>
      </c>
      <c r="W168" s="520" t="str">
        <f t="shared" si="16"/>
        <v/>
      </c>
      <c r="X168" s="524" t="str">
        <f>IF(F168="","",VLOOKUP(U168,'G-3 Multipliers'!$P$3:$Q$6,2,FALSE))</f>
        <v/>
      </c>
      <c r="Y168" s="529" t="str">
        <f t="shared" si="17"/>
        <v/>
      </c>
      <c r="Z168" s="149"/>
      <c r="AA168" s="150"/>
      <c r="AG168" s="31" t="str">
        <f>IFERROR(INDEX('G-6 Hedgerow Data'!$BJ$3:$BJ$15,MATCH(D168,'G-6 Hedgerow Data'!$B$3:$B$15,0)),"")</f>
        <v/>
      </c>
    </row>
    <row r="169" spans="2:33" ht="13.8" x14ac:dyDescent="0.25">
      <c r="B169" s="103">
        <v>158</v>
      </c>
      <c r="C169" s="268"/>
      <c r="D169" s="82"/>
      <c r="E169" s="203"/>
      <c r="F169" s="498" t="str">
        <f>IF(D169="","",VLOOKUP(D169,'G-6 Hedgerow Data'!$B$2:$AG$15,2,FALSE))</f>
        <v/>
      </c>
      <c r="G169" s="524" t="str">
        <f>IF(D169="","",VLOOKUP(D169,'G-6 Hedgerow Data'!$B$2:$AG$15,3,FALSE))</f>
        <v/>
      </c>
      <c r="H169" s="72"/>
      <c r="I169" s="499" t="str">
        <f>IFERROR(IF(AND(F169="V.Low",OR(H169="Good",H169="Moderate")),"Error ▲",VLOOKUP(H169,'G-1 All Habitats'!$Z$2:$AA$9,2,FALSE)),"")</f>
        <v/>
      </c>
      <c r="J169" s="146"/>
      <c r="K169" s="520" t="str">
        <f>IF(J169="","",IF(VLOOKUP(J169,'G-3 Multipliers'!$L$3:$N$6,2,FALSE)=0,"Spatial Data Missing",VLOOKUP(J169,'G-3 Multipliers'!$L$3:$N$6,2,FALSE)))</f>
        <v/>
      </c>
      <c r="L169" s="524" t="str">
        <f>IF(J169="","",IF(VLOOKUP(J169,'G-3 Multipliers'!$L$3:$N$6,3,FALSE)=0,"Spatial Data Missing",VLOOKUP(J169,'G-3 Multipliers'!$L$3:$N$6,3,FALSE)))</f>
        <v/>
      </c>
      <c r="M169" s="197"/>
      <c r="N169" s="499" t="str">
        <f>IF(M169="","",IF(VLOOKUP(M169,'G-3 Multipliers'!$S$3:$T$6,2,FALSE)=0,"Spatial Data Missing ⚠",VLOOKUP(M169,'G-3 Multipliers'!$S$3:$T$6,2,FALSE)))</f>
        <v/>
      </c>
      <c r="O169" s="498" t="str">
        <f>IF(OR(D169="",H169=""),"",(INDEX('G-6 Hedgerow Data'!$E$3:$I$15,MATCH(D169,'G-6 Hedgerow Data'!$B$3:$B$15,0),MATCH(H169,'G-6 Hedgerow Data'!$E$2:$I$2,0))))</f>
        <v/>
      </c>
      <c r="P169" s="195"/>
      <c r="Q169" s="195"/>
      <c r="R169" s="507" t="str">
        <f t="shared" si="13"/>
        <v/>
      </c>
      <c r="S169" s="521" t="str">
        <f t="shared" si="14"/>
        <v/>
      </c>
      <c r="T169" s="522" t="str">
        <f t="shared" si="12"/>
        <v/>
      </c>
      <c r="U169" s="537" t="str">
        <f>IF(D169="","",VLOOKUP(D169,'G-6 Hedgerow Data'!$B$3:$AG$15,31,FALSE))</f>
        <v/>
      </c>
      <c r="V169" s="520" t="str">
        <f t="shared" si="15"/>
        <v/>
      </c>
      <c r="W169" s="520" t="str">
        <f t="shared" si="16"/>
        <v/>
      </c>
      <c r="X169" s="524" t="str">
        <f>IF(F169="","",VLOOKUP(U169,'G-3 Multipliers'!$P$3:$Q$6,2,FALSE))</f>
        <v/>
      </c>
      <c r="Y169" s="529" t="str">
        <f t="shared" si="17"/>
        <v/>
      </c>
      <c r="Z169" s="149"/>
      <c r="AA169" s="150"/>
      <c r="AG169" s="31" t="str">
        <f>IFERROR(INDEX('G-6 Hedgerow Data'!$BJ$3:$BJ$15,MATCH(D169,'G-6 Hedgerow Data'!$B$3:$B$15,0)),"")</f>
        <v/>
      </c>
    </row>
    <row r="170" spans="2:33" ht="13.8" x14ac:dyDescent="0.25">
      <c r="B170" s="103">
        <v>159</v>
      </c>
      <c r="C170" s="268"/>
      <c r="D170" s="82"/>
      <c r="E170" s="203"/>
      <c r="F170" s="498" t="str">
        <f>IF(D170="","",VLOOKUP(D170,'G-6 Hedgerow Data'!$B$2:$AG$15,2,FALSE))</f>
        <v/>
      </c>
      <c r="G170" s="524" t="str">
        <f>IF(D170="","",VLOOKUP(D170,'G-6 Hedgerow Data'!$B$2:$AG$15,3,FALSE))</f>
        <v/>
      </c>
      <c r="H170" s="72"/>
      <c r="I170" s="499" t="str">
        <f>IFERROR(IF(AND(F170="V.Low",OR(H170="Good",H170="Moderate")),"Error ▲",VLOOKUP(H170,'G-1 All Habitats'!$Z$2:$AA$9,2,FALSE)),"")</f>
        <v/>
      </c>
      <c r="J170" s="146"/>
      <c r="K170" s="520" t="str">
        <f>IF(J170="","",IF(VLOOKUP(J170,'G-3 Multipliers'!$L$3:$N$6,2,FALSE)=0,"Spatial Data Missing",VLOOKUP(J170,'G-3 Multipliers'!$L$3:$N$6,2,FALSE)))</f>
        <v/>
      </c>
      <c r="L170" s="524" t="str">
        <f>IF(J170="","",IF(VLOOKUP(J170,'G-3 Multipliers'!$L$3:$N$6,3,FALSE)=0,"Spatial Data Missing",VLOOKUP(J170,'G-3 Multipliers'!$L$3:$N$6,3,FALSE)))</f>
        <v/>
      </c>
      <c r="M170" s="197"/>
      <c r="N170" s="499" t="str">
        <f>IF(M170="","",IF(VLOOKUP(M170,'G-3 Multipliers'!$S$3:$T$6,2,FALSE)=0,"Spatial Data Missing ⚠",VLOOKUP(M170,'G-3 Multipliers'!$S$3:$T$6,2,FALSE)))</f>
        <v/>
      </c>
      <c r="O170" s="498" t="str">
        <f>IF(OR(D170="",H170=""),"",(INDEX('G-6 Hedgerow Data'!$E$3:$I$15,MATCH(D170,'G-6 Hedgerow Data'!$B$3:$B$15,0),MATCH(H170,'G-6 Hedgerow Data'!$E$2:$I$2,0))))</f>
        <v/>
      </c>
      <c r="P170" s="195"/>
      <c r="Q170" s="195"/>
      <c r="R170" s="507" t="str">
        <f t="shared" si="13"/>
        <v/>
      </c>
      <c r="S170" s="521" t="str">
        <f t="shared" si="14"/>
        <v/>
      </c>
      <c r="T170" s="522" t="str">
        <f t="shared" si="12"/>
        <v/>
      </c>
      <c r="U170" s="537" t="str">
        <f>IF(D170="","",VLOOKUP(D170,'G-6 Hedgerow Data'!$B$3:$AG$15,31,FALSE))</f>
        <v/>
      </c>
      <c r="V170" s="520" t="str">
        <f t="shared" si="15"/>
        <v/>
      </c>
      <c r="W170" s="520" t="str">
        <f t="shared" si="16"/>
        <v/>
      </c>
      <c r="X170" s="524" t="str">
        <f>IF(F170="","",VLOOKUP(U170,'G-3 Multipliers'!$P$3:$Q$6,2,FALSE))</f>
        <v/>
      </c>
      <c r="Y170" s="529" t="str">
        <f t="shared" si="17"/>
        <v/>
      </c>
      <c r="Z170" s="149"/>
      <c r="AA170" s="150"/>
      <c r="AG170" s="31" t="str">
        <f>IFERROR(INDEX('G-6 Hedgerow Data'!$BJ$3:$BJ$15,MATCH(D170,'G-6 Hedgerow Data'!$B$3:$B$15,0)),"")</f>
        <v/>
      </c>
    </row>
    <row r="171" spans="2:33" ht="13.8" x14ac:dyDescent="0.25">
      <c r="B171" s="103">
        <v>160</v>
      </c>
      <c r="C171" s="268"/>
      <c r="D171" s="82"/>
      <c r="E171" s="203"/>
      <c r="F171" s="498" t="str">
        <f>IF(D171="","",VLOOKUP(D171,'G-6 Hedgerow Data'!$B$2:$AG$15,2,FALSE))</f>
        <v/>
      </c>
      <c r="G171" s="524" t="str">
        <f>IF(D171="","",VLOOKUP(D171,'G-6 Hedgerow Data'!$B$2:$AG$15,3,FALSE))</f>
        <v/>
      </c>
      <c r="H171" s="72"/>
      <c r="I171" s="499" t="str">
        <f>IFERROR(IF(AND(F171="V.Low",OR(H171="Good",H171="Moderate")),"Error ▲",VLOOKUP(H171,'G-1 All Habitats'!$Z$2:$AA$9,2,FALSE)),"")</f>
        <v/>
      </c>
      <c r="J171" s="146"/>
      <c r="K171" s="520" t="str">
        <f>IF(J171="","",IF(VLOOKUP(J171,'G-3 Multipliers'!$L$3:$N$6,2,FALSE)=0,"Spatial Data Missing",VLOOKUP(J171,'G-3 Multipliers'!$L$3:$N$6,2,FALSE)))</f>
        <v/>
      </c>
      <c r="L171" s="524" t="str">
        <f>IF(J171="","",IF(VLOOKUP(J171,'G-3 Multipliers'!$L$3:$N$6,3,FALSE)=0,"Spatial Data Missing",VLOOKUP(J171,'G-3 Multipliers'!$L$3:$N$6,3,FALSE)))</f>
        <v/>
      </c>
      <c r="M171" s="197"/>
      <c r="N171" s="499" t="str">
        <f>IF(M171="","",IF(VLOOKUP(M171,'G-3 Multipliers'!$S$3:$T$6,2,FALSE)=0,"Spatial Data Missing ⚠",VLOOKUP(M171,'G-3 Multipliers'!$S$3:$T$6,2,FALSE)))</f>
        <v/>
      </c>
      <c r="O171" s="498" t="str">
        <f>IF(OR(D171="",H171=""),"",(INDEX('G-6 Hedgerow Data'!$E$3:$I$15,MATCH(D171,'G-6 Hedgerow Data'!$B$3:$B$15,0),MATCH(H171,'G-6 Hedgerow Data'!$E$2:$I$2,0))))</f>
        <v/>
      </c>
      <c r="P171" s="195"/>
      <c r="Q171" s="195"/>
      <c r="R171" s="507" t="str">
        <f t="shared" si="13"/>
        <v/>
      </c>
      <c r="S171" s="521" t="str">
        <f t="shared" si="14"/>
        <v/>
      </c>
      <c r="T171" s="522" t="str">
        <f t="shared" si="12"/>
        <v/>
      </c>
      <c r="U171" s="537" t="str">
        <f>IF(D171="","",VLOOKUP(D171,'G-6 Hedgerow Data'!$B$3:$AG$15,31,FALSE))</f>
        <v/>
      </c>
      <c r="V171" s="520" t="str">
        <f t="shared" si="15"/>
        <v/>
      </c>
      <c r="W171" s="520" t="str">
        <f t="shared" si="16"/>
        <v/>
      </c>
      <c r="X171" s="524" t="str">
        <f>IF(F171="","",VLOOKUP(U171,'G-3 Multipliers'!$P$3:$Q$6,2,FALSE))</f>
        <v/>
      </c>
      <c r="Y171" s="529" t="str">
        <f t="shared" si="17"/>
        <v/>
      </c>
      <c r="Z171" s="149"/>
      <c r="AA171" s="150"/>
      <c r="AG171" s="31" t="str">
        <f>IFERROR(INDEX('G-6 Hedgerow Data'!$BJ$3:$BJ$15,MATCH(D171,'G-6 Hedgerow Data'!$B$3:$B$15,0)),"")</f>
        <v/>
      </c>
    </row>
    <row r="172" spans="2:33" ht="13.8" x14ac:dyDescent="0.25">
      <c r="B172" s="103">
        <v>161</v>
      </c>
      <c r="C172" s="268"/>
      <c r="D172" s="82"/>
      <c r="E172" s="203"/>
      <c r="F172" s="498" t="str">
        <f>IF(D172="","",VLOOKUP(D172,'G-6 Hedgerow Data'!$B$2:$AG$15,2,FALSE))</f>
        <v/>
      </c>
      <c r="G172" s="524" t="str">
        <f>IF(D172="","",VLOOKUP(D172,'G-6 Hedgerow Data'!$B$2:$AG$15,3,FALSE))</f>
        <v/>
      </c>
      <c r="H172" s="72"/>
      <c r="I172" s="499" t="str">
        <f>IFERROR(IF(AND(F172="V.Low",OR(H172="Good",H172="Moderate")),"Error ▲",VLOOKUP(H172,'G-1 All Habitats'!$Z$2:$AA$9,2,FALSE)),"")</f>
        <v/>
      </c>
      <c r="J172" s="146"/>
      <c r="K172" s="520" t="str">
        <f>IF(J172="","",IF(VLOOKUP(J172,'G-3 Multipliers'!$L$3:$N$6,2,FALSE)=0,"Spatial Data Missing",VLOOKUP(J172,'G-3 Multipliers'!$L$3:$N$6,2,FALSE)))</f>
        <v/>
      </c>
      <c r="L172" s="524" t="str">
        <f>IF(J172="","",IF(VLOOKUP(J172,'G-3 Multipliers'!$L$3:$N$6,3,FALSE)=0,"Spatial Data Missing",VLOOKUP(J172,'G-3 Multipliers'!$L$3:$N$6,3,FALSE)))</f>
        <v/>
      </c>
      <c r="M172" s="197"/>
      <c r="N172" s="499" t="str">
        <f>IF(M172="","",IF(VLOOKUP(M172,'G-3 Multipliers'!$S$3:$T$6,2,FALSE)=0,"Spatial Data Missing ⚠",VLOOKUP(M172,'G-3 Multipliers'!$S$3:$T$6,2,FALSE)))</f>
        <v/>
      </c>
      <c r="O172" s="498" t="str">
        <f>IF(OR(D172="",H172=""),"",(INDEX('G-6 Hedgerow Data'!$E$3:$I$15,MATCH(D172,'G-6 Hedgerow Data'!$B$3:$B$15,0),MATCH(H172,'G-6 Hedgerow Data'!$E$2:$I$2,0))))</f>
        <v/>
      </c>
      <c r="P172" s="195"/>
      <c r="Q172" s="195"/>
      <c r="R172" s="507" t="str">
        <f t="shared" si="13"/>
        <v/>
      </c>
      <c r="S172" s="521" t="str">
        <f t="shared" si="14"/>
        <v/>
      </c>
      <c r="T172" s="522" t="str">
        <f t="shared" si="12"/>
        <v/>
      </c>
      <c r="U172" s="537" t="str">
        <f>IF(D172="","",VLOOKUP(D172,'G-6 Hedgerow Data'!$B$3:$AG$15,31,FALSE))</f>
        <v/>
      </c>
      <c r="V172" s="520" t="str">
        <f t="shared" si="15"/>
        <v/>
      </c>
      <c r="W172" s="520" t="str">
        <f t="shared" si="16"/>
        <v/>
      </c>
      <c r="X172" s="524" t="str">
        <f>IF(F172="","",VLOOKUP(U172,'G-3 Multipliers'!$P$3:$Q$6,2,FALSE))</f>
        <v/>
      </c>
      <c r="Y172" s="529" t="str">
        <f t="shared" si="17"/>
        <v/>
      </c>
      <c r="Z172" s="149"/>
      <c r="AA172" s="150"/>
      <c r="AG172" s="31" t="str">
        <f>IFERROR(INDEX('G-6 Hedgerow Data'!$BJ$3:$BJ$15,MATCH(D172,'G-6 Hedgerow Data'!$B$3:$B$15,0)),"")</f>
        <v/>
      </c>
    </row>
    <row r="173" spans="2:33" ht="13.8" x14ac:dyDescent="0.25">
      <c r="B173" s="103">
        <v>162</v>
      </c>
      <c r="C173" s="268"/>
      <c r="D173" s="82"/>
      <c r="E173" s="203"/>
      <c r="F173" s="498" t="str">
        <f>IF(D173="","",VLOOKUP(D173,'G-6 Hedgerow Data'!$B$2:$AG$15,2,FALSE))</f>
        <v/>
      </c>
      <c r="G173" s="524" t="str">
        <f>IF(D173="","",VLOOKUP(D173,'G-6 Hedgerow Data'!$B$2:$AG$15,3,FALSE))</f>
        <v/>
      </c>
      <c r="H173" s="72"/>
      <c r="I173" s="499" t="str">
        <f>IFERROR(IF(AND(F173="V.Low",OR(H173="Good",H173="Moderate")),"Error ▲",VLOOKUP(H173,'G-1 All Habitats'!$Z$2:$AA$9,2,FALSE)),"")</f>
        <v/>
      </c>
      <c r="J173" s="146"/>
      <c r="K173" s="520" t="str">
        <f>IF(J173="","",IF(VLOOKUP(J173,'G-3 Multipliers'!$L$3:$N$6,2,FALSE)=0,"Spatial Data Missing",VLOOKUP(J173,'G-3 Multipliers'!$L$3:$N$6,2,FALSE)))</f>
        <v/>
      </c>
      <c r="L173" s="524" t="str">
        <f>IF(J173="","",IF(VLOOKUP(J173,'G-3 Multipliers'!$L$3:$N$6,3,FALSE)=0,"Spatial Data Missing",VLOOKUP(J173,'G-3 Multipliers'!$L$3:$N$6,3,FALSE)))</f>
        <v/>
      </c>
      <c r="M173" s="197"/>
      <c r="N173" s="499" t="str">
        <f>IF(M173="","",IF(VLOOKUP(M173,'G-3 Multipliers'!$S$3:$T$6,2,FALSE)=0,"Spatial Data Missing ⚠",VLOOKUP(M173,'G-3 Multipliers'!$S$3:$T$6,2,FALSE)))</f>
        <v/>
      </c>
      <c r="O173" s="498" t="str">
        <f>IF(OR(D173="",H173=""),"",(INDEX('G-6 Hedgerow Data'!$E$3:$I$15,MATCH(D173,'G-6 Hedgerow Data'!$B$3:$B$15,0),MATCH(H173,'G-6 Hedgerow Data'!$E$2:$I$2,0))))</f>
        <v/>
      </c>
      <c r="P173" s="195"/>
      <c r="Q173" s="195"/>
      <c r="R173" s="507" t="str">
        <f t="shared" si="13"/>
        <v/>
      </c>
      <c r="S173" s="521" t="str">
        <f t="shared" si="14"/>
        <v/>
      </c>
      <c r="T173" s="522" t="str">
        <f t="shared" si="12"/>
        <v/>
      </c>
      <c r="U173" s="537" t="str">
        <f>IF(D173="","",VLOOKUP(D173,'G-6 Hedgerow Data'!$B$3:$AG$15,31,FALSE))</f>
        <v/>
      </c>
      <c r="V173" s="520" t="str">
        <f t="shared" si="15"/>
        <v/>
      </c>
      <c r="W173" s="520" t="str">
        <f t="shared" si="16"/>
        <v/>
      </c>
      <c r="X173" s="524" t="str">
        <f>IF(F173="","",VLOOKUP(U173,'G-3 Multipliers'!$P$3:$Q$6,2,FALSE))</f>
        <v/>
      </c>
      <c r="Y173" s="529" t="str">
        <f t="shared" si="17"/>
        <v/>
      </c>
      <c r="Z173" s="149"/>
      <c r="AA173" s="150"/>
      <c r="AG173" s="31" t="str">
        <f>IFERROR(INDEX('G-6 Hedgerow Data'!$BJ$3:$BJ$15,MATCH(D173,'G-6 Hedgerow Data'!$B$3:$B$15,0)),"")</f>
        <v/>
      </c>
    </row>
    <row r="174" spans="2:33" ht="13.8" x14ac:dyDescent="0.25">
      <c r="B174" s="103">
        <v>163</v>
      </c>
      <c r="C174" s="268"/>
      <c r="D174" s="82"/>
      <c r="E174" s="203"/>
      <c r="F174" s="498" t="str">
        <f>IF(D174="","",VLOOKUP(D174,'G-6 Hedgerow Data'!$B$2:$AG$15,2,FALSE))</f>
        <v/>
      </c>
      <c r="G174" s="524" t="str">
        <f>IF(D174="","",VLOOKUP(D174,'G-6 Hedgerow Data'!$B$2:$AG$15,3,FALSE))</f>
        <v/>
      </c>
      <c r="H174" s="72"/>
      <c r="I174" s="499" t="str">
        <f>IFERROR(IF(AND(F174="V.Low",OR(H174="Good",H174="Moderate")),"Error ▲",VLOOKUP(H174,'G-1 All Habitats'!$Z$2:$AA$9,2,FALSE)),"")</f>
        <v/>
      </c>
      <c r="J174" s="146"/>
      <c r="K174" s="520" t="str">
        <f>IF(J174="","",IF(VLOOKUP(J174,'G-3 Multipliers'!$L$3:$N$6,2,FALSE)=0,"Spatial Data Missing",VLOOKUP(J174,'G-3 Multipliers'!$L$3:$N$6,2,FALSE)))</f>
        <v/>
      </c>
      <c r="L174" s="524" t="str">
        <f>IF(J174="","",IF(VLOOKUP(J174,'G-3 Multipliers'!$L$3:$N$6,3,FALSE)=0,"Spatial Data Missing",VLOOKUP(J174,'G-3 Multipliers'!$L$3:$N$6,3,FALSE)))</f>
        <v/>
      </c>
      <c r="M174" s="197"/>
      <c r="N174" s="499" t="str">
        <f>IF(M174="","",IF(VLOOKUP(M174,'G-3 Multipliers'!$S$3:$T$6,2,FALSE)=0,"Spatial Data Missing ⚠",VLOOKUP(M174,'G-3 Multipliers'!$S$3:$T$6,2,FALSE)))</f>
        <v/>
      </c>
      <c r="O174" s="498" t="str">
        <f>IF(OR(D174="",H174=""),"",(INDEX('G-6 Hedgerow Data'!$E$3:$I$15,MATCH(D174,'G-6 Hedgerow Data'!$B$3:$B$15,0),MATCH(H174,'G-6 Hedgerow Data'!$E$2:$I$2,0))))</f>
        <v/>
      </c>
      <c r="P174" s="195"/>
      <c r="Q174" s="195"/>
      <c r="R174" s="507" t="str">
        <f t="shared" si="13"/>
        <v/>
      </c>
      <c r="S174" s="521" t="str">
        <f t="shared" si="14"/>
        <v/>
      </c>
      <c r="T174" s="522" t="str">
        <f t="shared" si="12"/>
        <v/>
      </c>
      <c r="U174" s="537" t="str">
        <f>IF(D174="","",VLOOKUP(D174,'G-6 Hedgerow Data'!$B$3:$AG$15,31,FALSE))</f>
        <v/>
      </c>
      <c r="V174" s="520" t="str">
        <f t="shared" si="15"/>
        <v/>
      </c>
      <c r="W174" s="520" t="str">
        <f t="shared" si="16"/>
        <v/>
      </c>
      <c r="X174" s="524" t="str">
        <f>IF(F174="","",VLOOKUP(U174,'G-3 Multipliers'!$P$3:$Q$6,2,FALSE))</f>
        <v/>
      </c>
      <c r="Y174" s="529" t="str">
        <f t="shared" si="17"/>
        <v/>
      </c>
      <c r="Z174" s="149"/>
      <c r="AA174" s="150"/>
      <c r="AG174" s="31" t="str">
        <f>IFERROR(INDEX('G-6 Hedgerow Data'!$BJ$3:$BJ$15,MATCH(D174,'G-6 Hedgerow Data'!$B$3:$B$15,0)),"")</f>
        <v/>
      </c>
    </row>
    <row r="175" spans="2:33" ht="13.8" x14ac:dyDescent="0.25">
      <c r="B175" s="103">
        <v>164</v>
      </c>
      <c r="C175" s="268"/>
      <c r="D175" s="82"/>
      <c r="E175" s="203"/>
      <c r="F175" s="498" t="str">
        <f>IF(D175="","",VLOOKUP(D175,'G-6 Hedgerow Data'!$B$2:$AG$15,2,FALSE))</f>
        <v/>
      </c>
      <c r="G175" s="524" t="str">
        <f>IF(D175="","",VLOOKUP(D175,'G-6 Hedgerow Data'!$B$2:$AG$15,3,FALSE))</f>
        <v/>
      </c>
      <c r="H175" s="72"/>
      <c r="I175" s="499" t="str">
        <f>IFERROR(IF(AND(F175="V.Low",OR(H175="Good",H175="Moderate")),"Error ▲",VLOOKUP(H175,'G-1 All Habitats'!$Z$2:$AA$9,2,FALSE)),"")</f>
        <v/>
      </c>
      <c r="J175" s="146"/>
      <c r="K175" s="520" t="str">
        <f>IF(J175="","",IF(VLOOKUP(J175,'G-3 Multipliers'!$L$3:$N$6,2,FALSE)=0,"Spatial Data Missing",VLOOKUP(J175,'G-3 Multipliers'!$L$3:$N$6,2,FALSE)))</f>
        <v/>
      </c>
      <c r="L175" s="524" t="str">
        <f>IF(J175="","",IF(VLOOKUP(J175,'G-3 Multipliers'!$L$3:$N$6,3,FALSE)=0,"Spatial Data Missing",VLOOKUP(J175,'G-3 Multipliers'!$L$3:$N$6,3,FALSE)))</f>
        <v/>
      </c>
      <c r="M175" s="197"/>
      <c r="N175" s="499" t="str">
        <f>IF(M175="","",IF(VLOOKUP(M175,'G-3 Multipliers'!$S$3:$T$6,2,FALSE)=0,"Spatial Data Missing ⚠",VLOOKUP(M175,'G-3 Multipliers'!$S$3:$T$6,2,FALSE)))</f>
        <v/>
      </c>
      <c r="O175" s="498" t="str">
        <f>IF(OR(D175="",H175=""),"",(INDEX('G-6 Hedgerow Data'!$E$3:$I$15,MATCH(D175,'G-6 Hedgerow Data'!$B$3:$B$15,0),MATCH(H175,'G-6 Hedgerow Data'!$E$2:$I$2,0))))</f>
        <v/>
      </c>
      <c r="P175" s="195"/>
      <c r="Q175" s="195"/>
      <c r="R175" s="507" t="str">
        <f t="shared" si="13"/>
        <v/>
      </c>
      <c r="S175" s="521" t="str">
        <f t="shared" si="14"/>
        <v/>
      </c>
      <c r="T175" s="522" t="str">
        <f t="shared" si="12"/>
        <v/>
      </c>
      <c r="U175" s="537" t="str">
        <f>IF(D175="","",VLOOKUP(D175,'G-6 Hedgerow Data'!$B$3:$AG$15,31,FALSE))</f>
        <v/>
      </c>
      <c r="V175" s="520" t="str">
        <f t="shared" si="15"/>
        <v/>
      </c>
      <c r="W175" s="520" t="str">
        <f t="shared" si="16"/>
        <v/>
      </c>
      <c r="X175" s="524" t="str">
        <f>IF(F175="","",VLOOKUP(U175,'G-3 Multipliers'!$P$3:$Q$6,2,FALSE))</f>
        <v/>
      </c>
      <c r="Y175" s="529" t="str">
        <f t="shared" si="17"/>
        <v/>
      </c>
      <c r="Z175" s="149"/>
      <c r="AA175" s="150"/>
      <c r="AG175" s="31" t="str">
        <f>IFERROR(INDEX('G-6 Hedgerow Data'!$BJ$3:$BJ$15,MATCH(D175,'G-6 Hedgerow Data'!$B$3:$B$15,0)),"")</f>
        <v/>
      </c>
    </row>
    <row r="176" spans="2:33" ht="13.8" x14ac:dyDescent="0.25">
      <c r="B176" s="103">
        <v>165</v>
      </c>
      <c r="C176" s="268"/>
      <c r="D176" s="82"/>
      <c r="E176" s="203"/>
      <c r="F176" s="498" t="str">
        <f>IF(D176="","",VLOOKUP(D176,'G-6 Hedgerow Data'!$B$2:$AG$15,2,FALSE))</f>
        <v/>
      </c>
      <c r="G176" s="524" t="str">
        <f>IF(D176="","",VLOOKUP(D176,'G-6 Hedgerow Data'!$B$2:$AG$15,3,FALSE))</f>
        <v/>
      </c>
      <c r="H176" s="72"/>
      <c r="I176" s="499" t="str">
        <f>IFERROR(IF(AND(F176="V.Low",OR(H176="Good",H176="Moderate")),"Error ▲",VLOOKUP(H176,'G-1 All Habitats'!$Z$2:$AA$9,2,FALSE)),"")</f>
        <v/>
      </c>
      <c r="J176" s="146"/>
      <c r="K176" s="520" t="str">
        <f>IF(J176="","",IF(VLOOKUP(J176,'G-3 Multipliers'!$L$3:$N$6,2,FALSE)=0,"Spatial Data Missing",VLOOKUP(J176,'G-3 Multipliers'!$L$3:$N$6,2,FALSE)))</f>
        <v/>
      </c>
      <c r="L176" s="524" t="str">
        <f>IF(J176="","",IF(VLOOKUP(J176,'G-3 Multipliers'!$L$3:$N$6,3,FALSE)=0,"Spatial Data Missing",VLOOKUP(J176,'G-3 Multipliers'!$L$3:$N$6,3,FALSE)))</f>
        <v/>
      </c>
      <c r="M176" s="197"/>
      <c r="N176" s="499" t="str">
        <f>IF(M176="","",IF(VLOOKUP(M176,'G-3 Multipliers'!$S$3:$T$6,2,FALSE)=0,"Spatial Data Missing ⚠",VLOOKUP(M176,'G-3 Multipliers'!$S$3:$T$6,2,FALSE)))</f>
        <v/>
      </c>
      <c r="O176" s="498" t="str">
        <f>IF(OR(D176="",H176=""),"",(INDEX('G-6 Hedgerow Data'!$E$3:$I$15,MATCH(D176,'G-6 Hedgerow Data'!$B$3:$B$15,0),MATCH(H176,'G-6 Hedgerow Data'!$E$2:$I$2,0))))</f>
        <v/>
      </c>
      <c r="P176" s="195"/>
      <c r="Q176" s="195"/>
      <c r="R176" s="507" t="str">
        <f t="shared" si="13"/>
        <v/>
      </c>
      <c r="S176" s="521" t="str">
        <f t="shared" si="14"/>
        <v/>
      </c>
      <c r="T176" s="522" t="str">
        <f t="shared" si="12"/>
        <v/>
      </c>
      <c r="U176" s="537" t="str">
        <f>IF(D176="","",VLOOKUP(D176,'G-6 Hedgerow Data'!$B$3:$AG$15,31,FALSE))</f>
        <v/>
      </c>
      <c r="V176" s="520" t="str">
        <f t="shared" si="15"/>
        <v/>
      </c>
      <c r="W176" s="520" t="str">
        <f t="shared" si="16"/>
        <v/>
      </c>
      <c r="X176" s="524" t="str">
        <f>IF(F176="","",VLOOKUP(U176,'G-3 Multipliers'!$P$3:$Q$6,2,FALSE))</f>
        <v/>
      </c>
      <c r="Y176" s="529" t="str">
        <f t="shared" si="17"/>
        <v/>
      </c>
      <c r="Z176" s="149"/>
      <c r="AA176" s="150"/>
      <c r="AG176" s="31" t="str">
        <f>IFERROR(INDEX('G-6 Hedgerow Data'!$BJ$3:$BJ$15,MATCH(D176,'G-6 Hedgerow Data'!$B$3:$B$15,0)),"")</f>
        <v/>
      </c>
    </row>
    <row r="177" spans="2:33" ht="13.8" x14ac:dyDescent="0.25">
      <c r="B177" s="103">
        <v>166</v>
      </c>
      <c r="C177" s="268"/>
      <c r="D177" s="82"/>
      <c r="E177" s="203"/>
      <c r="F177" s="498" t="str">
        <f>IF(D177="","",VLOOKUP(D177,'G-6 Hedgerow Data'!$B$2:$AG$15,2,FALSE))</f>
        <v/>
      </c>
      <c r="G177" s="524" t="str">
        <f>IF(D177="","",VLOOKUP(D177,'G-6 Hedgerow Data'!$B$2:$AG$15,3,FALSE))</f>
        <v/>
      </c>
      <c r="H177" s="72"/>
      <c r="I177" s="499" t="str">
        <f>IFERROR(IF(AND(F177="V.Low",OR(H177="Good",H177="Moderate")),"Error ▲",VLOOKUP(H177,'G-1 All Habitats'!$Z$2:$AA$9,2,FALSE)),"")</f>
        <v/>
      </c>
      <c r="J177" s="146"/>
      <c r="K177" s="520" t="str">
        <f>IF(J177="","",IF(VLOOKUP(J177,'G-3 Multipliers'!$L$3:$N$6,2,FALSE)=0,"Spatial Data Missing",VLOOKUP(J177,'G-3 Multipliers'!$L$3:$N$6,2,FALSE)))</f>
        <v/>
      </c>
      <c r="L177" s="524" t="str">
        <f>IF(J177="","",IF(VLOOKUP(J177,'G-3 Multipliers'!$L$3:$N$6,3,FALSE)=0,"Spatial Data Missing",VLOOKUP(J177,'G-3 Multipliers'!$L$3:$N$6,3,FALSE)))</f>
        <v/>
      </c>
      <c r="M177" s="197"/>
      <c r="N177" s="499" t="str">
        <f>IF(M177="","",IF(VLOOKUP(M177,'G-3 Multipliers'!$S$3:$T$6,2,FALSE)=0,"Spatial Data Missing ⚠",VLOOKUP(M177,'G-3 Multipliers'!$S$3:$T$6,2,FALSE)))</f>
        <v/>
      </c>
      <c r="O177" s="498" t="str">
        <f>IF(OR(D177="",H177=""),"",(INDEX('G-6 Hedgerow Data'!$E$3:$I$15,MATCH(D177,'G-6 Hedgerow Data'!$B$3:$B$15,0),MATCH(H177,'G-6 Hedgerow Data'!$E$2:$I$2,0))))</f>
        <v/>
      </c>
      <c r="P177" s="195"/>
      <c r="Q177" s="195"/>
      <c r="R177" s="507" t="str">
        <f t="shared" si="13"/>
        <v/>
      </c>
      <c r="S177" s="521" t="str">
        <f t="shared" si="14"/>
        <v/>
      </c>
      <c r="T177" s="522" t="str">
        <f t="shared" si="12"/>
        <v/>
      </c>
      <c r="U177" s="537" t="str">
        <f>IF(D177="","",VLOOKUP(D177,'G-6 Hedgerow Data'!$B$3:$AG$15,31,FALSE))</f>
        <v/>
      </c>
      <c r="V177" s="520" t="str">
        <f t="shared" si="15"/>
        <v/>
      </c>
      <c r="W177" s="520" t="str">
        <f t="shared" si="16"/>
        <v/>
      </c>
      <c r="X177" s="524" t="str">
        <f>IF(F177="","",VLOOKUP(U177,'G-3 Multipliers'!$P$3:$Q$6,2,FALSE))</f>
        <v/>
      </c>
      <c r="Y177" s="529" t="str">
        <f t="shared" si="17"/>
        <v/>
      </c>
      <c r="Z177" s="149"/>
      <c r="AA177" s="150"/>
      <c r="AG177" s="31" t="str">
        <f>IFERROR(INDEX('G-6 Hedgerow Data'!$BJ$3:$BJ$15,MATCH(D177,'G-6 Hedgerow Data'!$B$3:$B$15,0)),"")</f>
        <v/>
      </c>
    </row>
    <row r="178" spans="2:33" ht="13.8" x14ac:dyDescent="0.25">
      <c r="B178" s="103">
        <v>167</v>
      </c>
      <c r="C178" s="268"/>
      <c r="D178" s="82"/>
      <c r="E178" s="203"/>
      <c r="F178" s="498" t="str">
        <f>IF(D178="","",VLOOKUP(D178,'G-6 Hedgerow Data'!$B$2:$AG$15,2,FALSE))</f>
        <v/>
      </c>
      <c r="G178" s="524" t="str">
        <f>IF(D178="","",VLOOKUP(D178,'G-6 Hedgerow Data'!$B$2:$AG$15,3,FALSE))</f>
        <v/>
      </c>
      <c r="H178" s="72"/>
      <c r="I178" s="499" t="str">
        <f>IFERROR(IF(AND(F178="V.Low",OR(H178="Good",H178="Moderate")),"Error ▲",VLOOKUP(H178,'G-1 All Habitats'!$Z$2:$AA$9,2,FALSE)),"")</f>
        <v/>
      </c>
      <c r="J178" s="146"/>
      <c r="K178" s="520" t="str">
        <f>IF(J178="","",IF(VLOOKUP(J178,'G-3 Multipliers'!$L$3:$N$6,2,FALSE)=0,"Spatial Data Missing",VLOOKUP(J178,'G-3 Multipliers'!$L$3:$N$6,2,FALSE)))</f>
        <v/>
      </c>
      <c r="L178" s="524" t="str">
        <f>IF(J178="","",IF(VLOOKUP(J178,'G-3 Multipliers'!$L$3:$N$6,3,FALSE)=0,"Spatial Data Missing",VLOOKUP(J178,'G-3 Multipliers'!$L$3:$N$6,3,FALSE)))</f>
        <v/>
      </c>
      <c r="M178" s="197"/>
      <c r="N178" s="499" t="str">
        <f>IF(M178="","",IF(VLOOKUP(M178,'G-3 Multipliers'!$S$3:$T$6,2,FALSE)=0,"Spatial Data Missing ⚠",VLOOKUP(M178,'G-3 Multipliers'!$S$3:$T$6,2,FALSE)))</f>
        <v/>
      </c>
      <c r="O178" s="498" t="str">
        <f>IF(OR(D178="",H178=""),"",(INDEX('G-6 Hedgerow Data'!$E$3:$I$15,MATCH(D178,'G-6 Hedgerow Data'!$B$3:$B$15,0),MATCH(H178,'G-6 Hedgerow Data'!$E$2:$I$2,0))))</f>
        <v/>
      </c>
      <c r="P178" s="195"/>
      <c r="Q178" s="195"/>
      <c r="R178" s="507" t="str">
        <f t="shared" si="13"/>
        <v/>
      </c>
      <c r="S178" s="521" t="str">
        <f t="shared" si="14"/>
        <v/>
      </c>
      <c r="T178" s="522" t="str">
        <f t="shared" si="12"/>
        <v/>
      </c>
      <c r="U178" s="537" t="str">
        <f>IF(D178="","",VLOOKUP(D178,'G-6 Hedgerow Data'!$B$3:$AG$15,31,FALSE))</f>
        <v/>
      </c>
      <c r="V178" s="520" t="str">
        <f t="shared" si="15"/>
        <v/>
      </c>
      <c r="W178" s="520" t="str">
        <f t="shared" si="16"/>
        <v/>
      </c>
      <c r="X178" s="524" t="str">
        <f>IF(F178="","",VLOOKUP(U178,'G-3 Multipliers'!$P$3:$Q$6,2,FALSE))</f>
        <v/>
      </c>
      <c r="Y178" s="529" t="str">
        <f t="shared" si="17"/>
        <v/>
      </c>
      <c r="Z178" s="149"/>
      <c r="AA178" s="150"/>
      <c r="AG178" s="31" t="str">
        <f>IFERROR(INDEX('G-6 Hedgerow Data'!$BJ$3:$BJ$15,MATCH(D178,'G-6 Hedgerow Data'!$B$3:$B$15,0)),"")</f>
        <v/>
      </c>
    </row>
    <row r="179" spans="2:33" ht="13.8" x14ac:dyDescent="0.25">
      <c r="B179" s="103">
        <v>168</v>
      </c>
      <c r="C179" s="268"/>
      <c r="D179" s="82"/>
      <c r="E179" s="203"/>
      <c r="F179" s="498" t="str">
        <f>IF(D179="","",VLOOKUP(D179,'G-6 Hedgerow Data'!$B$2:$AG$15,2,FALSE))</f>
        <v/>
      </c>
      <c r="G179" s="524" t="str">
        <f>IF(D179="","",VLOOKUP(D179,'G-6 Hedgerow Data'!$B$2:$AG$15,3,FALSE))</f>
        <v/>
      </c>
      <c r="H179" s="72"/>
      <c r="I179" s="499" t="str">
        <f>IFERROR(IF(AND(F179="V.Low",OR(H179="Good",H179="Moderate")),"Error ▲",VLOOKUP(H179,'G-1 All Habitats'!$Z$2:$AA$9,2,FALSE)),"")</f>
        <v/>
      </c>
      <c r="J179" s="146"/>
      <c r="K179" s="520" t="str">
        <f>IF(J179="","",IF(VLOOKUP(J179,'G-3 Multipliers'!$L$3:$N$6,2,FALSE)=0,"Spatial Data Missing",VLOOKUP(J179,'G-3 Multipliers'!$L$3:$N$6,2,FALSE)))</f>
        <v/>
      </c>
      <c r="L179" s="524" t="str">
        <f>IF(J179="","",IF(VLOOKUP(J179,'G-3 Multipliers'!$L$3:$N$6,3,FALSE)=0,"Spatial Data Missing",VLOOKUP(J179,'G-3 Multipliers'!$L$3:$N$6,3,FALSE)))</f>
        <v/>
      </c>
      <c r="M179" s="197"/>
      <c r="N179" s="499" t="str">
        <f>IF(M179="","",IF(VLOOKUP(M179,'G-3 Multipliers'!$S$3:$T$6,2,FALSE)=0,"Spatial Data Missing ⚠",VLOOKUP(M179,'G-3 Multipliers'!$S$3:$T$6,2,FALSE)))</f>
        <v/>
      </c>
      <c r="O179" s="498" t="str">
        <f>IF(OR(D179="",H179=""),"",(INDEX('G-6 Hedgerow Data'!$E$3:$I$15,MATCH(D179,'G-6 Hedgerow Data'!$B$3:$B$15,0),MATCH(H179,'G-6 Hedgerow Data'!$E$2:$I$2,0))))</f>
        <v/>
      </c>
      <c r="P179" s="195"/>
      <c r="Q179" s="195"/>
      <c r="R179" s="507" t="str">
        <f t="shared" si="13"/>
        <v/>
      </c>
      <c r="S179" s="521" t="str">
        <f t="shared" si="14"/>
        <v/>
      </c>
      <c r="T179" s="522" t="str">
        <f t="shared" si="12"/>
        <v/>
      </c>
      <c r="U179" s="537" t="str">
        <f>IF(D179="","",VLOOKUP(D179,'G-6 Hedgerow Data'!$B$3:$AG$15,31,FALSE))</f>
        <v/>
      </c>
      <c r="V179" s="520" t="str">
        <f t="shared" si="15"/>
        <v/>
      </c>
      <c r="W179" s="520" t="str">
        <f t="shared" si="16"/>
        <v/>
      </c>
      <c r="X179" s="524" t="str">
        <f>IF(F179="","",VLOOKUP(U179,'G-3 Multipliers'!$P$3:$Q$6,2,FALSE))</f>
        <v/>
      </c>
      <c r="Y179" s="529" t="str">
        <f t="shared" si="17"/>
        <v/>
      </c>
      <c r="Z179" s="149"/>
      <c r="AA179" s="150"/>
      <c r="AG179" s="31" t="str">
        <f>IFERROR(INDEX('G-6 Hedgerow Data'!$BJ$3:$BJ$15,MATCH(D179,'G-6 Hedgerow Data'!$B$3:$B$15,0)),"")</f>
        <v/>
      </c>
    </row>
    <row r="180" spans="2:33" ht="13.8" x14ac:dyDescent="0.25">
      <c r="B180" s="103">
        <v>169</v>
      </c>
      <c r="C180" s="268"/>
      <c r="D180" s="82"/>
      <c r="E180" s="203"/>
      <c r="F180" s="498" t="str">
        <f>IF(D180="","",VLOOKUP(D180,'G-6 Hedgerow Data'!$B$2:$AG$15,2,FALSE))</f>
        <v/>
      </c>
      <c r="G180" s="524" t="str">
        <f>IF(D180="","",VLOOKUP(D180,'G-6 Hedgerow Data'!$B$2:$AG$15,3,FALSE))</f>
        <v/>
      </c>
      <c r="H180" s="72"/>
      <c r="I180" s="499" t="str">
        <f>IFERROR(IF(AND(F180="V.Low",OR(H180="Good",H180="Moderate")),"Error ▲",VLOOKUP(H180,'G-1 All Habitats'!$Z$2:$AA$9,2,FALSE)),"")</f>
        <v/>
      </c>
      <c r="J180" s="146"/>
      <c r="K180" s="520" t="str">
        <f>IF(J180="","",IF(VLOOKUP(J180,'G-3 Multipliers'!$L$3:$N$6,2,FALSE)=0,"Spatial Data Missing",VLOOKUP(J180,'G-3 Multipliers'!$L$3:$N$6,2,FALSE)))</f>
        <v/>
      </c>
      <c r="L180" s="524" t="str">
        <f>IF(J180="","",IF(VLOOKUP(J180,'G-3 Multipliers'!$L$3:$N$6,3,FALSE)=0,"Spatial Data Missing",VLOOKUP(J180,'G-3 Multipliers'!$L$3:$N$6,3,FALSE)))</f>
        <v/>
      </c>
      <c r="M180" s="197"/>
      <c r="N180" s="499" t="str">
        <f>IF(M180="","",IF(VLOOKUP(M180,'G-3 Multipliers'!$S$3:$T$6,2,FALSE)=0,"Spatial Data Missing ⚠",VLOOKUP(M180,'G-3 Multipliers'!$S$3:$T$6,2,FALSE)))</f>
        <v/>
      </c>
      <c r="O180" s="498" t="str">
        <f>IF(OR(D180="",H180=""),"",(INDEX('G-6 Hedgerow Data'!$E$3:$I$15,MATCH(D180,'G-6 Hedgerow Data'!$B$3:$B$15,0),MATCH(H180,'G-6 Hedgerow Data'!$E$2:$I$2,0))))</f>
        <v/>
      </c>
      <c r="P180" s="195"/>
      <c r="Q180" s="195"/>
      <c r="R180" s="507" t="str">
        <f t="shared" si="13"/>
        <v/>
      </c>
      <c r="S180" s="521" t="str">
        <f t="shared" si="14"/>
        <v/>
      </c>
      <c r="T180" s="522" t="str">
        <f t="shared" si="12"/>
        <v/>
      </c>
      <c r="U180" s="537" t="str">
        <f>IF(D180="","",VLOOKUP(D180,'G-6 Hedgerow Data'!$B$3:$AG$15,31,FALSE))</f>
        <v/>
      </c>
      <c r="V180" s="520" t="str">
        <f t="shared" si="15"/>
        <v/>
      </c>
      <c r="W180" s="520" t="str">
        <f t="shared" si="16"/>
        <v/>
      </c>
      <c r="X180" s="524" t="str">
        <f>IF(F180="","",VLOOKUP(U180,'G-3 Multipliers'!$P$3:$Q$6,2,FALSE))</f>
        <v/>
      </c>
      <c r="Y180" s="529" t="str">
        <f t="shared" si="17"/>
        <v/>
      </c>
      <c r="Z180" s="149"/>
      <c r="AA180" s="150"/>
      <c r="AG180" s="31" t="str">
        <f>IFERROR(INDEX('G-6 Hedgerow Data'!$BJ$3:$BJ$15,MATCH(D180,'G-6 Hedgerow Data'!$B$3:$B$15,0)),"")</f>
        <v/>
      </c>
    </row>
    <row r="181" spans="2:33" ht="13.8" x14ac:dyDescent="0.25">
      <c r="B181" s="103">
        <v>170</v>
      </c>
      <c r="C181" s="268"/>
      <c r="D181" s="82"/>
      <c r="E181" s="203"/>
      <c r="F181" s="498" t="str">
        <f>IF(D181="","",VLOOKUP(D181,'G-6 Hedgerow Data'!$B$2:$AG$15,2,FALSE))</f>
        <v/>
      </c>
      <c r="G181" s="524" t="str">
        <f>IF(D181="","",VLOOKUP(D181,'G-6 Hedgerow Data'!$B$2:$AG$15,3,FALSE))</f>
        <v/>
      </c>
      <c r="H181" s="72"/>
      <c r="I181" s="499" t="str">
        <f>IFERROR(IF(AND(F181="V.Low",OR(H181="Good",H181="Moderate")),"Error ▲",VLOOKUP(H181,'G-1 All Habitats'!$Z$2:$AA$9,2,FALSE)),"")</f>
        <v/>
      </c>
      <c r="J181" s="146"/>
      <c r="K181" s="520" t="str">
        <f>IF(J181="","",IF(VLOOKUP(J181,'G-3 Multipliers'!$L$3:$N$6,2,FALSE)=0,"Spatial Data Missing",VLOOKUP(J181,'G-3 Multipliers'!$L$3:$N$6,2,FALSE)))</f>
        <v/>
      </c>
      <c r="L181" s="524" t="str">
        <f>IF(J181="","",IF(VLOOKUP(J181,'G-3 Multipliers'!$L$3:$N$6,3,FALSE)=0,"Spatial Data Missing",VLOOKUP(J181,'G-3 Multipliers'!$L$3:$N$6,3,FALSE)))</f>
        <v/>
      </c>
      <c r="M181" s="197"/>
      <c r="N181" s="499" t="str">
        <f>IF(M181="","",IF(VLOOKUP(M181,'G-3 Multipliers'!$S$3:$T$6,2,FALSE)=0,"Spatial Data Missing ⚠",VLOOKUP(M181,'G-3 Multipliers'!$S$3:$T$6,2,FALSE)))</f>
        <v/>
      </c>
      <c r="O181" s="498" t="str">
        <f>IF(OR(D181="",H181=""),"",(INDEX('G-6 Hedgerow Data'!$E$3:$I$15,MATCH(D181,'G-6 Hedgerow Data'!$B$3:$B$15,0),MATCH(H181,'G-6 Hedgerow Data'!$E$2:$I$2,0))))</f>
        <v/>
      </c>
      <c r="P181" s="195"/>
      <c r="Q181" s="195"/>
      <c r="R181" s="507" t="str">
        <f t="shared" si="13"/>
        <v/>
      </c>
      <c r="S181" s="521" t="str">
        <f t="shared" si="14"/>
        <v/>
      </c>
      <c r="T181" s="522" t="str">
        <f t="shared" si="12"/>
        <v/>
      </c>
      <c r="U181" s="537" t="str">
        <f>IF(D181="","",VLOOKUP(D181,'G-6 Hedgerow Data'!$B$3:$AG$15,31,FALSE))</f>
        <v/>
      </c>
      <c r="V181" s="520" t="str">
        <f t="shared" si="15"/>
        <v/>
      </c>
      <c r="W181" s="520" t="str">
        <f t="shared" si="16"/>
        <v/>
      </c>
      <c r="X181" s="524" t="str">
        <f>IF(F181="","",VLOOKUP(U181,'G-3 Multipliers'!$P$3:$Q$6,2,FALSE))</f>
        <v/>
      </c>
      <c r="Y181" s="529" t="str">
        <f t="shared" si="17"/>
        <v/>
      </c>
      <c r="Z181" s="149"/>
      <c r="AA181" s="150"/>
      <c r="AG181" s="31" t="str">
        <f>IFERROR(INDEX('G-6 Hedgerow Data'!$BJ$3:$BJ$15,MATCH(D181,'G-6 Hedgerow Data'!$B$3:$B$15,0)),"")</f>
        <v/>
      </c>
    </row>
    <row r="182" spans="2:33" ht="13.8" x14ac:dyDescent="0.25">
      <c r="B182" s="103">
        <v>171</v>
      </c>
      <c r="C182" s="268"/>
      <c r="D182" s="82"/>
      <c r="E182" s="203"/>
      <c r="F182" s="498" t="str">
        <f>IF(D182="","",VLOOKUP(D182,'G-6 Hedgerow Data'!$B$2:$AG$15,2,FALSE))</f>
        <v/>
      </c>
      <c r="G182" s="524" t="str">
        <f>IF(D182="","",VLOOKUP(D182,'G-6 Hedgerow Data'!$B$2:$AG$15,3,FALSE))</f>
        <v/>
      </c>
      <c r="H182" s="72"/>
      <c r="I182" s="499" t="str">
        <f>IFERROR(IF(AND(F182="V.Low",OR(H182="Good",H182="Moderate")),"Error ▲",VLOOKUP(H182,'G-1 All Habitats'!$Z$2:$AA$9,2,FALSE)),"")</f>
        <v/>
      </c>
      <c r="J182" s="146"/>
      <c r="K182" s="520" t="str">
        <f>IF(J182="","",IF(VLOOKUP(J182,'G-3 Multipliers'!$L$3:$N$6,2,FALSE)=0,"Spatial Data Missing",VLOOKUP(J182,'G-3 Multipliers'!$L$3:$N$6,2,FALSE)))</f>
        <v/>
      </c>
      <c r="L182" s="524" t="str">
        <f>IF(J182="","",IF(VLOOKUP(J182,'G-3 Multipliers'!$L$3:$N$6,3,FALSE)=0,"Spatial Data Missing",VLOOKUP(J182,'G-3 Multipliers'!$L$3:$N$6,3,FALSE)))</f>
        <v/>
      </c>
      <c r="M182" s="197"/>
      <c r="N182" s="499" t="str">
        <f>IF(M182="","",IF(VLOOKUP(M182,'G-3 Multipliers'!$S$3:$T$6,2,FALSE)=0,"Spatial Data Missing ⚠",VLOOKUP(M182,'G-3 Multipliers'!$S$3:$T$6,2,FALSE)))</f>
        <v/>
      </c>
      <c r="O182" s="498" t="str">
        <f>IF(OR(D182="",H182=""),"",(INDEX('G-6 Hedgerow Data'!$E$3:$I$15,MATCH(D182,'G-6 Hedgerow Data'!$B$3:$B$15,0),MATCH(H182,'G-6 Hedgerow Data'!$E$2:$I$2,0))))</f>
        <v/>
      </c>
      <c r="P182" s="195"/>
      <c r="Q182" s="195"/>
      <c r="R182" s="507" t="str">
        <f t="shared" si="13"/>
        <v/>
      </c>
      <c r="S182" s="521" t="str">
        <f t="shared" si="14"/>
        <v/>
      </c>
      <c r="T182" s="522" t="str">
        <f t="shared" si="12"/>
        <v/>
      </c>
      <c r="U182" s="537" t="str">
        <f>IF(D182="","",VLOOKUP(D182,'G-6 Hedgerow Data'!$B$3:$AG$15,31,FALSE))</f>
        <v/>
      </c>
      <c r="V182" s="520" t="str">
        <f t="shared" si="15"/>
        <v/>
      </c>
      <c r="W182" s="520" t="str">
        <f t="shared" si="16"/>
        <v/>
      </c>
      <c r="X182" s="524" t="str">
        <f>IF(F182="","",VLOOKUP(U182,'G-3 Multipliers'!$P$3:$Q$6,2,FALSE))</f>
        <v/>
      </c>
      <c r="Y182" s="529" t="str">
        <f t="shared" si="17"/>
        <v/>
      </c>
      <c r="Z182" s="149"/>
      <c r="AA182" s="150"/>
      <c r="AG182" s="31" t="str">
        <f>IFERROR(INDEX('G-6 Hedgerow Data'!$BJ$3:$BJ$15,MATCH(D182,'G-6 Hedgerow Data'!$B$3:$B$15,0)),"")</f>
        <v/>
      </c>
    </row>
    <row r="183" spans="2:33" ht="13.8" x14ac:dyDescent="0.25">
      <c r="B183" s="103">
        <v>172</v>
      </c>
      <c r="C183" s="268"/>
      <c r="D183" s="82"/>
      <c r="E183" s="203"/>
      <c r="F183" s="498" t="str">
        <f>IF(D183="","",VLOOKUP(D183,'G-6 Hedgerow Data'!$B$2:$AG$15,2,FALSE))</f>
        <v/>
      </c>
      <c r="G183" s="524" t="str">
        <f>IF(D183="","",VLOOKUP(D183,'G-6 Hedgerow Data'!$B$2:$AG$15,3,FALSE))</f>
        <v/>
      </c>
      <c r="H183" s="72"/>
      <c r="I183" s="499" t="str">
        <f>IFERROR(IF(AND(F183="V.Low",OR(H183="Good",H183="Moderate")),"Error ▲",VLOOKUP(H183,'G-1 All Habitats'!$Z$2:$AA$9,2,FALSE)),"")</f>
        <v/>
      </c>
      <c r="J183" s="146"/>
      <c r="K183" s="520" t="str">
        <f>IF(J183="","",IF(VLOOKUP(J183,'G-3 Multipliers'!$L$3:$N$6,2,FALSE)=0,"Spatial Data Missing",VLOOKUP(J183,'G-3 Multipliers'!$L$3:$N$6,2,FALSE)))</f>
        <v/>
      </c>
      <c r="L183" s="524" t="str">
        <f>IF(J183="","",IF(VLOOKUP(J183,'G-3 Multipliers'!$L$3:$N$6,3,FALSE)=0,"Spatial Data Missing",VLOOKUP(J183,'G-3 Multipliers'!$L$3:$N$6,3,FALSE)))</f>
        <v/>
      </c>
      <c r="M183" s="197"/>
      <c r="N183" s="499" t="str">
        <f>IF(M183="","",IF(VLOOKUP(M183,'G-3 Multipliers'!$S$3:$T$6,2,FALSE)=0,"Spatial Data Missing ⚠",VLOOKUP(M183,'G-3 Multipliers'!$S$3:$T$6,2,FALSE)))</f>
        <v/>
      </c>
      <c r="O183" s="498" t="str">
        <f>IF(OR(D183="",H183=""),"",(INDEX('G-6 Hedgerow Data'!$E$3:$I$15,MATCH(D183,'G-6 Hedgerow Data'!$B$3:$B$15,0),MATCH(H183,'G-6 Hedgerow Data'!$E$2:$I$2,0))))</f>
        <v/>
      </c>
      <c r="P183" s="195"/>
      <c r="Q183" s="195"/>
      <c r="R183" s="507" t="str">
        <f t="shared" si="13"/>
        <v/>
      </c>
      <c r="S183" s="521" t="str">
        <f t="shared" si="14"/>
        <v/>
      </c>
      <c r="T183" s="522" t="str">
        <f t="shared" si="12"/>
        <v/>
      </c>
      <c r="U183" s="537" t="str">
        <f>IF(D183="","",VLOOKUP(D183,'G-6 Hedgerow Data'!$B$3:$AG$15,31,FALSE))</f>
        <v/>
      </c>
      <c r="V183" s="520" t="str">
        <f t="shared" si="15"/>
        <v/>
      </c>
      <c r="W183" s="520" t="str">
        <f t="shared" si="16"/>
        <v/>
      </c>
      <c r="X183" s="524" t="str">
        <f>IF(F183="","",VLOOKUP(U183,'G-3 Multipliers'!$P$3:$Q$6,2,FALSE))</f>
        <v/>
      </c>
      <c r="Y183" s="529" t="str">
        <f t="shared" si="17"/>
        <v/>
      </c>
      <c r="Z183" s="149"/>
      <c r="AA183" s="150"/>
      <c r="AG183" s="31" t="str">
        <f>IFERROR(INDEX('G-6 Hedgerow Data'!$BJ$3:$BJ$15,MATCH(D183,'G-6 Hedgerow Data'!$B$3:$B$15,0)),"")</f>
        <v/>
      </c>
    </row>
    <row r="184" spans="2:33" ht="13.8" x14ac:dyDescent="0.25">
      <c r="B184" s="103">
        <v>173</v>
      </c>
      <c r="C184" s="268"/>
      <c r="D184" s="82"/>
      <c r="E184" s="203"/>
      <c r="F184" s="498" t="str">
        <f>IF(D184="","",VLOOKUP(D184,'G-6 Hedgerow Data'!$B$2:$AG$15,2,FALSE))</f>
        <v/>
      </c>
      <c r="G184" s="524" t="str">
        <f>IF(D184="","",VLOOKUP(D184,'G-6 Hedgerow Data'!$B$2:$AG$15,3,FALSE))</f>
        <v/>
      </c>
      <c r="H184" s="72"/>
      <c r="I184" s="499" t="str">
        <f>IFERROR(IF(AND(F184="V.Low",OR(H184="Good",H184="Moderate")),"Error ▲",VLOOKUP(H184,'G-1 All Habitats'!$Z$2:$AA$9,2,FALSE)),"")</f>
        <v/>
      </c>
      <c r="J184" s="146"/>
      <c r="K184" s="520" t="str">
        <f>IF(J184="","",IF(VLOOKUP(J184,'G-3 Multipliers'!$L$3:$N$6,2,FALSE)=0,"Spatial Data Missing",VLOOKUP(J184,'G-3 Multipliers'!$L$3:$N$6,2,FALSE)))</f>
        <v/>
      </c>
      <c r="L184" s="524" t="str">
        <f>IF(J184="","",IF(VLOOKUP(J184,'G-3 Multipliers'!$L$3:$N$6,3,FALSE)=0,"Spatial Data Missing",VLOOKUP(J184,'G-3 Multipliers'!$L$3:$N$6,3,FALSE)))</f>
        <v/>
      </c>
      <c r="M184" s="197"/>
      <c r="N184" s="499" t="str">
        <f>IF(M184="","",IF(VLOOKUP(M184,'G-3 Multipliers'!$S$3:$T$6,2,FALSE)=0,"Spatial Data Missing ⚠",VLOOKUP(M184,'G-3 Multipliers'!$S$3:$T$6,2,FALSE)))</f>
        <v/>
      </c>
      <c r="O184" s="498" t="str">
        <f>IF(OR(D184="",H184=""),"",(INDEX('G-6 Hedgerow Data'!$E$3:$I$15,MATCH(D184,'G-6 Hedgerow Data'!$B$3:$B$15,0),MATCH(H184,'G-6 Hedgerow Data'!$E$2:$I$2,0))))</f>
        <v/>
      </c>
      <c r="P184" s="195"/>
      <c r="Q184" s="195"/>
      <c r="R184" s="507" t="str">
        <f t="shared" si="13"/>
        <v/>
      </c>
      <c r="S184" s="521" t="str">
        <f t="shared" si="14"/>
        <v/>
      </c>
      <c r="T184" s="522" t="str">
        <f t="shared" si="12"/>
        <v/>
      </c>
      <c r="U184" s="537" t="str">
        <f>IF(D184="","",VLOOKUP(D184,'G-6 Hedgerow Data'!$B$3:$AG$15,31,FALSE))</f>
        <v/>
      </c>
      <c r="V184" s="520" t="str">
        <f t="shared" si="15"/>
        <v/>
      </c>
      <c r="W184" s="520" t="str">
        <f t="shared" si="16"/>
        <v/>
      </c>
      <c r="X184" s="524" t="str">
        <f>IF(F184="","",VLOOKUP(U184,'G-3 Multipliers'!$P$3:$Q$6,2,FALSE))</f>
        <v/>
      </c>
      <c r="Y184" s="529" t="str">
        <f t="shared" si="17"/>
        <v/>
      </c>
      <c r="Z184" s="149"/>
      <c r="AA184" s="150"/>
      <c r="AG184" s="31" t="str">
        <f>IFERROR(INDEX('G-6 Hedgerow Data'!$BJ$3:$BJ$15,MATCH(D184,'G-6 Hedgerow Data'!$B$3:$B$15,0)),"")</f>
        <v/>
      </c>
    </row>
    <row r="185" spans="2:33" ht="13.8" x14ac:dyDescent="0.25">
      <c r="B185" s="103">
        <v>174</v>
      </c>
      <c r="C185" s="268"/>
      <c r="D185" s="82"/>
      <c r="E185" s="203"/>
      <c r="F185" s="498" t="str">
        <f>IF(D185="","",VLOOKUP(D185,'G-6 Hedgerow Data'!$B$2:$AG$15,2,FALSE))</f>
        <v/>
      </c>
      <c r="G185" s="524" t="str">
        <f>IF(D185="","",VLOOKUP(D185,'G-6 Hedgerow Data'!$B$2:$AG$15,3,FALSE))</f>
        <v/>
      </c>
      <c r="H185" s="72"/>
      <c r="I185" s="499" t="str">
        <f>IFERROR(IF(AND(F185="V.Low",OR(H185="Good",H185="Moderate")),"Error ▲",VLOOKUP(H185,'G-1 All Habitats'!$Z$2:$AA$9,2,FALSE)),"")</f>
        <v/>
      </c>
      <c r="J185" s="146"/>
      <c r="K185" s="520" t="str">
        <f>IF(J185="","",IF(VLOOKUP(J185,'G-3 Multipliers'!$L$3:$N$6,2,FALSE)=0,"Spatial Data Missing",VLOOKUP(J185,'G-3 Multipliers'!$L$3:$N$6,2,FALSE)))</f>
        <v/>
      </c>
      <c r="L185" s="524" t="str">
        <f>IF(J185="","",IF(VLOOKUP(J185,'G-3 Multipliers'!$L$3:$N$6,3,FALSE)=0,"Spatial Data Missing",VLOOKUP(J185,'G-3 Multipliers'!$L$3:$N$6,3,FALSE)))</f>
        <v/>
      </c>
      <c r="M185" s="197"/>
      <c r="N185" s="499" t="str">
        <f>IF(M185="","",IF(VLOOKUP(M185,'G-3 Multipliers'!$S$3:$T$6,2,FALSE)=0,"Spatial Data Missing ⚠",VLOOKUP(M185,'G-3 Multipliers'!$S$3:$T$6,2,FALSE)))</f>
        <v/>
      </c>
      <c r="O185" s="498" t="str">
        <f>IF(OR(D185="",H185=""),"",(INDEX('G-6 Hedgerow Data'!$E$3:$I$15,MATCH(D185,'G-6 Hedgerow Data'!$B$3:$B$15,0),MATCH(H185,'G-6 Hedgerow Data'!$E$2:$I$2,0))))</f>
        <v/>
      </c>
      <c r="P185" s="195"/>
      <c r="Q185" s="195"/>
      <c r="R185" s="507" t="str">
        <f t="shared" si="13"/>
        <v/>
      </c>
      <c r="S185" s="521" t="str">
        <f t="shared" si="14"/>
        <v/>
      </c>
      <c r="T185" s="522" t="str">
        <f t="shared" si="12"/>
        <v/>
      </c>
      <c r="U185" s="537" t="str">
        <f>IF(D185="","",VLOOKUP(D185,'G-6 Hedgerow Data'!$B$3:$AG$15,31,FALSE))</f>
        <v/>
      </c>
      <c r="V185" s="520" t="str">
        <f t="shared" si="15"/>
        <v/>
      </c>
      <c r="W185" s="520" t="str">
        <f t="shared" si="16"/>
        <v/>
      </c>
      <c r="X185" s="524" t="str">
        <f>IF(F185="","",VLOOKUP(U185,'G-3 Multipliers'!$P$3:$Q$6,2,FALSE))</f>
        <v/>
      </c>
      <c r="Y185" s="529" t="str">
        <f t="shared" si="17"/>
        <v/>
      </c>
      <c r="Z185" s="149"/>
      <c r="AA185" s="150"/>
      <c r="AG185" s="31" t="str">
        <f>IFERROR(INDEX('G-6 Hedgerow Data'!$BJ$3:$BJ$15,MATCH(D185,'G-6 Hedgerow Data'!$B$3:$B$15,0)),"")</f>
        <v/>
      </c>
    </row>
    <row r="186" spans="2:33" ht="13.8" x14ac:dyDescent="0.25">
      <c r="B186" s="103">
        <v>175</v>
      </c>
      <c r="C186" s="268"/>
      <c r="D186" s="82"/>
      <c r="E186" s="203"/>
      <c r="F186" s="498" t="str">
        <f>IF(D186="","",VLOOKUP(D186,'G-6 Hedgerow Data'!$B$2:$AG$15,2,FALSE))</f>
        <v/>
      </c>
      <c r="G186" s="524" t="str">
        <f>IF(D186="","",VLOOKUP(D186,'G-6 Hedgerow Data'!$B$2:$AG$15,3,FALSE))</f>
        <v/>
      </c>
      <c r="H186" s="72"/>
      <c r="I186" s="499" t="str">
        <f>IFERROR(IF(AND(F186="V.Low",OR(H186="Good",H186="Moderate")),"Error ▲",VLOOKUP(H186,'G-1 All Habitats'!$Z$2:$AA$9,2,FALSE)),"")</f>
        <v/>
      </c>
      <c r="J186" s="146"/>
      <c r="K186" s="520" t="str">
        <f>IF(J186="","",IF(VLOOKUP(J186,'G-3 Multipliers'!$L$3:$N$6,2,FALSE)=0,"Spatial Data Missing",VLOOKUP(J186,'G-3 Multipliers'!$L$3:$N$6,2,FALSE)))</f>
        <v/>
      </c>
      <c r="L186" s="524" t="str">
        <f>IF(J186="","",IF(VLOOKUP(J186,'G-3 Multipliers'!$L$3:$N$6,3,FALSE)=0,"Spatial Data Missing",VLOOKUP(J186,'G-3 Multipliers'!$L$3:$N$6,3,FALSE)))</f>
        <v/>
      </c>
      <c r="M186" s="197"/>
      <c r="N186" s="499" t="str">
        <f>IF(M186="","",IF(VLOOKUP(M186,'G-3 Multipliers'!$S$3:$T$6,2,FALSE)=0,"Spatial Data Missing ⚠",VLOOKUP(M186,'G-3 Multipliers'!$S$3:$T$6,2,FALSE)))</f>
        <v/>
      </c>
      <c r="O186" s="498" t="str">
        <f>IF(OR(D186="",H186=""),"",(INDEX('G-6 Hedgerow Data'!$E$3:$I$15,MATCH(D186,'G-6 Hedgerow Data'!$B$3:$B$15,0),MATCH(H186,'G-6 Hedgerow Data'!$E$2:$I$2,0))))</f>
        <v/>
      </c>
      <c r="P186" s="195"/>
      <c r="Q186" s="195"/>
      <c r="R186" s="507" t="str">
        <f t="shared" si="13"/>
        <v/>
      </c>
      <c r="S186" s="521" t="str">
        <f t="shared" si="14"/>
        <v/>
      </c>
      <c r="T186" s="522" t="str">
        <f t="shared" si="12"/>
        <v/>
      </c>
      <c r="U186" s="537" t="str">
        <f>IF(D186="","",VLOOKUP(D186,'G-6 Hedgerow Data'!$B$3:$AG$15,31,FALSE))</f>
        <v/>
      </c>
      <c r="V186" s="520" t="str">
        <f t="shared" si="15"/>
        <v/>
      </c>
      <c r="W186" s="520" t="str">
        <f t="shared" si="16"/>
        <v/>
      </c>
      <c r="X186" s="524" t="str">
        <f>IF(F186="","",VLOOKUP(U186,'G-3 Multipliers'!$P$3:$Q$6,2,FALSE))</f>
        <v/>
      </c>
      <c r="Y186" s="529" t="str">
        <f t="shared" si="17"/>
        <v/>
      </c>
      <c r="Z186" s="149"/>
      <c r="AA186" s="150"/>
      <c r="AG186" s="31" t="str">
        <f>IFERROR(INDEX('G-6 Hedgerow Data'!$BJ$3:$BJ$15,MATCH(D186,'G-6 Hedgerow Data'!$B$3:$B$15,0)),"")</f>
        <v/>
      </c>
    </row>
    <row r="187" spans="2:33" ht="13.8" x14ac:dyDescent="0.25">
      <c r="B187" s="103">
        <v>176</v>
      </c>
      <c r="C187" s="268"/>
      <c r="D187" s="82"/>
      <c r="E187" s="203"/>
      <c r="F187" s="498" t="str">
        <f>IF(D187="","",VLOOKUP(D187,'G-6 Hedgerow Data'!$B$2:$AG$15,2,FALSE))</f>
        <v/>
      </c>
      <c r="G187" s="524" t="str">
        <f>IF(D187="","",VLOOKUP(D187,'G-6 Hedgerow Data'!$B$2:$AG$15,3,FALSE))</f>
        <v/>
      </c>
      <c r="H187" s="72"/>
      <c r="I187" s="499" t="str">
        <f>IFERROR(IF(AND(F187="V.Low",OR(H187="Good",H187="Moderate")),"Error ▲",VLOOKUP(H187,'G-1 All Habitats'!$Z$2:$AA$9,2,FALSE)),"")</f>
        <v/>
      </c>
      <c r="J187" s="146"/>
      <c r="K187" s="520" t="str">
        <f>IF(J187="","",IF(VLOOKUP(J187,'G-3 Multipliers'!$L$3:$N$6,2,FALSE)=0,"Spatial Data Missing",VLOOKUP(J187,'G-3 Multipliers'!$L$3:$N$6,2,FALSE)))</f>
        <v/>
      </c>
      <c r="L187" s="524" t="str">
        <f>IF(J187="","",IF(VLOOKUP(J187,'G-3 Multipliers'!$L$3:$N$6,3,FALSE)=0,"Spatial Data Missing",VLOOKUP(J187,'G-3 Multipliers'!$L$3:$N$6,3,FALSE)))</f>
        <v/>
      </c>
      <c r="M187" s="197"/>
      <c r="N187" s="499" t="str">
        <f>IF(M187="","",IF(VLOOKUP(M187,'G-3 Multipliers'!$S$3:$T$6,2,FALSE)=0,"Spatial Data Missing ⚠",VLOOKUP(M187,'G-3 Multipliers'!$S$3:$T$6,2,FALSE)))</f>
        <v/>
      </c>
      <c r="O187" s="498" t="str">
        <f>IF(OR(D187="",H187=""),"",(INDEX('G-6 Hedgerow Data'!$E$3:$I$15,MATCH(D187,'G-6 Hedgerow Data'!$B$3:$B$15,0),MATCH(H187,'G-6 Hedgerow Data'!$E$2:$I$2,0))))</f>
        <v/>
      </c>
      <c r="P187" s="195"/>
      <c r="Q187" s="195"/>
      <c r="R187" s="507" t="str">
        <f t="shared" si="13"/>
        <v/>
      </c>
      <c r="S187" s="521" t="str">
        <f t="shared" si="14"/>
        <v/>
      </c>
      <c r="T187" s="522" t="str">
        <f t="shared" si="12"/>
        <v/>
      </c>
      <c r="U187" s="537" t="str">
        <f>IF(D187="","",VLOOKUP(D187,'G-6 Hedgerow Data'!$B$3:$AG$15,31,FALSE))</f>
        <v/>
      </c>
      <c r="V187" s="520" t="str">
        <f t="shared" si="15"/>
        <v/>
      </c>
      <c r="W187" s="520" t="str">
        <f t="shared" si="16"/>
        <v/>
      </c>
      <c r="X187" s="524" t="str">
        <f>IF(F187="","",VLOOKUP(U187,'G-3 Multipliers'!$P$3:$Q$6,2,FALSE))</f>
        <v/>
      </c>
      <c r="Y187" s="529" t="str">
        <f t="shared" si="17"/>
        <v/>
      </c>
      <c r="Z187" s="149"/>
      <c r="AA187" s="150"/>
      <c r="AG187" s="31" t="str">
        <f>IFERROR(INDEX('G-6 Hedgerow Data'!$BJ$3:$BJ$15,MATCH(D187,'G-6 Hedgerow Data'!$B$3:$B$15,0)),"")</f>
        <v/>
      </c>
    </row>
    <row r="188" spans="2:33" ht="13.8" x14ac:dyDescent="0.25">
      <c r="B188" s="103">
        <v>177</v>
      </c>
      <c r="C188" s="268"/>
      <c r="D188" s="82"/>
      <c r="E188" s="203"/>
      <c r="F188" s="498" t="str">
        <f>IF(D188="","",VLOOKUP(D188,'G-6 Hedgerow Data'!$B$2:$AG$15,2,FALSE))</f>
        <v/>
      </c>
      <c r="G188" s="524" t="str">
        <f>IF(D188="","",VLOOKUP(D188,'G-6 Hedgerow Data'!$B$2:$AG$15,3,FALSE))</f>
        <v/>
      </c>
      <c r="H188" s="72"/>
      <c r="I188" s="499" t="str">
        <f>IFERROR(IF(AND(F188="V.Low",OR(H188="Good",H188="Moderate")),"Error ▲",VLOOKUP(H188,'G-1 All Habitats'!$Z$2:$AA$9,2,FALSE)),"")</f>
        <v/>
      </c>
      <c r="J188" s="146"/>
      <c r="K188" s="520" t="str">
        <f>IF(J188="","",IF(VLOOKUP(J188,'G-3 Multipliers'!$L$3:$N$6,2,FALSE)=0,"Spatial Data Missing",VLOOKUP(J188,'G-3 Multipliers'!$L$3:$N$6,2,FALSE)))</f>
        <v/>
      </c>
      <c r="L188" s="524" t="str">
        <f>IF(J188="","",IF(VLOOKUP(J188,'G-3 Multipliers'!$L$3:$N$6,3,FALSE)=0,"Spatial Data Missing",VLOOKUP(J188,'G-3 Multipliers'!$L$3:$N$6,3,FALSE)))</f>
        <v/>
      </c>
      <c r="M188" s="197"/>
      <c r="N188" s="499" t="str">
        <f>IF(M188="","",IF(VLOOKUP(M188,'G-3 Multipliers'!$S$3:$T$6,2,FALSE)=0,"Spatial Data Missing ⚠",VLOOKUP(M188,'G-3 Multipliers'!$S$3:$T$6,2,FALSE)))</f>
        <v/>
      </c>
      <c r="O188" s="498" t="str">
        <f>IF(OR(D188="",H188=""),"",(INDEX('G-6 Hedgerow Data'!$E$3:$I$15,MATCH(D188,'G-6 Hedgerow Data'!$B$3:$B$15,0),MATCH(H188,'G-6 Hedgerow Data'!$E$2:$I$2,0))))</f>
        <v/>
      </c>
      <c r="P188" s="195"/>
      <c r="Q188" s="195"/>
      <c r="R188" s="507" t="str">
        <f t="shared" si="13"/>
        <v/>
      </c>
      <c r="S188" s="521" t="str">
        <f t="shared" si="14"/>
        <v/>
      </c>
      <c r="T188" s="522" t="str">
        <f t="shared" si="12"/>
        <v/>
      </c>
      <c r="U188" s="537" t="str">
        <f>IF(D188="","",VLOOKUP(D188,'G-6 Hedgerow Data'!$B$3:$AG$15,31,FALSE))</f>
        <v/>
      </c>
      <c r="V188" s="520" t="str">
        <f t="shared" si="15"/>
        <v/>
      </c>
      <c r="W188" s="520" t="str">
        <f t="shared" si="16"/>
        <v/>
      </c>
      <c r="X188" s="524" t="str">
        <f>IF(F188="","",VLOOKUP(U188,'G-3 Multipliers'!$P$3:$Q$6,2,FALSE))</f>
        <v/>
      </c>
      <c r="Y188" s="529" t="str">
        <f t="shared" si="17"/>
        <v/>
      </c>
      <c r="Z188" s="149"/>
      <c r="AA188" s="150"/>
      <c r="AG188" s="31" t="str">
        <f>IFERROR(INDEX('G-6 Hedgerow Data'!$BJ$3:$BJ$15,MATCH(D188,'G-6 Hedgerow Data'!$B$3:$B$15,0)),"")</f>
        <v/>
      </c>
    </row>
    <row r="189" spans="2:33" ht="13.8" x14ac:dyDescent="0.25">
      <c r="B189" s="103">
        <v>178</v>
      </c>
      <c r="C189" s="268"/>
      <c r="D189" s="82"/>
      <c r="E189" s="203"/>
      <c r="F189" s="498" t="str">
        <f>IF(D189="","",VLOOKUP(D189,'G-6 Hedgerow Data'!$B$2:$AG$15,2,FALSE))</f>
        <v/>
      </c>
      <c r="G189" s="524" t="str">
        <f>IF(D189="","",VLOOKUP(D189,'G-6 Hedgerow Data'!$B$2:$AG$15,3,FALSE))</f>
        <v/>
      </c>
      <c r="H189" s="72"/>
      <c r="I189" s="499" t="str">
        <f>IFERROR(IF(AND(F189="V.Low",OR(H189="Good",H189="Moderate")),"Error ▲",VLOOKUP(H189,'G-1 All Habitats'!$Z$2:$AA$9,2,FALSE)),"")</f>
        <v/>
      </c>
      <c r="J189" s="146"/>
      <c r="K189" s="520" t="str">
        <f>IF(J189="","",IF(VLOOKUP(J189,'G-3 Multipliers'!$L$3:$N$6,2,FALSE)=0,"Spatial Data Missing",VLOOKUP(J189,'G-3 Multipliers'!$L$3:$N$6,2,FALSE)))</f>
        <v/>
      </c>
      <c r="L189" s="524" t="str">
        <f>IF(J189="","",IF(VLOOKUP(J189,'G-3 Multipliers'!$L$3:$N$6,3,FALSE)=0,"Spatial Data Missing",VLOOKUP(J189,'G-3 Multipliers'!$L$3:$N$6,3,FALSE)))</f>
        <v/>
      </c>
      <c r="M189" s="197"/>
      <c r="N189" s="499" t="str">
        <f>IF(M189="","",IF(VLOOKUP(M189,'G-3 Multipliers'!$S$3:$T$6,2,FALSE)=0,"Spatial Data Missing ⚠",VLOOKUP(M189,'G-3 Multipliers'!$S$3:$T$6,2,FALSE)))</f>
        <v/>
      </c>
      <c r="O189" s="498" t="str">
        <f>IF(OR(D189="",H189=""),"",(INDEX('G-6 Hedgerow Data'!$E$3:$I$15,MATCH(D189,'G-6 Hedgerow Data'!$B$3:$B$15,0),MATCH(H189,'G-6 Hedgerow Data'!$E$2:$I$2,0))))</f>
        <v/>
      </c>
      <c r="P189" s="195"/>
      <c r="Q189" s="195"/>
      <c r="R189" s="507" t="str">
        <f t="shared" si="13"/>
        <v/>
      </c>
      <c r="S189" s="521" t="str">
        <f t="shared" si="14"/>
        <v/>
      </c>
      <c r="T189" s="522" t="str">
        <f t="shared" si="12"/>
        <v/>
      </c>
      <c r="U189" s="537" t="str">
        <f>IF(D189="","",VLOOKUP(D189,'G-6 Hedgerow Data'!$B$3:$AG$15,31,FALSE))</f>
        <v/>
      </c>
      <c r="V189" s="520" t="str">
        <f t="shared" si="15"/>
        <v/>
      </c>
      <c r="W189" s="520" t="str">
        <f t="shared" si="16"/>
        <v/>
      </c>
      <c r="X189" s="524" t="str">
        <f>IF(F189="","",VLOOKUP(U189,'G-3 Multipliers'!$P$3:$Q$6,2,FALSE))</f>
        <v/>
      </c>
      <c r="Y189" s="529" t="str">
        <f t="shared" si="17"/>
        <v/>
      </c>
      <c r="Z189" s="149"/>
      <c r="AA189" s="150"/>
      <c r="AG189" s="31" t="str">
        <f>IFERROR(INDEX('G-6 Hedgerow Data'!$BJ$3:$BJ$15,MATCH(D189,'G-6 Hedgerow Data'!$B$3:$B$15,0)),"")</f>
        <v/>
      </c>
    </row>
    <row r="190" spans="2:33" ht="13.8" x14ac:dyDescent="0.25">
      <c r="B190" s="103">
        <v>179</v>
      </c>
      <c r="C190" s="268"/>
      <c r="D190" s="82"/>
      <c r="E190" s="203"/>
      <c r="F190" s="498" t="str">
        <f>IF(D190="","",VLOOKUP(D190,'G-6 Hedgerow Data'!$B$2:$AG$15,2,FALSE))</f>
        <v/>
      </c>
      <c r="G190" s="524" t="str">
        <f>IF(D190="","",VLOOKUP(D190,'G-6 Hedgerow Data'!$B$2:$AG$15,3,FALSE))</f>
        <v/>
      </c>
      <c r="H190" s="72"/>
      <c r="I190" s="499" t="str">
        <f>IFERROR(IF(AND(F190="V.Low",OR(H190="Good",H190="Moderate")),"Error ▲",VLOOKUP(H190,'G-1 All Habitats'!$Z$2:$AA$9,2,FALSE)),"")</f>
        <v/>
      </c>
      <c r="J190" s="146"/>
      <c r="K190" s="520" t="str">
        <f>IF(J190="","",IF(VLOOKUP(J190,'G-3 Multipliers'!$L$3:$N$6,2,FALSE)=0,"Spatial Data Missing",VLOOKUP(J190,'G-3 Multipliers'!$L$3:$N$6,2,FALSE)))</f>
        <v/>
      </c>
      <c r="L190" s="524" t="str">
        <f>IF(J190="","",IF(VLOOKUP(J190,'G-3 Multipliers'!$L$3:$N$6,3,FALSE)=0,"Spatial Data Missing",VLOOKUP(J190,'G-3 Multipliers'!$L$3:$N$6,3,FALSE)))</f>
        <v/>
      </c>
      <c r="M190" s="197"/>
      <c r="N190" s="499" t="str">
        <f>IF(M190="","",IF(VLOOKUP(M190,'G-3 Multipliers'!$S$3:$T$6,2,FALSE)=0,"Spatial Data Missing ⚠",VLOOKUP(M190,'G-3 Multipliers'!$S$3:$T$6,2,FALSE)))</f>
        <v/>
      </c>
      <c r="O190" s="498" t="str">
        <f>IF(OR(D190="",H190=""),"",(INDEX('G-6 Hedgerow Data'!$E$3:$I$15,MATCH(D190,'G-6 Hedgerow Data'!$B$3:$B$15,0),MATCH(H190,'G-6 Hedgerow Data'!$E$2:$I$2,0))))</f>
        <v/>
      </c>
      <c r="P190" s="195"/>
      <c r="Q190" s="195"/>
      <c r="R190" s="507" t="str">
        <f t="shared" si="13"/>
        <v/>
      </c>
      <c r="S190" s="521" t="str">
        <f t="shared" si="14"/>
        <v/>
      </c>
      <c r="T190" s="522" t="str">
        <f t="shared" si="12"/>
        <v/>
      </c>
      <c r="U190" s="537" t="str">
        <f>IF(D190="","",VLOOKUP(D190,'G-6 Hedgerow Data'!$B$3:$AG$15,31,FALSE))</f>
        <v/>
      </c>
      <c r="V190" s="520" t="str">
        <f t="shared" si="15"/>
        <v/>
      </c>
      <c r="W190" s="520" t="str">
        <f t="shared" si="16"/>
        <v/>
      </c>
      <c r="X190" s="524" t="str">
        <f>IF(F190="","",VLOOKUP(U190,'G-3 Multipliers'!$P$3:$Q$6,2,FALSE))</f>
        <v/>
      </c>
      <c r="Y190" s="529" t="str">
        <f t="shared" si="17"/>
        <v/>
      </c>
      <c r="Z190" s="149"/>
      <c r="AA190" s="150"/>
      <c r="AG190" s="31" t="str">
        <f>IFERROR(INDEX('G-6 Hedgerow Data'!$BJ$3:$BJ$15,MATCH(D190,'G-6 Hedgerow Data'!$B$3:$B$15,0)),"")</f>
        <v/>
      </c>
    </row>
    <row r="191" spans="2:33" ht="13.8" x14ac:dyDescent="0.25">
      <c r="B191" s="103">
        <v>180</v>
      </c>
      <c r="C191" s="268"/>
      <c r="D191" s="82"/>
      <c r="E191" s="203"/>
      <c r="F191" s="498" t="str">
        <f>IF(D191="","",VLOOKUP(D191,'G-6 Hedgerow Data'!$B$2:$AG$15,2,FALSE))</f>
        <v/>
      </c>
      <c r="G191" s="524" t="str">
        <f>IF(D191="","",VLOOKUP(D191,'G-6 Hedgerow Data'!$B$2:$AG$15,3,FALSE))</f>
        <v/>
      </c>
      <c r="H191" s="72"/>
      <c r="I191" s="499" t="str">
        <f>IFERROR(IF(AND(F191="V.Low",OR(H191="Good",H191="Moderate")),"Error ▲",VLOOKUP(H191,'G-1 All Habitats'!$Z$2:$AA$9,2,FALSE)),"")</f>
        <v/>
      </c>
      <c r="J191" s="146"/>
      <c r="K191" s="520" t="str">
        <f>IF(J191="","",IF(VLOOKUP(J191,'G-3 Multipliers'!$L$3:$N$6,2,FALSE)=0,"Spatial Data Missing",VLOOKUP(J191,'G-3 Multipliers'!$L$3:$N$6,2,FALSE)))</f>
        <v/>
      </c>
      <c r="L191" s="524" t="str">
        <f>IF(J191="","",IF(VLOOKUP(J191,'G-3 Multipliers'!$L$3:$N$6,3,FALSE)=0,"Spatial Data Missing",VLOOKUP(J191,'G-3 Multipliers'!$L$3:$N$6,3,FALSE)))</f>
        <v/>
      </c>
      <c r="M191" s="197"/>
      <c r="N191" s="499" t="str">
        <f>IF(M191="","",IF(VLOOKUP(M191,'G-3 Multipliers'!$S$3:$T$6,2,FALSE)=0,"Spatial Data Missing ⚠",VLOOKUP(M191,'G-3 Multipliers'!$S$3:$T$6,2,FALSE)))</f>
        <v/>
      </c>
      <c r="O191" s="498" t="str">
        <f>IF(OR(D191="",H191=""),"",(INDEX('G-6 Hedgerow Data'!$E$3:$I$15,MATCH(D191,'G-6 Hedgerow Data'!$B$3:$B$15,0),MATCH(H191,'G-6 Hedgerow Data'!$E$2:$I$2,0))))</f>
        <v/>
      </c>
      <c r="P191" s="195"/>
      <c r="Q191" s="195"/>
      <c r="R191" s="507" t="str">
        <f t="shared" si="13"/>
        <v/>
      </c>
      <c r="S191" s="521" t="str">
        <f t="shared" si="14"/>
        <v/>
      </c>
      <c r="T191" s="522" t="str">
        <f t="shared" si="12"/>
        <v/>
      </c>
      <c r="U191" s="537" t="str">
        <f>IF(D191="","",VLOOKUP(D191,'G-6 Hedgerow Data'!$B$3:$AG$15,31,FALSE))</f>
        <v/>
      </c>
      <c r="V191" s="520" t="str">
        <f t="shared" si="15"/>
        <v/>
      </c>
      <c r="W191" s="520" t="str">
        <f t="shared" si="16"/>
        <v/>
      </c>
      <c r="X191" s="524" t="str">
        <f>IF(F191="","",VLOOKUP(U191,'G-3 Multipliers'!$P$3:$Q$6,2,FALSE))</f>
        <v/>
      </c>
      <c r="Y191" s="529" t="str">
        <f t="shared" si="17"/>
        <v/>
      </c>
      <c r="Z191" s="149"/>
      <c r="AA191" s="150"/>
      <c r="AG191" s="31" t="str">
        <f>IFERROR(INDEX('G-6 Hedgerow Data'!$BJ$3:$BJ$15,MATCH(D191,'G-6 Hedgerow Data'!$B$3:$B$15,0)),"")</f>
        <v/>
      </c>
    </row>
    <row r="192" spans="2:33" ht="13.8" x14ac:dyDescent="0.25">
      <c r="B192" s="103">
        <v>181</v>
      </c>
      <c r="C192" s="268"/>
      <c r="D192" s="82"/>
      <c r="E192" s="203"/>
      <c r="F192" s="498" t="str">
        <f>IF(D192="","",VLOOKUP(D192,'G-6 Hedgerow Data'!$B$2:$AG$15,2,FALSE))</f>
        <v/>
      </c>
      <c r="G192" s="524" t="str">
        <f>IF(D192="","",VLOOKUP(D192,'G-6 Hedgerow Data'!$B$2:$AG$15,3,FALSE))</f>
        <v/>
      </c>
      <c r="H192" s="72"/>
      <c r="I192" s="499" t="str">
        <f>IFERROR(IF(AND(F192="V.Low",OR(H192="Good",H192="Moderate")),"Error ▲",VLOOKUP(H192,'G-1 All Habitats'!$Z$2:$AA$9,2,FALSE)),"")</f>
        <v/>
      </c>
      <c r="J192" s="146"/>
      <c r="K192" s="520" t="str">
        <f>IF(J192="","",IF(VLOOKUP(J192,'G-3 Multipliers'!$L$3:$N$6,2,FALSE)=0,"Spatial Data Missing",VLOOKUP(J192,'G-3 Multipliers'!$L$3:$N$6,2,FALSE)))</f>
        <v/>
      </c>
      <c r="L192" s="524" t="str">
        <f>IF(J192="","",IF(VLOOKUP(J192,'G-3 Multipliers'!$L$3:$N$6,3,FALSE)=0,"Spatial Data Missing",VLOOKUP(J192,'G-3 Multipliers'!$L$3:$N$6,3,FALSE)))</f>
        <v/>
      </c>
      <c r="M192" s="197"/>
      <c r="N192" s="499" t="str">
        <f>IF(M192="","",IF(VLOOKUP(M192,'G-3 Multipliers'!$S$3:$T$6,2,FALSE)=0,"Spatial Data Missing ⚠",VLOOKUP(M192,'G-3 Multipliers'!$S$3:$T$6,2,FALSE)))</f>
        <v/>
      </c>
      <c r="O192" s="498" t="str">
        <f>IF(OR(D192="",H192=""),"",(INDEX('G-6 Hedgerow Data'!$E$3:$I$15,MATCH(D192,'G-6 Hedgerow Data'!$B$3:$B$15,0),MATCH(H192,'G-6 Hedgerow Data'!$E$2:$I$2,0))))</f>
        <v/>
      </c>
      <c r="P192" s="195"/>
      <c r="Q192" s="195"/>
      <c r="R192" s="507" t="str">
        <f t="shared" si="13"/>
        <v/>
      </c>
      <c r="S192" s="521" t="str">
        <f t="shared" si="14"/>
        <v/>
      </c>
      <c r="T192" s="522" t="str">
        <f t="shared" si="12"/>
        <v/>
      </c>
      <c r="U192" s="537" t="str">
        <f>IF(D192="","",VLOOKUP(D192,'G-6 Hedgerow Data'!$B$3:$AG$15,31,FALSE))</f>
        <v/>
      </c>
      <c r="V192" s="520" t="str">
        <f t="shared" si="15"/>
        <v/>
      </c>
      <c r="W192" s="520" t="str">
        <f t="shared" si="16"/>
        <v/>
      </c>
      <c r="X192" s="524" t="str">
        <f>IF(F192="","",VLOOKUP(U192,'G-3 Multipliers'!$P$3:$Q$6,2,FALSE))</f>
        <v/>
      </c>
      <c r="Y192" s="529" t="str">
        <f t="shared" si="17"/>
        <v/>
      </c>
      <c r="Z192" s="149"/>
      <c r="AA192" s="150"/>
      <c r="AG192" s="31" t="str">
        <f>IFERROR(INDEX('G-6 Hedgerow Data'!$BJ$3:$BJ$15,MATCH(D192,'G-6 Hedgerow Data'!$B$3:$B$15,0)),"")</f>
        <v/>
      </c>
    </row>
    <row r="193" spans="2:33" ht="13.8" x14ac:dyDescent="0.25">
      <c r="B193" s="103">
        <v>182</v>
      </c>
      <c r="C193" s="268"/>
      <c r="D193" s="82"/>
      <c r="E193" s="203"/>
      <c r="F193" s="498" t="str">
        <f>IF(D193="","",VLOOKUP(D193,'G-6 Hedgerow Data'!$B$2:$AG$15,2,FALSE))</f>
        <v/>
      </c>
      <c r="G193" s="524" t="str">
        <f>IF(D193="","",VLOOKUP(D193,'G-6 Hedgerow Data'!$B$2:$AG$15,3,FALSE))</f>
        <v/>
      </c>
      <c r="H193" s="72"/>
      <c r="I193" s="499" t="str">
        <f>IFERROR(IF(AND(F193="V.Low",OR(H193="Good",H193="Moderate")),"Error ▲",VLOOKUP(H193,'G-1 All Habitats'!$Z$2:$AA$9,2,FALSE)),"")</f>
        <v/>
      </c>
      <c r="J193" s="146"/>
      <c r="K193" s="520" t="str">
        <f>IF(J193="","",IF(VLOOKUP(J193,'G-3 Multipliers'!$L$3:$N$6,2,FALSE)=0,"Spatial Data Missing",VLOOKUP(J193,'G-3 Multipliers'!$L$3:$N$6,2,FALSE)))</f>
        <v/>
      </c>
      <c r="L193" s="524" t="str">
        <f>IF(J193="","",IF(VLOOKUP(J193,'G-3 Multipliers'!$L$3:$N$6,3,FALSE)=0,"Spatial Data Missing",VLOOKUP(J193,'G-3 Multipliers'!$L$3:$N$6,3,FALSE)))</f>
        <v/>
      </c>
      <c r="M193" s="197"/>
      <c r="N193" s="499" t="str">
        <f>IF(M193="","",IF(VLOOKUP(M193,'G-3 Multipliers'!$S$3:$T$6,2,FALSE)=0,"Spatial Data Missing ⚠",VLOOKUP(M193,'G-3 Multipliers'!$S$3:$T$6,2,FALSE)))</f>
        <v/>
      </c>
      <c r="O193" s="498" t="str">
        <f>IF(OR(D193="",H193=""),"",(INDEX('G-6 Hedgerow Data'!$E$3:$I$15,MATCH(D193,'G-6 Hedgerow Data'!$B$3:$B$15,0),MATCH(H193,'G-6 Hedgerow Data'!$E$2:$I$2,0))))</f>
        <v/>
      </c>
      <c r="P193" s="195"/>
      <c r="Q193" s="195"/>
      <c r="R193" s="507" t="str">
        <f t="shared" si="13"/>
        <v/>
      </c>
      <c r="S193" s="521" t="str">
        <f t="shared" si="14"/>
        <v/>
      </c>
      <c r="T193" s="522" t="str">
        <f t="shared" si="12"/>
        <v/>
      </c>
      <c r="U193" s="537" t="str">
        <f>IF(D193="","",VLOOKUP(D193,'G-6 Hedgerow Data'!$B$3:$AG$15,31,FALSE))</f>
        <v/>
      </c>
      <c r="V193" s="520" t="str">
        <f t="shared" si="15"/>
        <v/>
      </c>
      <c r="W193" s="520" t="str">
        <f t="shared" si="16"/>
        <v/>
      </c>
      <c r="X193" s="524" t="str">
        <f>IF(F193="","",VLOOKUP(U193,'G-3 Multipliers'!$P$3:$Q$6,2,FALSE))</f>
        <v/>
      </c>
      <c r="Y193" s="529" t="str">
        <f t="shared" si="17"/>
        <v/>
      </c>
      <c r="Z193" s="149"/>
      <c r="AA193" s="150"/>
      <c r="AG193" s="31" t="str">
        <f>IFERROR(INDEX('G-6 Hedgerow Data'!$BJ$3:$BJ$15,MATCH(D193,'G-6 Hedgerow Data'!$B$3:$B$15,0)),"")</f>
        <v/>
      </c>
    </row>
    <row r="194" spans="2:33" ht="13.8" x14ac:dyDescent="0.25">
      <c r="B194" s="103">
        <v>183</v>
      </c>
      <c r="C194" s="268"/>
      <c r="D194" s="82"/>
      <c r="E194" s="203"/>
      <c r="F194" s="498" t="str">
        <f>IF(D194="","",VLOOKUP(D194,'G-6 Hedgerow Data'!$B$2:$AG$15,2,FALSE))</f>
        <v/>
      </c>
      <c r="G194" s="524" t="str">
        <f>IF(D194="","",VLOOKUP(D194,'G-6 Hedgerow Data'!$B$2:$AG$15,3,FALSE))</f>
        <v/>
      </c>
      <c r="H194" s="72"/>
      <c r="I194" s="499" t="str">
        <f>IFERROR(IF(AND(F194="V.Low",OR(H194="Good",H194="Moderate")),"Error ▲",VLOOKUP(H194,'G-1 All Habitats'!$Z$2:$AA$9,2,FALSE)),"")</f>
        <v/>
      </c>
      <c r="J194" s="146"/>
      <c r="K194" s="520" t="str">
        <f>IF(J194="","",IF(VLOOKUP(J194,'G-3 Multipliers'!$L$3:$N$6,2,FALSE)=0,"Spatial Data Missing",VLOOKUP(J194,'G-3 Multipliers'!$L$3:$N$6,2,FALSE)))</f>
        <v/>
      </c>
      <c r="L194" s="524" t="str">
        <f>IF(J194="","",IF(VLOOKUP(J194,'G-3 Multipliers'!$L$3:$N$6,3,FALSE)=0,"Spatial Data Missing",VLOOKUP(J194,'G-3 Multipliers'!$L$3:$N$6,3,FALSE)))</f>
        <v/>
      </c>
      <c r="M194" s="197"/>
      <c r="N194" s="499" t="str">
        <f>IF(M194="","",IF(VLOOKUP(M194,'G-3 Multipliers'!$S$3:$T$6,2,FALSE)=0,"Spatial Data Missing ⚠",VLOOKUP(M194,'G-3 Multipliers'!$S$3:$T$6,2,FALSE)))</f>
        <v/>
      </c>
      <c r="O194" s="498" t="str">
        <f>IF(OR(D194="",H194=""),"",(INDEX('G-6 Hedgerow Data'!$E$3:$I$15,MATCH(D194,'G-6 Hedgerow Data'!$B$3:$B$15,0),MATCH(H194,'G-6 Hedgerow Data'!$E$2:$I$2,0))))</f>
        <v/>
      </c>
      <c r="P194" s="195"/>
      <c r="Q194" s="195"/>
      <c r="R194" s="507" t="str">
        <f t="shared" si="13"/>
        <v/>
      </c>
      <c r="S194" s="521" t="str">
        <f t="shared" si="14"/>
        <v/>
      </c>
      <c r="T194" s="522" t="str">
        <f t="shared" si="12"/>
        <v/>
      </c>
      <c r="U194" s="537" t="str">
        <f>IF(D194="","",VLOOKUP(D194,'G-6 Hedgerow Data'!$B$3:$AG$15,31,FALSE))</f>
        <v/>
      </c>
      <c r="V194" s="520" t="str">
        <f t="shared" si="15"/>
        <v/>
      </c>
      <c r="W194" s="520" t="str">
        <f t="shared" si="16"/>
        <v/>
      </c>
      <c r="X194" s="524" t="str">
        <f>IF(F194="","",VLOOKUP(U194,'G-3 Multipliers'!$P$3:$Q$6,2,FALSE))</f>
        <v/>
      </c>
      <c r="Y194" s="529" t="str">
        <f t="shared" si="17"/>
        <v/>
      </c>
      <c r="Z194" s="149"/>
      <c r="AA194" s="150"/>
      <c r="AG194" s="31" t="str">
        <f>IFERROR(INDEX('G-6 Hedgerow Data'!$BJ$3:$BJ$15,MATCH(D194,'G-6 Hedgerow Data'!$B$3:$B$15,0)),"")</f>
        <v/>
      </c>
    </row>
    <row r="195" spans="2:33" ht="13.8" x14ac:dyDescent="0.25">
      <c r="B195" s="103">
        <v>184</v>
      </c>
      <c r="C195" s="268"/>
      <c r="D195" s="82"/>
      <c r="E195" s="203"/>
      <c r="F195" s="498" t="str">
        <f>IF(D195="","",VLOOKUP(D195,'G-6 Hedgerow Data'!$B$2:$AG$15,2,FALSE))</f>
        <v/>
      </c>
      <c r="G195" s="524" t="str">
        <f>IF(D195="","",VLOOKUP(D195,'G-6 Hedgerow Data'!$B$2:$AG$15,3,FALSE))</f>
        <v/>
      </c>
      <c r="H195" s="72"/>
      <c r="I195" s="499" t="str">
        <f>IFERROR(IF(AND(F195="V.Low",OR(H195="Good",H195="Moderate")),"Error ▲",VLOOKUP(H195,'G-1 All Habitats'!$Z$2:$AA$9,2,FALSE)),"")</f>
        <v/>
      </c>
      <c r="J195" s="146"/>
      <c r="K195" s="520" t="str">
        <f>IF(J195="","",IF(VLOOKUP(J195,'G-3 Multipliers'!$L$3:$N$6,2,FALSE)=0,"Spatial Data Missing",VLOOKUP(J195,'G-3 Multipliers'!$L$3:$N$6,2,FALSE)))</f>
        <v/>
      </c>
      <c r="L195" s="524" t="str">
        <f>IF(J195="","",IF(VLOOKUP(J195,'G-3 Multipliers'!$L$3:$N$6,3,FALSE)=0,"Spatial Data Missing",VLOOKUP(J195,'G-3 Multipliers'!$L$3:$N$6,3,FALSE)))</f>
        <v/>
      </c>
      <c r="M195" s="197"/>
      <c r="N195" s="499" t="str">
        <f>IF(M195="","",IF(VLOOKUP(M195,'G-3 Multipliers'!$S$3:$T$6,2,FALSE)=0,"Spatial Data Missing ⚠",VLOOKUP(M195,'G-3 Multipliers'!$S$3:$T$6,2,FALSE)))</f>
        <v/>
      </c>
      <c r="O195" s="498" t="str">
        <f>IF(OR(D195="",H195=""),"",(INDEX('G-6 Hedgerow Data'!$E$3:$I$15,MATCH(D195,'G-6 Hedgerow Data'!$B$3:$B$15,0),MATCH(H195,'G-6 Hedgerow Data'!$E$2:$I$2,0))))</f>
        <v/>
      </c>
      <c r="P195" s="195"/>
      <c r="Q195" s="195"/>
      <c r="R195" s="507" t="str">
        <f t="shared" si="13"/>
        <v/>
      </c>
      <c r="S195" s="521" t="str">
        <f t="shared" si="14"/>
        <v/>
      </c>
      <c r="T195" s="522" t="str">
        <f t="shared" si="12"/>
        <v/>
      </c>
      <c r="U195" s="537" t="str">
        <f>IF(D195="","",VLOOKUP(D195,'G-6 Hedgerow Data'!$B$3:$AG$15,31,FALSE))</f>
        <v/>
      </c>
      <c r="V195" s="520" t="str">
        <f t="shared" si="15"/>
        <v/>
      </c>
      <c r="W195" s="520" t="str">
        <f t="shared" si="16"/>
        <v/>
      </c>
      <c r="X195" s="524" t="str">
        <f>IF(F195="","",VLOOKUP(U195,'G-3 Multipliers'!$P$3:$Q$6,2,FALSE))</f>
        <v/>
      </c>
      <c r="Y195" s="529" t="str">
        <f t="shared" si="17"/>
        <v/>
      </c>
      <c r="Z195" s="149"/>
      <c r="AA195" s="150"/>
      <c r="AG195" s="31" t="str">
        <f>IFERROR(INDEX('G-6 Hedgerow Data'!$BJ$3:$BJ$15,MATCH(D195,'G-6 Hedgerow Data'!$B$3:$B$15,0)),"")</f>
        <v/>
      </c>
    </row>
    <row r="196" spans="2:33" ht="13.8" x14ac:dyDescent="0.25">
      <c r="B196" s="103">
        <v>185</v>
      </c>
      <c r="C196" s="268"/>
      <c r="D196" s="82"/>
      <c r="E196" s="203"/>
      <c r="F196" s="498" t="str">
        <f>IF(D196="","",VLOOKUP(D196,'G-6 Hedgerow Data'!$B$2:$AG$15,2,FALSE))</f>
        <v/>
      </c>
      <c r="G196" s="524" t="str">
        <f>IF(D196="","",VLOOKUP(D196,'G-6 Hedgerow Data'!$B$2:$AG$15,3,FALSE))</f>
        <v/>
      </c>
      <c r="H196" s="72"/>
      <c r="I196" s="499" t="str">
        <f>IFERROR(IF(AND(F196="V.Low",OR(H196="Good",H196="Moderate")),"Error ▲",VLOOKUP(H196,'G-1 All Habitats'!$Z$2:$AA$9,2,FALSE)),"")</f>
        <v/>
      </c>
      <c r="J196" s="146"/>
      <c r="K196" s="520" t="str">
        <f>IF(J196="","",IF(VLOOKUP(J196,'G-3 Multipliers'!$L$3:$N$6,2,FALSE)=0,"Spatial Data Missing",VLOOKUP(J196,'G-3 Multipliers'!$L$3:$N$6,2,FALSE)))</f>
        <v/>
      </c>
      <c r="L196" s="524" t="str">
        <f>IF(J196="","",IF(VLOOKUP(J196,'G-3 Multipliers'!$L$3:$N$6,3,FALSE)=0,"Spatial Data Missing",VLOOKUP(J196,'G-3 Multipliers'!$L$3:$N$6,3,FALSE)))</f>
        <v/>
      </c>
      <c r="M196" s="197"/>
      <c r="N196" s="499" t="str">
        <f>IF(M196="","",IF(VLOOKUP(M196,'G-3 Multipliers'!$S$3:$T$6,2,FALSE)=0,"Spatial Data Missing ⚠",VLOOKUP(M196,'G-3 Multipliers'!$S$3:$T$6,2,FALSE)))</f>
        <v/>
      </c>
      <c r="O196" s="498" t="str">
        <f>IF(OR(D196="",H196=""),"",(INDEX('G-6 Hedgerow Data'!$E$3:$I$15,MATCH(D196,'G-6 Hedgerow Data'!$B$3:$B$15,0),MATCH(H196,'G-6 Hedgerow Data'!$E$2:$I$2,0))))</f>
        <v/>
      </c>
      <c r="P196" s="195"/>
      <c r="Q196" s="195"/>
      <c r="R196" s="507" t="str">
        <f t="shared" si="13"/>
        <v/>
      </c>
      <c r="S196" s="521" t="str">
        <f t="shared" si="14"/>
        <v/>
      </c>
      <c r="T196" s="522" t="str">
        <f t="shared" si="12"/>
        <v/>
      </c>
      <c r="U196" s="537" t="str">
        <f>IF(D196="","",VLOOKUP(D196,'G-6 Hedgerow Data'!$B$3:$AG$15,31,FALSE))</f>
        <v/>
      </c>
      <c r="V196" s="520" t="str">
        <f t="shared" si="15"/>
        <v/>
      </c>
      <c r="W196" s="520" t="str">
        <f t="shared" si="16"/>
        <v/>
      </c>
      <c r="X196" s="524" t="str">
        <f>IF(F196="","",VLOOKUP(U196,'G-3 Multipliers'!$P$3:$Q$6,2,FALSE))</f>
        <v/>
      </c>
      <c r="Y196" s="529" t="str">
        <f t="shared" si="17"/>
        <v/>
      </c>
      <c r="Z196" s="149"/>
      <c r="AA196" s="150"/>
      <c r="AG196" s="31" t="str">
        <f>IFERROR(INDEX('G-6 Hedgerow Data'!$BJ$3:$BJ$15,MATCH(D196,'G-6 Hedgerow Data'!$B$3:$B$15,0)),"")</f>
        <v/>
      </c>
    </row>
    <row r="197" spans="2:33" ht="13.8" x14ac:dyDescent="0.25">
      <c r="B197" s="103">
        <v>186</v>
      </c>
      <c r="C197" s="268"/>
      <c r="D197" s="82"/>
      <c r="E197" s="203"/>
      <c r="F197" s="498" t="str">
        <f>IF(D197="","",VLOOKUP(D197,'G-6 Hedgerow Data'!$B$2:$AG$15,2,FALSE))</f>
        <v/>
      </c>
      <c r="G197" s="524" t="str">
        <f>IF(D197="","",VLOOKUP(D197,'G-6 Hedgerow Data'!$B$2:$AG$15,3,FALSE))</f>
        <v/>
      </c>
      <c r="H197" s="72"/>
      <c r="I197" s="499" t="str">
        <f>IFERROR(IF(AND(F197="V.Low",OR(H197="Good",H197="Moderate")),"Error ▲",VLOOKUP(H197,'G-1 All Habitats'!$Z$2:$AA$9,2,FALSE)),"")</f>
        <v/>
      </c>
      <c r="J197" s="146"/>
      <c r="K197" s="520" t="str">
        <f>IF(J197="","",IF(VLOOKUP(J197,'G-3 Multipliers'!$L$3:$N$6,2,FALSE)=0,"Spatial Data Missing",VLOOKUP(J197,'G-3 Multipliers'!$L$3:$N$6,2,FALSE)))</f>
        <v/>
      </c>
      <c r="L197" s="524" t="str">
        <f>IF(J197="","",IF(VLOOKUP(J197,'G-3 Multipliers'!$L$3:$N$6,3,FALSE)=0,"Spatial Data Missing",VLOOKUP(J197,'G-3 Multipliers'!$L$3:$N$6,3,FALSE)))</f>
        <v/>
      </c>
      <c r="M197" s="197"/>
      <c r="N197" s="499" t="str">
        <f>IF(M197="","",IF(VLOOKUP(M197,'G-3 Multipliers'!$S$3:$T$6,2,FALSE)=0,"Spatial Data Missing ⚠",VLOOKUP(M197,'G-3 Multipliers'!$S$3:$T$6,2,FALSE)))</f>
        <v/>
      </c>
      <c r="O197" s="498" t="str">
        <f>IF(OR(D197="",H197=""),"",(INDEX('G-6 Hedgerow Data'!$E$3:$I$15,MATCH(D197,'G-6 Hedgerow Data'!$B$3:$B$15,0),MATCH(H197,'G-6 Hedgerow Data'!$E$2:$I$2,0))))</f>
        <v/>
      </c>
      <c r="P197" s="195"/>
      <c r="Q197" s="195"/>
      <c r="R197" s="507" t="str">
        <f t="shared" si="13"/>
        <v/>
      </c>
      <c r="S197" s="521" t="str">
        <f t="shared" si="14"/>
        <v/>
      </c>
      <c r="T197" s="522" t="str">
        <f t="shared" si="12"/>
        <v/>
      </c>
      <c r="U197" s="537" t="str">
        <f>IF(D197="","",VLOOKUP(D197,'G-6 Hedgerow Data'!$B$3:$AG$15,31,FALSE))</f>
        <v/>
      </c>
      <c r="V197" s="520" t="str">
        <f t="shared" si="15"/>
        <v/>
      </c>
      <c r="W197" s="520" t="str">
        <f t="shared" si="16"/>
        <v/>
      </c>
      <c r="X197" s="524" t="str">
        <f>IF(F197="","",VLOOKUP(U197,'G-3 Multipliers'!$P$3:$Q$6,2,FALSE))</f>
        <v/>
      </c>
      <c r="Y197" s="529" t="str">
        <f t="shared" si="17"/>
        <v/>
      </c>
      <c r="Z197" s="149"/>
      <c r="AA197" s="150"/>
      <c r="AG197" s="31" t="str">
        <f>IFERROR(INDEX('G-6 Hedgerow Data'!$BJ$3:$BJ$15,MATCH(D197,'G-6 Hedgerow Data'!$B$3:$B$15,0)),"")</f>
        <v/>
      </c>
    </row>
    <row r="198" spans="2:33" ht="13.8" x14ac:dyDescent="0.25">
      <c r="B198" s="103">
        <v>187</v>
      </c>
      <c r="C198" s="268"/>
      <c r="D198" s="82"/>
      <c r="E198" s="203"/>
      <c r="F198" s="498" t="str">
        <f>IF(D198="","",VLOOKUP(D198,'G-6 Hedgerow Data'!$B$2:$AG$15,2,FALSE))</f>
        <v/>
      </c>
      <c r="G198" s="524" t="str">
        <f>IF(D198="","",VLOOKUP(D198,'G-6 Hedgerow Data'!$B$2:$AG$15,3,FALSE))</f>
        <v/>
      </c>
      <c r="H198" s="72"/>
      <c r="I198" s="499" t="str">
        <f>IFERROR(IF(AND(F198="V.Low",OR(H198="Good",H198="Moderate")),"Error ▲",VLOOKUP(H198,'G-1 All Habitats'!$Z$2:$AA$9,2,FALSE)),"")</f>
        <v/>
      </c>
      <c r="J198" s="146"/>
      <c r="K198" s="520" t="str">
        <f>IF(J198="","",IF(VLOOKUP(J198,'G-3 Multipliers'!$L$3:$N$6,2,FALSE)=0,"Spatial Data Missing",VLOOKUP(J198,'G-3 Multipliers'!$L$3:$N$6,2,FALSE)))</f>
        <v/>
      </c>
      <c r="L198" s="524" t="str">
        <f>IF(J198="","",IF(VLOOKUP(J198,'G-3 Multipliers'!$L$3:$N$6,3,FALSE)=0,"Spatial Data Missing",VLOOKUP(J198,'G-3 Multipliers'!$L$3:$N$6,3,FALSE)))</f>
        <v/>
      </c>
      <c r="M198" s="197"/>
      <c r="N198" s="499" t="str">
        <f>IF(M198="","",IF(VLOOKUP(M198,'G-3 Multipliers'!$S$3:$T$6,2,FALSE)=0,"Spatial Data Missing ⚠",VLOOKUP(M198,'G-3 Multipliers'!$S$3:$T$6,2,FALSE)))</f>
        <v/>
      </c>
      <c r="O198" s="498" t="str">
        <f>IF(OR(D198="",H198=""),"",(INDEX('G-6 Hedgerow Data'!$E$3:$I$15,MATCH(D198,'G-6 Hedgerow Data'!$B$3:$B$15,0),MATCH(H198,'G-6 Hedgerow Data'!$E$2:$I$2,0))))</f>
        <v/>
      </c>
      <c r="P198" s="195"/>
      <c r="Q198" s="195"/>
      <c r="R198" s="507" t="str">
        <f t="shared" si="13"/>
        <v/>
      </c>
      <c r="S198" s="521" t="str">
        <f t="shared" si="14"/>
        <v/>
      </c>
      <c r="T198" s="522" t="str">
        <f t="shared" si="12"/>
        <v/>
      </c>
      <c r="U198" s="537" t="str">
        <f>IF(D198="","",VLOOKUP(D198,'G-6 Hedgerow Data'!$B$3:$AG$15,31,FALSE))</f>
        <v/>
      </c>
      <c r="V198" s="520" t="str">
        <f t="shared" si="15"/>
        <v/>
      </c>
      <c r="W198" s="520" t="str">
        <f t="shared" si="16"/>
        <v/>
      </c>
      <c r="X198" s="524" t="str">
        <f>IF(F198="","",VLOOKUP(U198,'G-3 Multipliers'!$P$3:$Q$6,2,FALSE))</f>
        <v/>
      </c>
      <c r="Y198" s="529" t="str">
        <f t="shared" si="17"/>
        <v/>
      </c>
      <c r="Z198" s="149"/>
      <c r="AA198" s="150"/>
      <c r="AG198" s="31" t="str">
        <f>IFERROR(INDEX('G-6 Hedgerow Data'!$BJ$3:$BJ$15,MATCH(D198,'G-6 Hedgerow Data'!$B$3:$B$15,0)),"")</f>
        <v/>
      </c>
    </row>
    <row r="199" spans="2:33" ht="13.8" x14ac:dyDescent="0.25">
      <c r="B199" s="103">
        <v>188</v>
      </c>
      <c r="C199" s="268"/>
      <c r="D199" s="82"/>
      <c r="E199" s="203"/>
      <c r="F199" s="498" t="str">
        <f>IF(D199="","",VLOOKUP(D199,'G-6 Hedgerow Data'!$B$2:$AG$15,2,FALSE))</f>
        <v/>
      </c>
      <c r="G199" s="524" t="str">
        <f>IF(D199="","",VLOOKUP(D199,'G-6 Hedgerow Data'!$B$2:$AG$15,3,FALSE))</f>
        <v/>
      </c>
      <c r="H199" s="72"/>
      <c r="I199" s="499" t="str">
        <f>IFERROR(IF(AND(F199="V.Low",OR(H199="Good",H199="Moderate")),"Error ▲",VLOOKUP(H199,'G-1 All Habitats'!$Z$2:$AA$9,2,FALSE)),"")</f>
        <v/>
      </c>
      <c r="J199" s="146"/>
      <c r="K199" s="520" t="str">
        <f>IF(J199="","",IF(VLOOKUP(J199,'G-3 Multipliers'!$L$3:$N$6,2,FALSE)=0,"Spatial Data Missing",VLOOKUP(J199,'G-3 Multipliers'!$L$3:$N$6,2,FALSE)))</f>
        <v/>
      </c>
      <c r="L199" s="524" t="str">
        <f>IF(J199="","",IF(VLOOKUP(J199,'G-3 Multipliers'!$L$3:$N$6,3,FALSE)=0,"Spatial Data Missing",VLOOKUP(J199,'G-3 Multipliers'!$L$3:$N$6,3,FALSE)))</f>
        <v/>
      </c>
      <c r="M199" s="197"/>
      <c r="N199" s="499" t="str">
        <f>IF(M199="","",IF(VLOOKUP(M199,'G-3 Multipliers'!$S$3:$T$6,2,FALSE)=0,"Spatial Data Missing ⚠",VLOOKUP(M199,'G-3 Multipliers'!$S$3:$T$6,2,FALSE)))</f>
        <v/>
      </c>
      <c r="O199" s="498" t="str">
        <f>IF(OR(D199="",H199=""),"",(INDEX('G-6 Hedgerow Data'!$E$3:$I$15,MATCH(D199,'G-6 Hedgerow Data'!$B$3:$B$15,0),MATCH(H199,'G-6 Hedgerow Data'!$E$2:$I$2,0))))</f>
        <v/>
      </c>
      <c r="P199" s="195"/>
      <c r="Q199" s="195"/>
      <c r="R199" s="507" t="str">
        <f t="shared" si="13"/>
        <v/>
      </c>
      <c r="S199" s="521" t="str">
        <f t="shared" si="14"/>
        <v/>
      </c>
      <c r="T199" s="522" t="str">
        <f t="shared" si="12"/>
        <v/>
      </c>
      <c r="U199" s="537" t="str">
        <f>IF(D199="","",VLOOKUP(D199,'G-6 Hedgerow Data'!$B$3:$AG$15,31,FALSE))</f>
        <v/>
      </c>
      <c r="V199" s="520" t="str">
        <f t="shared" si="15"/>
        <v/>
      </c>
      <c r="W199" s="520" t="str">
        <f t="shared" si="16"/>
        <v/>
      </c>
      <c r="X199" s="524" t="str">
        <f>IF(F199="","",VLOOKUP(U199,'G-3 Multipliers'!$P$3:$Q$6,2,FALSE))</f>
        <v/>
      </c>
      <c r="Y199" s="529" t="str">
        <f t="shared" si="17"/>
        <v/>
      </c>
      <c r="Z199" s="149"/>
      <c r="AA199" s="150"/>
      <c r="AG199" s="31" t="str">
        <f>IFERROR(INDEX('G-6 Hedgerow Data'!$BJ$3:$BJ$15,MATCH(D199,'G-6 Hedgerow Data'!$B$3:$B$15,0)),"")</f>
        <v/>
      </c>
    </row>
    <row r="200" spans="2:33" ht="13.8" x14ac:dyDescent="0.25">
      <c r="B200" s="103">
        <v>189</v>
      </c>
      <c r="C200" s="268"/>
      <c r="D200" s="82"/>
      <c r="E200" s="203"/>
      <c r="F200" s="498" t="str">
        <f>IF(D200="","",VLOOKUP(D200,'G-6 Hedgerow Data'!$B$2:$AG$15,2,FALSE))</f>
        <v/>
      </c>
      <c r="G200" s="524" t="str">
        <f>IF(D200="","",VLOOKUP(D200,'G-6 Hedgerow Data'!$B$2:$AG$15,3,FALSE))</f>
        <v/>
      </c>
      <c r="H200" s="72"/>
      <c r="I200" s="499" t="str">
        <f>IFERROR(IF(AND(F200="V.Low",OR(H200="Good",H200="Moderate")),"Error ▲",VLOOKUP(H200,'G-1 All Habitats'!$Z$2:$AA$9,2,FALSE)),"")</f>
        <v/>
      </c>
      <c r="J200" s="146"/>
      <c r="K200" s="520" t="str">
        <f>IF(J200="","",IF(VLOOKUP(J200,'G-3 Multipliers'!$L$3:$N$6,2,FALSE)=0,"Spatial Data Missing",VLOOKUP(J200,'G-3 Multipliers'!$L$3:$N$6,2,FALSE)))</f>
        <v/>
      </c>
      <c r="L200" s="524" t="str">
        <f>IF(J200="","",IF(VLOOKUP(J200,'G-3 Multipliers'!$L$3:$N$6,3,FALSE)=0,"Spatial Data Missing",VLOOKUP(J200,'G-3 Multipliers'!$L$3:$N$6,3,FALSE)))</f>
        <v/>
      </c>
      <c r="M200" s="197"/>
      <c r="N200" s="499" t="str">
        <f>IF(M200="","",IF(VLOOKUP(M200,'G-3 Multipliers'!$S$3:$T$6,2,FALSE)=0,"Spatial Data Missing ⚠",VLOOKUP(M200,'G-3 Multipliers'!$S$3:$T$6,2,FALSE)))</f>
        <v/>
      </c>
      <c r="O200" s="498" t="str">
        <f>IF(OR(D200="",H200=""),"",(INDEX('G-6 Hedgerow Data'!$E$3:$I$15,MATCH(D200,'G-6 Hedgerow Data'!$B$3:$B$15,0),MATCH(H200,'G-6 Hedgerow Data'!$E$2:$I$2,0))))</f>
        <v/>
      </c>
      <c r="P200" s="195"/>
      <c r="Q200" s="195"/>
      <c r="R200" s="507" t="str">
        <f t="shared" si="13"/>
        <v/>
      </c>
      <c r="S200" s="521" t="str">
        <f t="shared" si="14"/>
        <v/>
      </c>
      <c r="T200" s="522" t="str">
        <f t="shared" si="12"/>
        <v/>
      </c>
      <c r="U200" s="537" t="str">
        <f>IF(D200="","",VLOOKUP(D200,'G-6 Hedgerow Data'!$B$3:$AG$15,31,FALSE))</f>
        <v/>
      </c>
      <c r="V200" s="520" t="str">
        <f t="shared" si="15"/>
        <v/>
      </c>
      <c r="W200" s="520" t="str">
        <f t="shared" si="16"/>
        <v/>
      </c>
      <c r="X200" s="524" t="str">
        <f>IF(F200="","",VLOOKUP(U200,'G-3 Multipliers'!$P$3:$Q$6,2,FALSE))</f>
        <v/>
      </c>
      <c r="Y200" s="529" t="str">
        <f t="shared" si="17"/>
        <v/>
      </c>
      <c r="Z200" s="149"/>
      <c r="AA200" s="150"/>
      <c r="AG200" s="31" t="str">
        <f>IFERROR(INDEX('G-6 Hedgerow Data'!$BJ$3:$BJ$15,MATCH(D200,'G-6 Hedgerow Data'!$B$3:$B$15,0)),"")</f>
        <v/>
      </c>
    </row>
    <row r="201" spans="2:33" ht="13.8" x14ac:dyDescent="0.25">
      <c r="B201" s="103">
        <v>190</v>
      </c>
      <c r="C201" s="268"/>
      <c r="D201" s="82"/>
      <c r="E201" s="203"/>
      <c r="F201" s="498" t="str">
        <f>IF(D201="","",VLOOKUP(D201,'G-6 Hedgerow Data'!$B$2:$AG$15,2,FALSE))</f>
        <v/>
      </c>
      <c r="G201" s="524" t="str">
        <f>IF(D201="","",VLOOKUP(D201,'G-6 Hedgerow Data'!$B$2:$AG$15,3,FALSE))</f>
        <v/>
      </c>
      <c r="H201" s="72"/>
      <c r="I201" s="499" t="str">
        <f>IFERROR(IF(AND(F201="V.Low",OR(H201="Good",H201="Moderate")),"Error ▲",VLOOKUP(H201,'G-1 All Habitats'!$Z$2:$AA$9,2,FALSE)),"")</f>
        <v/>
      </c>
      <c r="J201" s="146"/>
      <c r="K201" s="520" t="str">
        <f>IF(J201="","",IF(VLOOKUP(J201,'G-3 Multipliers'!$L$3:$N$6,2,FALSE)=0,"Spatial Data Missing",VLOOKUP(J201,'G-3 Multipliers'!$L$3:$N$6,2,FALSE)))</f>
        <v/>
      </c>
      <c r="L201" s="524" t="str">
        <f>IF(J201="","",IF(VLOOKUP(J201,'G-3 Multipliers'!$L$3:$N$6,3,FALSE)=0,"Spatial Data Missing",VLOOKUP(J201,'G-3 Multipliers'!$L$3:$N$6,3,FALSE)))</f>
        <v/>
      </c>
      <c r="M201" s="197"/>
      <c r="N201" s="499" t="str">
        <f>IF(M201="","",IF(VLOOKUP(M201,'G-3 Multipliers'!$S$3:$T$6,2,FALSE)=0,"Spatial Data Missing ⚠",VLOOKUP(M201,'G-3 Multipliers'!$S$3:$T$6,2,FALSE)))</f>
        <v/>
      </c>
      <c r="O201" s="498" t="str">
        <f>IF(OR(D201="",H201=""),"",(INDEX('G-6 Hedgerow Data'!$E$3:$I$15,MATCH(D201,'G-6 Hedgerow Data'!$B$3:$B$15,0),MATCH(H201,'G-6 Hedgerow Data'!$E$2:$I$2,0))))</f>
        <v/>
      </c>
      <c r="P201" s="195"/>
      <c r="Q201" s="195"/>
      <c r="R201" s="507" t="str">
        <f t="shared" si="13"/>
        <v/>
      </c>
      <c r="S201" s="521" t="str">
        <f t="shared" si="14"/>
        <v/>
      </c>
      <c r="T201" s="522" t="str">
        <f t="shared" si="12"/>
        <v/>
      </c>
      <c r="U201" s="537" t="str">
        <f>IF(D201="","",VLOOKUP(D201,'G-6 Hedgerow Data'!$B$3:$AG$15,31,FALSE))</f>
        <v/>
      </c>
      <c r="V201" s="520" t="str">
        <f t="shared" si="15"/>
        <v/>
      </c>
      <c r="W201" s="520" t="str">
        <f t="shared" si="16"/>
        <v/>
      </c>
      <c r="X201" s="524" t="str">
        <f>IF(F201="","",VLOOKUP(U201,'G-3 Multipliers'!$P$3:$Q$6,2,FALSE))</f>
        <v/>
      </c>
      <c r="Y201" s="529" t="str">
        <f t="shared" si="17"/>
        <v/>
      </c>
      <c r="Z201" s="149"/>
      <c r="AA201" s="150"/>
      <c r="AG201" s="31" t="str">
        <f>IFERROR(INDEX('G-6 Hedgerow Data'!$BJ$3:$BJ$15,MATCH(D201,'G-6 Hedgerow Data'!$B$3:$B$15,0)),"")</f>
        <v/>
      </c>
    </row>
    <row r="202" spans="2:33" ht="13.8" x14ac:dyDescent="0.25">
      <c r="B202" s="103">
        <v>191</v>
      </c>
      <c r="C202" s="268"/>
      <c r="D202" s="82"/>
      <c r="E202" s="203"/>
      <c r="F202" s="498" t="str">
        <f>IF(D202="","",VLOOKUP(D202,'G-6 Hedgerow Data'!$B$2:$AG$15,2,FALSE))</f>
        <v/>
      </c>
      <c r="G202" s="524" t="str">
        <f>IF(D202="","",VLOOKUP(D202,'G-6 Hedgerow Data'!$B$2:$AG$15,3,FALSE))</f>
        <v/>
      </c>
      <c r="H202" s="72"/>
      <c r="I202" s="499" t="str">
        <f>IFERROR(IF(AND(F202="V.Low",OR(H202="Good",H202="Moderate")),"Error ▲",VLOOKUP(H202,'G-1 All Habitats'!$Z$2:$AA$9,2,FALSE)),"")</f>
        <v/>
      </c>
      <c r="J202" s="146"/>
      <c r="K202" s="520" t="str">
        <f>IF(J202="","",IF(VLOOKUP(J202,'G-3 Multipliers'!$L$3:$N$6,2,FALSE)=0,"Spatial Data Missing",VLOOKUP(J202,'G-3 Multipliers'!$L$3:$N$6,2,FALSE)))</f>
        <v/>
      </c>
      <c r="L202" s="524" t="str">
        <f>IF(J202="","",IF(VLOOKUP(J202,'G-3 Multipliers'!$L$3:$N$6,3,FALSE)=0,"Spatial Data Missing",VLOOKUP(J202,'G-3 Multipliers'!$L$3:$N$6,3,FALSE)))</f>
        <v/>
      </c>
      <c r="M202" s="197"/>
      <c r="N202" s="499" t="str">
        <f>IF(M202="","",IF(VLOOKUP(M202,'G-3 Multipliers'!$S$3:$T$6,2,FALSE)=0,"Spatial Data Missing ⚠",VLOOKUP(M202,'G-3 Multipliers'!$S$3:$T$6,2,FALSE)))</f>
        <v/>
      </c>
      <c r="O202" s="498" t="str">
        <f>IF(OR(D202="",H202=""),"",(INDEX('G-6 Hedgerow Data'!$E$3:$I$15,MATCH(D202,'G-6 Hedgerow Data'!$B$3:$B$15,0),MATCH(H202,'G-6 Hedgerow Data'!$E$2:$I$2,0))))</f>
        <v/>
      </c>
      <c r="P202" s="195"/>
      <c r="Q202" s="195"/>
      <c r="R202" s="507" t="str">
        <f t="shared" si="13"/>
        <v/>
      </c>
      <c r="S202" s="521" t="str">
        <f t="shared" si="14"/>
        <v/>
      </c>
      <c r="T202" s="522" t="str">
        <f t="shared" si="12"/>
        <v/>
      </c>
      <c r="U202" s="537" t="str">
        <f>IF(D202="","",VLOOKUP(D202,'G-6 Hedgerow Data'!$B$3:$AG$15,31,FALSE))</f>
        <v/>
      </c>
      <c r="V202" s="520" t="str">
        <f t="shared" si="15"/>
        <v/>
      </c>
      <c r="W202" s="520" t="str">
        <f t="shared" si="16"/>
        <v/>
      </c>
      <c r="X202" s="524" t="str">
        <f>IF(F202="","",VLOOKUP(U202,'G-3 Multipliers'!$P$3:$Q$6,2,FALSE))</f>
        <v/>
      </c>
      <c r="Y202" s="529" t="str">
        <f t="shared" si="17"/>
        <v/>
      </c>
      <c r="Z202" s="149"/>
      <c r="AA202" s="150"/>
      <c r="AG202" s="31" t="str">
        <f>IFERROR(INDEX('G-6 Hedgerow Data'!$BJ$3:$BJ$15,MATCH(D202,'G-6 Hedgerow Data'!$B$3:$B$15,0)),"")</f>
        <v/>
      </c>
    </row>
    <row r="203" spans="2:33" ht="13.8" x14ac:dyDescent="0.25">
      <c r="B203" s="103">
        <v>192</v>
      </c>
      <c r="C203" s="268"/>
      <c r="D203" s="82"/>
      <c r="E203" s="203"/>
      <c r="F203" s="498" t="str">
        <f>IF(D203="","",VLOOKUP(D203,'G-6 Hedgerow Data'!$B$2:$AG$15,2,FALSE))</f>
        <v/>
      </c>
      <c r="G203" s="524" t="str">
        <f>IF(D203="","",VLOOKUP(D203,'G-6 Hedgerow Data'!$B$2:$AG$15,3,FALSE))</f>
        <v/>
      </c>
      <c r="H203" s="72"/>
      <c r="I203" s="499" t="str">
        <f>IFERROR(IF(AND(F203="V.Low",OR(H203="Good",H203="Moderate")),"Error ▲",VLOOKUP(H203,'G-1 All Habitats'!$Z$2:$AA$9,2,FALSE)),"")</f>
        <v/>
      </c>
      <c r="J203" s="146"/>
      <c r="K203" s="520" t="str">
        <f>IF(J203="","",IF(VLOOKUP(J203,'G-3 Multipliers'!$L$3:$N$6,2,FALSE)=0,"Spatial Data Missing",VLOOKUP(J203,'G-3 Multipliers'!$L$3:$N$6,2,FALSE)))</f>
        <v/>
      </c>
      <c r="L203" s="524" t="str">
        <f>IF(J203="","",IF(VLOOKUP(J203,'G-3 Multipliers'!$L$3:$N$6,3,FALSE)=0,"Spatial Data Missing",VLOOKUP(J203,'G-3 Multipliers'!$L$3:$N$6,3,FALSE)))</f>
        <v/>
      </c>
      <c r="M203" s="197"/>
      <c r="N203" s="499" t="str">
        <f>IF(M203="","",IF(VLOOKUP(M203,'G-3 Multipliers'!$S$3:$T$6,2,FALSE)=0,"Spatial Data Missing ⚠",VLOOKUP(M203,'G-3 Multipliers'!$S$3:$T$6,2,FALSE)))</f>
        <v/>
      </c>
      <c r="O203" s="498" t="str">
        <f>IF(OR(D203="",H203=""),"",(INDEX('G-6 Hedgerow Data'!$E$3:$I$15,MATCH(D203,'G-6 Hedgerow Data'!$B$3:$B$15,0),MATCH(H203,'G-6 Hedgerow Data'!$E$2:$I$2,0))))</f>
        <v/>
      </c>
      <c r="P203" s="195"/>
      <c r="Q203" s="195"/>
      <c r="R203" s="507" t="str">
        <f t="shared" si="13"/>
        <v/>
      </c>
      <c r="S203" s="521" t="str">
        <f t="shared" si="14"/>
        <v/>
      </c>
      <c r="T203" s="522" t="str">
        <f t="shared" si="12"/>
        <v/>
      </c>
      <c r="U203" s="537" t="str">
        <f>IF(D203="","",VLOOKUP(D203,'G-6 Hedgerow Data'!$B$3:$AG$15,31,FALSE))</f>
        <v/>
      </c>
      <c r="V203" s="520" t="str">
        <f t="shared" si="15"/>
        <v/>
      </c>
      <c r="W203" s="520" t="str">
        <f t="shared" si="16"/>
        <v/>
      </c>
      <c r="X203" s="524" t="str">
        <f>IF(F203="","",VLOOKUP(U203,'G-3 Multipliers'!$P$3:$Q$6,2,FALSE))</f>
        <v/>
      </c>
      <c r="Y203" s="529" t="str">
        <f t="shared" si="17"/>
        <v/>
      </c>
      <c r="Z203" s="149"/>
      <c r="AA203" s="150"/>
      <c r="AG203" s="31" t="str">
        <f>IFERROR(INDEX('G-6 Hedgerow Data'!$BJ$3:$BJ$15,MATCH(D203,'G-6 Hedgerow Data'!$B$3:$B$15,0)),"")</f>
        <v/>
      </c>
    </row>
    <row r="204" spans="2:33" ht="13.8" x14ac:dyDescent="0.25">
      <c r="B204" s="103">
        <v>193</v>
      </c>
      <c r="C204" s="268"/>
      <c r="D204" s="82"/>
      <c r="E204" s="203"/>
      <c r="F204" s="498" t="str">
        <f>IF(D204="","",VLOOKUP(D204,'G-6 Hedgerow Data'!$B$2:$AG$15,2,FALSE))</f>
        <v/>
      </c>
      <c r="G204" s="524" t="str">
        <f>IF(D204="","",VLOOKUP(D204,'G-6 Hedgerow Data'!$B$2:$AG$15,3,FALSE))</f>
        <v/>
      </c>
      <c r="H204" s="72"/>
      <c r="I204" s="499" t="str">
        <f>IFERROR(IF(AND(F204="V.Low",OR(H204="Good",H204="Moderate")),"Error ▲",VLOOKUP(H204,'G-1 All Habitats'!$Z$2:$AA$9,2,FALSE)),"")</f>
        <v/>
      </c>
      <c r="J204" s="146"/>
      <c r="K204" s="520" t="str">
        <f>IF(J204="","",IF(VLOOKUP(J204,'G-3 Multipliers'!$L$3:$N$6,2,FALSE)=0,"Spatial Data Missing",VLOOKUP(J204,'G-3 Multipliers'!$L$3:$N$6,2,FALSE)))</f>
        <v/>
      </c>
      <c r="L204" s="524" t="str">
        <f>IF(J204="","",IF(VLOOKUP(J204,'G-3 Multipliers'!$L$3:$N$6,3,FALSE)=0,"Spatial Data Missing",VLOOKUP(J204,'G-3 Multipliers'!$L$3:$N$6,3,FALSE)))</f>
        <v/>
      </c>
      <c r="M204" s="197"/>
      <c r="N204" s="499" t="str">
        <f>IF(M204="","",IF(VLOOKUP(M204,'G-3 Multipliers'!$S$3:$T$6,2,FALSE)=0,"Spatial Data Missing ⚠",VLOOKUP(M204,'G-3 Multipliers'!$S$3:$T$6,2,FALSE)))</f>
        <v/>
      </c>
      <c r="O204" s="498" t="str">
        <f>IF(OR(D204="",H204=""),"",(INDEX('G-6 Hedgerow Data'!$E$3:$I$15,MATCH(D204,'G-6 Hedgerow Data'!$B$3:$B$15,0),MATCH(H204,'G-6 Hedgerow Data'!$E$2:$I$2,0))))</f>
        <v/>
      </c>
      <c r="P204" s="195"/>
      <c r="Q204" s="195"/>
      <c r="R204" s="507" t="str">
        <f t="shared" si="13"/>
        <v/>
      </c>
      <c r="S204" s="521" t="str">
        <f t="shared" si="14"/>
        <v/>
      </c>
      <c r="T204" s="522" t="str">
        <f t="shared" ref="T204:T259" si="18">IF(D204="","",IF(LEFT(R204,5)="Error ▲","Check Data ⚠",VLOOKUP(S204,TemporalMultipliers,3,FALSE)))</f>
        <v/>
      </c>
      <c r="U204" s="537" t="str">
        <f>IF(D204="","",VLOOKUP(D204,'G-6 Hedgerow Data'!$B$3:$AG$15,31,FALSE))</f>
        <v/>
      </c>
      <c r="V204" s="520" t="str">
        <f t="shared" si="15"/>
        <v/>
      </c>
      <c r="W204" s="520" t="str">
        <f t="shared" si="16"/>
        <v/>
      </c>
      <c r="X204" s="524" t="str">
        <f>IF(F204="","",VLOOKUP(U204,'G-3 Multipliers'!$P$3:$Q$6,2,FALSE))</f>
        <v/>
      </c>
      <c r="Y204" s="529" t="str">
        <f t="shared" si="17"/>
        <v/>
      </c>
      <c r="Z204" s="149"/>
      <c r="AA204" s="150"/>
      <c r="AG204" s="31" t="str">
        <f>IFERROR(INDEX('G-6 Hedgerow Data'!$BJ$3:$BJ$15,MATCH(D204,'G-6 Hedgerow Data'!$B$3:$B$15,0)),"")</f>
        <v/>
      </c>
    </row>
    <row r="205" spans="2:33" ht="13.8" x14ac:dyDescent="0.25">
      <c r="B205" s="103">
        <v>194</v>
      </c>
      <c r="C205" s="268"/>
      <c r="D205" s="82"/>
      <c r="E205" s="203"/>
      <c r="F205" s="498" t="str">
        <f>IF(D205="","",VLOOKUP(D205,'G-6 Hedgerow Data'!$B$2:$AG$15,2,FALSE))</f>
        <v/>
      </c>
      <c r="G205" s="524" t="str">
        <f>IF(D205="","",VLOOKUP(D205,'G-6 Hedgerow Data'!$B$2:$AG$15,3,FALSE))</f>
        <v/>
      </c>
      <c r="H205" s="72"/>
      <c r="I205" s="499" t="str">
        <f>IFERROR(IF(AND(F205="V.Low",OR(H205="Good",H205="Moderate")),"Error ▲",VLOOKUP(H205,'G-1 All Habitats'!$Z$2:$AA$9,2,FALSE)),"")</f>
        <v/>
      </c>
      <c r="J205" s="146"/>
      <c r="K205" s="520" t="str">
        <f>IF(J205="","",IF(VLOOKUP(J205,'G-3 Multipliers'!$L$3:$N$6,2,FALSE)=0,"Spatial Data Missing",VLOOKUP(J205,'G-3 Multipliers'!$L$3:$N$6,2,FALSE)))</f>
        <v/>
      </c>
      <c r="L205" s="524" t="str">
        <f>IF(J205="","",IF(VLOOKUP(J205,'G-3 Multipliers'!$L$3:$N$6,3,FALSE)=0,"Spatial Data Missing",VLOOKUP(J205,'G-3 Multipliers'!$L$3:$N$6,3,FALSE)))</f>
        <v/>
      </c>
      <c r="M205" s="197"/>
      <c r="N205" s="499" t="str">
        <f>IF(M205="","",IF(VLOOKUP(M205,'G-3 Multipliers'!$S$3:$T$6,2,FALSE)=0,"Spatial Data Missing ⚠",VLOOKUP(M205,'G-3 Multipliers'!$S$3:$T$6,2,FALSE)))</f>
        <v/>
      </c>
      <c r="O205" s="498" t="str">
        <f>IF(OR(D205="",H205=""),"",(INDEX('G-6 Hedgerow Data'!$E$3:$I$15,MATCH(D205,'G-6 Hedgerow Data'!$B$3:$B$15,0),MATCH(H205,'G-6 Hedgerow Data'!$E$2:$I$2,0))))</f>
        <v/>
      </c>
      <c r="P205" s="195"/>
      <c r="Q205" s="195"/>
      <c r="R205" s="507" t="str">
        <f t="shared" ref="R205:R259" si="19">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1" t="str">
        <f t="shared" ref="S205:S259" si="20">IF(O205="","",IF(LEFT(R205,5)="Error ▲","Check Data ⚠",IF(OR(P205="30+",P205="Habitat already in target condition"),0,IF(Q205="30+","30+",IF(AND(O205="30+",OR(P205="",P205=0)),"30+ ⚠",IF(AND(O205="30+",P205&gt;0),32-P205,IF(O205+Q205&gt;30,"30+ ⚠",IF(O205+Q205-P205&gt;0,O205+Q205-P205,IF(O205-P205&lt;0,0,O205+Q205-P205)))))))))</f>
        <v/>
      </c>
      <c r="T205" s="522" t="str">
        <f t="shared" si="18"/>
        <v/>
      </c>
      <c r="U205" s="537" t="str">
        <f>IF(D205="","",VLOOKUP(D205,'G-6 Hedgerow Data'!$B$3:$AG$15,31,FALSE))</f>
        <v/>
      </c>
      <c r="V205" s="520" t="str">
        <f t="shared" ref="V205:V259" si="21">IF(D205="","",IF(S205="Check Data ⚠","Check Data ⚠",IF(H205="","",IF($R205="Check details - Is there evidence that habitat has reached target condition? ⚠","Low Difficulty - only applicable if all habitat created before losses","Standard difficulty applied"))))</f>
        <v/>
      </c>
      <c r="W205" s="520" t="str">
        <f t="shared" ref="W205:W259" si="22">(IF(AND(V205="Standard difficulty applied",O205&gt;P205),U205,IF(AND(V205="Low Difficulty - only applicable if all habitat created before losses",P205&gt;=O205),"Low",U205)))</f>
        <v/>
      </c>
      <c r="X205" s="524" t="str">
        <f>IF(F205="","",VLOOKUP(U205,'G-3 Multipliers'!$P$3:$Q$6,2,FALSE))</f>
        <v/>
      </c>
      <c r="Y205" s="529" t="str">
        <f t="shared" ref="Y205:Y259" si="23">IFERROR(E205*G205*I205*L205*T205*X205*N205,"")</f>
        <v/>
      </c>
      <c r="Z205" s="149"/>
      <c r="AA205" s="150"/>
      <c r="AG205" s="31" t="str">
        <f>IFERROR(INDEX('G-6 Hedgerow Data'!$BJ$3:$BJ$15,MATCH(D205,'G-6 Hedgerow Data'!$B$3:$B$15,0)),"")</f>
        <v/>
      </c>
    </row>
    <row r="206" spans="2:33" ht="13.8" x14ac:dyDescent="0.25">
      <c r="B206" s="103">
        <v>195</v>
      </c>
      <c r="C206" s="268"/>
      <c r="D206" s="82"/>
      <c r="E206" s="203"/>
      <c r="F206" s="498" t="str">
        <f>IF(D206="","",VLOOKUP(D206,'G-6 Hedgerow Data'!$B$2:$AG$15,2,FALSE))</f>
        <v/>
      </c>
      <c r="G206" s="524" t="str">
        <f>IF(D206="","",VLOOKUP(D206,'G-6 Hedgerow Data'!$B$2:$AG$15,3,FALSE))</f>
        <v/>
      </c>
      <c r="H206" s="72"/>
      <c r="I206" s="499" t="str">
        <f>IFERROR(IF(AND(F206="V.Low",OR(H206="Good",H206="Moderate")),"Error ▲",VLOOKUP(H206,'G-1 All Habitats'!$Z$2:$AA$9,2,FALSE)),"")</f>
        <v/>
      </c>
      <c r="J206" s="146"/>
      <c r="K206" s="520" t="str">
        <f>IF(J206="","",IF(VLOOKUP(J206,'G-3 Multipliers'!$L$3:$N$6,2,FALSE)=0,"Spatial Data Missing",VLOOKUP(J206,'G-3 Multipliers'!$L$3:$N$6,2,FALSE)))</f>
        <v/>
      </c>
      <c r="L206" s="524" t="str">
        <f>IF(J206="","",IF(VLOOKUP(J206,'G-3 Multipliers'!$L$3:$N$6,3,FALSE)=0,"Spatial Data Missing",VLOOKUP(J206,'G-3 Multipliers'!$L$3:$N$6,3,FALSE)))</f>
        <v/>
      </c>
      <c r="M206" s="197"/>
      <c r="N206" s="499" t="str">
        <f>IF(M206="","",IF(VLOOKUP(M206,'G-3 Multipliers'!$S$3:$T$6,2,FALSE)=0,"Spatial Data Missing ⚠",VLOOKUP(M206,'G-3 Multipliers'!$S$3:$T$6,2,FALSE)))</f>
        <v/>
      </c>
      <c r="O206" s="498" t="str">
        <f>IF(OR(D206="",H206=""),"",(INDEX('G-6 Hedgerow Data'!$E$3:$I$15,MATCH(D206,'G-6 Hedgerow Data'!$B$3:$B$15,0),MATCH(H206,'G-6 Hedgerow Data'!$E$2:$I$2,0))))</f>
        <v/>
      </c>
      <c r="P206" s="195"/>
      <c r="Q206" s="195"/>
      <c r="R206" s="507" t="str">
        <f t="shared" si="19"/>
        <v/>
      </c>
      <c r="S206" s="521" t="str">
        <f t="shared" si="20"/>
        <v/>
      </c>
      <c r="T206" s="522" t="str">
        <f t="shared" si="18"/>
        <v/>
      </c>
      <c r="U206" s="537" t="str">
        <f>IF(D206="","",VLOOKUP(D206,'G-6 Hedgerow Data'!$B$3:$AG$15,31,FALSE))</f>
        <v/>
      </c>
      <c r="V206" s="520" t="str">
        <f t="shared" si="21"/>
        <v/>
      </c>
      <c r="W206" s="520" t="str">
        <f t="shared" si="22"/>
        <v/>
      </c>
      <c r="X206" s="524" t="str">
        <f>IF(F206="","",VLOOKUP(U206,'G-3 Multipliers'!$P$3:$Q$6,2,FALSE))</f>
        <v/>
      </c>
      <c r="Y206" s="529" t="str">
        <f t="shared" si="23"/>
        <v/>
      </c>
      <c r="Z206" s="149"/>
      <c r="AA206" s="150"/>
      <c r="AG206" s="31" t="str">
        <f>IFERROR(INDEX('G-6 Hedgerow Data'!$BJ$3:$BJ$15,MATCH(D206,'G-6 Hedgerow Data'!$B$3:$B$15,0)),"")</f>
        <v/>
      </c>
    </row>
    <row r="207" spans="2:33" ht="13.8" x14ac:dyDescent="0.25">
      <c r="B207" s="103">
        <v>196</v>
      </c>
      <c r="C207" s="268"/>
      <c r="D207" s="82"/>
      <c r="E207" s="203"/>
      <c r="F207" s="498" t="str">
        <f>IF(D207="","",VLOOKUP(D207,'G-6 Hedgerow Data'!$B$2:$AG$15,2,FALSE))</f>
        <v/>
      </c>
      <c r="G207" s="524" t="str">
        <f>IF(D207="","",VLOOKUP(D207,'G-6 Hedgerow Data'!$B$2:$AG$15,3,FALSE))</f>
        <v/>
      </c>
      <c r="H207" s="72"/>
      <c r="I207" s="499" t="str">
        <f>IFERROR(IF(AND(F207="V.Low",OR(H207="Good",H207="Moderate")),"Error ▲",VLOOKUP(H207,'G-1 All Habitats'!$Z$2:$AA$9,2,FALSE)),"")</f>
        <v/>
      </c>
      <c r="J207" s="146"/>
      <c r="K207" s="520" t="str">
        <f>IF(J207="","",IF(VLOOKUP(J207,'G-3 Multipliers'!$L$3:$N$6,2,FALSE)=0,"Spatial Data Missing",VLOOKUP(J207,'G-3 Multipliers'!$L$3:$N$6,2,FALSE)))</f>
        <v/>
      </c>
      <c r="L207" s="524" t="str">
        <f>IF(J207="","",IF(VLOOKUP(J207,'G-3 Multipliers'!$L$3:$N$6,3,FALSE)=0,"Spatial Data Missing",VLOOKUP(J207,'G-3 Multipliers'!$L$3:$N$6,3,FALSE)))</f>
        <v/>
      </c>
      <c r="M207" s="197"/>
      <c r="N207" s="499" t="str">
        <f>IF(M207="","",IF(VLOOKUP(M207,'G-3 Multipliers'!$S$3:$T$6,2,FALSE)=0,"Spatial Data Missing ⚠",VLOOKUP(M207,'G-3 Multipliers'!$S$3:$T$6,2,FALSE)))</f>
        <v/>
      </c>
      <c r="O207" s="498" t="str">
        <f>IF(OR(D207="",H207=""),"",(INDEX('G-6 Hedgerow Data'!$E$3:$I$15,MATCH(D207,'G-6 Hedgerow Data'!$B$3:$B$15,0),MATCH(H207,'G-6 Hedgerow Data'!$E$2:$I$2,0))))</f>
        <v/>
      </c>
      <c r="P207" s="195"/>
      <c r="Q207" s="195"/>
      <c r="R207" s="507" t="str">
        <f t="shared" si="19"/>
        <v/>
      </c>
      <c r="S207" s="521" t="str">
        <f t="shared" si="20"/>
        <v/>
      </c>
      <c r="T207" s="522" t="str">
        <f t="shared" si="18"/>
        <v/>
      </c>
      <c r="U207" s="537" t="str">
        <f>IF(D207="","",VLOOKUP(D207,'G-6 Hedgerow Data'!$B$3:$AG$15,31,FALSE))</f>
        <v/>
      </c>
      <c r="V207" s="520" t="str">
        <f t="shared" si="21"/>
        <v/>
      </c>
      <c r="W207" s="520" t="str">
        <f t="shared" si="22"/>
        <v/>
      </c>
      <c r="X207" s="524" t="str">
        <f>IF(F207="","",VLOOKUP(U207,'G-3 Multipliers'!$P$3:$Q$6,2,FALSE))</f>
        <v/>
      </c>
      <c r="Y207" s="529" t="str">
        <f t="shared" si="23"/>
        <v/>
      </c>
      <c r="Z207" s="149"/>
      <c r="AA207" s="150"/>
      <c r="AG207" s="31" t="str">
        <f>IFERROR(INDEX('G-6 Hedgerow Data'!$BJ$3:$BJ$15,MATCH(D207,'G-6 Hedgerow Data'!$B$3:$B$15,0)),"")</f>
        <v/>
      </c>
    </row>
    <row r="208" spans="2:33" ht="13.8" x14ac:dyDescent="0.25">
      <c r="B208" s="103">
        <v>197</v>
      </c>
      <c r="C208" s="268"/>
      <c r="D208" s="82"/>
      <c r="E208" s="203"/>
      <c r="F208" s="498" t="str">
        <f>IF(D208="","",VLOOKUP(D208,'G-6 Hedgerow Data'!$B$2:$AG$15,2,FALSE))</f>
        <v/>
      </c>
      <c r="G208" s="524" t="str">
        <f>IF(D208="","",VLOOKUP(D208,'G-6 Hedgerow Data'!$B$2:$AG$15,3,FALSE))</f>
        <v/>
      </c>
      <c r="H208" s="72"/>
      <c r="I208" s="499" t="str">
        <f>IFERROR(IF(AND(F208="V.Low",OR(H208="Good",H208="Moderate")),"Error ▲",VLOOKUP(H208,'G-1 All Habitats'!$Z$2:$AA$9,2,FALSE)),"")</f>
        <v/>
      </c>
      <c r="J208" s="146"/>
      <c r="K208" s="520" t="str">
        <f>IF(J208="","",IF(VLOOKUP(J208,'G-3 Multipliers'!$L$3:$N$6,2,FALSE)=0,"Spatial Data Missing",VLOOKUP(J208,'G-3 Multipliers'!$L$3:$N$6,2,FALSE)))</f>
        <v/>
      </c>
      <c r="L208" s="524" t="str">
        <f>IF(J208="","",IF(VLOOKUP(J208,'G-3 Multipliers'!$L$3:$N$6,3,FALSE)=0,"Spatial Data Missing",VLOOKUP(J208,'G-3 Multipliers'!$L$3:$N$6,3,FALSE)))</f>
        <v/>
      </c>
      <c r="M208" s="197"/>
      <c r="N208" s="499" t="str">
        <f>IF(M208="","",IF(VLOOKUP(M208,'G-3 Multipliers'!$S$3:$T$6,2,FALSE)=0,"Spatial Data Missing ⚠",VLOOKUP(M208,'G-3 Multipliers'!$S$3:$T$6,2,FALSE)))</f>
        <v/>
      </c>
      <c r="O208" s="498" t="str">
        <f>IF(OR(D208="",H208=""),"",(INDEX('G-6 Hedgerow Data'!$E$3:$I$15,MATCH(D208,'G-6 Hedgerow Data'!$B$3:$B$15,0),MATCH(H208,'G-6 Hedgerow Data'!$E$2:$I$2,0))))</f>
        <v/>
      </c>
      <c r="P208" s="195"/>
      <c r="Q208" s="195"/>
      <c r="R208" s="507" t="str">
        <f t="shared" si="19"/>
        <v/>
      </c>
      <c r="S208" s="521" t="str">
        <f t="shared" si="20"/>
        <v/>
      </c>
      <c r="T208" s="522" t="str">
        <f t="shared" si="18"/>
        <v/>
      </c>
      <c r="U208" s="537" t="str">
        <f>IF(D208="","",VLOOKUP(D208,'G-6 Hedgerow Data'!$B$3:$AG$15,31,FALSE))</f>
        <v/>
      </c>
      <c r="V208" s="520" t="str">
        <f t="shared" si="21"/>
        <v/>
      </c>
      <c r="W208" s="520" t="str">
        <f t="shared" si="22"/>
        <v/>
      </c>
      <c r="X208" s="524" t="str">
        <f>IF(F208="","",VLOOKUP(U208,'G-3 Multipliers'!$P$3:$Q$6,2,FALSE))</f>
        <v/>
      </c>
      <c r="Y208" s="529" t="str">
        <f t="shared" si="23"/>
        <v/>
      </c>
      <c r="Z208" s="149"/>
      <c r="AA208" s="150"/>
      <c r="AG208" s="31" t="str">
        <f>IFERROR(INDEX('G-6 Hedgerow Data'!$BJ$3:$BJ$15,MATCH(D208,'G-6 Hedgerow Data'!$B$3:$B$15,0)),"")</f>
        <v/>
      </c>
    </row>
    <row r="209" spans="2:33" ht="13.8" x14ac:dyDescent="0.25">
      <c r="B209" s="103">
        <v>198</v>
      </c>
      <c r="C209" s="268"/>
      <c r="D209" s="82"/>
      <c r="E209" s="203"/>
      <c r="F209" s="498" t="str">
        <f>IF(D209="","",VLOOKUP(D209,'G-6 Hedgerow Data'!$B$2:$AG$15,2,FALSE))</f>
        <v/>
      </c>
      <c r="G209" s="524" t="str">
        <f>IF(D209="","",VLOOKUP(D209,'G-6 Hedgerow Data'!$B$2:$AG$15,3,FALSE))</f>
        <v/>
      </c>
      <c r="H209" s="72"/>
      <c r="I209" s="499" t="str">
        <f>IFERROR(IF(AND(F209="V.Low",OR(H209="Good",H209="Moderate")),"Error ▲",VLOOKUP(H209,'G-1 All Habitats'!$Z$2:$AA$9,2,FALSE)),"")</f>
        <v/>
      </c>
      <c r="J209" s="146"/>
      <c r="K209" s="520" t="str">
        <f>IF(J209="","",IF(VLOOKUP(J209,'G-3 Multipliers'!$L$3:$N$6,2,FALSE)=0,"Spatial Data Missing",VLOOKUP(J209,'G-3 Multipliers'!$L$3:$N$6,2,FALSE)))</f>
        <v/>
      </c>
      <c r="L209" s="524" t="str">
        <f>IF(J209="","",IF(VLOOKUP(J209,'G-3 Multipliers'!$L$3:$N$6,3,FALSE)=0,"Spatial Data Missing",VLOOKUP(J209,'G-3 Multipliers'!$L$3:$N$6,3,FALSE)))</f>
        <v/>
      </c>
      <c r="M209" s="197"/>
      <c r="N209" s="499" t="str">
        <f>IF(M209="","",IF(VLOOKUP(M209,'G-3 Multipliers'!$S$3:$T$6,2,FALSE)=0,"Spatial Data Missing ⚠",VLOOKUP(M209,'G-3 Multipliers'!$S$3:$T$6,2,FALSE)))</f>
        <v/>
      </c>
      <c r="O209" s="498" t="str">
        <f>IF(OR(D209="",H209=""),"",(INDEX('G-6 Hedgerow Data'!$E$3:$I$15,MATCH(D209,'G-6 Hedgerow Data'!$B$3:$B$15,0),MATCH(H209,'G-6 Hedgerow Data'!$E$2:$I$2,0))))</f>
        <v/>
      </c>
      <c r="P209" s="195"/>
      <c r="Q209" s="195"/>
      <c r="R209" s="507" t="str">
        <f t="shared" si="19"/>
        <v/>
      </c>
      <c r="S209" s="521" t="str">
        <f t="shared" si="20"/>
        <v/>
      </c>
      <c r="T209" s="522" t="str">
        <f t="shared" si="18"/>
        <v/>
      </c>
      <c r="U209" s="537" t="str">
        <f>IF(D209="","",VLOOKUP(D209,'G-6 Hedgerow Data'!$B$3:$AG$15,31,FALSE))</f>
        <v/>
      </c>
      <c r="V209" s="520" t="str">
        <f t="shared" si="21"/>
        <v/>
      </c>
      <c r="W209" s="520" t="str">
        <f t="shared" si="22"/>
        <v/>
      </c>
      <c r="X209" s="524" t="str">
        <f>IF(F209="","",VLOOKUP(U209,'G-3 Multipliers'!$P$3:$Q$6,2,FALSE))</f>
        <v/>
      </c>
      <c r="Y209" s="529" t="str">
        <f t="shared" si="23"/>
        <v/>
      </c>
      <c r="Z209" s="149"/>
      <c r="AA209" s="150"/>
      <c r="AG209" s="31" t="str">
        <f>IFERROR(INDEX('G-6 Hedgerow Data'!$BJ$3:$BJ$15,MATCH(D209,'G-6 Hedgerow Data'!$B$3:$B$15,0)),"")</f>
        <v/>
      </c>
    </row>
    <row r="210" spans="2:33" ht="13.8" x14ac:dyDescent="0.25">
      <c r="B210" s="103">
        <v>199</v>
      </c>
      <c r="C210" s="268"/>
      <c r="D210" s="82"/>
      <c r="E210" s="203"/>
      <c r="F210" s="498" t="str">
        <f>IF(D210="","",VLOOKUP(D210,'G-6 Hedgerow Data'!$B$2:$AG$15,2,FALSE))</f>
        <v/>
      </c>
      <c r="G210" s="524" t="str">
        <f>IF(D210="","",VLOOKUP(D210,'G-6 Hedgerow Data'!$B$2:$AG$15,3,FALSE))</f>
        <v/>
      </c>
      <c r="H210" s="72"/>
      <c r="I210" s="499" t="str">
        <f>IFERROR(IF(AND(F210="V.Low",OR(H210="Good",H210="Moderate")),"Error ▲",VLOOKUP(H210,'G-1 All Habitats'!$Z$2:$AA$9,2,FALSE)),"")</f>
        <v/>
      </c>
      <c r="J210" s="146"/>
      <c r="K210" s="520" t="str">
        <f>IF(J210="","",IF(VLOOKUP(J210,'G-3 Multipliers'!$L$3:$N$6,2,FALSE)=0,"Spatial Data Missing",VLOOKUP(J210,'G-3 Multipliers'!$L$3:$N$6,2,FALSE)))</f>
        <v/>
      </c>
      <c r="L210" s="524" t="str">
        <f>IF(J210="","",IF(VLOOKUP(J210,'G-3 Multipliers'!$L$3:$N$6,3,FALSE)=0,"Spatial Data Missing",VLOOKUP(J210,'G-3 Multipliers'!$L$3:$N$6,3,FALSE)))</f>
        <v/>
      </c>
      <c r="M210" s="197"/>
      <c r="N210" s="499" t="str">
        <f>IF(M210="","",IF(VLOOKUP(M210,'G-3 Multipliers'!$S$3:$T$6,2,FALSE)=0,"Spatial Data Missing ⚠",VLOOKUP(M210,'G-3 Multipliers'!$S$3:$T$6,2,FALSE)))</f>
        <v/>
      </c>
      <c r="O210" s="498" t="str">
        <f>IF(OR(D210="",H210=""),"",(INDEX('G-6 Hedgerow Data'!$E$3:$I$15,MATCH(D210,'G-6 Hedgerow Data'!$B$3:$B$15,0),MATCH(H210,'G-6 Hedgerow Data'!$E$2:$I$2,0))))</f>
        <v/>
      </c>
      <c r="P210" s="195"/>
      <c r="Q210" s="195"/>
      <c r="R210" s="507" t="str">
        <f t="shared" si="19"/>
        <v/>
      </c>
      <c r="S210" s="521" t="str">
        <f t="shared" si="20"/>
        <v/>
      </c>
      <c r="T210" s="522" t="str">
        <f t="shared" si="18"/>
        <v/>
      </c>
      <c r="U210" s="537" t="str">
        <f>IF(D210="","",VLOOKUP(D210,'G-6 Hedgerow Data'!$B$3:$AG$15,31,FALSE))</f>
        <v/>
      </c>
      <c r="V210" s="520" t="str">
        <f t="shared" si="21"/>
        <v/>
      </c>
      <c r="W210" s="520" t="str">
        <f t="shared" si="22"/>
        <v/>
      </c>
      <c r="X210" s="524" t="str">
        <f>IF(F210="","",VLOOKUP(U210,'G-3 Multipliers'!$P$3:$Q$6,2,FALSE))</f>
        <v/>
      </c>
      <c r="Y210" s="529" t="str">
        <f t="shared" si="23"/>
        <v/>
      </c>
      <c r="Z210" s="149"/>
      <c r="AA210" s="150"/>
      <c r="AG210" s="31" t="str">
        <f>IFERROR(INDEX('G-6 Hedgerow Data'!$BJ$3:$BJ$15,MATCH(D210,'G-6 Hedgerow Data'!$B$3:$B$15,0)),"")</f>
        <v/>
      </c>
    </row>
    <row r="211" spans="2:33" ht="13.8" x14ac:dyDescent="0.25">
      <c r="B211" s="103">
        <v>200</v>
      </c>
      <c r="C211" s="268"/>
      <c r="D211" s="82"/>
      <c r="E211" s="203"/>
      <c r="F211" s="498" t="str">
        <f>IF(D211="","",VLOOKUP(D211,'G-6 Hedgerow Data'!$B$2:$AG$15,2,FALSE))</f>
        <v/>
      </c>
      <c r="G211" s="524" t="str">
        <f>IF(D211="","",VLOOKUP(D211,'G-6 Hedgerow Data'!$B$2:$AG$15,3,FALSE))</f>
        <v/>
      </c>
      <c r="H211" s="72"/>
      <c r="I211" s="499" t="str">
        <f>IFERROR(IF(AND(F211="V.Low",OR(H211="Good",H211="Moderate")),"Error ▲",VLOOKUP(H211,'G-1 All Habitats'!$Z$2:$AA$9,2,FALSE)),"")</f>
        <v/>
      </c>
      <c r="J211" s="146"/>
      <c r="K211" s="520" t="str">
        <f>IF(J211="","",IF(VLOOKUP(J211,'G-3 Multipliers'!$L$3:$N$6,2,FALSE)=0,"Spatial Data Missing",VLOOKUP(J211,'G-3 Multipliers'!$L$3:$N$6,2,FALSE)))</f>
        <v/>
      </c>
      <c r="L211" s="524" t="str">
        <f>IF(J211="","",IF(VLOOKUP(J211,'G-3 Multipliers'!$L$3:$N$6,3,FALSE)=0,"Spatial Data Missing",VLOOKUP(J211,'G-3 Multipliers'!$L$3:$N$6,3,FALSE)))</f>
        <v/>
      </c>
      <c r="M211" s="197"/>
      <c r="N211" s="499" t="str">
        <f>IF(M211="","",IF(VLOOKUP(M211,'G-3 Multipliers'!$S$3:$T$6,2,FALSE)=0,"Spatial Data Missing ⚠",VLOOKUP(M211,'G-3 Multipliers'!$S$3:$T$6,2,FALSE)))</f>
        <v/>
      </c>
      <c r="O211" s="498" t="str">
        <f>IF(OR(D211="",H211=""),"",(INDEX('G-6 Hedgerow Data'!$E$3:$I$15,MATCH(D211,'G-6 Hedgerow Data'!$B$3:$B$15,0),MATCH(H211,'G-6 Hedgerow Data'!$E$2:$I$2,0))))</f>
        <v/>
      </c>
      <c r="P211" s="195"/>
      <c r="Q211" s="195"/>
      <c r="R211" s="507" t="str">
        <f t="shared" si="19"/>
        <v/>
      </c>
      <c r="S211" s="521" t="str">
        <f t="shared" si="20"/>
        <v/>
      </c>
      <c r="T211" s="522" t="str">
        <f t="shared" si="18"/>
        <v/>
      </c>
      <c r="U211" s="537" t="str">
        <f>IF(D211="","",VLOOKUP(D211,'G-6 Hedgerow Data'!$B$3:$AG$15,31,FALSE))</f>
        <v/>
      </c>
      <c r="V211" s="520" t="str">
        <f t="shared" si="21"/>
        <v/>
      </c>
      <c r="W211" s="520" t="str">
        <f t="shared" si="22"/>
        <v/>
      </c>
      <c r="X211" s="524" t="str">
        <f>IF(F211="","",VLOOKUP(U211,'G-3 Multipliers'!$P$3:$Q$6,2,FALSE))</f>
        <v/>
      </c>
      <c r="Y211" s="529" t="str">
        <f t="shared" si="23"/>
        <v/>
      </c>
      <c r="Z211" s="149"/>
      <c r="AA211" s="150"/>
      <c r="AG211" s="31" t="str">
        <f>IFERROR(INDEX('G-6 Hedgerow Data'!$BJ$3:$BJ$15,MATCH(D211,'G-6 Hedgerow Data'!$B$3:$B$15,0)),"")</f>
        <v/>
      </c>
    </row>
    <row r="212" spans="2:33" ht="13.8" x14ac:dyDescent="0.25">
      <c r="B212" s="103">
        <v>201</v>
      </c>
      <c r="C212" s="268"/>
      <c r="D212" s="82"/>
      <c r="E212" s="203"/>
      <c r="F212" s="498" t="str">
        <f>IF(D212="","",VLOOKUP(D212,'G-6 Hedgerow Data'!$B$2:$AG$15,2,FALSE))</f>
        <v/>
      </c>
      <c r="G212" s="524" t="str">
        <f>IF(D212="","",VLOOKUP(D212,'G-6 Hedgerow Data'!$B$2:$AG$15,3,FALSE))</f>
        <v/>
      </c>
      <c r="H212" s="72"/>
      <c r="I212" s="499" t="str">
        <f>IFERROR(IF(AND(F212="V.Low",OR(H212="Good",H212="Moderate")),"Error ▲",VLOOKUP(H212,'G-1 All Habitats'!$Z$2:$AA$9,2,FALSE)),"")</f>
        <v/>
      </c>
      <c r="J212" s="146"/>
      <c r="K212" s="520" t="str">
        <f>IF(J212="","",IF(VLOOKUP(J212,'G-3 Multipliers'!$L$3:$N$6,2,FALSE)=0,"Spatial Data Missing",VLOOKUP(J212,'G-3 Multipliers'!$L$3:$N$6,2,FALSE)))</f>
        <v/>
      </c>
      <c r="L212" s="524" t="str">
        <f>IF(J212="","",IF(VLOOKUP(J212,'G-3 Multipliers'!$L$3:$N$6,3,FALSE)=0,"Spatial Data Missing",VLOOKUP(J212,'G-3 Multipliers'!$L$3:$N$6,3,FALSE)))</f>
        <v/>
      </c>
      <c r="M212" s="197"/>
      <c r="N212" s="499" t="str">
        <f>IF(M212="","",IF(VLOOKUP(M212,'G-3 Multipliers'!$S$3:$T$6,2,FALSE)=0,"Spatial Data Missing ⚠",VLOOKUP(M212,'G-3 Multipliers'!$S$3:$T$6,2,FALSE)))</f>
        <v/>
      </c>
      <c r="O212" s="498" t="str">
        <f>IF(OR(D212="",H212=""),"",(INDEX('G-6 Hedgerow Data'!$E$3:$I$15,MATCH(D212,'G-6 Hedgerow Data'!$B$3:$B$15,0),MATCH(H212,'G-6 Hedgerow Data'!$E$2:$I$2,0))))</f>
        <v/>
      </c>
      <c r="P212" s="195"/>
      <c r="Q212" s="195"/>
      <c r="R212" s="507" t="str">
        <f t="shared" si="19"/>
        <v/>
      </c>
      <c r="S212" s="521" t="str">
        <f t="shared" si="20"/>
        <v/>
      </c>
      <c r="T212" s="522" t="str">
        <f t="shared" si="18"/>
        <v/>
      </c>
      <c r="U212" s="537" t="str">
        <f>IF(D212="","",VLOOKUP(D212,'G-6 Hedgerow Data'!$B$3:$AG$15,31,FALSE))</f>
        <v/>
      </c>
      <c r="V212" s="520" t="str">
        <f t="shared" si="21"/>
        <v/>
      </c>
      <c r="W212" s="520" t="str">
        <f t="shared" si="22"/>
        <v/>
      </c>
      <c r="X212" s="524" t="str">
        <f>IF(F212="","",VLOOKUP(U212,'G-3 Multipliers'!$P$3:$Q$6,2,FALSE))</f>
        <v/>
      </c>
      <c r="Y212" s="529" t="str">
        <f t="shared" si="23"/>
        <v/>
      </c>
      <c r="Z212" s="149"/>
      <c r="AA212" s="150"/>
      <c r="AG212" s="31" t="str">
        <f>IFERROR(INDEX('G-6 Hedgerow Data'!$BJ$3:$BJ$15,MATCH(D212,'G-6 Hedgerow Data'!$B$3:$B$15,0)),"")</f>
        <v/>
      </c>
    </row>
    <row r="213" spans="2:33" ht="13.8" x14ac:dyDescent="0.25">
      <c r="B213" s="103">
        <v>202</v>
      </c>
      <c r="C213" s="268"/>
      <c r="D213" s="82"/>
      <c r="E213" s="203"/>
      <c r="F213" s="498" t="str">
        <f>IF(D213="","",VLOOKUP(D213,'G-6 Hedgerow Data'!$B$2:$AG$15,2,FALSE))</f>
        <v/>
      </c>
      <c r="G213" s="524" t="str">
        <f>IF(D213="","",VLOOKUP(D213,'G-6 Hedgerow Data'!$B$2:$AG$15,3,FALSE))</f>
        <v/>
      </c>
      <c r="H213" s="72"/>
      <c r="I213" s="499" t="str">
        <f>IFERROR(IF(AND(F213="V.Low",OR(H213="Good",H213="Moderate")),"Error ▲",VLOOKUP(H213,'G-1 All Habitats'!$Z$2:$AA$9,2,FALSE)),"")</f>
        <v/>
      </c>
      <c r="J213" s="146"/>
      <c r="K213" s="520" t="str">
        <f>IF(J213="","",IF(VLOOKUP(J213,'G-3 Multipliers'!$L$3:$N$6,2,FALSE)=0,"Spatial Data Missing",VLOOKUP(J213,'G-3 Multipliers'!$L$3:$N$6,2,FALSE)))</f>
        <v/>
      </c>
      <c r="L213" s="524" t="str">
        <f>IF(J213="","",IF(VLOOKUP(J213,'G-3 Multipliers'!$L$3:$N$6,3,FALSE)=0,"Spatial Data Missing",VLOOKUP(J213,'G-3 Multipliers'!$L$3:$N$6,3,FALSE)))</f>
        <v/>
      </c>
      <c r="M213" s="197"/>
      <c r="N213" s="499" t="str">
        <f>IF(M213="","",IF(VLOOKUP(M213,'G-3 Multipliers'!$S$3:$T$6,2,FALSE)=0,"Spatial Data Missing ⚠",VLOOKUP(M213,'G-3 Multipliers'!$S$3:$T$6,2,FALSE)))</f>
        <v/>
      </c>
      <c r="O213" s="498" t="str">
        <f>IF(OR(D213="",H213=""),"",(INDEX('G-6 Hedgerow Data'!$E$3:$I$15,MATCH(D213,'G-6 Hedgerow Data'!$B$3:$B$15,0),MATCH(H213,'G-6 Hedgerow Data'!$E$2:$I$2,0))))</f>
        <v/>
      </c>
      <c r="P213" s="195"/>
      <c r="Q213" s="195"/>
      <c r="R213" s="507" t="str">
        <f t="shared" si="19"/>
        <v/>
      </c>
      <c r="S213" s="521" t="str">
        <f t="shared" si="20"/>
        <v/>
      </c>
      <c r="T213" s="522" t="str">
        <f t="shared" si="18"/>
        <v/>
      </c>
      <c r="U213" s="537" t="str">
        <f>IF(D213="","",VLOOKUP(D213,'G-6 Hedgerow Data'!$B$3:$AG$15,31,FALSE))</f>
        <v/>
      </c>
      <c r="V213" s="520" t="str">
        <f t="shared" si="21"/>
        <v/>
      </c>
      <c r="W213" s="520" t="str">
        <f t="shared" si="22"/>
        <v/>
      </c>
      <c r="X213" s="524" t="str">
        <f>IF(F213="","",VLOOKUP(U213,'G-3 Multipliers'!$P$3:$Q$6,2,FALSE))</f>
        <v/>
      </c>
      <c r="Y213" s="529" t="str">
        <f t="shared" si="23"/>
        <v/>
      </c>
      <c r="Z213" s="149"/>
      <c r="AA213" s="150"/>
      <c r="AG213" s="31" t="str">
        <f>IFERROR(INDEX('G-6 Hedgerow Data'!$BJ$3:$BJ$15,MATCH(D213,'G-6 Hedgerow Data'!$B$3:$B$15,0)),"")</f>
        <v/>
      </c>
    </row>
    <row r="214" spans="2:33" ht="13.8" x14ac:dyDescent="0.25">
      <c r="B214" s="103">
        <v>203</v>
      </c>
      <c r="C214" s="268"/>
      <c r="D214" s="82"/>
      <c r="E214" s="203"/>
      <c r="F214" s="498" t="str">
        <f>IF(D214="","",VLOOKUP(D214,'G-6 Hedgerow Data'!$B$2:$AG$15,2,FALSE))</f>
        <v/>
      </c>
      <c r="G214" s="524" t="str">
        <f>IF(D214="","",VLOOKUP(D214,'G-6 Hedgerow Data'!$B$2:$AG$15,3,FALSE))</f>
        <v/>
      </c>
      <c r="H214" s="72"/>
      <c r="I214" s="499" t="str">
        <f>IFERROR(IF(AND(F214="V.Low",OR(H214="Good",H214="Moderate")),"Error ▲",VLOOKUP(H214,'G-1 All Habitats'!$Z$2:$AA$9,2,FALSE)),"")</f>
        <v/>
      </c>
      <c r="J214" s="146"/>
      <c r="K214" s="520" t="str">
        <f>IF(J214="","",IF(VLOOKUP(J214,'G-3 Multipliers'!$L$3:$N$6,2,FALSE)=0,"Spatial Data Missing",VLOOKUP(J214,'G-3 Multipliers'!$L$3:$N$6,2,FALSE)))</f>
        <v/>
      </c>
      <c r="L214" s="524" t="str">
        <f>IF(J214="","",IF(VLOOKUP(J214,'G-3 Multipliers'!$L$3:$N$6,3,FALSE)=0,"Spatial Data Missing",VLOOKUP(J214,'G-3 Multipliers'!$L$3:$N$6,3,FALSE)))</f>
        <v/>
      </c>
      <c r="M214" s="197"/>
      <c r="N214" s="499" t="str">
        <f>IF(M214="","",IF(VLOOKUP(M214,'G-3 Multipliers'!$S$3:$T$6,2,FALSE)=0,"Spatial Data Missing ⚠",VLOOKUP(M214,'G-3 Multipliers'!$S$3:$T$6,2,FALSE)))</f>
        <v/>
      </c>
      <c r="O214" s="498" t="str">
        <f>IF(OR(D214="",H214=""),"",(INDEX('G-6 Hedgerow Data'!$E$3:$I$15,MATCH(D214,'G-6 Hedgerow Data'!$B$3:$B$15,0),MATCH(H214,'G-6 Hedgerow Data'!$E$2:$I$2,0))))</f>
        <v/>
      </c>
      <c r="P214" s="195"/>
      <c r="Q214" s="195"/>
      <c r="R214" s="507" t="str">
        <f t="shared" si="19"/>
        <v/>
      </c>
      <c r="S214" s="521" t="str">
        <f t="shared" si="20"/>
        <v/>
      </c>
      <c r="T214" s="522" t="str">
        <f t="shared" si="18"/>
        <v/>
      </c>
      <c r="U214" s="537" t="str">
        <f>IF(D214="","",VLOOKUP(D214,'G-6 Hedgerow Data'!$B$3:$AG$15,31,FALSE))</f>
        <v/>
      </c>
      <c r="V214" s="520" t="str">
        <f t="shared" si="21"/>
        <v/>
      </c>
      <c r="W214" s="520" t="str">
        <f t="shared" si="22"/>
        <v/>
      </c>
      <c r="X214" s="524" t="str">
        <f>IF(F214="","",VLOOKUP(U214,'G-3 Multipliers'!$P$3:$Q$6,2,FALSE))</f>
        <v/>
      </c>
      <c r="Y214" s="529" t="str">
        <f t="shared" si="23"/>
        <v/>
      </c>
      <c r="Z214" s="149"/>
      <c r="AA214" s="150"/>
      <c r="AG214" s="31" t="str">
        <f>IFERROR(INDEX('G-6 Hedgerow Data'!$BJ$3:$BJ$15,MATCH(D214,'G-6 Hedgerow Data'!$B$3:$B$15,0)),"")</f>
        <v/>
      </c>
    </row>
    <row r="215" spans="2:33" ht="13.8" x14ac:dyDescent="0.25">
      <c r="B215" s="103">
        <v>204</v>
      </c>
      <c r="C215" s="268"/>
      <c r="D215" s="82"/>
      <c r="E215" s="203"/>
      <c r="F215" s="498" t="str">
        <f>IF(D215="","",VLOOKUP(D215,'G-6 Hedgerow Data'!$B$2:$AG$15,2,FALSE))</f>
        <v/>
      </c>
      <c r="G215" s="524" t="str">
        <f>IF(D215="","",VLOOKUP(D215,'G-6 Hedgerow Data'!$B$2:$AG$15,3,FALSE))</f>
        <v/>
      </c>
      <c r="H215" s="72"/>
      <c r="I215" s="499" t="str">
        <f>IFERROR(IF(AND(F215="V.Low",OR(H215="Good",H215="Moderate")),"Error ▲",VLOOKUP(H215,'G-1 All Habitats'!$Z$2:$AA$9,2,FALSE)),"")</f>
        <v/>
      </c>
      <c r="J215" s="146"/>
      <c r="K215" s="520" t="str">
        <f>IF(J215="","",IF(VLOOKUP(J215,'G-3 Multipliers'!$L$3:$N$6,2,FALSE)=0,"Spatial Data Missing",VLOOKUP(J215,'G-3 Multipliers'!$L$3:$N$6,2,FALSE)))</f>
        <v/>
      </c>
      <c r="L215" s="524" t="str">
        <f>IF(J215="","",IF(VLOOKUP(J215,'G-3 Multipliers'!$L$3:$N$6,3,FALSE)=0,"Spatial Data Missing",VLOOKUP(J215,'G-3 Multipliers'!$L$3:$N$6,3,FALSE)))</f>
        <v/>
      </c>
      <c r="M215" s="197"/>
      <c r="N215" s="499" t="str">
        <f>IF(M215="","",IF(VLOOKUP(M215,'G-3 Multipliers'!$S$3:$T$6,2,FALSE)=0,"Spatial Data Missing ⚠",VLOOKUP(M215,'G-3 Multipliers'!$S$3:$T$6,2,FALSE)))</f>
        <v/>
      </c>
      <c r="O215" s="498" t="str">
        <f>IF(OR(D215="",H215=""),"",(INDEX('G-6 Hedgerow Data'!$E$3:$I$15,MATCH(D215,'G-6 Hedgerow Data'!$B$3:$B$15,0),MATCH(H215,'G-6 Hedgerow Data'!$E$2:$I$2,0))))</f>
        <v/>
      </c>
      <c r="P215" s="195"/>
      <c r="Q215" s="195"/>
      <c r="R215" s="507" t="str">
        <f t="shared" si="19"/>
        <v/>
      </c>
      <c r="S215" s="521" t="str">
        <f t="shared" si="20"/>
        <v/>
      </c>
      <c r="T215" s="522" t="str">
        <f t="shared" si="18"/>
        <v/>
      </c>
      <c r="U215" s="537" t="str">
        <f>IF(D215="","",VLOOKUP(D215,'G-6 Hedgerow Data'!$B$3:$AG$15,31,FALSE))</f>
        <v/>
      </c>
      <c r="V215" s="520" t="str">
        <f t="shared" si="21"/>
        <v/>
      </c>
      <c r="W215" s="520" t="str">
        <f t="shared" si="22"/>
        <v/>
      </c>
      <c r="X215" s="524" t="str">
        <f>IF(F215="","",VLOOKUP(U215,'G-3 Multipliers'!$P$3:$Q$6,2,FALSE))</f>
        <v/>
      </c>
      <c r="Y215" s="529" t="str">
        <f t="shared" si="23"/>
        <v/>
      </c>
      <c r="Z215" s="149"/>
      <c r="AA215" s="150"/>
      <c r="AG215" s="31" t="str">
        <f>IFERROR(INDEX('G-6 Hedgerow Data'!$BJ$3:$BJ$15,MATCH(D215,'G-6 Hedgerow Data'!$B$3:$B$15,0)),"")</f>
        <v/>
      </c>
    </row>
    <row r="216" spans="2:33" ht="13.8" x14ac:dyDescent="0.25">
      <c r="B216" s="103">
        <v>205</v>
      </c>
      <c r="C216" s="268"/>
      <c r="D216" s="82"/>
      <c r="E216" s="203"/>
      <c r="F216" s="498" t="str">
        <f>IF(D216="","",VLOOKUP(D216,'G-6 Hedgerow Data'!$B$2:$AG$15,2,FALSE))</f>
        <v/>
      </c>
      <c r="G216" s="524" t="str">
        <f>IF(D216="","",VLOOKUP(D216,'G-6 Hedgerow Data'!$B$2:$AG$15,3,FALSE))</f>
        <v/>
      </c>
      <c r="H216" s="72"/>
      <c r="I216" s="499" t="str">
        <f>IFERROR(IF(AND(F216="V.Low",OR(H216="Good",H216="Moderate")),"Error ▲",VLOOKUP(H216,'G-1 All Habitats'!$Z$2:$AA$9,2,FALSE)),"")</f>
        <v/>
      </c>
      <c r="J216" s="146"/>
      <c r="K216" s="520" t="str">
        <f>IF(J216="","",IF(VLOOKUP(J216,'G-3 Multipliers'!$L$3:$N$6,2,FALSE)=0,"Spatial Data Missing",VLOOKUP(J216,'G-3 Multipliers'!$L$3:$N$6,2,FALSE)))</f>
        <v/>
      </c>
      <c r="L216" s="524" t="str">
        <f>IF(J216="","",IF(VLOOKUP(J216,'G-3 Multipliers'!$L$3:$N$6,3,FALSE)=0,"Spatial Data Missing",VLOOKUP(J216,'G-3 Multipliers'!$L$3:$N$6,3,FALSE)))</f>
        <v/>
      </c>
      <c r="M216" s="197"/>
      <c r="N216" s="499" t="str">
        <f>IF(M216="","",IF(VLOOKUP(M216,'G-3 Multipliers'!$S$3:$T$6,2,FALSE)=0,"Spatial Data Missing ⚠",VLOOKUP(M216,'G-3 Multipliers'!$S$3:$T$6,2,FALSE)))</f>
        <v/>
      </c>
      <c r="O216" s="498" t="str">
        <f>IF(OR(D216="",H216=""),"",(INDEX('G-6 Hedgerow Data'!$E$3:$I$15,MATCH(D216,'G-6 Hedgerow Data'!$B$3:$B$15,0),MATCH(H216,'G-6 Hedgerow Data'!$E$2:$I$2,0))))</f>
        <v/>
      </c>
      <c r="P216" s="195"/>
      <c r="Q216" s="195"/>
      <c r="R216" s="507" t="str">
        <f t="shared" si="19"/>
        <v/>
      </c>
      <c r="S216" s="521" t="str">
        <f t="shared" si="20"/>
        <v/>
      </c>
      <c r="T216" s="522" t="str">
        <f t="shared" si="18"/>
        <v/>
      </c>
      <c r="U216" s="537" t="str">
        <f>IF(D216="","",VLOOKUP(D216,'G-6 Hedgerow Data'!$B$3:$AG$15,31,FALSE))</f>
        <v/>
      </c>
      <c r="V216" s="520" t="str">
        <f t="shared" si="21"/>
        <v/>
      </c>
      <c r="W216" s="520" t="str">
        <f t="shared" si="22"/>
        <v/>
      </c>
      <c r="X216" s="524" t="str">
        <f>IF(F216="","",VLOOKUP(U216,'G-3 Multipliers'!$P$3:$Q$6,2,FALSE))</f>
        <v/>
      </c>
      <c r="Y216" s="529" t="str">
        <f t="shared" si="23"/>
        <v/>
      </c>
      <c r="Z216" s="149"/>
      <c r="AA216" s="150"/>
      <c r="AG216" s="31" t="str">
        <f>IFERROR(INDEX('G-6 Hedgerow Data'!$BJ$3:$BJ$15,MATCH(D216,'G-6 Hedgerow Data'!$B$3:$B$15,0)),"")</f>
        <v/>
      </c>
    </row>
    <row r="217" spans="2:33" ht="13.8" x14ac:dyDescent="0.25">
      <c r="B217" s="103">
        <v>206</v>
      </c>
      <c r="C217" s="268"/>
      <c r="D217" s="82"/>
      <c r="E217" s="203"/>
      <c r="F217" s="498" t="str">
        <f>IF(D217="","",VLOOKUP(D217,'G-6 Hedgerow Data'!$B$2:$AG$15,2,FALSE))</f>
        <v/>
      </c>
      <c r="G217" s="524" t="str">
        <f>IF(D217="","",VLOOKUP(D217,'G-6 Hedgerow Data'!$B$2:$AG$15,3,FALSE))</f>
        <v/>
      </c>
      <c r="H217" s="72"/>
      <c r="I217" s="499" t="str">
        <f>IFERROR(IF(AND(F217="V.Low",OR(H217="Good",H217="Moderate")),"Error ▲",VLOOKUP(H217,'G-1 All Habitats'!$Z$2:$AA$9,2,FALSE)),"")</f>
        <v/>
      </c>
      <c r="J217" s="146"/>
      <c r="K217" s="520" t="str">
        <f>IF(J217="","",IF(VLOOKUP(J217,'G-3 Multipliers'!$L$3:$N$6,2,FALSE)=0,"Spatial Data Missing",VLOOKUP(J217,'G-3 Multipliers'!$L$3:$N$6,2,FALSE)))</f>
        <v/>
      </c>
      <c r="L217" s="524" t="str">
        <f>IF(J217="","",IF(VLOOKUP(J217,'G-3 Multipliers'!$L$3:$N$6,3,FALSE)=0,"Spatial Data Missing",VLOOKUP(J217,'G-3 Multipliers'!$L$3:$N$6,3,FALSE)))</f>
        <v/>
      </c>
      <c r="M217" s="197"/>
      <c r="N217" s="499" t="str">
        <f>IF(M217="","",IF(VLOOKUP(M217,'G-3 Multipliers'!$S$3:$T$6,2,FALSE)=0,"Spatial Data Missing ⚠",VLOOKUP(M217,'G-3 Multipliers'!$S$3:$T$6,2,FALSE)))</f>
        <v/>
      </c>
      <c r="O217" s="498" t="str">
        <f>IF(OR(D217="",H217=""),"",(INDEX('G-6 Hedgerow Data'!$E$3:$I$15,MATCH(D217,'G-6 Hedgerow Data'!$B$3:$B$15,0),MATCH(H217,'G-6 Hedgerow Data'!$E$2:$I$2,0))))</f>
        <v/>
      </c>
      <c r="P217" s="195"/>
      <c r="Q217" s="195"/>
      <c r="R217" s="507" t="str">
        <f t="shared" si="19"/>
        <v/>
      </c>
      <c r="S217" s="521" t="str">
        <f t="shared" si="20"/>
        <v/>
      </c>
      <c r="T217" s="522" t="str">
        <f t="shared" si="18"/>
        <v/>
      </c>
      <c r="U217" s="537" t="str">
        <f>IF(D217="","",VLOOKUP(D217,'G-6 Hedgerow Data'!$B$3:$AG$15,31,FALSE))</f>
        <v/>
      </c>
      <c r="V217" s="520" t="str">
        <f t="shared" si="21"/>
        <v/>
      </c>
      <c r="W217" s="520" t="str">
        <f t="shared" si="22"/>
        <v/>
      </c>
      <c r="X217" s="524" t="str">
        <f>IF(F217="","",VLOOKUP(U217,'G-3 Multipliers'!$P$3:$Q$6,2,FALSE))</f>
        <v/>
      </c>
      <c r="Y217" s="529" t="str">
        <f t="shared" si="23"/>
        <v/>
      </c>
      <c r="Z217" s="149"/>
      <c r="AA217" s="150"/>
      <c r="AG217" s="31" t="str">
        <f>IFERROR(INDEX('G-6 Hedgerow Data'!$BJ$3:$BJ$15,MATCH(D217,'G-6 Hedgerow Data'!$B$3:$B$15,0)),"")</f>
        <v/>
      </c>
    </row>
    <row r="218" spans="2:33" ht="13.8" x14ac:dyDescent="0.25">
      <c r="B218" s="103">
        <v>207</v>
      </c>
      <c r="C218" s="268"/>
      <c r="D218" s="82"/>
      <c r="E218" s="203"/>
      <c r="F218" s="498" t="str">
        <f>IF(D218="","",VLOOKUP(D218,'G-6 Hedgerow Data'!$B$2:$AG$15,2,FALSE))</f>
        <v/>
      </c>
      <c r="G218" s="524" t="str">
        <f>IF(D218="","",VLOOKUP(D218,'G-6 Hedgerow Data'!$B$2:$AG$15,3,FALSE))</f>
        <v/>
      </c>
      <c r="H218" s="72"/>
      <c r="I218" s="499" t="str">
        <f>IFERROR(IF(AND(F218="V.Low",OR(H218="Good",H218="Moderate")),"Error ▲",VLOOKUP(H218,'G-1 All Habitats'!$Z$2:$AA$9,2,FALSE)),"")</f>
        <v/>
      </c>
      <c r="J218" s="146"/>
      <c r="K218" s="520" t="str">
        <f>IF(J218="","",IF(VLOOKUP(J218,'G-3 Multipliers'!$L$3:$N$6,2,FALSE)=0,"Spatial Data Missing",VLOOKUP(J218,'G-3 Multipliers'!$L$3:$N$6,2,FALSE)))</f>
        <v/>
      </c>
      <c r="L218" s="524" t="str">
        <f>IF(J218="","",IF(VLOOKUP(J218,'G-3 Multipliers'!$L$3:$N$6,3,FALSE)=0,"Spatial Data Missing",VLOOKUP(J218,'G-3 Multipliers'!$L$3:$N$6,3,FALSE)))</f>
        <v/>
      </c>
      <c r="M218" s="197"/>
      <c r="N218" s="499" t="str">
        <f>IF(M218="","",IF(VLOOKUP(M218,'G-3 Multipliers'!$S$3:$T$6,2,FALSE)=0,"Spatial Data Missing ⚠",VLOOKUP(M218,'G-3 Multipliers'!$S$3:$T$6,2,FALSE)))</f>
        <v/>
      </c>
      <c r="O218" s="498" t="str">
        <f>IF(OR(D218="",H218=""),"",(INDEX('G-6 Hedgerow Data'!$E$3:$I$15,MATCH(D218,'G-6 Hedgerow Data'!$B$3:$B$15,0),MATCH(H218,'G-6 Hedgerow Data'!$E$2:$I$2,0))))</f>
        <v/>
      </c>
      <c r="P218" s="195"/>
      <c r="Q218" s="195"/>
      <c r="R218" s="507" t="str">
        <f t="shared" si="19"/>
        <v/>
      </c>
      <c r="S218" s="521" t="str">
        <f t="shared" si="20"/>
        <v/>
      </c>
      <c r="T218" s="522" t="str">
        <f t="shared" si="18"/>
        <v/>
      </c>
      <c r="U218" s="537" t="str">
        <f>IF(D218="","",VLOOKUP(D218,'G-6 Hedgerow Data'!$B$3:$AG$15,31,FALSE))</f>
        <v/>
      </c>
      <c r="V218" s="520" t="str">
        <f t="shared" si="21"/>
        <v/>
      </c>
      <c r="W218" s="520" t="str">
        <f t="shared" si="22"/>
        <v/>
      </c>
      <c r="X218" s="524" t="str">
        <f>IF(F218="","",VLOOKUP(U218,'G-3 Multipliers'!$P$3:$Q$6,2,FALSE))</f>
        <v/>
      </c>
      <c r="Y218" s="529" t="str">
        <f t="shared" si="23"/>
        <v/>
      </c>
      <c r="Z218" s="149"/>
      <c r="AA218" s="150"/>
      <c r="AG218" s="31" t="str">
        <f>IFERROR(INDEX('G-6 Hedgerow Data'!$BJ$3:$BJ$15,MATCH(D218,'G-6 Hedgerow Data'!$B$3:$B$15,0)),"")</f>
        <v/>
      </c>
    </row>
    <row r="219" spans="2:33" ht="13.8" x14ac:dyDescent="0.25">
      <c r="B219" s="103">
        <v>208</v>
      </c>
      <c r="C219" s="268"/>
      <c r="D219" s="82"/>
      <c r="E219" s="203"/>
      <c r="F219" s="498" t="str">
        <f>IF(D219="","",VLOOKUP(D219,'G-6 Hedgerow Data'!$B$2:$AG$15,2,FALSE))</f>
        <v/>
      </c>
      <c r="G219" s="524" t="str">
        <f>IF(D219="","",VLOOKUP(D219,'G-6 Hedgerow Data'!$B$2:$AG$15,3,FALSE))</f>
        <v/>
      </c>
      <c r="H219" s="72"/>
      <c r="I219" s="499" t="str">
        <f>IFERROR(IF(AND(F219="V.Low",OR(H219="Good",H219="Moderate")),"Error ▲",VLOOKUP(H219,'G-1 All Habitats'!$Z$2:$AA$9,2,FALSE)),"")</f>
        <v/>
      </c>
      <c r="J219" s="146"/>
      <c r="K219" s="520" t="str">
        <f>IF(J219="","",IF(VLOOKUP(J219,'G-3 Multipliers'!$L$3:$N$6,2,FALSE)=0,"Spatial Data Missing",VLOOKUP(J219,'G-3 Multipliers'!$L$3:$N$6,2,FALSE)))</f>
        <v/>
      </c>
      <c r="L219" s="524" t="str">
        <f>IF(J219="","",IF(VLOOKUP(J219,'G-3 Multipliers'!$L$3:$N$6,3,FALSE)=0,"Spatial Data Missing",VLOOKUP(J219,'G-3 Multipliers'!$L$3:$N$6,3,FALSE)))</f>
        <v/>
      </c>
      <c r="M219" s="197"/>
      <c r="N219" s="499" t="str">
        <f>IF(M219="","",IF(VLOOKUP(M219,'G-3 Multipliers'!$S$3:$T$6,2,FALSE)=0,"Spatial Data Missing ⚠",VLOOKUP(M219,'G-3 Multipliers'!$S$3:$T$6,2,FALSE)))</f>
        <v/>
      </c>
      <c r="O219" s="498" t="str">
        <f>IF(OR(D219="",H219=""),"",(INDEX('G-6 Hedgerow Data'!$E$3:$I$15,MATCH(D219,'G-6 Hedgerow Data'!$B$3:$B$15,0),MATCH(H219,'G-6 Hedgerow Data'!$E$2:$I$2,0))))</f>
        <v/>
      </c>
      <c r="P219" s="195"/>
      <c r="Q219" s="195"/>
      <c r="R219" s="507" t="str">
        <f t="shared" si="19"/>
        <v/>
      </c>
      <c r="S219" s="521" t="str">
        <f t="shared" si="20"/>
        <v/>
      </c>
      <c r="T219" s="522" t="str">
        <f t="shared" si="18"/>
        <v/>
      </c>
      <c r="U219" s="537" t="str">
        <f>IF(D219="","",VLOOKUP(D219,'G-6 Hedgerow Data'!$B$3:$AG$15,31,FALSE))</f>
        <v/>
      </c>
      <c r="V219" s="520" t="str">
        <f t="shared" si="21"/>
        <v/>
      </c>
      <c r="W219" s="520" t="str">
        <f t="shared" si="22"/>
        <v/>
      </c>
      <c r="X219" s="524" t="str">
        <f>IF(F219="","",VLOOKUP(U219,'G-3 Multipliers'!$P$3:$Q$6,2,FALSE))</f>
        <v/>
      </c>
      <c r="Y219" s="529" t="str">
        <f t="shared" si="23"/>
        <v/>
      </c>
      <c r="Z219" s="149"/>
      <c r="AA219" s="150"/>
      <c r="AG219" s="31" t="str">
        <f>IFERROR(INDEX('G-6 Hedgerow Data'!$BJ$3:$BJ$15,MATCH(D219,'G-6 Hedgerow Data'!$B$3:$B$15,0)),"")</f>
        <v/>
      </c>
    </row>
    <row r="220" spans="2:33" ht="13.8" x14ac:dyDescent="0.25">
      <c r="B220" s="103">
        <v>209</v>
      </c>
      <c r="C220" s="268"/>
      <c r="D220" s="82"/>
      <c r="E220" s="203"/>
      <c r="F220" s="498" t="str">
        <f>IF(D220="","",VLOOKUP(D220,'G-6 Hedgerow Data'!$B$2:$AG$15,2,FALSE))</f>
        <v/>
      </c>
      <c r="G220" s="524" t="str">
        <f>IF(D220="","",VLOOKUP(D220,'G-6 Hedgerow Data'!$B$2:$AG$15,3,FALSE))</f>
        <v/>
      </c>
      <c r="H220" s="72"/>
      <c r="I220" s="499" t="str">
        <f>IFERROR(IF(AND(F220="V.Low",OR(H220="Good",H220="Moderate")),"Error ▲",VLOOKUP(H220,'G-1 All Habitats'!$Z$2:$AA$9,2,FALSE)),"")</f>
        <v/>
      </c>
      <c r="J220" s="146"/>
      <c r="K220" s="520" t="str">
        <f>IF(J220="","",IF(VLOOKUP(J220,'G-3 Multipliers'!$L$3:$N$6,2,FALSE)=0,"Spatial Data Missing",VLOOKUP(J220,'G-3 Multipliers'!$L$3:$N$6,2,FALSE)))</f>
        <v/>
      </c>
      <c r="L220" s="524" t="str">
        <f>IF(J220="","",IF(VLOOKUP(J220,'G-3 Multipliers'!$L$3:$N$6,3,FALSE)=0,"Spatial Data Missing",VLOOKUP(J220,'G-3 Multipliers'!$L$3:$N$6,3,FALSE)))</f>
        <v/>
      </c>
      <c r="M220" s="197"/>
      <c r="N220" s="499" t="str">
        <f>IF(M220="","",IF(VLOOKUP(M220,'G-3 Multipliers'!$S$3:$T$6,2,FALSE)=0,"Spatial Data Missing ⚠",VLOOKUP(M220,'G-3 Multipliers'!$S$3:$T$6,2,FALSE)))</f>
        <v/>
      </c>
      <c r="O220" s="498" t="str">
        <f>IF(OR(D220="",H220=""),"",(INDEX('G-6 Hedgerow Data'!$E$3:$I$15,MATCH(D220,'G-6 Hedgerow Data'!$B$3:$B$15,0),MATCH(H220,'G-6 Hedgerow Data'!$E$2:$I$2,0))))</f>
        <v/>
      </c>
      <c r="P220" s="195"/>
      <c r="Q220" s="195"/>
      <c r="R220" s="507" t="str">
        <f t="shared" si="19"/>
        <v/>
      </c>
      <c r="S220" s="521" t="str">
        <f t="shared" si="20"/>
        <v/>
      </c>
      <c r="T220" s="522" t="str">
        <f t="shared" si="18"/>
        <v/>
      </c>
      <c r="U220" s="537" t="str">
        <f>IF(D220="","",VLOOKUP(D220,'G-6 Hedgerow Data'!$B$3:$AG$15,31,FALSE))</f>
        <v/>
      </c>
      <c r="V220" s="520" t="str">
        <f t="shared" si="21"/>
        <v/>
      </c>
      <c r="W220" s="520" t="str">
        <f t="shared" si="22"/>
        <v/>
      </c>
      <c r="X220" s="524" t="str">
        <f>IF(F220="","",VLOOKUP(U220,'G-3 Multipliers'!$P$3:$Q$6,2,FALSE))</f>
        <v/>
      </c>
      <c r="Y220" s="529" t="str">
        <f t="shared" si="23"/>
        <v/>
      </c>
      <c r="Z220" s="149"/>
      <c r="AA220" s="150"/>
      <c r="AG220" s="31" t="str">
        <f>IFERROR(INDEX('G-6 Hedgerow Data'!$BJ$3:$BJ$15,MATCH(D220,'G-6 Hedgerow Data'!$B$3:$B$15,0)),"")</f>
        <v/>
      </c>
    </row>
    <row r="221" spans="2:33" ht="13.8" x14ac:dyDescent="0.25">
      <c r="B221" s="103">
        <v>210</v>
      </c>
      <c r="C221" s="268"/>
      <c r="D221" s="82"/>
      <c r="E221" s="203"/>
      <c r="F221" s="498" t="str">
        <f>IF(D221="","",VLOOKUP(D221,'G-6 Hedgerow Data'!$B$2:$AG$15,2,FALSE))</f>
        <v/>
      </c>
      <c r="G221" s="524" t="str">
        <f>IF(D221="","",VLOOKUP(D221,'G-6 Hedgerow Data'!$B$2:$AG$15,3,FALSE))</f>
        <v/>
      </c>
      <c r="H221" s="72"/>
      <c r="I221" s="499" t="str">
        <f>IFERROR(IF(AND(F221="V.Low",OR(H221="Good",H221="Moderate")),"Error ▲",VLOOKUP(H221,'G-1 All Habitats'!$Z$2:$AA$9,2,FALSE)),"")</f>
        <v/>
      </c>
      <c r="J221" s="146"/>
      <c r="K221" s="520" t="str">
        <f>IF(J221="","",IF(VLOOKUP(J221,'G-3 Multipliers'!$L$3:$N$6,2,FALSE)=0,"Spatial Data Missing",VLOOKUP(J221,'G-3 Multipliers'!$L$3:$N$6,2,FALSE)))</f>
        <v/>
      </c>
      <c r="L221" s="524" t="str">
        <f>IF(J221="","",IF(VLOOKUP(J221,'G-3 Multipliers'!$L$3:$N$6,3,FALSE)=0,"Spatial Data Missing",VLOOKUP(J221,'G-3 Multipliers'!$L$3:$N$6,3,FALSE)))</f>
        <v/>
      </c>
      <c r="M221" s="197"/>
      <c r="N221" s="499" t="str">
        <f>IF(M221="","",IF(VLOOKUP(M221,'G-3 Multipliers'!$S$3:$T$6,2,FALSE)=0,"Spatial Data Missing ⚠",VLOOKUP(M221,'G-3 Multipliers'!$S$3:$T$6,2,FALSE)))</f>
        <v/>
      </c>
      <c r="O221" s="498" t="str">
        <f>IF(OR(D221="",H221=""),"",(INDEX('G-6 Hedgerow Data'!$E$3:$I$15,MATCH(D221,'G-6 Hedgerow Data'!$B$3:$B$15,0),MATCH(H221,'G-6 Hedgerow Data'!$E$2:$I$2,0))))</f>
        <v/>
      </c>
      <c r="P221" s="195"/>
      <c r="Q221" s="195"/>
      <c r="R221" s="507" t="str">
        <f t="shared" si="19"/>
        <v/>
      </c>
      <c r="S221" s="521" t="str">
        <f t="shared" si="20"/>
        <v/>
      </c>
      <c r="T221" s="522" t="str">
        <f t="shared" si="18"/>
        <v/>
      </c>
      <c r="U221" s="537" t="str">
        <f>IF(D221="","",VLOOKUP(D221,'G-6 Hedgerow Data'!$B$3:$AG$15,31,FALSE))</f>
        <v/>
      </c>
      <c r="V221" s="520" t="str">
        <f t="shared" si="21"/>
        <v/>
      </c>
      <c r="W221" s="520" t="str">
        <f t="shared" si="22"/>
        <v/>
      </c>
      <c r="X221" s="524" t="str">
        <f>IF(F221="","",VLOOKUP(U221,'G-3 Multipliers'!$P$3:$Q$6,2,FALSE))</f>
        <v/>
      </c>
      <c r="Y221" s="529" t="str">
        <f t="shared" si="23"/>
        <v/>
      </c>
      <c r="Z221" s="149"/>
      <c r="AA221" s="150"/>
      <c r="AG221" s="31" t="str">
        <f>IFERROR(INDEX('G-6 Hedgerow Data'!$BJ$3:$BJ$15,MATCH(D221,'G-6 Hedgerow Data'!$B$3:$B$15,0)),"")</f>
        <v/>
      </c>
    </row>
    <row r="222" spans="2:33" ht="13.8" x14ac:dyDescent="0.25">
      <c r="B222" s="103">
        <v>211</v>
      </c>
      <c r="C222" s="268"/>
      <c r="D222" s="82"/>
      <c r="E222" s="203"/>
      <c r="F222" s="498" t="str">
        <f>IF(D222="","",VLOOKUP(D222,'G-6 Hedgerow Data'!$B$2:$AG$15,2,FALSE))</f>
        <v/>
      </c>
      <c r="G222" s="524" t="str">
        <f>IF(D222="","",VLOOKUP(D222,'G-6 Hedgerow Data'!$B$2:$AG$15,3,FALSE))</f>
        <v/>
      </c>
      <c r="H222" s="72"/>
      <c r="I222" s="499" t="str">
        <f>IFERROR(IF(AND(F222="V.Low",OR(H222="Good",H222="Moderate")),"Error ▲",VLOOKUP(H222,'G-1 All Habitats'!$Z$2:$AA$9,2,FALSE)),"")</f>
        <v/>
      </c>
      <c r="J222" s="146"/>
      <c r="K222" s="520" t="str">
        <f>IF(J222="","",IF(VLOOKUP(J222,'G-3 Multipliers'!$L$3:$N$6,2,FALSE)=0,"Spatial Data Missing",VLOOKUP(J222,'G-3 Multipliers'!$L$3:$N$6,2,FALSE)))</f>
        <v/>
      </c>
      <c r="L222" s="524" t="str">
        <f>IF(J222="","",IF(VLOOKUP(J222,'G-3 Multipliers'!$L$3:$N$6,3,FALSE)=0,"Spatial Data Missing",VLOOKUP(J222,'G-3 Multipliers'!$L$3:$N$6,3,FALSE)))</f>
        <v/>
      </c>
      <c r="M222" s="197"/>
      <c r="N222" s="499" t="str">
        <f>IF(M222="","",IF(VLOOKUP(M222,'G-3 Multipliers'!$S$3:$T$6,2,FALSE)=0,"Spatial Data Missing ⚠",VLOOKUP(M222,'G-3 Multipliers'!$S$3:$T$6,2,FALSE)))</f>
        <v/>
      </c>
      <c r="O222" s="498" t="str">
        <f>IF(OR(D222="",H222=""),"",(INDEX('G-6 Hedgerow Data'!$E$3:$I$15,MATCH(D222,'G-6 Hedgerow Data'!$B$3:$B$15,0),MATCH(H222,'G-6 Hedgerow Data'!$E$2:$I$2,0))))</f>
        <v/>
      </c>
      <c r="P222" s="195"/>
      <c r="Q222" s="195"/>
      <c r="R222" s="507" t="str">
        <f t="shared" si="19"/>
        <v/>
      </c>
      <c r="S222" s="521" t="str">
        <f t="shared" si="20"/>
        <v/>
      </c>
      <c r="T222" s="522" t="str">
        <f t="shared" si="18"/>
        <v/>
      </c>
      <c r="U222" s="537" t="str">
        <f>IF(D222="","",VLOOKUP(D222,'G-6 Hedgerow Data'!$B$3:$AG$15,31,FALSE))</f>
        <v/>
      </c>
      <c r="V222" s="520" t="str">
        <f t="shared" si="21"/>
        <v/>
      </c>
      <c r="W222" s="520" t="str">
        <f t="shared" si="22"/>
        <v/>
      </c>
      <c r="X222" s="524" t="str">
        <f>IF(F222="","",VLOOKUP(U222,'G-3 Multipliers'!$P$3:$Q$6,2,FALSE))</f>
        <v/>
      </c>
      <c r="Y222" s="529" t="str">
        <f t="shared" si="23"/>
        <v/>
      </c>
      <c r="Z222" s="149"/>
      <c r="AA222" s="150"/>
      <c r="AG222" s="31" t="str">
        <f>IFERROR(INDEX('G-6 Hedgerow Data'!$BJ$3:$BJ$15,MATCH(D222,'G-6 Hedgerow Data'!$B$3:$B$15,0)),"")</f>
        <v/>
      </c>
    </row>
    <row r="223" spans="2:33" ht="13.8" x14ac:dyDescent="0.25">
      <c r="B223" s="103">
        <v>212</v>
      </c>
      <c r="C223" s="268"/>
      <c r="D223" s="82"/>
      <c r="E223" s="203"/>
      <c r="F223" s="498" t="str">
        <f>IF(D223="","",VLOOKUP(D223,'G-6 Hedgerow Data'!$B$2:$AG$15,2,FALSE))</f>
        <v/>
      </c>
      <c r="G223" s="524" t="str">
        <f>IF(D223="","",VLOOKUP(D223,'G-6 Hedgerow Data'!$B$2:$AG$15,3,FALSE))</f>
        <v/>
      </c>
      <c r="H223" s="72"/>
      <c r="I223" s="499" t="str">
        <f>IFERROR(IF(AND(F223="V.Low",OR(H223="Good",H223="Moderate")),"Error ▲",VLOOKUP(H223,'G-1 All Habitats'!$Z$2:$AA$9,2,FALSE)),"")</f>
        <v/>
      </c>
      <c r="J223" s="146"/>
      <c r="K223" s="520" t="str">
        <f>IF(J223="","",IF(VLOOKUP(J223,'G-3 Multipliers'!$L$3:$N$6,2,FALSE)=0,"Spatial Data Missing",VLOOKUP(J223,'G-3 Multipliers'!$L$3:$N$6,2,FALSE)))</f>
        <v/>
      </c>
      <c r="L223" s="524" t="str">
        <f>IF(J223="","",IF(VLOOKUP(J223,'G-3 Multipliers'!$L$3:$N$6,3,FALSE)=0,"Spatial Data Missing",VLOOKUP(J223,'G-3 Multipliers'!$L$3:$N$6,3,FALSE)))</f>
        <v/>
      </c>
      <c r="M223" s="197"/>
      <c r="N223" s="499" t="str">
        <f>IF(M223="","",IF(VLOOKUP(M223,'G-3 Multipliers'!$S$3:$T$6,2,FALSE)=0,"Spatial Data Missing ⚠",VLOOKUP(M223,'G-3 Multipliers'!$S$3:$T$6,2,FALSE)))</f>
        <v/>
      </c>
      <c r="O223" s="498" t="str">
        <f>IF(OR(D223="",H223=""),"",(INDEX('G-6 Hedgerow Data'!$E$3:$I$15,MATCH(D223,'G-6 Hedgerow Data'!$B$3:$B$15,0),MATCH(H223,'G-6 Hedgerow Data'!$E$2:$I$2,0))))</f>
        <v/>
      </c>
      <c r="P223" s="195"/>
      <c r="Q223" s="195"/>
      <c r="R223" s="507" t="str">
        <f t="shared" si="19"/>
        <v/>
      </c>
      <c r="S223" s="521" t="str">
        <f t="shared" si="20"/>
        <v/>
      </c>
      <c r="T223" s="522" t="str">
        <f t="shared" si="18"/>
        <v/>
      </c>
      <c r="U223" s="537" t="str">
        <f>IF(D223="","",VLOOKUP(D223,'G-6 Hedgerow Data'!$B$3:$AG$15,31,FALSE))</f>
        <v/>
      </c>
      <c r="V223" s="520" t="str">
        <f t="shared" si="21"/>
        <v/>
      </c>
      <c r="W223" s="520" t="str">
        <f t="shared" si="22"/>
        <v/>
      </c>
      <c r="X223" s="524" t="str">
        <f>IF(F223="","",VLOOKUP(U223,'G-3 Multipliers'!$P$3:$Q$6,2,FALSE))</f>
        <v/>
      </c>
      <c r="Y223" s="529" t="str">
        <f t="shared" si="23"/>
        <v/>
      </c>
      <c r="Z223" s="149"/>
      <c r="AA223" s="150"/>
      <c r="AG223" s="31" t="str">
        <f>IFERROR(INDEX('G-6 Hedgerow Data'!$BJ$3:$BJ$15,MATCH(D223,'G-6 Hedgerow Data'!$B$3:$B$15,0)),"")</f>
        <v/>
      </c>
    </row>
    <row r="224" spans="2:33" ht="13.8" x14ac:dyDescent="0.25">
      <c r="B224" s="103">
        <v>213</v>
      </c>
      <c r="C224" s="268"/>
      <c r="D224" s="82"/>
      <c r="E224" s="203"/>
      <c r="F224" s="498" t="str">
        <f>IF(D224="","",VLOOKUP(D224,'G-6 Hedgerow Data'!$B$2:$AG$15,2,FALSE))</f>
        <v/>
      </c>
      <c r="G224" s="524" t="str">
        <f>IF(D224="","",VLOOKUP(D224,'G-6 Hedgerow Data'!$B$2:$AG$15,3,FALSE))</f>
        <v/>
      </c>
      <c r="H224" s="72"/>
      <c r="I224" s="499" t="str">
        <f>IFERROR(IF(AND(F224="V.Low",OR(H224="Good",H224="Moderate")),"Error ▲",VLOOKUP(H224,'G-1 All Habitats'!$Z$2:$AA$9,2,FALSE)),"")</f>
        <v/>
      </c>
      <c r="J224" s="146"/>
      <c r="K224" s="520" t="str">
        <f>IF(J224="","",IF(VLOOKUP(J224,'G-3 Multipliers'!$L$3:$N$6,2,FALSE)=0,"Spatial Data Missing",VLOOKUP(J224,'G-3 Multipliers'!$L$3:$N$6,2,FALSE)))</f>
        <v/>
      </c>
      <c r="L224" s="524" t="str">
        <f>IF(J224="","",IF(VLOOKUP(J224,'G-3 Multipliers'!$L$3:$N$6,3,FALSE)=0,"Spatial Data Missing",VLOOKUP(J224,'G-3 Multipliers'!$L$3:$N$6,3,FALSE)))</f>
        <v/>
      </c>
      <c r="M224" s="197"/>
      <c r="N224" s="499" t="str">
        <f>IF(M224="","",IF(VLOOKUP(M224,'G-3 Multipliers'!$S$3:$T$6,2,FALSE)=0,"Spatial Data Missing ⚠",VLOOKUP(M224,'G-3 Multipliers'!$S$3:$T$6,2,FALSE)))</f>
        <v/>
      </c>
      <c r="O224" s="498" t="str">
        <f>IF(OR(D224="",H224=""),"",(INDEX('G-6 Hedgerow Data'!$E$3:$I$15,MATCH(D224,'G-6 Hedgerow Data'!$B$3:$B$15,0),MATCH(H224,'G-6 Hedgerow Data'!$E$2:$I$2,0))))</f>
        <v/>
      </c>
      <c r="P224" s="195"/>
      <c r="Q224" s="195"/>
      <c r="R224" s="507" t="str">
        <f t="shared" si="19"/>
        <v/>
      </c>
      <c r="S224" s="521" t="str">
        <f t="shared" si="20"/>
        <v/>
      </c>
      <c r="T224" s="522" t="str">
        <f t="shared" si="18"/>
        <v/>
      </c>
      <c r="U224" s="537" t="str">
        <f>IF(D224="","",VLOOKUP(D224,'G-6 Hedgerow Data'!$B$3:$AG$15,31,FALSE))</f>
        <v/>
      </c>
      <c r="V224" s="520" t="str">
        <f t="shared" si="21"/>
        <v/>
      </c>
      <c r="W224" s="520" t="str">
        <f t="shared" si="22"/>
        <v/>
      </c>
      <c r="X224" s="524" t="str">
        <f>IF(F224="","",VLOOKUP(U224,'G-3 Multipliers'!$P$3:$Q$6,2,FALSE))</f>
        <v/>
      </c>
      <c r="Y224" s="529" t="str">
        <f t="shared" si="23"/>
        <v/>
      </c>
      <c r="Z224" s="149"/>
      <c r="AA224" s="150"/>
      <c r="AG224" s="31" t="str">
        <f>IFERROR(INDEX('G-6 Hedgerow Data'!$BJ$3:$BJ$15,MATCH(D224,'G-6 Hedgerow Data'!$B$3:$B$15,0)),"")</f>
        <v/>
      </c>
    </row>
    <row r="225" spans="2:33" ht="13.8" x14ac:dyDescent="0.25">
      <c r="B225" s="103">
        <v>214</v>
      </c>
      <c r="C225" s="268"/>
      <c r="D225" s="82"/>
      <c r="E225" s="203"/>
      <c r="F225" s="498" t="str">
        <f>IF(D225="","",VLOOKUP(D225,'G-6 Hedgerow Data'!$B$2:$AG$15,2,FALSE))</f>
        <v/>
      </c>
      <c r="G225" s="524" t="str">
        <f>IF(D225="","",VLOOKUP(D225,'G-6 Hedgerow Data'!$B$2:$AG$15,3,FALSE))</f>
        <v/>
      </c>
      <c r="H225" s="72"/>
      <c r="I225" s="499" t="str">
        <f>IFERROR(IF(AND(F225="V.Low",OR(H225="Good",H225="Moderate")),"Error ▲",VLOOKUP(H225,'G-1 All Habitats'!$Z$2:$AA$9,2,FALSE)),"")</f>
        <v/>
      </c>
      <c r="J225" s="146"/>
      <c r="K225" s="520" t="str">
        <f>IF(J225="","",IF(VLOOKUP(J225,'G-3 Multipliers'!$L$3:$N$6,2,FALSE)=0,"Spatial Data Missing",VLOOKUP(J225,'G-3 Multipliers'!$L$3:$N$6,2,FALSE)))</f>
        <v/>
      </c>
      <c r="L225" s="524" t="str">
        <f>IF(J225="","",IF(VLOOKUP(J225,'G-3 Multipliers'!$L$3:$N$6,3,FALSE)=0,"Spatial Data Missing",VLOOKUP(J225,'G-3 Multipliers'!$L$3:$N$6,3,FALSE)))</f>
        <v/>
      </c>
      <c r="M225" s="197"/>
      <c r="N225" s="499" t="str">
        <f>IF(M225="","",IF(VLOOKUP(M225,'G-3 Multipliers'!$S$3:$T$6,2,FALSE)=0,"Spatial Data Missing ⚠",VLOOKUP(M225,'G-3 Multipliers'!$S$3:$T$6,2,FALSE)))</f>
        <v/>
      </c>
      <c r="O225" s="498" t="str">
        <f>IF(OR(D225="",H225=""),"",(INDEX('G-6 Hedgerow Data'!$E$3:$I$15,MATCH(D225,'G-6 Hedgerow Data'!$B$3:$B$15,0),MATCH(H225,'G-6 Hedgerow Data'!$E$2:$I$2,0))))</f>
        <v/>
      </c>
      <c r="P225" s="195"/>
      <c r="Q225" s="195"/>
      <c r="R225" s="507" t="str">
        <f t="shared" si="19"/>
        <v/>
      </c>
      <c r="S225" s="521" t="str">
        <f t="shared" si="20"/>
        <v/>
      </c>
      <c r="T225" s="522" t="str">
        <f t="shared" si="18"/>
        <v/>
      </c>
      <c r="U225" s="537" t="str">
        <f>IF(D225="","",VLOOKUP(D225,'G-6 Hedgerow Data'!$B$3:$AG$15,31,FALSE))</f>
        <v/>
      </c>
      <c r="V225" s="520" t="str">
        <f t="shared" si="21"/>
        <v/>
      </c>
      <c r="W225" s="520" t="str">
        <f t="shared" si="22"/>
        <v/>
      </c>
      <c r="X225" s="524" t="str">
        <f>IF(F225="","",VLOOKUP(U225,'G-3 Multipliers'!$P$3:$Q$6,2,FALSE))</f>
        <v/>
      </c>
      <c r="Y225" s="529" t="str">
        <f t="shared" si="23"/>
        <v/>
      </c>
      <c r="Z225" s="149"/>
      <c r="AA225" s="150"/>
      <c r="AG225" s="31" t="str">
        <f>IFERROR(INDEX('G-6 Hedgerow Data'!$BJ$3:$BJ$15,MATCH(D225,'G-6 Hedgerow Data'!$B$3:$B$15,0)),"")</f>
        <v/>
      </c>
    </row>
    <row r="226" spans="2:33" ht="13.8" x14ac:dyDescent="0.25">
      <c r="B226" s="103">
        <v>215</v>
      </c>
      <c r="C226" s="268"/>
      <c r="D226" s="82"/>
      <c r="E226" s="203"/>
      <c r="F226" s="498" t="str">
        <f>IF(D226="","",VLOOKUP(D226,'G-6 Hedgerow Data'!$B$2:$AG$15,2,FALSE))</f>
        <v/>
      </c>
      <c r="G226" s="524" t="str">
        <f>IF(D226="","",VLOOKUP(D226,'G-6 Hedgerow Data'!$B$2:$AG$15,3,FALSE))</f>
        <v/>
      </c>
      <c r="H226" s="72"/>
      <c r="I226" s="499" t="str">
        <f>IFERROR(IF(AND(F226="V.Low",OR(H226="Good",H226="Moderate")),"Error ▲",VLOOKUP(H226,'G-1 All Habitats'!$Z$2:$AA$9,2,FALSE)),"")</f>
        <v/>
      </c>
      <c r="J226" s="146"/>
      <c r="K226" s="520" t="str">
        <f>IF(J226="","",IF(VLOOKUP(J226,'G-3 Multipliers'!$L$3:$N$6,2,FALSE)=0,"Spatial Data Missing",VLOOKUP(J226,'G-3 Multipliers'!$L$3:$N$6,2,FALSE)))</f>
        <v/>
      </c>
      <c r="L226" s="524" t="str">
        <f>IF(J226="","",IF(VLOOKUP(J226,'G-3 Multipliers'!$L$3:$N$6,3,FALSE)=0,"Spatial Data Missing",VLOOKUP(J226,'G-3 Multipliers'!$L$3:$N$6,3,FALSE)))</f>
        <v/>
      </c>
      <c r="M226" s="197"/>
      <c r="N226" s="499" t="str">
        <f>IF(M226="","",IF(VLOOKUP(M226,'G-3 Multipliers'!$S$3:$T$6,2,FALSE)=0,"Spatial Data Missing ⚠",VLOOKUP(M226,'G-3 Multipliers'!$S$3:$T$6,2,FALSE)))</f>
        <v/>
      </c>
      <c r="O226" s="498" t="str">
        <f>IF(OR(D226="",H226=""),"",(INDEX('G-6 Hedgerow Data'!$E$3:$I$15,MATCH(D226,'G-6 Hedgerow Data'!$B$3:$B$15,0),MATCH(H226,'G-6 Hedgerow Data'!$E$2:$I$2,0))))</f>
        <v/>
      </c>
      <c r="P226" s="195"/>
      <c r="Q226" s="195"/>
      <c r="R226" s="507" t="str">
        <f t="shared" si="19"/>
        <v/>
      </c>
      <c r="S226" s="521" t="str">
        <f t="shared" si="20"/>
        <v/>
      </c>
      <c r="T226" s="522" t="str">
        <f t="shared" si="18"/>
        <v/>
      </c>
      <c r="U226" s="537" t="str">
        <f>IF(D226="","",VLOOKUP(D226,'G-6 Hedgerow Data'!$B$3:$AG$15,31,FALSE))</f>
        <v/>
      </c>
      <c r="V226" s="520" t="str">
        <f t="shared" si="21"/>
        <v/>
      </c>
      <c r="W226" s="520" t="str">
        <f t="shared" si="22"/>
        <v/>
      </c>
      <c r="X226" s="524" t="str">
        <f>IF(F226="","",VLOOKUP(U226,'G-3 Multipliers'!$P$3:$Q$6,2,FALSE))</f>
        <v/>
      </c>
      <c r="Y226" s="529" t="str">
        <f t="shared" si="23"/>
        <v/>
      </c>
      <c r="Z226" s="149"/>
      <c r="AA226" s="150"/>
      <c r="AG226" s="31" t="str">
        <f>IFERROR(INDEX('G-6 Hedgerow Data'!$BJ$3:$BJ$15,MATCH(D226,'G-6 Hedgerow Data'!$B$3:$B$15,0)),"")</f>
        <v/>
      </c>
    </row>
    <row r="227" spans="2:33" ht="13.8" x14ac:dyDescent="0.25">
      <c r="B227" s="103">
        <v>216</v>
      </c>
      <c r="C227" s="268"/>
      <c r="D227" s="82"/>
      <c r="E227" s="203"/>
      <c r="F227" s="498" t="str">
        <f>IF(D227="","",VLOOKUP(D227,'G-6 Hedgerow Data'!$B$2:$AG$15,2,FALSE))</f>
        <v/>
      </c>
      <c r="G227" s="524" t="str">
        <f>IF(D227="","",VLOOKUP(D227,'G-6 Hedgerow Data'!$B$2:$AG$15,3,FALSE))</f>
        <v/>
      </c>
      <c r="H227" s="72"/>
      <c r="I227" s="499" t="str">
        <f>IFERROR(IF(AND(F227="V.Low",OR(H227="Good",H227="Moderate")),"Error ▲",VLOOKUP(H227,'G-1 All Habitats'!$Z$2:$AA$9,2,FALSE)),"")</f>
        <v/>
      </c>
      <c r="J227" s="146"/>
      <c r="K227" s="520" t="str">
        <f>IF(J227="","",IF(VLOOKUP(J227,'G-3 Multipliers'!$L$3:$N$6,2,FALSE)=0,"Spatial Data Missing",VLOOKUP(J227,'G-3 Multipliers'!$L$3:$N$6,2,FALSE)))</f>
        <v/>
      </c>
      <c r="L227" s="524" t="str">
        <f>IF(J227="","",IF(VLOOKUP(J227,'G-3 Multipliers'!$L$3:$N$6,3,FALSE)=0,"Spatial Data Missing",VLOOKUP(J227,'G-3 Multipliers'!$L$3:$N$6,3,FALSE)))</f>
        <v/>
      </c>
      <c r="M227" s="197"/>
      <c r="N227" s="499" t="str">
        <f>IF(M227="","",IF(VLOOKUP(M227,'G-3 Multipliers'!$S$3:$T$6,2,FALSE)=0,"Spatial Data Missing ⚠",VLOOKUP(M227,'G-3 Multipliers'!$S$3:$T$6,2,FALSE)))</f>
        <v/>
      </c>
      <c r="O227" s="498" t="str">
        <f>IF(OR(D227="",H227=""),"",(INDEX('G-6 Hedgerow Data'!$E$3:$I$15,MATCH(D227,'G-6 Hedgerow Data'!$B$3:$B$15,0),MATCH(H227,'G-6 Hedgerow Data'!$E$2:$I$2,0))))</f>
        <v/>
      </c>
      <c r="P227" s="195"/>
      <c r="Q227" s="195"/>
      <c r="R227" s="507" t="str">
        <f t="shared" si="19"/>
        <v/>
      </c>
      <c r="S227" s="521" t="str">
        <f t="shared" si="20"/>
        <v/>
      </c>
      <c r="T227" s="522" t="str">
        <f t="shared" si="18"/>
        <v/>
      </c>
      <c r="U227" s="537" t="str">
        <f>IF(D227="","",VLOOKUP(D227,'G-6 Hedgerow Data'!$B$3:$AG$15,31,FALSE))</f>
        <v/>
      </c>
      <c r="V227" s="520" t="str">
        <f t="shared" si="21"/>
        <v/>
      </c>
      <c r="W227" s="520" t="str">
        <f t="shared" si="22"/>
        <v/>
      </c>
      <c r="X227" s="524" t="str">
        <f>IF(F227="","",VLOOKUP(U227,'G-3 Multipliers'!$P$3:$Q$6,2,FALSE))</f>
        <v/>
      </c>
      <c r="Y227" s="529" t="str">
        <f t="shared" si="23"/>
        <v/>
      </c>
      <c r="Z227" s="149"/>
      <c r="AA227" s="150"/>
      <c r="AG227" s="31" t="str">
        <f>IFERROR(INDEX('G-6 Hedgerow Data'!$BJ$3:$BJ$15,MATCH(D227,'G-6 Hedgerow Data'!$B$3:$B$15,0)),"")</f>
        <v/>
      </c>
    </row>
    <row r="228" spans="2:33" ht="13.8" x14ac:dyDescent="0.25">
      <c r="B228" s="103">
        <v>217</v>
      </c>
      <c r="C228" s="268"/>
      <c r="D228" s="82"/>
      <c r="E228" s="203"/>
      <c r="F228" s="498" t="str">
        <f>IF(D228="","",VLOOKUP(D228,'G-6 Hedgerow Data'!$B$2:$AG$15,2,FALSE))</f>
        <v/>
      </c>
      <c r="G228" s="524" t="str">
        <f>IF(D228="","",VLOOKUP(D228,'G-6 Hedgerow Data'!$B$2:$AG$15,3,FALSE))</f>
        <v/>
      </c>
      <c r="H228" s="72"/>
      <c r="I228" s="499" t="str">
        <f>IFERROR(IF(AND(F228="V.Low",OR(H228="Good",H228="Moderate")),"Error ▲",VLOOKUP(H228,'G-1 All Habitats'!$Z$2:$AA$9,2,FALSE)),"")</f>
        <v/>
      </c>
      <c r="J228" s="146"/>
      <c r="K228" s="520" t="str">
        <f>IF(J228="","",IF(VLOOKUP(J228,'G-3 Multipliers'!$L$3:$N$6,2,FALSE)=0,"Spatial Data Missing",VLOOKUP(J228,'G-3 Multipliers'!$L$3:$N$6,2,FALSE)))</f>
        <v/>
      </c>
      <c r="L228" s="524" t="str">
        <f>IF(J228="","",IF(VLOOKUP(J228,'G-3 Multipliers'!$L$3:$N$6,3,FALSE)=0,"Spatial Data Missing",VLOOKUP(J228,'G-3 Multipliers'!$L$3:$N$6,3,FALSE)))</f>
        <v/>
      </c>
      <c r="M228" s="197"/>
      <c r="N228" s="499" t="str">
        <f>IF(M228="","",IF(VLOOKUP(M228,'G-3 Multipliers'!$S$3:$T$6,2,FALSE)=0,"Spatial Data Missing ⚠",VLOOKUP(M228,'G-3 Multipliers'!$S$3:$T$6,2,FALSE)))</f>
        <v/>
      </c>
      <c r="O228" s="498" t="str">
        <f>IF(OR(D228="",H228=""),"",(INDEX('G-6 Hedgerow Data'!$E$3:$I$15,MATCH(D228,'G-6 Hedgerow Data'!$B$3:$B$15,0),MATCH(H228,'G-6 Hedgerow Data'!$E$2:$I$2,0))))</f>
        <v/>
      </c>
      <c r="P228" s="195"/>
      <c r="Q228" s="195"/>
      <c r="R228" s="507" t="str">
        <f t="shared" si="19"/>
        <v/>
      </c>
      <c r="S228" s="521" t="str">
        <f t="shared" si="20"/>
        <v/>
      </c>
      <c r="T228" s="522" t="str">
        <f t="shared" si="18"/>
        <v/>
      </c>
      <c r="U228" s="537" t="str">
        <f>IF(D228="","",VLOOKUP(D228,'G-6 Hedgerow Data'!$B$3:$AG$15,31,FALSE))</f>
        <v/>
      </c>
      <c r="V228" s="520" t="str">
        <f t="shared" si="21"/>
        <v/>
      </c>
      <c r="W228" s="520" t="str">
        <f t="shared" si="22"/>
        <v/>
      </c>
      <c r="X228" s="524" t="str">
        <f>IF(F228="","",VLOOKUP(U228,'G-3 Multipliers'!$P$3:$Q$6,2,FALSE))</f>
        <v/>
      </c>
      <c r="Y228" s="529" t="str">
        <f t="shared" si="23"/>
        <v/>
      </c>
      <c r="Z228" s="149"/>
      <c r="AA228" s="150"/>
      <c r="AG228" s="31" t="str">
        <f>IFERROR(INDEX('G-6 Hedgerow Data'!$BJ$3:$BJ$15,MATCH(D228,'G-6 Hedgerow Data'!$B$3:$B$15,0)),"")</f>
        <v/>
      </c>
    </row>
    <row r="229" spans="2:33" ht="13.8" x14ac:dyDescent="0.25">
      <c r="B229" s="103">
        <v>218</v>
      </c>
      <c r="C229" s="268"/>
      <c r="D229" s="82"/>
      <c r="E229" s="203"/>
      <c r="F229" s="498" t="str">
        <f>IF(D229="","",VLOOKUP(D229,'G-6 Hedgerow Data'!$B$2:$AG$15,2,FALSE))</f>
        <v/>
      </c>
      <c r="G229" s="524" t="str">
        <f>IF(D229="","",VLOOKUP(D229,'G-6 Hedgerow Data'!$B$2:$AG$15,3,FALSE))</f>
        <v/>
      </c>
      <c r="H229" s="72"/>
      <c r="I229" s="499" t="str">
        <f>IFERROR(IF(AND(F229="V.Low",OR(H229="Good",H229="Moderate")),"Error ▲",VLOOKUP(H229,'G-1 All Habitats'!$Z$2:$AA$9,2,FALSE)),"")</f>
        <v/>
      </c>
      <c r="J229" s="146"/>
      <c r="K229" s="520" t="str">
        <f>IF(J229="","",IF(VLOOKUP(J229,'G-3 Multipliers'!$L$3:$N$6,2,FALSE)=0,"Spatial Data Missing",VLOOKUP(J229,'G-3 Multipliers'!$L$3:$N$6,2,FALSE)))</f>
        <v/>
      </c>
      <c r="L229" s="524" t="str">
        <f>IF(J229="","",IF(VLOOKUP(J229,'G-3 Multipliers'!$L$3:$N$6,3,FALSE)=0,"Spatial Data Missing",VLOOKUP(J229,'G-3 Multipliers'!$L$3:$N$6,3,FALSE)))</f>
        <v/>
      </c>
      <c r="M229" s="197"/>
      <c r="N229" s="499" t="str">
        <f>IF(M229="","",IF(VLOOKUP(M229,'G-3 Multipliers'!$S$3:$T$6,2,FALSE)=0,"Spatial Data Missing ⚠",VLOOKUP(M229,'G-3 Multipliers'!$S$3:$T$6,2,FALSE)))</f>
        <v/>
      </c>
      <c r="O229" s="498" t="str">
        <f>IF(OR(D229="",H229=""),"",(INDEX('G-6 Hedgerow Data'!$E$3:$I$15,MATCH(D229,'G-6 Hedgerow Data'!$B$3:$B$15,0),MATCH(H229,'G-6 Hedgerow Data'!$E$2:$I$2,0))))</f>
        <v/>
      </c>
      <c r="P229" s="195"/>
      <c r="Q229" s="195"/>
      <c r="R229" s="507" t="str">
        <f t="shared" si="19"/>
        <v/>
      </c>
      <c r="S229" s="521" t="str">
        <f t="shared" si="20"/>
        <v/>
      </c>
      <c r="T229" s="522" t="str">
        <f t="shared" si="18"/>
        <v/>
      </c>
      <c r="U229" s="537" t="str">
        <f>IF(D229="","",VLOOKUP(D229,'G-6 Hedgerow Data'!$B$3:$AG$15,31,FALSE))</f>
        <v/>
      </c>
      <c r="V229" s="520" t="str">
        <f t="shared" si="21"/>
        <v/>
      </c>
      <c r="W229" s="520" t="str">
        <f t="shared" si="22"/>
        <v/>
      </c>
      <c r="X229" s="524" t="str">
        <f>IF(F229="","",VLOOKUP(U229,'G-3 Multipliers'!$P$3:$Q$6,2,FALSE))</f>
        <v/>
      </c>
      <c r="Y229" s="529" t="str">
        <f t="shared" si="23"/>
        <v/>
      </c>
      <c r="Z229" s="149"/>
      <c r="AA229" s="150"/>
      <c r="AG229" s="31" t="str">
        <f>IFERROR(INDEX('G-6 Hedgerow Data'!$BJ$3:$BJ$15,MATCH(D229,'G-6 Hedgerow Data'!$B$3:$B$15,0)),"")</f>
        <v/>
      </c>
    </row>
    <row r="230" spans="2:33" ht="13.8" x14ac:dyDescent="0.25">
      <c r="B230" s="103">
        <v>219</v>
      </c>
      <c r="C230" s="268"/>
      <c r="D230" s="82"/>
      <c r="E230" s="203"/>
      <c r="F230" s="498" t="str">
        <f>IF(D230="","",VLOOKUP(D230,'G-6 Hedgerow Data'!$B$2:$AG$15,2,FALSE))</f>
        <v/>
      </c>
      <c r="G230" s="524" t="str">
        <f>IF(D230="","",VLOOKUP(D230,'G-6 Hedgerow Data'!$B$2:$AG$15,3,FALSE))</f>
        <v/>
      </c>
      <c r="H230" s="72"/>
      <c r="I230" s="499" t="str">
        <f>IFERROR(IF(AND(F230="V.Low",OR(H230="Good",H230="Moderate")),"Error ▲",VLOOKUP(H230,'G-1 All Habitats'!$Z$2:$AA$9,2,FALSE)),"")</f>
        <v/>
      </c>
      <c r="J230" s="146"/>
      <c r="K230" s="520" t="str">
        <f>IF(J230="","",IF(VLOOKUP(J230,'G-3 Multipliers'!$L$3:$N$6,2,FALSE)=0,"Spatial Data Missing",VLOOKUP(J230,'G-3 Multipliers'!$L$3:$N$6,2,FALSE)))</f>
        <v/>
      </c>
      <c r="L230" s="524" t="str">
        <f>IF(J230="","",IF(VLOOKUP(J230,'G-3 Multipliers'!$L$3:$N$6,3,FALSE)=0,"Spatial Data Missing",VLOOKUP(J230,'G-3 Multipliers'!$L$3:$N$6,3,FALSE)))</f>
        <v/>
      </c>
      <c r="M230" s="197"/>
      <c r="N230" s="499" t="str">
        <f>IF(M230="","",IF(VLOOKUP(M230,'G-3 Multipliers'!$S$3:$T$6,2,FALSE)=0,"Spatial Data Missing ⚠",VLOOKUP(M230,'G-3 Multipliers'!$S$3:$T$6,2,FALSE)))</f>
        <v/>
      </c>
      <c r="O230" s="498" t="str">
        <f>IF(OR(D230="",H230=""),"",(INDEX('G-6 Hedgerow Data'!$E$3:$I$15,MATCH(D230,'G-6 Hedgerow Data'!$B$3:$B$15,0),MATCH(H230,'G-6 Hedgerow Data'!$E$2:$I$2,0))))</f>
        <v/>
      </c>
      <c r="P230" s="195"/>
      <c r="Q230" s="195"/>
      <c r="R230" s="507" t="str">
        <f t="shared" si="19"/>
        <v/>
      </c>
      <c r="S230" s="521" t="str">
        <f t="shared" si="20"/>
        <v/>
      </c>
      <c r="T230" s="522" t="str">
        <f t="shared" si="18"/>
        <v/>
      </c>
      <c r="U230" s="537" t="str">
        <f>IF(D230="","",VLOOKUP(D230,'G-6 Hedgerow Data'!$B$3:$AG$15,31,FALSE))</f>
        <v/>
      </c>
      <c r="V230" s="520" t="str">
        <f t="shared" si="21"/>
        <v/>
      </c>
      <c r="W230" s="520" t="str">
        <f t="shared" si="22"/>
        <v/>
      </c>
      <c r="X230" s="524" t="str">
        <f>IF(F230="","",VLOOKUP(U230,'G-3 Multipliers'!$P$3:$Q$6,2,FALSE))</f>
        <v/>
      </c>
      <c r="Y230" s="529" t="str">
        <f t="shared" si="23"/>
        <v/>
      </c>
      <c r="Z230" s="149"/>
      <c r="AA230" s="150"/>
      <c r="AG230" s="31" t="str">
        <f>IFERROR(INDEX('G-6 Hedgerow Data'!$BJ$3:$BJ$15,MATCH(D230,'G-6 Hedgerow Data'!$B$3:$B$15,0)),"")</f>
        <v/>
      </c>
    </row>
    <row r="231" spans="2:33" ht="13.8" x14ac:dyDescent="0.25">
      <c r="B231" s="103">
        <v>220</v>
      </c>
      <c r="C231" s="268"/>
      <c r="D231" s="82"/>
      <c r="E231" s="203"/>
      <c r="F231" s="498" t="str">
        <f>IF(D231="","",VLOOKUP(D231,'G-6 Hedgerow Data'!$B$2:$AG$15,2,FALSE))</f>
        <v/>
      </c>
      <c r="G231" s="524" t="str">
        <f>IF(D231="","",VLOOKUP(D231,'G-6 Hedgerow Data'!$B$2:$AG$15,3,FALSE))</f>
        <v/>
      </c>
      <c r="H231" s="72"/>
      <c r="I231" s="499" t="str">
        <f>IFERROR(IF(AND(F231="V.Low",OR(H231="Good",H231="Moderate")),"Error ▲",VLOOKUP(H231,'G-1 All Habitats'!$Z$2:$AA$9,2,FALSE)),"")</f>
        <v/>
      </c>
      <c r="J231" s="146"/>
      <c r="K231" s="520" t="str">
        <f>IF(J231="","",IF(VLOOKUP(J231,'G-3 Multipliers'!$L$3:$N$6,2,FALSE)=0,"Spatial Data Missing",VLOOKUP(J231,'G-3 Multipliers'!$L$3:$N$6,2,FALSE)))</f>
        <v/>
      </c>
      <c r="L231" s="524" t="str">
        <f>IF(J231="","",IF(VLOOKUP(J231,'G-3 Multipliers'!$L$3:$N$6,3,FALSE)=0,"Spatial Data Missing",VLOOKUP(J231,'G-3 Multipliers'!$L$3:$N$6,3,FALSE)))</f>
        <v/>
      </c>
      <c r="M231" s="197"/>
      <c r="N231" s="499" t="str">
        <f>IF(M231="","",IF(VLOOKUP(M231,'G-3 Multipliers'!$S$3:$T$6,2,FALSE)=0,"Spatial Data Missing ⚠",VLOOKUP(M231,'G-3 Multipliers'!$S$3:$T$6,2,FALSE)))</f>
        <v/>
      </c>
      <c r="O231" s="498" t="str">
        <f>IF(OR(D231="",H231=""),"",(INDEX('G-6 Hedgerow Data'!$E$3:$I$15,MATCH(D231,'G-6 Hedgerow Data'!$B$3:$B$15,0),MATCH(H231,'G-6 Hedgerow Data'!$E$2:$I$2,0))))</f>
        <v/>
      </c>
      <c r="P231" s="195"/>
      <c r="Q231" s="195"/>
      <c r="R231" s="507" t="str">
        <f t="shared" si="19"/>
        <v/>
      </c>
      <c r="S231" s="521" t="str">
        <f t="shared" si="20"/>
        <v/>
      </c>
      <c r="T231" s="522" t="str">
        <f t="shared" si="18"/>
        <v/>
      </c>
      <c r="U231" s="537" t="str">
        <f>IF(D231="","",VLOOKUP(D231,'G-6 Hedgerow Data'!$B$3:$AG$15,31,FALSE))</f>
        <v/>
      </c>
      <c r="V231" s="520" t="str">
        <f t="shared" si="21"/>
        <v/>
      </c>
      <c r="W231" s="520" t="str">
        <f t="shared" si="22"/>
        <v/>
      </c>
      <c r="X231" s="524" t="str">
        <f>IF(F231="","",VLOOKUP(U231,'G-3 Multipliers'!$P$3:$Q$6,2,FALSE))</f>
        <v/>
      </c>
      <c r="Y231" s="529" t="str">
        <f t="shared" si="23"/>
        <v/>
      </c>
      <c r="Z231" s="149"/>
      <c r="AA231" s="150"/>
      <c r="AG231" s="31" t="str">
        <f>IFERROR(INDEX('G-6 Hedgerow Data'!$BJ$3:$BJ$15,MATCH(D231,'G-6 Hedgerow Data'!$B$3:$B$15,0)),"")</f>
        <v/>
      </c>
    </row>
    <row r="232" spans="2:33" ht="13.8" x14ac:dyDescent="0.25">
      <c r="B232" s="103">
        <v>221</v>
      </c>
      <c r="C232" s="268"/>
      <c r="D232" s="82"/>
      <c r="E232" s="203"/>
      <c r="F232" s="498" t="str">
        <f>IF(D232="","",VLOOKUP(D232,'G-6 Hedgerow Data'!$B$2:$AG$15,2,FALSE))</f>
        <v/>
      </c>
      <c r="G232" s="524" t="str">
        <f>IF(D232="","",VLOOKUP(D232,'G-6 Hedgerow Data'!$B$2:$AG$15,3,FALSE))</f>
        <v/>
      </c>
      <c r="H232" s="72"/>
      <c r="I232" s="499" t="str">
        <f>IFERROR(IF(AND(F232="V.Low",OR(H232="Good",H232="Moderate")),"Error ▲",VLOOKUP(H232,'G-1 All Habitats'!$Z$2:$AA$9,2,FALSE)),"")</f>
        <v/>
      </c>
      <c r="J232" s="146"/>
      <c r="K232" s="520" t="str">
        <f>IF(J232="","",IF(VLOOKUP(J232,'G-3 Multipliers'!$L$3:$N$6,2,FALSE)=0,"Spatial Data Missing",VLOOKUP(J232,'G-3 Multipliers'!$L$3:$N$6,2,FALSE)))</f>
        <v/>
      </c>
      <c r="L232" s="524" t="str">
        <f>IF(J232="","",IF(VLOOKUP(J232,'G-3 Multipliers'!$L$3:$N$6,3,FALSE)=0,"Spatial Data Missing",VLOOKUP(J232,'G-3 Multipliers'!$L$3:$N$6,3,FALSE)))</f>
        <v/>
      </c>
      <c r="M232" s="197"/>
      <c r="N232" s="499" t="str">
        <f>IF(M232="","",IF(VLOOKUP(M232,'G-3 Multipliers'!$S$3:$T$6,2,FALSE)=0,"Spatial Data Missing ⚠",VLOOKUP(M232,'G-3 Multipliers'!$S$3:$T$6,2,FALSE)))</f>
        <v/>
      </c>
      <c r="O232" s="498" t="str">
        <f>IF(OR(D232="",H232=""),"",(INDEX('G-6 Hedgerow Data'!$E$3:$I$15,MATCH(D232,'G-6 Hedgerow Data'!$B$3:$B$15,0),MATCH(H232,'G-6 Hedgerow Data'!$E$2:$I$2,0))))</f>
        <v/>
      </c>
      <c r="P232" s="195"/>
      <c r="Q232" s="195"/>
      <c r="R232" s="507" t="str">
        <f t="shared" si="19"/>
        <v/>
      </c>
      <c r="S232" s="521" t="str">
        <f t="shared" si="20"/>
        <v/>
      </c>
      <c r="T232" s="522" t="str">
        <f t="shared" si="18"/>
        <v/>
      </c>
      <c r="U232" s="537" t="str">
        <f>IF(D232="","",VLOOKUP(D232,'G-6 Hedgerow Data'!$B$3:$AG$15,31,FALSE))</f>
        <v/>
      </c>
      <c r="V232" s="520" t="str">
        <f t="shared" si="21"/>
        <v/>
      </c>
      <c r="W232" s="520" t="str">
        <f t="shared" si="22"/>
        <v/>
      </c>
      <c r="X232" s="524" t="str">
        <f>IF(F232="","",VLOOKUP(U232,'G-3 Multipliers'!$P$3:$Q$6,2,FALSE))</f>
        <v/>
      </c>
      <c r="Y232" s="529" t="str">
        <f t="shared" si="23"/>
        <v/>
      </c>
      <c r="Z232" s="149"/>
      <c r="AA232" s="150"/>
      <c r="AG232" s="31" t="str">
        <f>IFERROR(INDEX('G-6 Hedgerow Data'!$BJ$3:$BJ$15,MATCH(D232,'G-6 Hedgerow Data'!$B$3:$B$15,0)),"")</f>
        <v/>
      </c>
    </row>
    <row r="233" spans="2:33" ht="13.8" x14ac:dyDescent="0.25">
      <c r="B233" s="103">
        <v>222</v>
      </c>
      <c r="C233" s="268"/>
      <c r="D233" s="82"/>
      <c r="E233" s="203"/>
      <c r="F233" s="498" t="str">
        <f>IF(D233="","",VLOOKUP(D233,'G-6 Hedgerow Data'!$B$2:$AG$15,2,FALSE))</f>
        <v/>
      </c>
      <c r="G233" s="524" t="str">
        <f>IF(D233="","",VLOOKUP(D233,'G-6 Hedgerow Data'!$B$2:$AG$15,3,FALSE))</f>
        <v/>
      </c>
      <c r="H233" s="72"/>
      <c r="I233" s="499" t="str">
        <f>IFERROR(IF(AND(F233="V.Low",OR(H233="Good",H233="Moderate")),"Error ▲",VLOOKUP(H233,'G-1 All Habitats'!$Z$2:$AA$9,2,FALSE)),"")</f>
        <v/>
      </c>
      <c r="J233" s="146"/>
      <c r="K233" s="520" t="str">
        <f>IF(J233="","",IF(VLOOKUP(J233,'G-3 Multipliers'!$L$3:$N$6,2,FALSE)=0,"Spatial Data Missing",VLOOKUP(J233,'G-3 Multipliers'!$L$3:$N$6,2,FALSE)))</f>
        <v/>
      </c>
      <c r="L233" s="524" t="str">
        <f>IF(J233="","",IF(VLOOKUP(J233,'G-3 Multipliers'!$L$3:$N$6,3,FALSE)=0,"Spatial Data Missing",VLOOKUP(J233,'G-3 Multipliers'!$L$3:$N$6,3,FALSE)))</f>
        <v/>
      </c>
      <c r="M233" s="197"/>
      <c r="N233" s="499" t="str">
        <f>IF(M233="","",IF(VLOOKUP(M233,'G-3 Multipliers'!$S$3:$T$6,2,FALSE)=0,"Spatial Data Missing ⚠",VLOOKUP(M233,'G-3 Multipliers'!$S$3:$T$6,2,FALSE)))</f>
        <v/>
      </c>
      <c r="O233" s="498" t="str">
        <f>IF(OR(D233="",H233=""),"",(INDEX('G-6 Hedgerow Data'!$E$3:$I$15,MATCH(D233,'G-6 Hedgerow Data'!$B$3:$B$15,0),MATCH(H233,'G-6 Hedgerow Data'!$E$2:$I$2,0))))</f>
        <v/>
      </c>
      <c r="P233" s="195"/>
      <c r="Q233" s="195"/>
      <c r="R233" s="507" t="str">
        <f t="shared" si="19"/>
        <v/>
      </c>
      <c r="S233" s="521" t="str">
        <f t="shared" si="20"/>
        <v/>
      </c>
      <c r="T233" s="522" t="str">
        <f t="shared" si="18"/>
        <v/>
      </c>
      <c r="U233" s="537" t="str">
        <f>IF(D233="","",VLOOKUP(D233,'G-6 Hedgerow Data'!$B$3:$AG$15,31,FALSE))</f>
        <v/>
      </c>
      <c r="V233" s="520" t="str">
        <f t="shared" si="21"/>
        <v/>
      </c>
      <c r="W233" s="520" t="str">
        <f t="shared" si="22"/>
        <v/>
      </c>
      <c r="X233" s="524" t="str">
        <f>IF(F233="","",VLOOKUP(U233,'G-3 Multipliers'!$P$3:$Q$6,2,FALSE))</f>
        <v/>
      </c>
      <c r="Y233" s="529" t="str">
        <f t="shared" si="23"/>
        <v/>
      </c>
      <c r="Z233" s="149"/>
      <c r="AA233" s="150"/>
      <c r="AG233" s="31" t="str">
        <f>IFERROR(INDEX('G-6 Hedgerow Data'!$BJ$3:$BJ$15,MATCH(D233,'G-6 Hedgerow Data'!$B$3:$B$15,0)),"")</f>
        <v/>
      </c>
    </row>
    <row r="234" spans="2:33" ht="13.8" x14ac:dyDescent="0.25">
      <c r="B234" s="103">
        <v>223</v>
      </c>
      <c r="C234" s="268"/>
      <c r="D234" s="82"/>
      <c r="E234" s="203"/>
      <c r="F234" s="498" t="str">
        <f>IF(D234="","",VLOOKUP(D234,'G-6 Hedgerow Data'!$B$2:$AG$15,2,FALSE))</f>
        <v/>
      </c>
      <c r="G234" s="524" t="str">
        <f>IF(D234="","",VLOOKUP(D234,'G-6 Hedgerow Data'!$B$2:$AG$15,3,FALSE))</f>
        <v/>
      </c>
      <c r="H234" s="72"/>
      <c r="I234" s="499" t="str">
        <f>IFERROR(IF(AND(F234="V.Low",OR(H234="Good",H234="Moderate")),"Error ▲",VLOOKUP(H234,'G-1 All Habitats'!$Z$2:$AA$9,2,FALSE)),"")</f>
        <v/>
      </c>
      <c r="J234" s="146"/>
      <c r="K234" s="520" t="str">
        <f>IF(J234="","",IF(VLOOKUP(J234,'G-3 Multipliers'!$L$3:$N$6,2,FALSE)=0,"Spatial Data Missing",VLOOKUP(J234,'G-3 Multipliers'!$L$3:$N$6,2,FALSE)))</f>
        <v/>
      </c>
      <c r="L234" s="524" t="str">
        <f>IF(J234="","",IF(VLOOKUP(J234,'G-3 Multipliers'!$L$3:$N$6,3,FALSE)=0,"Spatial Data Missing",VLOOKUP(J234,'G-3 Multipliers'!$L$3:$N$6,3,FALSE)))</f>
        <v/>
      </c>
      <c r="M234" s="197"/>
      <c r="N234" s="499" t="str">
        <f>IF(M234="","",IF(VLOOKUP(M234,'G-3 Multipliers'!$S$3:$T$6,2,FALSE)=0,"Spatial Data Missing ⚠",VLOOKUP(M234,'G-3 Multipliers'!$S$3:$T$6,2,FALSE)))</f>
        <v/>
      </c>
      <c r="O234" s="498" t="str">
        <f>IF(OR(D234="",H234=""),"",(INDEX('G-6 Hedgerow Data'!$E$3:$I$15,MATCH(D234,'G-6 Hedgerow Data'!$B$3:$B$15,0),MATCH(H234,'G-6 Hedgerow Data'!$E$2:$I$2,0))))</f>
        <v/>
      </c>
      <c r="P234" s="195"/>
      <c r="Q234" s="195"/>
      <c r="R234" s="507" t="str">
        <f t="shared" si="19"/>
        <v/>
      </c>
      <c r="S234" s="521" t="str">
        <f t="shared" si="20"/>
        <v/>
      </c>
      <c r="T234" s="522" t="str">
        <f t="shared" si="18"/>
        <v/>
      </c>
      <c r="U234" s="537" t="str">
        <f>IF(D234="","",VLOOKUP(D234,'G-6 Hedgerow Data'!$B$3:$AG$15,31,FALSE))</f>
        <v/>
      </c>
      <c r="V234" s="520" t="str">
        <f t="shared" si="21"/>
        <v/>
      </c>
      <c r="W234" s="520" t="str">
        <f t="shared" si="22"/>
        <v/>
      </c>
      <c r="X234" s="524" t="str">
        <f>IF(F234="","",VLOOKUP(U234,'G-3 Multipliers'!$P$3:$Q$6,2,FALSE))</f>
        <v/>
      </c>
      <c r="Y234" s="529" t="str">
        <f t="shared" si="23"/>
        <v/>
      </c>
      <c r="Z234" s="149"/>
      <c r="AA234" s="150"/>
      <c r="AG234" s="31" t="str">
        <f>IFERROR(INDEX('G-6 Hedgerow Data'!$BJ$3:$BJ$15,MATCH(D234,'G-6 Hedgerow Data'!$B$3:$B$15,0)),"")</f>
        <v/>
      </c>
    </row>
    <row r="235" spans="2:33" ht="13.8" x14ac:dyDescent="0.25">
      <c r="B235" s="103">
        <v>224</v>
      </c>
      <c r="C235" s="268"/>
      <c r="D235" s="82"/>
      <c r="E235" s="203"/>
      <c r="F235" s="498" t="str">
        <f>IF(D235="","",VLOOKUP(D235,'G-6 Hedgerow Data'!$B$2:$AG$15,2,FALSE))</f>
        <v/>
      </c>
      <c r="G235" s="524" t="str">
        <f>IF(D235="","",VLOOKUP(D235,'G-6 Hedgerow Data'!$B$2:$AG$15,3,FALSE))</f>
        <v/>
      </c>
      <c r="H235" s="72"/>
      <c r="I235" s="499" t="str">
        <f>IFERROR(IF(AND(F235="V.Low",OR(H235="Good",H235="Moderate")),"Error ▲",VLOOKUP(H235,'G-1 All Habitats'!$Z$2:$AA$9,2,FALSE)),"")</f>
        <v/>
      </c>
      <c r="J235" s="146"/>
      <c r="K235" s="520" t="str">
        <f>IF(J235="","",IF(VLOOKUP(J235,'G-3 Multipliers'!$L$3:$N$6,2,FALSE)=0,"Spatial Data Missing",VLOOKUP(J235,'G-3 Multipliers'!$L$3:$N$6,2,FALSE)))</f>
        <v/>
      </c>
      <c r="L235" s="524" t="str">
        <f>IF(J235="","",IF(VLOOKUP(J235,'G-3 Multipliers'!$L$3:$N$6,3,FALSE)=0,"Spatial Data Missing",VLOOKUP(J235,'G-3 Multipliers'!$L$3:$N$6,3,FALSE)))</f>
        <v/>
      </c>
      <c r="M235" s="197"/>
      <c r="N235" s="499" t="str">
        <f>IF(M235="","",IF(VLOOKUP(M235,'G-3 Multipliers'!$S$3:$T$6,2,FALSE)=0,"Spatial Data Missing ⚠",VLOOKUP(M235,'G-3 Multipliers'!$S$3:$T$6,2,FALSE)))</f>
        <v/>
      </c>
      <c r="O235" s="498" t="str">
        <f>IF(OR(D235="",H235=""),"",(INDEX('G-6 Hedgerow Data'!$E$3:$I$15,MATCH(D235,'G-6 Hedgerow Data'!$B$3:$B$15,0),MATCH(H235,'G-6 Hedgerow Data'!$E$2:$I$2,0))))</f>
        <v/>
      </c>
      <c r="P235" s="195"/>
      <c r="Q235" s="195"/>
      <c r="R235" s="507" t="str">
        <f t="shared" si="19"/>
        <v/>
      </c>
      <c r="S235" s="521" t="str">
        <f t="shared" si="20"/>
        <v/>
      </c>
      <c r="T235" s="522" t="str">
        <f t="shared" si="18"/>
        <v/>
      </c>
      <c r="U235" s="537" t="str">
        <f>IF(D235="","",VLOOKUP(D235,'G-6 Hedgerow Data'!$B$3:$AG$15,31,FALSE))</f>
        <v/>
      </c>
      <c r="V235" s="520" t="str">
        <f t="shared" si="21"/>
        <v/>
      </c>
      <c r="W235" s="520" t="str">
        <f t="shared" si="22"/>
        <v/>
      </c>
      <c r="X235" s="524" t="str">
        <f>IF(F235="","",VLOOKUP(U235,'G-3 Multipliers'!$P$3:$Q$6,2,FALSE))</f>
        <v/>
      </c>
      <c r="Y235" s="529" t="str">
        <f t="shared" si="23"/>
        <v/>
      </c>
      <c r="Z235" s="149"/>
      <c r="AA235" s="150"/>
      <c r="AG235" s="31" t="str">
        <f>IFERROR(INDEX('G-6 Hedgerow Data'!$BJ$3:$BJ$15,MATCH(D235,'G-6 Hedgerow Data'!$B$3:$B$15,0)),"")</f>
        <v/>
      </c>
    </row>
    <row r="236" spans="2:33" ht="13.8" x14ac:dyDescent="0.25">
      <c r="B236" s="103">
        <v>225</v>
      </c>
      <c r="C236" s="268"/>
      <c r="D236" s="82"/>
      <c r="E236" s="203"/>
      <c r="F236" s="498" t="str">
        <f>IF(D236="","",VLOOKUP(D236,'G-6 Hedgerow Data'!$B$2:$AG$15,2,FALSE))</f>
        <v/>
      </c>
      <c r="G236" s="524" t="str">
        <f>IF(D236="","",VLOOKUP(D236,'G-6 Hedgerow Data'!$B$2:$AG$15,3,FALSE))</f>
        <v/>
      </c>
      <c r="H236" s="72"/>
      <c r="I236" s="499" t="str">
        <f>IFERROR(IF(AND(F236="V.Low",OR(H236="Good",H236="Moderate")),"Error ▲",VLOOKUP(H236,'G-1 All Habitats'!$Z$2:$AA$9,2,FALSE)),"")</f>
        <v/>
      </c>
      <c r="J236" s="146"/>
      <c r="K236" s="520" t="str">
        <f>IF(J236="","",IF(VLOOKUP(J236,'G-3 Multipliers'!$L$3:$N$6,2,FALSE)=0,"Spatial Data Missing",VLOOKUP(J236,'G-3 Multipliers'!$L$3:$N$6,2,FALSE)))</f>
        <v/>
      </c>
      <c r="L236" s="524" t="str">
        <f>IF(J236="","",IF(VLOOKUP(J236,'G-3 Multipliers'!$L$3:$N$6,3,FALSE)=0,"Spatial Data Missing",VLOOKUP(J236,'G-3 Multipliers'!$L$3:$N$6,3,FALSE)))</f>
        <v/>
      </c>
      <c r="M236" s="197"/>
      <c r="N236" s="499" t="str">
        <f>IF(M236="","",IF(VLOOKUP(M236,'G-3 Multipliers'!$S$3:$T$6,2,FALSE)=0,"Spatial Data Missing ⚠",VLOOKUP(M236,'G-3 Multipliers'!$S$3:$T$6,2,FALSE)))</f>
        <v/>
      </c>
      <c r="O236" s="498" t="str">
        <f>IF(OR(D236="",H236=""),"",(INDEX('G-6 Hedgerow Data'!$E$3:$I$15,MATCH(D236,'G-6 Hedgerow Data'!$B$3:$B$15,0),MATCH(H236,'G-6 Hedgerow Data'!$E$2:$I$2,0))))</f>
        <v/>
      </c>
      <c r="P236" s="195"/>
      <c r="Q236" s="195"/>
      <c r="R236" s="507" t="str">
        <f t="shared" si="19"/>
        <v/>
      </c>
      <c r="S236" s="521" t="str">
        <f t="shared" si="20"/>
        <v/>
      </c>
      <c r="T236" s="522" t="str">
        <f t="shared" si="18"/>
        <v/>
      </c>
      <c r="U236" s="537" t="str">
        <f>IF(D236="","",VLOOKUP(D236,'G-6 Hedgerow Data'!$B$3:$AG$15,31,FALSE))</f>
        <v/>
      </c>
      <c r="V236" s="520" t="str">
        <f t="shared" si="21"/>
        <v/>
      </c>
      <c r="W236" s="520" t="str">
        <f t="shared" si="22"/>
        <v/>
      </c>
      <c r="X236" s="524" t="str">
        <f>IF(F236="","",VLOOKUP(U236,'G-3 Multipliers'!$P$3:$Q$6,2,FALSE))</f>
        <v/>
      </c>
      <c r="Y236" s="529" t="str">
        <f t="shared" si="23"/>
        <v/>
      </c>
      <c r="Z236" s="149"/>
      <c r="AA236" s="150"/>
      <c r="AG236" s="31" t="str">
        <f>IFERROR(INDEX('G-6 Hedgerow Data'!$BJ$3:$BJ$15,MATCH(D236,'G-6 Hedgerow Data'!$B$3:$B$15,0)),"")</f>
        <v/>
      </c>
    </row>
    <row r="237" spans="2:33" ht="13.8" x14ac:dyDescent="0.25">
      <c r="B237" s="103">
        <v>226</v>
      </c>
      <c r="C237" s="268"/>
      <c r="D237" s="82"/>
      <c r="E237" s="203"/>
      <c r="F237" s="498" t="str">
        <f>IF(D237="","",VLOOKUP(D237,'G-6 Hedgerow Data'!$B$2:$AG$15,2,FALSE))</f>
        <v/>
      </c>
      <c r="G237" s="524" t="str">
        <f>IF(D237="","",VLOOKUP(D237,'G-6 Hedgerow Data'!$B$2:$AG$15,3,FALSE))</f>
        <v/>
      </c>
      <c r="H237" s="72"/>
      <c r="I237" s="499" t="str">
        <f>IFERROR(IF(AND(F237="V.Low",OR(H237="Good",H237="Moderate")),"Error ▲",VLOOKUP(H237,'G-1 All Habitats'!$Z$2:$AA$9,2,FALSE)),"")</f>
        <v/>
      </c>
      <c r="J237" s="146"/>
      <c r="K237" s="520" t="str">
        <f>IF(J237="","",IF(VLOOKUP(J237,'G-3 Multipliers'!$L$3:$N$6,2,FALSE)=0,"Spatial Data Missing",VLOOKUP(J237,'G-3 Multipliers'!$L$3:$N$6,2,FALSE)))</f>
        <v/>
      </c>
      <c r="L237" s="524" t="str">
        <f>IF(J237="","",IF(VLOOKUP(J237,'G-3 Multipliers'!$L$3:$N$6,3,FALSE)=0,"Spatial Data Missing",VLOOKUP(J237,'G-3 Multipliers'!$L$3:$N$6,3,FALSE)))</f>
        <v/>
      </c>
      <c r="M237" s="197"/>
      <c r="N237" s="499" t="str">
        <f>IF(M237="","",IF(VLOOKUP(M237,'G-3 Multipliers'!$S$3:$T$6,2,FALSE)=0,"Spatial Data Missing ⚠",VLOOKUP(M237,'G-3 Multipliers'!$S$3:$T$6,2,FALSE)))</f>
        <v/>
      </c>
      <c r="O237" s="498" t="str">
        <f>IF(OR(D237="",H237=""),"",(INDEX('G-6 Hedgerow Data'!$E$3:$I$15,MATCH(D237,'G-6 Hedgerow Data'!$B$3:$B$15,0),MATCH(H237,'G-6 Hedgerow Data'!$E$2:$I$2,0))))</f>
        <v/>
      </c>
      <c r="P237" s="195"/>
      <c r="Q237" s="195"/>
      <c r="R237" s="507" t="str">
        <f t="shared" si="19"/>
        <v/>
      </c>
      <c r="S237" s="521" t="str">
        <f t="shared" si="20"/>
        <v/>
      </c>
      <c r="T237" s="522" t="str">
        <f t="shared" si="18"/>
        <v/>
      </c>
      <c r="U237" s="537" t="str">
        <f>IF(D237="","",VLOOKUP(D237,'G-6 Hedgerow Data'!$B$3:$AG$15,31,FALSE))</f>
        <v/>
      </c>
      <c r="V237" s="520" t="str">
        <f t="shared" si="21"/>
        <v/>
      </c>
      <c r="W237" s="520" t="str">
        <f t="shared" si="22"/>
        <v/>
      </c>
      <c r="X237" s="524" t="str">
        <f>IF(F237="","",VLOOKUP(U237,'G-3 Multipliers'!$P$3:$Q$6,2,FALSE))</f>
        <v/>
      </c>
      <c r="Y237" s="529" t="str">
        <f t="shared" si="23"/>
        <v/>
      </c>
      <c r="Z237" s="149"/>
      <c r="AA237" s="150"/>
      <c r="AG237" s="31" t="str">
        <f>IFERROR(INDEX('G-6 Hedgerow Data'!$BJ$3:$BJ$15,MATCH(D237,'G-6 Hedgerow Data'!$B$3:$B$15,0)),"")</f>
        <v/>
      </c>
    </row>
    <row r="238" spans="2:33" ht="13.8" x14ac:dyDescent="0.25">
      <c r="B238" s="103">
        <v>227</v>
      </c>
      <c r="C238" s="268"/>
      <c r="D238" s="82"/>
      <c r="E238" s="203"/>
      <c r="F238" s="498" t="str">
        <f>IF(D238="","",VLOOKUP(D238,'G-6 Hedgerow Data'!$B$2:$AG$15,2,FALSE))</f>
        <v/>
      </c>
      <c r="G238" s="524" t="str">
        <f>IF(D238="","",VLOOKUP(D238,'G-6 Hedgerow Data'!$B$2:$AG$15,3,FALSE))</f>
        <v/>
      </c>
      <c r="H238" s="72"/>
      <c r="I238" s="499" t="str">
        <f>IFERROR(IF(AND(F238="V.Low",OR(H238="Good",H238="Moderate")),"Error ▲",VLOOKUP(H238,'G-1 All Habitats'!$Z$2:$AA$9,2,FALSE)),"")</f>
        <v/>
      </c>
      <c r="J238" s="146"/>
      <c r="K238" s="520" t="str">
        <f>IF(J238="","",IF(VLOOKUP(J238,'G-3 Multipliers'!$L$3:$N$6,2,FALSE)=0,"Spatial Data Missing",VLOOKUP(J238,'G-3 Multipliers'!$L$3:$N$6,2,FALSE)))</f>
        <v/>
      </c>
      <c r="L238" s="524" t="str">
        <f>IF(J238="","",IF(VLOOKUP(J238,'G-3 Multipliers'!$L$3:$N$6,3,FALSE)=0,"Spatial Data Missing",VLOOKUP(J238,'G-3 Multipliers'!$L$3:$N$6,3,FALSE)))</f>
        <v/>
      </c>
      <c r="M238" s="197"/>
      <c r="N238" s="499" t="str">
        <f>IF(M238="","",IF(VLOOKUP(M238,'G-3 Multipliers'!$S$3:$T$6,2,FALSE)=0,"Spatial Data Missing ⚠",VLOOKUP(M238,'G-3 Multipliers'!$S$3:$T$6,2,FALSE)))</f>
        <v/>
      </c>
      <c r="O238" s="498" t="str">
        <f>IF(OR(D238="",H238=""),"",(INDEX('G-6 Hedgerow Data'!$E$3:$I$15,MATCH(D238,'G-6 Hedgerow Data'!$B$3:$B$15,0),MATCH(H238,'G-6 Hedgerow Data'!$E$2:$I$2,0))))</f>
        <v/>
      </c>
      <c r="P238" s="195"/>
      <c r="Q238" s="195"/>
      <c r="R238" s="507" t="str">
        <f t="shared" si="19"/>
        <v/>
      </c>
      <c r="S238" s="521" t="str">
        <f t="shared" si="20"/>
        <v/>
      </c>
      <c r="T238" s="522" t="str">
        <f t="shared" si="18"/>
        <v/>
      </c>
      <c r="U238" s="537" t="str">
        <f>IF(D238="","",VLOOKUP(D238,'G-6 Hedgerow Data'!$B$3:$AG$15,31,FALSE))</f>
        <v/>
      </c>
      <c r="V238" s="520" t="str">
        <f t="shared" si="21"/>
        <v/>
      </c>
      <c r="W238" s="520" t="str">
        <f t="shared" si="22"/>
        <v/>
      </c>
      <c r="X238" s="524" t="str">
        <f>IF(F238="","",VLOOKUP(U238,'G-3 Multipliers'!$P$3:$Q$6,2,FALSE))</f>
        <v/>
      </c>
      <c r="Y238" s="529" t="str">
        <f t="shared" si="23"/>
        <v/>
      </c>
      <c r="Z238" s="149"/>
      <c r="AA238" s="150"/>
      <c r="AG238" s="31" t="str">
        <f>IFERROR(INDEX('G-6 Hedgerow Data'!$BJ$3:$BJ$15,MATCH(D238,'G-6 Hedgerow Data'!$B$3:$B$15,0)),"")</f>
        <v/>
      </c>
    </row>
    <row r="239" spans="2:33" ht="13.8" x14ac:dyDescent="0.25">
      <c r="B239" s="103">
        <v>228</v>
      </c>
      <c r="C239" s="268"/>
      <c r="D239" s="82"/>
      <c r="E239" s="203"/>
      <c r="F239" s="498" t="str">
        <f>IF(D239="","",VLOOKUP(D239,'G-6 Hedgerow Data'!$B$2:$AG$15,2,FALSE))</f>
        <v/>
      </c>
      <c r="G239" s="524" t="str">
        <f>IF(D239="","",VLOOKUP(D239,'G-6 Hedgerow Data'!$B$2:$AG$15,3,FALSE))</f>
        <v/>
      </c>
      <c r="H239" s="72"/>
      <c r="I239" s="499" t="str">
        <f>IFERROR(IF(AND(F239="V.Low",OR(H239="Good",H239="Moderate")),"Error ▲",VLOOKUP(H239,'G-1 All Habitats'!$Z$2:$AA$9,2,FALSE)),"")</f>
        <v/>
      </c>
      <c r="J239" s="146"/>
      <c r="K239" s="520" t="str">
        <f>IF(J239="","",IF(VLOOKUP(J239,'G-3 Multipliers'!$L$3:$N$6,2,FALSE)=0,"Spatial Data Missing",VLOOKUP(J239,'G-3 Multipliers'!$L$3:$N$6,2,FALSE)))</f>
        <v/>
      </c>
      <c r="L239" s="524" t="str">
        <f>IF(J239="","",IF(VLOOKUP(J239,'G-3 Multipliers'!$L$3:$N$6,3,FALSE)=0,"Spatial Data Missing",VLOOKUP(J239,'G-3 Multipliers'!$L$3:$N$6,3,FALSE)))</f>
        <v/>
      </c>
      <c r="M239" s="197"/>
      <c r="N239" s="499" t="str">
        <f>IF(M239="","",IF(VLOOKUP(M239,'G-3 Multipliers'!$S$3:$T$6,2,FALSE)=0,"Spatial Data Missing ⚠",VLOOKUP(M239,'G-3 Multipliers'!$S$3:$T$6,2,FALSE)))</f>
        <v/>
      </c>
      <c r="O239" s="498" t="str">
        <f>IF(OR(D239="",H239=""),"",(INDEX('G-6 Hedgerow Data'!$E$3:$I$15,MATCH(D239,'G-6 Hedgerow Data'!$B$3:$B$15,0),MATCH(H239,'G-6 Hedgerow Data'!$E$2:$I$2,0))))</f>
        <v/>
      </c>
      <c r="P239" s="195"/>
      <c r="Q239" s="195"/>
      <c r="R239" s="507" t="str">
        <f t="shared" si="19"/>
        <v/>
      </c>
      <c r="S239" s="521" t="str">
        <f t="shared" si="20"/>
        <v/>
      </c>
      <c r="T239" s="522" t="str">
        <f t="shared" si="18"/>
        <v/>
      </c>
      <c r="U239" s="537" t="str">
        <f>IF(D239="","",VLOOKUP(D239,'G-6 Hedgerow Data'!$B$3:$AG$15,31,FALSE))</f>
        <v/>
      </c>
      <c r="V239" s="520" t="str">
        <f t="shared" si="21"/>
        <v/>
      </c>
      <c r="W239" s="520" t="str">
        <f t="shared" si="22"/>
        <v/>
      </c>
      <c r="X239" s="524" t="str">
        <f>IF(F239="","",VLOOKUP(U239,'G-3 Multipliers'!$P$3:$Q$6,2,FALSE))</f>
        <v/>
      </c>
      <c r="Y239" s="529" t="str">
        <f t="shared" si="23"/>
        <v/>
      </c>
      <c r="Z239" s="149"/>
      <c r="AA239" s="150"/>
      <c r="AG239" s="31" t="str">
        <f>IFERROR(INDEX('G-6 Hedgerow Data'!$BJ$3:$BJ$15,MATCH(D239,'G-6 Hedgerow Data'!$B$3:$B$15,0)),"")</f>
        <v/>
      </c>
    </row>
    <row r="240" spans="2:33" ht="13.8" x14ac:dyDescent="0.25">
      <c r="B240" s="103">
        <v>229</v>
      </c>
      <c r="C240" s="268"/>
      <c r="D240" s="82"/>
      <c r="E240" s="203"/>
      <c r="F240" s="498" t="str">
        <f>IF(D240="","",VLOOKUP(D240,'G-6 Hedgerow Data'!$B$2:$AG$15,2,FALSE))</f>
        <v/>
      </c>
      <c r="G240" s="524" t="str">
        <f>IF(D240="","",VLOOKUP(D240,'G-6 Hedgerow Data'!$B$2:$AG$15,3,FALSE))</f>
        <v/>
      </c>
      <c r="H240" s="72"/>
      <c r="I240" s="499" t="str">
        <f>IFERROR(IF(AND(F240="V.Low",OR(H240="Good",H240="Moderate")),"Error ▲",VLOOKUP(H240,'G-1 All Habitats'!$Z$2:$AA$9,2,FALSE)),"")</f>
        <v/>
      </c>
      <c r="J240" s="146"/>
      <c r="K240" s="520" t="str">
        <f>IF(J240="","",IF(VLOOKUP(J240,'G-3 Multipliers'!$L$3:$N$6,2,FALSE)=0,"Spatial Data Missing",VLOOKUP(J240,'G-3 Multipliers'!$L$3:$N$6,2,FALSE)))</f>
        <v/>
      </c>
      <c r="L240" s="524" t="str">
        <f>IF(J240="","",IF(VLOOKUP(J240,'G-3 Multipliers'!$L$3:$N$6,3,FALSE)=0,"Spatial Data Missing",VLOOKUP(J240,'G-3 Multipliers'!$L$3:$N$6,3,FALSE)))</f>
        <v/>
      </c>
      <c r="M240" s="197"/>
      <c r="N240" s="499" t="str">
        <f>IF(M240="","",IF(VLOOKUP(M240,'G-3 Multipliers'!$S$3:$T$6,2,FALSE)=0,"Spatial Data Missing ⚠",VLOOKUP(M240,'G-3 Multipliers'!$S$3:$T$6,2,FALSE)))</f>
        <v/>
      </c>
      <c r="O240" s="498" t="str">
        <f>IF(OR(D240="",H240=""),"",(INDEX('G-6 Hedgerow Data'!$E$3:$I$15,MATCH(D240,'G-6 Hedgerow Data'!$B$3:$B$15,0),MATCH(H240,'G-6 Hedgerow Data'!$E$2:$I$2,0))))</f>
        <v/>
      </c>
      <c r="P240" s="195"/>
      <c r="Q240" s="195"/>
      <c r="R240" s="507" t="str">
        <f t="shared" si="19"/>
        <v/>
      </c>
      <c r="S240" s="521" t="str">
        <f t="shared" si="20"/>
        <v/>
      </c>
      <c r="T240" s="522" t="str">
        <f t="shared" si="18"/>
        <v/>
      </c>
      <c r="U240" s="537" t="str">
        <f>IF(D240="","",VLOOKUP(D240,'G-6 Hedgerow Data'!$B$3:$AG$15,31,FALSE))</f>
        <v/>
      </c>
      <c r="V240" s="520" t="str">
        <f t="shared" si="21"/>
        <v/>
      </c>
      <c r="W240" s="520" t="str">
        <f t="shared" si="22"/>
        <v/>
      </c>
      <c r="X240" s="524" t="str">
        <f>IF(F240="","",VLOOKUP(U240,'G-3 Multipliers'!$P$3:$Q$6,2,FALSE))</f>
        <v/>
      </c>
      <c r="Y240" s="529" t="str">
        <f t="shared" si="23"/>
        <v/>
      </c>
      <c r="Z240" s="149"/>
      <c r="AA240" s="150"/>
      <c r="AG240" s="31" t="str">
        <f>IFERROR(INDEX('G-6 Hedgerow Data'!$BJ$3:$BJ$15,MATCH(D240,'G-6 Hedgerow Data'!$B$3:$B$15,0)),"")</f>
        <v/>
      </c>
    </row>
    <row r="241" spans="2:33" ht="13.8" x14ac:dyDescent="0.25">
      <c r="B241" s="103">
        <v>230</v>
      </c>
      <c r="C241" s="268"/>
      <c r="D241" s="82"/>
      <c r="E241" s="203"/>
      <c r="F241" s="498" t="str">
        <f>IF(D241="","",VLOOKUP(D241,'G-6 Hedgerow Data'!$B$2:$AG$15,2,FALSE))</f>
        <v/>
      </c>
      <c r="G241" s="524" t="str">
        <f>IF(D241="","",VLOOKUP(D241,'G-6 Hedgerow Data'!$B$2:$AG$15,3,FALSE))</f>
        <v/>
      </c>
      <c r="H241" s="72"/>
      <c r="I241" s="499" t="str">
        <f>IFERROR(IF(AND(F241="V.Low",OR(H241="Good",H241="Moderate")),"Error ▲",VLOOKUP(H241,'G-1 All Habitats'!$Z$2:$AA$9,2,FALSE)),"")</f>
        <v/>
      </c>
      <c r="J241" s="146"/>
      <c r="K241" s="520" t="str">
        <f>IF(J241="","",IF(VLOOKUP(J241,'G-3 Multipliers'!$L$3:$N$6,2,FALSE)=0,"Spatial Data Missing",VLOOKUP(J241,'G-3 Multipliers'!$L$3:$N$6,2,FALSE)))</f>
        <v/>
      </c>
      <c r="L241" s="524" t="str">
        <f>IF(J241="","",IF(VLOOKUP(J241,'G-3 Multipliers'!$L$3:$N$6,3,FALSE)=0,"Spatial Data Missing",VLOOKUP(J241,'G-3 Multipliers'!$L$3:$N$6,3,FALSE)))</f>
        <v/>
      </c>
      <c r="M241" s="197"/>
      <c r="N241" s="499" t="str">
        <f>IF(M241="","",IF(VLOOKUP(M241,'G-3 Multipliers'!$S$3:$T$6,2,FALSE)=0,"Spatial Data Missing ⚠",VLOOKUP(M241,'G-3 Multipliers'!$S$3:$T$6,2,FALSE)))</f>
        <v/>
      </c>
      <c r="O241" s="498" t="str">
        <f>IF(OR(D241="",H241=""),"",(INDEX('G-6 Hedgerow Data'!$E$3:$I$15,MATCH(D241,'G-6 Hedgerow Data'!$B$3:$B$15,0),MATCH(H241,'G-6 Hedgerow Data'!$E$2:$I$2,0))))</f>
        <v/>
      </c>
      <c r="P241" s="195"/>
      <c r="Q241" s="195"/>
      <c r="R241" s="507" t="str">
        <f t="shared" si="19"/>
        <v/>
      </c>
      <c r="S241" s="521" t="str">
        <f t="shared" si="20"/>
        <v/>
      </c>
      <c r="T241" s="522" t="str">
        <f t="shared" si="18"/>
        <v/>
      </c>
      <c r="U241" s="537" t="str">
        <f>IF(D241="","",VLOOKUP(D241,'G-6 Hedgerow Data'!$B$3:$AG$15,31,FALSE))</f>
        <v/>
      </c>
      <c r="V241" s="520" t="str">
        <f t="shared" si="21"/>
        <v/>
      </c>
      <c r="W241" s="520" t="str">
        <f t="shared" si="22"/>
        <v/>
      </c>
      <c r="X241" s="524" t="str">
        <f>IF(F241="","",VLOOKUP(U241,'G-3 Multipliers'!$P$3:$Q$6,2,FALSE))</f>
        <v/>
      </c>
      <c r="Y241" s="529" t="str">
        <f t="shared" si="23"/>
        <v/>
      </c>
      <c r="Z241" s="149"/>
      <c r="AA241" s="150"/>
      <c r="AG241" s="31" t="str">
        <f>IFERROR(INDEX('G-6 Hedgerow Data'!$BJ$3:$BJ$15,MATCH(D241,'G-6 Hedgerow Data'!$B$3:$B$15,0)),"")</f>
        <v/>
      </c>
    </row>
    <row r="242" spans="2:33" ht="13.8" x14ac:dyDescent="0.25">
      <c r="B242" s="103">
        <v>231</v>
      </c>
      <c r="C242" s="268"/>
      <c r="D242" s="82"/>
      <c r="E242" s="203"/>
      <c r="F242" s="498" t="str">
        <f>IF(D242="","",VLOOKUP(D242,'G-6 Hedgerow Data'!$B$2:$AG$15,2,FALSE))</f>
        <v/>
      </c>
      <c r="G242" s="524" t="str">
        <f>IF(D242="","",VLOOKUP(D242,'G-6 Hedgerow Data'!$B$2:$AG$15,3,FALSE))</f>
        <v/>
      </c>
      <c r="H242" s="72"/>
      <c r="I242" s="499" t="str">
        <f>IFERROR(IF(AND(F242="V.Low",OR(H242="Good",H242="Moderate")),"Error ▲",VLOOKUP(H242,'G-1 All Habitats'!$Z$2:$AA$9,2,FALSE)),"")</f>
        <v/>
      </c>
      <c r="J242" s="146"/>
      <c r="K242" s="520" t="str">
        <f>IF(J242="","",IF(VLOOKUP(J242,'G-3 Multipliers'!$L$3:$N$6,2,FALSE)=0,"Spatial Data Missing",VLOOKUP(J242,'G-3 Multipliers'!$L$3:$N$6,2,FALSE)))</f>
        <v/>
      </c>
      <c r="L242" s="524" t="str">
        <f>IF(J242="","",IF(VLOOKUP(J242,'G-3 Multipliers'!$L$3:$N$6,3,FALSE)=0,"Spatial Data Missing",VLOOKUP(J242,'G-3 Multipliers'!$L$3:$N$6,3,FALSE)))</f>
        <v/>
      </c>
      <c r="M242" s="197"/>
      <c r="N242" s="499" t="str">
        <f>IF(M242="","",IF(VLOOKUP(M242,'G-3 Multipliers'!$S$3:$T$6,2,FALSE)=0,"Spatial Data Missing ⚠",VLOOKUP(M242,'G-3 Multipliers'!$S$3:$T$6,2,FALSE)))</f>
        <v/>
      </c>
      <c r="O242" s="498" t="str">
        <f>IF(OR(D242="",H242=""),"",(INDEX('G-6 Hedgerow Data'!$E$3:$I$15,MATCH(D242,'G-6 Hedgerow Data'!$B$3:$B$15,0),MATCH(H242,'G-6 Hedgerow Data'!$E$2:$I$2,0))))</f>
        <v/>
      </c>
      <c r="P242" s="195"/>
      <c r="Q242" s="195"/>
      <c r="R242" s="507" t="str">
        <f t="shared" si="19"/>
        <v/>
      </c>
      <c r="S242" s="521" t="str">
        <f t="shared" si="20"/>
        <v/>
      </c>
      <c r="T242" s="522" t="str">
        <f t="shared" si="18"/>
        <v/>
      </c>
      <c r="U242" s="537" t="str">
        <f>IF(D242="","",VLOOKUP(D242,'G-6 Hedgerow Data'!$B$3:$AG$15,31,FALSE))</f>
        <v/>
      </c>
      <c r="V242" s="520" t="str">
        <f t="shared" si="21"/>
        <v/>
      </c>
      <c r="W242" s="520" t="str">
        <f t="shared" si="22"/>
        <v/>
      </c>
      <c r="X242" s="524" t="str">
        <f>IF(F242="","",VLOOKUP(U242,'G-3 Multipliers'!$P$3:$Q$6,2,FALSE))</f>
        <v/>
      </c>
      <c r="Y242" s="529" t="str">
        <f t="shared" si="23"/>
        <v/>
      </c>
      <c r="Z242" s="149"/>
      <c r="AA242" s="150"/>
      <c r="AG242" s="31" t="str">
        <f>IFERROR(INDEX('G-6 Hedgerow Data'!$BJ$3:$BJ$15,MATCH(D242,'G-6 Hedgerow Data'!$B$3:$B$15,0)),"")</f>
        <v/>
      </c>
    </row>
    <row r="243" spans="2:33" ht="13.8" x14ac:dyDescent="0.25">
      <c r="B243" s="103">
        <v>232</v>
      </c>
      <c r="C243" s="268"/>
      <c r="D243" s="82"/>
      <c r="E243" s="203"/>
      <c r="F243" s="498" t="str">
        <f>IF(D243="","",VLOOKUP(D243,'G-6 Hedgerow Data'!$B$2:$AG$15,2,FALSE))</f>
        <v/>
      </c>
      <c r="G243" s="524" t="str">
        <f>IF(D243="","",VLOOKUP(D243,'G-6 Hedgerow Data'!$B$2:$AG$15,3,FALSE))</f>
        <v/>
      </c>
      <c r="H243" s="72"/>
      <c r="I243" s="499" t="str">
        <f>IFERROR(IF(AND(F243="V.Low",OR(H243="Good",H243="Moderate")),"Error ▲",VLOOKUP(H243,'G-1 All Habitats'!$Z$2:$AA$9,2,FALSE)),"")</f>
        <v/>
      </c>
      <c r="J243" s="146"/>
      <c r="K243" s="520" t="str">
        <f>IF(J243="","",IF(VLOOKUP(J243,'G-3 Multipliers'!$L$3:$N$6,2,FALSE)=0,"Spatial Data Missing",VLOOKUP(J243,'G-3 Multipliers'!$L$3:$N$6,2,FALSE)))</f>
        <v/>
      </c>
      <c r="L243" s="524" t="str">
        <f>IF(J243="","",IF(VLOOKUP(J243,'G-3 Multipliers'!$L$3:$N$6,3,FALSE)=0,"Spatial Data Missing",VLOOKUP(J243,'G-3 Multipliers'!$L$3:$N$6,3,FALSE)))</f>
        <v/>
      </c>
      <c r="M243" s="197"/>
      <c r="N243" s="499" t="str">
        <f>IF(M243="","",IF(VLOOKUP(M243,'G-3 Multipliers'!$S$3:$T$6,2,FALSE)=0,"Spatial Data Missing ⚠",VLOOKUP(M243,'G-3 Multipliers'!$S$3:$T$6,2,FALSE)))</f>
        <v/>
      </c>
      <c r="O243" s="498" t="str">
        <f>IF(OR(D243="",H243=""),"",(INDEX('G-6 Hedgerow Data'!$E$3:$I$15,MATCH(D243,'G-6 Hedgerow Data'!$B$3:$B$15,0),MATCH(H243,'G-6 Hedgerow Data'!$E$2:$I$2,0))))</f>
        <v/>
      </c>
      <c r="P243" s="195"/>
      <c r="Q243" s="195"/>
      <c r="R243" s="507" t="str">
        <f t="shared" si="19"/>
        <v/>
      </c>
      <c r="S243" s="521" t="str">
        <f t="shared" si="20"/>
        <v/>
      </c>
      <c r="T243" s="522" t="str">
        <f t="shared" si="18"/>
        <v/>
      </c>
      <c r="U243" s="537" t="str">
        <f>IF(D243="","",VLOOKUP(D243,'G-6 Hedgerow Data'!$B$3:$AG$15,31,FALSE))</f>
        <v/>
      </c>
      <c r="V243" s="520" t="str">
        <f t="shared" si="21"/>
        <v/>
      </c>
      <c r="W243" s="520" t="str">
        <f t="shared" si="22"/>
        <v/>
      </c>
      <c r="X243" s="524" t="str">
        <f>IF(F243="","",VLOOKUP(U243,'G-3 Multipliers'!$P$3:$Q$6,2,FALSE))</f>
        <v/>
      </c>
      <c r="Y243" s="529" t="str">
        <f t="shared" si="23"/>
        <v/>
      </c>
      <c r="Z243" s="149"/>
      <c r="AA243" s="150"/>
      <c r="AG243" s="31" t="str">
        <f>IFERROR(INDEX('G-6 Hedgerow Data'!$BJ$3:$BJ$15,MATCH(D243,'G-6 Hedgerow Data'!$B$3:$B$15,0)),"")</f>
        <v/>
      </c>
    </row>
    <row r="244" spans="2:33" ht="13.8" x14ac:dyDescent="0.25">
      <c r="B244" s="103">
        <v>233</v>
      </c>
      <c r="C244" s="268"/>
      <c r="D244" s="82"/>
      <c r="E244" s="203"/>
      <c r="F244" s="498" t="str">
        <f>IF(D244="","",VLOOKUP(D244,'G-6 Hedgerow Data'!$B$2:$AG$15,2,FALSE))</f>
        <v/>
      </c>
      <c r="G244" s="524" t="str">
        <f>IF(D244="","",VLOOKUP(D244,'G-6 Hedgerow Data'!$B$2:$AG$15,3,FALSE))</f>
        <v/>
      </c>
      <c r="H244" s="72"/>
      <c r="I244" s="499" t="str">
        <f>IFERROR(IF(AND(F244="V.Low",OR(H244="Good",H244="Moderate")),"Error ▲",VLOOKUP(H244,'G-1 All Habitats'!$Z$2:$AA$9,2,FALSE)),"")</f>
        <v/>
      </c>
      <c r="J244" s="146"/>
      <c r="K244" s="520" t="str">
        <f>IF(J244="","",IF(VLOOKUP(J244,'G-3 Multipliers'!$L$3:$N$6,2,FALSE)=0,"Spatial Data Missing",VLOOKUP(J244,'G-3 Multipliers'!$L$3:$N$6,2,FALSE)))</f>
        <v/>
      </c>
      <c r="L244" s="524" t="str">
        <f>IF(J244="","",IF(VLOOKUP(J244,'G-3 Multipliers'!$L$3:$N$6,3,FALSE)=0,"Spatial Data Missing",VLOOKUP(J244,'G-3 Multipliers'!$L$3:$N$6,3,FALSE)))</f>
        <v/>
      </c>
      <c r="M244" s="197"/>
      <c r="N244" s="499" t="str">
        <f>IF(M244="","",IF(VLOOKUP(M244,'G-3 Multipliers'!$S$3:$T$6,2,FALSE)=0,"Spatial Data Missing ⚠",VLOOKUP(M244,'G-3 Multipliers'!$S$3:$T$6,2,FALSE)))</f>
        <v/>
      </c>
      <c r="O244" s="498" t="str">
        <f>IF(OR(D244="",H244=""),"",(INDEX('G-6 Hedgerow Data'!$E$3:$I$15,MATCH(D244,'G-6 Hedgerow Data'!$B$3:$B$15,0),MATCH(H244,'G-6 Hedgerow Data'!$E$2:$I$2,0))))</f>
        <v/>
      </c>
      <c r="P244" s="195"/>
      <c r="Q244" s="195"/>
      <c r="R244" s="507" t="str">
        <f t="shared" si="19"/>
        <v/>
      </c>
      <c r="S244" s="521" t="str">
        <f t="shared" si="20"/>
        <v/>
      </c>
      <c r="T244" s="522" t="str">
        <f t="shared" si="18"/>
        <v/>
      </c>
      <c r="U244" s="537" t="str">
        <f>IF(D244="","",VLOOKUP(D244,'G-6 Hedgerow Data'!$B$3:$AG$15,31,FALSE))</f>
        <v/>
      </c>
      <c r="V244" s="520" t="str">
        <f t="shared" si="21"/>
        <v/>
      </c>
      <c r="W244" s="520" t="str">
        <f t="shared" si="22"/>
        <v/>
      </c>
      <c r="X244" s="524" t="str">
        <f>IF(F244="","",VLOOKUP(U244,'G-3 Multipliers'!$P$3:$Q$6,2,FALSE))</f>
        <v/>
      </c>
      <c r="Y244" s="529" t="str">
        <f t="shared" si="23"/>
        <v/>
      </c>
      <c r="Z244" s="149"/>
      <c r="AA244" s="150"/>
      <c r="AG244" s="31" t="str">
        <f>IFERROR(INDEX('G-6 Hedgerow Data'!$BJ$3:$BJ$15,MATCH(D244,'G-6 Hedgerow Data'!$B$3:$B$15,0)),"")</f>
        <v/>
      </c>
    </row>
    <row r="245" spans="2:33" ht="13.8" x14ac:dyDescent="0.25">
      <c r="B245" s="103">
        <v>234</v>
      </c>
      <c r="C245" s="268"/>
      <c r="D245" s="82"/>
      <c r="E245" s="203"/>
      <c r="F245" s="498" t="str">
        <f>IF(D245="","",VLOOKUP(D245,'G-6 Hedgerow Data'!$B$2:$AG$15,2,FALSE))</f>
        <v/>
      </c>
      <c r="G245" s="524" t="str">
        <f>IF(D245="","",VLOOKUP(D245,'G-6 Hedgerow Data'!$B$2:$AG$15,3,FALSE))</f>
        <v/>
      </c>
      <c r="H245" s="72"/>
      <c r="I245" s="499" t="str">
        <f>IFERROR(IF(AND(F245="V.Low",OR(H245="Good",H245="Moderate")),"Error ▲",VLOOKUP(H245,'G-1 All Habitats'!$Z$2:$AA$9,2,FALSE)),"")</f>
        <v/>
      </c>
      <c r="J245" s="146"/>
      <c r="K245" s="520" t="str">
        <f>IF(J245="","",IF(VLOOKUP(J245,'G-3 Multipliers'!$L$3:$N$6,2,FALSE)=0,"Spatial Data Missing",VLOOKUP(J245,'G-3 Multipliers'!$L$3:$N$6,2,FALSE)))</f>
        <v/>
      </c>
      <c r="L245" s="524" t="str">
        <f>IF(J245="","",IF(VLOOKUP(J245,'G-3 Multipliers'!$L$3:$N$6,3,FALSE)=0,"Spatial Data Missing",VLOOKUP(J245,'G-3 Multipliers'!$L$3:$N$6,3,FALSE)))</f>
        <v/>
      </c>
      <c r="M245" s="197"/>
      <c r="N245" s="499" t="str">
        <f>IF(M245="","",IF(VLOOKUP(M245,'G-3 Multipliers'!$S$3:$T$6,2,FALSE)=0,"Spatial Data Missing ⚠",VLOOKUP(M245,'G-3 Multipliers'!$S$3:$T$6,2,FALSE)))</f>
        <v/>
      </c>
      <c r="O245" s="498" t="str">
        <f>IF(OR(D245="",H245=""),"",(INDEX('G-6 Hedgerow Data'!$E$3:$I$15,MATCH(D245,'G-6 Hedgerow Data'!$B$3:$B$15,0),MATCH(H245,'G-6 Hedgerow Data'!$E$2:$I$2,0))))</f>
        <v/>
      </c>
      <c r="P245" s="195"/>
      <c r="Q245" s="195"/>
      <c r="R245" s="507" t="str">
        <f t="shared" si="19"/>
        <v/>
      </c>
      <c r="S245" s="521" t="str">
        <f t="shared" si="20"/>
        <v/>
      </c>
      <c r="T245" s="522" t="str">
        <f t="shared" si="18"/>
        <v/>
      </c>
      <c r="U245" s="537" t="str">
        <f>IF(D245="","",VLOOKUP(D245,'G-6 Hedgerow Data'!$B$3:$AG$15,31,FALSE))</f>
        <v/>
      </c>
      <c r="V245" s="520" t="str">
        <f t="shared" si="21"/>
        <v/>
      </c>
      <c r="W245" s="520" t="str">
        <f t="shared" si="22"/>
        <v/>
      </c>
      <c r="X245" s="524" t="str">
        <f>IF(F245="","",VLOOKUP(U245,'G-3 Multipliers'!$P$3:$Q$6,2,FALSE))</f>
        <v/>
      </c>
      <c r="Y245" s="529" t="str">
        <f t="shared" si="23"/>
        <v/>
      </c>
      <c r="Z245" s="149"/>
      <c r="AA245" s="150"/>
      <c r="AG245" s="31" t="str">
        <f>IFERROR(INDEX('G-6 Hedgerow Data'!$BJ$3:$BJ$15,MATCH(D245,'G-6 Hedgerow Data'!$B$3:$B$15,0)),"")</f>
        <v/>
      </c>
    </row>
    <row r="246" spans="2:33" ht="13.8" x14ac:dyDescent="0.25">
      <c r="B246" s="103">
        <v>235</v>
      </c>
      <c r="C246" s="268"/>
      <c r="D246" s="82"/>
      <c r="E246" s="203"/>
      <c r="F246" s="498" t="str">
        <f>IF(D246="","",VLOOKUP(D246,'G-6 Hedgerow Data'!$B$2:$AG$15,2,FALSE))</f>
        <v/>
      </c>
      <c r="G246" s="524" t="str">
        <f>IF(D246="","",VLOOKUP(D246,'G-6 Hedgerow Data'!$B$2:$AG$15,3,FALSE))</f>
        <v/>
      </c>
      <c r="H246" s="72"/>
      <c r="I246" s="499" t="str">
        <f>IFERROR(IF(AND(F246="V.Low",OR(H246="Good",H246="Moderate")),"Error ▲",VLOOKUP(H246,'G-1 All Habitats'!$Z$2:$AA$9,2,FALSE)),"")</f>
        <v/>
      </c>
      <c r="J246" s="146"/>
      <c r="K246" s="520" t="str">
        <f>IF(J246="","",IF(VLOOKUP(J246,'G-3 Multipliers'!$L$3:$N$6,2,FALSE)=0,"Spatial Data Missing",VLOOKUP(J246,'G-3 Multipliers'!$L$3:$N$6,2,FALSE)))</f>
        <v/>
      </c>
      <c r="L246" s="524" t="str">
        <f>IF(J246="","",IF(VLOOKUP(J246,'G-3 Multipliers'!$L$3:$N$6,3,FALSE)=0,"Spatial Data Missing",VLOOKUP(J246,'G-3 Multipliers'!$L$3:$N$6,3,FALSE)))</f>
        <v/>
      </c>
      <c r="M246" s="197"/>
      <c r="N246" s="499" t="str">
        <f>IF(M246="","",IF(VLOOKUP(M246,'G-3 Multipliers'!$S$3:$T$6,2,FALSE)=0,"Spatial Data Missing ⚠",VLOOKUP(M246,'G-3 Multipliers'!$S$3:$T$6,2,FALSE)))</f>
        <v/>
      </c>
      <c r="O246" s="498" t="str">
        <f>IF(OR(D246="",H246=""),"",(INDEX('G-6 Hedgerow Data'!$E$3:$I$15,MATCH(D246,'G-6 Hedgerow Data'!$B$3:$B$15,0),MATCH(H246,'G-6 Hedgerow Data'!$E$2:$I$2,0))))</f>
        <v/>
      </c>
      <c r="P246" s="195"/>
      <c r="Q246" s="195"/>
      <c r="R246" s="507" t="str">
        <f t="shared" si="19"/>
        <v/>
      </c>
      <c r="S246" s="521" t="str">
        <f t="shared" si="20"/>
        <v/>
      </c>
      <c r="T246" s="522" t="str">
        <f t="shared" si="18"/>
        <v/>
      </c>
      <c r="U246" s="537" t="str">
        <f>IF(D246="","",VLOOKUP(D246,'G-6 Hedgerow Data'!$B$3:$AG$15,31,FALSE))</f>
        <v/>
      </c>
      <c r="V246" s="520" t="str">
        <f t="shared" si="21"/>
        <v/>
      </c>
      <c r="W246" s="520" t="str">
        <f t="shared" si="22"/>
        <v/>
      </c>
      <c r="X246" s="524" t="str">
        <f>IF(F246="","",VLOOKUP(U246,'G-3 Multipliers'!$P$3:$Q$6,2,FALSE))</f>
        <v/>
      </c>
      <c r="Y246" s="529" t="str">
        <f t="shared" si="23"/>
        <v/>
      </c>
      <c r="Z246" s="149"/>
      <c r="AA246" s="150"/>
      <c r="AG246" s="31" t="str">
        <f>IFERROR(INDEX('G-6 Hedgerow Data'!$BJ$3:$BJ$15,MATCH(D246,'G-6 Hedgerow Data'!$B$3:$B$15,0)),"")</f>
        <v/>
      </c>
    </row>
    <row r="247" spans="2:33" ht="13.8" x14ac:dyDescent="0.25">
      <c r="B247" s="103">
        <v>236</v>
      </c>
      <c r="C247" s="268"/>
      <c r="D247" s="82"/>
      <c r="E247" s="203"/>
      <c r="F247" s="498" t="str">
        <f>IF(D247="","",VLOOKUP(D247,'G-6 Hedgerow Data'!$B$2:$AG$15,2,FALSE))</f>
        <v/>
      </c>
      <c r="G247" s="524" t="str">
        <f>IF(D247="","",VLOOKUP(D247,'G-6 Hedgerow Data'!$B$2:$AG$15,3,FALSE))</f>
        <v/>
      </c>
      <c r="H247" s="72"/>
      <c r="I247" s="499" t="str">
        <f>IFERROR(IF(AND(F247="V.Low",OR(H247="Good",H247="Moderate")),"Error ▲",VLOOKUP(H247,'G-1 All Habitats'!$Z$2:$AA$9,2,FALSE)),"")</f>
        <v/>
      </c>
      <c r="J247" s="146"/>
      <c r="K247" s="520" t="str">
        <f>IF(J247="","",IF(VLOOKUP(J247,'G-3 Multipliers'!$L$3:$N$6,2,FALSE)=0,"Spatial Data Missing",VLOOKUP(J247,'G-3 Multipliers'!$L$3:$N$6,2,FALSE)))</f>
        <v/>
      </c>
      <c r="L247" s="524" t="str">
        <f>IF(J247="","",IF(VLOOKUP(J247,'G-3 Multipliers'!$L$3:$N$6,3,FALSE)=0,"Spatial Data Missing",VLOOKUP(J247,'G-3 Multipliers'!$L$3:$N$6,3,FALSE)))</f>
        <v/>
      </c>
      <c r="M247" s="197"/>
      <c r="N247" s="499" t="str">
        <f>IF(M247="","",IF(VLOOKUP(M247,'G-3 Multipliers'!$S$3:$T$6,2,FALSE)=0,"Spatial Data Missing ⚠",VLOOKUP(M247,'G-3 Multipliers'!$S$3:$T$6,2,FALSE)))</f>
        <v/>
      </c>
      <c r="O247" s="498" t="str">
        <f>IF(OR(D247="",H247=""),"",(INDEX('G-6 Hedgerow Data'!$E$3:$I$15,MATCH(D247,'G-6 Hedgerow Data'!$B$3:$B$15,0),MATCH(H247,'G-6 Hedgerow Data'!$E$2:$I$2,0))))</f>
        <v/>
      </c>
      <c r="P247" s="195"/>
      <c r="Q247" s="195"/>
      <c r="R247" s="507" t="str">
        <f t="shared" si="19"/>
        <v/>
      </c>
      <c r="S247" s="521" t="str">
        <f t="shared" si="20"/>
        <v/>
      </c>
      <c r="T247" s="522" t="str">
        <f t="shared" si="18"/>
        <v/>
      </c>
      <c r="U247" s="537" t="str">
        <f>IF(D247="","",VLOOKUP(D247,'G-6 Hedgerow Data'!$B$3:$AG$15,31,FALSE))</f>
        <v/>
      </c>
      <c r="V247" s="520" t="str">
        <f t="shared" si="21"/>
        <v/>
      </c>
      <c r="W247" s="520" t="str">
        <f t="shared" si="22"/>
        <v/>
      </c>
      <c r="X247" s="524" t="str">
        <f>IF(F247="","",VLOOKUP(U247,'G-3 Multipliers'!$P$3:$Q$6,2,FALSE))</f>
        <v/>
      </c>
      <c r="Y247" s="529" t="str">
        <f t="shared" si="23"/>
        <v/>
      </c>
      <c r="Z247" s="149"/>
      <c r="AA247" s="150"/>
      <c r="AG247" s="31" t="str">
        <f>IFERROR(INDEX('G-6 Hedgerow Data'!$BJ$3:$BJ$15,MATCH(D247,'G-6 Hedgerow Data'!$B$3:$B$15,0)),"")</f>
        <v/>
      </c>
    </row>
    <row r="248" spans="2:33" ht="13.8" x14ac:dyDescent="0.25">
      <c r="B248" s="103">
        <v>237</v>
      </c>
      <c r="C248" s="268"/>
      <c r="D248" s="82"/>
      <c r="E248" s="203"/>
      <c r="F248" s="498" t="str">
        <f>IF(D248="","",VLOOKUP(D248,'G-6 Hedgerow Data'!$B$2:$AG$15,2,FALSE))</f>
        <v/>
      </c>
      <c r="G248" s="524" t="str">
        <f>IF(D248="","",VLOOKUP(D248,'G-6 Hedgerow Data'!$B$2:$AG$15,3,FALSE))</f>
        <v/>
      </c>
      <c r="H248" s="72"/>
      <c r="I248" s="499" t="str">
        <f>IFERROR(IF(AND(F248="V.Low",OR(H248="Good",H248="Moderate")),"Error ▲",VLOOKUP(H248,'G-1 All Habitats'!$Z$2:$AA$9,2,FALSE)),"")</f>
        <v/>
      </c>
      <c r="J248" s="146"/>
      <c r="K248" s="520" t="str">
        <f>IF(J248="","",IF(VLOOKUP(J248,'G-3 Multipliers'!$L$3:$N$6,2,FALSE)=0,"Spatial Data Missing",VLOOKUP(J248,'G-3 Multipliers'!$L$3:$N$6,2,FALSE)))</f>
        <v/>
      </c>
      <c r="L248" s="524" t="str">
        <f>IF(J248="","",IF(VLOOKUP(J248,'G-3 Multipliers'!$L$3:$N$6,3,FALSE)=0,"Spatial Data Missing",VLOOKUP(J248,'G-3 Multipliers'!$L$3:$N$6,3,FALSE)))</f>
        <v/>
      </c>
      <c r="M248" s="197"/>
      <c r="N248" s="499" t="str">
        <f>IF(M248="","",IF(VLOOKUP(M248,'G-3 Multipliers'!$S$3:$T$6,2,FALSE)=0,"Spatial Data Missing ⚠",VLOOKUP(M248,'G-3 Multipliers'!$S$3:$T$6,2,FALSE)))</f>
        <v/>
      </c>
      <c r="O248" s="498" t="str">
        <f>IF(OR(D248="",H248=""),"",(INDEX('G-6 Hedgerow Data'!$E$3:$I$15,MATCH(D248,'G-6 Hedgerow Data'!$B$3:$B$15,0),MATCH(H248,'G-6 Hedgerow Data'!$E$2:$I$2,0))))</f>
        <v/>
      </c>
      <c r="P248" s="195"/>
      <c r="Q248" s="195"/>
      <c r="R248" s="507" t="str">
        <f t="shared" si="19"/>
        <v/>
      </c>
      <c r="S248" s="521" t="str">
        <f t="shared" si="20"/>
        <v/>
      </c>
      <c r="T248" s="522" t="str">
        <f t="shared" si="18"/>
        <v/>
      </c>
      <c r="U248" s="537" t="str">
        <f>IF(D248="","",VLOOKUP(D248,'G-6 Hedgerow Data'!$B$3:$AG$15,31,FALSE))</f>
        <v/>
      </c>
      <c r="V248" s="520" t="str">
        <f t="shared" si="21"/>
        <v/>
      </c>
      <c r="W248" s="520" t="str">
        <f t="shared" si="22"/>
        <v/>
      </c>
      <c r="X248" s="524" t="str">
        <f>IF(F248="","",VLOOKUP(U248,'G-3 Multipliers'!$P$3:$Q$6,2,FALSE))</f>
        <v/>
      </c>
      <c r="Y248" s="529" t="str">
        <f t="shared" si="23"/>
        <v/>
      </c>
      <c r="Z248" s="149"/>
      <c r="AA248" s="150"/>
      <c r="AG248" s="31" t="str">
        <f>IFERROR(INDEX('G-6 Hedgerow Data'!$BJ$3:$BJ$15,MATCH(D248,'G-6 Hedgerow Data'!$B$3:$B$15,0)),"")</f>
        <v/>
      </c>
    </row>
    <row r="249" spans="2:33" ht="13.8" x14ac:dyDescent="0.25">
      <c r="B249" s="103">
        <v>238</v>
      </c>
      <c r="C249" s="268"/>
      <c r="D249" s="82"/>
      <c r="E249" s="203"/>
      <c r="F249" s="498" t="str">
        <f>IF(D249="","",VLOOKUP(D249,'G-6 Hedgerow Data'!$B$2:$AG$15,2,FALSE))</f>
        <v/>
      </c>
      <c r="G249" s="524" t="str">
        <f>IF(D249="","",VLOOKUP(D249,'G-6 Hedgerow Data'!$B$2:$AG$15,3,FALSE))</f>
        <v/>
      </c>
      <c r="H249" s="72"/>
      <c r="I249" s="499" t="str">
        <f>IFERROR(IF(AND(F249="V.Low",OR(H249="Good",H249="Moderate")),"Error ▲",VLOOKUP(H249,'G-1 All Habitats'!$Z$2:$AA$9,2,FALSE)),"")</f>
        <v/>
      </c>
      <c r="J249" s="146"/>
      <c r="K249" s="520" t="str">
        <f>IF(J249="","",IF(VLOOKUP(J249,'G-3 Multipliers'!$L$3:$N$6,2,FALSE)=0,"Spatial Data Missing",VLOOKUP(J249,'G-3 Multipliers'!$L$3:$N$6,2,FALSE)))</f>
        <v/>
      </c>
      <c r="L249" s="524" t="str">
        <f>IF(J249="","",IF(VLOOKUP(J249,'G-3 Multipliers'!$L$3:$N$6,3,FALSE)=0,"Spatial Data Missing",VLOOKUP(J249,'G-3 Multipliers'!$L$3:$N$6,3,FALSE)))</f>
        <v/>
      </c>
      <c r="M249" s="197"/>
      <c r="N249" s="499" t="str">
        <f>IF(M249="","",IF(VLOOKUP(M249,'G-3 Multipliers'!$S$3:$T$6,2,FALSE)=0,"Spatial Data Missing ⚠",VLOOKUP(M249,'G-3 Multipliers'!$S$3:$T$6,2,FALSE)))</f>
        <v/>
      </c>
      <c r="O249" s="498" t="str">
        <f>IF(OR(D249="",H249=""),"",(INDEX('G-6 Hedgerow Data'!$E$3:$I$15,MATCH(D249,'G-6 Hedgerow Data'!$B$3:$B$15,0),MATCH(H249,'G-6 Hedgerow Data'!$E$2:$I$2,0))))</f>
        <v/>
      </c>
      <c r="P249" s="195"/>
      <c r="Q249" s="195"/>
      <c r="R249" s="507" t="str">
        <f t="shared" si="19"/>
        <v/>
      </c>
      <c r="S249" s="521" t="str">
        <f t="shared" si="20"/>
        <v/>
      </c>
      <c r="T249" s="522" t="str">
        <f t="shared" si="18"/>
        <v/>
      </c>
      <c r="U249" s="537" t="str">
        <f>IF(D249="","",VLOOKUP(D249,'G-6 Hedgerow Data'!$B$3:$AG$15,31,FALSE))</f>
        <v/>
      </c>
      <c r="V249" s="520" t="str">
        <f t="shared" si="21"/>
        <v/>
      </c>
      <c r="W249" s="520" t="str">
        <f t="shared" si="22"/>
        <v/>
      </c>
      <c r="X249" s="524" t="str">
        <f>IF(F249="","",VLOOKUP(U249,'G-3 Multipliers'!$P$3:$Q$6,2,FALSE))</f>
        <v/>
      </c>
      <c r="Y249" s="529" t="str">
        <f t="shared" si="23"/>
        <v/>
      </c>
      <c r="Z249" s="149"/>
      <c r="AA249" s="150"/>
      <c r="AG249" s="31" t="str">
        <f>IFERROR(INDEX('G-6 Hedgerow Data'!$BJ$3:$BJ$15,MATCH(D249,'G-6 Hedgerow Data'!$B$3:$B$15,0)),"")</f>
        <v/>
      </c>
    </row>
    <row r="250" spans="2:33" ht="13.8" x14ac:dyDescent="0.25">
      <c r="B250" s="103">
        <v>239</v>
      </c>
      <c r="C250" s="268"/>
      <c r="D250" s="82"/>
      <c r="E250" s="203"/>
      <c r="F250" s="498" t="str">
        <f>IF(D250="","",VLOOKUP(D250,'G-6 Hedgerow Data'!$B$2:$AG$15,2,FALSE))</f>
        <v/>
      </c>
      <c r="G250" s="524" t="str">
        <f>IF(D250="","",VLOOKUP(D250,'G-6 Hedgerow Data'!$B$2:$AG$15,3,FALSE))</f>
        <v/>
      </c>
      <c r="H250" s="72"/>
      <c r="I250" s="499" t="str">
        <f>IFERROR(IF(AND(F250="V.Low",OR(H250="Good",H250="Moderate")),"Error ▲",VLOOKUP(H250,'G-1 All Habitats'!$Z$2:$AA$9,2,FALSE)),"")</f>
        <v/>
      </c>
      <c r="J250" s="146"/>
      <c r="K250" s="520" t="str">
        <f>IF(J250="","",IF(VLOOKUP(J250,'G-3 Multipliers'!$L$3:$N$6,2,FALSE)=0,"Spatial Data Missing",VLOOKUP(J250,'G-3 Multipliers'!$L$3:$N$6,2,FALSE)))</f>
        <v/>
      </c>
      <c r="L250" s="524" t="str">
        <f>IF(J250="","",IF(VLOOKUP(J250,'G-3 Multipliers'!$L$3:$N$6,3,FALSE)=0,"Spatial Data Missing",VLOOKUP(J250,'G-3 Multipliers'!$L$3:$N$6,3,FALSE)))</f>
        <v/>
      </c>
      <c r="M250" s="197"/>
      <c r="N250" s="499" t="str">
        <f>IF(M250="","",IF(VLOOKUP(M250,'G-3 Multipliers'!$S$3:$T$6,2,FALSE)=0,"Spatial Data Missing ⚠",VLOOKUP(M250,'G-3 Multipliers'!$S$3:$T$6,2,FALSE)))</f>
        <v/>
      </c>
      <c r="O250" s="498" t="str">
        <f>IF(OR(D250="",H250=""),"",(INDEX('G-6 Hedgerow Data'!$E$3:$I$15,MATCH(D250,'G-6 Hedgerow Data'!$B$3:$B$15,0),MATCH(H250,'G-6 Hedgerow Data'!$E$2:$I$2,0))))</f>
        <v/>
      </c>
      <c r="P250" s="195"/>
      <c r="Q250" s="195"/>
      <c r="R250" s="507" t="str">
        <f t="shared" si="19"/>
        <v/>
      </c>
      <c r="S250" s="521" t="str">
        <f t="shared" si="20"/>
        <v/>
      </c>
      <c r="T250" s="522" t="str">
        <f t="shared" si="18"/>
        <v/>
      </c>
      <c r="U250" s="537" t="str">
        <f>IF(D250="","",VLOOKUP(D250,'G-6 Hedgerow Data'!$B$3:$AG$15,31,FALSE))</f>
        <v/>
      </c>
      <c r="V250" s="520" t="str">
        <f t="shared" si="21"/>
        <v/>
      </c>
      <c r="W250" s="520" t="str">
        <f t="shared" si="22"/>
        <v/>
      </c>
      <c r="X250" s="524" t="str">
        <f>IF(F250="","",VLOOKUP(U250,'G-3 Multipliers'!$P$3:$Q$6,2,FALSE))</f>
        <v/>
      </c>
      <c r="Y250" s="529" t="str">
        <f t="shared" si="23"/>
        <v/>
      </c>
      <c r="Z250" s="149"/>
      <c r="AA250" s="150"/>
      <c r="AG250" s="31" t="str">
        <f>IFERROR(INDEX('G-6 Hedgerow Data'!$BJ$3:$BJ$15,MATCH(D250,'G-6 Hedgerow Data'!$B$3:$B$15,0)),"")</f>
        <v/>
      </c>
    </row>
    <row r="251" spans="2:33" ht="13.8" x14ac:dyDescent="0.25">
      <c r="B251" s="103">
        <v>240</v>
      </c>
      <c r="C251" s="268"/>
      <c r="D251" s="82"/>
      <c r="E251" s="203"/>
      <c r="F251" s="498" t="str">
        <f>IF(D251="","",VLOOKUP(D251,'G-6 Hedgerow Data'!$B$2:$AG$15,2,FALSE))</f>
        <v/>
      </c>
      <c r="G251" s="524" t="str">
        <f>IF(D251="","",VLOOKUP(D251,'G-6 Hedgerow Data'!$B$2:$AG$15,3,FALSE))</f>
        <v/>
      </c>
      <c r="H251" s="72"/>
      <c r="I251" s="499" t="str">
        <f>IFERROR(IF(AND(F251="V.Low",OR(H251="Good",H251="Moderate")),"Error ▲",VLOOKUP(H251,'G-1 All Habitats'!$Z$2:$AA$9,2,FALSE)),"")</f>
        <v/>
      </c>
      <c r="J251" s="146"/>
      <c r="K251" s="520" t="str">
        <f>IF(J251="","",IF(VLOOKUP(J251,'G-3 Multipliers'!$L$3:$N$6,2,FALSE)=0,"Spatial Data Missing",VLOOKUP(J251,'G-3 Multipliers'!$L$3:$N$6,2,FALSE)))</f>
        <v/>
      </c>
      <c r="L251" s="524" t="str">
        <f>IF(J251="","",IF(VLOOKUP(J251,'G-3 Multipliers'!$L$3:$N$6,3,FALSE)=0,"Spatial Data Missing",VLOOKUP(J251,'G-3 Multipliers'!$L$3:$N$6,3,FALSE)))</f>
        <v/>
      </c>
      <c r="M251" s="197"/>
      <c r="N251" s="499" t="str">
        <f>IF(M251="","",IF(VLOOKUP(M251,'G-3 Multipliers'!$S$3:$T$6,2,FALSE)=0,"Spatial Data Missing ⚠",VLOOKUP(M251,'G-3 Multipliers'!$S$3:$T$6,2,FALSE)))</f>
        <v/>
      </c>
      <c r="O251" s="498" t="str">
        <f>IF(OR(D251="",H251=""),"",(INDEX('G-6 Hedgerow Data'!$E$3:$I$15,MATCH(D251,'G-6 Hedgerow Data'!$B$3:$B$15,0),MATCH(H251,'G-6 Hedgerow Data'!$E$2:$I$2,0))))</f>
        <v/>
      </c>
      <c r="P251" s="195"/>
      <c r="Q251" s="195"/>
      <c r="R251" s="507" t="str">
        <f t="shared" si="19"/>
        <v/>
      </c>
      <c r="S251" s="521" t="str">
        <f t="shared" si="20"/>
        <v/>
      </c>
      <c r="T251" s="522" t="str">
        <f t="shared" si="18"/>
        <v/>
      </c>
      <c r="U251" s="537" t="str">
        <f>IF(D251="","",VLOOKUP(D251,'G-6 Hedgerow Data'!$B$3:$AG$15,31,FALSE))</f>
        <v/>
      </c>
      <c r="V251" s="520" t="str">
        <f t="shared" si="21"/>
        <v/>
      </c>
      <c r="W251" s="520" t="str">
        <f t="shared" si="22"/>
        <v/>
      </c>
      <c r="X251" s="524" t="str">
        <f>IF(F251="","",VLOOKUP(U251,'G-3 Multipliers'!$P$3:$Q$6,2,FALSE))</f>
        <v/>
      </c>
      <c r="Y251" s="529" t="str">
        <f t="shared" si="23"/>
        <v/>
      </c>
      <c r="Z251" s="149"/>
      <c r="AA251" s="150"/>
      <c r="AG251" s="31" t="str">
        <f>IFERROR(INDEX('G-6 Hedgerow Data'!$BJ$3:$BJ$15,MATCH(D251,'G-6 Hedgerow Data'!$B$3:$B$15,0)),"")</f>
        <v/>
      </c>
    </row>
    <row r="252" spans="2:33" ht="13.8" x14ac:dyDescent="0.25">
      <c r="B252" s="103">
        <v>241</v>
      </c>
      <c r="C252" s="268"/>
      <c r="D252" s="82"/>
      <c r="E252" s="203"/>
      <c r="F252" s="498" t="str">
        <f>IF(D252="","",VLOOKUP(D252,'G-6 Hedgerow Data'!$B$2:$AG$15,2,FALSE))</f>
        <v/>
      </c>
      <c r="G252" s="524" t="str">
        <f>IF(D252="","",VLOOKUP(D252,'G-6 Hedgerow Data'!$B$2:$AG$15,3,FALSE))</f>
        <v/>
      </c>
      <c r="H252" s="72"/>
      <c r="I252" s="499" t="str">
        <f>IFERROR(IF(AND(F252="V.Low",OR(H252="Good",H252="Moderate")),"Error ▲",VLOOKUP(H252,'G-1 All Habitats'!$Z$2:$AA$9,2,FALSE)),"")</f>
        <v/>
      </c>
      <c r="J252" s="146"/>
      <c r="K252" s="520" t="str">
        <f>IF(J252="","",IF(VLOOKUP(J252,'G-3 Multipliers'!$L$3:$N$6,2,FALSE)=0,"Spatial Data Missing",VLOOKUP(J252,'G-3 Multipliers'!$L$3:$N$6,2,FALSE)))</f>
        <v/>
      </c>
      <c r="L252" s="524" t="str">
        <f>IF(J252="","",IF(VLOOKUP(J252,'G-3 Multipliers'!$L$3:$N$6,3,FALSE)=0,"Spatial Data Missing",VLOOKUP(J252,'G-3 Multipliers'!$L$3:$N$6,3,FALSE)))</f>
        <v/>
      </c>
      <c r="M252" s="197"/>
      <c r="N252" s="499" t="str">
        <f>IF(M252="","",IF(VLOOKUP(M252,'G-3 Multipliers'!$S$3:$T$6,2,FALSE)=0,"Spatial Data Missing ⚠",VLOOKUP(M252,'G-3 Multipliers'!$S$3:$T$6,2,FALSE)))</f>
        <v/>
      </c>
      <c r="O252" s="498" t="str">
        <f>IF(OR(D252="",H252=""),"",(INDEX('G-6 Hedgerow Data'!$E$3:$I$15,MATCH(D252,'G-6 Hedgerow Data'!$B$3:$B$15,0),MATCH(H252,'G-6 Hedgerow Data'!$E$2:$I$2,0))))</f>
        <v/>
      </c>
      <c r="P252" s="195"/>
      <c r="Q252" s="195"/>
      <c r="R252" s="507" t="str">
        <f t="shared" si="19"/>
        <v/>
      </c>
      <c r="S252" s="521" t="str">
        <f t="shared" si="20"/>
        <v/>
      </c>
      <c r="T252" s="522" t="str">
        <f t="shared" si="18"/>
        <v/>
      </c>
      <c r="U252" s="537" t="str">
        <f>IF(D252="","",VLOOKUP(D252,'G-6 Hedgerow Data'!$B$3:$AG$15,31,FALSE))</f>
        <v/>
      </c>
      <c r="V252" s="520" t="str">
        <f t="shared" si="21"/>
        <v/>
      </c>
      <c r="W252" s="520" t="str">
        <f t="shared" si="22"/>
        <v/>
      </c>
      <c r="X252" s="524" t="str">
        <f>IF(F252="","",VLOOKUP(U252,'G-3 Multipliers'!$P$3:$Q$6,2,FALSE))</f>
        <v/>
      </c>
      <c r="Y252" s="529" t="str">
        <f t="shared" si="23"/>
        <v/>
      </c>
      <c r="Z252" s="149"/>
      <c r="AA252" s="150"/>
      <c r="AG252" s="31" t="str">
        <f>IFERROR(INDEX('G-6 Hedgerow Data'!$BJ$3:$BJ$15,MATCH(D252,'G-6 Hedgerow Data'!$B$3:$B$15,0)),"")</f>
        <v/>
      </c>
    </row>
    <row r="253" spans="2:33" ht="13.8" x14ac:dyDescent="0.25">
      <c r="B253" s="103">
        <v>242</v>
      </c>
      <c r="C253" s="268"/>
      <c r="D253" s="82"/>
      <c r="E253" s="203"/>
      <c r="F253" s="498" t="str">
        <f>IF(D253="","",VLOOKUP(D253,'G-6 Hedgerow Data'!$B$2:$AG$15,2,FALSE))</f>
        <v/>
      </c>
      <c r="G253" s="524" t="str">
        <f>IF(D253="","",VLOOKUP(D253,'G-6 Hedgerow Data'!$B$2:$AG$15,3,FALSE))</f>
        <v/>
      </c>
      <c r="H253" s="72"/>
      <c r="I253" s="499" t="str">
        <f>IFERROR(IF(AND(F253="V.Low",OR(H253="Good",H253="Moderate")),"Error ▲",VLOOKUP(H253,'G-1 All Habitats'!$Z$2:$AA$9,2,FALSE)),"")</f>
        <v/>
      </c>
      <c r="J253" s="146"/>
      <c r="K253" s="520" t="str">
        <f>IF(J253="","",IF(VLOOKUP(J253,'G-3 Multipliers'!$L$3:$N$6,2,FALSE)=0,"Spatial Data Missing",VLOOKUP(J253,'G-3 Multipliers'!$L$3:$N$6,2,FALSE)))</f>
        <v/>
      </c>
      <c r="L253" s="524" t="str">
        <f>IF(J253="","",IF(VLOOKUP(J253,'G-3 Multipliers'!$L$3:$N$6,3,FALSE)=0,"Spatial Data Missing",VLOOKUP(J253,'G-3 Multipliers'!$L$3:$N$6,3,FALSE)))</f>
        <v/>
      </c>
      <c r="M253" s="197"/>
      <c r="N253" s="499" t="str">
        <f>IF(M253="","",IF(VLOOKUP(M253,'G-3 Multipliers'!$S$3:$T$6,2,FALSE)=0,"Spatial Data Missing ⚠",VLOOKUP(M253,'G-3 Multipliers'!$S$3:$T$6,2,FALSE)))</f>
        <v/>
      </c>
      <c r="O253" s="498" t="str">
        <f>IF(OR(D253="",H253=""),"",(INDEX('G-6 Hedgerow Data'!$E$3:$I$15,MATCH(D253,'G-6 Hedgerow Data'!$B$3:$B$15,0),MATCH(H253,'G-6 Hedgerow Data'!$E$2:$I$2,0))))</f>
        <v/>
      </c>
      <c r="P253" s="195"/>
      <c r="Q253" s="195"/>
      <c r="R253" s="507" t="str">
        <f t="shared" si="19"/>
        <v/>
      </c>
      <c r="S253" s="521" t="str">
        <f t="shared" si="20"/>
        <v/>
      </c>
      <c r="T253" s="522" t="str">
        <f t="shared" si="18"/>
        <v/>
      </c>
      <c r="U253" s="537" t="str">
        <f>IF(D253="","",VLOOKUP(D253,'G-6 Hedgerow Data'!$B$3:$AG$15,31,FALSE))</f>
        <v/>
      </c>
      <c r="V253" s="520" t="str">
        <f t="shared" si="21"/>
        <v/>
      </c>
      <c r="W253" s="520" t="str">
        <f t="shared" si="22"/>
        <v/>
      </c>
      <c r="X253" s="524" t="str">
        <f>IF(F253="","",VLOOKUP(U253,'G-3 Multipliers'!$P$3:$Q$6,2,FALSE))</f>
        <v/>
      </c>
      <c r="Y253" s="529" t="str">
        <f t="shared" si="23"/>
        <v/>
      </c>
      <c r="Z253" s="149"/>
      <c r="AA253" s="150"/>
      <c r="AG253" s="31" t="str">
        <f>IFERROR(INDEX('G-6 Hedgerow Data'!$BJ$3:$BJ$15,MATCH(D253,'G-6 Hedgerow Data'!$B$3:$B$15,0)),"")</f>
        <v/>
      </c>
    </row>
    <row r="254" spans="2:33" ht="13.8" x14ac:dyDescent="0.25">
      <c r="B254" s="103">
        <v>243</v>
      </c>
      <c r="C254" s="268"/>
      <c r="D254" s="82"/>
      <c r="E254" s="203"/>
      <c r="F254" s="498" t="str">
        <f>IF(D254="","",VLOOKUP(D254,'G-6 Hedgerow Data'!$B$2:$AG$15,2,FALSE))</f>
        <v/>
      </c>
      <c r="G254" s="524" t="str">
        <f>IF(D254="","",VLOOKUP(D254,'G-6 Hedgerow Data'!$B$2:$AG$15,3,FALSE))</f>
        <v/>
      </c>
      <c r="H254" s="72"/>
      <c r="I254" s="499" t="str">
        <f>IFERROR(IF(AND(F254="V.Low",OR(H254="Good",H254="Moderate")),"Error ▲",VLOOKUP(H254,'G-1 All Habitats'!$Z$2:$AA$9,2,FALSE)),"")</f>
        <v/>
      </c>
      <c r="J254" s="146"/>
      <c r="K254" s="520" t="str">
        <f>IF(J254="","",IF(VLOOKUP(J254,'G-3 Multipliers'!$L$3:$N$6,2,FALSE)=0,"Spatial Data Missing",VLOOKUP(J254,'G-3 Multipliers'!$L$3:$N$6,2,FALSE)))</f>
        <v/>
      </c>
      <c r="L254" s="524" t="str">
        <f>IF(J254="","",IF(VLOOKUP(J254,'G-3 Multipliers'!$L$3:$N$6,3,FALSE)=0,"Spatial Data Missing",VLOOKUP(J254,'G-3 Multipliers'!$L$3:$N$6,3,FALSE)))</f>
        <v/>
      </c>
      <c r="M254" s="197"/>
      <c r="N254" s="499" t="str">
        <f>IF(M254="","",IF(VLOOKUP(M254,'G-3 Multipliers'!$S$3:$T$6,2,FALSE)=0,"Spatial Data Missing ⚠",VLOOKUP(M254,'G-3 Multipliers'!$S$3:$T$6,2,FALSE)))</f>
        <v/>
      </c>
      <c r="O254" s="498" t="str">
        <f>IF(OR(D254="",H254=""),"",(INDEX('G-6 Hedgerow Data'!$E$3:$I$15,MATCH(D254,'G-6 Hedgerow Data'!$B$3:$B$15,0),MATCH(H254,'G-6 Hedgerow Data'!$E$2:$I$2,0))))</f>
        <v/>
      </c>
      <c r="P254" s="195"/>
      <c r="Q254" s="195"/>
      <c r="R254" s="507" t="str">
        <f t="shared" si="19"/>
        <v/>
      </c>
      <c r="S254" s="521" t="str">
        <f t="shared" si="20"/>
        <v/>
      </c>
      <c r="T254" s="522" t="str">
        <f t="shared" si="18"/>
        <v/>
      </c>
      <c r="U254" s="537" t="str">
        <f>IF(D254="","",VLOOKUP(D254,'G-6 Hedgerow Data'!$B$3:$AG$15,31,FALSE))</f>
        <v/>
      </c>
      <c r="V254" s="520" t="str">
        <f t="shared" si="21"/>
        <v/>
      </c>
      <c r="W254" s="520" t="str">
        <f t="shared" si="22"/>
        <v/>
      </c>
      <c r="X254" s="524" t="str">
        <f>IF(F254="","",VLOOKUP(U254,'G-3 Multipliers'!$P$3:$Q$6,2,FALSE))</f>
        <v/>
      </c>
      <c r="Y254" s="529" t="str">
        <f t="shared" si="23"/>
        <v/>
      </c>
      <c r="Z254" s="149"/>
      <c r="AA254" s="150"/>
      <c r="AG254" s="31" t="str">
        <f>IFERROR(INDEX('G-6 Hedgerow Data'!$BJ$3:$BJ$15,MATCH(D254,'G-6 Hedgerow Data'!$B$3:$B$15,0)),"")</f>
        <v/>
      </c>
    </row>
    <row r="255" spans="2:33" ht="13.8" x14ac:dyDescent="0.25">
      <c r="B255" s="103">
        <v>244</v>
      </c>
      <c r="C255" s="268"/>
      <c r="D255" s="82"/>
      <c r="E255" s="203"/>
      <c r="F255" s="498" t="str">
        <f>IF(D255="","",VLOOKUP(D255,'G-6 Hedgerow Data'!$B$2:$AG$15,2,FALSE))</f>
        <v/>
      </c>
      <c r="G255" s="524" t="str">
        <f>IF(D255="","",VLOOKUP(D255,'G-6 Hedgerow Data'!$B$2:$AG$15,3,FALSE))</f>
        <v/>
      </c>
      <c r="H255" s="72"/>
      <c r="I255" s="499" t="str">
        <f>IFERROR(IF(AND(F255="V.Low",OR(H255="Good",H255="Moderate")),"Error ▲",VLOOKUP(H255,'G-1 All Habitats'!$Z$2:$AA$9,2,FALSE)),"")</f>
        <v/>
      </c>
      <c r="J255" s="146"/>
      <c r="K255" s="520" t="str">
        <f>IF(J255="","",IF(VLOOKUP(J255,'G-3 Multipliers'!$L$3:$N$6,2,FALSE)=0,"Spatial Data Missing",VLOOKUP(J255,'G-3 Multipliers'!$L$3:$N$6,2,FALSE)))</f>
        <v/>
      </c>
      <c r="L255" s="524" t="str">
        <f>IF(J255="","",IF(VLOOKUP(J255,'G-3 Multipliers'!$L$3:$N$6,3,FALSE)=0,"Spatial Data Missing",VLOOKUP(J255,'G-3 Multipliers'!$L$3:$N$6,3,FALSE)))</f>
        <v/>
      </c>
      <c r="M255" s="197"/>
      <c r="N255" s="499" t="str">
        <f>IF(M255="","",IF(VLOOKUP(M255,'G-3 Multipliers'!$S$3:$T$6,2,FALSE)=0,"Spatial Data Missing ⚠",VLOOKUP(M255,'G-3 Multipliers'!$S$3:$T$6,2,FALSE)))</f>
        <v/>
      </c>
      <c r="O255" s="498" t="str">
        <f>IF(OR(D255="",H255=""),"",(INDEX('G-6 Hedgerow Data'!$E$3:$I$15,MATCH(D255,'G-6 Hedgerow Data'!$B$3:$B$15,0),MATCH(H255,'G-6 Hedgerow Data'!$E$2:$I$2,0))))</f>
        <v/>
      </c>
      <c r="P255" s="195"/>
      <c r="Q255" s="195"/>
      <c r="R255" s="507" t="str">
        <f t="shared" si="19"/>
        <v/>
      </c>
      <c r="S255" s="521" t="str">
        <f t="shared" si="20"/>
        <v/>
      </c>
      <c r="T255" s="522" t="str">
        <f t="shared" si="18"/>
        <v/>
      </c>
      <c r="U255" s="537" t="str">
        <f>IF(D255="","",VLOOKUP(D255,'G-6 Hedgerow Data'!$B$3:$AG$15,31,FALSE))</f>
        <v/>
      </c>
      <c r="V255" s="520" t="str">
        <f t="shared" si="21"/>
        <v/>
      </c>
      <c r="W255" s="520" t="str">
        <f t="shared" si="22"/>
        <v/>
      </c>
      <c r="X255" s="524" t="str">
        <f>IF(F255="","",VLOOKUP(U255,'G-3 Multipliers'!$P$3:$Q$6,2,FALSE))</f>
        <v/>
      </c>
      <c r="Y255" s="529" t="str">
        <f t="shared" si="23"/>
        <v/>
      </c>
      <c r="Z255" s="149"/>
      <c r="AA255" s="150"/>
      <c r="AG255" s="31" t="str">
        <f>IFERROR(INDEX('G-6 Hedgerow Data'!$BJ$3:$BJ$15,MATCH(D255,'G-6 Hedgerow Data'!$B$3:$B$15,0)),"")</f>
        <v/>
      </c>
    </row>
    <row r="256" spans="2:33" ht="13.8" x14ac:dyDescent="0.25">
      <c r="B256" s="103">
        <v>245</v>
      </c>
      <c r="C256" s="268"/>
      <c r="D256" s="82"/>
      <c r="E256" s="203"/>
      <c r="F256" s="498" t="str">
        <f>IF(D256="","",VLOOKUP(D256,'G-6 Hedgerow Data'!$B$2:$AG$15,2,FALSE))</f>
        <v/>
      </c>
      <c r="G256" s="524" t="str">
        <f>IF(D256="","",VLOOKUP(D256,'G-6 Hedgerow Data'!$B$2:$AG$15,3,FALSE))</f>
        <v/>
      </c>
      <c r="H256" s="72"/>
      <c r="I256" s="499" t="str">
        <f>IFERROR(IF(AND(F256="V.Low",OR(H256="Good",H256="Moderate")),"Error ▲",VLOOKUP(H256,'G-1 All Habitats'!$Z$2:$AA$9,2,FALSE)),"")</f>
        <v/>
      </c>
      <c r="J256" s="146"/>
      <c r="K256" s="520" t="str">
        <f>IF(J256="","",IF(VLOOKUP(J256,'G-3 Multipliers'!$L$3:$N$6,2,FALSE)=0,"Spatial Data Missing",VLOOKUP(J256,'G-3 Multipliers'!$L$3:$N$6,2,FALSE)))</f>
        <v/>
      </c>
      <c r="L256" s="524" t="str">
        <f>IF(J256="","",IF(VLOOKUP(J256,'G-3 Multipliers'!$L$3:$N$6,3,FALSE)=0,"Spatial Data Missing",VLOOKUP(J256,'G-3 Multipliers'!$L$3:$N$6,3,FALSE)))</f>
        <v/>
      </c>
      <c r="M256" s="197"/>
      <c r="N256" s="499" t="str">
        <f>IF(M256="","",IF(VLOOKUP(M256,'G-3 Multipliers'!$S$3:$T$6,2,FALSE)=0,"Spatial Data Missing ⚠",VLOOKUP(M256,'G-3 Multipliers'!$S$3:$T$6,2,FALSE)))</f>
        <v/>
      </c>
      <c r="O256" s="498" t="str">
        <f>IF(OR(D256="",H256=""),"",(INDEX('G-6 Hedgerow Data'!$E$3:$I$15,MATCH(D256,'G-6 Hedgerow Data'!$B$3:$B$15,0),MATCH(H256,'G-6 Hedgerow Data'!$E$2:$I$2,0))))</f>
        <v/>
      </c>
      <c r="P256" s="195"/>
      <c r="Q256" s="195"/>
      <c r="R256" s="507" t="str">
        <f t="shared" si="19"/>
        <v/>
      </c>
      <c r="S256" s="521" t="str">
        <f t="shared" si="20"/>
        <v/>
      </c>
      <c r="T256" s="522" t="str">
        <f t="shared" si="18"/>
        <v/>
      </c>
      <c r="U256" s="537" t="str">
        <f>IF(D256="","",VLOOKUP(D256,'G-6 Hedgerow Data'!$B$3:$AG$15,31,FALSE))</f>
        <v/>
      </c>
      <c r="V256" s="520" t="str">
        <f t="shared" si="21"/>
        <v/>
      </c>
      <c r="W256" s="520" t="str">
        <f t="shared" si="22"/>
        <v/>
      </c>
      <c r="X256" s="524" t="str">
        <f>IF(F256="","",VLOOKUP(U256,'G-3 Multipliers'!$P$3:$Q$6,2,FALSE))</f>
        <v/>
      </c>
      <c r="Y256" s="529" t="str">
        <f t="shared" si="23"/>
        <v/>
      </c>
      <c r="Z256" s="149"/>
      <c r="AA256" s="150"/>
      <c r="AG256" s="31" t="str">
        <f>IFERROR(INDEX('G-6 Hedgerow Data'!$BJ$3:$BJ$15,MATCH(D256,'G-6 Hedgerow Data'!$B$3:$B$15,0)),"")</f>
        <v/>
      </c>
    </row>
    <row r="257" spans="2:33" ht="13.8" x14ac:dyDescent="0.25">
      <c r="B257" s="103">
        <v>246</v>
      </c>
      <c r="C257" s="268"/>
      <c r="D257" s="82"/>
      <c r="E257" s="203"/>
      <c r="F257" s="498" t="str">
        <f>IF(D257="","",VLOOKUP(D257,'G-6 Hedgerow Data'!$B$2:$AG$15,2,FALSE))</f>
        <v/>
      </c>
      <c r="G257" s="524" t="str">
        <f>IF(D257="","",VLOOKUP(D257,'G-6 Hedgerow Data'!$B$2:$AG$15,3,FALSE))</f>
        <v/>
      </c>
      <c r="H257" s="72"/>
      <c r="I257" s="499" t="str">
        <f>IFERROR(IF(AND(F257="V.Low",OR(H257="Good",H257="Moderate")),"Error ▲",VLOOKUP(H257,'G-1 All Habitats'!$Z$2:$AA$9,2,FALSE)),"")</f>
        <v/>
      </c>
      <c r="J257" s="146"/>
      <c r="K257" s="520" t="str">
        <f>IF(J257="","",IF(VLOOKUP(J257,'G-3 Multipliers'!$L$3:$N$6,2,FALSE)=0,"Spatial Data Missing",VLOOKUP(J257,'G-3 Multipliers'!$L$3:$N$6,2,FALSE)))</f>
        <v/>
      </c>
      <c r="L257" s="524" t="str">
        <f>IF(J257="","",IF(VLOOKUP(J257,'G-3 Multipliers'!$L$3:$N$6,3,FALSE)=0,"Spatial Data Missing",VLOOKUP(J257,'G-3 Multipliers'!$L$3:$N$6,3,FALSE)))</f>
        <v/>
      </c>
      <c r="M257" s="197"/>
      <c r="N257" s="499" t="str">
        <f>IF(M257="","",IF(VLOOKUP(M257,'G-3 Multipliers'!$S$3:$T$6,2,FALSE)=0,"Spatial Data Missing ⚠",VLOOKUP(M257,'G-3 Multipliers'!$S$3:$T$6,2,FALSE)))</f>
        <v/>
      </c>
      <c r="O257" s="498" t="str">
        <f>IF(OR(D257="",H257=""),"",(INDEX('G-6 Hedgerow Data'!$E$3:$I$15,MATCH(D257,'G-6 Hedgerow Data'!$B$3:$B$15,0),MATCH(H257,'G-6 Hedgerow Data'!$E$2:$I$2,0))))</f>
        <v/>
      </c>
      <c r="P257" s="195"/>
      <c r="Q257" s="195"/>
      <c r="R257" s="507" t="str">
        <f t="shared" si="19"/>
        <v/>
      </c>
      <c r="S257" s="521" t="str">
        <f t="shared" si="20"/>
        <v/>
      </c>
      <c r="T257" s="522" t="str">
        <f t="shared" si="18"/>
        <v/>
      </c>
      <c r="U257" s="537" t="str">
        <f>IF(D257="","",VLOOKUP(D257,'G-6 Hedgerow Data'!$B$3:$AG$15,31,FALSE))</f>
        <v/>
      </c>
      <c r="V257" s="520" t="str">
        <f t="shared" si="21"/>
        <v/>
      </c>
      <c r="W257" s="520" t="str">
        <f t="shared" si="22"/>
        <v/>
      </c>
      <c r="X257" s="524" t="str">
        <f>IF(F257="","",VLOOKUP(U257,'G-3 Multipliers'!$P$3:$Q$6,2,FALSE))</f>
        <v/>
      </c>
      <c r="Y257" s="529" t="str">
        <f t="shared" si="23"/>
        <v/>
      </c>
      <c r="Z257" s="149"/>
      <c r="AA257" s="150"/>
      <c r="AG257" s="31" t="str">
        <f>IFERROR(INDEX('G-6 Hedgerow Data'!$BJ$3:$BJ$15,MATCH(D257,'G-6 Hedgerow Data'!$B$3:$B$15,0)),"")</f>
        <v/>
      </c>
    </row>
    <row r="258" spans="2:33" ht="13.8" x14ac:dyDescent="0.25">
      <c r="B258" s="103">
        <v>247</v>
      </c>
      <c r="C258" s="268"/>
      <c r="D258" s="82"/>
      <c r="E258" s="203"/>
      <c r="F258" s="498" t="str">
        <f>IF(D258="","",VLOOKUP(D258,'G-6 Hedgerow Data'!$B$2:$AG$15,2,FALSE))</f>
        <v/>
      </c>
      <c r="G258" s="524" t="str">
        <f>IF(D258="","",VLOOKUP(D258,'G-6 Hedgerow Data'!$B$2:$AG$15,3,FALSE))</f>
        <v/>
      </c>
      <c r="H258" s="72"/>
      <c r="I258" s="499" t="str">
        <f>IFERROR(IF(AND(F258="V.Low",OR(H258="Good",H258="Moderate")),"Error ▲",VLOOKUP(H258,'G-1 All Habitats'!$Z$2:$AA$9,2,FALSE)),"")</f>
        <v/>
      </c>
      <c r="J258" s="146"/>
      <c r="K258" s="520" t="str">
        <f>IF(J258="","",IF(VLOOKUP(J258,'G-3 Multipliers'!$L$3:$N$6,2,FALSE)=0,"Spatial Data Missing",VLOOKUP(J258,'G-3 Multipliers'!$L$3:$N$6,2,FALSE)))</f>
        <v/>
      </c>
      <c r="L258" s="524" t="str">
        <f>IF(J258="","",IF(VLOOKUP(J258,'G-3 Multipliers'!$L$3:$N$6,3,FALSE)=0,"Spatial Data Missing",VLOOKUP(J258,'G-3 Multipliers'!$L$3:$N$6,3,FALSE)))</f>
        <v/>
      </c>
      <c r="M258" s="197"/>
      <c r="N258" s="499" t="str">
        <f>IF(M258="","",IF(VLOOKUP(M258,'G-3 Multipliers'!$S$3:$T$6,2,FALSE)=0,"Spatial Data Missing ⚠",VLOOKUP(M258,'G-3 Multipliers'!$S$3:$T$6,2,FALSE)))</f>
        <v/>
      </c>
      <c r="O258" s="498" t="str">
        <f>IF(OR(D258="",H258=""),"",(INDEX('G-6 Hedgerow Data'!$E$3:$I$15,MATCH(D258,'G-6 Hedgerow Data'!$B$3:$B$15,0),MATCH(H258,'G-6 Hedgerow Data'!$E$2:$I$2,0))))</f>
        <v/>
      </c>
      <c r="P258" s="195"/>
      <c r="Q258" s="195"/>
      <c r="R258" s="507" t="str">
        <f t="shared" si="19"/>
        <v/>
      </c>
      <c r="S258" s="521" t="str">
        <f t="shared" si="20"/>
        <v/>
      </c>
      <c r="T258" s="522" t="str">
        <f t="shared" si="18"/>
        <v/>
      </c>
      <c r="U258" s="537" t="str">
        <f>IF(D258="","",VLOOKUP(D258,'G-6 Hedgerow Data'!$B$3:$AG$15,31,FALSE))</f>
        <v/>
      </c>
      <c r="V258" s="520" t="str">
        <f t="shared" si="21"/>
        <v/>
      </c>
      <c r="W258" s="520" t="str">
        <f>(IF(AND(V258="Standard difficulty applied",O258&gt;P258),U258,IF(AND(V258="Low Difficulty - only applicable if all habitat created before losses",P258&gt;=O258),"Low",U258)))</f>
        <v/>
      </c>
      <c r="X258" s="524" t="str">
        <f>IF(F258="","",VLOOKUP(U258,'G-3 Multipliers'!$P$3:$Q$6,2,FALSE))</f>
        <v/>
      </c>
      <c r="Y258" s="529" t="str">
        <f t="shared" si="23"/>
        <v/>
      </c>
      <c r="Z258" s="149"/>
      <c r="AA258" s="150"/>
      <c r="AG258" s="31" t="str">
        <f>IFERROR(INDEX('G-6 Hedgerow Data'!$BJ$3:$BJ$15,MATCH(D258,'G-6 Hedgerow Data'!$B$3:$B$15,0)),"")</f>
        <v/>
      </c>
    </row>
    <row r="259" spans="2:33" ht="14.4" thickBot="1" x14ac:dyDescent="0.3">
      <c r="B259" s="194">
        <v>248</v>
      </c>
      <c r="C259" s="269"/>
      <c r="D259" s="82"/>
      <c r="E259" s="203"/>
      <c r="F259" s="500" t="str">
        <f>IF(D259="","",VLOOKUP(D259,'G-6 Hedgerow Data'!$B$2:$AG$15,2,FALSE))</f>
        <v/>
      </c>
      <c r="G259" s="524" t="str">
        <f>IF(D259="","",VLOOKUP(D259,'G-6 Hedgerow Data'!$B$2:$AG$15,3,FALSE))</f>
        <v/>
      </c>
      <c r="H259" s="72"/>
      <c r="I259" s="499" t="str">
        <f>IFERROR(IF(AND(F259="V.Low",OR(H259="Good",H259="Moderate")),"Error ▲",VLOOKUP(H259,'G-1 All Habitats'!$Z$2:$AA$9,2,FALSE)),"")</f>
        <v/>
      </c>
      <c r="J259" s="146"/>
      <c r="K259" s="508" t="str">
        <f>IF(J259="","",IF(VLOOKUP(J259,'G-3 Multipliers'!$L$3:$N$6,2,FALSE)=0,"Spatial Data Missing",VLOOKUP(J259,'G-3 Multipliers'!$L$3:$N$6,2,FALSE)))</f>
        <v/>
      </c>
      <c r="L259" s="501" t="str">
        <f>IF(J259="","",IF(VLOOKUP(J259,'G-3 Multipliers'!$L$3:$N$6,3,FALSE)=0,"Spatial Data Missing",VLOOKUP(J259,'G-3 Multipliers'!$L$3:$N$6,3,FALSE)))</f>
        <v/>
      </c>
      <c r="M259" s="271"/>
      <c r="N259" s="499" t="str">
        <f>IF(M259="","",IF(VLOOKUP(M259,'G-3 Multipliers'!$S$3:$T$6,2,FALSE)=0,"Spatial Data Missing ⚠",VLOOKUP(M259,'G-3 Multipliers'!$S$3:$T$6,2,FALSE)))</f>
        <v/>
      </c>
      <c r="O259" s="498" t="str">
        <f>IF(OR(D259="",H259=""),"",(INDEX('G-6 Hedgerow Data'!$E$3:$I$15,MATCH(D259,'G-6 Hedgerow Data'!$B$3:$B$15,0),MATCH(H259,'G-6 Hedgerow Data'!$E$2:$I$2,0))))</f>
        <v/>
      </c>
      <c r="P259" s="195"/>
      <c r="Q259" s="206"/>
      <c r="R259" s="507" t="str">
        <f t="shared" si="19"/>
        <v/>
      </c>
      <c r="S259" s="521" t="str">
        <f t="shared" si="20"/>
        <v/>
      </c>
      <c r="T259" s="522" t="str">
        <f t="shared" si="18"/>
        <v/>
      </c>
      <c r="U259" s="500" t="str">
        <f>IF(D259="","",VLOOKUP(D259,'G-6 Hedgerow Data'!$B$3:$AG$15,31,FALSE))</f>
        <v/>
      </c>
      <c r="V259" s="520" t="str">
        <f t="shared" si="21"/>
        <v/>
      </c>
      <c r="W259" s="534" t="str">
        <f t="shared" si="22"/>
        <v/>
      </c>
      <c r="X259" s="536" t="str">
        <f>IF(F259="","",VLOOKUP(U259,'G-3 Multipliers'!$P$3:$Q$6,2,FALSE))</f>
        <v/>
      </c>
      <c r="Y259" s="530" t="str">
        <f t="shared" si="23"/>
        <v/>
      </c>
      <c r="Z259" s="163"/>
      <c r="AA259" s="164"/>
      <c r="AG259" s="31" t="str">
        <f>IFERROR(INDEX('G-6 Hedgerow Data'!$BJ$3:$BJ$15,MATCH(D259,'G-6 Hedgerow Data'!$B$3:$B$15,0)),"")</f>
        <v/>
      </c>
    </row>
    <row r="260" spans="2:33" ht="14.4" thickBot="1" x14ac:dyDescent="0.3">
      <c r="B260" s="46"/>
      <c r="C260" s="46"/>
      <c r="D260" s="277"/>
      <c r="E260" s="503">
        <f>SUM(E12:E259)</f>
        <v>0</v>
      </c>
      <c r="F260" s="46"/>
      <c r="G260" s="46"/>
      <c r="H260" s="46"/>
      <c r="I260" s="46"/>
      <c r="J260" s="46"/>
      <c r="K260" s="46"/>
      <c r="L260" s="46"/>
      <c r="M260" s="46"/>
      <c r="N260" s="46"/>
      <c r="O260" s="46"/>
      <c r="P260" s="46"/>
      <c r="Q260" s="46"/>
      <c r="R260" s="46"/>
      <c r="S260" s="46"/>
      <c r="T260" s="46"/>
      <c r="U260" s="46"/>
      <c r="V260" s="46"/>
      <c r="W260" s="1001"/>
      <c r="X260" s="1001"/>
      <c r="Y260" s="503">
        <f>SUM(Y12:Y259)</f>
        <v>0</v>
      </c>
      <c r="Z260" s="46"/>
      <c r="AA260" s="46"/>
    </row>
    <row r="261" spans="2:33" ht="28.95" customHeight="1" x14ac:dyDescent="0.25">
      <c r="E261" s="981"/>
      <c r="F261" s="981"/>
      <c r="G261" s="981"/>
      <c r="H261" s="981"/>
      <c r="I261" s="981"/>
      <c r="J261" s="981"/>
    </row>
    <row r="262" spans="2:33" ht="27" customHeight="1" x14ac:dyDescent="0.25"/>
    <row r="263" spans="2:33" ht="13.8" x14ac:dyDescent="0.25"/>
    <row r="264" spans="2:33" ht="13.8" x14ac:dyDescent="0.25"/>
    <row r="265" spans="2:33" ht="13.8" x14ac:dyDescent="0.25"/>
    <row r="266" spans="2:33" ht="13.8" hidden="1" x14ac:dyDescent="0.25"/>
    <row r="267" spans="2:33" ht="13.8" hidden="1" x14ac:dyDescent="0.25"/>
    <row r="268" spans="2:33" ht="13.8" hidden="1" x14ac:dyDescent="0.25"/>
  </sheetData>
  <sheetProtection algorithmName="SHA-512" hashValue="BzaVWXJ/g6y5PdW6wjwvJ8aQ9bqxp3gM6AzD9pBXnLeAC9ESoN024J8on+w6JbBC87MlzwTIbp/I6faplmZvPw==" saltValue="meB2O9kS6yQmOCaoNsqQu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83" priority="16" operator="containsText" text="Existing Value Not Required">
      <formula>NOT(ISERROR(SEARCH("Existing Value Not Required",Y12)))</formula>
    </cfRule>
    <cfRule type="containsText" dxfId="82" priority="17" operator="containsText" text="Existing Value Required">
      <formula>NOT(ISERROR(SEARCH("Existing Value Required",Y12)))</formula>
    </cfRule>
  </conditionalFormatting>
  <conditionalFormatting sqref="M12:M16">
    <cfRule type="containsText" dxfId="81" priority="12" operator="containsText" text="Existing Value Not Required">
      <formula>NOT(ISERROR(SEARCH("Existing Value Not Required",M12)))</formula>
    </cfRule>
    <cfRule type="containsText" dxfId="80" priority="13" operator="containsText" text="Existing Value Required">
      <formula>NOT(ISERROR(SEARCH("Existing Value Required",M12)))</formula>
    </cfRule>
  </conditionalFormatting>
  <conditionalFormatting sqref="Y13:Y259">
    <cfRule type="containsText" dxfId="79" priority="10" operator="containsText" text="Existing Value Not Required">
      <formula>NOT(ISERROR(SEARCH("Existing Value Not Required",Y13)))</formula>
    </cfRule>
    <cfRule type="containsText" dxfId="78" priority="11" operator="containsText" text="Existing Value Required">
      <formula>NOT(ISERROR(SEARCH("Existing Value Required",Y13)))</formula>
    </cfRule>
  </conditionalFormatting>
  <conditionalFormatting sqref="M13:M259">
    <cfRule type="containsText" dxfId="77" priority="8" operator="containsText" text="Existing Value Not Required">
      <formula>NOT(ISERROR(SEARCH("Existing Value Not Required",M13)))</formula>
    </cfRule>
    <cfRule type="containsText" dxfId="76" priority="9" operator="containsText" text="Existing Value Required">
      <formula>NOT(ISERROR(SEARCH("Existing Value Required",M13)))</formula>
    </cfRule>
  </conditionalFormatting>
  <conditionalFormatting sqref="I12:Y259">
    <cfRule type="containsText" dxfId="75" priority="7" operator="containsText" text="Error">
      <formula>NOT(ISERROR(SEARCH("Error",I12)))</formula>
    </cfRule>
  </conditionalFormatting>
  <conditionalFormatting sqref="K12:L259">
    <cfRule type="containsText" dxfId="74" priority="6" operator="containsText" text="Spatial">
      <formula>NOT(ISERROR(SEARCH("Spatial",K12)))</formula>
    </cfRule>
  </conditionalFormatting>
  <conditionalFormatting sqref="N12:N259">
    <cfRule type="containsText" dxfId="73" priority="5" operator="containsText" text="Spatial">
      <formula>NOT(ISERROR(SEARCH("Spatial",N12)))</formula>
    </cfRule>
  </conditionalFormatting>
  <conditionalFormatting sqref="O6:S6 O2">
    <cfRule type="containsText" dxfId="72" priority="4" operator="containsText" text="Note">
      <formula>NOT(ISERROR(SEARCH("Note",O2)))</formula>
    </cfRule>
  </conditionalFormatting>
  <conditionalFormatting sqref="R12:Y259">
    <cfRule type="containsText" dxfId="71" priority="3" operator="containsText" text="Check">
      <formula>NOT(ISERROR(SEARCH("Check",R12)))</formula>
    </cfRule>
  </conditionalFormatting>
  <conditionalFormatting sqref="V12:V259">
    <cfRule type="beginsWith" dxfId="70" priority="2" operator="beginsWith" text="No">
      <formula>LEFT(V12,LEN("No"))="No"</formula>
    </cfRule>
  </conditionalFormatting>
  <conditionalFormatting sqref="E261:J261">
    <cfRule type="containsText" dxfId="69" priority="1" operator="containsText" text="Check">
      <formula>NOT(ISERROR(SEARCH("Check",E261)))</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 style="31" customWidth="1"/>
    <col min="3" max="3" width="52.44140625" style="31" customWidth="1"/>
    <col min="4" max="4" width="8.6640625" style="31" customWidth="1"/>
    <col min="5" max="5" width="17.88671875" style="31" customWidth="1"/>
    <col min="6" max="6" width="18.33203125" style="31" customWidth="1"/>
    <col min="7" max="7" width="18.109375" style="31" customWidth="1"/>
    <col min="8" max="11" width="19.33203125" style="31" customWidth="1"/>
    <col min="12" max="12" width="23" style="31" customWidth="1"/>
    <col min="13" max="13" width="47.44140625" style="31" customWidth="1"/>
    <col min="14" max="15" width="34.33203125" style="31" customWidth="1"/>
    <col min="16" max="16" width="10.6640625" style="31" customWidth="1"/>
    <col min="17" max="17" width="18.109375" style="31" customWidth="1"/>
    <col min="18" max="18" width="13.5546875" style="31" customWidth="1"/>
    <col min="19" max="19" width="14.6640625" style="31" customWidth="1"/>
    <col min="20" max="20" width="13.5546875" style="31" customWidth="1"/>
    <col min="21" max="21" width="41.6640625" style="31" customWidth="1"/>
    <col min="22" max="22" width="15.44140625" style="31" customWidth="1"/>
    <col min="23" max="23" width="12.33203125" style="31" customWidth="1"/>
    <col min="24" max="24" width="17.6640625" style="31" customWidth="1"/>
    <col min="25" max="25" width="20.6640625" style="31" customWidth="1"/>
    <col min="26" max="26" width="23" style="31" customWidth="1"/>
    <col min="27" max="27" width="29.5546875" style="31" customWidth="1"/>
    <col min="28" max="28" width="17.6640625" style="31" customWidth="1"/>
    <col min="29" max="29" width="15.33203125" style="31" customWidth="1"/>
    <col min="30" max="30" width="15.5546875" style="31" customWidth="1"/>
    <col min="31" max="31" width="26.33203125" style="31" customWidth="1"/>
    <col min="32" max="32" width="15.33203125" style="31" customWidth="1"/>
    <col min="33" max="33" width="12.6640625" style="31" customWidth="1"/>
    <col min="34" max="34" width="68.109375" style="31" customWidth="1"/>
    <col min="35" max="35" width="13.44140625" style="31" customWidth="1"/>
    <col min="36" max="36" width="12.6640625" style="31" customWidth="1"/>
    <col min="37" max="37" width="39" style="31" customWidth="1"/>
    <col min="38" max="38" width="38.44140625" style="31" customWidth="1"/>
    <col min="39" max="41" width="8.88671875" style="31" customWidth="1"/>
    <col min="42" max="42" width="15.88671875" style="31" hidden="1" customWidth="1"/>
    <col min="43" max="16384" width="8.88671875" style="31" hidden="1"/>
  </cols>
  <sheetData>
    <row r="1" spans="2:42" ht="15.75" customHeight="1" x14ac:dyDescent="0.25"/>
    <row r="2" spans="2:42" ht="19.95" customHeight="1" x14ac:dyDescent="0.25">
      <c r="B2" s="191"/>
      <c r="C2" s="192"/>
      <c r="O2" s="132"/>
      <c r="X2" s="909" t="str">
        <f>IF(OR(COUNTIF($X$12:X257,"*30+*")&gt;0,COUNTIF($AB$12:AB257,"*30+*")&gt;0),"Note; Habitat selected has a time to target condition greater than 30 years. Non standard agreement may be required. ⚠","")</f>
        <v/>
      </c>
      <c r="Y2" s="909"/>
      <c r="Z2" s="909"/>
      <c r="AA2" s="909"/>
      <c r="AB2" s="909"/>
      <c r="AC2" s="909"/>
    </row>
    <row r="3" spans="2:42" ht="19.2" customHeight="1" x14ac:dyDescent="0.25">
      <c r="B3" s="1009" t="str">
        <f ca="1">MID(CELL("filename",A1),FIND("]",CELL("filename",A1))+1,256)</f>
        <v>E-3 Off Site Hedge Enhancement</v>
      </c>
      <c r="C3" s="1010"/>
      <c r="X3" s="909"/>
      <c r="Y3" s="909"/>
      <c r="Z3" s="909"/>
      <c r="AA3" s="909"/>
      <c r="AB3" s="909"/>
      <c r="AC3" s="909"/>
    </row>
    <row r="4" spans="2:42" ht="15.75" customHeight="1" x14ac:dyDescent="0.25">
      <c r="B4" s="1011"/>
      <c r="C4" s="1012"/>
      <c r="X4" s="909"/>
      <c r="Y4" s="909"/>
      <c r="Z4" s="909"/>
      <c r="AA4" s="909"/>
      <c r="AB4" s="909"/>
      <c r="AC4" s="909"/>
    </row>
    <row r="5" spans="2:42" ht="15.75" customHeight="1" x14ac:dyDescent="0.3">
      <c r="W5" s="193"/>
      <c r="X5" s="193"/>
      <c r="Y5" s="193"/>
      <c r="Z5" s="193"/>
      <c r="AA5" s="193"/>
      <c r="AB5" s="193"/>
      <c r="AC5" s="193"/>
      <c r="AD5" s="193"/>
      <c r="AE5" s="193"/>
      <c r="AF5" s="193"/>
      <c r="AG5" s="193"/>
      <c r="AH5" s="193"/>
    </row>
    <row r="6" spans="2:42" ht="27.6" customHeight="1" x14ac:dyDescent="0.25"/>
    <row r="7" spans="2:42" ht="14.4" thickBot="1" x14ac:dyDescent="0.3">
      <c r="B7" s="132"/>
      <c r="C7" s="132"/>
      <c r="M7" s="131"/>
    </row>
    <row r="8" spans="2:42" ht="14.4" thickBot="1" x14ac:dyDescent="0.3">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4.4" thickBot="1" x14ac:dyDescent="0.3">
      <c r="C9" s="131"/>
      <c r="D9" s="131"/>
      <c r="E9" s="131"/>
      <c r="F9" s="131"/>
      <c r="G9" s="131"/>
      <c r="H9" s="131"/>
      <c r="I9" s="131"/>
      <c r="J9" s="131"/>
      <c r="K9" s="131"/>
      <c r="L9" s="131"/>
      <c r="M9" s="1006" t="s">
        <v>249</v>
      </c>
      <c r="N9" s="1007"/>
      <c r="O9" s="1007"/>
      <c r="P9" s="1007"/>
      <c r="Q9" s="1007"/>
      <c r="R9" s="1007"/>
      <c r="S9" s="1007"/>
      <c r="T9" s="1007"/>
      <c r="U9" s="1007"/>
      <c r="V9" s="1007"/>
      <c r="W9" s="1007"/>
      <c r="X9" s="1007"/>
      <c r="Y9" s="1007"/>
      <c r="Z9" s="1007"/>
      <c r="AA9" s="1007"/>
      <c r="AB9" s="1007"/>
      <c r="AC9" s="1007"/>
      <c r="AD9" s="1007"/>
      <c r="AE9" s="1007"/>
      <c r="AF9" s="1007"/>
      <c r="AG9" s="1007"/>
      <c r="AH9" s="1007"/>
      <c r="AI9" s="1008"/>
    </row>
    <row r="10" spans="2:42" s="42" customFormat="1" ht="30" customHeight="1" thickBot="1" x14ac:dyDescent="0.3">
      <c r="C10" s="1003" t="s">
        <v>247</v>
      </c>
      <c r="D10" s="1004"/>
      <c r="E10" s="1004"/>
      <c r="F10" s="1004"/>
      <c r="G10" s="1004"/>
      <c r="H10" s="1004"/>
      <c r="I10" s="1004"/>
      <c r="J10" s="1004"/>
      <c r="K10" s="1004"/>
      <c r="L10" s="1005"/>
      <c r="M10" s="1003" t="s">
        <v>1558</v>
      </c>
      <c r="N10" s="872" t="s">
        <v>308</v>
      </c>
      <c r="O10" s="870"/>
      <c r="P10" s="939" t="s">
        <v>294</v>
      </c>
      <c r="Q10" s="872" t="s">
        <v>189</v>
      </c>
      <c r="R10" s="870"/>
      <c r="S10" s="872" t="s">
        <v>190</v>
      </c>
      <c r="T10" s="870"/>
      <c r="U10" s="970" t="s">
        <v>191</v>
      </c>
      <c r="V10" s="971"/>
      <c r="W10" s="972"/>
      <c r="X10" s="970" t="s">
        <v>228</v>
      </c>
      <c r="Y10" s="971"/>
      <c r="Z10" s="971"/>
      <c r="AA10" s="971"/>
      <c r="AB10" s="971"/>
      <c r="AC10" s="972"/>
      <c r="AD10" s="949" t="s">
        <v>252</v>
      </c>
      <c r="AE10" s="949"/>
      <c r="AF10" s="949"/>
      <c r="AG10" s="949"/>
      <c r="AH10" s="133" t="s">
        <v>280</v>
      </c>
      <c r="AI10" s="973" t="s">
        <v>280</v>
      </c>
      <c r="AJ10" s="973" t="s">
        <v>302</v>
      </c>
      <c r="AK10" s="970" t="s">
        <v>196</v>
      </c>
      <c r="AL10" s="972"/>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3"/>
      <c r="N11" s="141" t="s">
        <v>310</v>
      </c>
      <c r="O11" s="359" t="s">
        <v>311</v>
      </c>
      <c r="P11" s="949"/>
      <c r="Q11" s="141" t="s">
        <v>189</v>
      </c>
      <c r="R11" s="359" t="s">
        <v>206</v>
      </c>
      <c r="S11" s="141" t="s">
        <v>190</v>
      </c>
      <c r="T11" s="359" t="s">
        <v>206</v>
      </c>
      <c r="U11" s="141" t="s">
        <v>191</v>
      </c>
      <c r="V11" s="103" t="s">
        <v>191</v>
      </c>
      <c r="W11" s="359" t="s">
        <v>231</v>
      </c>
      <c r="X11" s="368" t="s">
        <v>304</v>
      </c>
      <c r="Y11" s="201" t="s">
        <v>268</v>
      </c>
      <c r="Z11" s="201" t="s">
        <v>269</v>
      </c>
      <c r="AA11" s="201" t="s">
        <v>235</v>
      </c>
      <c r="AB11" s="201" t="s">
        <v>236</v>
      </c>
      <c r="AC11" s="202" t="s">
        <v>312</v>
      </c>
      <c r="AD11" s="368" t="s">
        <v>313</v>
      </c>
      <c r="AE11" s="201" t="s">
        <v>305</v>
      </c>
      <c r="AF11" s="201" t="s">
        <v>314</v>
      </c>
      <c r="AG11" s="202" t="s">
        <v>241</v>
      </c>
      <c r="AH11" s="135" t="s">
        <v>283</v>
      </c>
      <c r="AI11" s="1013"/>
      <c r="AJ11" s="997"/>
      <c r="AK11" s="141" t="s">
        <v>215</v>
      </c>
      <c r="AL11" s="359" t="s">
        <v>216</v>
      </c>
      <c r="AP11" s="131" t="s">
        <v>200</v>
      </c>
    </row>
    <row r="12" spans="2:42" ht="13.8" x14ac:dyDescent="0.25">
      <c r="B12" s="531" t="str">
        <f>'E-1 Off Site Hedge Baseline'!AK10</f>
        <v/>
      </c>
      <c r="C12" s="520" t="str">
        <f>IF(B12="","",IF(ISNA(VLOOKUP($B12,'E-1 Off Site Hedge Baseline'!$B$1:$L$257,3,FALSE)),"",(VLOOKUP($B12,'E-1 Off Site Hedge Baseline'!$B$1:$L$257,3,FALSE))))</f>
        <v/>
      </c>
      <c r="D12" s="520" t="str">
        <f>IF(B12="","",IF(ISNA(VLOOKUP($B12,'E-1 Off Site Hedge Baseline'!$B$1:$L$258,4,FALSE)),"",(VLOOKUP($B12,'E-1 Off Site Hedge Baseline'!$B$1:$L$258,4,FALSE))))</f>
        <v/>
      </c>
      <c r="E12" s="520" t="str">
        <f>IF(B12="","",IF(ISNA(VLOOKUP($B12,'E-1 Off Site Hedge Baseline'!$B$1:$L$257,5,FALSE)),"",(VLOOKUP($B12,'E-1 Off Site Hedge Baseline'!$B$1:$L$257,5,FALSE))))</f>
        <v/>
      </c>
      <c r="F12" s="520" t="str">
        <f>IF(B12="","",IF(ISNA(VLOOKUP($B12,'E-1 Off Site Hedge Baseline'!$B$1:$L$257,6,FALSE)),"",(VLOOKUP($B12,'E-1 Off Site Hedge Baseline'!$B$1:$L$257,6,FALSE))))</f>
        <v/>
      </c>
      <c r="G12" s="520" t="str">
        <f>IF(B12="","",IF(ISNA(VLOOKUP($B12,'E-1 Off Site Hedge Baseline'!$B$1:$L$257,7,FALSE)),"",(VLOOKUP($B12,'E-1 Off Site Hedge Baseline'!$B$1:$L$257,7,FALSE))))</f>
        <v/>
      </c>
      <c r="H12" s="520" t="str">
        <f>IF(B12="","",IF(ISNA(VLOOKUP($B12,'E-1 Off Site Hedge Baseline'!$B$1:$L$257,8,FALSE)),"",(VLOOKUP($B12,'E-1 Off Site Hedge Baseline'!$B$1:$L$257,8,FALSE))))</f>
        <v/>
      </c>
      <c r="I12" s="520" t="str">
        <f>IF(B12="","",IF(ISNA(VLOOKUP($B12,'E-1 Off Site Hedge Baseline'!$B$1:$L$257,10,FALSE)),"",(VLOOKUP($B12,'E-1 Off Site Hedge Baseline'!$B$1:$L$257,10,FALSE))))</f>
        <v/>
      </c>
      <c r="J12" s="520" t="str">
        <f>IF(B12="","",IF(ISNA(VLOOKUP($B12,'E-1 Off Site Hedge Baseline'!$B$1:$L$257,11,FALSE)),"",(VLOOKUP($B12,'E-1 Off Site Hedge Baseline'!$B$1:$L$257,11,FALSE))))</f>
        <v/>
      </c>
      <c r="K12" s="520" t="str">
        <f>IF(B12="","",IF(ISNA(VLOOKUP($B12,'E-1 Off Site Hedge Baseline'!$B$1:$U$257,113,FALSE)),"",(VLOOKUP($B12,'E-1 Off Site Hedge Baseline'!$B$1:$U$257,13,FALSE))))</f>
        <v/>
      </c>
      <c r="L12" s="507" t="str">
        <f>IF(B12="","",IF(ISNA(VLOOKUP($B12,'E-1 Off Site Hedge Baseline'!$B$1:$U$257,12,FALSE)),"",(VLOOKUP($B12,'E-1 Off Site Hedge Baseline'!$B$1:$U$257,12,FALSE))))</f>
        <v/>
      </c>
      <c r="M12" s="418" t="str">
        <f t="shared" ref="M12:M16" si="0">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5" t="str">
        <f>IF(B12="","",VLOOKUP(B12,'E-1 Off Site Hedge Baseline'!$B$10:T257,16,FALSE))</f>
        <v/>
      </c>
      <c r="Q12" s="498" t="str">
        <f>IF(M12="","",VLOOKUP(M12,'G-6 Hedgerow Data'!$B$2:$AG$15,2,FALSE))</f>
        <v/>
      </c>
      <c r="R12" s="499" t="str">
        <f>IF(M12="","",VLOOKUP(M12,'G-6 Hedgerow Data'!$B$2:$AG$15,3,FALSE))</f>
        <v/>
      </c>
      <c r="S12" s="71"/>
      <c r="T12" s="499" t="str">
        <f>IFERROR(IF(AND(Q12="V.Low",OR(S12="Good",S12="Moderate")),"Error ▲",VLOOKUP(S12,'G-1 All Habitats'!$Z$2:$AA$9,2,FALSE)),"")</f>
        <v/>
      </c>
      <c r="U12" s="71"/>
      <c r="V12" s="507" t="str">
        <f>IF(U12="","",IF(VLOOKUP(U12,'G-3 Multipliers'!$L$3:$N$6,2,FALSE)=0,"Spatial Data Missing ⚠",VLOOKUP(U12,'G-3 Multipliers'!$L$3:$N$6,2,FALSE)))</f>
        <v/>
      </c>
      <c r="W12" s="505"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 ⚠",0,IF(Z12="30+","30+ ⚠",IF(X12+Z12&gt;30,"30+ ⚠",IF(LEFT(AA12,5)="Error ▲","Check Data ⚠",IF(X12+Z12-Y12&gt;0,X12+Z12-Y12,IF(X12-Y12&lt;=0,0,))))))))</f>
        <v/>
      </c>
      <c r="AC12" s="522" t="str">
        <f t="shared" ref="AC12:AC75" si="1">IF(OR(S12="",M12=""),"",IF(LEFT(AB12,5)="Error ▲","Check Data ⚠",IF(AB12="Check Data ⚠","Check Data ⚠",VLOOKUP(AB12,TemporalMultipliers,3,FALSE))))</f>
        <v/>
      </c>
      <c r="AD12" s="537" t="str">
        <f>IF(M12="","",VLOOKUP(M12,'G-6 Hedgerow Data'!$B$3:$AG$15,31,FALSE))</f>
        <v/>
      </c>
      <c r="AE12" s="520" t="str">
        <f>IF(M12="","",IF(OR(LEFT(AA12,5)="Error ▲",AA12="Check Data ⚠"),"Check Data ⚠",IF(X12="","",IF($AA12="Check details - Is there evidence that habitat has reached target condition? ⚠","Low Difficulty - only applicable if all habitat created before losses ⚠","Standard difficulty applied"))))</f>
        <v/>
      </c>
      <c r="AF12" s="520" t="str">
        <f>(IF(AND(AE12="Yes",X12&gt;Y12),AD12,IF(AND(AE12="Low Difficulty - only applicable if all habitat created before losses ⚠",Y12&gt;=X12),"Low",AD12)))</f>
        <v/>
      </c>
      <c r="AG12" s="524" t="str">
        <f>IFERROR(IF(O12="","",VLOOKUP(AD12,'G-3 Multipliers'!$P$3:$Q$6,2,FALSE)),"")</f>
        <v/>
      </c>
      <c r="AH12" s="196"/>
      <c r="AI12" s="499" t="str">
        <f>IF(AH12="","",IF(VLOOKUP(AH12,'G-3 Multipliers'!$S$3:$T$6,2,FALSE)=0,"Spatial Data Missing ⚠",VLOOKUP(AH12,'G-3 Multipliers'!$S$3:$T$6,2,FALSE)))</f>
        <v/>
      </c>
      <c r="AJ12" s="513" t="str">
        <f>IFERROR(IF(OR(M12="",S12="",U12="",AH12=""),"",(((((P12*R12*T12)-(P12*F12*H12))*(AG12*AC12))+(P12*F12*H12))*(W12)*AI12)),"")</f>
        <v/>
      </c>
      <c r="AK12" s="149"/>
      <c r="AL12" s="150"/>
      <c r="AP12" s="31" t="str">
        <f>IFERROR(INDEX('G-6 Hedgerow Data'!$BJ$3:$BJ$15,MATCH(M12,'G-6 Hedgerow Data'!$B$3:$B$15,0)),"")</f>
        <v/>
      </c>
    </row>
    <row r="13" spans="2:42" ht="13.8" x14ac:dyDescent="0.25">
      <c r="B13" s="531" t="str">
        <f>'E-1 Off Site Hedge Baseline'!AK11</f>
        <v/>
      </c>
      <c r="C13" s="520" t="str">
        <f>IF(B13="","",IF(ISNA(VLOOKUP($B13,'E-1 Off Site Hedge Baseline'!$B$1:$L$257,3,FALSE)),"",(VLOOKUP($B13,'E-1 Off Site Hedge Baseline'!$B$1:$L$257,3,FALSE))))</f>
        <v/>
      </c>
      <c r="D13" s="520" t="str">
        <f>IF(B13="","",IF(ISNA(VLOOKUP($B13,'E-1 Off Site Hedge Baseline'!$B$1:$L$258,4,FALSE)),"",(VLOOKUP($B13,'E-1 Off Site Hedge Baseline'!$B$1:$L$258,4,FALSE))))</f>
        <v/>
      </c>
      <c r="E13" s="520" t="str">
        <f>IF(B13="","",IF(ISNA(VLOOKUP($B13,'E-1 Off Site Hedge Baseline'!$B$1:$L$257,5,FALSE)),"",(VLOOKUP($B13,'E-1 Off Site Hedge Baseline'!$B$1:$L$257,5,FALSE))))</f>
        <v/>
      </c>
      <c r="F13" s="520" t="str">
        <f>IF(B13="","",IF(ISNA(VLOOKUP($B13,'E-1 Off Site Hedge Baseline'!$B$1:$L$257,6,FALSE)),"",(VLOOKUP($B13,'E-1 Off Site Hedge Baseline'!$B$1:$L$257,6,FALSE))))</f>
        <v/>
      </c>
      <c r="G13" s="520" t="str">
        <f>IF(B13="","",IF(ISNA(VLOOKUP($B13,'E-1 Off Site Hedge Baseline'!$B$1:$L$257,7,FALSE)),"",(VLOOKUP($B13,'E-1 Off Site Hedge Baseline'!$B$1:$L$257,7,FALSE))))</f>
        <v/>
      </c>
      <c r="H13" s="520" t="str">
        <f>IF(B13="","",IF(ISNA(VLOOKUP($B13,'E-1 Off Site Hedge Baseline'!$B$1:$L$257,8,FALSE)),"",(VLOOKUP($B13,'E-1 Off Site Hedge Baseline'!$B$1:$L$257,8,FALSE))))</f>
        <v/>
      </c>
      <c r="I13" s="520" t="str">
        <f>IF(B13="","",IF(ISNA(VLOOKUP($B13,'E-1 Off Site Hedge Baseline'!$B$1:$L$257,10,FALSE)),"",(VLOOKUP($B13,'E-1 Off Site Hedge Baseline'!$B$1:$L$257,10,FALSE))))</f>
        <v/>
      </c>
      <c r="J13" s="520" t="str">
        <f>IF(B13="","",IF(ISNA(VLOOKUP($B13,'E-1 Off Site Hedge Baseline'!$B$1:$L$257,11,FALSE)),"",(VLOOKUP($B13,'E-1 Off Site Hedge Baseline'!$B$1:$L$257,11,FALSE))))</f>
        <v/>
      </c>
      <c r="K13" s="520" t="str">
        <f>IF(B13="","",IF(ISNA(VLOOKUP($B13,'E-1 Off Site Hedge Baseline'!$B$1:$U$257,113,FALSE)),"",(VLOOKUP($B13,'E-1 Off Site Hedge Baseline'!$B$1:$U$257,13,FALSE))))</f>
        <v/>
      </c>
      <c r="L13" s="507" t="str">
        <f>IF(B13="","",IF(ISNA(VLOOKUP($B13,'E-1 Off Site Hedge Baseline'!$B$1:$U$257,12,FALSE)),"",(VLOOKUP($B13,'E-1 Off Site Hedge Baseline'!$B$1:$U$257,12,FALSE))))</f>
        <v/>
      </c>
      <c r="M13" s="418" t="str">
        <f t="shared" si="0"/>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5" t="str">
        <f>IF(B13="","",VLOOKUP(B13,'E-1 Off Site Hedge Baseline'!$B$10:T258,16,FALSE))</f>
        <v/>
      </c>
      <c r="Q13" s="498" t="str">
        <f>IF(M13="","",VLOOKUP(M13,'G-6 Hedgerow Data'!$B$2:$AG$15,2,FALSE))</f>
        <v/>
      </c>
      <c r="R13" s="499" t="str">
        <f>IF(M13="","",VLOOKUP(M13,'G-6 Hedgerow Data'!$B$2:$AG$15,3,FALSE))</f>
        <v/>
      </c>
      <c r="S13" s="71"/>
      <c r="T13" s="499" t="str">
        <f>IFERROR(IF(AND(Q13="V.Low",OR(S13="Good",S13="Moderate")),"Error ▲",VLOOKUP(S13,'G-1 All Habitats'!$Z$2:$AA$9,2,FALSE)),"")</f>
        <v/>
      </c>
      <c r="U13" s="71"/>
      <c r="V13" s="507" t="str">
        <f>IF(U13="","",IF(VLOOKUP(U13,'G-3 Multipliers'!$L$3:$N$6,2,FALSE)=0,"Spatial Data Missing ⚠",VLOOKUP(U13,'G-3 Multipliers'!$L$3:$N$6,2,FALSE)))</f>
        <v/>
      </c>
      <c r="W13" s="505"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 ⚠",0,IF(Z13="30+","30+ ⚠",IF(X13+Z13&gt;30,"30+ ⚠",IF(LEFT(AA13,5)="Error ▲","Check Data ⚠",IF(X13+Z13-Y13&gt;0,X13+Z13-Y13,IF(X13-Y13&lt;=0,0,))))))))</f>
        <v/>
      </c>
      <c r="AC13" s="522" t="str">
        <f t="shared" si="1"/>
        <v/>
      </c>
      <c r="AD13" s="537" t="str">
        <f>IF(M13="","",VLOOKUP(M13,'G-6 Hedgerow Data'!$B$3:$AG$15,31,FALSE))</f>
        <v/>
      </c>
      <c r="AE13" s="520" t="str">
        <f t="shared" ref="AE13:AE76" si="5">IF(M13="","",IF(OR(LEFT(AA13,5)="Error ▲",AA13="Check Data ⚠"),"Check Data ⚠",IF(X13="","",IF($AA13="Check details - Is there evidence that habitat has reached target condition? ⚠","Low Difficulty - only applicable if all habitat created before losses ⚠","Standard difficulty applied"))))</f>
        <v/>
      </c>
      <c r="AF13" s="520" t="str">
        <f t="shared" ref="AF13:AF76" si="6">(IF(AND(AE13="Yes",X13&gt;Y13),AD13,IF(AND(AE13="Low Difficulty - only applicable if all habitat created before losses ⚠",Y13&gt;=X13),"Low",AD13)))</f>
        <v/>
      </c>
      <c r="AG13" s="524" t="str">
        <f>IFERROR(IF(O13="","",VLOOKUP(AD13,'G-3 Multipliers'!$P$3:$Q$6,2,FALSE)),"")</f>
        <v/>
      </c>
      <c r="AH13" s="196"/>
      <c r="AI13" s="499" t="str">
        <f>IF(AH13="","",IF(VLOOKUP(AH13,'G-3 Multipliers'!$S$3:$T$6,2,FALSE)=0,"Spatial Data Missing ⚠",VLOOKUP(AH13,'G-3 Multipliers'!$S$3:$T$6,2,FALSE)))</f>
        <v/>
      </c>
      <c r="AJ13" s="513" t="str">
        <f t="shared" ref="AJ13:AJ76" si="7">IFERROR(IF(OR(M13="",S13="",U13="",AH13=""),"",(((((P13*R13*T13)-(P13*F13*H13))*(AG13*AC13))+(P13*F13*H13))*(W13)*AI13)),"")</f>
        <v/>
      </c>
      <c r="AK13" s="149"/>
      <c r="AL13" s="150"/>
      <c r="AP13" s="31" t="str">
        <f>IFERROR(INDEX('G-6 Hedgerow Data'!$BJ$3:$BJ$15,MATCH(M13,'G-6 Hedgerow Data'!$B$3:$B$15,0)),"")</f>
        <v/>
      </c>
    </row>
    <row r="14" spans="2:42" ht="13.8" x14ac:dyDescent="0.25">
      <c r="B14" s="531" t="str">
        <f>'E-1 Off Site Hedge Baseline'!AK12</f>
        <v/>
      </c>
      <c r="C14" s="520" t="str">
        <f>IF(B14="","",IF(ISNA(VLOOKUP($B14,'E-1 Off Site Hedge Baseline'!$B$1:$L$257,3,FALSE)),"",(VLOOKUP($B14,'E-1 Off Site Hedge Baseline'!$B$1:$L$257,3,FALSE))))</f>
        <v/>
      </c>
      <c r="D14" s="520" t="str">
        <f>IF(B14="","",IF(ISNA(VLOOKUP($B14,'E-1 Off Site Hedge Baseline'!$B$1:$L$258,4,FALSE)),"",(VLOOKUP($B14,'E-1 Off Site Hedge Baseline'!$B$1:$L$258,4,FALSE))))</f>
        <v/>
      </c>
      <c r="E14" s="520" t="str">
        <f>IF(B14="","",IF(ISNA(VLOOKUP($B14,'E-1 Off Site Hedge Baseline'!$B$1:$L$257,5,FALSE)),"",(VLOOKUP($B14,'E-1 Off Site Hedge Baseline'!$B$1:$L$257,5,FALSE))))</f>
        <v/>
      </c>
      <c r="F14" s="520" t="str">
        <f>IF(B14="","",IF(ISNA(VLOOKUP($B14,'E-1 Off Site Hedge Baseline'!$B$1:$L$257,6,FALSE)),"",(VLOOKUP($B14,'E-1 Off Site Hedge Baseline'!$B$1:$L$257,6,FALSE))))</f>
        <v/>
      </c>
      <c r="G14" s="520" t="str">
        <f>IF(B14="","",IF(ISNA(VLOOKUP($B14,'E-1 Off Site Hedge Baseline'!$B$1:$L$257,7,FALSE)),"",(VLOOKUP($B14,'E-1 Off Site Hedge Baseline'!$B$1:$L$257,7,FALSE))))</f>
        <v/>
      </c>
      <c r="H14" s="520" t="str">
        <f>IF(B14="","",IF(ISNA(VLOOKUP($B14,'E-1 Off Site Hedge Baseline'!$B$1:$L$257,8,FALSE)),"",(VLOOKUP($B14,'E-1 Off Site Hedge Baseline'!$B$1:$L$257,8,FALSE))))</f>
        <v/>
      </c>
      <c r="I14" s="520" t="str">
        <f>IF(B14="","",IF(ISNA(VLOOKUP($B14,'E-1 Off Site Hedge Baseline'!$B$1:$L$257,10,FALSE)),"",(VLOOKUP($B14,'E-1 Off Site Hedge Baseline'!$B$1:$L$257,10,FALSE))))</f>
        <v/>
      </c>
      <c r="J14" s="520" t="str">
        <f>IF(B14="","",IF(ISNA(VLOOKUP($B14,'E-1 Off Site Hedge Baseline'!$B$1:$L$257,11,FALSE)),"",(VLOOKUP($B14,'E-1 Off Site Hedge Baseline'!$B$1:$L$257,11,FALSE))))</f>
        <v/>
      </c>
      <c r="K14" s="520" t="str">
        <f>IF(B14="","",IF(ISNA(VLOOKUP($B14,'E-1 Off Site Hedge Baseline'!$B$1:$U$257,113,FALSE)),"",(VLOOKUP($B14,'E-1 Off Site Hedge Baseline'!$B$1:$U$257,13,FALSE))))</f>
        <v/>
      </c>
      <c r="L14" s="507" t="str">
        <f>IF(B14="","",IF(ISNA(VLOOKUP($B14,'E-1 Off Site Hedge Baseline'!$B$1:$U$257,12,FALSE)),"",(VLOOKUP($B14,'E-1 Off Site Hedge Baseline'!$B$1:$U$257,12,FALSE))))</f>
        <v/>
      </c>
      <c r="M14" s="418" t="str">
        <f t="shared" si="0"/>
        <v/>
      </c>
      <c r="N14" s="498" t="str">
        <f>IFERROR(IF(B14="","",INDEX('G-6 Hedgerow Data'!$AN$3:$AZ$15,MATCH(C14,'G-6 Hedgerow Data'!$AM$3:$AM$15,0),MATCH(M14,'G-6 Hedgerow Data'!$AN$2:$AZ$2,0))),"")</f>
        <v/>
      </c>
      <c r="O14" s="499" t="str">
        <f t="shared" si="2"/>
        <v/>
      </c>
      <c r="P14" s="505" t="str">
        <f>IF(B14="","",VLOOKUP(B14,'E-1 Off Site Hedge Baseline'!$B$10:T259,16,FALSE))</f>
        <v/>
      </c>
      <c r="Q14" s="498" t="str">
        <f>IF(M14="","",VLOOKUP(M14,'G-6 Hedgerow Data'!$B$2:$AG$15,2,FALSE))</f>
        <v/>
      </c>
      <c r="R14" s="499" t="str">
        <f>IF(M14="","",VLOOKUP(M14,'G-6 Hedgerow Data'!$B$2:$AG$15,3,FALSE))</f>
        <v/>
      </c>
      <c r="S14" s="71"/>
      <c r="T14" s="499" t="str">
        <f>IFERROR(IF(AND(Q14="V.Low",OR(S14="Good",S14="Moderate")),"Error ▲",VLOOKUP(S14,'G-1 All Habitats'!$Z$2:$AA$9,2,FALSE)),"")</f>
        <v/>
      </c>
      <c r="U14" s="71"/>
      <c r="V14" s="507" t="str">
        <f>IF(U14="","",IF(VLOOKUP(U14,'G-3 Multipliers'!$L$3:$N$6,2,FALSE)=0,"Spatial Data Missing ⚠",VLOOKUP(U14,'G-3 Multipliers'!$L$3:$N$6,2,FALSE)))</f>
        <v/>
      </c>
      <c r="W14" s="505"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20" t="str">
        <f t="shared" si="5"/>
        <v/>
      </c>
      <c r="AF14" s="520" t="str">
        <f t="shared" si="6"/>
        <v/>
      </c>
      <c r="AG14" s="524" t="str">
        <f>IFERROR(IF(O14="","",VLOOKUP(AD14,'G-3 Multipliers'!$P$3:$Q$6,2,FALSE)),"")</f>
        <v/>
      </c>
      <c r="AH14" s="196"/>
      <c r="AI14" s="499" t="str">
        <f>IF(AH14="","",IF(VLOOKUP(AH14,'G-3 Multipliers'!$S$3:$T$6,2,FALSE)=0,"Spatial Data Missing ⚠",VLOOKUP(AH14,'G-3 Multipliers'!$S$3:$T$6,2,FALSE)))</f>
        <v/>
      </c>
      <c r="AJ14" s="513" t="str">
        <f t="shared" si="7"/>
        <v/>
      </c>
      <c r="AK14" s="149"/>
      <c r="AL14" s="150"/>
      <c r="AP14" s="31" t="str">
        <f>IFERROR(INDEX('G-6 Hedgerow Data'!$BJ$3:$BJ$15,MATCH(M14,'G-6 Hedgerow Data'!$B$3:$B$15,0)),"")</f>
        <v/>
      </c>
    </row>
    <row r="15" spans="2:42" ht="13.8" x14ac:dyDescent="0.25">
      <c r="B15" s="531" t="str">
        <f>'E-1 Off Site Hedge Baseline'!AK13</f>
        <v/>
      </c>
      <c r="C15" s="520" t="str">
        <f>IF(B15="","",IF(ISNA(VLOOKUP($B15,'E-1 Off Site Hedge Baseline'!$B$1:$L$257,3,FALSE)),"",(VLOOKUP($B15,'E-1 Off Site Hedge Baseline'!$B$1:$L$257,3,FALSE))))</f>
        <v/>
      </c>
      <c r="D15" s="520" t="str">
        <f>IF(B15="","",IF(ISNA(VLOOKUP($B15,'E-1 Off Site Hedge Baseline'!$B$1:$L$258,4,FALSE)),"",(VLOOKUP($B15,'E-1 Off Site Hedge Baseline'!$B$1:$L$258,4,FALSE))))</f>
        <v/>
      </c>
      <c r="E15" s="520" t="str">
        <f>IF(B15="","",IF(ISNA(VLOOKUP($B15,'E-1 Off Site Hedge Baseline'!$B$1:$L$257,5,FALSE)),"",(VLOOKUP($B15,'E-1 Off Site Hedge Baseline'!$B$1:$L$257,5,FALSE))))</f>
        <v/>
      </c>
      <c r="F15" s="520" t="str">
        <f>IF(B15="","",IF(ISNA(VLOOKUP($B15,'E-1 Off Site Hedge Baseline'!$B$1:$L$257,6,FALSE)),"",(VLOOKUP($B15,'E-1 Off Site Hedge Baseline'!$B$1:$L$257,6,FALSE))))</f>
        <v/>
      </c>
      <c r="G15" s="520" t="str">
        <f>IF(B15="","",IF(ISNA(VLOOKUP($B15,'E-1 Off Site Hedge Baseline'!$B$1:$L$257,7,FALSE)),"",(VLOOKUP($B15,'E-1 Off Site Hedge Baseline'!$B$1:$L$257,7,FALSE))))</f>
        <v/>
      </c>
      <c r="H15" s="520" t="str">
        <f>IF(B15="","",IF(ISNA(VLOOKUP($B15,'E-1 Off Site Hedge Baseline'!$B$1:$L$257,8,FALSE)),"",(VLOOKUP($B15,'E-1 Off Site Hedge Baseline'!$B$1:$L$257,8,FALSE))))</f>
        <v/>
      </c>
      <c r="I15" s="520" t="str">
        <f>IF(B15="","",IF(ISNA(VLOOKUP($B15,'E-1 Off Site Hedge Baseline'!$B$1:$L$257,10,FALSE)),"",(VLOOKUP($B15,'E-1 Off Site Hedge Baseline'!$B$1:$L$257,10,FALSE))))</f>
        <v/>
      </c>
      <c r="J15" s="520" t="str">
        <f>IF(B15="","",IF(ISNA(VLOOKUP($B15,'E-1 Off Site Hedge Baseline'!$B$1:$L$257,11,FALSE)),"",(VLOOKUP($B15,'E-1 Off Site Hedge Baseline'!$B$1:$L$257,11,FALSE))))</f>
        <v/>
      </c>
      <c r="K15" s="520" t="str">
        <f>IF(B15="","",IF(ISNA(VLOOKUP($B15,'E-1 Off Site Hedge Baseline'!$B$1:$U$257,113,FALSE)),"",(VLOOKUP($B15,'E-1 Off Site Hedge Baseline'!$B$1:$U$257,13,FALSE))))</f>
        <v/>
      </c>
      <c r="L15" s="507" t="str">
        <f>IF(B15="","",IF(ISNA(VLOOKUP($B15,'E-1 Off Site Hedge Baseline'!$B$1:$U$257,12,FALSE)),"",(VLOOKUP($B15,'E-1 Off Site Hedge Baseline'!$B$1:$U$257,12,FALSE))))</f>
        <v/>
      </c>
      <c r="M15" s="418" t="str">
        <f t="shared" si="0"/>
        <v/>
      </c>
      <c r="N15" s="498" t="str">
        <f>IFERROR(IF(B15="","",INDEX('G-6 Hedgerow Data'!$AN$3:$AZ$15,MATCH(C15,'G-6 Hedgerow Data'!$AM$3:$AM$15,0),MATCH(M15,'G-6 Hedgerow Data'!$AN$2:$AZ$2,0))),"")</f>
        <v/>
      </c>
      <c r="O15" s="499" t="str">
        <f t="shared" si="2"/>
        <v/>
      </c>
      <c r="P15" s="505" t="str">
        <f>IF(B15="","",VLOOKUP(B15,'E-1 Off Site Hedge Baseline'!$B$10:T260,16,FALSE))</f>
        <v/>
      </c>
      <c r="Q15" s="498" t="str">
        <f>IF(M15="","",VLOOKUP(M15,'G-6 Hedgerow Data'!$B$2:$AG$15,2,FALSE))</f>
        <v/>
      </c>
      <c r="R15" s="499" t="str">
        <f>IF(M15="","",VLOOKUP(M15,'G-6 Hedgerow Data'!$B$2:$AG$15,3,FALSE))</f>
        <v/>
      </c>
      <c r="S15" s="71"/>
      <c r="T15" s="499" t="str">
        <f>IFERROR(IF(AND(Q15="V.Low",OR(S15="Good",S15="Moderate")),"Error ▲",VLOOKUP(S15,'G-1 All Habitats'!$Z$2:$AA$9,2,FALSE)),"")</f>
        <v/>
      </c>
      <c r="U15" s="71"/>
      <c r="V15" s="507" t="str">
        <f>IF(U15="","",IF(VLOOKUP(U15,'G-3 Multipliers'!$L$3:$N$6,2,FALSE)=0,"Spatial Data Missing ⚠",VLOOKUP(U15,'G-3 Multipliers'!$L$3:$N$6,2,FALSE)))</f>
        <v/>
      </c>
      <c r="W15" s="505"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20" t="str">
        <f t="shared" si="5"/>
        <v/>
      </c>
      <c r="AF15" s="520" t="str">
        <f t="shared" si="6"/>
        <v/>
      </c>
      <c r="AG15" s="524" t="str">
        <f>IFERROR(IF(O15="","",VLOOKUP(AD15,'G-3 Multipliers'!$P$3:$Q$6,2,FALSE)),"")</f>
        <v/>
      </c>
      <c r="AH15" s="196"/>
      <c r="AI15" s="499" t="str">
        <f>IF(AH15="","",IF(VLOOKUP(AH15,'G-3 Multipliers'!$S$3:$T$6,2,FALSE)=0,"Spatial Data Missing ⚠",VLOOKUP(AH15,'G-3 Multipliers'!$S$3:$T$6,2,FALSE)))</f>
        <v/>
      </c>
      <c r="AJ15" s="513" t="str">
        <f t="shared" si="7"/>
        <v/>
      </c>
      <c r="AK15" s="149"/>
      <c r="AL15" s="150"/>
      <c r="AP15" s="31" t="str">
        <f>IFERROR(INDEX('G-6 Hedgerow Data'!$BJ$3:$BJ$15,MATCH(M15,'G-6 Hedgerow Data'!$B$3:$B$15,0)),"")</f>
        <v/>
      </c>
    </row>
    <row r="16" spans="2:42" ht="13.8" x14ac:dyDescent="0.25">
      <c r="B16" s="531" t="str">
        <f>'E-1 Off Site Hedge Baseline'!AK14</f>
        <v/>
      </c>
      <c r="C16" s="520" t="str">
        <f>IF(B16="","",IF(ISNA(VLOOKUP($B16,'E-1 Off Site Hedge Baseline'!$B$1:$L$257,3,FALSE)),"",(VLOOKUP($B16,'E-1 Off Site Hedge Baseline'!$B$1:$L$257,3,FALSE))))</f>
        <v/>
      </c>
      <c r="D16" s="520" t="str">
        <f>IF(B16="","",IF(ISNA(VLOOKUP($B16,'E-1 Off Site Hedge Baseline'!$B$1:$L$258,4,FALSE)),"",(VLOOKUP($B16,'E-1 Off Site Hedge Baseline'!$B$1:$L$258,4,FALSE))))</f>
        <v/>
      </c>
      <c r="E16" s="520" t="str">
        <f>IF(B16="","",IF(ISNA(VLOOKUP($B16,'E-1 Off Site Hedge Baseline'!$B$1:$L$257,5,FALSE)),"",(VLOOKUP($B16,'E-1 Off Site Hedge Baseline'!$B$1:$L$257,5,FALSE))))</f>
        <v/>
      </c>
      <c r="F16" s="520" t="str">
        <f>IF(B16="","",IF(ISNA(VLOOKUP($B16,'E-1 Off Site Hedge Baseline'!$B$1:$L$257,6,FALSE)),"",(VLOOKUP($B16,'E-1 Off Site Hedge Baseline'!$B$1:$L$257,6,FALSE))))</f>
        <v/>
      </c>
      <c r="G16" s="520" t="str">
        <f>IF(B16="","",IF(ISNA(VLOOKUP($B16,'E-1 Off Site Hedge Baseline'!$B$1:$L$257,7,FALSE)),"",(VLOOKUP($B16,'E-1 Off Site Hedge Baseline'!$B$1:$L$257,7,FALSE))))</f>
        <v/>
      </c>
      <c r="H16" s="520" t="str">
        <f>IF(B16="","",IF(ISNA(VLOOKUP($B16,'E-1 Off Site Hedge Baseline'!$B$1:$L$257,8,FALSE)),"",(VLOOKUP($B16,'E-1 Off Site Hedge Baseline'!$B$1:$L$257,8,FALSE))))</f>
        <v/>
      </c>
      <c r="I16" s="520" t="str">
        <f>IF(B16="","",IF(ISNA(VLOOKUP($B16,'E-1 Off Site Hedge Baseline'!$B$1:$L$257,10,FALSE)),"",(VLOOKUP($B16,'E-1 Off Site Hedge Baseline'!$B$1:$L$257,10,FALSE))))</f>
        <v/>
      </c>
      <c r="J16" s="520" t="str">
        <f>IF(B16="","",IF(ISNA(VLOOKUP($B16,'E-1 Off Site Hedge Baseline'!$B$1:$L$257,11,FALSE)),"",(VLOOKUP($B16,'E-1 Off Site Hedge Baseline'!$B$1:$L$257,11,FALSE))))</f>
        <v/>
      </c>
      <c r="K16" s="520" t="str">
        <f>IF(B16="","",IF(ISNA(VLOOKUP($B16,'E-1 Off Site Hedge Baseline'!$B$1:$U$257,113,FALSE)),"",(VLOOKUP($B16,'E-1 Off Site Hedge Baseline'!$B$1:$U$257,13,FALSE))))</f>
        <v/>
      </c>
      <c r="L16" s="507" t="str">
        <f>IF(B16="","",IF(ISNA(VLOOKUP($B16,'E-1 Off Site Hedge Baseline'!$B$1:$U$257,12,FALSE)),"",(VLOOKUP($B16,'E-1 Off Site Hedge Baseline'!$B$1:$U$257,12,FALSE))))</f>
        <v/>
      </c>
      <c r="M16" s="418" t="str">
        <f t="shared" si="0"/>
        <v/>
      </c>
      <c r="N16" s="498" t="str">
        <f>IFERROR(IF(B16="","",INDEX('G-6 Hedgerow Data'!$AN$3:$AZ$15,MATCH(C16,'G-6 Hedgerow Data'!$AM$3:$AM$15,0),MATCH(M16,'G-6 Hedgerow Data'!$AN$2:$AZ$2,0))),"")</f>
        <v/>
      </c>
      <c r="O16" s="499" t="str">
        <f t="shared" si="2"/>
        <v/>
      </c>
      <c r="P16" s="505" t="str">
        <f>IF(B16="","",VLOOKUP(B16,'E-1 Off Site Hedge Baseline'!$B$10:T261,16,FALSE))</f>
        <v/>
      </c>
      <c r="Q16" s="498" t="str">
        <f>IF(M16="","",VLOOKUP(M16,'G-6 Hedgerow Data'!$B$2:$AG$15,2,FALSE))</f>
        <v/>
      </c>
      <c r="R16" s="499" t="str">
        <f>IF(M16="","",VLOOKUP(M16,'G-6 Hedgerow Data'!$B$2:$AG$15,3,FALSE))</f>
        <v/>
      </c>
      <c r="S16" s="145"/>
      <c r="T16" s="499" t="str">
        <f>IFERROR(IF(AND(Q16="V.Low",OR(S16="Good",S16="Moderate")),"Error ▲",VLOOKUP(S16,'G-1 All Habitats'!$Z$2:$AA$9,2,FALSE)),"")</f>
        <v/>
      </c>
      <c r="U16" s="71"/>
      <c r="V16" s="507" t="str">
        <f>IF(U16="","",IF(VLOOKUP(U16,'G-3 Multipliers'!$L$3:$N$6,2,FALSE)=0,"Spatial Data Missing ⚠",VLOOKUP(U16,'G-3 Multipliers'!$L$3:$N$6,2,FALSE)))</f>
        <v/>
      </c>
      <c r="W16" s="505"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20" t="str">
        <f t="shared" si="5"/>
        <v/>
      </c>
      <c r="AF16" s="520" t="str">
        <f t="shared" si="6"/>
        <v/>
      </c>
      <c r="AG16" s="524" t="str">
        <f>IFERROR(IF(O16="","",VLOOKUP(AD16,'G-3 Multipliers'!$P$3:$Q$6,2,FALSE)),"")</f>
        <v/>
      </c>
      <c r="AH16" s="196"/>
      <c r="AI16" s="499" t="str">
        <f>IF(AH16="","",IF(VLOOKUP(AH16,'G-3 Multipliers'!$S$3:$T$6,2,FALSE)=0,"Spatial Data Missing ⚠",VLOOKUP(AH16,'G-3 Multipliers'!$S$3:$T$6,2,FALSE)))</f>
        <v/>
      </c>
      <c r="AJ16" s="513" t="str">
        <f t="shared" si="7"/>
        <v/>
      </c>
      <c r="AK16" s="149"/>
      <c r="AL16" s="150"/>
      <c r="AP16" s="31" t="str">
        <f>IFERROR(INDEX('G-6 Hedgerow Data'!$BJ$3:$BJ$15,MATCH(M16,'G-6 Hedgerow Data'!$B$3:$B$15,0)),"")</f>
        <v/>
      </c>
    </row>
    <row r="17" spans="2:42" ht="13.8" x14ac:dyDescent="0.25">
      <c r="B17" s="531" t="str">
        <f>'E-1 Off Site Hedge Baseline'!AK15</f>
        <v/>
      </c>
      <c r="C17" s="520" t="str">
        <f>IF(B17="","",IF(ISNA(VLOOKUP($B17,'E-1 Off Site Hedge Baseline'!$B$1:$L$257,3,FALSE)),"",(VLOOKUP($B17,'E-1 Off Site Hedge Baseline'!$B$1:$L$257,3,FALSE))))</f>
        <v/>
      </c>
      <c r="D17" s="520" t="str">
        <f>IF(B17="","",IF(ISNA(VLOOKUP($B17,'E-1 Off Site Hedge Baseline'!$B$1:$L$258,4,FALSE)),"",(VLOOKUP($B17,'E-1 Off Site Hedge Baseline'!$B$1:$L$258,4,FALSE))))</f>
        <v/>
      </c>
      <c r="E17" s="520" t="str">
        <f>IF(B17="","",IF(ISNA(VLOOKUP($B17,'E-1 Off Site Hedge Baseline'!$B$1:$L$257,5,FALSE)),"",(VLOOKUP($B17,'E-1 Off Site Hedge Baseline'!$B$1:$L$257,5,FALSE))))</f>
        <v/>
      </c>
      <c r="F17" s="520" t="str">
        <f>IF(B17="","",IF(ISNA(VLOOKUP($B17,'E-1 Off Site Hedge Baseline'!$B$1:$L$257,6,FALSE)),"",(VLOOKUP($B17,'E-1 Off Site Hedge Baseline'!$B$1:$L$257,6,FALSE))))</f>
        <v/>
      </c>
      <c r="G17" s="520" t="str">
        <f>IF(B17="","",IF(ISNA(VLOOKUP($B17,'E-1 Off Site Hedge Baseline'!$B$1:$L$257,7,FALSE)),"",(VLOOKUP($B17,'E-1 Off Site Hedge Baseline'!$B$1:$L$257,7,FALSE))))</f>
        <v/>
      </c>
      <c r="H17" s="520" t="str">
        <f>IF(B17="","",IF(ISNA(VLOOKUP($B17,'E-1 Off Site Hedge Baseline'!$B$1:$L$257,8,FALSE)),"",(VLOOKUP($B17,'E-1 Off Site Hedge Baseline'!$B$1:$L$257,8,FALSE))))</f>
        <v/>
      </c>
      <c r="I17" s="520" t="str">
        <f>IF(B17="","",IF(ISNA(VLOOKUP($B17,'E-1 Off Site Hedge Baseline'!$B$1:$L$257,10,FALSE)),"",(VLOOKUP($B17,'E-1 Off Site Hedge Baseline'!$B$1:$L$257,10,FALSE))))</f>
        <v/>
      </c>
      <c r="J17" s="520" t="str">
        <f>IF(B17="","",IF(ISNA(VLOOKUP($B17,'E-1 Off Site Hedge Baseline'!$B$1:$L$257,11,FALSE)),"",(VLOOKUP($B17,'E-1 Off Site Hedge Baseline'!$B$1:$L$257,11,FALSE))))</f>
        <v/>
      </c>
      <c r="K17" s="520" t="str">
        <f>IF(B17="","",IF(ISNA(VLOOKUP($B17,'E-1 Off Site Hedge Baseline'!$B$1:$U$257,113,FALSE)),"",(VLOOKUP($B17,'E-1 Off Site Hedge Baseline'!$B$1:$U$257,13,FALSE))))</f>
        <v/>
      </c>
      <c r="L17" s="507" t="str">
        <f>IF(B17="","",IF(ISNA(VLOOKUP($B17,'E-1 Off Site Hedge Baseline'!$B$1:$U$257,12,FALSE)),"",(VLOOKUP($B17,'E-1 Off Site Hedge Baseline'!$B$1:$U$257,12,FALSE))))</f>
        <v/>
      </c>
      <c r="M17" s="418" t="str">
        <f t="shared" ref="M17:M77" si="8">C17</f>
        <v/>
      </c>
      <c r="N17" s="498" t="str">
        <f>IFERROR(IF(B17="","",INDEX('G-6 Hedgerow Data'!$AN$3:$AZ$15,MATCH(C17,'G-6 Hedgerow Data'!$AM$3:$AM$15,0),MATCH(M17,'G-6 Hedgerow Data'!$AN$2:$AZ$2,0))),"")</f>
        <v/>
      </c>
      <c r="O17" s="499" t="str">
        <f t="shared" si="2"/>
        <v/>
      </c>
      <c r="P17" s="505" t="str">
        <f>IF(B17="","",VLOOKUP(B17,'E-1 Off Site Hedge Baseline'!$B$10:T262,16,FALSE))</f>
        <v/>
      </c>
      <c r="Q17" s="498" t="str">
        <f>IF(M17="","",VLOOKUP(M17,'G-6 Hedgerow Data'!$B$2:$AG$15,2,FALSE))</f>
        <v/>
      </c>
      <c r="R17" s="499" t="str">
        <f>IF(M17="","",VLOOKUP(M17,'G-6 Hedgerow Data'!$B$2:$AG$15,3,FALSE))</f>
        <v/>
      </c>
      <c r="S17" s="145"/>
      <c r="T17" s="499" t="str">
        <f>IFERROR(IF(AND(Q17="V.Low",OR(S17="Good",S17="Moderate")),"Error ▲",VLOOKUP(S17,'G-1 All Habitats'!$Z$2:$AA$9,2,FALSE)),"")</f>
        <v/>
      </c>
      <c r="U17" s="145"/>
      <c r="V17" s="507" t="str">
        <f>IF(U17="","",IF(VLOOKUP(U17,'G-3 Multipliers'!$L$3:$N$6,2,FALSE)=0,"Spatial Data Missing ⚠",VLOOKUP(U17,'G-3 Multipliers'!$L$3:$N$6,2,FALSE)))</f>
        <v/>
      </c>
      <c r="W17" s="505"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20" t="str">
        <f t="shared" si="5"/>
        <v/>
      </c>
      <c r="AF17" s="520" t="str">
        <f t="shared" si="6"/>
        <v/>
      </c>
      <c r="AG17" s="524" t="str">
        <f>IFERROR(IF(O17="","",VLOOKUP(AD17,'G-3 Multipliers'!$P$3:$Q$6,2,FALSE)),"")</f>
        <v/>
      </c>
      <c r="AH17" s="197"/>
      <c r="AI17" s="499" t="str">
        <f>IF(AH17="","",IF(VLOOKUP(AH17,'G-3 Multipliers'!$S$3:$T$6,2,FALSE)=0,"Spatial Data Missing ⚠",VLOOKUP(AH17,'G-3 Multipliers'!$S$3:$T$6,2,FALSE)))</f>
        <v/>
      </c>
      <c r="AJ17" s="545" t="str">
        <f t="shared" si="7"/>
        <v/>
      </c>
      <c r="AK17" s="149"/>
      <c r="AL17" s="150"/>
      <c r="AP17" s="31" t="str">
        <f>IFERROR(INDEX('G-6 Hedgerow Data'!$BJ$3:$BJ$15,MATCH(M17,'G-6 Hedgerow Data'!$B$3:$B$15,0)),"")</f>
        <v/>
      </c>
    </row>
    <row r="18" spans="2:42" ht="13.8" x14ac:dyDescent="0.25">
      <c r="B18" s="531" t="str">
        <f>'E-1 Off Site Hedge Baseline'!AK16</f>
        <v/>
      </c>
      <c r="C18" s="520" t="str">
        <f>IF(B18="","",IF(ISNA(VLOOKUP($B18,'E-1 Off Site Hedge Baseline'!$B$1:$L$257,3,FALSE)),"",(VLOOKUP($B18,'E-1 Off Site Hedge Baseline'!$B$1:$L$257,3,FALSE))))</f>
        <v/>
      </c>
      <c r="D18" s="520" t="str">
        <f>IF(B18="","",IF(ISNA(VLOOKUP($B18,'E-1 Off Site Hedge Baseline'!$B$1:$L$258,4,FALSE)),"",(VLOOKUP($B18,'E-1 Off Site Hedge Baseline'!$B$1:$L$258,4,FALSE))))</f>
        <v/>
      </c>
      <c r="E18" s="520" t="str">
        <f>IF(B18="","",IF(ISNA(VLOOKUP($B18,'E-1 Off Site Hedge Baseline'!$B$1:$L$257,5,FALSE)),"",(VLOOKUP($B18,'E-1 Off Site Hedge Baseline'!$B$1:$L$257,5,FALSE))))</f>
        <v/>
      </c>
      <c r="F18" s="520" t="str">
        <f>IF(B18="","",IF(ISNA(VLOOKUP($B18,'E-1 Off Site Hedge Baseline'!$B$1:$L$257,6,FALSE)),"",(VLOOKUP($B18,'E-1 Off Site Hedge Baseline'!$B$1:$L$257,6,FALSE))))</f>
        <v/>
      </c>
      <c r="G18" s="520" t="str">
        <f>IF(B18="","",IF(ISNA(VLOOKUP($B18,'E-1 Off Site Hedge Baseline'!$B$1:$L$257,7,FALSE)),"",(VLOOKUP($B18,'E-1 Off Site Hedge Baseline'!$B$1:$L$257,7,FALSE))))</f>
        <v/>
      </c>
      <c r="H18" s="520" t="str">
        <f>IF(B18="","",IF(ISNA(VLOOKUP($B18,'E-1 Off Site Hedge Baseline'!$B$1:$L$257,8,FALSE)),"",(VLOOKUP($B18,'E-1 Off Site Hedge Baseline'!$B$1:$L$257,8,FALSE))))</f>
        <v/>
      </c>
      <c r="I18" s="520" t="str">
        <f>IF(B18="","",IF(ISNA(VLOOKUP($B18,'E-1 Off Site Hedge Baseline'!$B$1:$L$257,10,FALSE)),"",(VLOOKUP($B18,'E-1 Off Site Hedge Baseline'!$B$1:$L$257,10,FALSE))))</f>
        <v/>
      </c>
      <c r="J18" s="520" t="str">
        <f>IF(B18="","",IF(ISNA(VLOOKUP($B18,'E-1 Off Site Hedge Baseline'!$B$1:$L$257,11,FALSE)),"",(VLOOKUP($B18,'E-1 Off Site Hedge Baseline'!$B$1:$L$257,11,FALSE))))</f>
        <v/>
      </c>
      <c r="K18" s="520" t="str">
        <f>IF(B18="","",IF(ISNA(VLOOKUP($B18,'E-1 Off Site Hedge Baseline'!$B$1:$U$257,113,FALSE)),"",(VLOOKUP($B18,'E-1 Off Site Hedge Baseline'!$B$1:$U$257,13,FALSE))))</f>
        <v/>
      </c>
      <c r="L18" s="507" t="str">
        <f>IF(B18="","",IF(ISNA(VLOOKUP($B18,'E-1 Off Site Hedge Baseline'!$B$1:$U$257,12,FALSE)),"",(VLOOKUP($B18,'E-1 Off Site Hedge Baseline'!$B$1:$U$257,12,FALSE))))</f>
        <v/>
      </c>
      <c r="M18" s="418" t="str">
        <f t="shared" si="8"/>
        <v/>
      </c>
      <c r="N18" s="498" t="str">
        <f>IFERROR(IF(B18="","",INDEX('G-6 Hedgerow Data'!$AN$3:$AZ$15,MATCH(C18,'G-6 Hedgerow Data'!$AM$3:$AM$15,0),MATCH(M18,'G-6 Hedgerow Data'!$AN$2:$AZ$2,0))),"")</f>
        <v/>
      </c>
      <c r="O18" s="499" t="str">
        <f t="shared" si="2"/>
        <v/>
      </c>
      <c r="P18" s="505" t="str">
        <f>IF(B18="","",VLOOKUP(B18,'E-1 Off Site Hedge Baseline'!$B$10:T263,16,FALSE))</f>
        <v/>
      </c>
      <c r="Q18" s="498" t="str">
        <f>IF(M18="","",VLOOKUP(M18,'G-6 Hedgerow Data'!$B$2:$AG$15,2,FALSE))</f>
        <v/>
      </c>
      <c r="R18" s="499" t="str">
        <f>IF(M18="","",VLOOKUP(M18,'G-6 Hedgerow Data'!$B$2:$AG$15,3,FALSE))</f>
        <v/>
      </c>
      <c r="S18" s="145"/>
      <c r="T18" s="499" t="str">
        <f>IFERROR(IF(AND(Q18="V.Low",OR(S18="Good",S18="Moderate")),"Error ▲",VLOOKUP(S18,'G-1 All Habitats'!$Z$2:$AA$9,2,FALSE)),"")</f>
        <v/>
      </c>
      <c r="U18" s="145"/>
      <c r="V18" s="507" t="str">
        <f>IF(U18="","",IF(VLOOKUP(U18,'G-3 Multipliers'!$L$3:$N$6,2,FALSE)=0,"Spatial Data Missing ⚠",VLOOKUP(U18,'G-3 Multipliers'!$L$3:$N$6,2,FALSE)))</f>
        <v/>
      </c>
      <c r="W18" s="505"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20" t="str">
        <f t="shared" si="5"/>
        <v/>
      </c>
      <c r="AF18" s="520" t="str">
        <f t="shared" si="6"/>
        <v/>
      </c>
      <c r="AG18" s="524" t="str">
        <f>IFERROR(IF(O18="","",VLOOKUP(AD18,'G-3 Multipliers'!$P$3:$Q$6,2,FALSE)),"")</f>
        <v/>
      </c>
      <c r="AH18" s="197"/>
      <c r="AI18" s="499" t="str">
        <f>IF(AH18="","",IF(VLOOKUP(AH18,'G-3 Multipliers'!$S$3:$T$6,2,FALSE)=0,"Spatial Data Missing ⚠",VLOOKUP(AH18,'G-3 Multipliers'!$S$3:$T$6,2,FALSE)))</f>
        <v/>
      </c>
      <c r="AJ18" s="545" t="str">
        <f t="shared" si="7"/>
        <v/>
      </c>
      <c r="AK18" s="149"/>
      <c r="AL18" s="150"/>
      <c r="AP18" s="31" t="str">
        <f>IFERROR(INDEX('G-6 Hedgerow Data'!$BJ$3:$BJ$15,MATCH(M18,'G-6 Hedgerow Data'!$B$3:$B$15,0)),"")</f>
        <v/>
      </c>
    </row>
    <row r="19" spans="2:42" ht="13.8" x14ac:dyDescent="0.25">
      <c r="B19" s="531" t="str">
        <f>'E-1 Off Site Hedge Baseline'!AK17</f>
        <v/>
      </c>
      <c r="C19" s="520" t="str">
        <f>IF(B19="","",IF(ISNA(VLOOKUP($B19,'E-1 Off Site Hedge Baseline'!$B$1:$L$257,3,FALSE)),"",(VLOOKUP($B19,'E-1 Off Site Hedge Baseline'!$B$1:$L$257,3,FALSE))))</f>
        <v/>
      </c>
      <c r="D19" s="520" t="str">
        <f>IF(B19="","",IF(ISNA(VLOOKUP($B19,'E-1 Off Site Hedge Baseline'!$B$1:$L$258,4,FALSE)),"",(VLOOKUP($B19,'E-1 Off Site Hedge Baseline'!$B$1:$L$258,4,FALSE))))</f>
        <v/>
      </c>
      <c r="E19" s="520" t="str">
        <f>IF(B19="","",IF(ISNA(VLOOKUP($B19,'E-1 Off Site Hedge Baseline'!$B$1:$L$257,5,FALSE)),"",(VLOOKUP($B19,'E-1 Off Site Hedge Baseline'!$B$1:$L$257,5,FALSE))))</f>
        <v/>
      </c>
      <c r="F19" s="520" t="str">
        <f>IF(B19="","",IF(ISNA(VLOOKUP($B19,'E-1 Off Site Hedge Baseline'!$B$1:$L$257,6,FALSE)),"",(VLOOKUP($B19,'E-1 Off Site Hedge Baseline'!$B$1:$L$257,6,FALSE))))</f>
        <v/>
      </c>
      <c r="G19" s="520" t="str">
        <f>IF(B19="","",IF(ISNA(VLOOKUP($B19,'E-1 Off Site Hedge Baseline'!$B$1:$L$257,7,FALSE)),"",(VLOOKUP($B19,'E-1 Off Site Hedge Baseline'!$B$1:$L$257,7,FALSE))))</f>
        <v/>
      </c>
      <c r="H19" s="520" t="str">
        <f>IF(B19="","",IF(ISNA(VLOOKUP($B19,'E-1 Off Site Hedge Baseline'!$B$1:$L$257,8,FALSE)),"",(VLOOKUP($B19,'E-1 Off Site Hedge Baseline'!$B$1:$L$257,8,FALSE))))</f>
        <v/>
      </c>
      <c r="I19" s="520" t="str">
        <f>IF(B19="","",IF(ISNA(VLOOKUP($B19,'E-1 Off Site Hedge Baseline'!$B$1:$L$257,10,FALSE)),"",(VLOOKUP($B19,'E-1 Off Site Hedge Baseline'!$B$1:$L$257,10,FALSE))))</f>
        <v/>
      </c>
      <c r="J19" s="520" t="str">
        <f>IF(B19="","",IF(ISNA(VLOOKUP($B19,'E-1 Off Site Hedge Baseline'!$B$1:$L$257,11,FALSE)),"",(VLOOKUP($B19,'E-1 Off Site Hedge Baseline'!$B$1:$L$257,11,FALSE))))</f>
        <v/>
      </c>
      <c r="K19" s="520" t="str">
        <f>IF(B19="","",IF(ISNA(VLOOKUP($B19,'E-1 Off Site Hedge Baseline'!$B$1:$U$257,113,FALSE)),"",(VLOOKUP($B19,'E-1 Off Site Hedge Baseline'!$B$1:$U$257,13,FALSE))))</f>
        <v/>
      </c>
      <c r="L19" s="507" t="str">
        <f>IF(B19="","",IF(ISNA(VLOOKUP($B19,'E-1 Off Site Hedge Baseline'!$B$1:$U$257,12,FALSE)),"",(VLOOKUP($B19,'E-1 Off Site Hedge Baseline'!$B$1:$U$257,12,FALSE))))</f>
        <v/>
      </c>
      <c r="M19" s="418" t="str">
        <f t="shared" si="8"/>
        <v/>
      </c>
      <c r="N19" s="498" t="str">
        <f>IFERROR(IF(B19="","",INDEX('G-6 Hedgerow Data'!$AN$3:$AZ$15,MATCH(C19,'G-6 Hedgerow Data'!$AM$3:$AM$15,0),MATCH(M19,'G-6 Hedgerow Data'!$AN$2:$AZ$2,0))),"")</f>
        <v/>
      </c>
      <c r="O19" s="499" t="str">
        <f t="shared" si="2"/>
        <v/>
      </c>
      <c r="P19" s="505" t="str">
        <f>IF(B19="","",VLOOKUP(B19,'E-1 Off Site Hedge Baseline'!$B$10:T264,16,FALSE))</f>
        <v/>
      </c>
      <c r="Q19" s="498" t="str">
        <f>IF(M19="","",VLOOKUP(M19,'G-6 Hedgerow Data'!$B$2:$AG$15,2,FALSE))</f>
        <v/>
      </c>
      <c r="R19" s="499" t="str">
        <f>IF(M19="","",VLOOKUP(M19,'G-6 Hedgerow Data'!$B$2:$AG$15,3,FALSE))</f>
        <v/>
      </c>
      <c r="S19" s="145"/>
      <c r="T19" s="499" t="str">
        <f>IFERROR(IF(AND(Q19="V.Low",OR(S19="Good",S19="Moderate")),"Error ▲",VLOOKUP(S19,'G-1 All Habitats'!$Z$2:$AA$9,2,FALSE)),"")</f>
        <v/>
      </c>
      <c r="U19" s="145"/>
      <c r="V19" s="507" t="str">
        <f>IF(U19="","",IF(VLOOKUP(U19,'G-3 Multipliers'!$L$3:$N$6,2,FALSE)=0,"Spatial Data Missing ⚠",VLOOKUP(U19,'G-3 Multipliers'!$L$3:$N$6,2,FALSE)))</f>
        <v/>
      </c>
      <c r="W19" s="505"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20" t="str">
        <f t="shared" si="5"/>
        <v/>
      </c>
      <c r="AF19" s="520" t="str">
        <f t="shared" si="6"/>
        <v/>
      </c>
      <c r="AG19" s="524" t="str">
        <f>IFERROR(IF(O19="","",VLOOKUP(AD19,'G-3 Multipliers'!$P$3:$Q$6,2,FALSE)),"")</f>
        <v/>
      </c>
      <c r="AH19" s="197"/>
      <c r="AI19" s="499" t="str">
        <f>IF(AH19="","",IF(VLOOKUP(AH19,'G-3 Multipliers'!$S$3:$T$6,2,FALSE)=0,"Spatial Data Missing ⚠",VLOOKUP(AH19,'G-3 Multipliers'!$S$3:$T$6,2,FALSE)))</f>
        <v/>
      </c>
      <c r="AJ19" s="545" t="str">
        <f t="shared" si="7"/>
        <v/>
      </c>
      <c r="AK19" s="149"/>
      <c r="AL19" s="150"/>
      <c r="AP19" s="31" t="str">
        <f>IFERROR(INDEX('G-6 Hedgerow Data'!$BJ$3:$BJ$15,MATCH(M19,'G-6 Hedgerow Data'!$B$3:$B$15,0)),"")</f>
        <v/>
      </c>
    </row>
    <row r="20" spans="2:42" ht="13.8" x14ac:dyDescent="0.25">
      <c r="B20" s="531" t="str">
        <f>'E-1 Off Site Hedge Baseline'!AK18</f>
        <v/>
      </c>
      <c r="C20" s="520" t="str">
        <f>IF(B20="","",IF(ISNA(VLOOKUP($B20,'E-1 Off Site Hedge Baseline'!$B$1:$L$257,3,FALSE)),"",(VLOOKUP($B20,'E-1 Off Site Hedge Baseline'!$B$1:$L$257,3,FALSE))))</f>
        <v/>
      </c>
      <c r="D20" s="520" t="str">
        <f>IF(B20="","",IF(ISNA(VLOOKUP($B20,'E-1 Off Site Hedge Baseline'!$B$1:$L$258,4,FALSE)),"",(VLOOKUP($B20,'E-1 Off Site Hedge Baseline'!$B$1:$L$258,4,FALSE))))</f>
        <v/>
      </c>
      <c r="E20" s="520" t="str">
        <f>IF(B20="","",IF(ISNA(VLOOKUP($B20,'E-1 Off Site Hedge Baseline'!$B$1:$L$257,5,FALSE)),"",(VLOOKUP($B20,'E-1 Off Site Hedge Baseline'!$B$1:$L$257,5,FALSE))))</f>
        <v/>
      </c>
      <c r="F20" s="520" t="str">
        <f>IF(B20="","",IF(ISNA(VLOOKUP($B20,'E-1 Off Site Hedge Baseline'!$B$1:$L$257,6,FALSE)),"",(VLOOKUP($B20,'E-1 Off Site Hedge Baseline'!$B$1:$L$257,6,FALSE))))</f>
        <v/>
      </c>
      <c r="G20" s="520" t="str">
        <f>IF(B20="","",IF(ISNA(VLOOKUP($B20,'E-1 Off Site Hedge Baseline'!$B$1:$L$257,7,FALSE)),"",(VLOOKUP($B20,'E-1 Off Site Hedge Baseline'!$B$1:$L$257,7,FALSE))))</f>
        <v/>
      </c>
      <c r="H20" s="520" t="str">
        <f>IF(B20="","",IF(ISNA(VLOOKUP($B20,'E-1 Off Site Hedge Baseline'!$B$1:$L$257,8,FALSE)),"",(VLOOKUP($B20,'E-1 Off Site Hedge Baseline'!$B$1:$L$257,8,FALSE))))</f>
        <v/>
      </c>
      <c r="I20" s="520" t="str">
        <f>IF(B20="","",IF(ISNA(VLOOKUP($B20,'E-1 Off Site Hedge Baseline'!$B$1:$L$257,10,FALSE)),"",(VLOOKUP($B20,'E-1 Off Site Hedge Baseline'!$B$1:$L$257,10,FALSE))))</f>
        <v/>
      </c>
      <c r="J20" s="520" t="str">
        <f>IF(B20="","",IF(ISNA(VLOOKUP($B20,'E-1 Off Site Hedge Baseline'!$B$1:$L$257,11,FALSE)),"",(VLOOKUP($B20,'E-1 Off Site Hedge Baseline'!$B$1:$L$257,11,FALSE))))</f>
        <v/>
      </c>
      <c r="K20" s="520" t="str">
        <f>IF(B20="","",IF(ISNA(VLOOKUP($B20,'E-1 Off Site Hedge Baseline'!$B$1:$U$257,113,FALSE)),"",(VLOOKUP($B20,'E-1 Off Site Hedge Baseline'!$B$1:$U$257,13,FALSE))))</f>
        <v/>
      </c>
      <c r="L20" s="507" t="str">
        <f>IF(B20="","",IF(ISNA(VLOOKUP($B20,'E-1 Off Site Hedge Baseline'!$B$1:$U$257,12,FALSE)),"",(VLOOKUP($B20,'E-1 Off Site Hedge Baseline'!$B$1:$U$257,12,FALSE))))</f>
        <v/>
      </c>
      <c r="M20" s="418" t="str">
        <f t="shared" si="8"/>
        <v/>
      </c>
      <c r="N20" s="498" t="str">
        <f>IFERROR(IF(B20="","",INDEX('G-6 Hedgerow Data'!$AN$3:$AZ$15,MATCH(C20,'G-6 Hedgerow Data'!$AM$3:$AM$15,0),MATCH(M20,'G-6 Hedgerow Data'!$AN$2:$AZ$2,0))),"")</f>
        <v/>
      </c>
      <c r="O20" s="499" t="str">
        <f t="shared" si="2"/>
        <v/>
      </c>
      <c r="P20" s="505" t="str">
        <f>IF(B20="","",VLOOKUP(B20,'E-1 Off Site Hedge Baseline'!$B$10:T265,16,FALSE))</f>
        <v/>
      </c>
      <c r="Q20" s="498" t="str">
        <f>IF(M20="","",VLOOKUP(M20,'G-6 Hedgerow Data'!$B$2:$AG$15,2,FALSE))</f>
        <v/>
      </c>
      <c r="R20" s="499" t="str">
        <f>IF(M20="","",VLOOKUP(M20,'G-6 Hedgerow Data'!$B$2:$AG$15,3,FALSE))</f>
        <v/>
      </c>
      <c r="S20" s="145"/>
      <c r="T20" s="499" t="str">
        <f>IFERROR(IF(AND(Q20="V.Low",OR(S20="Good",S20="Moderate")),"Error ▲",VLOOKUP(S20,'G-1 All Habitats'!$Z$2:$AA$9,2,FALSE)),"")</f>
        <v/>
      </c>
      <c r="U20" s="145"/>
      <c r="V20" s="507" t="str">
        <f>IF(U20="","",IF(VLOOKUP(U20,'G-3 Multipliers'!$L$3:$N$6,2,FALSE)=0,"Spatial Data Missing ⚠",VLOOKUP(U20,'G-3 Multipliers'!$L$3:$N$6,2,FALSE)))</f>
        <v/>
      </c>
      <c r="W20" s="505"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20" t="str">
        <f t="shared" si="5"/>
        <v/>
      </c>
      <c r="AF20" s="520" t="str">
        <f t="shared" si="6"/>
        <v/>
      </c>
      <c r="AG20" s="524" t="str">
        <f>IFERROR(IF(O20="","",VLOOKUP(AD20,'G-3 Multipliers'!$P$3:$Q$6,2,FALSE)),"")</f>
        <v/>
      </c>
      <c r="AH20" s="197"/>
      <c r="AI20" s="499" t="str">
        <f>IF(AH20="","",IF(VLOOKUP(AH20,'G-3 Multipliers'!$S$3:$T$6,2,FALSE)=0,"Spatial Data Missing ⚠",VLOOKUP(AH20,'G-3 Multipliers'!$S$3:$T$6,2,FALSE)))</f>
        <v/>
      </c>
      <c r="AJ20" s="545" t="str">
        <f t="shared" si="7"/>
        <v/>
      </c>
      <c r="AK20" s="149"/>
      <c r="AL20" s="150"/>
      <c r="AP20" s="31" t="str">
        <f>IFERROR(INDEX('G-6 Hedgerow Data'!$BJ$3:$BJ$15,MATCH(M20,'G-6 Hedgerow Data'!$B$3:$B$15,0)),"")</f>
        <v/>
      </c>
    </row>
    <row r="21" spans="2:42" ht="13.8" x14ac:dyDescent="0.25">
      <c r="B21" s="531" t="str">
        <f>'E-1 Off Site Hedge Baseline'!AK19</f>
        <v/>
      </c>
      <c r="C21" s="520" t="str">
        <f>IF(B21="","",IF(ISNA(VLOOKUP($B21,'E-1 Off Site Hedge Baseline'!$B$1:$L$257,3,FALSE)),"",(VLOOKUP($B21,'E-1 Off Site Hedge Baseline'!$B$1:$L$257,3,FALSE))))</f>
        <v/>
      </c>
      <c r="D21" s="520" t="str">
        <f>IF(B21="","",IF(ISNA(VLOOKUP($B21,'E-1 Off Site Hedge Baseline'!$B$1:$L$258,4,FALSE)),"",(VLOOKUP($B21,'E-1 Off Site Hedge Baseline'!$B$1:$L$258,4,FALSE))))</f>
        <v/>
      </c>
      <c r="E21" s="520" t="str">
        <f>IF(B21="","",IF(ISNA(VLOOKUP($B21,'E-1 Off Site Hedge Baseline'!$B$1:$L$257,5,FALSE)),"",(VLOOKUP($B21,'E-1 Off Site Hedge Baseline'!$B$1:$L$257,5,FALSE))))</f>
        <v/>
      </c>
      <c r="F21" s="520" t="str">
        <f>IF(B21="","",IF(ISNA(VLOOKUP($B21,'E-1 Off Site Hedge Baseline'!$B$1:$L$257,6,FALSE)),"",(VLOOKUP($B21,'E-1 Off Site Hedge Baseline'!$B$1:$L$257,6,FALSE))))</f>
        <v/>
      </c>
      <c r="G21" s="520" t="str">
        <f>IF(B21="","",IF(ISNA(VLOOKUP($B21,'E-1 Off Site Hedge Baseline'!$B$1:$L$257,7,FALSE)),"",(VLOOKUP($B21,'E-1 Off Site Hedge Baseline'!$B$1:$L$257,7,FALSE))))</f>
        <v/>
      </c>
      <c r="H21" s="520" t="str">
        <f>IF(B21="","",IF(ISNA(VLOOKUP($B21,'E-1 Off Site Hedge Baseline'!$B$1:$L$257,8,FALSE)),"",(VLOOKUP($B21,'E-1 Off Site Hedge Baseline'!$B$1:$L$257,8,FALSE))))</f>
        <v/>
      </c>
      <c r="I21" s="520" t="str">
        <f>IF(B21="","",IF(ISNA(VLOOKUP($B21,'E-1 Off Site Hedge Baseline'!$B$1:$L$257,10,FALSE)),"",(VLOOKUP($B21,'E-1 Off Site Hedge Baseline'!$B$1:$L$257,10,FALSE))))</f>
        <v/>
      </c>
      <c r="J21" s="520" t="str">
        <f>IF(B21="","",IF(ISNA(VLOOKUP($B21,'E-1 Off Site Hedge Baseline'!$B$1:$L$257,11,FALSE)),"",(VLOOKUP($B21,'E-1 Off Site Hedge Baseline'!$B$1:$L$257,11,FALSE))))</f>
        <v/>
      </c>
      <c r="K21" s="520" t="str">
        <f>IF(B21="","",IF(ISNA(VLOOKUP($B21,'E-1 Off Site Hedge Baseline'!$B$1:$U$257,113,FALSE)),"",(VLOOKUP($B21,'E-1 Off Site Hedge Baseline'!$B$1:$U$257,13,FALSE))))</f>
        <v/>
      </c>
      <c r="L21" s="507" t="str">
        <f>IF(B21="","",IF(ISNA(VLOOKUP($B21,'E-1 Off Site Hedge Baseline'!$B$1:$U$257,12,FALSE)),"",(VLOOKUP($B21,'E-1 Off Site Hedge Baseline'!$B$1:$U$257,12,FALSE))))</f>
        <v/>
      </c>
      <c r="M21" s="418" t="str">
        <f t="shared" si="8"/>
        <v/>
      </c>
      <c r="N21" s="498" t="str">
        <f>IFERROR(IF(B21="","",INDEX('G-6 Hedgerow Data'!$AN$3:$AZ$15,MATCH(C21,'G-6 Hedgerow Data'!$AM$3:$AM$15,0),MATCH(M21,'G-6 Hedgerow Data'!$AN$2:$AZ$2,0))),"")</f>
        <v/>
      </c>
      <c r="O21" s="499" t="str">
        <f t="shared" si="2"/>
        <v/>
      </c>
      <c r="P21" s="505" t="str">
        <f>IF(B21="","",VLOOKUP(B21,'E-1 Off Site Hedge Baseline'!$B$10:T266,16,FALSE))</f>
        <v/>
      </c>
      <c r="Q21" s="498" t="str">
        <f>IF(M21="","",VLOOKUP(M21,'G-6 Hedgerow Data'!$B$2:$AG$15,2,FALSE))</f>
        <v/>
      </c>
      <c r="R21" s="499" t="str">
        <f>IF(M21="","",VLOOKUP(M21,'G-6 Hedgerow Data'!$B$2:$AG$15,3,FALSE))</f>
        <v/>
      </c>
      <c r="S21" s="145"/>
      <c r="T21" s="499" t="str">
        <f>IFERROR(IF(AND(Q21="V.Low",OR(S21="Good",S21="Moderate")),"Error ▲",VLOOKUP(S21,'G-1 All Habitats'!$Z$2:$AA$9,2,FALSE)),"")</f>
        <v/>
      </c>
      <c r="U21" s="145"/>
      <c r="V21" s="507" t="str">
        <f>IF(U21="","",IF(VLOOKUP(U21,'G-3 Multipliers'!$L$3:$N$6,2,FALSE)=0,"Spatial Data Missing ⚠",VLOOKUP(U21,'G-3 Multipliers'!$L$3:$N$6,2,FALSE)))</f>
        <v/>
      </c>
      <c r="W21" s="505"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20" t="str">
        <f t="shared" si="5"/>
        <v/>
      </c>
      <c r="AF21" s="520" t="str">
        <f t="shared" si="6"/>
        <v/>
      </c>
      <c r="AG21" s="524" t="str">
        <f>IFERROR(IF(O21="","",VLOOKUP(AD21,'G-3 Multipliers'!$P$3:$Q$6,2,FALSE)),"")</f>
        <v/>
      </c>
      <c r="AH21" s="197"/>
      <c r="AI21" s="499" t="str">
        <f>IF(AH21="","",IF(VLOOKUP(AH21,'G-3 Multipliers'!$S$3:$T$6,2,FALSE)=0,"Spatial Data Missing ⚠",VLOOKUP(AH21,'G-3 Multipliers'!$S$3:$T$6,2,FALSE)))</f>
        <v/>
      </c>
      <c r="AJ21" s="545" t="str">
        <f t="shared" si="7"/>
        <v/>
      </c>
      <c r="AK21" s="149"/>
      <c r="AL21" s="150"/>
      <c r="AP21" s="31" t="str">
        <f>IFERROR(INDEX('G-6 Hedgerow Data'!$BJ$3:$BJ$15,MATCH(M21,'G-6 Hedgerow Data'!$B$3:$B$15,0)),"")</f>
        <v/>
      </c>
    </row>
    <row r="22" spans="2:42" ht="13.8" x14ac:dyDescent="0.25">
      <c r="B22" s="531" t="str">
        <f>'E-1 Off Site Hedge Baseline'!AK20</f>
        <v/>
      </c>
      <c r="C22" s="520" t="str">
        <f>IF(B22="","",IF(ISNA(VLOOKUP($B22,'E-1 Off Site Hedge Baseline'!$B$1:$L$257,3,FALSE)),"",(VLOOKUP($B22,'E-1 Off Site Hedge Baseline'!$B$1:$L$257,3,FALSE))))</f>
        <v/>
      </c>
      <c r="D22" s="520" t="str">
        <f>IF(B22="","",IF(ISNA(VLOOKUP($B22,'E-1 Off Site Hedge Baseline'!$B$1:$L$258,4,FALSE)),"",(VLOOKUP($B22,'E-1 Off Site Hedge Baseline'!$B$1:$L$258,4,FALSE))))</f>
        <v/>
      </c>
      <c r="E22" s="520" t="str">
        <f>IF(B22="","",IF(ISNA(VLOOKUP($B22,'E-1 Off Site Hedge Baseline'!$B$1:$L$257,5,FALSE)),"",(VLOOKUP($B22,'E-1 Off Site Hedge Baseline'!$B$1:$L$257,5,FALSE))))</f>
        <v/>
      </c>
      <c r="F22" s="520" t="str">
        <f>IF(B22="","",IF(ISNA(VLOOKUP($B22,'E-1 Off Site Hedge Baseline'!$B$1:$L$257,6,FALSE)),"",(VLOOKUP($B22,'E-1 Off Site Hedge Baseline'!$B$1:$L$257,6,FALSE))))</f>
        <v/>
      </c>
      <c r="G22" s="520" t="str">
        <f>IF(B22="","",IF(ISNA(VLOOKUP($B22,'E-1 Off Site Hedge Baseline'!$B$1:$L$257,7,FALSE)),"",(VLOOKUP($B22,'E-1 Off Site Hedge Baseline'!$B$1:$L$257,7,FALSE))))</f>
        <v/>
      </c>
      <c r="H22" s="520" t="str">
        <f>IF(B22="","",IF(ISNA(VLOOKUP($B22,'E-1 Off Site Hedge Baseline'!$B$1:$L$257,8,FALSE)),"",(VLOOKUP($B22,'E-1 Off Site Hedge Baseline'!$B$1:$L$257,8,FALSE))))</f>
        <v/>
      </c>
      <c r="I22" s="520" t="str">
        <f>IF(B22="","",IF(ISNA(VLOOKUP($B22,'E-1 Off Site Hedge Baseline'!$B$1:$L$257,10,FALSE)),"",(VLOOKUP($B22,'E-1 Off Site Hedge Baseline'!$B$1:$L$257,10,FALSE))))</f>
        <v/>
      </c>
      <c r="J22" s="520" t="str">
        <f>IF(B22="","",IF(ISNA(VLOOKUP($B22,'E-1 Off Site Hedge Baseline'!$B$1:$L$257,11,FALSE)),"",(VLOOKUP($B22,'E-1 Off Site Hedge Baseline'!$B$1:$L$257,11,FALSE))))</f>
        <v/>
      </c>
      <c r="K22" s="520" t="str">
        <f>IF(B22="","",IF(ISNA(VLOOKUP($B22,'E-1 Off Site Hedge Baseline'!$B$1:$U$257,113,FALSE)),"",(VLOOKUP($B22,'E-1 Off Site Hedge Baseline'!$B$1:$U$257,13,FALSE))))</f>
        <v/>
      </c>
      <c r="L22" s="507" t="str">
        <f>IF(B22="","",IF(ISNA(VLOOKUP($B22,'E-1 Off Site Hedge Baseline'!$B$1:$U$257,12,FALSE)),"",(VLOOKUP($B22,'E-1 Off Site Hedge Baseline'!$B$1:$U$257,12,FALSE))))</f>
        <v/>
      </c>
      <c r="M22" s="418" t="str">
        <f t="shared" si="8"/>
        <v/>
      </c>
      <c r="N22" s="498" t="str">
        <f>IFERROR(IF(B22="","",INDEX('G-6 Hedgerow Data'!$AN$3:$AZ$15,MATCH(C22,'G-6 Hedgerow Data'!$AM$3:$AM$15,0),MATCH(M22,'G-6 Hedgerow Data'!$AN$2:$AZ$2,0))),"")</f>
        <v/>
      </c>
      <c r="O22" s="499" t="str">
        <f t="shared" si="2"/>
        <v/>
      </c>
      <c r="P22" s="505" t="str">
        <f>IF(B22="","",VLOOKUP(B22,'E-1 Off Site Hedge Baseline'!$B$10:T267,16,FALSE))</f>
        <v/>
      </c>
      <c r="Q22" s="498" t="str">
        <f>IF(M22="","",VLOOKUP(M22,'G-6 Hedgerow Data'!$B$2:$AG$15,2,FALSE))</f>
        <v/>
      </c>
      <c r="R22" s="499" t="str">
        <f>IF(M22="","",VLOOKUP(M22,'G-6 Hedgerow Data'!$B$2:$AG$15,3,FALSE))</f>
        <v/>
      </c>
      <c r="S22" s="145"/>
      <c r="T22" s="499" t="str">
        <f>IFERROR(IF(AND(Q22="V.Low",OR(S22="Good",S22="Moderate")),"Error ▲",VLOOKUP(S22,'G-1 All Habitats'!$Z$2:$AA$9,2,FALSE)),"")</f>
        <v/>
      </c>
      <c r="U22" s="145"/>
      <c r="V22" s="507" t="str">
        <f>IF(U22="","",IF(VLOOKUP(U22,'G-3 Multipliers'!$L$3:$N$6,2,FALSE)=0,"Spatial Data Missing ⚠",VLOOKUP(U22,'G-3 Multipliers'!$L$3:$N$6,2,FALSE)))</f>
        <v/>
      </c>
      <c r="W22" s="505"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20" t="str">
        <f t="shared" si="5"/>
        <v/>
      </c>
      <c r="AF22" s="520" t="str">
        <f t="shared" si="6"/>
        <v/>
      </c>
      <c r="AG22" s="524" t="str">
        <f>IFERROR(IF(O22="","",VLOOKUP(AD22,'G-3 Multipliers'!$P$3:$Q$6,2,FALSE)),"")</f>
        <v/>
      </c>
      <c r="AH22" s="197"/>
      <c r="AI22" s="499" t="str">
        <f>IF(AH22="","",IF(VLOOKUP(AH22,'G-3 Multipliers'!$S$3:$T$6,2,FALSE)=0,"Spatial Data Missing ⚠",VLOOKUP(AH22,'G-3 Multipliers'!$S$3:$T$6,2,FALSE)))</f>
        <v/>
      </c>
      <c r="AJ22" s="545" t="str">
        <f t="shared" si="7"/>
        <v/>
      </c>
      <c r="AK22" s="149"/>
      <c r="AL22" s="150"/>
      <c r="AP22" s="31" t="str">
        <f>IFERROR(INDEX('G-6 Hedgerow Data'!$BJ$3:$BJ$15,MATCH(M22,'G-6 Hedgerow Data'!$B$3:$B$15,0)),"")</f>
        <v/>
      </c>
    </row>
    <row r="23" spans="2:42" ht="13.8" x14ac:dyDescent="0.25">
      <c r="B23" s="531" t="str">
        <f>'E-1 Off Site Hedge Baseline'!AK21</f>
        <v/>
      </c>
      <c r="C23" s="520" t="str">
        <f>IF(B23="","",IF(ISNA(VLOOKUP($B23,'E-1 Off Site Hedge Baseline'!$B$1:$L$257,3,FALSE)),"",(VLOOKUP($B23,'E-1 Off Site Hedge Baseline'!$B$1:$L$257,3,FALSE))))</f>
        <v/>
      </c>
      <c r="D23" s="520" t="str">
        <f>IF(B23="","",IF(ISNA(VLOOKUP($B23,'E-1 Off Site Hedge Baseline'!$B$1:$L$258,4,FALSE)),"",(VLOOKUP($B23,'E-1 Off Site Hedge Baseline'!$B$1:$L$258,4,FALSE))))</f>
        <v/>
      </c>
      <c r="E23" s="520" t="str">
        <f>IF(B23="","",IF(ISNA(VLOOKUP($B23,'E-1 Off Site Hedge Baseline'!$B$1:$L$257,5,FALSE)),"",(VLOOKUP($B23,'E-1 Off Site Hedge Baseline'!$B$1:$L$257,5,FALSE))))</f>
        <v/>
      </c>
      <c r="F23" s="520" t="str">
        <f>IF(B23="","",IF(ISNA(VLOOKUP($B23,'E-1 Off Site Hedge Baseline'!$B$1:$L$257,6,FALSE)),"",(VLOOKUP($B23,'E-1 Off Site Hedge Baseline'!$B$1:$L$257,6,FALSE))))</f>
        <v/>
      </c>
      <c r="G23" s="520" t="str">
        <f>IF(B23="","",IF(ISNA(VLOOKUP($B23,'E-1 Off Site Hedge Baseline'!$B$1:$L$257,7,FALSE)),"",(VLOOKUP($B23,'E-1 Off Site Hedge Baseline'!$B$1:$L$257,7,FALSE))))</f>
        <v/>
      </c>
      <c r="H23" s="520" t="str">
        <f>IF(B23="","",IF(ISNA(VLOOKUP($B23,'E-1 Off Site Hedge Baseline'!$B$1:$L$257,8,FALSE)),"",(VLOOKUP($B23,'E-1 Off Site Hedge Baseline'!$B$1:$L$257,8,FALSE))))</f>
        <v/>
      </c>
      <c r="I23" s="520" t="str">
        <f>IF(B23="","",IF(ISNA(VLOOKUP($B23,'E-1 Off Site Hedge Baseline'!$B$1:$L$257,10,FALSE)),"",(VLOOKUP($B23,'E-1 Off Site Hedge Baseline'!$B$1:$L$257,10,FALSE))))</f>
        <v/>
      </c>
      <c r="J23" s="520" t="str">
        <f>IF(B23="","",IF(ISNA(VLOOKUP($B23,'E-1 Off Site Hedge Baseline'!$B$1:$L$257,11,FALSE)),"",(VLOOKUP($B23,'E-1 Off Site Hedge Baseline'!$B$1:$L$257,11,FALSE))))</f>
        <v/>
      </c>
      <c r="K23" s="520" t="str">
        <f>IF(B23="","",IF(ISNA(VLOOKUP($B23,'E-1 Off Site Hedge Baseline'!$B$1:$U$257,113,FALSE)),"",(VLOOKUP($B23,'E-1 Off Site Hedge Baseline'!$B$1:$U$257,13,FALSE))))</f>
        <v/>
      </c>
      <c r="L23" s="507" t="str">
        <f>IF(B23="","",IF(ISNA(VLOOKUP($B23,'E-1 Off Site Hedge Baseline'!$B$1:$U$257,12,FALSE)),"",(VLOOKUP($B23,'E-1 Off Site Hedge Baseline'!$B$1:$U$257,12,FALSE))))</f>
        <v/>
      </c>
      <c r="M23" s="418" t="str">
        <f t="shared" si="8"/>
        <v/>
      </c>
      <c r="N23" s="498" t="str">
        <f>IFERROR(IF(B23="","",INDEX('G-6 Hedgerow Data'!$AN$3:$AZ$15,MATCH(C23,'G-6 Hedgerow Data'!$AM$3:$AM$15,0),MATCH(M23,'G-6 Hedgerow Data'!$AN$2:$AZ$2,0))),"")</f>
        <v/>
      </c>
      <c r="O23" s="499" t="str">
        <f t="shared" si="2"/>
        <v/>
      </c>
      <c r="P23" s="505" t="str">
        <f>IF(B23="","",VLOOKUP(B23,'E-1 Off Site Hedge Baseline'!$B$10:T268,16,FALSE))</f>
        <v/>
      </c>
      <c r="Q23" s="498" t="str">
        <f>IF(M23="","",VLOOKUP(M23,'G-6 Hedgerow Data'!$B$2:$AG$15,2,FALSE))</f>
        <v/>
      </c>
      <c r="R23" s="499" t="str">
        <f>IF(M23="","",VLOOKUP(M23,'G-6 Hedgerow Data'!$B$2:$AG$15,3,FALSE))</f>
        <v/>
      </c>
      <c r="S23" s="145"/>
      <c r="T23" s="499" t="str">
        <f>IFERROR(IF(AND(Q23="V.Low",OR(S23="Good",S23="Moderate")),"Error ▲",VLOOKUP(S23,'G-1 All Habitats'!$Z$2:$AA$9,2,FALSE)),"")</f>
        <v/>
      </c>
      <c r="U23" s="145"/>
      <c r="V23" s="507" t="str">
        <f>IF(U23="","",IF(VLOOKUP(U23,'G-3 Multipliers'!$L$3:$N$6,2,FALSE)=0,"Spatial Data Missing ⚠",VLOOKUP(U23,'G-3 Multipliers'!$L$3:$N$6,2,FALSE)))</f>
        <v/>
      </c>
      <c r="W23" s="505"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20" t="str">
        <f t="shared" si="5"/>
        <v/>
      </c>
      <c r="AF23" s="520" t="str">
        <f t="shared" si="6"/>
        <v/>
      </c>
      <c r="AG23" s="524" t="str">
        <f>IFERROR(IF(O23="","",VLOOKUP(AD23,'G-3 Multipliers'!$P$3:$Q$6,2,FALSE)),"")</f>
        <v/>
      </c>
      <c r="AH23" s="197"/>
      <c r="AI23" s="499" t="str">
        <f>IF(AH23="","",IF(VLOOKUP(AH23,'G-3 Multipliers'!$S$3:$T$6,2,FALSE)=0,"Spatial Data Missing ⚠",VLOOKUP(AH23,'G-3 Multipliers'!$S$3:$T$6,2,FALSE)))</f>
        <v/>
      </c>
      <c r="AJ23" s="545" t="str">
        <f t="shared" si="7"/>
        <v/>
      </c>
      <c r="AK23" s="149"/>
      <c r="AL23" s="150"/>
      <c r="AP23" s="31" t="str">
        <f>IFERROR(INDEX('G-6 Hedgerow Data'!$BJ$3:$BJ$15,MATCH(M23,'G-6 Hedgerow Data'!$B$3:$B$15,0)),"")</f>
        <v/>
      </c>
    </row>
    <row r="24" spans="2:42" ht="13.8" x14ac:dyDescent="0.25">
      <c r="B24" s="531" t="str">
        <f>'E-1 Off Site Hedge Baseline'!AK22</f>
        <v/>
      </c>
      <c r="C24" s="520" t="str">
        <f>IF(B24="","",IF(ISNA(VLOOKUP($B24,'E-1 Off Site Hedge Baseline'!$B$1:$L$257,3,FALSE)),"",(VLOOKUP($B24,'E-1 Off Site Hedge Baseline'!$B$1:$L$257,3,FALSE))))</f>
        <v/>
      </c>
      <c r="D24" s="520" t="str">
        <f>IF(B24="","",IF(ISNA(VLOOKUP($B24,'E-1 Off Site Hedge Baseline'!$B$1:$L$258,4,FALSE)),"",(VLOOKUP($B24,'E-1 Off Site Hedge Baseline'!$B$1:$L$258,4,FALSE))))</f>
        <v/>
      </c>
      <c r="E24" s="520" t="str">
        <f>IF(B24="","",IF(ISNA(VLOOKUP($B24,'E-1 Off Site Hedge Baseline'!$B$1:$L$257,5,FALSE)),"",(VLOOKUP($B24,'E-1 Off Site Hedge Baseline'!$B$1:$L$257,5,FALSE))))</f>
        <v/>
      </c>
      <c r="F24" s="520" t="str">
        <f>IF(B24="","",IF(ISNA(VLOOKUP($B24,'E-1 Off Site Hedge Baseline'!$B$1:$L$257,6,FALSE)),"",(VLOOKUP($B24,'E-1 Off Site Hedge Baseline'!$B$1:$L$257,6,FALSE))))</f>
        <v/>
      </c>
      <c r="G24" s="520" t="str">
        <f>IF(B24="","",IF(ISNA(VLOOKUP($B24,'E-1 Off Site Hedge Baseline'!$B$1:$L$257,7,FALSE)),"",(VLOOKUP($B24,'E-1 Off Site Hedge Baseline'!$B$1:$L$257,7,FALSE))))</f>
        <v/>
      </c>
      <c r="H24" s="520" t="str">
        <f>IF(B24="","",IF(ISNA(VLOOKUP($B24,'E-1 Off Site Hedge Baseline'!$B$1:$L$257,8,FALSE)),"",(VLOOKUP($B24,'E-1 Off Site Hedge Baseline'!$B$1:$L$257,8,FALSE))))</f>
        <v/>
      </c>
      <c r="I24" s="520" t="str">
        <f>IF(B24="","",IF(ISNA(VLOOKUP($B24,'E-1 Off Site Hedge Baseline'!$B$1:$L$257,10,FALSE)),"",(VLOOKUP($B24,'E-1 Off Site Hedge Baseline'!$B$1:$L$257,10,FALSE))))</f>
        <v/>
      </c>
      <c r="J24" s="520" t="str">
        <f>IF(B24="","",IF(ISNA(VLOOKUP($B24,'E-1 Off Site Hedge Baseline'!$B$1:$L$257,11,FALSE)),"",(VLOOKUP($B24,'E-1 Off Site Hedge Baseline'!$B$1:$L$257,11,FALSE))))</f>
        <v/>
      </c>
      <c r="K24" s="520" t="str">
        <f>IF(B24="","",IF(ISNA(VLOOKUP($B24,'E-1 Off Site Hedge Baseline'!$B$1:$U$257,113,FALSE)),"",(VLOOKUP($B24,'E-1 Off Site Hedge Baseline'!$B$1:$U$257,13,FALSE))))</f>
        <v/>
      </c>
      <c r="L24" s="507" t="str">
        <f>IF(B24="","",IF(ISNA(VLOOKUP($B24,'E-1 Off Site Hedge Baseline'!$B$1:$U$257,12,FALSE)),"",(VLOOKUP($B24,'E-1 Off Site Hedge Baseline'!$B$1:$U$257,12,FALSE))))</f>
        <v/>
      </c>
      <c r="M24" s="418" t="str">
        <f t="shared" si="8"/>
        <v/>
      </c>
      <c r="N24" s="498" t="str">
        <f>IFERROR(IF(B24="","",INDEX('G-6 Hedgerow Data'!$AN$3:$AZ$15,MATCH(C24,'G-6 Hedgerow Data'!$AM$3:$AM$15,0),MATCH(M24,'G-6 Hedgerow Data'!$AN$2:$AZ$2,0))),"")</f>
        <v/>
      </c>
      <c r="O24" s="499" t="str">
        <f t="shared" si="2"/>
        <v/>
      </c>
      <c r="P24" s="505" t="str">
        <f>IF(B24="","",VLOOKUP(B24,'E-1 Off Site Hedge Baseline'!$B$10:T269,16,FALSE))</f>
        <v/>
      </c>
      <c r="Q24" s="498" t="str">
        <f>IF(M24="","",VLOOKUP(M24,'G-6 Hedgerow Data'!$B$2:$AG$15,2,FALSE))</f>
        <v/>
      </c>
      <c r="R24" s="499" t="str">
        <f>IF(M24="","",VLOOKUP(M24,'G-6 Hedgerow Data'!$B$2:$AG$15,3,FALSE))</f>
        <v/>
      </c>
      <c r="S24" s="145"/>
      <c r="T24" s="499" t="str">
        <f>IFERROR(IF(AND(Q24="V.Low",OR(S24="Good",S24="Moderate")),"Error ▲",VLOOKUP(S24,'G-1 All Habitats'!$Z$2:$AA$9,2,FALSE)),"")</f>
        <v/>
      </c>
      <c r="U24" s="145"/>
      <c r="V24" s="507" t="str">
        <f>IF(U24="","",IF(VLOOKUP(U24,'G-3 Multipliers'!$L$3:$N$6,2,FALSE)=0,"Spatial Data Missing ⚠",VLOOKUP(U24,'G-3 Multipliers'!$L$3:$N$6,2,FALSE)))</f>
        <v/>
      </c>
      <c r="W24" s="505"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20" t="str">
        <f t="shared" si="5"/>
        <v/>
      </c>
      <c r="AF24" s="520" t="str">
        <f t="shared" si="6"/>
        <v/>
      </c>
      <c r="AG24" s="524" t="str">
        <f>IFERROR(IF(O24="","",VLOOKUP(AD24,'G-3 Multipliers'!$P$3:$Q$6,2,FALSE)),"")</f>
        <v/>
      </c>
      <c r="AH24" s="197"/>
      <c r="AI24" s="499" t="str">
        <f>IF(AH24="","",IF(VLOOKUP(AH24,'G-3 Multipliers'!$S$3:$T$6,2,FALSE)=0,"Spatial Data Missing ⚠",VLOOKUP(AH24,'G-3 Multipliers'!$S$3:$T$6,2,FALSE)))</f>
        <v/>
      </c>
      <c r="AJ24" s="545" t="str">
        <f t="shared" si="7"/>
        <v/>
      </c>
      <c r="AK24" s="149"/>
      <c r="AL24" s="150"/>
      <c r="AP24" s="31" t="str">
        <f>IFERROR(INDEX('G-6 Hedgerow Data'!$BJ$3:$BJ$15,MATCH(M24,'G-6 Hedgerow Data'!$B$3:$B$15,0)),"")</f>
        <v/>
      </c>
    </row>
    <row r="25" spans="2:42" ht="13.8" x14ac:dyDescent="0.25">
      <c r="B25" s="531" t="str">
        <f>'E-1 Off Site Hedge Baseline'!AK23</f>
        <v/>
      </c>
      <c r="C25" s="520" t="str">
        <f>IF(B25="","",IF(ISNA(VLOOKUP($B25,'E-1 Off Site Hedge Baseline'!$B$1:$L$257,3,FALSE)),"",(VLOOKUP($B25,'E-1 Off Site Hedge Baseline'!$B$1:$L$257,3,FALSE))))</f>
        <v/>
      </c>
      <c r="D25" s="520" t="str">
        <f>IF(B25="","",IF(ISNA(VLOOKUP($B25,'E-1 Off Site Hedge Baseline'!$B$1:$L$258,4,FALSE)),"",(VLOOKUP($B25,'E-1 Off Site Hedge Baseline'!$B$1:$L$258,4,FALSE))))</f>
        <v/>
      </c>
      <c r="E25" s="520" t="str">
        <f>IF(B25="","",IF(ISNA(VLOOKUP($B25,'E-1 Off Site Hedge Baseline'!$B$1:$L$257,5,FALSE)),"",(VLOOKUP($B25,'E-1 Off Site Hedge Baseline'!$B$1:$L$257,5,FALSE))))</f>
        <v/>
      </c>
      <c r="F25" s="520" t="str">
        <f>IF(B25="","",IF(ISNA(VLOOKUP($B25,'E-1 Off Site Hedge Baseline'!$B$1:$L$257,6,FALSE)),"",(VLOOKUP($B25,'E-1 Off Site Hedge Baseline'!$B$1:$L$257,6,FALSE))))</f>
        <v/>
      </c>
      <c r="G25" s="520" t="str">
        <f>IF(B25="","",IF(ISNA(VLOOKUP($B25,'E-1 Off Site Hedge Baseline'!$B$1:$L$257,7,FALSE)),"",(VLOOKUP($B25,'E-1 Off Site Hedge Baseline'!$B$1:$L$257,7,FALSE))))</f>
        <v/>
      </c>
      <c r="H25" s="520" t="str">
        <f>IF(B25="","",IF(ISNA(VLOOKUP($B25,'E-1 Off Site Hedge Baseline'!$B$1:$L$257,8,FALSE)),"",(VLOOKUP($B25,'E-1 Off Site Hedge Baseline'!$B$1:$L$257,8,FALSE))))</f>
        <v/>
      </c>
      <c r="I25" s="520" t="str">
        <f>IF(B25="","",IF(ISNA(VLOOKUP($B25,'E-1 Off Site Hedge Baseline'!$B$1:$L$257,10,FALSE)),"",(VLOOKUP($B25,'E-1 Off Site Hedge Baseline'!$B$1:$L$257,10,FALSE))))</f>
        <v/>
      </c>
      <c r="J25" s="520" t="str">
        <f>IF(B25="","",IF(ISNA(VLOOKUP($B25,'E-1 Off Site Hedge Baseline'!$B$1:$L$257,11,FALSE)),"",(VLOOKUP($B25,'E-1 Off Site Hedge Baseline'!$B$1:$L$257,11,FALSE))))</f>
        <v/>
      </c>
      <c r="K25" s="520" t="str">
        <f>IF(B25="","",IF(ISNA(VLOOKUP($B25,'E-1 Off Site Hedge Baseline'!$B$1:$U$257,113,FALSE)),"",(VLOOKUP($B25,'E-1 Off Site Hedge Baseline'!$B$1:$U$257,13,FALSE))))</f>
        <v/>
      </c>
      <c r="L25" s="507" t="str">
        <f>IF(B25="","",IF(ISNA(VLOOKUP($B25,'E-1 Off Site Hedge Baseline'!$B$1:$U$257,12,FALSE)),"",(VLOOKUP($B25,'E-1 Off Site Hedge Baseline'!$B$1:$U$257,12,FALSE))))</f>
        <v/>
      </c>
      <c r="M25" s="418" t="str">
        <f t="shared" si="8"/>
        <v/>
      </c>
      <c r="N25" s="498" t="str">
        <f>IFERROR(IF(B25="","",INDEX('G-6 Hedgerow Data'!$AN$3:$AZ$15,MATCH(C25,'G-6 Hedgerow Data'!$AM$3:$AM$15,0),MATCH(M25,'G-6 Hedgerow Data'!$AN$2:$AZ$2,0))),"")</f>
        <v/>
      </c>
      <c r="O25" s="499" t="str">
        <f t="shared" si="2"/>
        <v/>
      </c>
      <c r="P25" s="505" t="str">
        <f>IF(B25="","",VLOOKUP(B25,'E-1 Off Site Hedge Baseline'!$B$10:T270,16,FALSE))</f>
        <v/>
      </c>
      <c r="Q25" s="498" t="str">
        <f>IF(M25="","",VLOOKUP(M25,'G-6 Hedgerow Data'!$B$2:$AG$15,2,FALSE))</f>
        <v/>
      </c>
      <c r="R25" s="499" t="str">
        <f>IF(M25="","",VLOOKUP(M25,'G-6 Hedgerow Data'!$B$2:$AG$15,3,FALSE))</f>
        <v/>
      </c>
      <c r="S25" s="145"/>
      <c r="T25" s="499" t="str">
        <f>IFERROR(IF(AND(Q25="V.Low",OR(S25="Good",S25="Moderate")),"Error ▲",VLOOKUP(S25,'G-1 All Habitats'!$Z$2:$AA$9,2,FALSE)),"")</f>
        <v/>
      </c>
      <c r="U25" s="145"/>
      <c r="V25" s="507" t="str">
        <f>IF(U25="","",IF(VLOOKUP(U25,'G-3 Multipliers'!$L$3:$N$6,2,FALSE)=0,"Spatial Data Missing ⚠",VLOOKUP(U25,'G-3 Multipliers'!$L$3:$N$6,2,FALSE)))</f>
        <v/>
      </c>
      <c r="W25" s="505"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20" t="str">
        <f t="shared" si="5"/>
        <v/>
      </c>
      <c r="AF25" s="520" t="str">
        <f t="shared" si="6"/>
        <v/>
      </c>
      <c r="AG25" s="524" t="str">
        <f>IFERROR(IF(O25="","",VLOOKUP(AD25,'G-3 Multipliers'!$P$3:$Q$6,2,FALSE)),"")</f>
        <v/>
      </c>
      <c r="AH25" s="197"/>
      <c r="AI25" s="499" t="str">
        <f>IF(AH25="","",IF(VLOOKUP(AH25,'G-3 Multipliers'!$S$3:$T$6,2,FALSE)=0,"Spatial Data Missing ⚠",VLOOKUP(AH25,'G-3 Multipliers'!$S$3:$T$6,2,FALSE)))</f>
        <v/>
      </c>
      <c r="AJ25" s="545" t="str">
        <f t="shared" si="7"/>
        <v/>
      </c>
      <c r="AK25" s="149"/>
      <c r="AL25" s="150"/>
      <c r="AP25" s="31" t="str">
        <f>IFERROR(INDEX('G-6 Hedgerow Data'!$BJ$3:$BJ$15,MATCH(M25,'G-6 Hedgerow Data'!$B$3:$B$15,0)),"")</f>
        <v/>
      </c>
    </row>
    <row r="26" spans="2:42" ht="13.8" x14ac:dyDescent="0.25">
      <c r="B26" s="531" t="str">
        <f>'E-1 Off Site Hedge Baseline'!AK24</f>
        <v/>
      </c>
      <c r="C26" s="520" t="str">
        <f>IF(B26="","",IF(ISNA(VLOOKUP($B26,'E-1 Off Site Hedge Baseline'!$B$1:$L$257,3,FALSE)),"",(VLOOKUP($B26,'E-1 Off Site Hedge Baseline'!$B$1:$L$257,3,FALSE))))</f>
        <v/>
      </c>
      <c r="D26" s="520" t="str">
        <f>IF(B26="","",IF(ISNA(VLOOKUP($B26,'E-1 Off Site Hedge Baseline'!$B$1:$L$258,4,FALSE)),"",(VLOOKUP($B26,'E-1 Off Site Hedge Baseline'!$B$1:$L$258,4,FALSE))))</f>
        <v/>
      </c>
      <c r="E26" s="520" t="str">
        <f>IF(B26="","",IF(ISNA(VLOOKUP($B26,'E-1 Off Site Hedge Baseline'!$B$1:$L$257,5,FALSE)),"",(VLOOKUP($B26,'E-1 Off Site Hedge Baseline'!$B$1:$L$257,5,FALSE))))</f>
        <v/>
      </c>
      <c r="F26" s="520" t="str">
        <f>IF(B26="","",IF(ISNA(VLOOKUP($B26,'E-1 Off Site Hedge Baseline'!$B$1:$L$257,6,FALSE)),"",(VLOOKUP($B26,'E-1 Off Site Hedge Baseline'!$B$1:$L$257,6,FALSE))))</f>
        <v/>
      </c>
      <c r="G26" s="520" t="str">
        <f>IF(B26="","",IF(ISNA(VLOOKUP($B26,'E-1 Off Site Hedge Baseline'!$B$1:$L$257,7,FALSE)),"",(VLOOKUP($B26,'E-1 Off Site Hedge Baseline'!$B$1:$L$257,7,FALSE))))</f>
        <v/>
      </c>
      <c r="H26" s="520" t="str">
        <f>IF(B26="","",IF(ISNA(VLOOKUP($B26,'E-1 Off Site Hedge Baseline'!$B$1:$L$257,8,FALSE)),"",(VLOOKUP($B26,'E-1 Off Site Hedge Baseline'!$B$1:$L$257,8,FALSE))))</f>
        <v/>
      </c>
      <c r="I26" s="520" t="str">
        <f>IF(B26="","",IF(ISNA(VLOOKUP($B26,'E-1 Off Site Hedge Baseline'!$B$1:$L$257,10,FALSE)),"",(VLOOKUP($B26,'E-1 Off Site Hedge Baseline'!$B$1:$L$257,10,FALSE))))</f>
        <v/>
      </c>
      <c r="J26" s="520" t="str">
        <f>IF(B26="","",IF(ISNA(VLOOKUP($B26,'E-1 Off Site Hedge Baseline'!$B$1:$L$257,11,FALSE)),"",(VLOOKUP($B26,'E-1 Off Site Hedge Baseline'!$B$1:$L$257,11,FALSE))))</f>
        <v/>
      </c>
      <c r="K26" s="520" t="str">
        <f>IF(B26="","",IF(ISNA(VLOOKUP($B26,'E-1 Off Site Hedge Baseline'!$B$1:$U$257,113,FALSE)),"",(VLOOKUP($B26,'E-1 Off Site Hedge Baseline'!$B$1:$U$257,13,FALSE))))</f>
        <v/>
      </c>
      <c r="L26" s="507" t="str">
        <f>IF(B26="","",IF(ISNA(VLOOKUP($B26,'E-1 Off Site Hedge Baseline'!$B$1:$U$257,12,FALSE)),"",(VLOOKUP($B26,'E-1 Off Site Hedge Baseline'!$B$1:$U$257,12,FALSE))))</f>
        <v/>
      </c>
      <c r="M26" s="418" t="str">
        <f t="shared" si="8"/>
        <v/>
      </c>
      <c r="N26" s="498" t="str">
        <f>IFERROR(IF(B26="","",INDEX('G-6 Hedgerow Data'!$AN$3:$AZ$15,MATCH(C26,'G-6 Hedgerow Data'!$AM$3:$AM$15,0),MATCH(M26,'G-6 Hedgerow Data'!$AN$2:$AZ$2,0))),"")</f>
        <v/>
      </c>
      <c r="O26" s="499" t="str">
        <f t="shared" si="2"/>
        <v/>
      </c>
      <c r="P26" s="505" t="str">
        <f>IF(B26="","",VLOOKUP(B26,'E-1 Off Site Hedge Baseline'!$B$10:T271,16,FALSE))</f>
        <v/>
      </c>
      <c r="Q26" s="498" t="str">
        <f>IF(M26="","",VLOOKUP(M26,'G-6 Hedgerow Data'!$B$2:$AG$15,2,FALSE))</f>
        <v/>
      </c>
      <c r="R26" s="499" t="str">
        <f>IF(M26="","",VLOOKUP(M26,'G-6 Hedgerow Data'!$B$2:$AG$15,3,FALSE))</f>
        <v/>
      </c>
      <c r="S26" s="145"/>
      <c r="T26" s="499" t="str">
        <f>IFERROR(IF(AND(Q26="V.Low",OR(S26="Good",S26="Moderate")),"Error ▲",VLOOKUP(S26,'G-1 All Habitats'!$Z$2:$AA$9,2,FALSE)),"")</f>
        <v/>
      </c>
      <c r="U26" s="145"/>
      <c r="V26" s="507" t="str">
        <f>IF(U26="","",IF(VLOOKUP(U26,'G-3 Multipliers'!$L$3:$N$6,2,FALSE)=0,"Spatial Data Missing ⚠",VLOOKUP(U26,'G-3 Multipliers'!$L$3:$N$6,2,FALSE)))</f>
        <v/>
      </c>
      <c r="W26" s="505"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20" t="str">
        <f t="shared" si="5"/>
        <v/>
      </c>
      <c r="AF26" s="520" t="str">
        <f t="shared" si="6"/>
        <v/>
      </c>
      <c r="AG26" s="524" t="str">
        <f>IFERROR(IF(O26="","",VLOOKUP(AD26,'G-3 Multipliers'!$P$3:$Q$6,2,FALSE)),"")</f>
        <v/>
      </c>
      <c r="AH26" s="197"/>
      <c r="AI26" s="499" t="str">
        <f>IF(AH26="","",IF(VLOOKUP(AH26,'G-3 Multipliers'!$S$3:$T$6,2,FALSE)=0,"Spatial Data Missing ⚠",VLOOKUP(AH26,'G-3 Multipliers'!$S$3:$T$6,2,FALSE)))</f>
        <v/>
      </c>
      <c r="AJ26" s="545" t="str">
        <f t="shared" si="7"/>
        <v/>
      </c>
      <c r="AK26" s="149"/>
      <c r="AL26" s="150"/>
      <c r="AP26" s="31" t="str">
        <f>IFERROR(INDEX('G-6 Hedgerow Data'!$BJ$3:$BJ$15,MATCH(M26,'G-6 Hedgerow Data'!$B$3:$B$15,0)),"")</f>
        <v/>
      </c>
    </row>
    <row r="27" spans="2:42" ht="13.8" x14ac:dyDescent="0.25">
      <c r="B27" s="531" t="str">
        <f>'E-1 Off Site Hedge Baseline'!AK25</f>
        <v/>
      </c>
      <c r="C27" s="520" t="str">
        <f>IF(B27="","",IF(ISNA(VLOOKUP($B27,'E-1 Off Site Hedge Baseline'!$B$1:$L$257,3,FALSE)),"",(VLOOKUP($B27,'E-1 Off Site Hedge Baseline'!$B$1:$L$257,3,FALSE))))</f>
        <v/>
      </c>
      <c r="D27" s="520" t="str">
        <f>IF(B27="","",IF(ISNA(VLOOKUP($B27,'E-1 Off Site Hedge Baseline'!$B$1:$L$258,4,FALSE)),"",(VLOOKUP($B27,'E-1 Off Site Hedge Baseline'!$B$1:$L$258,4,FALSE))))</f>
        <v/>
      </c>
      <c r="E27" s="520" t="str">
        <f>IF(B27="","",IF(ISNA(VLOOKUP($B27,'E-1 Off Site Hedge Baseline'!$B$1:$L$257,5,FALSE)),"",(VLOOKUP($B27,'E-1 Off Site Hedge Baseline'!$B$1:$L$257,5,FALSE))))</f>
        <v/>
      </c>
      <c r="F27" s="520" t="str">
        <f>IF(B27="","",IF(ISNA(VLOOKUP($B27,'E-1 Off Site Hedge Baseline'!$B$1:$L$257,6,FALSE)),"",(VLOOKUP($B27,'E-1 Off Site Hedge Baseline'!$B$1:$L$257,6,FALSE))))</f>
        <v/>
      </c>
      <c r="G27" s="520" t="str">
        <f>IF(B27="","",IF(ISNA(VLOOKUP($B27,'E-1 Off Site Hedge Baseline'!$B$1:$L$257,7,FALSE)),"",(VLOOKUP($B27,'E-1 Off Site Hedge Baseline'!$B$1:$L$257,7,FALSE))))</f>
        <v/>
      </c>
      <c r="H27" s="520" t="str">
        <f>IF(B27="","",IF(ISNA(VLOOKUP($B27,'E-1 Off Site Hedge Baseline'!$B$1:$L$257,8,FALSE)),"",(VLOOKUP($B27,'E-1 Off Site Hedge Baseline'!$B$1:$L$257,8,FALSE))))</f>
        <v/>
      </c>
      <c r="I27" s="520" t="str">
        <f>IF(B27="","",IF(ISNA(VLOOKUP($B27,'E-1 Off Site Hedge Baseline'!$B$1:$L$257,10,FALSE)),"",(VLOOKUP($B27,'E-1 Off Site Hedge Baseline'!$B$1:$L$257,10,FALSE))))</f>
        <v/>
      </c>
      <c r="J27" s="520" t="str">
        <f>IF(B27="","",IF(ISNA(VLOOKUP($B27,'E-1 Off Site Hedge Baseline'!$B$1:$L$257,11,FALSE)),"",(VLOOKUP($B27,'E-1 Off Site Hedge Baseline'!$B$1:$L$257,11,FALSE))))</f>
        <v/>
      </c>
      <c r="K27" s="520" t="str">
        <f>IF(B27="","",IF(ISNA(VLOOKUP($B27,'E-1 Off Site Hedge Baseline'!$B$1:$U$257,113,FALSE)),"",(VLOOKUP($B27,'E-1 Off Site Hedge Baseline'!$B$1:$U$257,13,FALSE))))</f>
        <v/>
      </c>
      <c r="L27" s="507" t="str">
        <f>IF(B27="","",IF(ISNA(VLOOKUP($B27,'E-1 Off Site Hedge Baseline'!$B$1:$U$257,12,FALSE)),"",(VLOOKUP($B27,'E-1 Off Site Hedge Baseline'!$B$1:$U$257,12,FALSE))))</f>
        <v/>
      </c>
      <c r="M27" s="418" t="str">
        <f t="shared" si="8"/>
        <v/>
      </c>
      <c r="N27" s="498" t="str">
        <f>IFERROR(IF(B27="","",INDEX('G-6 Hedgerow Data'!$AN$3:$AZ$15,MATCH(C27,'G-6 Hedgerow Data'!$AM$3:$AM$15,0),MATCH(M27,'G-6 Hedgerow Data'!$AN$2:$AZ$2,0))),"")</f>
        <v/>
      </c>
      <c r="O27" s="499" t="str">
        <f t="shared" si="2"/>
        <v/>
      </c>
      <c r="P27" s="505" t="str">
        <f>IF(B27="","",VLOOKUP(B27,'E-1 Off Site Hedge Baseline'!$B$10:T272,16,FALSE))</f>
        <v/>
      </c>
      <c r="Q27" s="498" t="str">
        <f>IF(M27="","",VLOOKUP(M27,'G-6 Hedgerow Data'!$B$2:$AG$15,2,FALSE))</f>
        <v/>
      </c>
      <c r="R27" s="499" t="str">
        <f>IF(M27="","",VLOOKUP(M27,'G-6 Hedgerow Data'!$B$2:$AG$15,3,FALSE))</f>
        <v/>
      </c>
      <c r="S27" s="145"/>
      <c r="T27" s="499" t="str">
        <f>IFERROR(IF(AND(Q27="V.Low",OR(S27="Good",S27="Moderate")),"Error ▲",VLOOKUP(S27,'G-1 All Habitats'!$Z$2:$AA$9,2,FALSE)),"")</f>
        <v/>
      </c>
      <c r="U27" s="145"/>
      <c r="V27" s="507" t="str">
        <f>IF(U27="","",IF(VLOOKUP(U27,'G-3 Multipliers'!$L$3:$N$6,2,FALSE)=0,"Spatial Data Missing ⚠",VLOOKUP(U27,'G-3 Multipliers'!$L$3:$N$6,2,FALSE)))</f>
        <v/>
      </c>
      <c r="W27" s="505"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20" t="str">
        <f t="shared" si="5"/>
        <v/>
      </c>
      <c r="AF27" s="520" t="str">
        <f t="shared" si="6"/>
        <v/>
      </c>
      <c r="AG27" s="524" t="str">
        <f>IFERROR(IF(O27="","",VLOOKUP(AD27,'G-3 Multipliers'!$P$3:$Q$6,2,FALSE)),"")</f>
        <v/>
      </c>
      <c r="AH27" s="197"/>
      <c r="AI27" s="499" t="str">
        <f>IF(AH27="","",IF(VLOOKUP(AH27,'G-3 Multipliers'!$S$3:$T$6,2,FALSE)=0,"Spatial Data Missing ⚠",VLOOKUP(AH27,'G-3 Multipliers'!$S$3:$T$6,2,FALSE)))</f>
        <v/>
      </c>
      <c r="AJ27" s="545" t="str">
        <f t="shared" si="7"/>
        <v/>
      </c>
      <c r="AK27" s="149"/>
      <c r="AL27" s="150"/>
      <c r="AP27" s="31" t="str">
        <f>IFERROR(INDEX('G-6 Hedgerow Data'!$BJ$3:$BJ$15,MATCH(M27,'G-6 Hedgerow Data'!$B$3:$B$15,0)),"")</f>
        <v/>
      </c>
    </row>
    <row r="28" spans="2:42" ht="13.8" x14ac:dyDescent="0.25">
      <c r="B28" s="531" t="str">
        <f>'E-1 Off Site Hedge Baseline'!AK26</f>
        <v/>
      </c>
      <c r="C28" s="520" t="str">
        <f>IF(B28="","",IF(ISNA(VLOOKUP($B28,'E-1 Off Site Hedge Baseline'!$B$1:$L$257,3,FALSE)),"",(VLOOKUP($B28,'E-1 Off Site Hedge Baseline'!$B$1:$L$257,3,FALSE))))</f>
        <v/>
      </c>
      <c r="D28" s="520" t="str">
        <f>IF(B28="","",IF(ISNA(VLOOKUP($B28,'E-1 Off Site Hedge Baseline'!$B$1:$L$258,4,FALSE)),"",(VLOOKUP($B28,'E-1 Off Site Hedge Baseline'!$B$1:$L$258,4,FALSE))))</f>
        <v/>
      </c>
      <c r="E28" s="520" t="str">
        <f>IF(B28="","",IF(ISNA(VLOOKUP($B28,'E-1 Off Site Hedge Baseline'!$B$1:$L$257,5,FALSE)),"",(VLOOKUP($B28,'E-1 Off Site Hedge Baseline'!$B$1:$L$257,5,FALSE))))</f>
        <v/>
      </c>
      <c r="F28" s="520" t="str">
        <f>IF(B28="","",IF(ISNA(VLOOKUP($B28,'E-1 Off Site Hedge Baseline'!$B$1:$L$257,6,FALSE)),"",(VLOOKUP($B28,'E-1 Off Site Hedge Baseline'!$B$1:$L$257,6,FALSE))))</f>
        <v/>
      </c>
      <c r="G28" s="520" t="str">
        <f>IF(B28="","",IF(ISNA(VLOOKUP($B28,'E-1 Off Site Hedge Baseline'!$B$1:$L$257,7,FALSE)),"",(VLOOKUP($B28,'E-1 Off Site Hedge Baseline'!$B$1:$L$257,7,FALSE))))</f>
        <v/>
      </c>
      <c r="H28" s="520" t="str">
        <f>IF(B28="","",IF(ISNA(VLOOKUP($B28,'E-1 Off Site Hedge Baseline'!$B$1:$L$257,8,FALSE)),"",(VLOOKUP($B28,'E-1 Off Site Hedge Baseline'!$B$1:$L$257,8,FALSE))))</f>
        <v/>
      </c>
      <c r="I28" s="520" t="str">
        <f>IF(B28="","",IF(ISNA(VLOOKUP($B28,'E-1 Off Site Hedge Baseline'!$B$1:$L$257,10,FALSE)),"",(VLOOKUP($B28,'E-1 Off Site Hedge Baseline'!$B$1:$L$257,10,FALSE))))</f>
        <v/>
      </c>
      <c r="J28" s="520" t="str">
        <f>IF(B28="","",IF(ISNA(VLOOKUP($B28,'E-1 Off Site Hedge Baseline'!$B$1:$L$257,11,FALSE)),"",(VLOOKUP($B28,'E-1 Off Site Hedge Baseline'!$B$1:$L$257,11,FALSE))))</f>
        <v/>
      </c>
      <c r="K28" s="520" t="str">
        <f>IF(B28="","",IF(ISNA(VLOOKUP($B28,'E-1 Off Site Hedge Baseline'!$B$1:$U$257,113,FALSE)),"",(VLOOKUP($B28,'E-1 Off Site Hedge Baseline'!$B$1:$U$257,13,FALSE))))</f>
        <v/>
      </c>
      <c r="L28" s="507" t="str">
        <f>IF(B28="","",IF(ISNA(VLOOKUP($B28,'E-1 Off Site Hedge Baseline'!$B$1:$U$257,12,FALSE)),"",(VLOOKUP($B28,'E-1 Off Site Hedge Baseline'!$B$1:$U$257,12,FALSE))))</f>
        <v/>
      </c>
      <c r="M28" s="418" t="str">
        <f t="shared" si="8"/>
        <v/>
      </c>
      <c r="N28" s="498" t="str">
        <f>IFERROR(IF(B28="","",INDEX('G-6 Hedgerow Data'!$AN$3:$AZ$15,MATCH(C28,'G-6 Hedgerow Data'!$AM$3:$AM$15,0),MATCH(M28,'G-6 Hedgerow Data'!$AN$2:$AZ$2,0))),"")</f>
        <v/>
      </c>
      <c r="O28" s="499" t="str">
        <f t="shared" si="2"/>
        <v/>
      </c>
      <c r="P28" s="505" t="str">
        <f>IF(B28="","",VLOOKUP(B28,'E-1 Off Site Hedge Baseline'!$B$10:T273,16,FALSE))</f>
        <v/>
      </c>
      <c r="Q28" s="498" t="str">
        <f>IF(M28="","",VLOOKUP(M28,'G-6 Hedgerow Data'!$B$2:$AG$15,2,FALSE))</f>
        <v/>
      </c>
      <c r="R28" s="499" t="str">
        <f>IF(M28="","",VLOOKUP(M28,'G-6 Hedgerow Data'!$B$2:$AG$15,3,FALSE))</f>
        <v/>
      </c>
      <c r="S28" s="145"/>
      <c r="T28" s="499" t="str">
        <f>IFERROR(IF(AND(Q28="V.Low",OR(S28="Good",S28="Moderate")),"Error ▲",VLOOKUP(S28,'G-1 All Habitats'!$Z$2:$AA$9,2,FALSE)),"")</f>
        <v/>
      </c>
      <c r="U28" s="145"/>
      <c r="V28" s="507" t="str">
        <f>IF(U28="","",IF(VLOOKUP(U28,'G-3 Multipliers'!$L$3:$N$6,2,FALSE)=0,"Spatial Data Missing ⚠",VLOOKUP(U28,'G-3 Multipliers'!$L$3:$N$6,2,FALSE)))</f>
        <v/>
      </c>
      <c r="W28" s="505"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20" t="str">
        <f t="shared" si="5"/>
        <v/>
      </c>
      <c r="AF28" s="520" t="str">
        <f t="shared" si="6"/>
        <v/>
      </c>
      <c r="AG28" s="524" t="str">
        <f>IFERROR(IF(O28="","",VLOOKUP(AD28,'G-3 Multipliers'!$P$3:$Q$6,2,FALSE)),"")</f>
        <v/>
      </c>
      <c r="AH28" s="197"/>
      <c r="AI28" s="499" t="str">
        <f>IF(AH28="","",IF(VLOOKUP(AH28,'G-3 Multipliers'!$S$3:$T$6,2,FALSE)=0,"Spatial Data Missing ⚠",VLOOKUP(AH28,'G-3 Multipliers'!$S$3:$T$6,2,FALSE)))</f>
        <v/>
      </c>
      <c r="AJ28" s="545" t="str">
        <f t="shared" si="7"/>
        <v/>
      </c>
      <c r="AK28" s="149"/>
      <c r="AL28" s="150"/>
      <c r="AP28" s="31" t="str">
        <f>IFERROR(INDEX('G-6 Hedgerow Data'!$BJ$3:$BJ$15,MATCH(M28,'G-6 Hedgerow Data'!$B$3:$B$15,0)),"")</f>
        <v/>
      </c>
    </row>
    <row r="29" spans="2:42" ht="13.8" x14ac:dyDescent="0.25">
      <c r="B29" s="531" t="str">
        <f>'E-1 Off Site Hedge Baseline'!AK27</f>
        <v/>
      </c>
      <c r="C29" s="520" t="str">
        <f>IF(B29="","",IF(ISNA(VLOOKUP($B29,'E-1 Off Site Hedge Baseline'!$B$1:$L$257,3,FALSE)),"",(VLOOKUP($B29,'E-1 Off Site Hedge Baseline'!$B$1:$L$257,3,FALSE))))</f>
        <v/>
      </c>
      <c r="D29" s="520" t="str">
        <f>IF(B29="","",IF(ISNA(VLOOKUP($B29,'E-1 Off Site Hedge Baseline'!$B$1:$L$258,4,FALSE)),"",(VLOOKUP($B29,'E-1 Off Site Hedge Baseline'!$B$1:$L$258,4,FALSE))))</f>
        <v/>
      </c>
      <c r="E29" s="520" t="str">
        <f>IF(B29="","",IF(ISNA(VLOOKUP($B29,'E-1 Off Site Hedge Baseline'!$B$1:$L$257,5,FALSE)),"",(VLOOKUP($B29,'E-1 Off Site Hedge Baseline'!$B$1:$L$257,5,FALSE))))</f>
        <v/>
      </c>
      <c r="F29" s="520" t="str">
        <f>IF(B29="","",IF(ISNA(VLOOKUP($B29,'E-1 Off Site Hedge Baseline'!$B$1:$L$257,6,FALSE)),"",(VLOOKUP($B29,'E-1 Off Site Hedge Baseline'!$B$1:$L$257,6,FALSE))))</f>
        <v/>
      </c>
      <c r="G29" s="520" t="str">
        <f>IF(B29="","",IF(ISNA(VLOOKUP($B29,'E-1 Off Site Hedge Baseline'!$B$1:$L$257,7,FALSE)),"",(VLOOKUP($B29,'E-1 Off Site Hedge Baseline'!$B$1:$L$257,7,FALSE))))</f>
        <v/>
      </c>
      <c r="H29" s="520" t="str">
        <f>IF(B29="","",IF(ISNA(VLOOKUP($B29,'E-1 Off Site Hedge Baseline'!$B$1:$L$257,8,FALSE)),"",(VLOOKUP($B29,'E-1 Off Site Hedge Baseline'!$B$1:$L$257,8,FALSE))))</f>
        <v/>
      </c>
      <c r="I29" s="520" t="str">
        <f>IF(B29="","",IF(ISNA(VLOOKUP($B29,'E-1 Off Site Hedge Baseline'!$B$1:$L$257,10,FALSE)),"",(VLOOKUP($B29,'E-1 Off Site Hedge Baseline'!$B$1:$L$257,10,FALSE))))</f>
        <v/>
      </c>
      <c r="J29" s="520" t="str">
        <f>IF(B29="","",IF(ISNA(VLOOKUP($B29,'E-1 Off Site Hedge Baseline'!$B$1:$L$257,11,FALSE)),"",(VLOOKUP($B29,'E-1 Off Site Hedge Baseline'!$B$1:$L$257,11,FALSE))))</f>
        <v/>
      </c>
      <c r="K29" s="520" t="str">
        <f>IF(B29="","",IF(ISNA(VLOOKUP($B29,'E-1 Off Site Hedge Baseline'!$B$1:$U$257,113,FALSE)),"",(VLOOKUP($B29,'E-1 Off Site Hedge Baseline'!$B$1:$U$257,13,FALSE))))</f>
        <v/>
      </c>
      <c r="L29" s="507" t="str">
        <f>IF(B29="","",IF(ISNA(VLOOKUP($B29,'E-1 Off Site Hedge Baseline'!$B$1:$U$257,12,FALSE)),"",(VLOOKUP($B29,'E-1 Off Site Hedge Baseline'!$B$1:$U$257,12,FALSE))))</f>
        <v/>
      </c>
      <c r="M29" s="418" t="str">
        <f t="shared" si="8"/>
        <v/>
      </c>
      <c r="N29" s="498" t="str">
        <f>IFERROR(IF(B29="","",INDEX('G-6 Hedgerow Data'!$AN$3:$AZ$15,MATCH(C29,'G-6 Hedgerow Data'!$AM$3:$AM$15,0),MATCH(M29,'G-6 Hedgerow Data'!$AN$2:$AZ$2,0))),"")</f>
        <v/>
      </c>
      <c r="O29" s="499" t="str">
        <f t="shared" si="2"/>
        <v/>
      </c>
      <c r="P29" s="505" t="str">
        <f>IF(B29="","",VLOOKUP(B29,'E-1 Off Site Hedge Baseline'!$B$10:T274,16,FALSE))</f>
        <v/>
      </c>
      <c r="Q29" s="498" t="str">
        <f>IF(M29="","",VLOOKUP(M29,'G-6 Hedgerow Data'!$B$2:$AG$15,2,FALSE))</f>
        <v/>
      </c>
      <c r="R29" s="499" t="str">
        <f>IF(M29="","",VLOOKUP(M29,'G-6 Hedgerow Data'!$B$2:$AG$15,3,FALSE))</f>
        <v/>
      </c>
      <c r="S29" s="145"/>
      <c r="T29" s="499" t="str">
        <f>IFERROR(IF(AND(Q29="V.Low",OR(S29="Good",S29="Moderate")),"Error ▲",VLOOKUP(S29,'G-1 All Habitats'!$Z$2:$AA$9,2,FALSE)),"")</f>
        <v/>
      </c>
      <c r="U29" s="145"/>
      <c r="V29" s="507" t="str">
        <f>IF(U29="","",IF(VLOOKUP(U29,'G-3 Multipliers'!$L$3:$N$6,2,FALSE)=0,"Spatial Data Missing ⚠",VLOOKUP(U29,'G-3 Multipliers'!$L$3:$N$6,2,FALSE)))</f>
        <v/>
      </c>
      <c r="W29" s="505"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20" t="str">
        <f t="shared" si="5"/>
        <v/>
      </c>
      <c r="AF29" s="520" t="str">
        <f t="shared" si="6"/>
        <v/>
      </c>
      <c r="AG29" s="524" t="str">
        <f>IFERROR(IF(O29="","",VLOOKUP(AD29,'G-3 Multipliers'!$P$3:$Q$6,2,FALSE)),"")</f>
        <v/>
      </c>
      <c r="AH29" s="197"/>
      <c r="AI29" s="499" t="str">
        <f>IF(AH29="","",IF(VLOOKUP(AH29,'G-3 Multipliers'!$S$3:$T$6,2,FALSE)=0,"Spatial Data Missing ⚠",VLOOKUP(AH29,'G-3 Multipliers'!$S$3:$T$6,2,FALSE)))</f>
        <v/>
      </c>
      <c r="AJ29" s="545" t="str">
        <f t="shared" si="7"/>
        <v/>
      </c>
      <c r="AK29" s="149"/>
      <c r="AL29" s="150"/>
      <c r="AP29" s="31" t="str">
        <f>IFERROR(INDEX('G-6 Hedgerow Data'!$BJ$3:$BJ$15,MATCH(M29,'G-6 Hedgerow Data'!$B$3:$B$15,0)),"")</f>
        <v/>
      </c>
    </row>
    <row r="30" spans="2:42" ht="13.8" x14ac:dyDescent="0.25">
      <c r="B30" s="531" t="str">
        <f>'E-1 Off Site Hedge Baseline'!AK28</f>
        <v/>
      </c>
      <c r="C30" s="520" t="str">
        <f>IF(B30="","",IF(ISNA(VLOOKUP($B30,'E-1 Off Site Hedge Baseline'!$B$1:$L$257,3,FALSE)),"",(VLOOKUP($B30,'E-1 Off Site Hedge Baseline'!$B$1:$L$257,3,FALSE))))</f>
        <v/>
      </c>
      <c r="D30" s="520" t="str">
        <f>IF(B30="","",IF(ISNA(VLOOKUP($B30,'E-1 Off Site Hedge Baseline'!$B$1:$L$258,4,FALSE)),"",(VLOOKUP($B30,'E-1 Off Site Hedge Baseline'!$B$1:$L$258,4,FALSE))))</f>
        <v/>
      </c>
      <c r="E30" s="520" t="str">
        <f>IF(B30="","",IF(ISNA(VLOOKUP($B30,'E-1 Off Site Hedge Baseline'!$B$1:$L$257,5,FALSE)),"",(VLOOKUP($B30,'E-1 Off Site Hedge Baseline'!$B$1:$L$257,5,FALSE))))</f>
        <v/>
      </c>
      <c r="F30" s="520" t="str">
        <f>IF(B30="","",IF(ISNA(VLOOKUP($B30,'E-1 Off Site Hedge Baseline'!$B$1:$L$257,6,FALSE)),"",(VLOOKUP($B30,'E-1 Off Site Hedge Baseline'!$B$1:$L$257,6,FALSE))))</f>
        <v/>
      </c>
      <c r="G30" s="520" t="str">
        <f>IF(B30="","",IF(ISNA(VLOOKUP($B30,'E-1 Off Site Hedge Baseline'!$B$1:$L$257,7,FALSE)),"",(VLOOKUP($B30,'E-1 Off Site Hedge Baseline'!$B$1:$L$257,7,FALSE))))</f>
        <v/>
      </c>
      <c r="H30" s="520" t="str">
        <f>IF(B30="","",IF(ISNA(VLOOKUP($B30,'E-1 Off Site Hedge Baseline'!$B$1:$L$257,8,FALSE)),"",(VLOOKUP($B30,'E-1 Off Site Hedge Baseline'!$B$1:$L$257,8,FALSE))))</f>
        <v/>
      </c>
      <c r="I30" s="520" t="str">
        <f>IF(B30="","",IF(ISNA(VLOOKUP($B30,'E-1 Off Site Hedge Baseline'!$B$1:$L$257,10,FALSE)),"",(VLOOKUP($B30,'E-1 Off Site Hedge Baseline'!$B$1:$L$257,10,FALSE))))</f>
        <v/>
      </c>
      <c r="J30" s="520" t="str">
        <f>IF(B30="","",IF(ISNA(VLOOKUP($B30,'E-1 Off Site Hedge Baseline'!$B$1:$L$257,11,FALSE)),"",(VLOOKUP($B30,'E-1 Off Site Hedge Baseline'!$B$1:$L$257,11,FALSE))))</f>
        <v/>
      </c>
      <c r="K30" s="520" t="str">
        <f>IF(B30="","",IF(ISNA(VLOOKUP($B30,'E-1 Off Site Hedge Baseline'!$B$1:$U$257,113,FALSE)),"",(VLOOKUP($B30,'E-1 Off Site Hedge Baseline'!$B$1:$U$257,13,FALSE))))</f>
        <v/>
      </c>
      <c r="L30" s="507" t="str">
        <f>IF(B30="","",IF(ISNA(VLOOKUP($B30,'E-1 Off Site Hedge Baseline'!$B$1:$U$257,12,FALSE)),"",(VLOOKUP($B30,'E-1 Off Site Hedge Baseline'!$B$1:$U$257,12,FALSE))))</f>
        <v/>
      </c>
      <c r="M30" s="418" t="str">
        <f t="shared" si="8"/>
        <v/>
      </c>
      <c r="N30" s="498" t="str">
        <f>IFERROR(IF(B30="","",INDEX('G-6 Hedgerow Data'!$AN$3:$AZ$15,MATCH(C30,'G-6 Hedgerow Data'!$AM$3:$AM$15,0),MATCH(M30,'G-6 Hedgerow Data'!$AN$2:$AZ$2,0))),"")</f>
        <v/>
      </c>
      <c r="O30" s="499" t="str">
        <f t="shared" si="2"/>
        <v/>
      </c>
      <c r="P30" s="505" t="str">
        <f>IF(B30="","",VLOOKUP(B30,'E-1 Off Site Hedge Baseline'!$B$10:T275,16,FALSE))</f>
        <v/>
      </c>
      <c r="Q30" s="498" t="str">
        <f>IF(M30="","",VLOOKUP(M30,'G-6 Hedgerow Data'!$B$2:$AG$15,2,FALSE))</f>
        <v/>
      </c>
      <c r="R30" s="499" t="str">
        <f>IF(M30="","",VLOOKUP(M30,'G-6 Hedgerow Data'!$B$2:$AG$15,3,FALSE))</f>
        <v/>
      </c>
      <c r="S30" s="145"/>
      <c r="T30" s="499" t="str">
        <f>IFERROR(IF(AND(Q30="V.Low",OR(S30="Good",S30="Moderate")),"Error ▲",VLOOKUP(S30,'G-1 All Habitats'!$Z$2:$AA$9,2,FALSE)),"")</f>
        <v/>
      </c>
      <c r="U30" s="145"/>
      <c r="V30" s="507" t="str">
        <f>IF(U30="","",IF(VLOOKUP(U30,'G-3 Multipliers'!$L$3:$N$6,2,FALSE)=0,"Spatial Data Missing ⚠",VLOOKUP(U30,'G-3 Multipliers'!$L$3:$N$6,2,FALSE)))</f>
        <v/>
      </c>
      <c r="W30" s="505"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20" t="str">
        <f t="shared" si="5"/>
        <v/>
      </c>
      <c r="AF30" s="520" t="str">
        <f t="shared" si="6"/>
        <v/>
      </c>
      <c r="AG30" s="524" t="str">
        <f>IFERROR(IF(O30="","",VLOOKUP(AD30,'G-3 Multipliers'!$P$3:$Q$6,2,FALSE)),"")</f>
        <v/>
      </c>
      <c r="AH30" s="197"/>
      <c r="AI30" s="499" t="str">
        <f>IF(AH30="","",IF(VLOOKUP(AH30,'G-3 Multipliers'!$S$3:$T$6,2,FALSE)=0,"Spatial Data Missing ⚠",VLOOKUP(AH30,'G-3 Multipliers'!$S$3:$T$6,2,FALSE)))</f>
        <v/>
      </c>
      <c r="AJ30" s="545" t="str">
        <f t="shared" si="7"/>
        <v/>
      </c>
      <c r="AK30" s="149"/>
      <c r="AL30" s="150"/>
      <c r="AP30" s="31" t="str">
        <f>IFERROR(INDEX('G-6 Hedgerow Data'!$BJ$3:$BJ$15,MATCH(M30,'G-6 Hedgerow Data'!$B$3:$B$15,0)),"")</f>
        <v/>
      </c>
    </row>
    <row r="31" spans="2:42" ht="13.8" x14ac:dyDescent="0.25">
      <c r="B31" s="531" t="str">
        <f>'E-1 Off Site Hedge Baseline'!AK29</f>
        <v/>
      </c>
      <c r="C31" s="520" t="str">
        <f>IF(B31="","",IF(ISNA(VLOOKUP($B31,'E-1 Off Site Hedge Baseline'!$B$1:$L$257,3,FALSE)),"",(VLOOKUP($B31,'E-1 Off Site Hedge Baseline'!$B$1:$L$257,3,FALSE))))</f>
        <v/>
      </c>
      <c r="D31" s="520" t="str">
        <f>IF(B31="","",IF(ISNA(VLOOKUP($B31,'E-1 Off Site Hedge Baseline'!$B$1:$L$258,4,FALSE)),"",(VLOOKUP($B31,'E-1 Off Site Hedge Baseline'!$B$1:$L$258,4,FALSE))))</f>
        <v/>
      </c>
      <c r="E31" s="520" t="str">
        <f>IF(B31="","",IF(ISNA(VLOOKUP($B31,'E-1 Off Site Hedge Baseline'!$B$1:$L$257,5,FALSE)),"",(VLOOKUP($B31,'E-1 Off Site Hedge Baseline'!$B$1:$L$257,5,FALSE))))</f>
        <v/>
      </c>
      <c r="F31" s="520" t="str">
        <f>IF(B31="","",IF(ISNA(VLOOKUP($B31,'E-1 Off Site Hedge Baseline'!$B$1:$L$257,6,FALSE)),"",(VLOOKUP($B31,'E-1 Off Site Hedge Baseline'!$B$1:$L$257,6,FALSE))))</f>
        <v/>
      </c>
      <c r="G31" s="520" t="str">
        <f>IF(B31="","",IF(ISNA(VLOOKUP($B31,'E-1 Off Site Hedge Baseline'!$B$1:$L$257,7,FALSE)),"",(VLOOKUP($B31,'E-1 Off Site Hedge Baseline'!$B$1:$L$257,7,FALSE))))</f>
        <v/>
      </c>
      <c r="H31" s="520" t="str">
        <f>IF(B31="","",IF(ISNA(VLOOKUP($B31,'E-1 Off Site Hedge Baseline'!$B$1:$L$257,8,FALSE)),"",(VLOOKUP($B31,'E-1 Off Site Hedge Baseline'!$B$1:$L$257,8,FALSE))))</f>
        <v/>
      </c>
      <c r="I31" s="520" t="str">
        <f>IF(B31="","",IF(ISNA(VLOOKUP($B31,'E-1 Off Site Hedge Baseline'!$B$1:$L$257,10,FALSE)),"",(VLOOKUP($B31,'E-1 Off Site Hedge Baseline'!$B$1:$L$257,10,FALSE))))</f>
        <v/>
      </c>
      <c r="J31" s="520" t="str">
        <f>IF(B31="","",IF(ISNA(VLOOKUP($B31,'E-1 Off Site Hedge Baseline'!$B$1:$L$257,11,FALSE)),"",(VLOOKUP($B31,'E-1 Off Site Hedge Baseline'!$B$1:$L$257,11,FALSE))))</f>
        <v/>
      </c>
      <c r="K31" s="520" t="str">
        <f>IF(B31="","",IF(ISNA(VLOOKUP($B31,'E-1 Off Site Hedge Baseline'!$B$1:$U$257,113,FALSE)),"",(VLOOKUP($B31,'E-1 Off Site Hedge Baseline'!$B$1:$U$257,13,FALSE))))</f>
        <v/>
      </c>
      <c r="L31" s="507" t="str">
        <f>IF(B31="","",IF(ISNA(VLOOKUP($B31,'E-1 Off Site Hedge Baseline'!$B$1:$U$257,12,FALSE)),"",(VLOOKUP($B31,'E-1 Off Site Hedge Baseline'!$B$1:$U$257,12,FALSE))))</f>
        <v/>
      </c>
      <c r="M31" s="418" t="str">
        <f t="shared" si="8"/>
        <v/>
      </c>
      <c r="N31" s="498" t="str">
        <f>IFERROR(IF(B31="","",INDEX('G-6 Hedgerow Data'!$AN$3:$AZ$15,MATCH(C31,'G-6 Hedgerow Data'!$AM$3:$AM$15,0),MATCH(M31,'G-6 Hedgerow Data'!$AN$2:$AZ$2,0))),"")</f>
        <v/>
      </c>
      <c r="O31" s="499" t="str">
        <f t="shared" si="2"/>
        <v/>
      </c>
      <c r="P31" s="505" t="str">
        <f>IF(B31="","",VLOOKUP(B31,'E-1 Off Site Hedge Baseline'!$B$10:T276,16,FALSE))</f>
        <v/>
      </c>
      <c r="Q31" s="498" t="str">
        <f>IF(M31="","",VLOOKUP(M31,'G-6 Hedgerow Data'!$B$2:$AG$15,2,FALSE))</f>
        <v/>
      </c>
      <c r="R31" s="499" t="str">
        <f>IF(M31="","",VLOOKUP(M31,'G-6 Hedgerow Data'!$B$2:$AG$15,3,FALSE))</f>
        <v/>
      </c>
      <c r="S31" s="145"/>
      <c r="T31" s="499" t="str">
        <f>IFERROR(IF(AND(Q31="V.Low",OR(S31="Good",S31="Moderate")),"Error ▲",VLOOKUP(S31,'G-1 All Habitats'!$Z$2:$AA$9,2,FALSE)),"")</f>
        <v/>
      </c>
      <c r="U31" s="145"/>
      <c r="V31" s="507" t="str">
        <f>IF(U31="","",IF(VLOOKUP(U31,'G-3 Multipliers'!$L$3:$N$6,2,FALSE)=0,"Spatial Data Missing ⚠",VLOOKUP(U31,'G-3 Multipliers'!$L$3:$N$6,2,FALSE)))</f>
        <v/>
      </c>
      <c r="W31" s="505"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20" t="str">
        <f t="shared" si="5"/>
        <v/>
      </c>
      <c r="AF31" s="520" t="str">
        <f t="shared" si="6"/>
        <v/>
      </c>
      <c r="AG31" s="524" t="str">
        <f>IFERROR(IF(O31="","",VLOOKUP(AD31,'G-3 Multipliers'!$P$3:$Q$6,2,FALSE)),"")</f>
        <v/>
      </c>
      <c r="AH31" s="197"/>
      <c r="AI31" s="499" t="str">
        <f>IF(AH31="","",IF(VLOOKUP(AH31,'G-3 Multipliers'!$S$3:$T$6,2,FALSE)=0,"Spatial Data Missing ⚠",VLOOKUP(AH31,'G-3 Multipliers'!$S$3:$T$6,2,FALSE)))</f>
        <v/>
      </c>
      <c r="AJ31" s="545" t="str">
        <f t="shared" si="7"/>
        <v/>
      </c>
      <c r="AK31" s="149"/>
      <c r="AL31" s="150"/>
      <c r="AP31" s="31" t="str">
        <f>IFERROR(INDEX('G-6 Hedgerow Data'!$BJ$3:$BJ$15,MATCH(M31,'G-6 Hedgerow Data'!$B$3:$B$15,0)),"")</f>
        <v/>
      </c>
    </row>
    <row r="32" spans="2:42" ht="13.8" x14ac:dyDescent="0.25">
      <c r="B32" s="531" t="str">
        <f>'E-1 Off Site Hedge Baseline'!AK30</f>
        <v/>
      </c>
      <c r="C32" s="520" t="str">
        <f>IF(B32="","",IF(ISNA(VLOOKUP($B32,'E-1 Off Site Hedge Baseline'!$B$1:$L$257,3,FALSE)),"",(VLOOKUP($B32,'E-1 Off Site Hedge Baseline'!$B$1:$L$257,3,FALSE))))</f>
        <v/>
      </c>
      <c r="D32" s="520" t="str">
        <f>IF(B32="","",IF(ISNA(VLOOKUP($B32,'E-1 Off Site Hedge Baseline'!$B$1:$L$258,4,FALSE)),"",(VLOOKUP($B32,'E-1 Off Site Hedge Baseline'!$B$1:$L$258,4,FALSE))))</f>
        <v/>
      </c>
      <c r="E32" s="520" t="str">
        <f>IF(B32="","",IF(ISNA(VLOOKUP($B32,'E-1 Off Site Hedge Baseline'!$B$1:$L$257,5,FALSE)),"",(VLOOKUP($B32,'E-1 Off Site Hedge Baseline'!$B$1:$L$257,5,FALSE))))</f>
        <v/>
      </c>
      <c r="F32" s="520" t="str">
        <f>IF(B32="","",IF(ISNA(VLOOKUP($B32,'E-1 Off Site Hedge Baseline'!$B$1:$L$257,6,FALSE)),"",(VLOOKUP($B32,'E-1 Off Site Hedge Baseline'!$B$1:$L$257,6,FALSE))))</f>
        <v/>
      </c>
      <c r="G32" s="520" t="str">
        <f>IF(B32="","",IF(ISNA(VLOOKUP($B32,'E-1 Off Site Hedge Baseline'!$B$1:$L$257,7,FALSE)),"",(VLOOKUP($B32,'E-1 Off Site Hedge Baseline'!$B$1:$L$257,7,FALSE))))</f>
        <v/>
      </c>
      <c r="H32" s="520" t="str">
        <f>IF(B32="","",IF(ISNA(VLOOKUP($B32,'E-1 Off Site Hedge Baseline'!$B$1:$L$257,8,FALSE)),"",(VLOOKUP($B32,'E-1 Off Site Hedge Baseline'!$B$1:$L$257,8,FALSE))))</f>
        <v/>
      </c>
      <c r="I32" s="520" t="str">
        <f>IF(B32="","",IF(ISNA(VLOOKUP($B32,'E-1 Off Site Hedge Baseline'!$B$1:$L$257,10,FALSE)),"",(VLOOKUP($B32,'E-1 Off Site Hedge Baseline'!$B$1:$L$257,10,FALSE))))</f>
        <v/>
      </c>
      <c r="J32" s="520" t="str">
        <f>IF(B32="","",IF(ISNA(VLOOKUP($B32,'E-1 Off Site Hedge Baseline'!$B$1:$L$257,11,FALSE)),"",(VLOOKUP($B32,'E-1 Off Site Hedge Baseline'!$B$1:$L$257,11,FALSE))))</f>
        <v/>
      </c>
      <c r="K32" s="520" t="str">
        <f>IF(B32="","",IF(ISNA(VLOOKUP($B32,'E-1 Off Site Hedge Baseline'!$B$1:$U$257,113,FALSE)),"",(VLOOKUP($B32,'E-1 Off Site Hedge Baseline'!$B$1:$U$257,13,FALSE))))</f>
        <v/>
      </c>
      <c r="L32" s="507" t="str">
        <f>IF(B32="","",IF(ISNA(VLOOKUP($B32,'E-1 Off Site Hedge Baseline'!$B$1:$U$257,12,FALSE)),"",(VLOOKUP($B32,'E-1 Off Site Hedge Baseline'!$B$1:$U$257,12,FALSE))))</f>
        <v/>
      </c>
      <c r="M32" s="418" t="str">
        <f t="shared" si="8"/>
        <v/>
      </c>
      <c r="N32" s="498" t="str">
        <f>IFERROR(IF(B32="","",INDEX('G-6 Hedgerow Data'!$AN$3:$AZ$15,MATCH(C32,'G-6 Hedgerow Data'!$AM$3:$AM$15,0),MATCH(M32,'G-6 Hedgerow Data'!$AN$2:$AZ$2,0))),"")</f>
        <v/>
      </c>
      <c r="O32" s="499" t="str">
        <f t="shared" si="2"/>
        <v/>
      </c>
      <c r="P32" s="505" t="str">
        <f>IF(B32="","",VLOOKUP(B32,'E-1 Off Site Hedge Baseline'!$B$10:T277,16,FALSE))</f>
        <v/>
      </c>
      <c r="Q32" s="498" t="str">
        <f>IF(M32="","",VLOOKUP(M32,'G-6 Hedgerow Data'!$B$2:$AG$15,2,FALSE))</f>
        <v/>
      </c>
      <c r="R32" s="499" t="str">
        <f>IF(M32="","",VLOOKUP(M32,'G-6 Hedgerow Data'!$B$2:$AG$15,3,FALSE))</f>
        <v/>
      </c>
      <c r="S32" s="145"/>
      <c r="T32" s="499" t="str">
        <f>IFERROR(IF(AND(Q32="V.Low",OR(S32="Good",S32="Moderate")),"Error ▲",VLOOKUP(S32,'G-1 All Habitats'!$Z$2:$AA$9,2,FALSE)),"")</f>
        <v/>
      </c>
      <c r="U32" s="145"/>
      <c r="V32" s="507" t="str">
        <f>IF(U32="","",IF(VLOOKUP(U32,'G-3 Multipliers'!$L$3:$N$6,2,FALSE)=0,"Spatial Data Missing ⚠",VLOOKUP(U32,'G-3 Multipliers'!$L$3:$N$6,2,FALSE)))</f>
        <v/>
      </c>
      <c r="W32" s="505"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20" t="str">
        <f t="shared" si="5"/>
        <v/>
      </c>
      <c r="AF32" s="520" t="str">
        <f t="shared" si="6"/>
        <v/>
      </c>
      <c r="AG32" s="524" t="str">
        <f>IFERROR(IF(O32="","",VLOOKUP(AD32,'G-3 Multipliers'!$P$3:$Q$6,2,FALSE)),"")</f>
        <v/>
      </c>
      <c r="AH32" s="197"/>
      <c r="AI32" s="499" t="str">
        <f>IF(AH32="","",IF(VLOOKUP(AH32,'G-3 Multipliers'!$S$3:$T$6,2,FALSE)=0,"Spatial Data Missing ⚠",VLOOKUP(AH32,'G-3 Multipliers'!$S$3:$T$6,2,FALSE)))</f>
        <v/>
      </c>
      <c r="AJ32" s="545" t="str">
        <f t="shared" si="7"/>
        <v/>
      </c>
      <c r="AK32" s="149"/>
      <c r="AL32" s="150"/>
      <c r="AP32" s="31" t="str">
        <f>IFERROR(INDEX('G-6 Hedgerow Data'!$BJ$3:$BJ$15,MATCH(M32,'G-6 Hedgerow Data'!$B$3:$B$15,0)),"")</f>
        <v/>
      </c>
    </row>
    <row r="33" spans="2:42" ht="13.8" x14ac:dyDescent="0.25">
      <c r="B33" s="531" t="str">
        <f>'E-1 Off Site Hedge Baseline'!AK31</f>
        <v/>
      </c>
      <c r="C33" s="520" t="str">
        <f>IF(B33="","",IF(ISNA(VLOOKUP($B33,'E-1 Off Site Hedge Baseline'!$B$1:$L$257,3,FALSE)),"",(VLOOKUP($B33,'E-1 Off Site Hedge Baseline'!$B$1:$L$257,3,FALSE))))</f>
        <v/>
      </c>
      <c r="D33" s="520" t="str">
        <f>IF(B33="","",IF(ISNA(VLOOKUP($B33,'E-1 Off Site Hedge Baseline'!$B$1:$L$258,4,FALSE)),"",(VLOOKUP($B33,'E-1 Off Site Hedge Baseline'!$B$1:$L$258,4,FALSE))))</f>
        <v/>
      </c>
      <c r="E33" s="520" t="str">
        <f>IF(B33="","",IF(ISNA(VLOOKUP($B33,'E-1 Off Site Hedge Baseline'!$B$1:$L$257,5,FALSE)),"",(VLOOKUP($B33,'E-1 Off Site Hedge Baseline'!$B$1:$L$257,5,FALSE))))</f>
        <v/>
      </c>
      <c r="F33" s="520" t="str">
        <f>IF(B33="","",IF(ISNA(VLOOKUP($B33,'E-1 Off Site Hedge Baseline'!$B$1:$L$257,6,FALSE)),"",(VLOOKUP($B33,'E-1 Off Site Hedge Baseline'!$B$1:$L$257,6,FALSE))))</f>
        <v/>
      </c>
      <c r="G33" s="520" t="str">
        <f>IF(B33="","",IF(ISNA(VLOOKUP($B33,'E-1 Off Site Hedge Baseline'!$B$1:$L$257,7,FALSE)),"",(VLOOKUP($B33,'E-1 Off Site Hedge Baseline'!$B$1:$L$257,7,FALSE))))</f>
        <v/>
      </c>
      <c r="H33" s="520" t="str">
        <f>IF(B33="","",IF(ISNA(VLOOKUP($B33,'E-1 Off Site Hedge Baseline'!$B$1:$L$257,8,FALSE)),"",(VLOOKUP($B33,'E-1 Off Site Hedge Baseline'!$B$1:$L$257,8,FALSE))))</f>
        <v/>
      </c>
      <c r="I33" s="520" t="str">
        <f>IF(B33="","",IF(ISNA(VLOOKUP($B33,'E-1 Off Site Hedge Baseline'!$B$1:$L$257,10,FALSE)),"",(VLOOKUP($B33,'E-1 Off Site Hedge Baseline'!$B$1:$L$257,10,FALSE))))</f>
        <v/>
      </c>
      <c r="J33" s="520" t="str">
        <f>IF(B33="","",IF(ISNA(VLOOKUP($B33,'E-1 Off Site Hedge Baseline'!$B$1:$L$257,11,FALSE)),"",(VLOOKUP($B33,'E-1 Off Site Hedge Baseline'!$B$1:$L$257,11,FALSE))))</f>
        <v/>
      </c>
      <c r="K33" s="520" t="str">
        <f>IF(B33="","",IF(ISNA(VLOOKUP($B33,'E-1 Off Site Hedge Baseline'!$B$1:$U$257,113,FALSE)),"",(VLOOKUP($B33,'E-1 Off Site Hedge Baseline'!$B$1:$U$257,13,FALSE))))</f>
        <v/>
      </c>
      <c r="L33" s="507" t="str">
        <f>IF(B33="","",IF(ISNA(VLOOKUP($B33,'E-1 Off Site Hedge Baseline'!$B$1:$U$257,12,FALSE)),"",(VLOOKUP($B33,'E-1 Off Site Hedge Baseline'!$B$1:$U$257,12,FALSE))))</f>
        <v/>
      </c>
      <c r="M33" s="418" t="str">
        <f t="shared" si="8"/>
        <v/>
      </c>
      <c r="N33" s="498" t="str">
        <f>IFERROR(IF(B33="","",INDEX('G-6 Hedgerow Data'!$AN$3:$AZ$15,MATCH(C33,'G-6 Hedgerow Data'!$AM$3:$AM$15,0),MATCH(M33,'G-6 Hedgerow Data'!$AN$2:$AZ$2,0))),"")</f>
        <v/>
      </c>
      <c r="O33" s="499" t="str">
        <f t="shared" si="2"/>
        <v/>
      </c>
      <c r="P33" s="505" t="str">
        <f>IF(B33="","",VLOOKUP(B33,'E-1 Off Site Hedge Baseline'!$B$10:T278,16,FALSE))</f>
        <v/>
      </c>
      <c r="Q33" s="498" t="str">
        <f>IF(M33="","",VLOOKUP(M33,'G-6 Hedgerow Data'!$B$2:$AG$15,2,FALSE))</f>
        <v/>
      </c>
      <c r="R33" s="499" t="str">
        <f>IF(M33="","",VLOOKUP(M33,'G-6 Hedgerow Data'!$B$2:$AG$15,3,FALSE))</f>
        <v/>
      </c>
      <c r="S33" s="145"/>
      <c r="T33" s="499" t="str">
        <f>IFERROR(IF(AND(Q33="V.Low",OR(S33="Good",S33="Moderate")),"Error ▲",VLOOKUP(S33,'G-1 All Habitats'!$Z$2:$AA$9,2,FALSE)),"")</f>
        <v/>
      </c>
      <c r="U33" s="145"/>
      <c r="V33" s="507" t="str">
        <f>IF(U33="","",IF(VLOOKUP(U33,'G-3 Multipliers'!$L$3:$N$6,2,FALSE)=0,"Spatial Data Missing ⚠",VLOOKUP(U33,'G-3 Multipliers'!$L$3:$N$6,2,FALSE)))</f>
        <v/>
      </c>
      <c r="W33" s="505"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20" t="str">
        <f t="shared" si="5"/>
        <v/>
      </c>
      <c r="AF33" s="520" t="str">
        <f t="shared" si="6"/>
        <v/>
      </c>
      <c r="AG33" s="524" t="str">
        <f>IFERROR(IF(O33="","",VLOOKUP(AD33,'G-3 Multipliers'!$P$3:$Q$6,2,FALSE)),"")</f>
        <v/>
      </c>
      <c r="AH33" s="197"/>
      <c r="AI33" s="499" t="str">
        <f>IF(AH33="","",IF(VLOOKUP(AH33,'G-3 Multipliers'!$S$3:$T$6,2,FALSE)=0,"Spatial Data Missing ⚠",VLOOKUP(AH33,'G-3 Multipliers'!$S$3:$T$6,2,FALSE)))</f>
        <v/>
      </c>
      <c r="AJ33" s="545" t="str">
        <f t="shared" si="7"/>
        <v/>
      </c>
      <c r="AK33" s="149"/>
      <c r="AL33" s="150"/>
      <c r="AP33" s="31" t="str">
        <f>IFERROR(INDEX('G-6 Hedgerow Data'!$BJ$3:$BJ$15,MATCH(M33,'G-6 Hedgerow Data'!$B$3:$B$15,0)),"")</f>
        <v/>
      </c>
    </row>
    <row r="34" spans="2:42" ht="13.8" x14ac:dyDescent="0.25">
      <c r="B34" s="531" t="str">
        <f>'E-1 Off Site Hedge Baseline'!AK32</f>
        <v/>
      </c>
      <c r="C34" s="520" t="str">
        <f>IF(B34="","",IF(ISNA(VLOOKUP($B34,'E-1 Off Site Hedge Baseline'!$B$1:$L$257,3,FALSE)),"",(VLOOKUP($B34,'E-1 Off Site Hedge Baseline'!$B$1:$L$257,3,FALSE))))</f>
        <v/>
      </c>
      <c r="D34" s="520" t="str">
        <f>IF(B34="","",IF(ISNA(VLOOKUP($B34,'E-1 Off Site Hedge Baseline'!$B$1:$L$258,4,FALSE)),"",(VLOOKUP($B34,'E-1 Off Site Hedge Baseline'!$B$1:$L$258,4,FALSE))))</f>
        <v/>
      </c>
      <c r="E34" s="520" t="str">
        <f>IF(B34="","",IF(ISNA(VLOOKUP($B34,'E-1 Off Site Hedge Baseline'!$B$1:$L$257,5,FALSE)),"",(VLOOKUP($B34,'E-1 Off Site Hedge Baseline'!$B$1:$L$257,5,FALSE))))</f>
        <v/>
      </c>
      <c r="F34" s="520" t="str">
        <f>IF(B34="","",IF(ISNA(VLOOKUP($B34,'E-1 Off Site Hedge Baseline'!$B$1:$L$257,6,FALSE)),"",(VLOOKUP($B34,'E-1 Off Site Hedge Baseline'!$B$1:$L$257,6,FALSE))))</f>
        <v/>
      </c>
      <c r="G34" s="520" t="str">
        <f>IF(B34="","",IF(ISNA(VLOOKUP($B34,'E-1 Off Site Hedge Baseline'!$B$1:$L$257,7,FALSE)),"",(VLOOKUP($B34,'E-1 Off Site Hedge Baseline'!$B$1:$L$257,7,FALSE))))</f>
        <v/>
      </c>
      <c r="H34" s="520" t="str">
        <f>IF(B34="","",IF(ISNA(VLOOKUP($B34,'E-1 Off Site Hedge Baseline'!$B$1:$L$257,8,FALSE)),"",(VLOOKUP($B34,'E-1 Off Site Hedge Baseline'!$B$1:$L$257,8,FALSE))))</f>
        <v/>
      </c>
      <c r="I34" s="520" t="str">
        <f>IF(B34="","",IF(ISNA(VLOOKUP($B34,'E-1 Off Site Hedge Baseline'!$B$1:$L$257,10,FALSE)),"",(VLOOKUP($B34,'E-1 Off Site Hedge Baseline'!$B$1:$L$257,10,FALSE))))</f>
        <v/>
      </c>
      <c r="J34" s="520" t="str">
        <f>IF(B34="","",IF(ISNA(VLOOKUP($B34,'E-1 Off Site Hedge Baseline'!$B$1:$L$257,11,FALSE)),"",(VLOOKUP($B34,'E-1 Off Site Hedge Baseline'!$B$1:$L$257,11,FALSE))))</f>
        <v/>
      </c>
      <c r="K34" s="520" t="str">
        <f>IF(B34="","",IF(ISNA(VLOOKUP($B34,'E-1 Off Site Hedge Baseline'!$B$1:$U$257,113,FALSE)),"",(VLOOKUP($B34,'E-1 Off Site Hedge Baseline'!$B$1:$U$257,13,FALSE))))</f>
        <v/>
      </c>
      <c r="L34" s="507" t="str">
        <f>IF(B34="","",IF(ISNA(VLOOKUP($B34,'E-1 Off Site Hedge Baseline'!$B$1:$U$257,12,FALSE)),"",(VLOOKUP($B34,'E-1 Off Site Hedge Baseline'!$B$1:$U$257,12,FALSE))))</f>
        <v/>
      </c>
      <c r="M34" s="418" t="str">
        <f t="shared" si="8"/>
        <v/>
      </c>
      <c r="N34" s="498" t="str">
        <f>IFERROR(IF(B34="","",INDEX('G-6 Hedgerow Data'!$AN$3:$AZ$15,MATCH(C34,'G-6 Hedgerow Data'!$AM$3:$AM$15,0),MATCH(M34,'G-6 Hedgerow Data'!$AN$2:$AZ$2,0))),"")</f>
        <v/>
      </c>
      <c r="O34" s="499" t="str">
        <f t="shared" si="2"/>
        <v/>
      </c>
      <c r="P34" s="505" t="str">
        <f>IF(B34="","",VLOOKUP(B34,'E-1 Off Site Hedge Baseline'!$B$10:T279,16,FALSE))</f>
        <v/>
      </c>
      <c r="Q34" s="498" t="str">
        <f>IF(M34="","",VLOOKUP(M34,'G-6 Hedgerow Data'!$B$2:$AG$15,2,FALSE))</f>
        <v/>
      </c>
      <c r="R34" s="499" t="str">
        <f>IF(M34="","",VLOOKUP(M34,'G-6 Hedgerow Data'!$B$2:$AG$15,3,FALSE))</f>
        <v/>
      </c>
      <c r="S34" s="145"/>
      <c r="T34" s="499" t="str">
        <f>IFERROR(IF(AND(Q34="V.Low",OR(S34="Good",S34="Moderate")),"Error ▲",VLOOKUP(S34,'G-1 All Habitats'!$Z$2:$AA$9,2,FALSE)),"")</f>
        <v/>
      </c>
      <c r="U34" s="145"/>
      <c r="V34" s="507" t="str">
        <f>IF(U34="","",IF(VLOOKUP(U34,'G-3 Multipliers'!$L$3:$N$6,2,FALSE)=0,"Spatial Data Missing ⚠",VLOOKUP(U34,'G-3 Multipliers'!$L$3:$N$6,2,FALSE)))</f>
        <v/>
      </c>
      <c r="W34" s="505"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20" t="str">
        <f t="shared" si="5"/>
        <v/>
      </c>
      <c r="AF34" s="520" t="str">
        <f t="shared" si="6"/>
        <v/>
      </c>
      <c r="AG34" s="524" t="str">
        <f>IFERROR(IF(O34="","",VLOOKUP(AD34,'G-3 Multipliers'!$P$3:$Q$6,2,FALSE)),"")</f>
        <v/>
      </c>
      <c r="AH34" s="197"/>
      <c r="AI34" s="499" t="str">
        <f>IF(AH34="","",IF(VLOOKUP(AH34,'G-3 Multipliers'!$S$3:$T$6,2,FALSE)=0,"Spatial Data Missing ⚠",VLOOKUP(AH34,'G-3 Multipliers'!$S$3:$T$6,2,FALSE)))</f>
        <v/>
      </c>
      <c r="AJ34" s="545" t="str">
        <f t="shared" si="7"/>
        <v/>
      </c>
      <c r="AK34" s="149"/>
      <c r="AL34" s="150"/>
      <c r="AP34" s="31" t="str">
        <f>IFERROR(INDEX('G-6 Hedgerow Data'!$BJ$3:$BJ$15,MATCH(M34,'G-6 Hedgerow Data'!$B$3:$B$15,0)),"")</f>
        <v/>
      </c>
    </row>
    <row r="35" spans="2:42" ht="13.8" x14ac:dyDescent="0.25">
      <c r="B35" s="531" t="str">
        <f>'E-1 Off Site Hedge Baseline'!AK33</f>
        <v/>
      </c>
      <c r="C35" s="520" t="str">
        <f>IF(B35="","",IF(ISNA(VLOOKUP($B35,'E-1 Off Site Hedge Baseline'!$B$1:$L$257,3,FALSE)),"",(VLOOKUP($B35,'E-1 Off Site Hedge Baseline'!$B$1:$L$257,3,FALSE))))</f>
        <v/>
      </c>
      <c r="D35" s="520" t="str">
        <f>IF(B35="","",IF(ISNA(VLOOKUP($B35,'E-1 Off Site Hedge Baseline'!$B$1:$L$258,4,FALSE)),"",(VLOOKUP($B35,'E-1 Off Site Hedge Baseline'!$B$1:$L$258,4,FALSE))))</f>
        <v/>
      </c>
      <c r="E35" s="520" t="str">
        <f>IF(B35="","",IF(ISNA(VLOOKUP($B35,'E-1 Off Site Hedge Baseline'!$B$1:$L$257,5,FALSE)),"",(VLOOKUP($B35,'E-1 Off Site Hedge Baseline'!$B$1:$L$257,5,FALSE))))</f>
        <v/>
      </c>
      <c r="F35" s="520" t="str">
        <f>IF(B35="","",IF(ISNA(VLOOKUP($B35,'E-1 Off Site Hedge Baseline'!$B$1:$L$257,6,FALSE)),"",(VLOOKUP($B35,'E-1 Off Site Hedge Baseline'!$B$1:$L$257,6,FALSE))))</f>
        <v/>
      </c>
      <c r="G35" s="520" t="str">
        <f>IF(B35="","",IF(ISNA(VLOOKUP($B35,'E-1 Off Site Hedge Baseline'!$B$1:$L$257,7,FALSE)),"",(VLOOKUP($B35,'E-1 Off Site Hedge Baseline'!$B$1:$L$257,7,FALSE))))</f>
        <v/>
      </c>
      <c r="H35" s="520" t="str">
        <f>IF(B35="","",IF(ISNA(VLOOKUP($B35,'E-1 Off Site Hedge Baseline'!$B$1:$L$257,8,FALSE)),"",(VLOOKUP($B35,'E-1 Off Site Hedge Baseline'!$B$1:$L$257,8,FALSE))))</f>
        <v/>
      </c>
      <c r="I35" s="520" t="str">
        <f>IF(B35="","",IF(ISNA(VLOOKUP($B35,'E-1 Off Site Hedge Baseline'!$B$1:$L$257,10,FALSE)),"",(VLOOKUP($B35,'E-1 Off Site Hedge Baseline'!$B$1:$L$257,10,FALSE))))</f>
        <v/>
      </c>
      <c r="J35" s="520" t="str">
        <f>IF(B35="","",IF(ISNA(VLOOKUP($B35,'E-1 Off Site Hedge Baseline'!$B$1:$L$257,11,FALSE)),"",(VLOOKUP($B35,'E-1 Off Site Hedge Baseline'!$B$1:$L$257,11,FALSE))))</f>
        <v/>
      </c>
      <c r="K35" s="520" t="str">
        <f>IF(B35="","",IF(ISNA(VLOOKUP($B35,'E-1 Off Site Hedge Baseline'!$B$1:$U$257,113,FALSE)),"",(VLOOKUP($B35,'E-1 Off Site Hedge Baseline'!$B$1:$U$257,13,FALSE))))</f>
        <v/>
      </c>
      <c r="L35" s="507" t="str">
        <f>IF(B35="","",IF(ISNA(VLOOKUP($B35,'E-1 Off Site Hedge Baseline'!$B$1:$U$257,12,FALSE)),"",(VLOOKUP($B35,'E-1 Off Site Hedge Baseline'!$B$1:$U$257,12,FALSE))))</f>
        <v/>
      </c>
      <c r="M35" s="418" t="str">
        <f t="shared" si="8"/>
        <v/>
      </c>
      <c r="N35" s="498" t="str">
        <f>IFERROR(IF(B35="","",INDEX('G-6 Hedgerow Data'!$AN$3:$AZ$15,MATCH(C35,'G-6 Hedgerow Data'!$AM$3:$AM$15,0),MATCH(M35,'G-6 Hedgerow Data'!$AN$2:$AZ$2,0))),"")</f>
        <v/>
      </c>
      <c r="O35" s="499" t="str">
        <f t="shared" si="2"/>
        <v/>
      </c>
      <c r="P35" s="505" t="str">
        <f>IF(B35="","",VLOOKUP(B35,'E-1 Off Site Hedge Baseline'!$B$10:T280,16,FALSE))</f>
        <v/>
      </c>
      <c r="Q35" s="498" t="str">
        <f>IF(M35="","",VLOOKUP(M35,'G-6 Hedgerow Data'!$B$2:$AG$15,2,FALSE))</f>
        <v/>
      </c>
      <c r="R35" s="499" t="str">
        <f>IF(M35="","",VLOOKUP(M35,'G-6 Hedgerow Data'!$B$2:$AG$15,3,FALSE))</f>
        <v/>
      </c>
      <c r="S35" s="145"/>
      <c r="T35" s="499" t="str">
        <f>IFERROR(IF(AND(Q35="V.Low",OR(S35="Good",S35="Moderate")),"Error ▲",VLOOKUP(S35,'G-1 All Habitats'!$Z$2:$AA$9,2,FALSE)),"")</f>
        <v/>
      </c>
      <c r="U35" s="145"/>
      <c r="V35" s="507" t="str">
        <f>IF(U35="","",IF(VLOOKUP(U35,'G-3 Multipliers'!$L$3:$N$6,2,FALSE)=0,"Spatial Data Missing ⚠",VLOOKUP(U35,'G-3 Multipliers'!$L$3:$N$6,2,FALSE)))</f>
        <v/>
      </c>
      <c r="W35" s="505"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20" t="str">
        <f t="shared" si="5"/>
        <v/>
      </c>
      <c r="AF35" s="520" t="str">
        <f t="shared" si="6"/>
        <v/>
      </c>
      <c r="AG35" s="524" t="str">
        <f>IFERROR(IF(O35="","",VLOOKUP(AD35,'G-3 Multipliers'!$P$3:$Q$6,2,FALSE)),"")</f>
        <v/>
      </c>
      <c r="AH35" s="197"/>
      <c r="AI35" s="499" t="str">
        <f>IF(AH35="","",IF(VLOOKUP(AH35,'G-3 Multipliers'!$S$3:$T$6,2,FALSE)=0,"Spatial Data Missing ⚠",VLOOKUP(AH35,'G-3 Multipliers'!$S$3:$T$6,2,FALSE)))</f>
        <v/>
      </c>
      <c r="AJ35" s="545" t="str">
        <f t="shared" si="7"/>
        <v/>
      </c>
      <c r="AK35" s="149"/>
      <c r="AL35" s="150"/>
      <c r="AP35" s="31" t="str">
        <f>IFERROR(INDEX('G-6 Hedgerow Data'!$BJ$3:$BJ$15,MATCH(M35,'G-6 Hedgerow Data'!$B$3:$B$15,0)),"")</f>
        <v/>
      </c>
    </row>
    <row r="36" spans="2:42" ht="13.8" x14ac:dyDescent="0.25">
      <c r="B36" s="531" t="str">
        <f>'E-1 Off Site Hedge Baseline'!AK34</f>
        <v/>
      </c>
      <c r="C36" s="520" t="str">
        <f>IF(B36="","",IF(ISNA(VLOOKUP($B36,'E-1 Off Site Hedge Baseline'!$B$1:$L$257,3,FALSE)),"",(VLOOKUP($B36,'E-1 Off Site Hedge Baseline'!$B$1:$L$257,3,FALSE))))</f>
        <v/>
      </c>
      <c r="D36" s="520" t="str">
        <f>IF(B36="","",IF(ISNA(VLOOKUP($B36,'E-1 Off Site Hedge Baseline'!$B$1:$L$258,4,FALSE)),"",(VLOOKUP($B36,'E-1 Off Site Hedge Baseline'!$B$1:$L$258,4,FALSE))))</f>
        <v/>
      </c>
      <c r="E36" s="520" t="str">
        <f>IF(B36="","",IF(ISNA(VLOOKUP($B36,'E-1 Off Site Hedge Baseline'!$B$1:$L$257,5,FALSE)),"",(VLOOKUP($B36,'E-1 Off Site Hedge Baseline'!$B$1:$L$257,5,FALSE))))</f>
        <v/>
      </c>
      <c r="F36" s="520" t="str">
        <f>IF(B36="","",IF(ISNA(VLOOKUP($B36,'E-1 Off Site Hedge Baseline'!$B$1:$L$257,6,FALSE)),"",(VLOOKUP($B36,'E-1 Off Site Hedge Baseline'!$B$1:$L$257,6,FALSE))))</f>
        <v/>
      </c>
      <c r="G36" s="520" t="str">
        <f>IF(B36="","",IF(ISNA(VLOOKUP($B36,'E-1 Off Site Hedge Baseline'!$B$1:$L$257,7,FALSE)),"",(VLOOKUP($B36,'E-1 Off Site Hedge Baseline'!$B$1:$L$257,7,FALSE))))</f>
        <v/>
      </c>
      <c r="H36" s="520" t="str">
        <f>IF(B36="","",IF(ISNA(VLOOKUP($B36,'E-1 Off Site Hedge Baseline'!$B$1:$L$257,8,FALSE)),"",(VLOOKUP($B36,'E-1 Off Site Hedge Baseline'!$B$1:$L$257,8,FALSE))))</f>
        <v/>
      </c>
      <c r="I36" s="520" t="str">
        <f>IF(B36="","",IF(ISNA(VLOOKUP($B36,'E-1 Off Site Hedge Baseline'!$B$1:$L$257,10,FALSE)),"",(VLOOKUP($B36,'E-1 Off Site Hedge Baseline'!$B$1:$L$257,10,FALSE))))</f>
        <v/>
      </c>
      <c r="J36" s="520" t="str">
        <f>IF(B36="","",IF(ISNA(VLOOKUP($B36,'E-1 Off Site Hedge Baseline'!$B$1:$L$257,11,FALSE)),"",(VLOOKUP($B36,'E-1 Off Site Hedge Baseline'!$B$1:$L$257,11,FALSE))))</f>
        <v/>
      </c>
      <c r="K36" s="520" t="str">
        <f>IF(B36="","",IF(ISNA(VLOOKUP($B36,'E-1 Off Site Hedge Baseline'!$B$1:$U$257,113,FALSE)),"",(VLOOKUP($B36,'E-1 Off Site Hedge Baseline'!$B$1:$U$257,13,FALSE))))</f>
        <v/>
      </c>
      <c r="L36" s="507" t="str">
        <f>IF(B36="","",IF(ISNA(VLOOKUP($B36,'E-1 Off Site Hedge Baseline'!$B$1:$U$257,12,FALSE)),"",(VLOOKUP($B36,'E-1 Off Site Hedge Baseline'!$B$1:$U$257,12,FALSE))))</f>
        <v/>
      </c>
      <c r="M36" s="418" t="str">
        <f t="shared" si="8"/>
        <v/>
      </c>
      <c r="N36" s="498" t="str">
        <f>IFERROR(IF(B36="","",INDEX('G-6 Hedgerow Data'!$AN$3:$AZ$15,MATCH(C36,'G-6 Hedgerow Data'!$AM$3:$AM$15,0),MATCH(M36,'G-6 Hedgerow Data'!$AN$2:$AZ$2,0))),"")</f>
        <v/>
      </c>
      <c r="O36" s="499" t="str">
        <f t="shared" si="2"/>
        <v/>
      </c>
      <c r="P36" s="505" t="str">
        <f>IF(B36="","",VLOOKUP(B36,'E-1 Off Site Hedge Baseline'!$B$10:T281,16,FALSE))</f>
        <v/>
      </c>
      <c r="Q36" s="498" t="str">
        <f>IF(M36="","",VLOOKUP(M36,'G-6 Hedgerow Data'!$B$2:$AG$15,2,FALSE))</f>
        <v/>
      </c>
      <c r="R36" s="499" t="str">
        <f>IF(M36="","",VLOOKUP(M36,'G-6 Hedgerow Data'!$B$2:$AG$15,3,FALSE))</f>
        <v/>
      </c>
      <c r="S36" s="145"/>
      <c r="T36" s="499" t="str">
        <f>IFERROR(IF(AND(Q36="V.Low",OR(S36="Good",S36="Moderate")),"Error ▲",VLOOKUP(S36,'G-1 All Habitats'!$Z$2:$AA$9,2,FALSE)),"")</f>
        <v/>
      </c>
      <c r="U36" s="145"/>
      <c r="V36" s="507" t="str">
        <f>IF(U36="","",IF(VLOOKUP(U36,'G-3 Multipliers'!$L$3:$N$6,2,FALSE)=0,"Spatial Data Missing ⚠",VLOOKUP(U36,'G-3 Multipliers'!$L$3:$N$6,2,FALSE)))</f>
        <v/>
      </c>
      <c r="W36" s="505"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20" t="str">
        <f t="shared" si="5"/>
        <v/>
      </c>
      <c r="AF36" s="520" t="str">
        <f t="shared" si="6"/>
        <v/>
      </c>
      <c r="AG36" s="524" t="str">
        <f>IFERROR(IF(O36="","",VLOOKUP(AD36,'G-3 Multipliers'!$P$3:$Q$6,2,FALSE)),"")</f>
        <v/>
      </c>
      <c r="AH36" s="197"/>
      <c r="AI36" s="499" t="str">
        <f>IF(AH36="","",IF(VLOOKUP(AH36,'G-3 Multipliers'!$S$3:$T$6,2,FALSE)=0,"Spatial Data Missing ⚠",VLOOKUP(AH36,'G-3 Multipliers'!$S$3:$T$6,2,FALSE)))</f>
        <v/>
      </c>
      <c r="AJ36" s="545" t="str">
        <f t="shared" si="7"/>
        <v/>
      </c>
      <c r="AK36" s="149"/>
      <c r="AL36" s="150"/>
      <c r="AP36" s="31" t="str">
        <f>IFERROR(INDEX('G-6 Hedgerow Data'!$BJ$3:$BJ$15,MATCH(M36,'G-6 Hedgerow Data'!$B$3:$B$15,0)),"")</f>
        <v/>
      </c>
    </row>
    <row r="37" spans="2:42" ht="13.8" x14ac:dyDescent="0.25">
      <c r="B37" s="531" t="str">
        <f>'E-1 Off Site Hedge Baseline'!AK35</f>
        <v/>
      </c>
      <c r="C37" s="520" t="str">
        <f>IF(B37="","",IF(ISNA(VLOOKUP($B37,'E-1 Off Site Hedge Baseline'!$B$1:$L$257,3,FALSE)),"",(VLOOKUP($B37,'E-1 Off Site Hedge Baseline'!$B$1:$L$257,3,FALSE))))</f>
        <v/>
      </c>
      <c r="D37" s="520" t="str">
        <f>IF(B37="","",IF(ISNA(VLOOKUP($B37,'E-1 Off Site Hedge Baseline'!$B$1:$L$258,4,FALSE)),"",(VLOOKUP($B37,'E-1 Off Site Hedge Baseline'!$B$1:$L$258,4,FALSE))))</f>
        <v/>
      </c>
      <c r="E37" s="520" t="str">
        <f>IF(B37="","",IF(ISNA(VLOOKUP($B37,'E-1 Off Site Hedge Baseline'!$B$1:$L$257,5,FALSE)),"",(VLOOKUP($B37,'E-1 Off Site Hedge Baseline'!$B$1:$L$257,5,FALSE))))</f>
        <v/>
      </c>
      <c r="F37" s="520" t="str">
        <f>IF(B37="","",IF(ISNA(VLOOKUP($B37,'E-1 Off Site Hedge Baseline'!$B$1:$L$257,6,FALSE)),"",(VLOOKUP($B37,'E-1 Off Site Hedge Baseline'!$B$1:$L$257,6,FALSE))))</f>
        <v/>
      </c>
      <c r="G37" s="520" t="str">
        <f>IF(B37="","",IF(ISNA(VLOOKUP($B37,'E-1 Off Site Hedge Baseline'!$B$1:$L$257,7,FALSE)),"",(VLOOKUP($B37,'E-1 Off Site Hedge Baseline'!$B$1:$L$257,7,FALSE))))</f>
        <v/>
      </c>
      <c r="H37" s="520" t="str">
        <f>IF(B37="","",IF(ISNA(VLOOKUP($B37,'E-1 Off Site Hedge Baseline'!$B$1:$L$257,8,FALSE)),"",(VLOOKUP($B37,'E-1 Off Site Hedge Baseline'!$B$1:$L$257,8,FALSE))))</f>
        <v/>
      </c>
      <c r="I37" s="520" t="str">
        <f>IF(B37="","",IF(ISNA(VLOOKUP($B37,'E-1 Off Site Hedge Baseline'!$B$1:$L$257,10,FALSE)),"",(VLOOKUP($B37,'E-1 Off Site Hedge Baseline'!$B$1:$L$257,10,FALSE))))</f>
        <v/>
      </c>
      <c r="J37" s="520" t="str">
        <f>IF(B37="","",IF(ISNA(VLOOKUP($B37,'E-1 Off Site Hedge Baseline'!$B$1:$L$257,11,FALSE)),"",(VLOOKUP($B37,'E-1 Off Site Hedge Baseline'!$B$1:$L$257,11,FALSE))))</f>
        <v/>
      </c>
      <c r="K37" s="520" t="str">
        <f>IF(B37="","",IF(ISNA(VLOOKUP($B37,'E-1 Off Site Hedge Baseline'!$B$1:$U$257,113,FALSE)),"",(VLOOKUP($B37,'E-1 Off Site Hedge Baseline'!$B$1:$U$257,13,FALSE))))</f>
        <v/>
      </c>
      <c r="L37" s="507" t="str">
        <f>IF(B37="","",IF(ISNA(VLOOKUP($B37,'E-1 Off Site Hedge Baseline'!$B$1:$U$257,12,FALSE)),"",(VLOOKUP($B37,'E-1 Off Site Hedge Baseline'!$B$1:$U$257,12,FALSE))))</f>
        <v/>
      </c>
      <c r="M37" s="418" t="str">
        <f t="shared" si="8"/>
        <v/>
      </c>
      <c r="N37" s="498" t="str">
        <f>IFERROR(IF(B37="","",INDEX('G-6 Hedgerow Data'!$AN$3:$AZ$15,MATCH(C37,'G-6 Hedgerow Data'!$AM$3:$AM$15,0),MATCH(M37,'G-6 Hedgerow Data'!$AN$2:$AZ$2,0))),"")</f>
        <v/>
      </c>
      <c r="O37" s="499" t="str">
        <f t="shared" si="2"/>
        <v/>
      </c>
      <c r="P37" s="505" t="str">
        <f>IF(B37="","",VLOOKUP(B37,'E-1 Off Site Hedge Baseline'!$B$10:T282,16,FALSE))</f>
        <v/>
      </c>
      <c r="Q37" s="498" t="str">
        <f>IF(M37="","",VLOOKUP(M37,'G-6 Hedgerow Data'!$B$2:$AG$15,2,FALSE))</f>
        <v/>
      </c>
      <c r="R37" s="499" t="str">
        <f>IF(M37="","",VLOOKUP(M37,'G-6 Hedgerow Data'!$B$2:$AG$15,3,FALSE))</f>
        <v/>
      </c>
      <c r="S37" s="145"/>
      <c r="T37" s="499" t="str">
        <f>IFERROR(IF(AND(Q37="V.Low",OR(S37="Good",S37="Moderate")),"Error ▲",VLOOKUP(S37,'G-1 All Habitats'!$Z$2:$AA$9,2,FALSE)),"")</f>
        <v/>
      </c>
      <c r="U37" s="145"/>
      <c r="V37" s="507" t="str">
        <f>IF(U37="","",IF(VLOOKUP(U37,'G-3 Multipliers'!$L$3:$N$6,2,FALSE)=0,"Spatial Data Missing ⚠",VLOOKUP(U37,'G-3 Multipliers'!$L$3:$N$6,2,FALSE)))</f>
        <v/>
      </c>
      <c r="W37" s="505"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20" t="str">
        <f t="shared" si="5"/>
        <v/>
      </c>
      <c r="AF37" s="520" t="str">
        <f t="shared" si="6"/>
        <v/>
      </c>
      <c r="AG37" s="524" t="str">
        <f>IFERROR(IF(O37="","",VLOOKUP(AD37,'G-3 Multipliers'!$P$3:$Q$6,2,FALSE)),"")</f>
        <v/>
      </c>
      <c r="AH37" s="197"/>
      <c r="AI37" s="499" t="str">
        <f>IF(AH37="","",IF(VLOOKUP(AH37,'G-3 Multipliers'!$S$3:$T$6,2,FALSE)=0,"Spatial Data Missing ⚠",VLOOKUP(AH37,'G-3 Multipliers'!$S$3:$T$6,2,FALSE)))</f>
        <v/>
      </c>
      <c r="AJ37" s="545" t="str">
        <f t="shared" si="7"/>
        <v/>
      </c>
      <c r="AK37" s="149"/>
      <c r="AL37" s="150"/>
      <c r="AP37" s="31" t="str">
        <f>IFERROR(INDEX('G-6 Hedgerow Data'!$BJ$3:$BJ$15,MATCH(M37,'G-6 Hedgerow Data'!$B$3:$B$15,0)),"")</f>
        <v/>
      </c>
    </row>
    <row r="38" spans="2:42" ht="13.8" x14ac:dyDescent="0.25">
      <c r="B38" s="531" t="str">
        <f>'E-1 Off Site Hedge Baseline'!AK36</f>
        <v/>
      </c>
      <c r="C38" s="520" t="str">
        <f>IF(B38="","",IF(ISNA(VLOOKUP($B38,'E-1 Off Site Hedge Baseline'!$B$1:$L$257,3,FALSE)),"",(VLOOKUP($B38,'E-1 Off Site Hedge Baseline'!$B$1:$L$257,3,FALSE))))</f>
        <v/>
      </c>
      <c r="D38" s="520" t="str">
        <f>IF(B38="","",IF(ISNA(VLOOKUP($B38,'E-1 Off Site Hedge Baseline'!$B$1:$L$258,4,FALSE)),"",(VLOOKUP($B38,'E-1 Off Site Hedge Baseline'!$B$1:$L$258,4,FALSE))))</f>
        <v/>
      </c>
      <c r="E38" s="520" t="str">
        <f>IF(B38="","",IF(ISNA(VLOOKUP($B38,'E-1 Off Site Hedge Baseline'!$B$1:$L$257,5,FALSE)),"",(VLOOKUP($B38,'E-1 Off Site Hedge Baseline'!$B$1:$L$257,5,FALSE))))</f>
        <v/>
      </c>
      <c r="F38" s="520" t="str">
        <f>IF(B38="","",IF(ISNA(VLOOKUP($B38,'E-1 Off Site Hedge Baseline'!$B$1:$L$257,6,FALSE)),"",(VLOOKUP($B38,'E-1 Off Site Hedge Baseline'!$B$1:$L$257,6,FALSE))))</f>
        <v/>
      </c>
      <c r="G38" s="520" t="str">
        <f>IF(B38="","",IF(ISNA(VLOOKUP($B38,'E-1 Off Site Hedge Baseline'!$B$1:$L$257,7,FALSE)),"",(VLOOKUP($B38,'E-1 Off Site Hedge Baseline'!$B$1:$L$257,7,FALSE))))</f>
        <v/>
      </c>
      <c r="H38" s="520" t="str">
        <f>IF(B38="","",IF(ISNA(VLOOKUP($B38,'E-1 Off Site Hedge Baseline'!$B$1:$L$257,8,FALSE)),"",(VLOOKUP($B38,'E-1 Off Site Hedge Baseline'!$B$1:$L$257,8,FALSE))))</f>
        <v/>
      </c>
      <c r="I38" s="520" t="str">
        <f>IF(B38="","",IF(ISNA(VLOOKUP($B38,'E-1 Off Site Hedge Baseline'!$B$1:$L$257,10,FALSE)),"",(VLOOKUP($B38,'E-1 Off Site Hedge Baseline'!$B$1:$L$257,10,FALSE))))</f>
        <v/>
      </c>
      <c r="J38" s="520" t="str">
        <f>IF(B38="","",IF(ISNA(VLOOKUP($B38,'E-1 Off Site Hedge Baseline'!$B$1:$L$257,11,FALSE)),"",(VLOOKUP($B38,'E-1 Off Site Hedge Baseline'!$B$1:$L$257,11,FALSE))))</f>
        <v/>
      </c>
      <c r="K38" s="520" t="str">
        <f>IF(B38="","",IF(ISNA(VLOOKUP($B38,'E-1 Off Site Hedge Baseline'!$B$1:$U$257,113,FALSE)),"",(VLOOKUP($B38,'E-1 Off Site Hedge Baseline'!$B$1:$U$257,13,FALSE))))</f>
        <v/>
      </c>
      <c r="L38" s="507" t="str">
        <f>IF(B38="","",IF(ISNA(VLOOKUP($B38,'E-1 Off Site Hedge Baseline'!$B$1:$U$257,12,FALSE)),"",(VLOOKUP($B38,'E-1 Off Site Hedge Baseline'!$B$1:$U$257,12,FALSE))))</f>
        <v/>
      </c>
      <c r="M38" s="418" t="str">
        <f t="shared" si="8"/>
        <v/>
      </c>
      <c r="N38" s="498" t="str">
        <f>IFERROR(IF(B38="","",INDEX('G-6 Hedgerow Data'!$AN$3:$AZ$15,MATCH(C38,'G-6 Hedgerow Data'!$AM$3:$AM$15,0),MATCH(M38,'G-6 Hedgerow Data'!$AN$2:$AZ$2,0))),"")</f>
        <v/>
      </c>
      <c r="O38" s="499" t="str">
        <f t="shared" si="2"/>
        <v/>
      </c>
      <c r="P38" s="505" t="str">
        <f>IF(B38="","",VLOOKUP(B38,'E-1 Off Site Hedge Baseline'!$B$10:T283,16,FALSE))</f>
        <v/>
      </c>
      <c r="Q38" s="498" t="str">
        <f>IF(M38="","",VLOOKUP(M38,'G-6 Hedgerow Data'!$B$2:$AG$15,2,FALSE))</f>
        <v/>
      </c>
      <c r="R38" s="499" t="str">
        <f>IF(M38="","",VLOOKUP(M38,'G-6 Hedgerow Data'!$B$2:$AG$15,3,FALSE))</f>
        <v/>
      </c>
      <c r="S38" s="145"/>
      <c r="T38" s="499" t="str">
        <f>IFERROR(IF(AND(Q38="V.Low",OR(S38="Good",S38="Moderate")),"Error ▲",VLOOKUP(S38,'G-1 All Habitats'!$Z$2:$AA$9,2,FALSE)),"")</f>
        <v/>
      </c>
      <c r="U38" s="145"/>
      <c r="V38" s="507" t="str">
        <f>IF(U38="","",IF(VLOOKUP(U38,'G-3 Multipliers'!$L$3:$N$6,2,FALSE)=0,"Spatial Data Missing ⚠",VLOOKUP(U38,'G-3 Multipliers'!$L$3:$N$6,2,FALSE)))</f>
        <v/>
      </c>
      <c r="W38" s="505"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20" t="str">
        <f t="shared" si="5"/>
        <v/>
      </c>
      <c r="AF38" s="520" t="str">
        <f t="shared" si="6"/>
        <v/>
      </c>
      <c r="AG38" s="524" t="str">
        <f>IFERROR(IF(O38="","",VLOOKUP(AD38,'G-3 Multipliers'!$P$3:$Q$6,2,FALSE)),"")</f>
        <v/>
      </c>
      <c r="AH38" s="197"/>
      <c r="AI38" s="499" t="str">
        <f>IF(AH38="","",IF(VLOOKUP(AH38,'G-3 Multipliers'!$S$3:$T$6,2,FALSE)=0,"Spatial Data Missing ⚠",VLOOKUP(AH38,'G-3 Multipliers'!$S$3:$T$6,2,FALSE)))</f>
        <v/>
      </c>
      <c r="AJ38" s="545" t="str">
        <f t="shared" si="7"/>
        <v/>
      </c>
      <c r="AK38" s="149"/>
      <c r="AL38" s="150"/>
      <c r="AP38" s="31" t="str">
        <f>IFERROR(INDEX('G-6 Hedgerow Data'!$BJ$3:$BJ$15,MATCH(M38,'G-6 Hedgerow Data'!$B$3:$B$15,0)),"")</f>
        <v/>
      </c>
    </row>
    <row r="39" spans="2:42" ht="13.8" x14ac:dyDescent="0.25">
      <c r="B39" s="531" t="str">
        <f>'E-1 Off Site Hedge Baseline'!AK37</f>
        <v/>
      </c>
      <c r="C39" s="520" t="str">
        <f>IF(B39="","",IF(ISNA(VLOOKUP($B39,'E-1 Off Site Hedge Baseline'!$B$1:$L$257,3,FALSE)),"",(VLOOKUP($B39,'E-1 Off Site Hedge Baseline'!$B$1:$L$257,3,FALSE))))</f>
        <v/>
      </c>
      <c r="D39" s="520" t="str">
        <f>IF(B39="","",IF(ISNA(VLOOKUP($B39,'E-1 Off Site Hedge Baseline'!$B$1:$L$258,4,FALSE)),"",(VLOOKUP($B39,'E-1 Off Site Hedge Baseline'!$B$1:$L$258,4,FALSE))))</f>
        <v/>
      </c>
      <c r="E39" s="520" t="str">
        <f>IF(B39="","",IF(ISNA(VLOOKUP($B39,'E-1 Off Site Hedge Baseline'!$B$1:$L$257,5,FALSE)),"",(VLOOKUP($B39,'E-1 Off Site Hedge Baseline'!$B$1:$L$257,5,FALSE))))</f>
        <v/>
      </c>
      <c r="F39" s="520" t="str">
        <f>IF(B39="","",IF(ISNA(VLOOKUP($B39,'E-1 Off Site Hedge Baseline'!$B$1:$L$257,6,FALSE)),"",(VLOOKUP($B39,'E-1 Off Site Hedge Baseline'!$B$1:$L$257,6,FALSE))))</f>
        <v/>
      </c>
      <c r="G39" s="520" t="str">
        <f>IF(B39="","",IF(ISNA(VLOOKUP($B39,'E-1 Off Site Hedge Baseline'!$B$1:$L$257,7,FALSE)),"",(VLOOKUP($B39,'E-1 Off Site Hedge Baseline'!$B$1:$L$257,7,FALSE))))</f>
        <v/>
      </c>
      <c r="H39" s="520" t="str">
        <f>IF(B39="","",IF(ISNA(VLOOKUP($B39,'E-1 Off Site Hedge Baseline'!$B$1:$L$257,8,FALSE)),"",(VLOOKUP($B39,'E-1 Off Site Hedge Baseline'!$B$1:$L$257,8,FALSE))))</f>
        <v/>
      </c>
      <c r="I39" s="520" t="str">
        <f>IF(B39="","",IF(ISNA(VLOOKUP($B39,'E-1 Off Site Hedge Baseline'!$B$1:$L$257,10,FALSE)),"",(VLOOKUP($B39,'E-1 Off Site Hedge Baseline'!$B$1:$L$257,10,FALSE))))</f>
        <v/>
      </c>
      <c r="J39" s="520" t="str">
        <f>IF(B39="","",IF(ISNA(VLOOKUP($B39,'E-1 Off Site Hedge Baseline'!$B$1:$L$257,11,FALSE)),"",(VLOOKUP($B39,'E-1 Off Site Hedge Baseline'!$B$1:$L$257,11,FALSE))))</f>
        <v/>
      </c>
      <c r="K39" s="520" t="str">
        <f>IF(B39="","",IF(ISNA(VLOOKUP($B39,'E-1 Off Site Hedge Baseline'!$B$1:$U$257,113,FALSE)),"",(VLOOKUP($B39,'E-1 Off Site Hedge Baseline'!$B$1:$U$257,13,FALSE))))</f>
        <v/>
      </c>
      <c r="L39" s="507" t="str">
        <f>IF(B39="","",IF(ISNA(VLOOKUP($B39,'E-1 Off Site Hedge Baseline'!$B$1:$U$257,12,FALSE)),"",(VLOOKUP($B39,'E-1 Off Site Hedge Baseline'!$B$1:$U$257,12,FALSE))))</f>
        <v/>
      </c>
      <c r="M39" s="418" t="str">
        <f t="shared" si="8"/>
        <v/>
      </c>
      <c r="N39" s="498" t="str">
        <f>IFERROR(IF(B39="","",INDEX('G-6 Hedgerow Data'!$AN$3:$AZ$15,MATCH(C39,'G-6 Hedgerow Data'!$AM$3:$AM$15,0),MATCH(M39,'G-6 Hedgerow Data'!$AN$2:$AZ$2,0))),"")</f>
        <v/>
      </c>
      <c r="O39" s="499" t="str">
        <f t="shared" si="2"/>
        <v/>
      </c>
      <c r="P39" s="505" t="str">
        <f>IF(B39="","",VLOOKUP(B39,'E-1 Off Site Hedge Baseline'!$B$10:T284,16,FALSE))</f>
        <v/>
      </c>
      <c r="Q39" s="498" t="str">
        <f>IF(M39="","",VLOOKUP(M39,'G-6 Hedgerow Data'!$B$2:$AG$15,2,FALSE))</f>
        <v/>
      </c>
      <c r="R39" s="499" t="str">
        <f>IF(M39="","",VLOOKUP(M39,'G-6 Hedgerow Data'!$B$2:$AG$15,3,FALSE))</f>
        <v/>
      </c>
      <c r="S39" s="145"/>
      <c r="T39" s="499" t="str">
        <f>IFERROR(IF(AND(Q39="V.Low",OR(S39="Good",S39="Moderate")),"Error ▲",VLOOKUP(S39,'G-1 All Habitats'!$Z$2:$AA$9,2,FALSE)),"")</f>
        <v/>
      </c>
      <c r="U39" s="145"/>
      <c r="V39" s="507" t="str">
        <f>IF(U39="","",IF(VLOOKUP(U39,'G-3 Multipliers'!$L$3:$N$6,2,FALSE)=0,"Spatial Data Missing ⚠",VLOOKUP(U39,'G-3 Multipliers'!$L$3:$N$6,2,FALSE)))</f>
        <v/>
      </c>
      <c r="W39" s="505"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20" t="str">
        <f t="shared" si="5"/>
        <v/>
      </c>
      <c r="AF39" s="520" t="str">
        <f t="shared" si="6"/>
        <v/>
      </c>
      <c r="AG39" s="524" t="str">
        <f>IFERROR(IF(O39="","",VLOOKUP(AD39,'G-3 Multipliers'!$P$3:$Q$6,2,FALSE)),"")</f>
        <v/>
      </c>
      <c r="AH39" s="197"/>
      <c r="AI39" s="499" t="str">
        <f>IF(AH39="","",IF(VLOOKUP(AH39,'G-3 Multipliers'!$S$3:$T$6,2,FALSE)=0,"Spatial Data Missing ⚠",VLOOKUP(AH39,'G-3 Multipliers'!$S$3:$T$6,2,FALSE)))</f>
        <v/>
      </c>
      <c r="AJ39" s="545" t="str">
        <f t="shared" si="7"/>
        <v/>
      </c>
      <c r="AK39" s="149"/>
      <c r="AL39" s="150"/>
      <c r="AP39" s="31" t="str">
        <f>IFERROR(INDEX('G-6 Hedgerow Data'!$BJ$3:$BJ$15,MATCH(M39,'G-6 Hedgerow Data'!$B$3:$B$15,0)),"")</f>
        <v/>
      </c>
    </row>
    <row r="40" spans="2:42" ht="13.8" x14ac:dyDescent="0.25">
      <c r="B40" s="531" t="str">
        <f>'E-1 Off Site Hedge Baseline'!AK38</f>
        <v/>
      </c>
      <c r="C40" s="520" t="str">
        <f>IF(B40="","",IF(ISNA(VLOOKUP($B40,'E-1 Off Site Hedge Baseline'!$B$1:$L$257,3,FALSE)),"",(VLOOKUP($B40,'E-1 Off Site Hedge Baseline'!$B$1:$L$257,3,FALSE))))</f>
        <v/>
      </c>
      <c r="D40" s="520" t="str">
        <f>IF(B40="","",IF(ISNA(VLOOKUP($B40,'E-1 Off Site Hedge Baseline'!$B$1:$L$258,4,FALSE)),"",(VLOOKUP($B40,'E-1 Off Site Hedge Baseline'!$B$1:$L$258,4,FALSE))))</f>
        <v/>
      </c>
      <c r="E40" s="520" t="str">
        <f>IF(B40="","",IF(ISNA(VLOOKUP($B40,'E-1 Off Site Hedge Baseline'!$B$1:$L$257,5,FALSE)),"",(VLOOKUP($B40,'E-1 Off Site Hedge Baseline'!$B$1:$L$257,5,FALSE))))</f>
        <v/>
      </c>
      <c r="F40" s="520" t="str">
        <f>IF(B40="","",IF(ISNA(VLOOKUP($B40,'E-1 Off Site Hedge Baseline'!$B$1:$L$257,6,FALSE)),"",(VLOOKUP($B40,'E-1 Off Site Hedge Baseline'!$B$1:$L$257,6,FALSE))))</f>
        <v/>
      </c>
      <c r="G40" s="520" t="str">
        <f>IF(B40="","",IF(ISNA(VLOOKUP($B40,'E-1 Off Site Hedge Baseline'!$B$1:$L$257,7,FALSE)),"",(VLOOKUP($B40,'E-1 Off Site Hedge Baseline'!$B$1:$L$257,7,FALSE))))</f>
        <v/>
      </c>
      <c r="H40" s="520" t="str">
        <f>IF(B40="","",IF(ISNA(VLOOKUP($B40,'E-1 Off Site Hedge Baseline'!$B$1:$L$257,8,FALSE)),"",(VLOOKUP($B40,'E-1 Off Site Hedge Baseline'!$B$1:$L$257,8,FALSE))))</f>
        <v/>
      </c>
      <c r="I40" s="520" t="str">
        <f>IF(B40="","",IF(ISNA(VLOOKUP($B40,'E-1 Off Site Hedge Baseline'!$B$1:$L$257,10,FALSE)),"",(VLOOKUP($B40,'E-1 Off Site Hedge Baseline'!$B$1:$L$257,10,FALSE))))</f>
        <v/>
      </c>
      <c r="J40" s="520" t="str">
        <f>IF(B40="","",IF(ISNA(VLOOKUP($B40,'E-1 Off Site Hedge Baseline'!$B$1:$L$257,11,FALSE)),"",(VLOOKUP($B40,'E-1 Off Site Hedge Baseline'!$B$1:$L$257,11,FALSE))))</f>
        <v/>
      </c>
      <c r="K40" s="520" t="str">
        <f>IF(B40="","",IF(ISNA(VLOOKUP($B40,'E-1 Off Site Hedge Baseline'!$B$1:$U$257,113,FALSE)),"",(VLOOKUP($B40,'E-1 Off Site Hedge Baseline'!$B$1:$U$257,13,FALSE))))</f>
        <v/>
      </c>
      <c r="L40" s="507" t="str">
        <f>IF(B40="","",IF(ISNA(VLOOKUP($B40,'E-1 Off Site Hedge Baseline'!$B$1:$U$257,12,FALSE)),"",(VLOOKUP($B40,'E-1 Off Site Hedge Baseline'!$B$1:$U$257,12,FALSE))))</f>
        <v/>
      </c>
      <c r="M40" s="418" t="str">
        <f t="shared" si="8"/>
        <v/>
      </c>
      <c r="N40" s="498" t="str">
        <f>IFERROR(IF(B40="","",INDEX('G-6 Hedgerow Data'!$AN$3:$AZ$15,MATCH(C40,'G-6 Hedgerow Data'!$AM$3:$AM$15,0),MATCH(M40,'G-6 Hedgerow Data'!$AN$2:$AZ$2,0))),"")</f>
        <v/>
      </c>
      <c r="O40" s="499" t="str">
        <f t="shared" si="2"/>
        <v/>
      </c>
      <c r="P40" s="505" t="str">
        <f>IF(B40="","",VLOOKUP(B40,'E-1 Off Site Hedge Baseline'!$B$10:T285,16,FALSE))</f>
        <v/>
      </c>
      <c r="Q40" s="498" t="str">
        <f>IF(M40="","",VLOOKUP(M40,'G-6 Hedgerow Data'!$B$2:$AG$15,2,FALSE))</f>
        <v/>
      </c>
      <c r="R40" s="499" t="str">
        <f>IF(M40="","",VLOOKUP(M40,'G-6 Hedgerow Data'!$B$2:$AG$15,3,FALSE))</f>
        <v/>
      </c>
      <c r="S40" s="145"/>
      <c r="T40" s="499" t="str">
        <f>IFERROR(IF(AND(Q40="V.Low",OR(S40="Good",S40="Moderate")),"Error ▲",VLOOKUP(S40,'G-1 All Habitats'!$Z$2:$AA$9,2,FALSE)),"")</f>
        <v/>
      </c>
      <c r="U40" s="145"/>
      <c r="V40" s="507" t="str">
        <f>IF(U40="","",IF(VLOOKUP(U40,'G-3 Multipliers'!$L$3:$N$6,2,FALSE)=0,"Spatial Data Missing ⚠",VLOOKUP(U40,'G-3 Multipliers'!$L$3:$N$6,2,FALSE)))</f>
        <v/>
      </c>
      <c r="W40" s="505"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20" t="str">
        <f t="shared" si="5"/>
        <v/>
      </c>
      <c r="AF40" s="520" t="str">
        <f t="shared" si="6"/>
        <v/>
      </c>
      <c r="AG40" s="524" t="str">
        <f>IFERROR(IF(O40="","",VLOOKUP(AD40,'G-3 Multipliers'!$P$3:$Q$6,2,FALSE)),"")</f>
        <v/>
      </c>
      <c r="AH40" s="197"/>
      <c r="AI40" s="499" t="str">
        <f>IF(AH40="","",IF(VLOOKUP(AH40,'G-3 Multipliers'!$S$3:$T$6,2,FALSE)=0,"Spatial Data Missing ⚠",VLOOKUP(AH40,'G-3 Multipliers'!$S$3:$T$6,2,FALSE)))</f>
        <v/>
      </c>
      <c r="AJ40" s="545" t="str">
        <f t="shared" si="7"/>
        <v/>
      </c>
      <c r="AK40" s="149"/>
      <c r="AL40" s="150"/>
      <c r="AP40" s="31" t="str">
        <f>IFERROR(INDEX('G-6 Hedgerow Data'!$BJ$3:$BJ$15,MATCH(M40,'G-6 Hedgerow Data'!$B$3:$B$15,0)),"")</f>
        <v/>
      </c>
    </row>
    <row r="41" spans="2:42" ht="13.8" x14ac:dyDescent="0.25">
      <c r="B41" s="531" t="str">
        <f>'E-1 Off Site Hedge Baseline'!AK39</f>
        <v/>
      </c>
      <c r="C41" s="520" t="str">
        <f>IF(B41="","",IF(ISNA(VLOOKUP($B41,'E-1 Off Site Hedge Baseline'!$B$1:$L$257,3,FALSE)),"",(VLOOKUP($B41,'E-1 Off Site Hedge Baseline'!$B$1:$L$257,3,FALSE))))</f>
        <v/>
      </c>
      <c r="D41" s="520" t="str">
        <f>IF(B41="","",IF(ISNA(VLOOKUP($B41,'E-1 Off Site Hedge Baseline'!$B$1:$L$258,4,FALSE)),"",(VLOOKUP($B41,'E-1 Off Site Hedge Baseline'!$B$1:$L$258,4,FALSE))))</f>
        <v/>
      </c>
      <c r="E41" s="520" t="str">
        <f>IF(B41="","",IF(ISNA(VLOOKUP($B41,'E-1 Off Site Hedge Baseline'!$B$1:$L$257,5,FALSE)),"",(VLOOKUP($B41,'E-1 Off Site Hedge Baseline'!$B$1:$L$257,5,FALSE))))</f>
        <v/>
      </c>
      <c r="F41" s="520" t="str">
        <f>IF(B41="","",IF(ISNA(VLOOKUP($B41,'E-1 Off Site Hedge Baseline'!$B$1:$L$257,6,FALSE)),"",(VLOOKUP($B41,'E-1 Off Site Hedge Baseline'!$B$1:$L$257,6,FALSE))))</f>
        <v/>
      </c>
      <c r="G41" s="520" t="str">
        <f>IF(B41="","",IF(ISNA(VLOOKUP($B41,'E-1 Off Site Hedge Baseline'!$B$1:$L$257,7,FALSE)),"",(VLOOKUP($B41,'E-1 Off Site Hedge Baseline'!$B$1:$L$257,7,FALSE))))</f>
        <v/>
      </c>
      <c r="H41" s="520" t="str">
        <f>IF(B41="","",IF(ISNA(VLOOKUP($B41,'E-1 Off Site Hedge Baseline'!$B$1:$L$257,8,FALSE)),"",(VLOOKUP($B41,'E-1 Off Site Hedge Baseline'!$B$1:$L$257,8,FALSE))))</f>
        <v/>
      </c>
      <c r="I41" s="520" t="str">
        <f>IF(B41="","",IF(ISNA(VLOOKUP($B41,'E-1 Off Site Hedge Baseline'!$B$1:$L$257,10,FALSE)),"",(VLOOKUP($B41,'E-1 Off Site Hedge Baseline'!$B$1:$L$257,10,FALSE))))</f>
        <v/>
      </c>
      <c r="J41" s="520" t="str">
        <f>IF(B41="","",IF(ISNA(VLOOKUP($B41,'E-1 Off Site Hedge Baseline'!$B$1:$L$257,11,FALSE)),"",(VLOOKUP($B41,'E-1 Off Site Hedge Baseline'!$B$1:$L$257,11,FALSE))))</f>
        <v/>
      </c>
      <c r="K41" s="520" t="str">
        <f>IF(B41="","",IF(ISNA(VLOOKUP($B41,'E-1 Off Site Hedge Baseline'!$B$1:$U$257,113,FALSE)),"",(VLOOKUP($B41,'E-1 Off Site Hedge Baseline'!$B$1:$U$257,13,FALSE))))</f>
        <v/>
      </c>
      <c r="L41" s="507" t="str">
        <f>IF(B41="","",IF(ISNA(VLOOKUP($B41,'E-1 Off Site Hedge Baseline'!$B$1:$U$257,12,FALSE)),"",(VLOOKUP($B41,'E-1 Off Site Hedge Baseline'!$B$1:$U$257,12,FALSE))))</f>
        <v/>
      </c>
      <c r="M41" s="418" t="str">
        <f t="shared" si="8"/>
        <v/>
      </c>
      <c r="N41" s="498" t="str">
        <f>IFERROR(IF(B41="","",INDEX('G-6 Hedgerow Data'!$AN$3:$AZ$15,MATCH(C41,'G-6 Hedgerow Data'!$AM$3:$AM$15,0),MATCH(M41,'G-6 Hedgerow Data'!$AN$2:$AZ$2,0))),"")</f>
        <v/>
      </c>
      <c r="O41" s="499" t="str">
        <f t="shared" si="2"/>
        <v/>
      </c>
      <c r="P41" s="505" t="str">
        <f>IF(B41="","",VLOOKUP(B41,'E-1 Off Site Hedge Baseline'!$B$10:T286,16,FALSE))</f>
        <v/>
      </c>
      <c r="Q41" s="498" t="str">
        <f>IF(M41="","",VLOOKUP(M41,'G-6 Hedgerow Data'!$B$2:$AG$15,2,FALSE))</f>
        <v/>
      </c>
      <c r="R41" s="499" t="str">
        <f>IF(M41="","",VLOOKUP(M41,'G-6 Hedgerow Data'!$B$2:$AG$15,3,FALSE))</f>
        <v/>
      </c>
      <c r="S41" s="145"/>
      <c r="T41" s="499" t="str">
        <f>IFERROR(IF(AND(Q41="V.Low",OR(S41="Good",S41="Moderate")),"Error ▲",VLOOKUP(S41,'G-1 All Habitats'!$Z$2:$AA$9,2,FALSE)),"")</f>
        <v/>
      </c>
      <c r="U41" s="145"/>
      <c r="V41" s="507" t="str">
        <f>IF(U41="","",IF(VLOOKUP(U41,'G-3 Multipliers'!$L$3:$N$6,2,FALSE)=0,"Spatial Data Missing ⚠",VLOOKUP(U41,'G-3 Multipliers'!$L$3:$N$6,2,FALSE)))</f>
        <v/>
      </c>
      <c r="W41" s="505"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20" t="str">
        <f t="shared" si="5"/>
        <v/>
      </c>
      <c r="AF41" s="520" t="str">
        <f t="shared" si="6"/>
        <v/>
      </c>
      <c r="AG41" s="524" t="str">
        <f>IFERROR(IF(O41="","",VLOOKUP(AD41,'G-3 Multipliers'!$P$3:$Q$6,2,FALSE)),"")</f>
        <v/>
      </c>
      <c r="AH41" s="197"/>
      <c r="AI41" s="499" t="str">
        <f>IF(AH41="","",IF(VLOOKUP(AH41,'G-3 Multipliers'!$S$3:$T$6,2,FALSE)=0,"Spatial Data Missing ⚠",VLOOKUP(AH41,'G-3 Multipliers'!$S$3:$T$6,2,FALSE)))</f>
        <v/>
      </c>
      <c r="AJ41" s="545" t="str">
        <f t="shared" si="7"/>
        <v/>
      </c>
      <c r="AK41" s="149"/>
      <c r="AL41" s="150"/>
      <c r="AP41" s="31" t="str">
        <f>IFERROR(INDEX('G-6 Hedgerow Data'!$BJ$3:$BJ$15,MATCH(M41,'G-6 Hedgerow Data'!$B$3:$B$15,0)),"")</f>
        <v/>
      </c>
    </row>
    <row r="42" spans="2:42" ht="13.8" x14ac:dyDescent="0.25">
      <c r="B42" s="531" t="str">
        <f>'E-1 Off Site Hedge Baseline'!AK40</f>
        <v/>
      </c>
      <c r="C42" s="520" t="str">
        <f>IF(B42="","",IF(ISNA(VLOOKUP($B42,'E-1 Off Site Hedge Baseline'!$B$1:$L$257,3,FALSE)),"",(VLOOKUP($B42,'E-1 Off Site Hedge Baseline'!$B$1:$L$257,3,FALSE))))</f>
        <v/>
      </c>
      <c r="D42" s="520" t="str">
        <f>IF(B42="","",IF(ISNA(VLOOKUP($B42,'E-1 Off Site Hedge Baseline'!$B$1:$L$258,4,FALSE)),"",(VLOOKUP($B42,'E-1 Off Site Hedge Baseline'!$B$1:$L$258,4,FALSE))))</f>
        <v/>
      </c>
      <c r="E42" s="520" t="str">
        <f>IF(B42="","",IF(ISNA(VLOOKUP($B42,'E-1 Off Site Hedge Baseline'!$B$1:$L$257,5,FALSE)),"",(VLOOKUP($B42,'E-1 Off Site Hedge Baseline'!$B$1:$L$257,5,FALSE))))</f>
        <v/>
      </c>
      <c r="F42" s="520" t="str">
        <f>IF(B42="","",IF(ISNA(VLOOKUP($B42,'E-1 Off Site Hedge Baseline'!$B$1:$L$257,6,FALSE)),"",(VLOOKUP($B42,'E-1 Off Site Hedge Baseline'!$B$1:$L$257,6,FALSE))))</f>
        <v/>
      </c>
      <c r="G42" s="520" t="str">
        <f>IF(B42="","",IF(ISNA(VLOOKUP($B42,'E-1 Off Site Hedge Baseline'!$B$1:$L$257,7,FALSE)),"",(VLOOKUP($B42,'E-1 Off Site Hedge Baseline'!$B$1:$L$257,7,FALSE))))</f>
        <v/>
      </c>
      <c r="H42" s="520" t="str">
        <f>IF(B42="","",IF(ISNA(VLOOKUP($B42,'E-1 Off Site Hedge Baseline'!$B$1:$L$257,8,FALSE)),"",(VLOOKUP($B42,'E-1 Off Site Hedge Baseline'!$B$1:$L$257,8,FALSE))))</f>
        <v/>
      </c>
      <c r="I42" s="520" t="str">
        <f>IF(B42="","",IF(ISNA(VLOOKUP($B42,'E-1 Off Site Hedge Baseline'!$B$1:$L$257,10,FALSE)),"",(VLOOKUP($B42,'E-1 Off Site Hedge Baseline'!$B$1:$L$257,10,FALSE))))</f>
        <v/>
      </c>
      <c r="J42" s="520" t="str">
        <f>IF(B42="","",IF(ISNA(VLOOKUP($B42,'E-1 Off Site Hedge Baseline'!$B$1:$L$257,11,FALSE)),"",(VLOOKUP($B42,'E-1 Off Site Hedge Baseline'!$B$1:$L$257,11,FALSE))))</f>
        <v/>
      </c>
      <c r="K42" s="520" t="str">
        <f>IF(B42="","",IF(ISNA(VLOOKUP($B42,'E-1 Off Site Hedge Baseline'!$B$1:$U$257,113,FALSE)),"",(VLOOKUP($B42,'E-1 Off Site Hedge Baseline'!$B$1:$U$257,13,FALSE))))</f>
        <v/>
      </c>
      <c r="L42" s="507" t="str">
        <f>IF(B42="","",IF(ISNA(VLOOKUP($B42,'E-1 Off Site Hedge Baseline'!$B$1:$U$257,12,FALSE)),"",(VLOOKUP($B42,'E-1 Off Site Hedge Baseline'!$B$1:$U$257,12,FALSE))))</f>
        <v/>
      </c>
      <c r="M42" s="418" t="str">
        <f t="shared" si="8"/>
        <v/>
      </c>
      <c r="N42" s="498" t="str">
        <f>IFERROR(IF(B42="","",INDEX('G-6 Hedgerow Data'!$AN$3:$AZ$15,MATCH(C42,'G-6 Hedgerow Data'!$AM$3:$AM$15,0),MATCH(M42,'G-6 Hedgerow Data'!$AN$2:$AZ$2,0))),"")</f>
        <v/>
      </c>
      <c r="O42" s="499" t="str">
        <f t="shared" si="2"/>
        <v/>
      </c>
      <c r="P42" s="505" t="str">
        <f>IF(B42="","",VLOOKUP(B42,'E-1 Off Site Hedge Baseline'!$B$10:T287,16,FALSE))</f>
        <v/>
      </c>
      <c r="Q42" s="498" t="str">
        <f>IF(M42="","",VLOOKUP(M42,'G-6 Hedgerow Data'!$B$2:$AG$15,2,FALSE))</f>
        <v/>
      </c>
      <c r="R42" s="499" t="str">
        <f>IF(M42="","",VLOOKUP(M42,'G-6 Hedgerow Data'!$B$2:$AG$15,3,FALSE))</f>
        <v/>
      </c>
      <c r="S42" s="145"/>
      <c r="T42" s="499" t="str">
        <f>IFERROR(IF(AND(Q42="V.Low",OR(S42="Good",S42="Moderate")),"Error ▲",VLOOKUP(S42,'G-1 All Habitats'!$Z$2:$AA$9,2,FALSE)),"")</f>
        <v/>
      </c>
      <c r="U42" s="145"/>
      <c r="V42" s="507" t="str">
        <f>IF(U42="","",IF(VLOOKUP(U42,'G-3 Multipliers'!$L$3:$N$6,2,FALSE)=0,"Spatial Data Missing ⚠",VLOOKUP(U42,'G-3 Multipliers'!$L$3:$N$6,2,FALSE)))</f>
        <v/>
      </c>
      <c r="W42" s="505"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20" t="str">
        <f t="shared" si="5"/>
        <v/>
      </c>
      <c r="AF42" s="520" t="str">
        <f t="shared" si="6"/>
        <v/>
      </c>
      <c r="AG42" s="524" t="str">
        <f>IFERROR(IF(O42="","",VLOOKUP(AD42,'G-3 Multipliers'!$P$3:$Q$6,2,FALSE)),"")</f>
        <v/>
      </c>
      <c r="AH42" s="197"/>
      <c r="AI42" s="499" t="str">
        <f>IF(AH42="","",IF(VLOOKUP(AH42,'G-3 Multipliers'!$S$3:$T$6,2,FALSE)=0,"Spatial Data Missing ⚠",VLOOKUP(AH42,'G-3 Multipliers'!$S$3:$T$6,2,FALSE)))</f>
        <v/>
      </c>
      <c r="AJ42" s="545" t="str">
        <f t="shared" si="7"/>
        <v/>
      </c>
      <c r="AK42" s="149"/>
      <c r="AL42" s="150"/>
      <c r="AP42" s="31" t="str">
        <f>IFERROR(INDEX('G-6 Hedgerow Data'!$BJ$3:$BJ$15,MATCH(M42,'G-6 Hedgerow Data'!$B$3:$B$15,0)),"")</f>
        <v/>
      </c>
    </row>
    <row r="43" spans="2:42" ht="13.8" x14ac:dyDescent="0.25">
      <c r="B43" s="531" t="str">
        <f>'E-1 Off Site Hedge Baseline'!AK41</f>
        <v/>
      </c>
      <c r="C43" s="520" t="str">
        <f>IF(B43="","",IF(ISNA(VLOOKUP($B43,'E-1 Off Site Hedge Baseline'!$B$1:$L$257,3,FALSE)),"",(VLOOKUP($B43,'E-1 Off Site Hedge Baseline'!$B$1:$L$257,3,FALSE))))</f>
        <v/>
      </c>
      <c r="D43" s="520" t="str">
        <f>IF(B43="","",IF(ISNA(VLOOKUP($B43,'E-1 Off Site Hedge Baseline'!$B$1:$L$258,4,FALSE)),"",(VLOOKUP($B43,'E-1 Off Site Hedge Baseline'!$B$1:$L$258,4,FALSE))))</f>
        <v/>
      </c>
      <c r="E43" s="520" t="str">
        <f>IF(B43="","",IF(ISNA(VLOOKUP($B43,'E-1 Off Site Hedge Baseline'!$B$1:$L$257,5,FALSE)),"",(VLOOKUP($B43,'E-1 Off Site Hedge Baseline'!$B$1:$L$257,5,FALSE))))</f>
        <v/>
      </c>
      <c r="F43" s="520" t="str">
        <f>IF(B43="","",IF(ISNA(VLOOKUP($B43,'E-1 Off Site Hedge Baseline'!$B$1:$L$257,6,FALSE)),"",(VLOOKUP($B43,'E-1 Off Site Hedge Baseline'!$B$1:$L$257,6,FALSE))))</f>
        <v/>
      </c>
      <c r="G43" s="520" t="str">
        <f>IF(B43="","",IF(ISNA(VLOOKUP($B43,'E-1 Off Site Hedge Baseline'!$B$1:$L$257,7,FALSE)),"",(VLOOKUP($B43,'E-1 Off Site Hedge Baseline'!$B$1:$L$257,7,FALSE))))</f>
        <v/>
      </c>
      <c r="H43" s="520" t="str">
        <f>IF(B43="","",IF(ISNA(VLOOKUP($B43,'E-1 Off Site Hedge Baseline'!$B$1:$L$257,8,FALSE)),"",(VLOOKUP($B43,'E-1 Off Site Hedge Baseline'!$B$1:$L$257,8,FALSE))))</f>
        <v/>
      </c>
      <c r="I43" s="520" t="str">
        <f>IF(B43="","",IF(ISNA(VLOOKUP($B43,'E-1 Off Site Hedge Baseline'!$B$1:$L$257,10,FALSE)),"",(VLOOKUP($B43,'E-1 Off Site Hedge Baseline'!$B$1:$L$257,10,FALSE))))</f>
        <v/>
      </c>
      <c r="J43" s="520" t="str">
        <f>IF(B43="","",IF(ISNA(VLOOKUP($B43,'E-1 Off Site Hedge Baseline'!$B$1:$L$257,11,FALSE)),"",(VLOOKUP($B43,'E-1 Off Site Hedge Baseline'!$B$1:$L$257,11,FALSE))))</f>
        <v/>
      </c>
      <c r="K43" s="520" t="str">
        <f>IF(B43="","",IF(ISNA(VLOOKUP($B43,'E-1 Off Site Hedge Baseline'!$B$1:$U$257,113,FALSE)),"",(VLOOKUP($B43,'E-1 Off Site Hedge Baseline'!$B$1:$U$257,13,FALSE))))</f>
        <v/>
      </c>
      <c r="L43" s="507" t="str">
        <f>IF(B43="","",IF(ISNA(VLOOKUP($B43,'E-1 Off Site Hedge Baseline'!$B$1:$U$257,12,FALSE)),"",(VLOOKUP($B43,'E-1 Off Site Hedge Baseline'!$B$1:$U$257,12,FALSE))))</f>
        <v/>
      </c>
      <c r="M43" s="418" t="str">
        <f t="shared" si="8"/>
        <v/>
      </c>
      <c r="N43" s="498" t="str">
        <f>IFERROR(IF(B43="","",INDEX('G-6 Hedgerow Data'!$AN$3:$AZ$15,MATCH(C43,'G-6 Hedgerow Data'!$AM$3:$AM$15,0),MATCH(M43,'G-6 Hedgerow Data'!$AN$2:$AZ$2,0))),"")</f>
        <v/>
      </c>
      <c r="O43" s="499" t="str">
        <f t="shared" si="2"/>
        <v/>
      </c>
      <c r="P43" s="505" t="str">
        <f>IF(B43="","",VLOOKUP(B43,'E-1 Off Site Hedge Baseline'!$B$10:T288,16,FALSE))</f>
        <v/>
      </c>
      <c r="Q43" s="498" t="str">
        <f>IF(M43="","",VLOOKUP(M43,'G-6 Hedgerow Data'!$B$2:$AG$15,2,FALSE))</f>
        <v/>
      </c>
      <c r="R43" s="499" t="str">
        <f>IF(M43="","",VLOOKUP(M43,'G-6 Hedgerow Data'!$B$2:$AG$15,3,FALSE))</f>
        <v/>
      </c>
      <c r="S43" s="145"/>
      <c r="T43" s="499" t="str">
        <f>IFERROR(IF(AND(Q43="V.Low",OR(S43="Good",S43="Moderate")),"Error ▲",VLOOKUP(S43,'G-1 All Habitats'!$Z$2:$AA$9,2,FALSE)),"")</f>
        <v/>
      </c>
      <c r="U43" s="145"/>
      <c r="V43" s="507" t="str">
        <f>IF(U43="","",IF(VLOOKUP(U43,'G-3 Multipliers'!$L$3:$N$6,2,FALSE)=0,"Spatial Data Missing ⚠",VLOOKUP(U43,'G-3 Multipliers'!$L$3:$N$6,2,FALSE)))</f>
        <v/>
      </c>
      <c r="W43" s="505"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20" t="str">
        <f t="shared" si="5"/>
        <v/>
      </c>
      <c r="AF43" s="520" t="str">
        <f t="shared" si="6"/>
        <v/>
      </c>
      <c r="AG43" s="524" t="str">
        <f>IFERROR(IF(O43="","",VLOOKUP(AD43,'G-3 Multipliers'!$P$3:$Q$6,2,FALSE)),"")</f>
        <v/>
      </c>
      <c r="AH43" s="197"/>
      <c r="AI43" s="499" t="str">
        <f>IF(AH43="","",IF(VLOOKUP(AH43,'G-3 Multipliers'!$S$3:$T$6,2,FALSE)=0,"Spatial Data Missing ⚠",VLOOKUP(AH43,'G-3 Multipliers'!$S$3:$T$6,2,FALSE)))</f>
        <v/>
      </c>
      <c r="AJ43" s="545" t="str">
        <f t="shared" si="7"/>
        <v/>
      </c>
      <c r="AK43" s="149"/>
      <c r="AL43" s="150"/>
      <c r="AP43" s="31" t="str">
        <f>IFERROR(INDEX('G-6 Hedgerow Data'!$BJ$3:$BJ$15,MATCH(M43,'G-6 Hedgerow Data'!$B$3:$B$15,0)),"")</f>
        <v/>
      </c>
    </row>
    <row r="44" spans="2:42" ht="13.8" x14ac:dyDescent="0.25">
      <c r="B44" s="531" t="str">
        <f>'E-1 Off Site Hedge Baseline'!AK42</f>
        <v/>
      </c>
      <c r="C44" s="520" t="str">
        <f>IF(B44="","",IF(ISNA(VLOOKUP($B44,'E-1 Off Site Hedge Baseline'!$B$1:$L$257,3,FALSE)),"",(VLOOKUP($B44,'E-1 Off Site Hedge Baseline'!$B$1:$L$257,3,FALSE))))</f>
        <v/>
      </c>
      <c r="D44" s="520" t="str">
        <f>IF(B44="","",IF(ISNA(VLOOKUP($B44,'E-1 Off Site Hedge Baseline'!$B$1:$L$258,4,FALSE)),"",(VLOOKUP($B44,'E-1 Off Site Hedge Baseline'!$B$1:$L$258,4,FALSE))))</f>
        <v/>
      </c>
      <c r="E44" s="520" t="str">
        <f>IF(B44="","",IF(ISNA(VLOOKUP($B44,'E-1 Off Site Hedge Baseline'!$B$1:$L$257,5,FALSE)),"",(VLOOKUP($B44,'E-1 Off Site Hedge Baseline'!$B$1:$L$257,5,FALSE))))</f>
        <v/>
      </c>
      <c r="F44" s="520" t="str">
        <f>IF(B44="","",IF(ISNA(VLOOKUP($B44,'E-1 Off Site Hedge Baseline'!$B$1:$L$257,6,FALSE)),"",(VLOOKUP($B44,'E-1 Off Site Hedge Baseline'!$B$1:$L$257,6,FALSE))))</f>
        <v/>
      </c>
      <c r="G44" s="520" t="str">
        <f>IF(B44="","",IF(ISNA(VLOOKUP($B44,'E-1 Off Site Hedge Baseline'!$B$1:$L$257,7,FALSE)),"",(VLOOKUP($B44,'E-1 Off Site Hedge Baseline'!$B$1:$L$257,7,FALSE))))</f>
        <v/>
      </c>
      <c r="H44" s="520" t="str">
        <f>IF(B44="","",IF(ISNA(VLOOKUP($B44,'E-1 Off Site Hedge Baseline'!$B$1:$L$257,8,FALSE)),"",(VLOOKUP($B44,'E-1 Off Site Hedge Baseline'!$B$1:$L$257,8,FALSE))))</f>
        <v/>
      </c>
      <c r="I44" s="520" t="str">
        <f>IF(B44="","",IF(ISNA(VLOOKUP($B44,'E-1 Off Site Hedge Baseline'!$B$1:$L$257,10,FALSE)),"",(VLOOKUP($B44,'E-1 Off Site Hedge Baseline'!$B$1:$L$257,10,FALSE))))</f>
        <v/>
      </c>
      <c r="J44" s="520" t="str">
        <f>IF(B44="","",IF(ISNA(VLOOKUP($B44,'E-1 Off Site Hedge Baseline'!$B$1:$L$257,11,FALSE)),"",(VLOOKUP($B44,'E-1 Off Site Hedge Baseline'!$B$1:$L$257,11,FALSE))))</f>
        <v/>
      </c>
      <c r="K44" s="520" t="str">
        <f>IF(B44="","",IF(ISNA(VLOOKUP($B44,'E-1 Off Site Hedge Baseline'!$B$1:$U$257,113,FALSE)),"",(VLOOKUP($B44,'E-1 Off Site Hedge Baseline'!$B$1:$U$257,13,FALSE))))</f>
        <v/>
      </c>
      <c r="L44" s="507" t="str">
        <f>IF(B44="","",IF(ISNA(VLOOKUP($B44,'E-1 Off Site Hedge Baseline'!$B$1:$U$257,12,FALSE)),"",(VLOOKUP($B44,'E-1 Off Site Hedge Baseline'!$B$1:$U$257,12,FALSE))))</f>
        <v/>
      </c>
      <c r="M44" s="418" t="str">
        <f t="shared" si="8"/>
        <v/>
      </c>
      <c r="N44" s="498" t="str">
        <f>IFERROR(IF(B44="","",INDEX('G-6 Hedgerow Data'!$AN$3:$AZ$15,MATCH(C44,'G-6 Hedgerow Data'!$AM$3:$AM$15,0),MATCH(M44,'G-6 Hedgerow Data'!$AN$2:$AZ$2,0))),"")</f>
        <v/>
      </c>
      <c r="O44" s="499" t="str">
        <f t="shared" si="2"/>
        <v/>
      </c>
      <c r="P44" s="505" t="str">
        <f>IF(B44="","",VLOOKUP(B44,'E-1 Off Site Hedge Baseline'!$B$10:T289,16,FALSE))</f>
        <v/>
      </c>
      <c r="Q44" s="498" t="str">
        <f>IF(M44="","",VLOOKUP(M44,'G-6 Hedgerow Data'!$B$2:$AG$15,2,FALSE))</f>
        <v/>
      </c>
      <c r="R44" s="499" t="str">
        <f>IF(M44="","",VLOOKUP(M44,'G-6 Hedgerow Data'!$B$2:$AG$15,3,FALSE))</f>
        <v/>
      </c>
      <c r="S44" s="145"/>
      <c r="T44" s="499" t="str">
        <f>IFERROR(IF(AND(Q44="V.Low",OR(S44="Good",S44="Moderate")),"Error ▲",VLOOKUP(S44,'G-1 All Habitats'!$Z$2:$AA$9,2,FALSE)),"")</f>
        <v/>
      </c>
      <c r="U44" s="145"/>
      <c r="V44" s="507" t="str">
        <f>IF(U44="","",IF(VLOOKUP(U44,'G-3 Multipliers'!$L$3:$N$6,2,FALSE)=0,"Spatial Data Missing ⚠",VLOOKUP(U44,'G-3 Multipliers'!$L$3:$N$6,2,FALSE)))</f>
        <v/>
      </c>
      <c r="W44" s="505"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20" t="str">
        <f t="shared" si="5"/>
        <v/>
      </c>
      <c r="AF44" s="520" t="str">
        <f t="shared" si="6"/>
        <v/>
      </c>
      <c r="AG44" s="524" t="str">
        <f>IFERROR(IF(O44="","",VLOOKUP(AD44,'G-3 Multipliers'!$P$3:$Q$6,2,FALSE)),"")</f>
        <v/>
      </c>
      <c r="AH44" s="197"/>
      <c r="AI44" s="499" t="str">
        <f>IF(AH44="","",IF(VLOOKUP(AH44,'G-3 Multipliers'!$S$3:$T$6,2,FALSE)=0,"Spatial Data Missing ⚠",VLOOKUP(AH44,'G-3 Multipliers'!$S$3:$T$6,2,FALSE)))</f>
        <v/>
      </c>
      <c r="AJ44" s="545" t="str">
        <f t="shared" si="7"/>
        <v/>
      </c>
      <c r="AK44" s="149"/>
      <c r="AL44" s="150"/>
      <c r="AP44" s="31" t="str">
        <f>IFERROR(INDEX('G-6 Hedgerow Data'!$BJ$3:$BJ$15,MATCH(M44,'G-6 Hedgerow Data'!$B$3:$B$15,0)),"")</f>
        <v/>
      </c>
    </row>
    <row r="45" spans="2:42" ht="13.8" x14ac:dyDescent="0.25">
      <c r="B45" s="531" t="str">
        <f>'E-1 Off Site Hedge Baseline'!AK43</f>
        <v/>
      </c>
      <c r="C45" s="520" t="str">
        <f>IF(B45="","",IF(ISNA(VLOOKUP($B45,'E-1 Off Site Hedge Baseline'!$B$1:$L$257,3,FALSE)),"",(VLOOKUP($B45,'E-1 Off Site Hedge Baseline'!$B$1:$L$257,3,FALSE))))</f>
        <v/>
      </c>
      <c r="D45" s="520" t="str">
        <f>IF(B45="","",IF(ISNA(VLOOKUP($B45,'E-1 Off Site Hedge Baseline'!$B$1:$L$258,4,FALSE)),"",(VLOOKUP($B45,'E-1 Off Site Hedge Baseline'!$B$1:$L$258,4,FALSE))))</f>
        <v/>
      </c>
      <c r="E45" s="520" t="str">
        <f>IF(B45="","",IF(ISNA(VLOOKUP($B45,'E-1 Off Site Hedge Baseline'!$B$1:$L$257,5,FALSE)),"",(VLOOKUP($B45,'E-1 Off Site Hedge Baseline'!$B$1:$L$257,5,FALSE))))</f>
        <v/>
      </c>
      <c r="F45" s="520" t="str">
        <f>IF(B45="","",IF(ISNA(VLOOKUP($B45,'E-1 Off Site Hedge Baseline'!$B$1:$L$257,6,FALSE)),"",(VLOOKUP($B45,'E-1 Off Site Hedge Baseline'!$B$1:$L$257,6,FALSE))))</f>
        <v/>
      </c>
      <c r="G45" s="520" t="str">
        <f>IF(B45="","",IF(ISNA(VLOOKUP($B45,'E-1 Off Site Hedge Baseline'!$B$1:$L$257,7,FALSE)),"",(VLOOKUP($B45,'E-1 Off Site Hedge Baseline'!$B$1:$L$257,7,FALSE))))</f>
        <v/>
      </c>
      <c r="H45" s="520" t="str">
        <f>IF(B45="","",IF(ISNA(VLOOKUP($B45,'E-1 Off Site Hedge Baseline'!$B$1:$L$257,8,FALSE)),"",(VLOOKUP($B45,'E-1 Off Site Hedge Baseline'!$B$1:$L$257,8,FALSE))))</f>
        <v/>
      </c>
      <c r="I45" s="520" t="str">
        <f>IF(B45="","",IF(ISNA(VLOOKUP($B45,'E-1 Off Site Hedge Baseline'!$B$1:$L$257,10,FALSE)),"",(VLOOKUP($B45,'E-1 Off Site Hedge Baseline'!$B$1:$L$257,10,FALSE))))</f>
        <v/>
      </c>
      <c r="J45" s="520" t="str">
        <f>IF(B45="","",IF(ISNA(VLOOKUP($B45,'E-1 Off Site Hedge Baseline'!$B$1:$L$257,11,FALSE)),"",(VLOOKUP($B45,'E-1 Off Site Hedge Baseline'!$B$1:$L$257,11,FALSE))))</f>
        <v/>
      </c>
      <c r="K45" s="520" t="str">
        <f>IF(B45="","",IF(ISNA(VLOOKUP($B45,'E-1 Off Site Hedge Baseline'!$B$1:$U$257,113,FALSE)),"",(VLOOKUP($B45,'E-1 Off Site Hedge Baseline'!$B$1:$U$257,13,FALSE))))</f>
        <v/>
      </c>
      <c r="L45" s="507" t="str">
        <f>IF(B45="","",IF(ISNA(VLOOKUP($B45,'E-1 Off Site Hedge Baseline'!$B$1:$U$257,12,FALSE)),"",(VLOOKUP($B45,'E-1 Off Site Hedge Baseline'!$B$1:$U$257,12,FALSE))))</f>
        <v/>
      </c>
      <c r="M45" s="418" t="str">
        <f t="shared" si="8"/>
        <v/>
      </c>
      <c r="N45" s="498" t="str">
        <f>IFERROR(IF(B45="","",INDEX('G-6 Hedgerow Data'!$AN$3:$AZ$15,MATCH(C45,'G-6 Hedgerow Data'!$AM$3:$AM$15,0),MATCH(M45,'G-6 Hedgerow Data'!$AN$2:$AZ$2,0))),"")</f>
        <v/>
      </c>
      <c r="O45" s="499" t="str">
        <f t="shared" si="2"/>
        <v/>
      </c>
      <c r="P45" s="505" t="str">
        <f>IF(B45="","",VLOOKUP(B45,'E-1 Off Site Hedge Baseline'!$B$10:T290,16,FALSE))</f>
        <v/>
      </c>
      <c r="Q45" s="498" t="str">
        <f>IF(M45="","",VLOOKUP(M45,'G-6 Hedgerow Data'!$B$2:$AG$15,2,FALSE))</f>
        <v/>
      </c>
      <c r="R45" s="499" t="str">
        <f>IF(M45="","",VLOOKUP(M45,'G-6 Hedgerow Data'!$B$2:$AG$15,3,FALSE))</f>
        <v/>
      </c>
      <c r="S45" s="145"/>
      <c r="T45" s="499" t="str">
        <f>IFERROR(IF(AND(Q45="V.Low",OR(S45="Good",S45="Moderate")),"Error ▲",VLOOKUP(S45,'G-1 All Habitats'!$Z$2:$AA$9,2,FALSE)),"")</f>
        <v/>
      </c>
      <c r="U45" s="145"/>
      <c r="V45" s="507" t="str">
        <f>IF(U45="","",IF(VLOOKUP(U45,'G-3 Multipliers'!$L$3:$N$6,2,FALSE)=0,"Spatial Data Missing ⚠",VLOOKUP(U45,'G-3 Multipliers'!$L$3:$N$6,2,FALSE)))</f>
        <v/>
      </c>
      <c r="W45" s="505"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20" t="str">
        <f t="shared" si="5"/>
        <v/>
      </c>
      <c r="AF45" s="520" t="str">
        <f t="shared" si="6"/>
        <v/>
      </c>
      <c r="AG45" s="524" t="str">
        <f>IFERROR(IF(O45="","",VLOOKUP(AD45,'G-3 Multipliers'!$P$3:$Q$6,2,FALSE)),"")</f>
        <v/>
      </c>
      <c r="AH45" s="197"/>
      <c r="AI45" s="499" t="str">
        <f>IF(AH45="","",IF(VLOOKUP(AH45,'G-3 Multipliers'!$S$3:$T$6,2,FALSE)=0,"Spatial Data Missing ⚠",VLOOKUP(AH45,'G-3 Multipliers'!$S$3:$T$6,2,FALSE)))</f>
        <v/>
      </c>
      <c r="AJ45" s="545" t="str">
        <f t="shared" si="7"/>
        <v/>
      </c>
      <c r="AK45" s="149"/>
      <c r="AL45" s="150"/>
      <c r="AP45" s="31" t="str">
        <f>IFERROR(INDEX('G-6 Hedgerow Data'!$BJ$3:$BJ$15,MATCH(M45,'G-6 Hedgerow Data'!$B$3:$B$15,0)),"")</f>
        <v/>
      </c>
    </row>
    <row r="46" spans="2:42" ht="13.8" x14ac:dyDescent="0.25">
      <c r="B46" s="531" t="str">
        <f>'E-1 Off Site Hedge Baseline'!AK44</f>
        <v/>
      </c>
      <c r="C46" s="520" t="str">
        <f>IF(B46="","",IF(ISNA(VLOOKUP($B46,'E-1 Off Site Hedge Baseline'!$B$1:$L$257,3,FALSE)),"",(VLOOKUP($B46,'E-1 Off Site Hedge Baseline'!$B$1:$L$257,3,FALSE))))</f>
        <v/>
      </c>
      <c r="D46" s="520" t="str">
        <f>IF(B46="","",IF(ISNA(VLOOKUP($B46,'E-1 Off Site Hedge Baseline'!$B$1:$L$258,4,FALSE)),"",(VLOOKUP($B46,'E-1 Off Site Hedge Baseline'!$B$1:$L$258,4,FALSE))))</f>
        <v/>
      </c>
      <c r="E46" s="520" t="str">
        <f>IF(B46="","",IF(ISNA(VLOOKUP($B46,'E-1 Off Site Hedge Baseline'!$B$1:$L$257,5,FALSE)),"",(VLOOKUP($B46,'E-1 Off Site Hedge Baseline'!$B$1:$L$257,5,FALSE))))</f>
        <v/>
      </c>
      <c r="F46" s="520" t="str">
        <f>IF(B46="","",IF(ISNA(VLOOKUP($B46,'E-1 Off Site Hedge Baseline'!$B$1:$L$257,6,FALSE)),"",(VLOOKUP($B46,'E-1 Off Site Hedge Baseline'!$B$1:$L$257,6,FALSE))))</f>
        <v/>
      </c>
      <c r="G46" s="520" t="str">
        <f>IF(B46="","",IF(ISNA(VLOOKUP($B46,'E-1 Off Site Hedge Baseline'!$B$1:$L$257,7,FALSE)),"",(VLOOKUP($B46,'E-1 Off Site Hedge Baseline'!$B$1:$L$257,7,FALSE))))</f>
        <v/>
      </c>
      <c r="H46" s="520" t="str">
        <f>IF(B46="","",IF(ISNA(VLOOKUP($B46,'E-1 Off Site Hedge Baseline'!$B$1:$L$257,8,FALSE)),"",(VLOOKUP($B46,'E-1 Off Site Hedge Baseline'!$B$1:$L$257,8,FALSE))))</f>
        <v/>
      </c>
      <c r="I46" s="520" t="str">
        <f>IF(B46="","",IF(ISNA(VLOOKUP($B46,'E-1 Off Site Hedge Baseline'!$B$1:$L$257,10,FALSE)),"",(VLOOKUP($B46,'E-1 Off Site Hedge Baseline'!$B$1:$L$257,10,FALSE))))</f>
        <v/>
      </c>
      <c r="J46" s="520" t="str">
        <f>IF(B46="","",IF(ISNA(VLOOKUP($B46,'E-1 Off Site Hedge Baseline'!$B$1:$L$257,11,FALSE)),"",(VLOOKUP($B46,'E-1 Off Site Hedge Baseline'!$B$1:$L$257,11,FALSE))))</f>
        <v/>
      </c>
      <c r="K46" s="520" t="str">
        <f>IF(B46="","",IF(ISNA(VLOOKUP($B46,'E-1 Off Site Hedge Baseline'!$B$1:$U$257,113,FALSE)),"",(VLOOKUP($B46,'E-1 Off Site Hedge Baseline'!$B$1:$U$257,13,FALSE))))</f>
        <v/>
      </c>
      <c r="L46" s="507" t="str">
        <f>IF(B46="","",IF(ISNA(VLOOKUP($B46,'E-1 Off Site Hedge Baseline'!$B$1:$U$257,12,FALSE)),"",(VLOOKUP($B46,'E-1 Off Site Hedge Baseline'!$B$1:$U$257,12,FALSE))))</f>
        <v/>
      </c>
      <c r="M46" s="418" t="str">
        <f t="shared" si="8"/>
        <v/>
      </c>
      <c r="N46" s="498" t="str">
        <f>IFERROR(IF(B46="","",INDEX('G-6 Hedgerow Data'!$AN$3:$AZ$15,MATCH(C46,'G-6 Hedgerow Data'!$AM$3:$AM$15,0),MATCH(M46,'G-6 Hedgerow Data'!$AN$2:$AZ$2,0))),"")</f>
        <v/>
      </c>
      <c r="O46" s="499" t="str">
        <f t="shared" si="2"/>
        <v/>
      </c>
      <c r="P46" s="505" t="str">
        <f>IF(B46="","",VLOOKUP(B46,'E-1 Off Site Hedge Baseline'!$B$10:T291,16,FALSE))</f>
        <v/>
      </c>
      <c r="Q46" s="498" t="str">
        <f>IF(M46="","",VLOOKUP(M46,'G-6 Hedgerow Data'!$B$2:$AG$15,2,FALSE))</f>
        <v/>
      </c>
      <c r="R46" s="499" t="str">
        <f>IF(M46="","",VLOOKUP(M46,'G-6 Hedgerow Data'!$B$2:$AG$15,3,FALSE))</f>
        <v/>
      </c>
      <c r="S46" s="145"/>
      <c r="T46" s="499" t="str">
        <f>IFERROR(IF(AND(Q46="V.Low",OR(S46="Good",S46="Moderate")),"Error ▲",VLOOKUP(S46,'G-1 All Habitats'!$Z$2:$AA$9,2,FALSE)),"")</f>
        <v/>
      </c>
      <c r="U46" s="145"/>
      <c r="V46" s="507" t="str">
        <f>IF(U46="","",IF(VLOOKUP(U46,'G-3 Multipliers'!$L$3:$N$6,2,FALSE)=0,"Spatial Data Missing ⚠",VLOOKUP(U46,'G-3 Multipliers'!$L$3:$N$6,2,FALSE)))</f>
        <v/>
      </c>
      <c r="W46" s="505"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20" t="str">
        <f t="shared" si="5"/>
        <v/>
      </c>
      <c r="AF46" s="520" t="str">
        <f t="shared" si="6"/>
        <v/>
      </c>
      <c r="AG46" s="524" t="str">
        <f>IFERROR(IF(O46="","",VLOOKUP(AD46,'G-3 Multipliers'!$P$3:$Q$6,2,FALSE)),"")</f>
        <v/>
      </c>
      <c r="AH46" s="197"/>
      <c r="AI46" s="499" t="str">
        <f>IF(AH46="","",IF(VLOOKUP(AH46,'G-3 Multipliers'!$S$3:$T$6,2,FALSE)=0,"Spatial Data Missing ⚠",VLOOKUP(AH46,'G-3 Multipliers'!$S$3:$T$6,2,FALSE)))</f>
        <v/>
      </c>
      <c r="AJ46" s="545" t="str">
        <f t="shared" si="7"/>
        <v/>
      </c>
      <c r="AK46" s="149"/>
      <c r="AL46" s="150"/>
      <c r="AP46" s="31" t="str">
        <f>IFERROR(INDEX('G-6 Hedgerow Data'!$BJ$3:$BJ$15,MATCH(M46,'G-6 Hedgerow Data'!$B$3:$B$15,0)),"")</f>
        <v/>
      </c>
    </row>
    <row r="47" spans="2:42" ht="13.8" x14ac:dyDescent="0.25">
      <c r="B47" s="531" t="str">
        <f>'E-1 Off Site Hedge Baseline'!AK45</f>
        <v/>
      </c>
      <c r="C47" s="520" t="str">
        <f>IF(B47="","",IF(ISNA(VLOOKUP($B47,'E-1 Off Site Hedge Baseline'!$B$1:$L$257,3,FALSE)),"",(VLOOKUP($B47,'E-1 Off Site Hedge Baseline'!$B$1:$L$257,3,FALSE))))</f>
        <v/>
      </c>
      <c r="D47" s="520" t="str">
        <f>IF(B47="","",IF(ISNA(VLOOKUP($B47,'E-1 Off Site Hedge Baseline'!$B$1:$L$258,4,FALSE)),"",(VLOOKUP($B47,'E-1 Off Site Hedge Baseline'!$B$1:$L$258,4,FALSE))))</f>
        <v/>
      </c>
      <c r="E47" s="520" t="str">
        <f>IF(B47="","",IF(ISNA(VLOOKUP($B47,'E-1 Off Site Hedge Baseline'!$B$1:$L$257,5,FALSE)),"",(VLOOKUP($B47,'E-1 Off Site Hedge Baseline'!$B$1:$L$257,5,FALSE))))</f>
        <v/>
      </c>
      <c r="F47" s="520" t="str">
        <f>IF(B47="","",IF(ISNA(VLOOKUP($B47,'E-1 Off Site Hedge Baseline'!$B$1:$L$257,6,FALSE)),"",(VLOOKUP($B47,'E-1 Off Site Hedge Baseline'!$B$1:$L$257,6,FALSE))))</f>
        <v/>
      </c>
      <c r="G47" s="520" t="str">
        <f>IF(B47="","",IF(ISNA(VLOOKUP($B47,'E-1 Off Site Hedge Baseline'!$B$1:$L$257,7,FALSE)),"",(VLOOKUP($B47,'E-1 Off Site Hedge Baseline'!$B$1:$L$257,7,FALSE))))</f>
        <v/>
      </c>
      <c r="H47" s="520" t="str">
        <f>IF(B47="","",IF(ISNA(VLOOKUP($B47,'E-1 Off Site Hedge Baseline'!$B$1:$L$257,8,FALSE)),"",(VLOOKUP($B47,'E-1 Off Site Hedge Baseline'!$B$1:$L$257,8,FALSE))))</f>
        <v/>
      </c>
      <c r="I47" s="520" t="str">
        <f>IF(B47="","",IF(ISNA(VLOOKUP($B47,'E-1 Off Site Hedge Baseline'!$B$1:$L$257,10,FALSE)),"",(VLOOKUP($B47,'E-1 Off Site Hedge Baseline'!$B$1:$L$257,10,FALSE))))</f>
        <v/>
      </c>
      <c r="J47" s="520" t="str">
        <f>IF(B47="","",IF(ISNA(VLOOKUP($B47,'E-1 Off Site Hedge Baseline'!$B$1:$L$257,11,FALSE)),"",(VLOOKUP($B47,'E-1 Off Site Hedge Baseline'!$B$1:$L$257,11,FALSE))))</f>
        <v/>
      </c>
      <c r="K47" s="520" t="str">
        <f>IF(B47="","",IF(ISNA(VLOOKUP($B47,'E-1 Off Site Hedge Baseline'!$B$1:$U$257,113,FALSE)),"",(VLOOKUP($B47,'E-1 Off Site Hedge Baseline'!$B$1:$U$257,13,FALSE))))</f>
        <v/>
      </c>
      <c r="L47" s="507" t="str">
        <f>IF(B47="","",IF(ISNA(VLOOKUP($B47,'E-1 Off Site Hedge Baseline'!$B$1:$U$257,12,FALSE)),"",(VLOOKUP($B47,'E-1 Off Site Hedge Baseline'!$B$1:$U$257,12,FALSE))))</f>
        <v/>
      </c>
      <c r="M47" s="418" t="str">
        <f t="shared" si="8"/>
        <v/>
      </c>
      <c r="N47" s="498" t="str">
        <f>IFERROR(IF(B47="","",INDEX('G-6 Hedgerow Data'!$AN$3:$AZ$15,MATCH(C47,'G-6 Hedgerow Data'!$AM$3:$AM$15,0),MATCH(M47,'G-6 Hedgerow Data'!$AN$2:$AZ$2,0))),"")</f>
        <v/>
      </c>
      <c r="O47" s="499" t="str">
        <f t="shared" si="2"/>
        <v/>
      </c>
      <c r="P47" s="505" t="str">
        <f>IF(B47="","",VLOOKUP(B47,'E-1 Off Site Hedge Baseline'!$B$10:T292,16,FALSE))</f>
        <v/>
      </c>
      <c r="Q47" s="498" t="str">
        <f>IF(M47="","",VLOOKUP(M47,'G-6 Hedgerow Data'!$B$2:$AG$15,2,FALSE))</f>
        <v/>
      </c>
      <c r="R47" s="499" t="str">
        <f>IF(M47="","",VLOOKUP(M47,'G-6 Hedgerow Data'!$B$2:$AG$15,3,FALSE))</f>
        <v/>
      </c>
      <c r="S47" s="145"/>
      <c r="T47" s="499" t="str">
        <f>IFERROR(IF(AND(Q47="V.Low",OR(S47="Good",S47="Moderate")),"Error ▲",VLOOKUP(S47,'G-1 All Habitats'!$Z$2:$AA$9,2,FALSE)),"")</f>
        <v/>
      </c>
      <c r="U47" s="145"/>
      <c r="V47" s="507" t="str">
        <f>IF(U47="","",IF(VLOOKUP(U47,'G-3 Multipliers'!$L$3:$N$6,2,FALSE)=0,"Spatial Data Missing ⚠",VLOOKUP(U47,'G-3 Multipliers'!$L$3:$N$6,2,FALSE)))</f>
        <v/>
      </c>
      <c r="W47" s="505"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20" t="str">
        <f t="shared" si="5"/>
        <v/>
      </c>
      <c r="AF47" s="520" t="str">
        <f t="shared" si="6"/>
        <v/>
      </c>
      <c r="AG47" s="524" t="str">
        <f>IFERROR(IF(O47="","",VLOOKUP(AD47,'G-3 Multipliers'!$P$3:$Q$6,2,FALSE)),"")</f>
        <v/>
      </c>
      <c r="AH47" s="197"/>
      <c r="AI47" s="499" t="str">
        <f>IF(AH47="","",IF(VLOOKUP(AH47,'G-3 Multipliers'!$S$3:$T$6,2,FALSE)=0,"Spatial Data Missing ⚠",VLOOKUP(AH47,'G-3 Multipliers'!$S$3:$T$6,2,FALSE)))</f>
        <v/>
      </c>
      <c r="AJ47" s="545" t="str">
        <f t="shared" si="7"/>
        <v/>
      </c>
      <c r="AK47" s="149"/>
      <c r="AL47" s="150"/>
      <c r="AP47" s="31" t="str">
        <f>IFERROR(INDEX('G-6 Hedgerow Data'!$BJ$3:$BJ$15,MATCH(M47,'G-6 Hedgerow Data'!$B$3:$B$15,0)),"")</f>
        <v/>
      </c>
    </row>
    <row r="48" spans="2:42" ht="13.8" x14ac:dyDescent="0.25">
      <c r="B48" s="531" t="str">
        <f>'E-1 Off Site Hedge Baseline'!AK46</f>
        <v/>
      </c>
      <c r="C48" s="520" t="str">
        <f>IF(B48="","",IF(ISNA(VLOOKUP($B48,'E-1 Off Site Hedge Baseline'!$B$1:$L$257,3,FALSE)),"",(VLOOKUP($B48,'E-1 Off Site Hedge Baseline'!$B$1:$L$257,3,FALSE))))</f>
        <v/>
      </c>
      <c r="D48" s="520" t="str">
        <f>IF(B48="","",IF(ISNA(VLOOKUP($B48,'E-1 Off Site Hedge Baseline'!$B$1:$L$258,4,FALSE)),"",(VLOOKUP($B48,'E-1 Off Site Hedge Baseline'!$B$1:$L$258,4,FALSE))))</f>
        <v/>
      </c>
      <c r="E48" s="520" t="str">
        <f>IF(B48="","",IF(ISNA(VLOOKUP($B48,'E-1 Off Site Hedge Baseline'!$B$1:$L$257,5,FALSE)),"",(VLOOKUP($B48,'E-1 Off Site Hedge Baseline'!$B$1:$L$257,5,FALSE))))</f>
        <v/>
      </c>
      <c r="F48" s="520" t="str">
        <f>IF(B48="","",IF(ISNA(VLOOKUP($B48,'E-1 Off Site Hedge Baseline'!$B$1:$L$257,6,FALSE)),"",(VLOOKUP($B48,'E-1 Off Site Hedge Baseline'!$B$1:$L$257,6,FALSE))))</f>
        <v/>
      </c>
      <c r="G48" s="520" t="str">
        <f>IF(B48="","",IF(ISNA(VLOOKUP($B48,'E-1 Off Site Hedge Baseline'!$B$1:$L$257,7,FALSE)),"",(VLOOKUP($B48,'E-1 Off Site Hedge Baseline'!$B$1:$L$257,7,FALSE))))</f>
        <v/>
      </c>
      <c r="H48" s="520" t="str">
        <f>IF(B48="","",IF(ISNA(VLOOKUP($B48,'E-1 Off Site Hedge Baseline'!$B$1:$L$257,8,FALSE)),"",(VLOOKUP($B48,'E-1 Off Site Hedge Baseline'!$B$1:$L$257,8,FALSE))))</f>
        <v/>
      </c>
      <c r="I48" s="520" t="str">
        <f>IF(B48="","",IF(ISNA(VLOOKUP($B48,'E-1 Off Site Hedge Baseline'!$B$1:$L$257,10,FALSE)),"",(VLOOKUP($B48,'E-1 Off Site Hedge Baseline'!$B$1:$L$257,10,FALSE))))</f>
        <v/>
      </c>
      <c r="J48" s="520" t="str">
        <f>IF(B48="","",IF(ISNA(VLOOKUP($B48,'E-1 Off Site Hedge Baseline'!$B$1:$L$257,11,FALSE)),"",(VLOOKUP($B48,'E-1 Off Site Hedge Baseline'!$B$1:$L$257,11,FALSE))))</f>
        <v/>
      </c>
      <c r="K48" s="520" t="str">
        <f>IF(B48="","",IF(ISNA(VLOOKUP($B48,'E-1 Off Site Hedge Baseline'!$B$1:$U$257,113,FALSE)),"",(VLOOKUP($B48,'E-1 Off Site Hedge Baseline'!$B$1:$U$257,13,FALSE))))</f>
        <v/>
      </c>
      <c r="L48" s="507" t="str">
        <f>IF(B48="","",IF(ISNA(VLOOKUP($B48,'E-1 Off Site Hedge Baseline'!$B$1:$U$257,12,FALSE)),"",(VLOOKUP($B48,'E-1 Off Site Hedge Baseline'!$B$1:$U$257,12,FALSE))))</f>
        <v/>
      </c>
      <c r="M48" s="418" t="str">
        <f t="shared" si="8"/>
        <v/>
      </c>
      <c r="N48" s="498" t="str">
        <f>IFERROR(IF(B48="","",INDEX('G-6 Hedgerow Data'!$AN$3:$AZ$15,MATCH(C48,'G-6 Hedgerow Data'!$AM$3:$AM$15,0),MATCH(M48,'G-6 Hedgerow Data'!$AN$2:$AZ$2,0))),"")</f>
        <v/>
      </c>
      <c r="O48" s="499" t="str">
        <f t="shared" si="2"/>
        <v/>
      </c>
      <c r="P48" s="505" t="str">
        <f>IF(B48="","",VLOOKUP(B48,'E-1 Off Site Hedge Baseline'!$B$10:T293,16,FALSE))</f>
        <v/>
      </c>
      <c r="Q48" s="498" t="str">
        <f>IF(M48="","",VLOOKUP(M48,'G-6 Hedgerow Data'!$B$2:$AG$15,2,FALSE))</f>
        <v/>
      </c>
      <c r="R48" s="499" t="str">
        <f>IF(M48="","",VLOOKUP(M48,'G-6 Hedgerow Data'!$B$2:$AG$15,3,FALSE))</f>
        <v/>
      </c>
      <c r="S48" s="145"/>
      <c r="T48" s="499" t="str">
        <f>IFERROR(IF(AND(Q48="V.Low",OR(S48="Good",S48="Moderate")),"Error ▲",VLOOKUP(S48,'G-1 All Habitats'!$Z$2:$AA$9,2,FALSE)),"")</f>
        <v/>
      </c>
      <c r="U48" s="145"/>
      <c r="V48" s="507" t="str">
        <f>IF(U48="","",IF(VLOOKUP(U48,'G-3 Multipliers'!$L$3:$N$6,2,FALSE)=0,"Spatial Data Missing ⚠",VLOOKUP(U48,'G-3 Multipliers'!$L$3:$N$6,2,FALSE)))</f>
        <v/>
      </c>
      <c r="W48" s="505"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20" t="str">
        <f t="shared" si="5"/>
        <v/>
      </c>
      <c r="AF48" s="520" t="str">
        <f t="shared" si="6"/>
        <v/>
      </c>
      <c r="AG48" s="524" t="str">
        <f>IFERROR(IF(O48="","",VLOOKUP(AD48,'G-3 Multipliers'!$P$3:$Q$6,2,FALSE)),"")</f>
        <v/>
      </c>
      <c r="AH48" s="197"/>
      <c r="AI48" s="499" t="str">
        <f>IF(AH48="","",IF(VLOOKUP(AH48,'G-3 Multipliers'!$S$3:$T$6,2,FALSE)=0,"Spatial Data Missing ⚠",VLOOKUP(AH48,'G-3 Multipliers'!$S$3:$T$6,2,FALSE)))</f>
        <v/>
      </c>
      <c r="AJ48" s="545" t="str">
        <f t="shared" si="7"/>
        <v/>
      </c>
      <c r="AK48" s="149"/>
      <c r="AL48" s="150"/>
      <c r="AP48" s="31" t="str">
        <f>IFERROR(INDEX('G-6 Hedgerow Data'!$BJ$3:$BJ$15,MATCH(M48,'G-6 Hedgerow Data'!$B$3:$B$15,0)),"")</f>
        <v/>
      </c>
    </row>
    <row r="49" spans="2:42" ht="13.8" x14ac:dyDescent="0.25">
      <c r="B49" s="531" t="str">
        <f>'E-1 Off Site Hedge Baseline'!AK47</f>
        <v/>
      </c>
      <c r="C49" s="520" t="str">
        <f>IF(B49="","",IF(ISNA(VLOOKUP($B49,'E-1 Off Site Hedge Baseline'!$B$1:$L$257,3,FALSE)),"",(VLOOKUP($B49,'E-1 Off Site Hedge Baseline'!$B$1:$L$257,3,FALSE))))</f>
        <v/>
      </c>
      <c r="D49" s="520" t="str">
        <f>IF(B49="","",IF(ISNA(VLOOKUP($B49,'E-1 Off Site Hedge Baseline'!$B$1:$L$258,4,FALSE)),"",(VLOOKUP($B49,'E-1 Off Site Hedge Baseline'!$B$1:$L$258,4,FALSE))))</f>
        <v/>
      </c>
      <c r="E49" s="520" t="str">
        <f>IF(B49="","",IF(ISNA(VLOOKUP($B49,'E-1 Off Site Hedge Baseline'!$B$1:$L$257,5,FALSE)),"",(VLOOKUP($B49,'E-1 Off Site Hedge Baseline'!$B$1:$L$257,5,FALSE))))</f>
        <v/>
      </c>
      <c r="F49" s="520" t="str">
        <f>IF(B49="","",IF(ISNA(VLOOKUP($B49,'E-1 Off Site Hedge Baseline'!$B$1:$L$257,6,FALSE)),"",(VLOOKUP($B49,'E-1 Off Site Hedge Baseline'!$B$1:$L$257,6,FALSE))))</f>
        <v/>
      </c>
      <c r="G49" s="520" t="str">
        <f>IF(B49="","",IF(ISNA(VLOOKUP($B49,'E-1 Off Site Hedge Baseline'!$B$1:$L$257,7,FALSE)),"",(VLOOKUP($B49,'E-1 Off Site Hedge Baseline'!$B$1:$L$257,7,FALSE))))</f>
        <v/>
      </c>
      <c r="H49" s="520" t="str">
        <f>IF(B49="","",IF(ISNA(VLOOKUP($B49,'E-1 Off Site Hedge Baseline'!$B$1:$L$257,8,FALSE)),"",(VLOOKUP($B49,'E-1 Off Site Hedge Baseline'!$B$1:$L$257,8,FALSE))))</f>
        <v/>
      </c>
      <c r="I49" s="520" t="str">
        <f>IF(B49="","",IF(ISNA(VLOOKUP($B49,'E-1 Off Site Hedge Baseline'!$B$1:$L$257,10,FALSE)),"",(VLOOKUP($B49,'E-1 Off Site Hedge Baseline'!$B$1:$L$257,10,FALSE))))</f>
        <v/>
      </c>
      <c r="J49" s="520" t="str">
        <f>IF(B49="","",IF(ISNA(VLOOKUP($B49,'E-1 Off Site Hedge Baseline'!$B$1:$L$257,11,FALSE)),"",(VLOOKUP($B49,'E-1 Off Site Hedge Baseline'!$B$1:$L$257,11,FALSE))))</f>
        <v/>
      </c>
      <c r="K49" s="520" t="str">
        <f>IF(B49="","",IF(ISNA(VLOOKUP($B49,'E-1 Off Site Hedge Baseline'!$B$1:$U$257,113,FALSE)),"",(VLOOKUP($B49,'E-1 Off Site Hedge Baseline'!$B$1:$U$257,13,FALSE))))</f>
        <v/>
      </c>
      <c r="L49" s="507" t="str">
        <f>IF(B49="","",IF(ISNA(VLOOKUP($B49,'E-1 Off Site Hedge Baseline'!$B$1:$U$257,12,FALSE)),"",(VLOOKUP($B49,'E-1 Off Site Hedge Baseline'!$B$1:$U$257,12,FALSE))))</f>
        <v/>
      </c>
      <c r="M49" s="418" t="str">
        <f t="shared" si="8"/>
        <v/>
      </c>
      <c r="N49" s="498" t="str">
        <f>IFERROR(IF(B49="","",INDEX('G-6 Hedgerow Data'!$AN$3:$AZ$15,MATCH(C49,'G-6 Hedgerow Data'!$AM$3:$AM$15,0),MATCH(M49,'G-6 Hedgerow Data'!$AN$2:$AZ$2,0))),"")</f>
        <v/>
      </c>
      <c r="O49" s="499" t="str">
        <f t="shared" si="2"/>
        <v/>
      </c>
      <c r="P49" s="505" t="str">
        <f>IF(B49="","",VLOOKUP(B49,'E-1 Off Site Hedge Baseline'!$B$10:T294,16,FALSE))</f>
        <v/>
      </c>
      <c r="Q49" s="498" t="str">
        <f>IF(M49="","",VLOOKUP(M49,'G-6 Hedgerow Data'!$B$2:$AG$15,2,FALSE))</f>
        <v/>
      </c>
      <c r="R49" s="499" t="str">
        <f>IF(M49="","",VLOOKUP(M49,'G-6 Hedgerow Data'!$B$2:$AG$15,3,FALSE))</f>
        <v/>
      </c>
      <c r="S49" s="145"/>
      <c r="T49" s="499" t="str">
        <f>IFERROR(IF(AND(Q49="V.Low",OR(S49="Good",S49="Moderate")),"Error ▲",VLOOKUP(S49,'G-1 All Habitats'!$Z$2:$AA$9,2,FALSE)),"")</f>
        <v/>
      </c>
      <c r="U49" s="145"/>
      <c r="V49" s="507" t="str">
        <f>IF(U49="","",IF(VLOOKUP(U49,'G-3 Multipliers'!$L$3:$N$6,2,FALSE)=0,"Spatial Data Missing ⚠",VLOOKUP(U49,'G-3 Multipliers'!$L$3:$N$6,2,FALSE)))</f>
        <v/>
      </c>
      <c r="W49" s="505"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20" t="str">
        <f t="shared" si="5"/>
        <v/>
      </c>
      <c r="AF49" s="520" t="str">
        <f t="shared" si="6"/>
        <v/>
      </c>
      <c r="AG49" s="524" t="str">
        <f>IFERROR(IF(O49="","",VLOOKUP(AD49,'G-3 Multipliers'!$P$3:$Q$6,2,FALSE)),"")</f>
        <v/>
      </c>
      <c r="AH49" s="197"/>
      <c r="AI49" s="499" t="str">
        <f>IF(AH49="","",IF(VLOOKUP(AH49,'G-3 Multipliers'!$S$3:$T$6,2,FALSE)=0,"Spatial Data Missing ⚠",VLOOKUP(AH49,'G-3 Multipliers'!$S$3:$T$6,2,FALSE)))</f>
        <v/>
      </c>
      <c r="AJ49" s="545" t="str">
        <f t="shared" si="7"/>
        <v/>
      </c>
      <c r="AK49" s="149"/>
      <c r="AL49" s="150"/>
      <c r="AP49" s="31" t="str">
        <f>IFERROR(INDEX('G-6 Hedgerow Data'!$BJ$3:$BJ$15,MATCH(M49,'G-6 Hedgerow Data'!$B$3:$B$15,0)),"")</f>
        <v/>
      </c>
    </row>
    <row r="50" spans="2:42" ht="13.8" x14ac:dyDescent="0.25">
      <c r="B50" s="531" t="str">
        <f>'E-1 Off Site Hedge Baseline'!AK48</f>
        <v/>
      </c>
      <c r="C50" s="520" t="str">
        <f>IF(B50="","",IF(ISNA(VLOOKUP($B50,'E-1 Off Site Hedge Baseline'!$B$1:$L$257,3,FALSE)),"",(VLOOKUP($B50,'E-1 Off Site Hedge Baseline'!$B$1:$L$257,3,FALSE))))</f>
        <v/>
      </c>
      <c r="D50" s="520" t="str">
        <f>IF(B50="","",IF(ISNA(VLOOKUP($B50,'E-1 Off Site Hedge Baseline'!$B$1:$L$258,4,FALSE)),"",(VLOOKUP($B50,'E-1 Off Site Hedge Baseline'!$B$1:$L$258,4,FALSE))))</f>
        <v/>
      </c>
      <c r="E50" s="520" t="str">
        <f>IF(B50="","",IF(ISNA(VLOOKUP($B50,'E-1 Off Site Hedge Baseline'!$B$1:$L$257,5,FALSE)),"",(VLOOKUP($B50,'E-1 Off Site Hedge Baseline'!$B$1:$L$257,5,FALSE))))</f>
        <v/>
      </c>
      <c r="F50" s="520" t="str">
        <f>IF(B50="","",IF(ISNA(VLOOKUP($B50,'E-1 Off Site Hedge Baseline'!$B$1:$L$257,6,FALSE)),"",(VLOOKUP($B50,'E-1 Off Site Hedge Baseline'!$B$1:$L$257,6,FALSE))))</f>
        <v/>
      </c>
      <c r="G50" s="520" t="str">
        <f>IF(B50="","",IF(ISNA(VLOOKUP($B50,'E-1 Off Site Hedge Baseline'!$B$1:$L$257,7,FALSE)),"",(VLOOKUP($B50,'E-1 Off Site Hedge Baseline'!$B$1:$L$257,7,FALSE))))</f>
        <v/>
      </c>
      <c r="H50" s="520" t="str">
        <f>IF(B50="","",IF(ISNA(VLOOKUP($B50,'E-1 Off Site Hedge Baseline'!$B$1:$L$257,8,FALSE)),"",(VLOOKUP($B50,'E-1 Off Site Hedge Baseline'!$B$1:$L$257,8,FALSE))))</f>
        <v/>
      </c>
      <c r="I50" s="520" t="str">
        <f>IF(B50="","",IF(ISNA(VLOOKUP($B50,'E-1 Off Site Hedge Baseline'!$B$1:$L$257,10,FALSE)),"",(VLOOKUP($B50,'E-1 Off Site Hedge Baseline'!$B$1:$L$257,10,FALSE))))</f>
        <v/>
      </c>
      <c r="J50" s="520" t="str">
        <f>IF(B50="","",IF(ISNA(VLOOKUP($B50,'E-1 Off Site Hedge Baseline'!$B$1:$L$257,11,FALSE)),"",(VLOOKUP($B50,'E-1 Off Site Hedge Baseline'!$B$1:$L$257,11,FALSE))))</f>
        <v/>
      </c>
      <c r="K50" s="520" t="str">
        <f>IF(B50="","",IF(ISNA(VLOOKUP($B50,'E-1 Off Site Hedge Baseline'!$B$1:$U$257,113,FALSE)),"",(VLOOKUP($B50,'E-1 Off Site Hedge Baseline'!$B$1:$U$257,13,FALSE))))</f>
        <v/>
      </c>
      <c r="L50" s="507" t="str">
        <f>IF(B50="","",IF(ISNA(VLOOKUP($B50,'E-1 Off Site Hedge Baseline'!$B$1:$U$257,12,FALSE)),"",(VLOOKUP($B50,'E-1 Off Site Hedge Baseline'!$B$1:$U$257,12,FALSE))))</f>
        <v/>
      </c>
      <c r="M50" s="418" t="str">
        <f t="shared" si="8"/>
        <v/>
      </c>
      <c r="N50" s="498" t="str">
        <f>IFERROR(IF(B50="","",INDEX('G-6 Hedgerow Data'!$AN$3:$AZ$15,MATCH(C50,'G-6 Hedgerow Data'!$AM$3:$AM$15,0),MATCH(M50,'G-6 Hedgerow Data'!$AN$2:$AZ$2,0))),"")</f>
        <v/>
      </c>
      <c r="O50" s="499" t="str">
        <f t="shared" si="2"/>
        <v/>
      </c>
      <c r="P50" s="505" t="str">
        <f>IF(B50="","",VLOOKUP(B50,'E-1 Off Site Hedge Baseline'!$B$10:T295,16,FALSE))</f>
        <v/>
      </c>
      <c r="Q50" s="498" t="str">
        <f>IF(M50="","",VLOOKUP(M50,'G-6 Hedgerow Data'!$B$2:$AG$15,2,FALSE))</f>
        <v/>
      </c>
      <c r="R50" s="499" t="str">
        <f>IF(M50="","",VLOOKUP(M50,'G-6 Hedgerow Data'!$B$2:$AG$15,3,FALSE))</f>
        <v/>
      </c>
      <c r="S50" s="145"/>
      <c r="T50" s="499" t="str">
        <f>IFERROR(IF(AND(Q50="V.Low",OR(S50="Good",S50="Moderate")),"Error ▲",VLOOKUP(S50,'G-1 All Habitats'!$Z$2:$AA$9,2,FALSE)),"")</f>
        <v/>
      </c>
      <c r="U50" s="145"/>
      <c r="V50" s="507" t="str">
        <f>IF(U50="","",IF(VLOOKUP(U50,'G-3 Multipliers'!$L$3:$N$6,2,FALSE)=0,"Spatial Data Missing ⚠",VLOOKUP(U50,'G-3 Multipliers'!$L$3:$N$6,2,FALSE)))</f>
        <v/>
      </c>
      <c r="W50" s="505"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20" t="str">
        <f t="shared" si="5"/>
        <v/>
      </c>
      <c r="AF50" s="520" t="str">
        <f t="shared" si="6"/>
        <v/>
      </c>
      <c r="AG50" s="524" t="str">
        <f>IFERROR(IF(O50="","",VLOOKUP(AD50,'G-3 Multipliers'!$P$3:$Q$6,2,FALSE)),"")</f>
        <v/>
      </c>
      <c r="AH50" s="197"/>
      <c r="AI50" s="499" t="str">
        <f>IF(AH50="","",IF(VLOOKUP(AH50,'G-3 Multipliers'!$S$3:$T$6,2,FALSE)=0,"Spatial Data Missing ⚠",VLOOKUP(AH50,'G-3 Multipliers'!$S$3:$T$6,2,FALSE)))</f>
        <v/>
      </c>
      <c r="AJ50" s="545" t="str">
        <f t="shared" si="7"/>
        <v/>
      </c>
      <c r="AK50" s="149"/>
      <c r="AL50" s="150"/>
      <c r="AP50" s="31" t="str">
        <f>IFERROR(INDEX('G-6 Hedgerow Data'!$BJ$3:$BJ$15,MATCH(M50,'G-6 Hedgerow Data'!$B$3:$B$15,0)),"")</f>
        <v/>
      </c>
    </row>
    <row r="51" spans="2:42" ht="13.8" x14ac:dyDescent="0.25">
      <c r="B51" s="531" t="str">
        <f>'E-1 Off Site Hedge Baseline'!AK49</f>
        <v/>
      </c>
      <c r="C51" s="520" t="str">
        <f>IF(B51="","",IF(ISNA(VLOOKUP($B51,'E-1 Off Site Hedge Baseline'!$B$1:$L$257,3,FALSE)),"",(VLOOKUP($B51,'E-1 Off Site Hedge Baseline'!$B$1:$L$257,3,FALSE))))</f>
        <v/>
      </c>
      <c r="D51" s="520" t="str">
        <f>IF(B51="","",IF(ISNA(VLOOKUP($B51,'E-1 Off Site Hedge Baseline'!$B$1:$L$258,4,FALSE)),"",(VLOOKUP($B51,'E-1 Off Site Hedge Baseline'!$B$1:$L$258,4,FALSE))))</f>
        <v/>
      </c>
      <c r="E51" s="520" t="str">
        <f>IF(B51="","",IF(ISNA(VLOOKUP($B51,'E-1 Off Site Hedge Baseline'!$B$1:$L$257,5,FALSE)),"",(VLOOKUP($B51,'E-1 Off Site Hedge Baseline'!$B$1:$L$257,5,FALSE))))</f>
        <v/>
      </c>
      <c r="F51" s="520" t="str">
        <f>IF(B51="","",IF(ISNA(VLOOKUP($B51,'E-1 Off Site Hedge Baseline'!$B$1:$L$257,6,FALSE)),"",(VLOOKUP($B51,'E-1 Off Site Hedge Baseline'!$B$1:$L$257,6,FALSE))))</f>
        <v/>
      </c>
      <c r="G51" s="520" t="str">
        <f>IF(B51="","",IF(ISNA(VLOOKUP($B51,'E-1 Off Site Hedge Baseline'!$B$1:$L$257,7,FALSE)),"",(VLOOKUP($B51,'E-1 Off Site Hedge Baseline'!$B$1:$L$257,7,FALSE))))</f>
        <v/>
      </c>
      <c r="H51" s="520" t="str">
        <f>IF(B51="","",IF(ISNA(VLOOKUP($B51,'E-1 Off Site Hedge Baseline'!$B$1:$L$257,8,FALSE)),"",(VLOOKUP($B51,'E-1 Off Site Hedge Baseline'!$B$1:$L$257,8,FALSE))))</f>
        <v/>
      </c>
      <c r="I51" s="520" t="str">
        <f>IF(B51="","",IF(ISNA(VLOOKUP($B51,'E-1 Off Site Hedge Baseline'!$B$1:$L$257,10,FALSE)),"",(VLOOKUP($B51,'E-1 Off Site Hedge Baseline'!$B$1:$L$257,10,FALSE))))</f>
        <v/>
      </c>
      <c r="J51" s="520" t="str">
        <f>IF(B51="","",IF(ISNA(VLOOKUP($B51,'E-1 Off Site Hedge Baseline'!$B$1:$L$257,11,FALSE)),"",(VLOOKUP($B51,'E-1 Off Site Hedge Baseline'!$B$1:$L$257,11,FALSE))))</f>
        <v/>
      </c>
      <c r="K51" s="520" t="str">
        <f>IF(B51="","",IF(ISNA(VLOOKUP($B51,'E-1 Off Site Hedge Baseline'!$B$1:$U$257,113,FALSE)),"",(VLOOKUP($B51,'E-1 Off Site Hedge Baseline'!$B$1:$U$257,13,FALSE))))</f>
        <v/>
      </c>
      <c r="L51" s="507" t="str">
        <f>IF(B51="","",IF(ISNA(VLOOKUP($B51,'E-1 Off Site Hedge Baseline'!$B$1:$U$257,12,FALSE)),"",(VLOOKUP($B51,'E-1 Off Site Hedge Baseline'!$B$1:$U$257,12,FALSE))))</f>
        <v/>
      </c>
      <c r="M51" s="418" t="str">
        <f t="shared" si="8"/>
        <v/>
      </c>
      <c r="N51" s="498" t="str">
        <f>IFERROR(IF(B51="","",INDEX('G-6 Hedgerow Data'!$AN$3:$AZ$15,MATCH(C51,'G-6 Hedgerow Data'!$AM$3:$AM$15,0),MATCH(M51,'G-6 Hedgerow Data'!$AN$2:$AZ$2,0))),"")</f>
        <v/>
      </c>
      <c r="O51" s="499" t="str">
        <f t="shared" si="2"/>
        <v/>
      </c>
      <c r="P51" s="505" t="str">
        <f>IF(B51="","",VLOOKUP(B51,'E-1 Off Site Hedge Baseline'!$B$10:T296,16,FALSE))</f>
        <v/>
      </c>
      <c r="Q51" s="498" t="str">
        <f>IF(M51="","",VLOOKUP(M51,'G-6 Hedgerow Data'!$B$2:$AG$15,2,FALSE))</f>
        <v/>
      </c>
      <c r="R51" s="499" t="str">
        <f>IF(M51="","",VLOOKUP(M51,'G-6 Hedgerow Data'!$B$2:$AG$15,3,FALSE))</f>
        <v/>
      </c>
      <c r="S51" s="145"/>
      <c r="T51" s="499" t="str">
        <f>IFERROR(IF(AND(Q51="V.Low",OR(S51="Good",S51="Moderate")),"Error ▲",VLOOKUP(S51,'G-1 All Habitats'!$Z$2:$AA$9,2,FALSE)),"")</f>
        <v/>
      </c>
      <c r="U51" s="145"/>
      <c r="V51" s="507" t="str">
        <f>IF(U51="","",IF(VLOOKUP(U51,'G-3 Multipliers'!$L$3:$N$6,2,FALSE)=0,"Spatial Data Missing ⚠",VLOOKUP(U51,'G-3 Multipliers'!$L$3:$N$6,2,FALSE)))</f>
        <v/>
      </c>
      <c r="W51" s="505"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20" t="str">
        <f t="shared" si="5"/>
        <v/>
      </c>
      <c r="AF51" s="520" t="str">
        <f t="shared" si="6"/>
        <v/>
      </c>
      <c r="AG51" s="524" t="str">
        <f>IFERROR(IF(O51="","",VLOOKUP(AD51,'G-3 Multipliers'!$P$3:$Q$6,2,FALSE)),"")</f>
        <v/>
      </c>
      <c r="AH51" s="197"/>
      <c r="AI51" s="499" t="str">
        <f>IF(AH51="","",IF(VLOOKUP(AH51,'G-3 Multipliers'!$S$3:$T$6,2,FALSE)=0,"Spatial Data Missing ⚠",VLOOKUP(AH51,'G-3 Multipliers'!$S$3:$T$6,2,FALSE)))</f>
        <v/>
      </c>
      <c r="AJ51" s="545" t="str">
        <f t="shared" si="7"/>
        <v/>
      </c>
      <c r="AK51" s="149"/>
      <c r="AL51" s="150"/>
      <c r="AP51" s="31" t="str">
        <f>IFERROR(INDEX('G-6 Hedgerow Data'!$BJ$3:$BJ$15,MATCH(M51,'G-6 Hedgerow Data'!$B$3:$B$15,0)),"")</f>
        <v/>
      </c>
    </row>
    <row r="52" spans="2:42" ht="13.8" x14ac:dyDescent="0.25">
      <c r="B52" s="531" t="str">
        <f>'E-1 Off Site Hedge Baseline'!AK50</f>
        <v/>
      </c>
      <c r="C52" s="520" t="str">
        <f>IF(B52="","",IF(ISNA(VLOOKUP($B52,'E-1 Off Site Hedge Baseline'!$B$1:$L$257,3,FALSE)),"",(VLOOKUP($B52,'E-1 Off Site Hedge Baseline'!$B$1:$L$257,3,FALSE))))</f>
        <v/>
      </c>
      <c r="D52" s="520" t="str">
        <f>IF(B52="","",IF(ISNA(VLOOKUP($B52,'E-1 Off Site Hedge Baseline'!$B$1:$L$258,4,FALSE)),"",(VLOOKUP($B52,'E-1 Off Site Hedge Baseline'!$B$1:$L$258,4,FALSE))))</f>
        <v/>
      </c>
      <c r="E52" s="520" t="str">
        <f>IF(B52="","",IF(ISNA(VLOOKUP($B52,'E-1 Off Site Hedge Baseline'!$B$1:$L$257,5,FALSE)),"",(VLOOKUP($B52,'E-1 Off Site Hedge Baseline'!$B$1:$L$257,5,FALSE))))</f>
        <v/>
      </c>
      <c r="F52" s="520" t="str">
        <f>IF(B52="","",IF(ISNA(VLOOKUP($B52,'E-1 Off Site Hedge Baseline'!$B$1:$L$257,6,FALSE)),"",(VLOOKUP($B52,'E-1 Off Site Hedge Baseline'!$B$1:$L$257,6,FALSE))))</f>
        <v/>
      </c>
      <c r="G52" s="520" t="str">
        <f>IF(B52="","",IF(ISNA(VLOOKUP($B52,'E-1 Off Site Hedge Baseline'!$B$1:$L$257,7,FALSE)),"",(VLOOKUP($B52,'E-1 Off Site Hedge Baseline'!$B$1:$L$257,7,FALSE))))</f>
        <v/>
      </c>
      <c r="H52" s="520" t="str">
        <f>IF(B52="","",IF(ISNA(VLOOKUP($B52,'E-1 Off Site Hedge Baseline'!$B$1:$L$257,8,FALSE)),"",(VLOOKUP($B52,'E-1 Off Site Hedge Baseline'!$B$1:$L$257,8,FALSE))))</f>
        <v/>
      </c>
      <c r="I52" s="520" t="str">
        <f>IF(B52="","",IF(ISNA(VLOOKUP($B52,'E-1 Off Site Hedge Baseline'!$B$1:$L$257,10,FALSE)),"",(VLOOKUP($B52,'E-1 Off Site Hedge Baseline'!$B$1:$L$257,10,FALSE))))</f>
        <v/>
      </c>
      <c r="J52" s="520" t="str">
        <f>IF(B52="","",IF(ISNA(VLOOKUP($B52,'E-1 Off Site Hedge Baseline'!$B$1:$L$257,11,FALSE)),"",(VLOOKUP($B52,'E-1 Off Site Hedge Baseline'!$B$1:$L$257,11,FALSE))))</f>
        <v/>
      </c>
      <c r="K52" s="520" t="str">
        <f>IF(B52="","",IF(ISNA(VLOOKUP($B52,'E-1 Off Site Hedge Baseline'!$B$1:$U$257,113,FALSE)),"",(VLOOKUP($B52,'E-1 Off Site Hedge Baseline'!$B$1:$U$257,13,FALSE))))</f>
        <v/>
      </c>
      <c r="L52" s="507" t="str">
        <f>IF(B52="","",IF(ISNA(VLOOKUP($B52,'E-1 Off Site Hedge Baseline'!$B$1:$U$257,12,FALSE)),"",(VLOOKUP($B52,'E-1 Off Site Hedge Baseline'!$B$1:$U$257,12,FALSE))))</f>
        <v/>
      </c>
      <c r="M52" s="418" t="str">
        <f t="shared" si="8"/>
        <v/>
      </c>
      <c r="N52" s="498" t="str">
        <f>IFERROR(IF(B52="","",INDEX('G-6 Hedgerow Data'!$AN$3:$AZ$15,MATCH(C52,'G-6 Hedgerow Data'!$AM$3:$AM$15,0),MATCH(M52,'G-6 Hedgerow Data'!$AN$2:$AZ$2,0))),"")</f>
        <v/>
      </c>
      <c r="O52" s="499" t="str">
        <f t="shared" si="2"/>
        <v/>
      </c>
      <c r="P52" s="505" t="str">
        <f>IF(B52="","",VLOOKUP(B52,'E-1 Off Site Hedge Baseline'!$B$10:T297,16,FALSE))</f>
        <v/>
      </c>
      <c r="Q52" s="498" t="str">
        <f>IF(M52="","",VLOOKUP(M52,'G-6 Hedgerow Data'!$B$2:$AG$15,2,FALSE))</f>
        <v/>
      </c>
      <c r="R52" s="499" t="str">
        <f>IF(M52="","",VLOOKUP(M52,'G-6 Hedgerow Data'!$B$2:$AG$15,3,FALSE))</f>
        <v/>
      </c>
      <c r="S52" s="145"/>
      <c r="T52" s="499" t="str">
        <f>IFERROR(IF(AND(Q52="V.Low",OR(S52="Good",S52="Moderate")),"Error ▲",VLOOKUP(S52,'G-1 All Habitats'!$Z$2:$AA$9,2,FALSE)),"")</f>
        <v/>
      </c>
      <c r="U52" s="145"/>
      <c r="V52" s="507" t="str">
        <f>IF(U52="","",IF(VLOOKUP(U52,'G-3 Multipliers'!$L$3:$N$6,2,FALSE)=0,"Spatial Data Missing ⚠",VLOOKUP(U52,'G-3 Multipliers'!$L$3:$N$6,2,FALSE)))</f>
        <v/>
      </c>
      <c r="W52" s="505"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20" t="str">
        <f t="shared" si="5"/>
        <v/>
      </c>
      <c r="AF52" s="520" t="str">
        <f t="shared" si="6"/>
        <v/>
      </c>
      <c r="AG52" s="524" t="str">
        <f>IFERROR(IF(O52="","",VLOOKUP(AD52,'G-3 Multipliers'!$P$3:$Q$6,2,FALSE)),"")</f>
        <v/>
      </c>
      <c r="AH52" s="197"/>
      <c r="AI52" s="499" t="str">
        <f>IF(AH52="","",IF(VLOOKUP(AH52,'G-3 Multipliers'!$S$3:$T$6,2,FALSE)=0,"Spatial Data Missing ⚠",VLOOKUP(AH52,'G-3 Multipliers'!$S$3:$T$6,2,FALSE)))</f>
        <v/>
      </c>
      <c r="AJ52" s="545" t="str">
        <f t="shared" si="7"/>
        <v/>
      </c>
      <c r="AK52" s="149"/>
      <c r="AL52" s="150"/>
      <c r="AP52" s="31" t="str">
        <f>IFERROR(INDEX('G-6 Hedgerow Data'!$BJ$3:$BJ$15,MATCH(M52,'G-6 Hedgerow Data'!$B$3:$B$15,0)),"")</f>
        <v/>
      </c>
    </row>
    <row r="53" spans="2:42" ht="13.8" x14ac:dyDescent="0.25">
      <c r="B53" s="531" t="str">
        <f>'E-1 Off Site Hedge Baseline'!AK51</f>
        <v/>
      </c>
      <c r="C53" s="520" t="str">
        <f>IF(B53="","",IF(ISNA(VLOOKUP($B53,'E-1 Off Site Hedge Baseline'!$B$1:$L$257,3,FALSE)),"",(VLOOKUP($B53,'E-1 Off Site Hedge Baseline'!$B$1:$L$257,3,FALSE))))</f>
        <v/>
      </c>
      <c r="D53" s="520" t="str">
        <f>IF(B53="","",IF(ISNA(VLOOKUP($B53,'E-1 Off Site Hedge Baseline'!$B$1:$L$258,4,FALSE)),"",(VLOOKUP($B53,'E-1 Off Site Hedge Baseline'!$B$1:$L$258,4,FALSE))))</f>
        <v/>
      </c>
      <c r="E53" s="520" t="str">
        <f>IF(B53="","",IF(ISNA(VLOOKUP($B53,'E-1 Off Site Hedge Baseline'!$B$1:$L$257,5,FALSE)),"",(VLOOKUP($B53,'E-1 Off Site Hedge Baseline'!$B$1:$L$257,5,FALSE))))</f>
        <v/>
      </c>
      <c r="F53" s="520" t="str">
        <f>IF(B53="","",IF(ISNA(VLOOKUP($B53,'E-1 Off Site Hedge Baseline'!$B$1:$L$257,6,FALSE)),"",(VLOOKUP($B53,'E-1 Off Site Hedge Baseline'!$B$1:$L$257,6,FALSE))))</f>
        <v/>
      </c>
      <c r="G53" s="520" t="str">
        <f>IF(B53="","",IF(ISNA(VLOOKUP($B53,'E-1 Off Site Hedge Baseline'!$B$1:$L$257,7,FALSE)),"",(VLOOKUP($B53,'E-1 Off Site Hedge Baseline'!$B$1:$L$257,7,FALSE))))</f>
        <v/>
      </c>
      <c r="H53" s="520" t="str">
        <f>IF(B53="","",IF(ISNA(VLOOKUP($B53,'E-1 Off Site Hedge Baseline'!$B$1:$L$257,8,FALSE)),"",(VLOOKUP($B53,'E-1 Off Site Hedge Baseline'!$B$1:$L$257,8,FALSE))))</f>
        <v/>
      </c>
      <c r="I53" s="520" t="str">
        <f>IF(B53="","",IF(ISNA(VLOOKUP($B53,'E-1 Off Site Hedge Baseline'!$B$1:$L$257,10,FALSE)),"",(VLOOKUP($B53,'E-1 Off Site Hedge Baseline'!$B$1:$L$257,10,FALSE))))</f>
        <v/>
      </c>
      <c r="J53" s="520" t="str">
        <f>IF(B53="","",IF(ISNA(VLOOKUP($B53,'E-1 Off Site Hedge Baseline'!$B$1:$L$257,11,FALSE)),"",(VLOOKUP($B53,'E-1 Off Site Hedge Baseline'!$B$1:$L$257,11,FALSE))))</f>
        <v/>
      </c>
      <c r="K53" s="520" t="str">
        <f>IF(B53="","",IF(ISNA(VLOOKUP($B53,'E-1 Off Site Hedge Baseline'!$B$1:$U$257,113,FALSE)),"",(VLOOKUP($B53,'E-1 Off Site Hedge Baseline'!$B$1:$U$257,13,FALSE))))</f>
        <v/>
      </c>
      <c r="L53" s="507" t="str">
        <f>IF(B53="","",IF(ISNA(VLOOKUP($B53,'E-1 Off Site Hedge Baseline'!$B$1:$U$257,12,FALSE)),"",(VLOOKUP($B53,'E-1 Off Site Hedge Baseline'!$B$1:$U$257,12,FALSE))))</f>
        <v/>
      </c>
      <c r="M53" s="418" t="str">
        <f t="shared" si="8"/>
        <v/>
      </c>
      <c r="N53" s="498" t="str">
        <f>IFERROR(IF(B53="","",INDEX('G-6 Hedgerow Data'!$AN$3:$AZ$15,MATCH(C53,'G-6 Hedgerow Data'!$AM$3:$AM$15,0),MATCH(M53,'G-6 Hedgerow Data'!$AN$2:$AZ$2,0))),"")</f>
        <v/>
      </c>
      <c r="O53" s="499" t="str">
        <f t="shared" si="2"/>
        <v/>
      </c>
      <c r="P53" s="505" t="str">
        <f>IF(B53="","",VLOOKUP(B53,'E-1 Off Site Hedge Baseline'!$B$10:T298,16,FALSE))</f>
        <v/>
      </c>
      <c r="Q53" s="498" t="str">
        <f>IF(M53="","",VLOOKUP(M53,'G-6 Hedgerow Data'!$B$2:$AG$15,2,FALSE))</f>
        <v/>
      </c>
      <c r="R53" s="499" t="str">
        <f>IF(M53="","",VLOOKUP(M53,'G-6 Hedgerow Data'!$B$2:$AG$15,3,FALSE))</f>
        <v/>
      </c>
      <c r="S53" s="145"/>
      <c r="T53" s="499" t="str">
        <f>IFERROR(IF(AND(Q53="V.Low",OR(S53="Good",S53="Moderate")),"Error ▲",VLOOKUP(S53,'G-1 All Habitats'!$Z$2:$AA$9,2,FALSE)),"")</f>
        <v/>
      </c>
      <c r="U53" s="145"/>
      <c r="V53" s="507" t="str">
        <f>IF(U53="","",IF(VLOOKUP(U53,'G-3 Multipliers'!$L$3:$N$6,2,FALSE)=0,"Spatial Data Missing ⚠",VLOOKUP(U53,'G-3 Multipliers'!$L$3:$N$6,2,FALSE)))</f>
        <v/>
      </c>
      <c r="W53" s="505"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20" t="str">
        <f t="shared" si="5"/>
        <v/>
      </c>
      <c r="AF53" s="520" t="str">
        <f t="shared" si="6"/>
        <v/>
      </c>
      <c r="AG53" s="524" t="str">
        <f>IFERROR(IF(O53="","",VLOOKUP(AD53,'G-3 Multipliers'!$P$3:$Q$6,2,FALSE)),"")</f>
        <v/>
      </c>
      <c r="AH53" s="197"/>
      <c r="AI53" s="499" t="str">
        <f>IF(AH53="","",IF(VLOOKUP(AH53,'G-3 Multipliers'!$S$3:$T$6,2,FALSE)=0,"Spatial Data Missing ⚠",VLOOKUP(AH53,'G-3 Multipliers'!$S$3:$T$6,2,FALSE)))</f>
        <v/>
      </c>
      <c r="AJ53" s="545" t="str">
        <f t="shared" si="7"/>
        <v/>
      </c>
      <c r="AK53" s="149"/>
      <c r="AL53" s="150"/>
      <c r="AP53" s="31" t="str">
        <f>IFERROR(INDEX('G-6 Hedgerow Data'!$BJ$3:$BJ$15,MATCH(M53,'G-6 Hedgerow Data'!$B$3:$B$15,0)),"")</f>
        <v/>
      </c>
    </row>
    <row r="54" spans="2:42" ht="13.8" x14ac:dyDescent="0.25">
      <c r="B54" s="531" t="str">
        <f>'E-1 Off Site Hedge Baseline'!AK52</f>
        <v/>
      </c>
      <c r="C54" s="520" t="str">
        <f>IF(B54="","",IF(ISNA(VLOOKUP($B54,'E-1 Off Site Hedge Baseline'!$B$1:$L$257,3,FALSE)),"",(VLOOKUP($B54,'E-1 Off Site Hedge Baseline'!$B$1:$L$257,3,FALSE))))</f>
        <v/>
      </c>
      <c r="D54" s="520" t="str">
        <f>IF(B54="","",IF(ISNA(VLOOKUP($B54,'E-1 Off Site Hedge Baseline'!$B$1:$L$258,4,FALSE)),"",(VLOOKUP($B54,'E-1 Off Site Hedge Baseline'!$B$1:$L$258,4,FALSE))))</f>
        <v/>
      </c>
      <c r="E54" s="520" t="str">
        <f>IF(B54="","",IF(ISNA(VLOOKUP($B54,'E-1 Off Site Hedge Baseline'!$B$1:$L$257,5,FALSE)),"",(VLOOKUP($B54,'E-1 Off Site Hedge Baseline'!$B$1:$L$257,5,FALSE))))</f>
        <v/>
      </c>
      <c r="F54" s="520" t="str">
        <f>IF(B54="","",IF(ISNA(VLOOKUP($B54,'E-1 Off Site Hedge Baseline'!$B$1:$L$257,6,FALSE)),"",(VLOOKUP($B54,'E-1 Off Site Hedge Baseline'!$B$1:$L$257,6,FALSE))))</f>
        <v/>
      </c>
      <c r="G54" s="520" t="str">
        <f>IF(B54="","",IF(ISNA(VLOOKUP($B54,'E-1 Off Site Hedge Baseline'!$B$1:$L$257,7,FALSE)),"",(VLOOKUP($B54,'E-1 Off Site Hedge Baseline'!$B$1:$L$257,7,FALSE))))</f>
        <v/>
      </c>
      <c r="H54" s="520" t="str">
        <f>IF(B54="","",IF(ISNA(VLOOKUP($B54,'E-1 Off Site Hedge Baseline'!$B$1:$L$257,8,FALSE)),"",(VLOOKUP($B54,'E-1 Off Site Hedge Baseline'!$B$1:$L$257,8,FALSE))))</f>
        <v/>
      </c>
      <c r="I54" s="520" t="str">
        <f>IF(B54="","",IF(ISNA(VLOOKUP($B54,'E-1 Off Site Hedge Baseline'!$B$1:$L$257,10,FALSE)),"",(VLOOKUP($B54,'E-1 Off Site Hedge Baseline'!$B$1:$L$257,10,FALSE))))</f>
        <v/>
      </c>
      <c r="J54" s="520" t="str">
        <f>IF(B54="","",IF(ISNA(VLOOKUP($B54,'E-1 Off Site Hedge Baseline'!$B$1:$L$257,11,FALSE)),"",(VLOOKUP($B54,'E-1 Off Site Hedge Baseline'!$B$1:$L$257,11,FALSE))))</f>
        <v/>
      </c>
      <c r="K54" s="520" t="str">
        <f>IF(B54="","",IF(ISNA(VLOOKUP($B54,'E-1 Off Site Hedge Baseline'!$B$1:$U$257,113,FALSE)),"",(VLOOKUP($B54,'E-1 Off Site Hedge Baseline'!$B$1:$U$257,13,FALSE))))</f>
        <v/>
      </c>
      <c r="L54" s="507" t="str">
        <f>IF(B54="","",IF(ISNA(VLOOKUP($B54,'E-1 Off Site Hedge Baseline'!$B$1:$U$257,12,FALSE)),"",(VLOOKUP($B54,'E-1 Off Site Hedge Baseline'!$B$1:$U$257,12,FALSE))))</f>
        <v/>
      </c>
      <c r="M54" s="418" t="str">
        <f t="shared" si="8"/>
        <v/>
      </c>
      <c r="N54" s="498" t="str">
        <f>IFERROR(IF(B54="","",INDEX('G-6 Hedgerow Data'!$AN$3:$AZ$15,MATCH(C54,'G-6 Hedgerow Data'!$AM$3:$AM$15,0),MATCH(M54,'G-6 Hedgerow Data'!$AN$2:$AZ$2,0))),"")</f>
        <v/>
      </c>
      <c r="O54" s="499" t="str">
        <f t="shared" si="2"/>
        <v/>
      </c>
      <c r="P54" s="505" t="str">
        <f>IF(B54="","",VLOOKUP(B54,'E-1 Off Site Hedge Baseline'!$B$10:T299,16,FALSE))</f>
        <v/>
      </c>
      <c r="Q54" s="498" t="str">
        <f>IF(M54="","",VLOOKUP(M54,'G-6 Hedgerow Data'!$B$2:$AG$15,2,FALSE))</f>
        <v/>
      </c>
      <c r="R54" s="499" t="str">
        <f>IF(M54="","",VLOOKUP(M54,'G-6 Hedgerow Data'!$B$2:$AG$15,3,FALSE))</f>
        <v/>
      </c>
      <c r="S54" s="145"/>
      <c r="T54" s="499" t="str">
        <f>IFERROR(IF(AND(Q54="V.Low",OR(S54="Good",S54="Moderate")),"Error ▲",VLOOKUP(S54,'G-1 All Habitats'!$Z$2:$AA$9,2,FALSE)),"")</f>
        <v/>
      </c>
      <c r="U54" s="145"/>
      <c r="V54" s="507" t="str">
        <f>IF(U54="","",IF(VLOOKUP(U54,'G-3 Multipliers'!$L$3:$N$6,2,FALSE)=0,"Spatial Data Missing ⚠",VLOOKUP(U54,'G-3 Multipliers'!$L$3:$N$6,2,FALSE)))</f>
        <v/>
      </c>
      <c r="W54" s="505"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20" t="str">
        <f t="shared" si="5"/>
        <v/>
      </c>
      <c r="AF54" s="520" t="str">
        <f t="shared" si="6"/>
        <v/>
      </c>
      <c r="AG54" s="524" t="str">
        <f>IFERROR(IF(O54="","",VLOOKUP(AD54,'G-3 Multipliers'!$P$3:$Q$6,2,FALSE)),"")</f>
        <v/>
      </c>
      <c r="AH54" s="197"/>
      <c r="AI54" s="499" t="str">
        <f>IF(AH54="","",IF(VLOOKUP(AH54,'G-3 Multipliers'!$S$3:$T$6,2,FALSE)=0,"Spatial Data Missing ⚠",VLOOKUP(AH54,'G-3 Multipliers'!$S$3:$T$6,2,FALSE)))</f>
        <v/>
      </c>
      <c r="AJ54" s="545" t="str">
        <f t="shared" si="7"/>
        <v/>
      </c>
      <c r="AK54" s="149"/>
      <c r="AL54" s="150"/>
      <c r="AP54" s="31" t="str">
        <f>IFERROR(INDEX('G-6 Hedgerow Data'!$BJ$3:$BJ$15,MATCH(M54,'G-6 Hedgerow Data'!$B$3:$B$15,0)),"")</f>
        <v/>
      </c>
    </row>
    <row r="55" spans="2:42" ht="13.8" x14ac:dyDescent="0.25">
      <c r="B55" s="531" t="str">
        <f>'E-1 Off Site Hedge Baseline'!AK53</f>
        <v/>
      </c>
      <c r="C55" s="520" t="str">
        <f>IF(B55="","",IF(ISNA(VLOOKUP($B55,'E-1 Off Site Hedge Baseline'!$B$1:$L$257,3,FALSE)),"",(VLOOKUP($B55,'E-1 Off Site Hedge Baseline'!$B$1:$L$257,3,FALSE))))</f>
        <v/>
      </c>
      <c r="D55" s="520" t="str">
        <f>IF(B55="","",IF(ISNA(VLOOKUP($B55,'E-1 Off Site Hedge Baseline'!$B$1:$L$258,4,FALSE)),"",(VLOOKUP($B55,'E-1 Off Site Hedge Baseline'!$B$1:$L$258,4,FALSE))))</f>
        <v/>
      </c>
      <c r="E55" s="520" t="str">
        <f>IF(B55="","",IF(ISNA(VLOOKUP($B55,'E-1 Off Site Hedge Baseline'!$B$1:$L$257,5,FALSE)),"",(VLOOKUP($B55,'E-1 Off Site Hedge Baseline'!$B$1:$L$257,5,FALSE))))</f>
        <v/>
      </c>
      <c r="F55" s="520" t="str">
        <f>IF(B55="","",IF(ISNA(VLOOKUP($B55,'E-1 Off Site Hedge Baseline'!$B$1:$L$257,6,FALSE)),"",(VLOOKUP($B55,'E-1 Off Site Hedge Baseline'!$B$1:$L$257,6,FALSE))))</f>
        <v/>
      </c>
      <c r="G55" s="520" t="str">
        <f>IF(B55="","",IF(ISNA(VLOOKUP($B55,'E-1 Off Site Hedge Baseline'!$B$1:$L$257,7,FALSE)),"",(VLOOKUP($B55,'E-1 Off Site Hedge Baseline'!$B$1:$L$257,7,FALSE))))</f>
        <v/>
      </c>
      <c r="H55" s="520" t="str">
        <f>IF(B55="","",IF(ISNA(VLOOKUP($B55,'E-1 Off Site Hedge Baseline'!$B$1:$L$257,8,FALSE)),"",(VLOOKUP($B55,'E-1 Off Site Hedge Baseline'!$B$1:$L$257,8,FALSE))))</f>
        <v/>
      </c>
      <c r="I55" s="520" t="str">
        <f>IF(B55="","",IF(ISNA(VLOOKUP($B55,'E-1 Off Site Hedge Baseline'!$B$1:$L$257,10,FALSE)),"",(VLOOKUP($B55,'E-1 Off Site Hedge Baseline'!$B$1:$L$257,10,FALSE))))</f>
        <v/>
      </c>
      <c r="J55" s="520" t="str">
        <f>IF(B55="","",IF(ISNA(VLOOKUP($B55,'E-1 Off Site Hedge Baseline'!$B$1:$L$257,11,FALSE)),"",(VLOOKUP($B55,'E-1 Off Site Hedge Baseline'!$B$1:$L$257,11,FALSE))))</f>
        <v/>
      </c>
      <c r="K55" s="520" t="str">
        <f>IF(B55="","",IF(ISNA(VLOOKUP($B55,'E-1 Off Site Hedge Baseline'!$B$1:$U$257,113,FALSE)),"",(VLOOKUP($B55,'E-1 Off Site Hedge Baseline'!$B$1:$U$257,13,FALSE))))</f>
        <v/>
      </c>
      <c r="L55" s="507" t="str">
        <f>IF(B55="","",IF(ISNA(VLOOKUP($B55,'E-1 Off Site Hedge Baseline'!$B$1:$U$257,12,FALSE)),"",(VLOOKUP($B55,'E-1 Off Site Hedge Baseline'!$B$1:$U$257,12,FALSE))))</f>
        <v/>
      </c>
      <c r="M55" s="418" t="str">
        <f t="shared" si="8"/>
        <v/>
      </c>
      <c r="N55" s="498" t="str">
        <f>IFERROR(IF(B55="","",INDEX('G-6 Hedgerow Data'!$AN$3:$AZ$15,MATCH(C55,'G-6 Hedgerow Data'!$AM$3:$AM$15,0),MATCH(M55,'G-6 Hedgerow Data'!$AN$2:$AZ$2,0))),"")</f>
        <v/>
      </c>
      <c r="O55" s="499" t="str">
        <f t="shared" si="2"/>
        <v/>
      </c>
      <c r="P55" s="505" t="str">
        <f>IF(B55="","",VLOOKUP(B55,'E-1 Off Site Hedge Baseline'!$B$10:T300,16,FALSE))</f>
        <v/>
      </c>
      <c r="Q55" s="498" t="str">
        <f>IF(M55="","",VLOOKUP(M55,'G-6 Hedgerow Data'!$B$2:$AG$15,2,FALSE))</f>
        <v/>
      </c>
      <c r="R55" s="499" t="str">
        <f>IF(M55="","",VLOOKUP(M55,'G-6 Hedgerow Data'!$B$2:$AG$15,3,FALSE))</f>
        <v/>
      </c>
      <c r="S55" s="145"/>
      <c r="T55" s="499" t="str">
        <f>IFERROR(IF(AND(Q55="V.Low",OR(S55="Good",S55="Moderate")),"Error ▲",VLOOKUP(S55,'G-1 All Habitats'!$Z$2:$AA$9,2,FALSE)),"")</f>
        <v/>
      </c>
      <c r="U55" s="145"/>
      <c r="V55" s="507" t="str">
        <f>IF(U55="","",IF(VLOOKUP(U55,'G-3 Multipliers'!$L$3:$N$6,2,FALSE)=0,"Spatial Data Missing ⚠",VLOOKUP(U55,'G-3 Multipliers'!$L$3:$N$6,2,FALSE)))</f>
        <v/>
      </c>
      <c r="W55" s="505"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20" t="str">
        <f t="shared" si="5"/>
        <v/>
      </c>
      <c r="AF55" s="520" t="str">
        <f t="shared" si="6"/>
        <v/>
      </c>
      <c r="AG55" s="524" t="str">
        <f>IFERROR(IF(O55="","",VLOOKUP(AD55,'G-3 Multipliers'!$P$3:$Q$6,2,FALSE)),"")</f>
        <v/>
      </c>
      <c r="AH55" s="197"/>
      <c r="AI55" s="499" t="str">
        <f>IF(AH55="","",IF(VLOOKUP(AH55,'G-3 Multipliers'!$S$3:$T$6,2,FALSE)=0,"Spatial Data Missing ⚠",VLOOKUP(AH55,'G-3 Multipliers'!$S$3:$T$6,2,FALSE)))</f>
        <v/>
      </c>
      <c r="AJ55" s="545" t="str">
        <f t="shared" si="7"/>
        <v/>
      </c>
      <c r="AK55" s="149"/>
      <c r="AL55" s="150"/>
      <c r="AP55" s="31" t="str">
        <f>IFERROR(INDEX('G-6 Hedgerow Data'!$BJ$3:$BJ$15,MATCH(M55,'G-6 Hedgerow Data'!$B$3:$B$15,0)),"")</f>
        <v/>
      </c>
    </row>
    <row r="56" spans="2:42" ht="13.8" x14ac:dyDescent="0.25">
      <c r="B56" s="531" t="str">
        <f>'E-1 Off Site Hedge Baseline'!AK54</f>
        <v/>
      </c>
      <c r="C56" s="520" t="str">
        <f>IF(B56="","",IF(ISNA(VLOOKUP($B56,'E-1 Off Site Hedge Baseline'!$B$1:$L$257,3,FALSE)),"",(VLOOKUP($B56,'E-1 Off Site Hedge Baseline'!$B$1:$L$257,3,FALSE))))</f>
        <v/>
      </c>
      <c r="D56" s="520" t="str">
        <f>IF(B56="","",IF(ISNA(VLOOKUP($B56,'E-1 Off Site Hedge Baseline'!$B$1:$L$258,4,FALSE)),"",(VLOOKUP($B56,'E-1 Off Site Hedge Baseline'!$B$1:$L$258,4,FALSE))))</f>
        <v/>
      </c>
      <c r="E56" s="520" t="str">
        <f>IF(B56="","",IF(ISNA(VLOOKUP($B56,'E-1 Off Site Hedge Baseline'!$B$1:$L$257,5,FALSE)),"",(VLOOKUP($B56,'E-1 Off Site Hedge Baseline'!$B$1:$L$257,5,FALSE))))</f>
        <v/>
      </c>
      <c r="F56" s="520" t="str">
        <f>IF(B56="","",IF(ISNA(VLOOKUP($B56,'E-1 Off Site Hedge Baseline'!$B$1:$L$257,6,FALSE)),"",(VLOOKUP($B56,'E-1 Off Site Hedge Baseline'!$B$1:$L$257,6,FALSE))))</f>
        <v/>
      </c>
      <c r="G56" s="520" t="str">
        <f>IF(B56="","",IF(ISNA(VLOOKUP($B56,'E-1 Off Site Hedge Baseline'!$B$1:$L$257,7,FALSE)),"",(VLOOKUP($B56,'E-1 Off Site Hedge Baseline'!$B$1:$L$257,7,FALSE))))</f>
        <v/>
      </c>
      <c r="H56" s="520" t="str">
        <f>IF(B56="","",IF(ISNA(VLOOKUP($B56,'E-1 Off Site Hedge Baseline'!$B$1:$L$257,8,FALSE)),"",(VLOOKUP($B56,'E-1 Off Site Hedge Baseline'!$B$1:$L$257,8,FALSE))))</f>
        <v/>
      </c>
      <c r="I56" s="520" t="str">
        <f>IF(B56="","",IF(ISNA(VLOOKUP($B56,'E-1 Off Site Hedge Baseline'!$B$1:$L$257,10,FALSE)),"",(VLOOKUP($B56,'E-1 Off Site Hedge Baseline'!$B$1:$L$257,10,FALSE))))</f>
        <v/>
      </c>
      <c r="J56" s="520" t="str">
        <f>IF(B56="","",IF(ISNA(VLOOKUP($B56,'E-1 Off Site Hedge Baseline'!$B$1:$L$257,11,FALSE)),"",(VLOOKUP($B56,'E-1 Off Site Hedge Baseline'!$B$1:$L$257,11,FALSE))))</f>
        <v/>
      </c>
      <c r="K56" s="520" t="str">
        <f>IF(B56="","",IF(ISNA(VLOOKUP($B56,'E-1 Off Site Hedge Baseline'!$B$1:$U$257,113,FALSE)),"",(VLOOKUP($B56,'E-1 Off Site Hedge Baseline'!$B$1:$U$257,13,FALSE))))</f>
        <v/>
      </c>
      <c r="L56" s="507" t="str">
        <f>IF(B56="","",IF(ISNA(VLOOKUP($B56,'E-1 Off Site Hedge Baseline'!$B$1:$U$257,12,FALSE)),"",(VLOOKUP($B56,'E-1 Off Site Hedge Baseline'!$B$1:$U$257,12,FALSE))))</f>
        <v/>
      </c>
      <c r="M56" s="418" t="str">
        <f t="shared" si="8"/>
        <v/>
      </c>
      <c r="N56" s="498" t="str">
        <f>IFERROR(IF(B56="","",INDEX('G-6 Hedgerow Data'!$AN$3:$AZ$15,MATCH(C56,'G-6 Hedgerow Data'!$AM$3:$AM$15,0),MATCH(M56,'G-6 Hedgerow Data'!$AN$2:$AZ$2,0))),"")</f>
        <v/>
      </c>
      <c r="O56" s="499" t="str">
        <f t="shared" si="2"/>
        <v/>
      </c>
      <c r="P56" s="505" t="str">
        <f>IF(B56="","",VLOOKUP(B56,'E-1 Off Site Hedge Baseline'!$B$10:T301,16,FALSE))</f>
        <v/>
      </c>
      <c r="Q56" s="498" t="str">
        <f>IF(M56="","",VLOOKUP(M56,'G-6 Hedgerow Data'!$B$2:$AG$15,2,FALSE))</f>
        <v/>
      </c>
      <c r="R56" s="499" t="str">
        <f>IF(M56="","",VLOOKUP(M56,'G-6 Hedgerow Data'!$B$2:$AG$15,3,FALSE))</f>
        <v/>
      </c>
      <c r="S56" s="145"/>
      <c r="T56" s="499" t="str">
        <f>IFERROR(IF(AND(Q56="V.Low",OR(S56="Good",S56="Moderate")),"Error ▲",VLOOKUP(S56,'G-1 All Habitats'!$Z$2:$AA$9,2,FALSE)),"")</f>
        <v/>
      </c>
      <c r="U56" s="145"/>
      <c r="V56" s="507" t="str">
        <f>IF(U56="","",IF(VLOOKUP(U56,'G-3 Multipliers'!$L$3:$N$6,2,FALSE)=0,"Spatial Data Missing ⚠",VLOOKUP(U56,'G-3 Multipliers'!$L$3:$N$6,2,FALSE)))</f>
        <v/>
      </c>
      <c r="W56" s="505"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20" t="str">
        <f t="shared" si="5"/>
        <v/>
      </c>
      <c r="AF56" s="520" t="str">
        <f t="shared" si="6"/>
        <v/>
      </c>
      <c r="AG56" s="524" t="str">
        <f>IFERROR(IF(O56="","",VLOOKUP(AD56,'G-3 Multipliers'!$P$3:$Q$6,2,FALSE)),"")</f>
        <v/>
      </c>
      <c r="AH56" s="197"/>
      <c r="AI56" s="499" t="str">
        <f>IF(AH56="","",IF(VLOOKUP(AH56,'G-3 Multipliers'!$S$3:$T$6,2,FALSE)=0,"Spatial Data Missing ⚠",VLOOKUP(AH56,'G-3 Multipliers'!$S$3:$T$6,2,FALSE)))</f>
        <v/>
      </c>
      <c r="AJ56" s="545" t="str">
        <f t="shared" si="7"/>
        <v/>
      </c>
      <c r="AK56" s="149"/>
      <c r="AL56" s="150"/>
      <c r="AP56" s="31" t="str">
        <f>IFERROR(INDEX('G-6 Hedgerow Data'!$BJ$3:$BJ$15,MATCH(M56,'G-6 Hedgerow Data'!$B$3:$B$15,0)),"")</f>
        <v/>
      </c>
    </row>
    <row r="57" spans="2:42" ht="13.8" x14ac:dyDescent="0.25">
      <c r="B57" s="531" t="str">
        <f>'E-1 Off Site Hedge Baseline'!AK55</f>
        <v/>
      </c>
      <c r="C57" s="520" t="str">
        <f>IF(B57="","",IF(ISNA(VLOOKUP($B57,'E-1 Off Site Hedge Baseline'!$B$1:$L$257,3,FALSE)),"",(VLOOKUP($B57,'E-1 Off Site Hedge Baseline'!$B$1:$L$257,3,FALSE))))</f>
        <v/>
      </c>
      <c r="D57" s="520" t="str">
        <f>IF(B57="","",IF(ISNA(VLOOKUP($B57,'E-1 Off Site Hedge Baseline'!$B$1:$L$258,4,FALSE)),"",(VLOOKUP($B57,'E-1 Off Site Hedge Baseline'!$B$1:$L$258,4,FALSE))))</f>
        <v/>
      </c>
      <c r="E57" s="520" t="str">
        <f>IF(B57="","",IF(ISNA(VLOOKUP($B57,'E-1 Off Site Hedge Baseline'!$B$1:$L$257,5,FALSE)),"",(VLOOKUP($B57,'E-1 Off Site Hedge Baseline'!$B$1:$L$257,5,FALSE))))</f>
        <v/>
      </c>
      <c r="F57" s="520" t="str">
        <f>IF(B57="","",IF(ISNA(VLOOKUP($B57,'E-1 Off Site Hedge Baseline'!$B$1:$L$257,6,FALSE)),"",(VLOOKUP($B57,'E-1 Off Site Hedge Baseline'!$B$1:$L$257,6,FALSE))))</f>
        <v/>
      </c>
      <c r="G57" s="520" t="str">
        <f>IF(B57="","",IF(ISNA(VLOOKUP($B57,'E-1 Off Site Hedge Baseline'!$B$1:$L$257,7,FALSE)),"",(VLOOKUP($B57,'E-1 Off Site Hedge Baseline'!$B$1:$L$257,7,FALSE))))</f>
        <v/>
      </c>
      <c r="H57" s="520" t="str">
        <f>IF(B57="","",IF(ISNA(VLOOKUP($B57,'E-1 Off Site Hedge Baseline'!$B$1:$L$257,8,FALSE)),"",(VLOOKUP($B57,'E-1 Off Site Hedge Baseline'!$B$1:$L$257,8,FALSE))))</f>
        <v/>
      </c>
      <c r="I57" s="520" t="str">
        <f>IF(B57="","",IF(ISNA(VLOOKUP($B57,'E-1 Off Site Hedge Baseline'!$B$1:$L$257,10,FALSE)),"",(VLOOKUP($B57,'E-1 Off Site Hedge Baseline'!$B$1:$L$257,10,FALSE))))</f>
        <v/>
      </c>
      <c r="J57" s="520" t="str">
        <f>IF(B57="","",IF(ISNA(VLOOKUP($B57,'E-1 Off Site Hedge Baseline'!$B$1:$L$257,11,FALSE)),"",(VLOOKUP($B57,'E-1 Off Site Hedge Baseline'!$B$1:$L$257,11,FALSE))))</f>
        <v/>
      </c>
      <c r="K57" s="520" t="str">
        <f>IF(B57="","",IF(ISNA(VLOOKUP($B57,'E-1 Off Site Hedge Baseline'!$B$1:$U$257,113,FALSE)),"",(VLOOKUP($B57,'E-1 Off Site Hedge Baseline'!$B$1:$U$257,13,FALSE))))</f>
        <v/>
      </c>
      <c r="L57" s="507" t="str">
        <f>IF(B57="","",IF(ISNA(VLOOKUP($B57,'E-1 Off Site Hedge Baseline'!$B$1:$U$257,12,FALSE)),"",(VLOOKUP($B57,'E-1 Off Site Hedge Baseline'!$B$1:$U$257,12,FALSE))))</f>
        <v/>
      </c>
      <c r="M57" s="418" t="str">
        <f t="shared" si="8"/>
        <v/>
      </c>
      <c r="N57" s="498" t="str">
        <f>IFERROR(IF(B57="","",INDEX('G-6 Hedgerow Data'!$AN$3:$AZ$15,MATCH(C57,'G-6 Hedgerow Data'!$AM$3:$AM$15,0),MATCH(M57,'G-6 Hedgerow Data'!$AN$2:$AZ$2,0))),"")</f>
        <v/>
      </c>
      <c r="O57" s="499" t="str">
        <f t="shared" si="2"/>
        <v/>
      </c>
      <c r="P57" s="505" t="str">
        <f>IF(B57="","",VLOOKUP(B57,'E-1 Off Site Hedge Baseline'!$B$10:T302,16,FALSE))</f>
        <v/>
      </c>
      <c r="Q57" s="498" t="str">
        <f>IF(M57="","",VLOOKUP(M57,'G-6 Hedgerow Data'!$B$2:$AG$15,2,FALSE))</f>
        <v/>
      </c>
      <c r="R57" s="499" t="str">
        <f>IF(M57="","",VLOOKUP(M57,'G-6 Hedgerow Data'!$B$2:$AG$15,3,FALSE))</f>
        <v/>
      </c>
      <c r="S57" s="145"/>
      <c r="T57" s="499" t="str">
        <f>IFERROR(IF(AND(Q57="V.Low",OR(S57="Good",S57="Moderate")),"Error ▲",VLOOKUP(S57,'G-1 All Habitats'!$Z$2:$AA$9,2,FALSE)),"")</f>
        <v/>
      </c>
      <c r="U57" s="145"/>
      <c r="V57" s="507" t="str">
        <f>IF(U57="","",IF(VLOOKUP(U57,'G-3 Multipliers'!$L$3:$N$6,2,FALSE)=0,"Spatial Data Missing ⚠",VLOOKUP(U57,'G-3 Multipliers'!$L$3:$N$6,2,FALSE)))</f>
        <v/>
      </c>
      <c r="W57" s="505"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20" t="str">
        <f t="shared" si="5"/>
        <v/>
      </c>
      <c r="AF57" s="520" t="str">
        <f t="shared" si="6"/>
        <v/>
      </c>
      <c r="AG57" s="524" t="str">
        <f>IFERROR(IF(O57="","",VLOOKUP(AD57,'G-3 Multipliers'!$P$3:$Q$6,2,FALSE)),"")</f>
        <v/>
      </c>
      <c r="AH57" s="197"/>
      <c r="AI57" s="499" t="str">
        <f>IF(AH57="","",IF(VLOOKUP(AH57,'G-3 Multipliers'!$S$3:$T$6,2,FALSE)=0,"Spatial Data Missing ⚠",VLOOKUP(AH57,'G-3 Multipliers'!$S$3:$T$6,2,FALSE)))</f>
        <v/>
      </c>
      <c r="AJ57" s="545" t="str">
        <f t="shared" si="7"/>
        <v/>
      </c>
      <c r="AK57" s="149"/>
      <c r="AL57" s="150"/>
      <c r="AP57" s="31" t="str">
        <f>IFERROR(INDEX('G-6 Hedgerow Data'!$BJ$3:$BJ$15,MATCH(M57,'G-6 Hedgerow Data'!$B$3:$B$15,0)),"")</f>
        <v/>
      </c>
    </row>
    <row r="58" spans="2:42" ht="13.8" x14ac:dyDescent="0.25">
      <c r="B58" s="531" t="str">
        <f>'E-1 Off Site Hedge Baseline'!AK56</f>
        <v/>
      </c>
      <c r="C58" s="520" t="str">
        <f>IF(B58="","",IF(ISNA(VLOOKUP($B58,'E-1 Off Site Hedge Baseline'!$B$1:$L$257,3,FALSE)),"",(VLOOKUP($B58,'E-1 Off Site Hedge Baseline'!$B$1:$L$257,3,FALSE))))</f>
        <v/>
      </c>
      <c r="D58" s="520" t="str">
        <f>IF(B58="","",IF(ISNA(VLOOKUP($B58,'E-1 Off Site Hedge Baseline'!$B$1:$L$258,4,FALSE)),"",(VLOOKUP($B58,'E-1 Off Site Hedge Baseline'!$B$1:$L$258,4,FALSE))))</f>
        <v/>
      </c>
      <c r="E58" s="520" t="str">
        <f>IF(B58="","",IF(ISNA(VLOOKUP($B58,'E-1 Off Site Hedge Baseline'!$B$1:$L$257,5,FALSE)),"",(VLOOKUP($B58,'E-1 Off Site Hedge Baseline'!$B$1:$L$257,5,FALSE))))</f>
        <v/>
      </c>
      <c r="F58" s="520" t="str">
        <f>IF(B58="","",IF(ISNA(VLOOKUP($B58,'E-1 Off Site Hedge Baseline'!$B$1:$L$257,6,FALSE)),"",(VLOOKUP($B58,'E-1 Off Site Hedge Baseline'!$B$1:$L$257,6,FALSE))))</f>
        <v/>
      </c>
      <c r="G58" s="520" t="str">
        <f>IF(B58="","",IF(ISNA(VLOOKUP($B58,'E-1 Off Site Hedge Baseline'!$B$1:$L$257,7,FALSE)),"",(VLOOKUP($B58,'E-1 Off Site Hedge Baseline'!$B$1:$L$257,7,FALSE))))</f>
        <v/>
      </c>
      <c r="H58" s="520" t="str">
        <f>IF(B58="","",IF(ISNA(VLOOKUP($B58,'E-1 Off Site Hedge Baseline'!$B$1:$L$257,8,FALSE)),"",(VLOOKUP($B58,'E-1 Off Site Hedge Baseline'!$B$1:$L$257,8,FALSE))))</f>
        <v/>
      </c>
      <c r="I58" s="520" t="str">
        <f>IF(B58="","",IF(ISNA(VLOOKUP($B58,'E-1 Off Site Hedge Baseline'!$B$1:$L$257,10,FALSE)),"",(VLOOKUP($B58,'E-1 Off Site Hedge Baseline'!$B$1:$L$257,10,FALSE))))</f>
        <v/>
      </c>
      <c r="J58" s="520" t="str">
        <f>IF(B58="","",IF(ISNA(VLOOKUP($B58,'E-1 Off Site Hedge Baseline'!$B$1:$L$257,11,FALSE)),"",(VLOOKUP($B58,'E-1 Off Site Hedge Baseline'!$B$1:$L$257,11,FALSE))))</f>
        <v/>
      </c>
      <c r="K58" s="520" t="str">
        <f>IF(B58="","",IF(ISNA(VLOOKUP($B58,'E-1 Off Site Hedge Baseline'!$B$1:$U$257,113,FALSE)),"",(VLOOKUP($B58,'E-1 Off Site Hedge Baseline'!$B$1:$U$257,13,FALSE))))</f>
        <v/>
      </c>
      <c r="L58" s="507" t="str">
        <f>IF(B58="","",IF(ISNA(VLOOKUP($B58,'E-1 Off Site Hedge Baseline'!$B$1:$U$257,12,FALSE)),"",(VLOOKUP($B58,'E-1 Off Site Hedge Baseline'!$B$1:$U$257,12,FALSE))))</f>
        <v/>
      </c>
      <c r="M58" s="418" t="str">
        <f t="shared" si="8"/>
        <v/>
      </c>
      <c r="N58" s="498" t="str">
        <f>IFERROR(IF(B58="","",INDEX('G-6 Hedgerow Data'!$AN$3:$AZ$15,MATCH(C58,'G-6 Hedgerow Data'!$AM$3:$AM$15,0),MATCH(M58,'G-6 Hedgerow Data'!$AN$2:$AZ$2,0))),"")</f>
        <v/>
      </c>
      <c r="O58" s="499" t="str">
        <f t="shared" si="2"/>
        <v/>
      </c>
      <c r="P58" s="505" t="str">
        <f>IF(B58="","",VLOOKUP(B58,'E-1 Off Site Hedge Baseline'!$B$10:T303,16,FALSE))</f>
        <v/>
      </c>
      <c r="Q58" s="498" t="str">
        <f>IF(M58="","",VLOOKUP(M58,'G-6 Hedgerow Data'!$B$2:$AG$15,2,FALSE))</f>
        <v/>
      </c>
      <c r="R58" s="499" t="str">
        <f>IF(M58="","",VLOOKUP(M58,'G-6 Hedgerow Data'!$B$2:$AG$15,3,FALSE))</f>
        <v/>
      </c>
      <c r="S58" s="145"/>
      <c r="T58" s="499" t="str">
        <f>IFERROR(IF(AND(Q58="V.Low",OR(S58="Good",S58="Moderate")),"Error ▲",VLOOKUP(S58,'G-1 All Habitats'!$Z$2:$AA$9,2,FALSE)),"")</f>
        <v/>
      </c>
      <c r="U58" s="145"/>
      <c r="V58" s="507" t="str">
        <f>IF(U58="","",IF(VLOOKUP(U58,'G-3 Multipliers'!$L$3:$N$6,2,FALSE)=0,"Spatial Data Missing ⚠",VLOOKUP(U58,'G-3 Multipliers'!$L$3:$N$6,2,FALSE)))</f>
        <v/>
      </c>
      <c r="W58" s="505"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20" t="str">
        <f t="shared" si="5"/>
        <v/>
      </c>
      <c r="AF58" s="520" t="str">
        <f t="shared" si="6"/>
        <v/>
      </c>
      <c r="AG58" s="524" t="str">
        <f>IFERROR(IF(O58="","",VLOOKUP(AD58,'G-3 Multipliers'!$P$3:$Q$6,2,FALSE)),"")</f>
        <v/>
      </c>
      <c r="AH58" s="197"/>
      <c r="AI58" s="499" t="str">
        <f>IF(AH58="","",IF(VLOOKUP(AH58,'G-3 Multipliers'!$S$3:$T$6,2,FALSE)=0,"Spatial Data Missing ⚠",VLOOKUP(AH58,'G-3 Multipliers'!$S$3:$T$6,2,FALSE)))</f>
        <v/>
      </c>
      <c r="AJ58" s="545" t="str">
        <f t="shared" si="7"/>
        <v/>
      </c>
      <c r="AK58" s="149"/>
      <c r="AL58" s="150"/>
      <c r="AP58" s="31" t="str">
        <f>IFERROR(INDEX('G-6 Hedgerow Data'!$BJ$3:$BJ$15,MATCH(M58,'G-6 Hedgerow Data'!$B$3:$B$15,0)),"")</f>
        <v/>
      </c>
    </row>
    <row r="59" spans="2:42" ht="13.8" x14ac:dyDescent="0.25">
      <c r="B59" s="531" t="str">
        <f>'E-1 Off Site Hedge Baseline'!AK57</f>
        <v/>
      </c>
      <c r="C59" s="520" t="str">
        <f>IF(B59="","",IF(ISNA(VLOOKUP($B59,'E-1 Off Site Hedge Baseline'!$B$1:$L$257,3,FALSE)),"",(VLOOKUP($B59,'E-1 Off Site Hedge Baseline'!$B$1:$L$257,3,FALSE))))</f>
        <v/>
      </c>
      <c r="D59" s="520" t="str">
        <f>IF(B59="","",IF(ISNA(VLOOKUP($B59,'E-1 Off Site Hedge Baseline'!$B$1:$L$258,4,FALSE)),"",(VLOOKUP($B59,'E-1 Off Site Hedge Baseline'!$B$1:$L$258,4,FALSE))))</f>
        <v/>
      </c>
      <c r="E59" s="520" t="str">
        <f>IF(B59="","",IF(ISNA(VLOOKUP($B59,'E-1 Off Site Hedge Baseline'!$B$1:$L$257,5,FALSE)),"",(VLOOKUP($B59,'E-1 Off Site Hedge Baseline'!$B$1:$L$257,5,FALSE))))</f>
        <v/>
      </c>
      <c r="F59" s="520" t="str">
        <f>IF(B59="","",IF(ISNA(VLOOKUP($B59,'E-1 Off Site Hedge Baseline'!$B$1:$L$257,6,FALSE)),"",(VLOOKUP($B59,'E-1 Off Site Hedge Baseline'!$B$1:$L$257,6,FALSE))))</f>
        <v/>
      </c>
      <c r="G59" s="520" t="str">
        <f>IF(B59="","",IF(ISNA(VLOOKUP($B59,'E-1 Off Site Hedge Baseline'!$B$1:$L$257,7,FALSE)),"",(VLOOKUP($B59,'E-1 Off Site Hedge Baseline'!$B$1:$L$257,7,FALSE))))</f>
        <v/>
      </c>
      <c r="H59" s="520" t="str">
        <f>IF(B59="","",IF(ISNA(VLOOKUP($B59,'E-1 Off Site Hedge Baseline'!$B$1:$L$257,8,FALSE)),"",(VLOOKUP($B59,'E-1 Off Site Hedge Baseline'!$B$1:$L$257,8,FALSE))))</f>
        <v/>
      </c>
      <c r="I59" s="520" t="str">
        <f>IF(B59="","",IF(ISNA(VLOOKUP($B59,'E-1 Off Site Hedge Baseline'!$B$1:$L$257,10,FALSE)),"",(VLOOKUP($B59,'E-1 Off Site Hedge Baseline'!$B$1:$L$257,10,FALSE))))</f>
        <v/>
      </c>
      <c r="J59" s="520" t="str">
        <f>IF(B59="","",IF(ISNA(VLOOKUP($B59,'E-1 Off Site Hedge Baseline'!$B$1:$L$257,11,FALSE)),"",(VLOOKUP($B59,'E-1 Off Site Hedge Baseline'!$B$1:$L$257,11,FALSE))))</f>
        <v/>
      </c>
      <c r="K59" s="520" t="str">
        <f>IF(B59="","",IF(ISNA(VLOOKUP($B59,'E-1 Off Site Hedge Baseline'!$B$1:$U$257,113,FALSE)),"",(VLOOKUP($B59,'E-1 Off Site Hedge Baseline'!$B$1:$U$257,13,FALSE))))</f>
        <v/>
      </c>
      <c r="L59" s="507" t="str">
        <f>IF(B59="","",IF(ISNA(VLOOKUP($B59,'E-1 Off Site Hedge Baseline'!$B$1:$U$257,12,FALSE)),"",(VLOOKUP($B59,'E-1 Off Site Hedge Baseline'!$B$1:$U$257,12,FALSE))))</f>
        <v/>
      </c>
      <c r="M59" s="418" t="str">
        <f t="shared" si="8"/>
        <v/>
      </c>
      <c r="N59" s="498" t="str">
        <f>IFERROR(IF(B59="","",INDEX('G-6 Hedgerow Data'!$AN$3:$AZ$15,MATCH(C59,'G-6 Hedgerow Data'!$AM$3:$AM$15,0),MATCH(M59,'G-6 Hedgerow Data'!$AN$2:$AZ$2,0))),"")</f>
        <v/>
      </c>
      <c r="O59" s="499" t="str">
        <f t="shared" si="2"/>
        <v/>
      </c>
      <c r="P59" s="505" t="str">
        <f>IF(B59="","",VLOOKUP(B59,'E-1 Off Site Hedge Baseline'!$B$10:T304,16,FALSE))</f>
        <v/>
      </c>
      <c r="Q59" s="498" t="str">
        <f>IF(M59="","",VLOOKUP(M59,'G-6 Hedgerow Data'!$B$2:$AG$15,2,FALSE))</f>
        <v/>
      </c>
      <c r="R59" s="499" t="str">
        <f>IF(M59="","",VLOOKUP(M59,'G-6 Hedgerow Data'!$B$2:$AG$15,3,FALSE))</f>
        <v/>
      </c>
      <c r="S59" s="145"/>
      <c r="T59" s="499" t="str">
        <f>IFERROR(IF(AND(Q59="V.Low",OR(S59="Good",S59="Moderate")),"Error ▲",VLOOKUP(S59,'G-1 All Habitats'!$Z$2:$AA$9,2,FALSE)),"")</f>
        <v/>
      </c>
      <c r="U59" s="145"/>
      <c r="V59" s="507" t="str">
        <f>IF(U59="","",IF(VLOOKUP(U59,'G-3 Multipliers'!$L$3:$N$6,2,FALSE)=0,"Spatial Data Missing ⚠",VLOOKUP(U59,'G-3 Multipliers'!$L$3:$N$6,2,FALSE)))</f>
        <v/>
      </c>
      <c r="W59" s="505"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20" t="str">
        <f t="shared" si="5"/>
        <v/>
      </c>
      <c r="AF59" s="520" t="str">
        <f t="shared" si="6"/>
        <v/>
      </c>
      <c r="AG59" s="524" t="str">
        <f>IFERROR(IF(O59="","",VLOOKUP(AD59,'G-3 Multipliers'!$P$3:$Q$6,2,FALSE)),"")</f>
        <v/>
      </c>
      <c r="AH59" s="197"/>
      <c r="AI59" s="499" t="str">
        <f>IF(AH59="","",IF(VLOOKUP(AH59,'G-3 Multipliers'!$S$3:$T$6,2,FALSE)=0,"Spatial Data Missing ⚠",VLOOKUP(AH59,'G-3 Multipliers'!$S$3:$T$6,2,FALSE)))</f>
        <v/>
      </c>
      <c r="AJ59" s="545" t="str">
        <f t="shared" si="7"/>
        <v/>
      </c>
      <c r="AK59" s="149"/>
      <c r="AL59" s="150"/>
      <c r="AP59" s="31" t="str">
        <f>IFERROR(INDEX('G-6 Hedgerow Data'!$BJ$3:$BJ$15,MATCH(M59,'G-6 Hedgerow Data'!$B$3:$B$15,0)),"")</f>
        <v/>
      </c>
    </row>
    <row r="60" spans="2:42" ht="13.8" x14ac:dyDescent="0.25">
      <c r="B60" s="531" t="str">
        <f>'E-1 Off Site Hedge Baseline'!AK58</f>
        <v/>
      </c>
      <c r="C60" s="520" t="str">
        <f>IF(B60="","",IF(ISNA(VLOOKUP($B60,'E-1 Off Site Hedge Baseline'!$B$1:$L$257,3,FALSE)),"",(VLOOKUP($B60,'E-1 Off Site Hedge Baseline'!$B$1:$L$257,3,FALSE))))</f>
        <v/>
      </c>
      <c r="D60" s="520" t="str">
        <f>IF(B60="","",IF(ISNA(VLOOKUP($B60,'E-1 Off Site Hedge Baseline'!$B$1:$L$258,4,FALSE)),"",(VLOOKUP($B60,'E-1 Off Site Hedge Baseline'!$B$1:$L$258,4,FALSE))))</f>
        <v/>
      </c>
      <c r="E60" s="520" t="str">
        <f>IF(B60="","",IF(ISNA(VLOOKUP($B60,'E-1 Off Site Hedge Baseline'!$B$1:$L$257,5,FALSE)),"",(VLOOKUP($B60,'E-1 Off Site Hedge Baseline'!$B$1:$L$257,5,FALSE))))</f>
        <v/>
      </c>
      <c r="F60" s="520" t="str">
        <f>IF(B60="","",IF(ISNA(VLOOKUP($B60,'E-1 Off Site Hedge Baseline'!$B$1:$L$257,6,FALSE)),"",(VLOOKUP($B60,'E-1 Off Site Hedge Baseline'!$B$1:$L$257,6,FALSE))))</f>
        <v/>
      </c>
      <c r="G60" s="520" t="str">
        <f>IF(B60="","",IF(ISNA(VLOOKUP($B60,'E-1 Off Site Hedge Baseline'!$B$1:$L$257,7,FALSE)),"",(VLOOKUP($B60,'E-1 Off Site Hedge Baseline'!$B$1:$L$257,7,FALSE))))</f>
        <v/>
      </c>
      <c r="H60" s="520" t="str">
        <f>IF(B60="","",IF(ISNA(VLOOKUP($B60,'E-1 Off Site Hedge Baseline'!$B$1:$L$257,8,FALSE)),"",(VLOOKUP($B60,'E-1 Off Site Hedge Baseline'!$B$1:$L$257,8,FALSE))))</f>
        <v/>
      </c>
      <c r="I60" s="520" t="str">
        <f>IF(B60="","",IF(ISNA(VLOOKUP($B60,'E-1 Off Site Hedge Baseline'!$B$1:$L$257,10,FALSE)),"",(VLOOKUP($B60,'E-1 Off Site Hedge Baseline'!$B$1:$L$257,10,FALSE))))</f>
        <v/>
      </c>
      <c r="J60" s="520" t="str">
        <f>IF(B60="","",IF(ISNA(VLOOKUP($B60,'E-1 Off Site Hedge Baseline'!$B$1:$L$257,11,FALSE)),"",(VLOOKUP($B60,'E-1 Off Site Hedge Baseline'!$B$1:$L$257,11,FALSE))))</f>
        <v/>
      </c>
      <c r="K60" s="520" t="str">
        <f>IF(B60="","",IF(ISNA(VLOOKUP($B60,'E-1 Off Site Hedge Baseline'!$B$1:$U$257,113,FALSE)),"",(VLOOKUP($B60,'E-1 Off Site Hedge Baseline'!$B$1:$U$257,13,FALSE))))</f>
        <v/>
      </c>
      <c r="L60" s="507" t="str">
        <f>IF(B60="","",IF(ISNA(VLOOKUP($B60,'E-1 Off Site Hedge Baseline'!$B$1:$U$257,12,FALSE)),"",(VLOOKUP($B60,'E-1 Off Site Hedge Baseline'!$B$1:$U$257,12,FALSE))))</f>
        <v/>
      </c>
      <c r="M60" s="418" t="str">
        <f t="shared" si="8"/>
        <v/>
      </c>
      <c r="N60" s="498" t="str">
        <f>IFERROR(IF(B60="","",INDEX('G-6 Hedgerow Data'!$AN$3:$AZ$15,MATCH(C60,'G-6 Hedgerow Data'!$AM$3:$AM$15,0),MATCH(M60,'G-6 Hedgerow Data'!$AN$2:$AZ$2,0))),"")</f>
        <v/>
      </c>
      <c r="O60" s="499" t="str">
        <f t="shared" si="2"/>
        <v/>
      </c>
      <c r="P60" s="505" t="str">
        <f>IF(B60="","",VLOOKUP(B60,'E-1 Off Site Hedge Baseline'!$B$10:T305,16,FALSE))</f>
        <v/>
      </c>
      <c r="Q60" s="498" t="str">
        <f>IF(M60="","",VLOOKUP(M60,'G-6 Hedgerow Data'!$B$2:$AG$15,2,FALSE))</f>
        <v/>
      </c>
      <c r="R60" s="499" t="str">
        <f>IF(M60="","",VLOOKUP(M60,'G-6 Hedgerow Data'!$B$2:$AG$15,3,FALSE))</f>
        <v/>
      </c>
      <c r="S60" s="145"/>
      <c r="T60" s="499" t="str">
        <f>IFERROR(IF(AND(Q60="V.Low",OR(S60="Good",S60="Moderate")),"Error ▲",VLOOKUP(S60,'G-1 All Habitats'!$Z$2:$AA$9,2,FALSE)),"")</f>
        <v/>
      </c>
      <c r="U60" s="145"/>
      <c r="V60" s="507" t="str">
        <f>IF(U60="","",IF(VLOOKUP(U60,'G-3 Multipliers'!$L$3:$N$6,2,FALSE)=0,"Spatial Data Missing ⚠",VLOOKUP(U60,'G-3 Multipliers'!$L$3:$N$6,2,FALSE)))</f>
        <v/>
      </c>
      <c r="W60" s="505"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20" t="str">
        <f t="shared" si="5"/>
        <v/>
      </c>
      <c r="AF60" s="520" t="str">
        <f t="shared" si="6"/>
        <v/>
      </c>
      <c r="AG60" s="524" t="str">
        <f>IFERROR(IF(O60="","",VLOOKUP(AD60,'G-3 Multipliers'!$P$3:$Q$6,2,FALSE)),"")</f>
        <v/>
      </c>
      <c r="AH60" s="197"/>
      <c r="AI60" s="499" t="str">
        <f>IF(AH60="","",IF(VLOOKUP(AH60,'G-3 Multipliers'!$S$3:$T$6,2,FALSE)=0,"Spatial Data Missing ⚠",VLOOKUP(AH60,'G-3 Multipliers'!$S$3:$T$6,2,FALSE)))</f>
        <v/>
      </c>
      <c r="AJ60" s="545" t="str">
        <f t="shared" si="7"/>
        <v/>
      </c>
      <c r="AK60" s="149"/>
      <c r="AL60" s="150"/>
      <c r="AP60" s="31" t="str">
        <f>IFERROR(INDEX('G-6 Hedgerow Data'!$BJ$3:$BJ$15,MATCH(M60,'G-6 Hedgerow Data'!$B$3:$B$15,0)),"")</f>
        <v/>
      </c>
    </row>
    <row r="61" spans="2:42" ht="13.8" x14ac:dyDescent="0.25">
      <c r="B61" s="531" t="str">
        <f>'E-1 Off Site Hedge Baseline'!AK59</f>
        <v/>
      </c>
      <c r="C61" s="520" t="str">
        <f>IF(B61="","",IF(ISNA(VLOOKUP($B61,'E-1 Off Site Hedge Baseline'!$B$1:$L$257,3,FALSE)),"",(VLOOKUP($B61,'E-1 Off Site Hedge Baseline'!$B$1:$L$257,3,FALSE))))</f>
        <v/>
      </c>
      <c r="D61" s="520" t="str">
        <f>IF(B61="","",IF(ISNA(VLOOKUP($B61,'E-1 Off Site Hedge Baseline'!$B$1:$L$258,4,FALSE)),"",(VLOOKUP($B61,'E-1 Off Site Hedge Baseline'!$B$1:$L$258,4,FALSE))))</f>
        <v/>
      </c>
      <c r="E61" s="520" t="str">
        <f>IF(B61="","",IF(ISNA(VLOOKUP($B61,'E-1 Off Site Hedge Baseline'!$B$1:$L$257,5,FALSE)),"",(VLOOKUP($B61,'E-1 Off Site Hedge Baseline'!$B$1:$L$257,5,FALSE))))</f>
        <v/>
      </c>
      <c r="F61" s="520" t="str">
        <f>IF(B61="","",IF(ISNA(VLOOKUP($B61,'E-1 Off Site Hedge Baseline'!$B$1:$L$257,6,FALSE)),"",(VLOOKUP($B61,'E-1 Off Site Hedge Baseline'!$B$1:$L$257,6,FALSE))))</f>
        <v/>
      </c>
      <c r="G61" s="520" t="str">
        <f>IF(B61="","",IF(ISNA(VLOOKUP($B61,'E-1 Off Site Hedge Baseline'!$B$1:$L$257,7,FALSE)),"",(VLOOKUP($B61,'E-1 Off Site Hedge Baseline'!$B$1:$L$257,7,FALSE))))</f>
        <v/>
      </c>
      <c r="H61" s="520" t="str">
        <f>IF(B61="","",IF(ISNA(VLOOKUP($B61,'E-1 Off Site Hedge Baseline'!$B$1:$L$257,8,FALSE)),"",(VLOOKUP($B61,'E-1 Off Site Hedge Baseline'!$B$1:$L$257,8,FALSE))))</f>
        <v/>
      </c>
      <c r="I61" s="520" t="str">
        <f>IF(B61="","",IF(ISNA(VLOOKUP($B61,'E-1 Off Site Hedge Baseline'!$B$1:$L$257,10,FALSE)),"",(VLOOKUP($B61,'E-1 Off Site Hedge Baseline'!$B$1:$L$257,10,FALSE))))</f>
        <v/>
      </c>
      <c r="J61" s="520" t="str">
        <f>IF(B61="","",IF(ISNA(VLOOKUP($B61,'E-1 Off Site Hedge Baseline'!$B$1:$L$257,11,FALSE)),"",(VLOOKUP($B61,'E-1 Off Site Hedge Baseline'!$B$1:$L$257,11,FALSE))))</f>
        <v/>
      </c>
      <c r="K61" s="520" t="str">
        <f>IF(B61="","",IF(ISNA(VLOOKUP($B61,'E-1 Off Site Hedge Baseline'!$B$1:$U$257,113,FALSE)),"",(VLOOKUP($B61,'E-1 Off Site Hedge Baseline'!$B$1:$U$257,13,FALSE))))</f>
        <v/>
      </c>
      <c r="L61" s="507" t="str">
        <f>IF(B61="","",IF(ISNA(VLOOKUP($B61,'E-1 Off Site Hedge Baseline'!$B$1:$U$257,12,FALSE)),"",(VLOOKUP($B61,'E-1 Off Site Hedge Baseline'!$B$1:$U$257,12,FALSE))))</f>
        <v/>
      </c>
      <c r="M61" s="418" t="str">
        <f t="shared" si="8"/>
        <v/>
      </c>
      <c r="N61" s="498" t="str">
        <f>IFERROR(IF(B61="","",INDEX('G-6 Hedgerow Data'!$AN$3:$AZ$15,MATCH(C61,'G-6 Hedgerow Data'!$AM$3:$AM$15,0),MATCH(M61,'G-6 Hedgerow Data'!$AN$2:$AZ$2,0))),"")</f>
        <v/>
      </c>
      <c r="O61" s="499" t="str">
        <f t="shared" si="2"/>
        <v/>
      </c>
      <c r="P61" s="505" t="str">
        <f>IF(B61="","",VLOOKUP(B61,'E-1 Off Site Hedge Baseline'!$B$10:T306,16,FALSE))</f>
        <v/>
      </c>
      <c r="Q61" s="498" t="str">
        <f>IF(M61="","",VLOOKUP(M61,'G-6 Hedgerow Data'!$B$2:$AG$15,2,FALSE))</f>
        <v/>
      </c>
      <c r="R61" s="499" t="str">
        <f>IF(M61="","",VLOOKUP(M61,'G-6 Hedgerow Data'!$B$2:$AG$15,3,FALSE))</f>
        <v/>
      </c>
      <c r="S61" s="145"/>
      <c r="T61" s="499" t="str">
        <f>IFERROR(IF(AND(Q61="V.Low",OR(S61="Good",S61="Moderate")),"Error ▲",VLOOKUP(S61,'G-1 All Habitats'!$Z$2:$AA$9,2,FALSE)),"")</f>
        <v/>
      </c>
      <c r="U61" s="145"/>
      <c r="V61" s="507" t="str">
        <f>IF(U61="","",IF(VLOOKUP(U61,'G-3 Multipliers'!$L$3:$N$6,2,FALSE)=0,"Spatial Data Missing ⚠",VLOOKUP(U61,'G-3 Multipliers'!$L$3:$N$6,2,FALSE)))</f>
        <v/>
      </c>
      <c r="W61" s="505"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20" t="str">
        <f t="shared" si="5"/>
        <v/>
      </c>
      <c r="AF61" s="520" t="str">
        <f t="shared" si="6"/>
        <v/>
      </c>
      <c r="AG61" s="524" t="str">
        <f>IFERROR(IF(O61="","",VLOOKUP(AD61,'G-3 Multipliers'!$P$3:$Q$6,2,FALSE)),"")</f>
        <v/>
      </c>
      <c r="AH61" s="197"/>
      <c r="AI61" s="499" t="str">
        <f>IF(AH61="","",IF(VLOOKUP(AH61,'G-3 Multipliers'!$S$3:$T$6,2,FALSE)=0,"Spatial Data Missing ⚠",VLOOKUP(AH61,'G-3 Multipliers'!$S$3:$T$6,2,FALSE)))</f>
        <v/>
      </c>
      <c r="AJ61" s="545" t="str">
        <f t="shared" si="7"/>
        <v/>
      </c>
      <c r="AK61" s="149"/>
      <c r="AL61" s="150"/>
      <c r="AP61" s="31" t="str">
        <f>IFERROR(INDEX('G-6 Hedgerow Data'!$BJ$3:$BJ$15,MATCH(M61,'G-6 Hedgerow Data'!$B$3:$B$15,0)),"")</f>
        <v/>
      </c>
    </row>
    <row r="62" spans="2:42" ht="13.8" x14ac:dyDescent="0.25">
      <c r="B62" s="531" t="str">
        <f>'E-1 Off Site Hedge Baseline'!AK60</f>
        <v/>
      </c>
      <c r="C62" s="520" t="str">
        <f>IF(B62="","",IF(ISNA(VLOOKUP($B62,'E-1 Off Site Hedge Baseline'!$B$1:$L$257,3,FALSE)),"",(VLOOKUP($B62,'E-1 Off Site Hedge Baseline'!$B$1:$L$257,3,FALSE))))</f>
        <v/>
      </c>
      <c r="D62" s="520" t="str">
        <f>IF(B62="","",IF(ISNA(VLOOKUP($B62,'E-1 Off Site Hedge Baseline'!$B$1:$L$258,4,FALSE)),"",(VLOOKUP($B62,'E-1 Off Site Hedge Baseline'!$B$1:$L$258,4,FALSE))))</f>
        <v/>
      </c>
      <c r="E62" s="520" t="str">
        <f>IF(B62="","",IF(ISNA(VLOOKUP($B62,'E-1 Off Site Hedge Baseline'!$B$1:$L$257,5,FALSE)),"",(VLOOKUP($B62,'E-1 Off Site Hedge Baseline'!$B$1:$L$257,5,FALSE))))</f>
        <v/>
      </c>
      <c r="F62" s="520" t="str">
        <f>IF(B62="","",IF(ISNA(VLOOKUP($B62,'E-1 Off Site Hedge Baseline'!$B$1:$L$257,6,FALSE)),"",(VLOOKUP($B62,'E-1 Off Site Hedge Baseline'!$B$1:$L$257,6,FALSE))))</f>
        <v/>
      </c>
      <c r="G62" s="520" t="str">
        <f>IF(B62="","",IF(ISNA(VLOOKUP($B62,'E-1 Off Site Hedge Baseline'!$B$1:$L$257,7,FALSE)),"",(VLOOKUP($B62,'E-1 Off Site Hedge Baseline'!$B$1:$L$257,7,FALSE))))</f>
        <v/>
      </c>
      <c r="H62" s="520" t="str">
        <f>IF(B62="","",IF(ISNA(VLOOKUP($B62,'E-1 Off Site Hedge Baseline'!$B$1:$L$257,8,FALSE)),"",(VLOOKUP($B62,'E-1 Off Site Hedge Baseline'!$B$1:$L$257,8,FALSE))))</f>
        <v/>
      </c>
      <c r="I62" s="520" t="str">
        <f>IF(B62="","",IF(ISNA(VLOOKUP($B62,'E-1 Off Site Hedge Baseline'!$B$1:$L$257,10,FALSE)),"",(VLOOKUP($B62,'E-1 Off Site Hedge Baseline'!$B$1:$L$257,10,FALSE))))</f>
        <v/>
      </c>
      <c r="J62" s="520" t="str">
        <f>IF(B62="","",IF(ISNA(VLOOKUP($B62,'E-1 Off Site Hedge Baseline'!$B$1:$L$257,11,FALSE)),"",(VLOOKUP($B62,'E-1 Off Site Hedge Baseline'!$B$1:$L$257,11,FALSE))))</f>
        <v/>
      </c>
      <c r="K62" s="520" t="str">
        <f>IF(B62="","",IF(ISNA(VLOOKUP($B62,'E-1 Off Site Hedge Baseline'!$B$1:$U$257,113,FALSE)),"",(VLOOKUP($B62,'E-1 Off Site Hedge Baseline'!$B$1:$U$257,13,FALSE))))</f>
        <v/>
      </c>
      <c r="L62" s="507" t="str">
        <f>IF(B62="","",IF(ISNA(VLOOKUP($B62,'E-1 Off Site Hedge Baseline'!$B$1:$U$257,12,FALSE)),"",(VLOOKUP($B62,'E-1 Off Site Hedge Baseline'!$B$1:$U$257,12,FALSE))))</f>
        <v/>
      </c>
      <c r="M62" s="418" t="str">
        <f t="shared" si="8"/>
        <v/>
      </c>
      <c r="N62" s="498" t="str">
        <f>IFERROR(IF(B62="","",INDEX('G-6 Hedgerow Data'!$AN$3:$AZ$15,MATCH(C62,'G-6 Hedgerow Data'!$AM$3:$AM$15,0),MATCH(M62,'G-6 Hedgerow Data'!$AN$2:$AZ$2,0))),"")</f>
        <v/>
      </c>
      <c r="O62" s="499" t="str">
        <f t="shared" si="2"/>
        <v/>
      </c>
      <c r="P62" s="505" t="str">
        <f>IF(B62="","",VLOOKUP(B62,'E-1 Off Site Hedge Baseline'!$B$10:T307,16,FALSE))</f>
        <v/>
      </c>
      <c r="Q62" s="498" t="str">
        <f>IF(M62="","",VLOOKUP(M62,'G-6 Hedgerow Data'!$B$2:$AG$15,2,FALSE))</f>
        <v/>
      </c>
      <c r="R62" s="499" t="str">
        <f>IF(M62="","",VLOOKUP(M62,'G-6 Hedgerow Data'!$B$2:$AG$15,3,FALSE))</f>
        <v/>
      </c>
      <c r="S62" s="145"/>
      <c r="T62" s="499" t="str">
        <f>IFERROR(IF(AND(Q62="V.Low",OR(S62="Good",S62="Moderate")),"Error ▲",VLOOKUP(S62,'G-1 All Habitats'!$Z$2:$AA$9,2,FALSE)),"")</f>
        <v/>
      </c>
      <c r="U62" s="145"/>
      <c r="V62" s="507" t="str">
        <f>IF(U62="","",IF(VLOOKUP(U62,'G-3 Multipliers'!$L$3:$N$6,2,FALSE)=0,"Spatial Data Missing ⚠",VLOOKUP(U62,'G-3 Multipliers'!$L$3:$N$6,2,FALSE)))</f>
        <v/>
      </c>
      <c r="W62" s="505"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20" t="str">
        <f t="shared" si="5"/>
        <v/>
      </c>
      <c r="AF62" s="520" t="str">
        <f t="shared" si="6"/>
        <v/>
      </c>
      <c r="AG62" s="524" t="str">
        <f>IFERROR(IF(O62="","",VLOOKUP(AD62,'G-3 Multipliers'!$P$3:$Q$6,2,FALSE)),"")</f>
        <v/>
      </c>
      <c r="AH62" s="197"/>
      <c r="AI62" s="499" t="str">
        <f>IF(AH62="","",IF(VLOOKUP(AH62,'G-3 Multipliers'!$S$3:$T$6,2,FALSE)=0,"Spatial Data Missing ⚠",VLOOKUP(AH62,'G-3 Multipliers'!$S$3:$T$6,2,FALSE)))</f>
        <v/>
      </c>
      <c r="AJ62" s="545" t="str">
        <f t="shared" si="7"/>
        <v/>
      </c>
      <c r="AK62" s="149"/>
      <c r="AL62" s="150"/>
      <c r="AP62" s="31" t="str">
        <f>IFERROR(INDEX('G-6 Hedgerow Data'!$BJ$3:$BJ$15,MATCH(M62,'G-6 Hedgerow Data'!$B$3:$B$15,0)),"")</f>
        <v/>
      </c>
    </row>
    <row r="63" spans="2:42" ht="13.8" x14ac:dyDescent="0.25">
      <c r="B63" s="531" t="str">
        <f>'E-1 Off Site Hedge Baseline'!AK61</f>
        <v/>
      </c>
      <c r="C63" s="520" t="str">
        <f>IF(B63="","",IF(ISNA(VLOOKUP($B63,'E-1 Off Site Hedge Baseline'!$B$1:$L$257,3,FALSE)),"",(VLOOKUP($B63,'E-1 Off Site Hedge Baseline'!$B$1:$L$257,3,FALSE))))</f>
        <v/>
      </c>
      <c r="D63" s="520" t="str">
        <f>IF(B63="","",IF(ISNA(VLOOKUP($B63,'E-1 Off Site Hedge Baseline'!$B$1:$L$258,4,FALSE)),"",(VLOOKUP($B63,'E-1 Off Site Hedge Baseline'!$B$1:$L$258,4,FALSE))))</f>
        <v/>
      </c>
      <c r="E63" s="520" t="str">
        <f>IF(B63="","",IF(ISNA(VLOOKUP($B63,'E-1 Off Site Hedge Baseline'!$B$1:$L$257,5,FALSE)),"",(VLOOKUP($B63,'E-1 Off Site Hedge Baseline'!$B$1:$L$257,5,FALSE))))</f>
        <v/>
      </c>
      <c r="F63" s="520" t="str">
        <f>IF(B63="","",IF(ISNA(VLOOKUP($B63,'E-1 Off Site Hedge Baseline'!$B$1:$L$257,6,FALSE)),"",(VLOOKUP($B63,'E-1 Off Site Hedge Baseline'!$B$1:$L$257,6,FALSE))))</f>
        <v/>
      </c>
      <c r="G63" s="520" t="str">
        <f>IF(B63="","",IF(ISNA(VLOOKUP($B63,'E-1 Off Site Hedge Baseline'!$B$1:$L$257,7,FALSE)),"",(VLOOKUP($B63,'E-1 Off Site Hedge Baseline'!$B$1:$L$257,7,FALSE))))</f>
        <v/>
      </c>
      <c r="H63" s="520" t="str">
        <f>IF(B63="","",IF(ISNA(VLOOKUP($B63,'E-1 Off Site Hedge Baseline'!$B$1:$L$257,8,FALSE)),"",(VLOOKUP($B63,'E-1 Off Site Hedge Baseline'!$B$1:$L$257,8,FALSE))))</f>
        <v/>
      </c>
      <c r="I63" s="520" t="str">
        <f>IF(B63="","",IF(ISNA(VLOOKUP($B63,'E-1 Off Site Hedge Baseline'!$B$1:$L$257,10,FALSE)),"",(VLOOKUP($B63,'E-1 Off Site Hedge Baseline'!$B$1:$L$257,10,FALSE))))</f>
        <v/>
      </c>
      <c r="J63" s="520" t="str">
        <f>IF(B63="","",IF(ISNA(VLOOKUP($B63,'E-1 Off Site Hedge Baseline'!$B$1:$L$257,11,FALSE)),"",(VLOOKUP($B63,'E-1 Off Site Hedge Baseline'!$B$1:$L$257,11,FALSE))))</f>
        <v/>
      </c>
      <c r="K63" s="520" t="str">
        <f>IF(B63="","",IF(ISNA(VLOOKUP($B63,'E-1 Off Site Hedge Baseline'!$B$1:$U$257,113,FALSE)),"",(VLOOKUP($B63,'E-1 Off Site Hedge Baseline'!$B$1:$U$257,13,FALSE))))</f>
        <v/>
      </c>
      <c r="L63" s="507" t="str">
        <f>IF(B63="","",IF(ISNA(VLOOKUP($B63,'E-1 Off Site Hedge Baseline'!$B$1:$U$257,12,FALSE)),"",(VLOOKUP($B63,'E-1 Off Site Hedge Baseline'!$B$1:$U$257,12,FALSE))))</f>
        <v/>
      </c>
      <c r="M63" s="418" t="str">
        <f t="shared" si="8"/>
        <v/>
      </c>
      <c r="N63" s="498" t="str">
        <f>IFERROR(IF(B63="","",INDEX('G-6 Hedgerow Data'!$AN$3:$AZ$15,MATCH(C63,'G-6 Hedgerow Data'!$AM$3:$AM$15,0),MATCH(M63,'G-6 Hedgerow Data'!$AN$2:$AZ$2,0))),"")</f>
        <v/>
      </c>
      <c r="O63" s="499" t="str">
        <f t="shared" si="2"/>
        <v/>
      </c>
      <c r="P63" s="505" t="str">
        <f>IF(B63="","",VLOOKUP(B63,'E-1 Off Site Hedge Baseline'!$B$10:T308,16,FALSE))</f>
        <v/>
      </c>
      <c r="Q63" s="498" t="str">
        <f>IF(M63="","",VLOOKUP(M63,'G-6 Hedgerow Data'!$B$2:$AG$15,2,FALSE))</f>
        <v/>
      </c>
      <c r="R63" s="499" t="str">
        <f>IF(M63="","",VLOOKUP(M63,'G-6 Hedgerow Data'!$B$2:$AG$15,3,FALSE))</f>
        <v/>
      </c>
      <c r="S63" s="145"/>
      <c r="T63" s="499" t="str">
        <f>IFERROR(IF(AND(Q63="V.Low",OR(S63="Good",S63="Moderate")),"Error ▲",VLOOKUP(S63,'G-1 All Habitats'!$Z$2:$AA$9,2,FALSE)),"")</f>
        <v/>
      </c>
      <c r="U63" s="145"/>
      <c r="V63" s="507" t="str">
        <f>IF(U63="","",IF(VLOOKUP(U63,'G-3 Multipliers'!$L$3:$N$6,2,FALSE)=0,"Spatial Data Missing ⚠",VLOOKUP(U63,'G-3 Multipliers'!$L$3:$N$6,2,FALSE)))</f>
        <v/>
      </c>
      <c r="W63" s="505"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20" t="str">
        <f t="shared" si="5"/>
        <v/>
      </c>
      <c r="AF63" s="520" t="str">
        <f t="shared" si="6"/>
        <v/>
      </c>
      <c r="AG63" s="524" t="str">
        <f>IFERROR(IF(O63="","",VLOOKUP(AD63,'G-3 Multipliers'!$P$3:$Q$6,2,FALSE)),"")</f>
        <v/>
      </c>
      <c r="AH63" s="197"/>
      <c r="AI63" s="499" t="str">
        <f>IF(AH63="","",IF(VLOOKUP(AH63,'G-3 Multipliers'!$S$3:$T$6,2,FALSE)=0,"Spatial Data Missing ⚠",VLOOKUP(AH63,'G-3 Multipliers'!$S$3:$T$6,2,FALSE)))</f>
        <v/>
      </c>
      <c r="AJ63" s="545" t="str">
        <f t="shared" si="7"/>
        <v/>
      </c>
      <c r="AK63" s="149"/>
      <c r="AL63" s="150"/>
      <c r="AP63" s="31" t="str">
        <f>IFERROR(INDEX('G-6 Hedgerow Data'!$BJ$3:$BJ$15,MATCH(M63,'G-6 Hedgerow Data'!$B$3:$B$15,0)),"")</f>
        <v/>
      </c>
    </row>
    <row r="64" spans="2:42" ht="13.8" x14ac:dyDescent="0.25">
      <c r="B64" s="531" t="str">
        <f>'E-1 Off Site Hedge Baseline'!AK62</f>
        <v/>
      </c>
      <c r="C64" s="520" t="str">
        <f>IF(B64="","",IF(ISNA(VLOOKUP($B64,'E-1 Off Site Hedge Baseline'!$B$1:$L$257,3,FALSE)),"",(VLOOKUP($B64,'E-1 Off Site Hedge Baseline'!$B$1:$L$257,3,FALSE))))</f>
        <v/>
      </c>
      <c r="D64" s="520" t="str">
        <f>IF(B64="","",IF(ISNA(VLOOKUP($B64,'E-1 Off Site Hedge Baseline'!$B$1:$L$258,4,FALSE)),"",(VLOOKUP($B64,'E-1 Off Site Hedge Baseline'!$B$1:$L$258,4,FALSE))))</f>
        <v/>
      </c>
      <c r="E64" s="520" t="str">
        <f>IF(B64="","",IF(ISNA(VLOOKUP($B64,'E-1 Off Site Hedge Baseline'!$B$1:$L$257,5,FALSE)),"",(VLOOKUP($B64,'E-1 Off Site Hedge Baseline'!$B$1:$L$257,5,FALSE))))</f>
        <v/>
      </c>
      <c r="F64" s="520" t="str">
        <f>IF(B64="","",IF(ISNA(VLOOKUP($B64,'E-1 Off Site Hedge Baseline'!$B$1:$L$257,6,FALSE)),"",(VLOOKUP($B64,'E-1 Off Site Hedge Baseline'!$B$1:$L$257,6,FALSE))))</f>
        <v/>
      </c>
      <c r="G64" s="520" t="str">
        <f>IF(B64="","",IF(ISNA(VLOOKUP($B64,'E-1 Off Site Hedge Baseline'!$B$1:$L$257,7,FALSE)),"",(VLOOKUP($B64,'E-1 Off Site Hedge Baseline'!$B$1:$L$257,7,FALSE))))</f>
        <v/>
      </c>
      <c r="H64" s="520" t="str">
        <f>IF(B64="","",IF(ISNA(VLOOKUP($B64,'E-1 Off Site Hedge Baseline'!$B$1:$L$257,8,FALSE)),"",(VLOOKUP($B64,'E-1 Off Site Hedge Baseline'!$B$1:$L$257,8,FALSE))))</f>
        <v/>
      </c>
      <c r="I64" s="520" t="str">
        <f>IF(B64="","",IF(ISNA(VLOOKUP($B64,'E-1 Off Site Hedge Baseline'!$B$1:$L$257,10,FALSE)),"",(VLOOKUP($B64,'E-1 Off Site Hedge Baseline'!$B$1:$L$257,10,FALSE))))</f>
        <v/>
      </c>
      <c r="J64" s="520" t="str">
        <f>IF(B64="","",IF(ISNA(VLOOKUP($B64,'E-1 Off Site Hedge Baseline'!$B$1:$L$257,11,FALSE)),"",(VLOOKUP($B64,'E-1 Off Site Hedge Baseline'!$B$1:$L$257,11,FALSE))))</f>
        <v/>
      </c>
      <c r="K64" s="520" t="str">
        <f>IF(B64="","",IF(ISNA(VLOOKUP($B64,'E-1 Off Site Hedge Baseline'!$B$1:$U$257,113,FALSE)),"",(VLOOKUP($B64,'E-1 Off Site Hedge Baseline'!$B$1:$U$257,13,FALSE))))</f>
        <v/>
      </c>
      <c r="L64" s="507" t="str">
        <f>IF(B64="","",IF(ISNA(VLOOKUP($B64,'E-1 Off Site Hedge Baseline'!$B$1:$U$257,12,FALSE)),"",(VLOOKUP($B64,'E-1 Off Site Hedge Baseline'!$B$1:$U$257,12,FALSE))))</f>
        <v/>
      </c>
      <c r="M64" s="418" t="str">
        <f t="shared" si="8"/>
        <v/>
      </c>
      <c r="N64" s="498" t="str">
        <f>IFERROR(IF(B64="","",INDEX('G-6 Hedgerow Data'!$AN$3:$AZ$15,MATCH(C64,'G-6 Hedgerow Data'!$AM$3:$AM$15,0),MATCH(M64,'G-6 Hedgerow Data'!$AN$2:$AZ$2,0))),"")</f>
        <v/>
      </c>
      <c r="O64" s="499" t="str">
        <f t="shared" si="2"/>
        <v/>
      </c>
      <c r="P64" s="505" t="str">
        <f>IF(B64="","",VLOOKUP(B64,'E-1 Off Site Hedge Baseline'!$B$10:T309,16,FALSE))</f>
        <v/>
      </c>
      <c r="Q64" s="498" t="str">
        <f>IF(M64="","",VLOOKUP(M64,'G-6 Hedgerow Data'!$B$2:$AG$15,2,FALSE))</f>
        <v/>
      </c>
      <c r="R64" s="499" t="str">
        <f>IF(M64="","",VLOOKUP(M64,'G-6 Hedgerow Data'!$B$2:$AG$15,3,FALSE))</f>
        <v/>
      </c>
      <c r="S64" s="145"/>
      <c r="T64" s="499" t="str">
        <f>IFERROR(IF(AND(Q64="V.Low",OR(S64="Good",S64="Moderate")),"Error ▲",VLOOKUP(S64,'G-1 All Habitats'!$Z$2:$AA$9,2,FALSE)),"")</f>
        <v/>
      </c>
      <c r="U64" s="145"/>
      <c r="V64" s="507" t="str">
        <f>IF(U64="","",IF(VLOOKUP(U64,'G-3 Multipliers'!$L$3:$N$6,2,FALSE)=0,"Spatial Data Missing ⚠",VLOOKUP(U64,'G-3 Multipliers'!$L$3:$N$6,2,FALSE)))</f>
        <v/>
      </c>
      <c r="W64" s="505"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20" t="str">
        <f t="shared" si="5"/>
        <v/>
      </c>
      <c r="AF64" s="520" t="str">
        <f t="shared" si="6"/>
        <v/>
      </c>
      <c r="AG64" s="524" t="str">
        <f>IFERROR(IF(O64="","",VLOOKUP(AD64,'G-3 Multipliers'!$P$3:$Q$6,2,FALSE)),"")</f>
        <v/>
      </c>
      <c r="AH64" s="197"/>
      <c r="AI64" s="499" t="str">
        <f>IF(AH64="","",IF(VLOOKUP(AH64,'G-3 Multipliers'!$S$3:$T$6,2,FALSE)=0,"Spatial Data Missing ⚠",VLOOKUP(AH64,'G-3 Multipliers'!$S$3:$T$6,2,FALSE)))</f>
        <v/>
      </c>
      <c r="AJ64" s="545" t="str">
        <f t="shared" si="7"/>
        <v/>
      </c>
      <c r="AK64" s="149"/>
      <c r="AL64" s="150"/>
      <c r="AP64" s="31" t="str">
        <f>IFERROR(INDEX('G-6 Hedgerow Data'!$BJ$3:$BJ$15,MATCH(M64,'G-6 Hedgerow Data'!$B$3:$B$15,0)),"")</f>
        <v/>
      </c>
    </row>
    <row r="65" spans="2:42" ht="13.8" x14ac:dyDescent="0.25">
      <c r="B65" s="531" t="str">
        <f>'E-1 Off Site Hedge Baseline'!AK63</f>
        <v/>
      </c>
      <c r="C65" s="520" t="str">
        <f>IF(B65="","",IF(ISNA(VLOOKUP($B65,'E-1 Off Site Hedge Baseline'!$B$1:$L$257,3,FALSE)),"",(VLOOKUP($B65,'E-1 Off Site Hedge Baseline'!$B$1:$L$257,3,FALSE))))</f>
        <v/>
      </c>
      <c r="D65" s="520" t="str">
        <f>IF(B65="","",IF(ISNA(VLOOKUP($B65,'E-1 Off Site Hedge Baseline'!$B$1:$L$258,4,FALSE)),"",(VLOOKUP($B65,'E-1 Off Site Hedge Baseline'!$B$1:$L$258,4,FALSE))))</f>
        <v/>
      </c>
      <c r="E65" s="520" t="str">
        <f>IF(B65="","",IF(ISNA(VLOOKUP($B65,'E-1 Off Site Hedge Baseline'!$B$1:$L$257,5,FALSE)),"",(VLOOKUP($B65,'E-1 Off Site Hedge Baseline'!$B$1:$L$257,5,FALSE))))</f>
        <v/>
      </c>
      <c r="F65" s="520" t="str">
        <f>IF(B65="","",IF(ISNA(VLOOKUP($B65,'E-1 Off Site Hedge Baseline'!$B$1:$L$257,6,FALSE)),"",(VLOOKUP($B65,'E-1 Off Site Hedge Baseline'!$B$1:$L$257,6,FALSE))))</f>
        <v/>
      </c>
      <c r="G65" s="520" t="str">
        <f>IF(B65="","",IF(ISNA(VLOOKUP($B65,'E-1 Off Site Hedge Baseline'!$B$1:$L$257,7,FALSE)),"",(VLOOKUP($B65,'E-1 Off Site Hedge Baseline'!$B$1:$L$257,7,FALSE))))</f>
        <v/>
      </c>
      <c r="H65" s="520" t="str">
        <f>IF(B65="","",IF(ISNA(VLOOKUP($B65,'E-1 Off Site Hedge Baseline'!$B$1:$L$257,8,FALSE)),"",(VLOOKUP($B65,'E-1 Off Site Hedge Baseline'!$B$1:$L$257,8,FALSE))))</f>
        <v/>
      </c>
      <c r="I65" s="520" t="str">
        <f>IF(B65="","",IF(ISNA(VLOOKUP($B65,'E-1 Off Site Hedge Baseline'!$B$1:$L$257,10,FALSE)),"",(VLOOKUP($B65,'E-1 Off Site Hedge Baseline'!$B$1:$L$257,10,FALSE))))</f>
        <v/>
      </c>
      <c r="J65" s="520" t="str">
        <f>IF(B65="","",IF(ISNA(VLOOKUP($B65,'E-1 Off Site Hedge Baseline'!$B$1:$L$257,11,FALSE)),"",(VLOOKUP($B65,'E-1 Off Site Hedge Baseline'!$B$1:$L$257,11,FALSE))))</f>
        <v/>
      </c>
      <c r="K65" s="520" t="str">
        <f>IF(B65="","",IF(ISNA(VLOOKUP($B65,'E-1 Off Site Hedge Baseline'!$B$1:$U$257,113,FALSE)),"",(VLOOKUP($B65,'E-1 Off Site Hedge Baseline'!$B$1:$U$257,13,FALSE))))</f>
        <v/>
      </c>
      <c r="L65" s="507" t="str">
        <f>IF(B65="","",IF(ISNA(VLOOKUP($B65,'E-1 Off Site Hedge Baseline'!$B$1:$U$257,12,FALSE)),"",(VLOOKUP($B65,'E-1 Off Site Hedge Baseline'!$B$1:$U$257,12,FALSE))))</f>
        <v/>
      </c>
      <c r="M65" s="418" t="str">
        <f t="shared" si="8"/>
        <v/>
      </c>
      <c r="N65" s="498" t="str">
        <f>IFERROR(IF(B65="","",INDEX('G-6 Hedgerow Data'!$AN$3:$AZ$15,MATCH(C65,'G-6 Hedgerow Data'!$AM$3:$AM$15,0),MATCH(M65,'G-6 Hedgerow Data'!$AN$2:$AZ$2,0))),"")</f>
        <v/>
      </c>
      <c r="O65" s="499" t="str">
        <f t="shared" si="2"/>
        <v/>
      </c>
      <c r="P65" s="505" t="str">
        <f>IF(B65="","",VLOOKUP(B65,'E-1 Off Site Hedge Baseline'!$B$10:T310,16,FALSE))</f>
        <v/>
      </c>
      <c r="Q65" s="498" t="str">
        <f>IF(M65="","",VLOOKUP(M65,'G-6 Hedgerow Data'!$B$2:$AG$15,2,FALSE))</f>
        <v/>
      </c>
      <c r="R65" s="499" t="str">
        <f>IF(M65="","",VLOOKUP(M65,'G-6 Hedgerow Data'!$B$2:$AG$15,3,FALSE))</f>
        <v/>
      </c>
      <c r="S65" s="145"/>
      <c r="T65" s="499" t="str">
        <f>IFERROR(IF(AND(Q65="V.Low",OR(S65="Good",S65="Moderate")),"Error ▲",VLOOKUP(S65,'G-1 All Habitats'!$Z$2:$AA$9,2,FALSE)),"")</f>
        <v/>
      </c>
      <c r="U65" s="145"/>
      <c r="V65" s="507" t="str">
        <f>IF(U65="","",IF(VLOOKUP(U65,'G-3 Multipliers'!$L$3:$N$6,2,FALSE)=0,"Spatial Data Missing ⚠",VLOOKUP(U65,'G-3 Multipliers'!$L$3:$N$6,2,FALSE)))</f>
        <v/>
      </c>
      <c r="W65" s="505"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20" t="str">
        <f t="shared" si="5"/>
        <v/>
      </c>
      <c r="AF65" s="520" t="str">
        <f t="shared" si="6"/>
        <v/>
      </c>
      <c r="AG65" s="524" t="str">
        <f>IFERROR(IF(O65="","",VLOOKUP(AD65,'G-3 Multipliers'!$P$3:$Q$6,2,FALSE)),"")</f>
        <v/>
      </c>
      <c r="AH65" s="197"/>
      <c r="AI65" s="499" t="str">
        <f>IF(AH65="","",IF(VLOOKUP(AH65,'G-3 Multipliers'!$S$3:$T$6,2,FALSE)=0,"Spatial Data Missing ⚠",VLOOKUP(AH65,'G-3 Multipliers'!$S$3:$T$6,2,FALSE)))</f>
        <v/>
      </c>
      <c r="AJ65" s="545" t="str">
        <f t="shared" si="7"/>
        <v/>
      </c>
      <c r="AK65" s="149"/>
      <c r="AL65" s="150"/>
      <c r="AP65" s="31" t="str">
        <f>IFERROR(INDEX('G-6 Hedgerow Data'!$BJ$3:$BJ$15,MATCH(M65,'G-6 Hedgerow Data'!$B$3:$B$15,0)),"")</f>
        <v/>
      </c>
    </row>
    <row r="66" spans="2:42" ht="13.8" x14ac:dyDescent="0.25">
      <c r="B66" s="531" t="str">
        <f>'E-1 Off Site Hedge Baseline'!AK64</f>
        <v/>
      </c>
      <c r="C66" s="520" t="str">
        <f>IF(B66="","",IF(ISNA(VLOOKUP($B66,'E-1 Off Site Hedge Baseline'!$B$1:$L$257,3,FALSE)),"",(VLOOKUP($B66,'E-1 Off Site Hedge Baseline'!$B$1:$L$257,3,FALSE))))</f>
        <v/>
      </c>
      <c r="D66" s="520" t="str">
        <f>IF(B66="","",IF(ISNA(VLOOKUP($B66,'E-1 Off Site Hedge Baseline'!$B$1:$L$258,4,FALSE)),"",(VLOOKUP($B66,'E-1 Off Site Hedge Baseline'!$B$1:$L$258,4,FALSE))))</f>
        <v/>
      </c>
      <c r="E66" s="520" t="str">
        <f>IF(B66="","",IF(ISNA(VLOOKUP($B66,'E-1 Off Site Hedge Baseline'!$B$1:$L$257,5,FALSE)),"",(VLOOKUP($B66,'E-1 Off Site Hedge Baseline'!$B$1:$L$257,5,FALSE))))</f>
        <v/>
      </c>
      <c r="F66" s="520" t="str">
        <f>IF(B66="","",IF(ISNA(VLOOKUP($B66,'E-1 Off Site Hedge Baseline'!$B$1:$L$257,6,FALSE)),"",(VLOOKUP($B66,'E-1 Off Site Hedge Baseline'!$B$1:$L$257,6,FALSE))))</f>
        <v/>
      </c>
      <c r="G66" s="520" t="str">
        <f>IF(B66="","",IF(ISNA(VLOOKUP($B66,'E-1 Off Site Hedge Baseline'!$B$1:$L$257,7,FALSE)),"",(VLOOKUP($B66,'E-1 Off Site Hedge Baseline'!$B$1:$L$257,7,FALSE))))</f>
        <v/>
      </c>
      <c r="H66" s="520" t="str">
        <f>IF(B66="","",IF(ISNA(VLOOKUP($B66,'E-1 Off Site Hedge Baseline'!$B$1:$L$257,8,FALSE)),"",(VLOOKUP($B66,'E-1 Off Site Hedge Baseline'!$B$1:$L$257,8,FALSE))))</f>
        <v/>
      </c>
      <c r="I66" s="520" t="str">
        <f>IF(B66="","",IF(ISNA(VLOOKUP($B66,'E-1 Off Site Hedge Baseline'!$B$1:$L$257,10,FALSE)),"",(VLOOKUP($B66,'E-1 Off Site Hedge Baseline'!$B$1:$L$257,10,FALSE))))</f>
        <v/>
      </c>
      <c r="J66" s="520" t="str">
        <f>IF(B66="","",IF(ISNA(VLOOKUP($B66,'E-1 Off Site Hedge Baseline'!$B$1:$L$257,11,FALSE)),"",(VLOOKUP($B66,'E-1 Off Site Hedge Baseline'!$B$1:$L$257,11,FALSE))))</f>
        <v/>
      </c>
      <c r="K66" s="520" t="str">
        <f>IF(B66="","",IF(ISNA(VLOOKUP($B66,'E-1 Off Site Hedge Baseline'!$B$1:$U$257,113,FALSE)),"",(VLOOKUP($B66,'E-1 Off Site Hedge Baseline'!$B$1:$U$257,13,FALSE))))</f>
        <v/>
      </c>
      <c r="L66" s="507" t="str">
        <f>IF(B66="","",IF(ISNA(VLOOKUP($B66,'E-1 Off Site Hedge Baseline'!$B$1:$U$257,12,FALSE)),"",(VLOOKUP($B66,'E-1 Off Site Hedge Baseline'!$B$1:$U$257,12,FALSE))))</f>
        <v/>
      </c>
      <c r="M66" s="418" t="str">
        <f t="shared" si="8"/>
        <v/>
      </c>
      <c r="N66" s="498" t="str">
        <f>IFERROR(IF(B66="","",INDEX('G-6 Hedgerow Data'!$AN$3:$AZ$15,MATCH(C66,'G-6 Hedgerow Data'!$AM$3:$AM$15,0),MATCH(M66,'G-6 Hedgerow Data'!$AN$2:$AZ$2,0))),"")</f>
        <v/>
      </c>
      <c r="O66" s="499" t="str">
        <f t="shared" si="2"/>
        <v/>
      </c>
      <c r="P66" s="505" t="str">
        <f>IF(B66="","",VLOOKUP(B66,'E-1 Off Site Hedge Baseline'!$B$10:T311,16,FALSE))</f>
        <v/>
      </c>
      <c r="Q66" s="498" t="str">
        <f>IF(M66="","",VLOOKUP(M66,'G-6 Hedgerow Data'!$B$2:$AG$15,2,FALSE))</f>
        <v/>
      </c>
      <c r="R66" s="499" t="str">
        <f>IF(M66="","",VLOOKUP(M66,'G-6 Hedgerow Data'!$B$2:$AG$15,3,FALSE))</f>
        <v/>
      </c>
      <c r="S66" s="145"/>
      <c r="T66" s="499" t="str">
        <f>IFERROR(IF(AND(Q66="V.Low",OR(S66="Good",S66="Moderate")),"Error ▲",VLOOKUP(S66,'G-1 All Habitats'!$Z$2:$AA$9,2,FALSE)),"")</f>
        <v/>
      </c>
      <c r="U66" s="145"/>
      <c r="V66" s="507" t="str">
        <f>IF(U66="","",IF(VLOOKUP(U66,'G-3 Multipliers'!$L$3:$N$6,2,FALSE)=0,"Spatial Data Missing ⚠",VLOOKUP(U66,'G-3 Multipliers'!$L$3:$N$6,2,FALSE)))</f>
        <v/>
      </c>
      <c r="W66" s="505"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20" t="str">
        <f t="shared" si="5"/>
        <v/>
      </c>
      <c r="AF66" s="520" t="str">
        <f t="shared" si="6"/>
        <v/>
      </c>
      <c r="AG66" s="524" t="str">
        <f>IFERROR(IF(O66="","",VLOOKUP(AD66,'G-3 Multipliers'!$P$3:$Q$6,2,FALSE)),"")</f>
        <v/>
      </c>
      <c r="AH66" s="197"/>
      <c r="AI66" s="499" t="str">
        <f>IF(AH66="","",IF(VLOOKUP(AH66,'G-3 Multipliers'!$S$3:$T$6,2,FALSE)=0,"Spatial Data Missing ⚠",VLOOKUP(AH66,'G-3 Multipliers'!$S$3:$T$6,2,FALSE)))</f>
        <v/>
      </c>
      <c r="AJ66" s="545" t="str">
        <f t="shared" si="7"/>
        <v/>
      </c>
      <c r="AK66" s="149"/>
      <c r="AL66" s="150"/>
      <c r="AP66" s="31" t="str">
        <f>IFERROR(INDEX('G-6 Hedgerow Data'!$BJ$3:$BJ$15,MATCH(M66,'G-6 Hedgerow Data'!$B$3:$B$15,0)),"")</f>
        <v/>
      </c>
    </row>
    <row r="67" spans="2:42" ht="13.8" x14ac:dyDescent="0.25">
      <c r="B67" s="531" t="str">
        <f>'E-1 Off Site Hedge Baseline'!AK65</f>
        <v/>
      </c>
      <c r="C67" s="520" t="str">
        <f>IF(B67="","",IF(ISNA(VLOOKUP($B67,'E-1 Off Site Hedge Baseline'!$B$1:$L$257,3,FALSE)),"",(VLOOKUP($B67,'E-1 Off Site Hedge Baseline'!$B$1:$L$257,3,FALSE))))</f>
        <v/>
      </c>
      <c r="D67" s="520" t="str">
        <f>IF(B67="","",IF(ISNA(VLOOKUP($B67,'E-1 Off Site Hedge Baseline'!$B$1:$L$258,4,FALSE)),"",(VLOOKUP($B67,'E-1 Off Site Hedge Baseline'!$B$1:$L$258,4,FALSE))))</f>
        <v/>
      </c>
      <c r="E67" s="520" t="str">
        <f>IF(B67="","",IF(ISNA(VLOOKUP($B67,'E-1 Off Site Hedge Baseline'!$B$1:$L$257,5,FALSE)),"",(VLOOKUP($B67,'E-1 Off Site Hedge Baseline'!$B$1:$L$257,5,FALSE))))</f>
        <v/>
      </c>
      <c r="F67" s="520" t="str">
        <f>IF(B67="","",IF(ISNA(VLOOKUP($B67,'E-1 Off Site Hedge Baseline'!$B$1:$L$257,6,FALSE)),"",(VLOOKUP($B67,'E-1 Off Site Hedge Baseline'!$B$1:$L$257,6,FALSE))))</f>
        <v/>
      </c>
      <c r="G67" s="520" t="str">
        <f>IF(B67="","",IF(ISNA(VLOOKUP($B67,'E-1 Off Site Hedge Baseline'!$B$1:$L$257,7,FALSE)),"",(VLOOKUP($B67,'E-1 Off Site Hedge Baseline'!$B$1:$L$257,7,FALSE))))</f>
        <v/>
      </c>
      <c r="H67" s="520" t="str">
        <f>IF(B67="","",IF(ISNA(VLOOKUP($B67,'E-1 Off Site Hedge Baseline'!$B$1:$L$257,8,FALSE)),"",(VLOOKUP($B67,'E-1 Off Site Hedge Baseline'!$B$1:$L$257,8,FALSE))))</f>
        <v/>
      </c>
      <c r="I67" s="520" t="str">
        <f>IF(B67="","",IF(ISNA(VLOOKUP($B67,'E-1 Off Site Hedge Baseline'!$B$1:$L$257,10,FALSE)),"",(VLOOKUP($B67,'E-1 Off Site Hedge Baseline'!$B$1:$L$257,10,FALSE))))</f>
        <v/>
      </c>
      <c r="J67" s="520" t="str">
        <f>IF(B67="","",IF(ISNA(VLOOKUP($B67,'E-1 Off Site Hedge Baseline'!$B$1:$L$257,11,FALSE)),"",(VLOOKUP($B67,'E-1 Off Site Hedge Baseline'!$B$1:$L$257,11,FALSE))))</f>
        <v/>
      </c>
      <c r="K67" s="520" t="str">
        <f>IF(B67="","",IF(ISNA(VLOOKUP($B67,'E-1 Off Site Hedge Baseline'!$B$1:$U$257,113,FALSE)),"",(VLOOKUP($B67,'E-1 Off Site Hedge Baseline'!$B$1:$U$257,13,FALSE))))</f>
        <v/>
      </c>
      <c r="L67" s="507" t="str">
        <f>IF(B67="","",IF(ISNA(VLOOKUP($B67,'E-1 Off Site Hedge Baseline'!$B$1:$U$257,12,FALSE)),"",(VLOOKUP($B67,'E-1 Off Site Hedge Baseline'!$B$1:$U$257,12,FALSE))))</f>
        <v/>
      </c>
      <c r="M67" s="418" t="str">
        <f t="shared" si="8"/>
        <v/>
      </c>
      <c r="N67" s="498" t="str">
        <f>IFERROR(IF(B67="","",INDEX('G-6 Hedgerow Data'!$AN$3:$AZ$15,MATCH(C67,'G-6 Hedgerow Data'!$AM$3:$AM$15,0),MATCH(M67,'G-6 Hedgerow Data'!$AN$2:$AZ$2,0))),"")</f>
        <v/>
      </c>
      <c r="O67" s="499" t="str">
        <f t="shared" si="2"/>
        <v/>
      </c>
      <c r="P67" s="505" t="str">
        <f>IF(B67="","",VLOOKUP(B67,'E-1 Off Site Hedge Baseline'!$B$10:T312,16,FALSE))</f>
        <v/>
      </c>
      <c r="Q67" s="498" t="str">
        <f>IF(M67="","",VLOOKUP(M67,'G-6 Hedgerow Data'!$B$2:$AG$15,2,FALSE))</f>
        <v/>
      </c>
      <c r="R67" s="499" t="str">
        <f>IF(M67="","",VLOOKUP(M67,'G-6 Hedgerow Data'!$B$2:$AG$15,3,FALSE))</f>
        <v/>
      </c>
      <c r="S67" s="145"/>
      <c r="T67" s="499" t="str">
        <f>IFERROR(IF(AND(Q67="V.Low",OR(S67="Good",S67="Moderate")),"Error ▲",VLOOKUP(S67,'G-1 All Habitats'!$Z$2:$AA$9,2,FALSE)),"")</f>
        <v/>
      </c>
      <c r="U67" s="145"/>
      <c r="V67" s="507" t="str">
        <f>IF(U67="","",IF(VLOOKUP(U67,'G-3 Multipliers'!$L$3:$N$6,2,FALSE)=0,"Spatial Data Missing ⚠",VLOOKUP(U67,'G-3 Multipliers'!$L$3:$N$6,2,FALSE)))</f>
        <v/>
      </c>
      <c r="W67" s="505"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20" t="str">
        <f t="shared" si="5"/>
        <v/>
      </c>
      <c r="AF67" s="520" t="str">
        <f t="shared" si="6"/>
        <v/>
      </c>
      <c r="AG67" s="524" t="str">
        <f>IFERROR(IF(O67="","",VLOOKUP(AD67,'G-3 Multipliers'!$P$3:$Q$6,2,FALSE)),"")</f>
        <v/>
      </c>
      <c r="AH67" s="197"/>
      <c r="AI67" s="499" t="str">
        <f>IF(AH67="","",IF(VLOOKUP(AH67,'G-3 Multipliers'!$S$3:$T$6,2,FALSE)=0,"Spatial Data Missing ⚠",VLOOKUP(AH67,'G-3 Multipliers'!$S$3:$T$6,2,FALSE)))</f>
        <v/>
      </c>
      <c r="AJ67" s="545" t="str">
        <f t="shared" si="7"/>
        <v/>
      </c>
      <c r="AK67" s="149"/>
      <c r="AL67" s="150"/>
      <c r="AP67" s="31" t="str">
        <f>IFERROR(INDEX('G-6 Hedgerow Data'!$BJ$3:$BJ$15,MATCH(M67,'G-6 Hedgerow Data'!$B$3:$B$15,0)),"")</f>
        <v/>
      </c>
    </row>
    <row r="68" spans="2:42" ht="13.8" x14ac:dyDescent="0.25">
      <c r="B68" s="531" t="str">
        <f>'E-1 Off Site Hedge Baseline'!AK66</f>
        <v/>
      </c>
      <c r="C68" s="520" t="str">
        <f>IF(B68="","",IF(ISNA(VLOOKUP($B68,'E-1 Off Site Hedge Baseline'!$B$1:$L$257,3,FALSE)),"",(VLOOKUP($B68,'E-1 Off Site Hedge Baseline'!$B$1:$L$257,3,FALSE))))</f>
        <v/>
      </c>
      <c r="D68" s="520" t="str">
        <f>IF(B68="","",IF(ISNA(VLOOKUP($B68,'E-1 Off Site Hedge Baseline'!$B$1:$L$258,4,FALSE)),"",(VLOOKUP($B68,'E-1 Off Site Hedge Baseline'!$B$1:$L$258,4,FALSE))))</f>
        <v/>
      </c>
      <c r="E68" s="520" t="str">
        <f>IF(B68="","",IF(ISNA(VLOOKUP($B68,'E-1 Off Site Hedge Baseline'!$B$1:$L$257,5,FALSE)),"",(VLOOKUP($B68,'E-1 Off Site Hedge Baseline'!$B$1:$L$257,5,FALSE))))</f>
        <v/>
      </c>
      <c r="F68" s="520" t="str">
        <f>IF(B68="","",IF(ISNA(VLOOKUP($B68,'E-1 Off Site Hedge Baseline'!$B$1:$L$257,6,FALSE)),"",(VLOOKUP($B68,'E-1 Off Site Hedge Baseline'!$B$1:$L$257,6,FALSE))))</f>
        <v/>
      </c>
      <c r="G68" s="520" t="str">
        <f>IF(B68="","",IF(ISNA(VLOOKUP($B68,'E-1 Off Site Hedge Baseline'!$B$1:$L$257,7,FALSE)),"",(VLOOKUP($B68,'E-1 Off Site Hedge Baseline'!$B$1:$L$257,7,FALSE))))</f>
        <v/>
      </c>
      <c r="H68" s="520" t="str">
        <f>IF(B68="","",IF(ISNA(VLOOKUP($B68,'E-1 Off Site Hedge Baseline'!$B$1:$L$257,8,FALSE)),"",(VLOOKUP($B68,'E-1 Off Site Hedge Baseline'!$B$1:$L$257,8,FALSE))))</f>
        <v/>
      </c>
      <c r="I68" s="520" t="str">
        <f>IF(B68="","",IF(ISNA(VLOOKUP($B68,'E-1 Off Site Hedge Baseline'!$B$1:$L$257,10,FALSE)),"",(VLOOKUP($B68,'E-1 Off Site Hedge Baseline'!$B$1:$L$257,10,FALSE))))</f>
        <v/>
      </c>
      <c r="J68" s="520" t="str">
        <f>IF(B68="","",IF(ISNA(VLOOKUP($B68,'E-1 Off Site Hedge Baseline'!$B$1:$L$257,11,FALSE)),"",(VLOOKUP($B68,'E-1 Off Site Hedge Baseline'!$B$1:$L$257,11,FALSE))))</f>
        <v/>
      </c>
      <c r="K68" s="520" t="str">
        <f>IF(B68="","",IF(ISNA(VLOOKUP($B68,'E-1 Off Site Hedge Baseline'!$B$1:$U$257,113,FALSE)),"",(VLOOKUP($B68,'E-1 Off Site Hedge Baseline'!$B$1:$U$257,13,FALSE))))</f>
        <v/>
      </c>
      <c r="L68" s="507" t="str">
        <f>IF(B68="","",IF(ISNA(VLOOKUP($B68,'E-1 Off Site Hedge Baseline'!$B$1:$U$257,12,FALSE)),"",(VLOOKUP($B68,'E-1 Off Site Hedge Baseline'!$B$1:$U$257,12,FALSE))))</f>
        <v/>
      </c>
      <c r="M68" s="418" t="str">
        <f t="shared" si="8"/>
        <v/>
      </c>
      <c r="N68" s="498" t="str">
        <f>IFERROR(IF(B68="","",INDEX('G-6 Hedgerow Data'!$AN$3:$AZ$15,MATCH(C68,'G-6 Hedgerow Data'!$AM$3:$AM$15,0),MATCH(M68,'G-6 Hedgerow Data'!$AN$2:$AZ$2,0))),"")</f>
        <v/>
      </c>
      <c r="O68" s="499" t="str">
        <f t="shared" si="2"/>
        <v/>
      </c>
      <c r="P68" s="505" t="str">
        <f>IF(B68="","",VLOOKUP(B68,'E-1 Off Site Hedge Baseline'!$B$10:T313,16,FALSE))</f>
        <v/>
      </c>
      <c r="Q68" s="498" t="str">
        <f>IF(M68="","",VLOOKUP(M68,'G-6 Hedgerow Data'!$B$2:$AG$15,2,FALSE))</f>
        <v/>
      </c>
      <c r="R68" s="499" t="str">
        <f>IF(M68="","",VLOOKUP(M68,'G-6 Hedgerow Data'!$B$2:$AG$15,3,FALSE))</f>
        <v/>
      </c>
      <c r="S68" s="145"/>
      <c r="T68" s="499" t="str">
        <f>IFERROR(IF(AND(Q68="V.Low",OR(S68="Good",S68="Moderate")),"Error ▲",VLOOKUP(S68,'G-1 All Habitats'!$Z$2:$AA$9,2,FALSE)),"")</f>
        <v/>
      </c>
      <c r="U68" s="145"/>
      <c r="V68" s="507" t="str">
        <f>IF(U68="","",IF(VLOOKUP(U68,'G-3 Multipliers'!$L$3:$N$6,2,FALSE)=0,"Spatial Data Missing ⚠",VLOOKUP(U68,'G-3 Multipliers'!$L$3:$N$6,2,FALSE)))</f>
        <v/>
      </c>
      <c r="W68" s="505"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20" t="str">
        <f t="shared" si="5"/>
        <v/>
      </c>
      <c r="AF68" s="520" t="str">
        <f t="shared" si="6"/>
        <v/>
      </c>
      <c r="AG68" s="524" t="str">
        <f>IFERROR(IF(O68="","",VLOOKUP(AD68,'G-3 Multipliers'!$P$3:$Q$6,2,FALSE)),"")</f>
        <v/>
      </c>
      <c r="AH68" s="197"/>
      <c r="AI68" s="499" t="str">
        <f>IF(AH68="","",IF(VLOOKUP(AH68,'G-3 Multipliers'!$S$3:$T$6,2,FALSE)=0,"Spatial Data Missing ⚠",VLOOKUP(AH68,'G-3 Multipliers'!$S$3:$T$6,2,FALSE)))</f>
        <v/>
      </c>
      <c r="AJ68" s="545" t="str">
        <f t="shared" si="7"/>
        <v/>
      </c>
      <c r="AK68" s="149"/>
      <c r="AL68" s="150"/>
      <c r="AP68" s="31" t="str">
        <f>IFERROR(INDEX('G-6 Hedgerow Data'!$BJ$3:$BJ$15,MATCH(M68,'G-6 Hedgerow Data'!$B$3:$B$15,0)),"")</f>
        <v/>
      </c>
    </row>
    <row r="69" spans="2:42" ht="13.8" x14ac:dyDescent="0.25">
      <c r="B69" s="531" t="str">
        <f>'E-1 Off Site Hedge Baseline'!AK67</f>
        <v/>
      </c>
      <c r="C69" s="520" t="str">
        <f>IF(B69="","",IF(ISNA(VLOOKUP($B69,'E-1 Off Site Hedge Baseline'!$B$1:$L$257,3,FALSE)),"",(VLOOKUP($B69,'E-1 Off Site Hedge Baseline'!$B$1:$L$257,3,FALSE))))</f>
        <v/>
      </c>
      <c r="D69" s="520" t="str">
        <f>IF(B69="","",IF(ISNA(VLOOKUP($B69,'E-1 Off Site Hedge Baseline'!$B$1:$L$258,4,FALSE)),"",(VLOOKUP($B69,'E-1 Off Site Hedge Baseline'!$B$1:$L$258,4,FALSE))))</f>
        <v/>
      </c>
      <c r="E69" s="520" t="str">
        <f>IF(B69="","",IF(ISNA(VLOOKUP($B69,'E-1 Off Site Hedge Baseline'!$B$1:$L$257,5,FALSE)),"",(VLOOKUP($B69,'E-1 Off Site Hedge Baseline'!$B$1:$L$257,5,FALSE))))</f>
        <v/>
      </c>
      <c r="F69" s="520" t="str">
        <f>IF(B69="","",IF(ISNA(VLOOKUP($B69,'E-1 Off Site Hedge Baseline'!$B$1:$L$257,6,FALSE)),"",(VLOOKUP($B69,'E-1 Off Site Hedge Baseline'!$B$1:$L$257,6,FALSE))))</f>
        <v/>
      </c>
      <c r="G69" s="520" t="str">
        <f>IF(B69="","",IF(ISNA(VLOOKUP($B69,'E-1 Off Site Hedge Baseline'!$B$1:$L$257,7,FALSE)),"",(VLOOKUP($B69,'E-1 Off Site Hedge Baseline'!$B$1:$L$257,7,FALSE))))</f>
        <v/>
      </c>
      <c r="H69" s="520" t="str">
        <f>IF(B69="","",IF(ISNA(VLOOKUP($B69,'E-1 Off Site Hedge Baseline'!$B$1:$L$257,8,FALSE)),"",(VLOOKUP($B69,'E-1 Off Site Hedge Baseline'!$B$1:$L$257,8,FALSE))))</f>
        <v/>
      </c>
      <c r="I69" s="520" t="str">
        <f>IF(B69="","",IF(ISNA(VLOOKUP($B69,'E-1 Off Site Hedge Baseline'!$B$1:$L$257,10,FALSE)),"",(VLOOKUP($B69,'E-1 Off Site Hedge Baseline'!$B$1:$L$257,10,FALSE))))</f>
        <v/>
      </c>
      <c r="J69" s="520" t="str">
        <f>IF(B69="","",IF(ISNA(VLOOKUP($B69,'E-1 Off Site Hedge Baseline'!$B$1:$L$257,11,FALSE)),"",(VLOOKUP($B69,'E-1 Off Site Hedge Baseline'!$B$1:$L$257,11,FALSE))))</f>
        <v/>
      </c>
      <c r="K69" s="520" t="str">
        <f>IF(B69="","",IF(ISNA(VLOOKUP($B69,'E-1 Off Site Hedge Baseline'!$B$1:$U$257,113,FALSE)),"",(VLOOKUP($B69,'E-1 Off Site Hedge Baseline'!$B$1:$U$257,13,FALSE))))</f>
        <v/>
      </c>
      <c r="L69" s="507" t="str">
        <f>IF(B69="","",IF(ISNA(VLOOKUP($B69,'E-1 Off Site Hedge Baseline'!$B$1:$U$257,12,FALSE)),"",(VLOOKUP($B69,'E-1 Off Site Hedge Baseline'!$B$1:$U$257,12,FALSE))))</f>
        <v/>
      </c>
      <c r="M69" s="418" t="str">
        <f t="shared" si="8"/>
        <v/>
      </c>
      <c r="N69" s="498" t="str">
        <f>IFERROR(IF(B69="","",INDEX('G-6 Hedgerow Data'!$AN$3:$AZ$15,MATCH(C69,'G-6 Hedgerow Data'!$AM$3:$AM$15,0),MATCH(M69,'G-6 Hedgerow Data'!$AN$2:$AZ$2,0))),"")</f>
        <v/>
      </c>
      <c r="O69" s="499" t="str">
        <f t="shared" si="2"/>
        <v/>
      </c>
      <c r="P69" s="505" t="str">
        <f>IF(B69="","",VLOOKUP(B69,'E-1 Off Site Hedge Baseline'!$B$10:T314,16,FALSE))</f>
        <v/>
      </c>
      <c r="Q69" s="498" t="str">
        <f>IF(M69="","",VLOOKUP(M69,'G-6 Hedgerow Data'!$B$2:$AG$15,2,FALSE))</f>
        <v/>
      </c>
      <c r="R69" s="499" t="str">
        <f>IF(M69="","",VLOOKUP(M69,'G-6 Hedgerow Data'!$B$2:$AG$15,3,FALSE))</f>
        <v/>
      </c>
      <c r="S69" s="145"/>
      <c r="T69" s="499" t="str">
        <f>IFERROR(IF(AND(Q69="V.Low",OR(S69="Good",S69="Moderate")),"Error ▲",VLOOKUP(S69,'G-1 All Habitats'!$Z$2:$AA$9,2,FALSE)),"")</f>
        <v/>
      </c>
      <c r="U69" s="145"/>
      <c r="V69" s="507" t="str">
        <f>IF(U69="","",IF(VLOOKUP(U69,'G-3 Multipliers'!$L$3:$N$6,2,FALSE)=0,"Spatial Data Missing ⚠",VLOOKUP(U69,'G-3 Multipliers'!$L$3:$N$6,2,FALSE)))</f>
        <v/>
      </c>
      <c r="W69" s="505"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20" t="str">
        <f t="shared" si="5"/>
        <v/>
      </c>
      <c r="AF69" s="520" t="str">
        <f t="shared" si="6"/>
        <v/>
      </c>
      <c r="AG69" s="524" t="str">
        <f>IFERROR(IF(O69="","",VLOOKUP(AD69,'G-3 Multipliers'!$P$3:$Q$6,2,FALSE)),"")</f>
        <v/>
      </c>
      <c r="AH69" s="197"/>
      <c r="AI69" s="499" t="str">
        <f>IF(AH69="","",IF(VLOOKUP(AH69,'G-3 Multipliers'!$S$3:$T$6,2,FALSE)=0,"Spatial Data Missing ⚠",VLOOKUP(AH69,'G-3 Multipliers'!$S$3:$T$6,2,FALSE)))</f>
        <v/>
      </c>
      <c r="AJ69" s="545" t="str">
        <f t="shared" si="7"/>
        <v/>
      </c>
      <c r="AK69" s="149"/>
      <c r="AL69" s="150"/>
      <c r="AP69" s="31" t="str">
        <f>IFERROR(INDEX('G-6 Hedgerow Data'!$BJ$3:$BJ$15,MATCH(M69,'G-6 Hedgerow Data'!$B$3:$B$15,0)),"")</f>
        <v/>
      </c>
    </row>
    <row r="70" spans="2:42" ht="13.8" x14ac:dyDescent="0.25">
      <c r="B70" s="531" t="str">
        <f>'E-1 Off Site Hedge Baseline'!AK68</f>
        <v/>
      </c>
      <c r="C70" s="520" t="str">
        <f>IF(B70="","",IF(ISNA(VLOOKUP($B70,'E-1 Off Site Hedge Baseline'!$B$1:$L$257,3,FALSE)),"",(VLOOKUP($B70,'E-1 Off Site Hedge Baseline'!$B$1:$L$257,3,FALSE))))</f>
        <v/>
      </c>
      <c r="D70" s="520" t="str">
        <f>IF(B70="","",IF(ISNA(VLOOKUP($B70,'E-1 Off Site Hedge Baseline'!$B$1:$L$258,4,FALSE)),"",(VLOOKUP($B70,'E-1 Off Site Hedge Baseline'!$B$1:$L$258,4,FALSE))))</f>
        <v/>
      </c>
      <c r="E70" s="520" t="str">
        <f>IF(B70="","",IF(ISNA(VLOOKUP($B70,'E-1 Off Site Hedge Baseline'!$B$1:$L$257,5,FALSE)),"",(VLOOKUP($B70,'E-1 Off Site Hedge Baseline'!$B$1:$L$257,5,FALSE))))</f>
        <v/>
      </c>
      <c r="F70" s="520" t="str">
        <f>IF(B70="","",IF(ISNA(VLOOKUP($B70,'E-1 Off Site Hedge Baseline'!$B$1:$L$257,6,FALSE)),"",(VLOOKUP($B70,'E-1 Off Site Hedge Baseline'!$B$1:$L$257,6,FALSE))))</f>
        <v/>
      </c>
      <c r="G70" s="520" t="str">
        <f>IF(B70="","",IF(ISNA(VLOOKUP($B70,'E-1 Off Site Hedge Baseline'!$B$1:$L$257,7,FALSE)),"",(VLOOKUP($B70,'E-1 Off Site Hedge Baseline'!$B$1:$L$257,7,FALSE))))</f>
        <v/>
      </c>
      <c r="H70" s="520" t="str">
        <f>IF(B70="","",IF(ISNA(VLOOKUP($B70,'E-1 Off Site Hedge Baseline'!$B$1:$L$257,8,FALSE)),"",(VLOOKUP($B70,'E-1 Off Site Hedge Baseline'!$B$1:$L$257,8,FALSE))))</f>
        <v/>
      </c>
      <c r="I70" s="520" t="str">
        <f>IF(B70="","",IF(ISNA(VLOOKUP($B70,'E-1 Off Site Hedge Baseline'!$B$1:$L$257,10,FALSE)),"",(VLOOKUP($B70,'E-1 Off Site Hedge Baseline'!$B$1:$L$257,10,FALSE))))</f>
        <v/>
      </c>
      <c r="J70" s="520" t="str">
        <f>IF(B70="","",IF(ISNA(VLOOKUP($B70,'E-1 Off Site Hedge Baseline'!$B$1:$L$257,11,FALSE)),"",(VLOOKUP($B70,'E-1 Off Site Hedge Baseline'!$B$1:$L$257,11,FALSE))))</f>
        <v/>
      </c>
      <c r="K70" s="520" t="str">
        <f>IF(B70="","",IF(ISNA(VLOOKUP($B70,'E-1 Off Site Hedge Baseline'!$B$1:$U$257,113,FALSE)),"",(VLOOKUP($B70,'E-1 Off Site Hedge Baseline'!$B$1:$U$257,13,FALSE))))</f>
        <v/>
      </c>
      <c r="L70" s="507" t="str">
        <f>IF(B70="","",IF(ISNA(VLOOKUP($B70,'E-1 Off Site Hedge Baseline'!$B$1:$U$257,12,FALSE)),"",(VLOOKUP($B70,'E-1 Off Site Hedge Baseline'!$B$1:$U$257,12,FALSE))))</f>
        <v/>
      </c>
      <c r="M70" s="418" t="str">
        <f t="shared" si="8"/>
        <v/>
      </c>
      <c r="N70" s="498" t="str">
        <f>IFERROR(IF(B70="","",INDEX('G-6 Hedgerow Data'!$AN$3:$AZ$15,MATCH(C70,'G-6 Hedgerow Data'!$AM$3:$AM$15,0),MATCH(M70,'G-6 Hedgerow Data'!$AN$2:$AZ$2,0))),"")</f>
        <v/>
      </c>
      <c r="O70" s="499" t="str">
        <f t="shared" si="2"/>
        <v/>
      </c>
      <c r="P70" s="505" t="str">
        <f>IF(B70="","",VLOOKUP(B70,'E-1 Off Site Hedge Baseline'!$B$10:T315,16,FALSE))</f>
        <v/>
      </c>
      <c r="Q70" s="498" t="str">
        <f>IF(M70="","",VLOOKUP(M70,'G-6 Hedgerow Data'!$B$2:$AG$15,2,FALSE))</f>
        <v/>
      </c>
      <c r="R70" s="499" t="str">
        <f>IF(M70="","",VLOOKUP(M70,'G-6 Hedgerow Data'!$B$2:$AG$15,3,FALSE))</f>
        <v/>
      </c>
      <c r="S70" s="145"/>
      <c r="T70" s="499" t="str">
        <f>IFERROR(IF(AND(Q70="V.Low",OR(S70="Good",S70="Moderate")),"Error ▲",VLOOKUP(S70,'G-1 All Habitats'!$Z$2:$AA$9,2,FALSE)),"")</f>
        <v/>
      </c>
      <c r="U70" s="145"/>
      <c r="V70" s="507" t="str">
        <f>IF(U70="","",IF(VLOOKUP(U70,'G-3 Multipliers'!$L$3:$N$6,2,FALSE)=0,"Spatial Data Missing ⚠",VLOOKUP(U70,'G-3 Multipliers'!$L$3:$N$6,2,FALSE)))</f>
        <v/>
      </c>
      <c r="W70" s="505"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20" t="str">
        <f t="shared" si="5"/>
        <v/>
      </c>
      <c r="AF70" s="520" t="str">
        <f t="shared" si="6"/>
        <v/>
      </c>
      <c r="AG70" s="524" t="str">
        <f>IFERROR(IF(O70="","",VLOOKUP(AD70,'G-3 Multipliers'!$P$3:$Q$6,2,FALSE)),"")</f>
        <v/>
      </c>
      <c r="AH70" s="197"/>
      <c r="AI70" s="499" t="str">
        <f>IF(AH70="","",IF(VLOOKUP(AH70,'G-3 Multipliers'!$S$3:$T$6,2,FALSE)=0,"Spatial Data Missing ⚠",VLOOKUP(AH70,'G-3 Multipliers'!$S$3:$T$6,2,FALSE)))</f>
        <v/>
      </c>
      <c r="AJ70" s="545" t="str">
        <f t="shared" si="7"/>
        <v/>
      </c>
      <c r="AK70" s="149"/>
      <c r="AL70" s="150"/>
      <c r="AP70" s="31" t="str">
        <f>IFERROR(INDEX('G-6 Hedgerow Data'!$BJ$3:$BJ$15,MATCH(M70,'G-6 Hedgerow Data'!$B$3:$B$15,0)),"")</f>
        <v/>
      </c>
    </row>
    <row r="71" spans="2:42" ht="13.8" x14ac:dyDescent="0.25">
      <c r="B71" s="531" t="str">
        <f>'E-1 Off Site Hedge Baseline'!AK69</f>
        <v/>
      </c>
      <c r="C71" s="520" t="str">
        <f>IF(B71="","",IF(ISNA(VLOOKUP($B71,'E-1 Off Site Hedge Baseline'!$B$1:$L$257,3,FALSE)),"",(VLOOKUP($B71,'E-1 Off Site Hedge Baseline'!$B$1:$L$257,3,FALSE))))</f>
        <v/>
      </c>
      <c r="D71" s="520" t="str">
        <f>IF(B71="","",IF(ISNA(VLOOKUP($B71,'E-1 Off Site Hedge Baseline'!$B$1:$L$258,4,FALSE)),"",(VLOOKUP($B71,'E-1 Off Site Hedge Baseline'!$B$1:$L$258,4,FALSE))))</f>
        <v/>
      </c>
      <c r="E71" s="520" t="str">
        <f>IF(B71="","",IF(ISNA(VLOOKUP($B71,'E-1 Off Site Hedge Baseline'!$B$1:$L$257,5,FALSE)),"",(VLOOKUP($B71,'E-1 Off Site Hedge Baseline'!$B$1:$L$257,5,FALSE))))</f>
        <v/>
      </c>
      <c r="F71" s="520" t="str">
        <f>IF(B71="","",IF(ISNA(VLOOKUP($B71,'E-1 Off Site Hedge Baseline'!$B$1:$L$257,6,FALSE)),"",(VLOOKUP($B71,'E-1 Off Site Hedge Baseline'!$B$1:$L$257,6,FALSE))))</f>
        <v/>
      </c>
      <c r="G71" s="520" t="str">
        <f>IF(B71="","",IF(ISNA(VLOOKUP($B71,'E-1 Off Site Hedge Baseline'!$B$1:$L$257,7,FALSE)),"",(VLOOKUP($B71,'E-1 Off Site Hedge Baseline'!$B$1:$L$257,7,FALSE))))</f>
        <v/>
      </c>
      <c r="H71" s="520" t="str">
        <f>IF(B71="","",IF(ISNA(VLOOKUP($B71,'E-1 Off Site Hedge Baseline'!$B$1:$L$257,8,FALSE)),"",(VLOOKUP($B71,'E-1 Off Site Hedge Baseline'!$B$1:$L$257,8,FALSE))))</f>
        <v/>
      </c>
      <c r="I71" s="520" t="str">
        <f>IF(B71="","",IF(ISNA(VLOOKUP($B71,'E-1 Off Site Hedge Baseline'!$B$1:$L$257,10,FALSE)),"",(VLOOKUP($B71,'E-1 Off Site Hedge Baseline'!$B$1:$L$257,10,FALSE))))</f>
        <v/>
      </c>
      <c r="J71" s="520" t="str">
        <f>IF(B71="","",IF(ISNA(VLOOKUP($B71,'E-1 Off Site Hedge Baseline'!$B$1:$L$257,11,FALSE)),"",(VLOOKUP($B71,'E-1 Off Site Hedge Baseline'!$B$1:$L$257,11,FALSE))))</f>
        <v/>
      </c>
      <c r="K71" s="520" t="str">
        <f>IF(B71="","",IF(ISNA(VLOOKUP($B71,'E-1 Off Site Hedge Baseline'!$B$1:$U$257,113,FALSE)),"",(VLOOKUP($B71,'E-1 Off Site Hedge Baseline'!$B$1:$U$257,13,FALSE))))</f>
        <v/>
      </c>
      <c r="L71" s="507" t="str">
        <f>IF(B71="","",IF(ISNA(VLOOKUP($B71,'E-1 Off Site Hedge Baseline'!$B$1:$U$257,12,FALSE)),"",(VLOOKUP($B71,'E-1 Off Site Hedge Baseline'!$B$1:$U$257,12,FALSE))))</f>
        <v/>
      </c>
      <c r="M71" s="418" t="str">
        <f t="shared" si="8"/>
        <v/>
      </c>
      <c r="N71" s="498" t="str">
        <f>IFERROR(IF(B71="","",INDEX('G-6 Hedgerow Data'!$AN$3:$AZ$15,MATCH(C71,'G-6 Hedgerow Data'!$AM$3:$AM$15,0),MATCH(M71,'G-6 Hedgerow Data'!$AN$2:$AZ$2,0))),"")</f>
        <v/>
      </c>
      <c r="O71" s="499" t="str">
        <f t="shared" si="2"/>
        <v/>
      </c>
      <c r="P71" s="505" t="str">
        <f>IF(B71="","",VLOOKUP(B71,'E-1 Off Site Hedge Baseline'!$B$10:T316,16,FALSE))</f>
        <v/>
      </c>
      <c r="Q71" s="498" t="str">
        <f>IF(M71="","",VLOOKUP(M71,'G-6 Hedgerow Data'!$B$2:$AG$15,2,FALSE))</f>
        <v/>
      </c>
      <c r="R71" s="499" t="str">
        <f>IF(M71="","",VLOOKUP(M71,'G-6 Hedgerow Data'!$B$2:$AG$15,3,FALSE))</f>
        <v/>
      </c>
      <c r="S71" s="145"/>
      <c r="T71" s="499" t="str">
        <f>IFERROR(IF(AND(Q71="V.Low",OR(S71="Good",S71="Moderate")),"Error ▲",VLOOKUP(S71,'G-1 All Habitats'!$Z$2:$AA$9,2,FALSE)),"")</f>
        <v/>
      </c>
      <c r="U71" s="145"/>
      <c r="V71" s="507" t="str">
        <f>IF(U71="","",IF(VLOOKUP(U71,'G-3 Multipliers'!$L$3:$N$6,2,FALSE)=0,"Spatial Data Missing ⚠",VLOOKUP(U71,'G-3 Multipliers'!$L$3:$N$6,2,FALSE)))</f>
        <v/>
      </c>
      <c r="W71" s="505"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20" t="str">
        <f t="shared" si="5"/>
        <v/>
      </c>
      <c r="AF71" s="520" t="str">
        <f t="shared" si="6"/>
        <v/>
      </c>
      <c r="AG71" s="524" t="str">
        <f>IFERROR(IF(O71="","",VLOOKUP(AD71,'G-3 Multipliers'!$P$3:$Q$6,2,FALSE)),"")</f>
        <v/>
      </c>
      <c r="AH71" s="197"/>
      <c r="AI71" s="499" t="str">
        <f>IF(AH71="","",IF(VLOOKUP(AH71,'G-3 Multipliers'!$S$3:$T$6,2,FALSE)=0,"Spatial Data Missing ⚠",VLOOKUP(AH71,'G-3 Multipliers'!$S$3:$T$6,2,FALSE)))</f>
        <v/>
      </c>
      <c r="AJ71" s="545" t="str">
        <f t="shared" si="7"/>
        <v/>
      </c>
      <c r="AK71" s="149"/>
      <c r="AL71" s="150"/>
      <c r="AP71" s="31" t="str">
        <f>IFERROR(INDEX('G-6 Hedgerow Data'!$BJ$3:$BJ$15,MATCH(M71,'G-6 Hedgerow Data'!$B$3:$B$15,0)),"")</f>
        <v/>
      </c>
    </row>
    <row r="72" spans="2:42" ht="13.8" x14ac:dyDescent="0.25">
      <c r="B72" s="531" t="str">
        <f>'E-1 Off Site Hedge Baseline'!AK70</f>
        <v/>
      </c>
      <c r="C72" s="520" t="str">
        <f>IF(B72="","",IF(ISNA(VLOOKUP($B72,'E-1 Off Site Hedge Baseline'!$B$1:$L$257,3,FALSE)),"",(VLOOKUP($B72,'E-1 Off Site Hedge Baseline'!$B$1:$L$257,3,FALSE))))</f>
        <v/>
      </c>
      <c r="D72" s="520" t="str">
        <f>IF(B72="","",IF(ISNA(VLOOKUP($B72,'E-1 Off Site Hedge Baseline'!$B$1:$L$258,4,FALSE)),"",(VLOOKUP($B72,'E-1 Off Site Hedge Baseline'!$B$1:$L$258,4,FALSE))))</f>
        <v/>
      </c>
      <c r="E72" s="520" t="str">
        <f>IF(B72="","",IF(ISNA(VLOOKUP($B72,'E-1 Off Site Hedge Baseline'!$B$1:$L$257,5,FALSE)),"",(VLOOKUP($B72,'E-1 Off Site Hedge Baseline'!$B$1:$L$257,5,FALSE))))</f>
        <v/>
      </c>
      <c r="F72" s="520" t="str">
        <f>IF(B72="","",IF(ISNA(VLOOKUP($B72,'E-1 Off Site Hedge Baseline'!$B$1:$L$257,6,FALSE)),"",(VLOOKUP($B72,'E-1 Off Site Hedge Baseline'!$B$1:$L$257,6,FALSE))))</f>
        <v/>
      </c>
      <c r="G72" s="520" t="str">
        <f>IF(B72="","",IF(ISNA(VLOOKUP($B72,'E-1 Off Site Hedge Baseline'!$B$1:$L$257,7,FALSE)),"",(VLOOKUP($B72,'E-1 Off Site Hedge Baseline'!$B$1:$L$257,7,FALSE))))</f>
        <v/>
      </c>
      <c r="H72" s="520" t="str">
        <f>IF(B72="","",IF(ISNA(VLOOKUP($B72,'E-1 Off Site Hedge Baseline'!$B$1:$L$257,8,FALSE)),"",(VLOOKUP($B72,'E-1 Off Site Hedge Baseline'!$B$1:$L$257,8,FALSE))))</f>
        <v/>
      </c>
      <c r="I72" s="520" t="str">
        <f>IF(B72="","",IF(ISNA(VLOOKUP($B72,'E-1 Off Site Hedge Baseline'!$B$1:$L$257,10,FALSE)),"",(VLOOKUP($B72,'E-1 Off Site Hedge Baseline'!$B$1:$L$257,10,FALSE))))</f>
        <v/>
      </c>
      <c r="J72" s="520" t="str">
        <f>IF(B72="","",IF(ISNA(VLOOKUP($B72,'E-1 Off Site Hedge Baseline'!$B$1:$L$257,11,FALSE)),"",(VLOOKUP($B72,'E-1 Off Site Hedge Baseline'!$B$1:$L$257,11,FALSE))))</f>
        <v/>
      </c>
      <c r="K72" s="520" t="str">
        <f>IF(B72="","",IF(ISNA(VLOOKUP($B72,'E-1 Off Site Hedge Baseline'!$B$1:$U$257,113,FALSE)),"",(VLOOKUP($B72,'E-1 Off Site Hedge Baseline'!$B$1:$U$257,13,FALSE))))</f>
        <v/>
      </c>
      <c r="L72" s="507" t="str">
        <f>IF(B72="","",IF(ISNA(VLOOKUP($B72,'E-1 Off Site Hedge Baseline'!$B$1:$U$257,12,FALSE)),"",(VLOOKUP($B72,'E-1 Off Site Hedge Baseline'!$B$1:$U$257,12,FALSE))))</f>
        <v/>
      </c>
      <c r="M72" s="418" t="str">
        <f t="shared" si="8"/>
        <v/>
      </c>
      <c r="N72" s="498" t="str">
        <f>IFERROR(IF(B72="","",INDEX('G-6 Hedgerow Data'!$AN$3:$AZ$15,MATCH(C72,'G-6 Hedgerow Data'!$AM$3:$AM$15,0),MATCH(M72,'G-6 Hedgerow Data'!$AN$2:$AZ$2,0))),"")</f>
        <v/>
      </c>
      <c r="O72" s="499" t="str">
        <f t="shared" si="2"/>
        <v/>
      </c>
      <c r="P72" s="505" t="str">
        <f>IF(B72="","",VLOOKUP(B72,'E-1 Off Site Hedge Baseline'!$B$10:T317,16,FALSE))</f>
        <v/>
      </c>
      <c r="Q72" s="498" t="str">
        <f>IF(M72="","",VLOOKUP(M72,'G-6 Hedgerow Data'!$B$2:$AG$15,2,FALSE))</f>
        <v/>
      </c>
      <c r="R72" s="499" t="str">
        <f>IF(M72="","",VLOOKUP(M72,'G-6 Hedgerow Data'!$B$2:$AG$15,3,FALSE))</f>
        <v/>
      </c>
      <c r="S72" s="145"/>
      <c r="T72" s="499" t="str">
        <f>IFERROR(IF(AND(Q72="V.Low",OR(S72="Good",S72="Moderate")),"Error ▲",VLOOKUP(S72,'G-1 All Habitats'!$Z$2:$AA$9,2,FALSE)),"")</f>
        <v/>
      </c>
      <c r="U72" s="145"/>
      <c r="V72" s="507" t="str">
        <f>IF(U72="","",IF(VLOOKUP(U72,'G-3 Multipliers'!$L$3:$N$6,2,FALSE)=0,"Spatial Data Missing ⚠",VLOOKUP(U72,'G-3 Multipliers'!$L$3:$N$6,2,FALSE)))</f>
        <v/>
      </c>
      <c r="W72" s="505"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20" t="str">
        <f t="shared" si="5"/>
        <v/>
      </c>
      <c r="AF72" s="520" t="str">
        <f t="shared" si="6"/>
        <v/>
      </c>
      <c r="AG72" s="524" t="str">
        <f>IFERROR(IF(O72="","",VLOOKUP(AD72,'G-3 Multipliers'!$P$3:$Q$6,2,FALSE)),"")</f>
        <v/>
      </c>
      <c r="AH72" s="197"/>
      <c r="AI72" s="499" t="str">
        <f>IF(AH72="","",IF(VLOOKUP(AH72,'G-3 Multipliers'!$S$3:$T$6,2,FALSE)=0,"Spatial Data Missing ⚠",VLOOKUP(AH72,'G-3 Multipliers'!$S$3:$T$6,2,FALSE)))</f>
        <v/>
      </c>
      <c r="AJ72" s="545" t="str">
        <f t="shared" si="7"/>
        <v/>
      </c>
      <c r="AK72" s="149"/>
      <c r="AL72" s="150"/>
      <c r="AP72" s="31" t="str">
        <f>IFERROR(INDEX('G-6 Hedgerow Data'!$BJ$3:$BJ$15,MATCH(M72,'G-6 Hedgerow Data'!$B$3:$B$15,0)),"")</f>
        <v/>
      </c>
    </row>
    <row r="73" spans="2:42" ht="13.8" x14ac:dyDescent="0.25">
      <c r="B73" s="531" t="str">
        <f>'E-1 Off Site Hedge Baseline'!AK71</f>
        <v/>
      </c>
      <c r="C73" s="520" t="str">
        <f>IF(B73="","",IF(ISNA(VLOOKUP($B73,'E-1 Off Site Hedge Baseline'!$B$1:$L$257,3,FALSE)),"",(VLOOKUP($B73,'E-1 Off Site Hedge Baseline'!$B$1:$L$257,3,FALSE))))</f>
        <v/>
      </c>
      <c r="D73" s="520" t="str">
        <f>IF(B73="","",IF(ISNA(VLOOKUP($B73,'E-1 Off Site Hedge Baseline'!$B$1:$L$258,4,FALSE)),"",(VLOOKUP($B73,'E-1 Off Site Hedge Baseline'!$B$1:$L$258,4,FALSE))))</f>
        <v/>
      </c>
      <c r="E73" s="520" t="str">
        <f>IF(B73="","",IF(ISNA(VLOOKUP($B73,'E-1 Off Site Hedge Baseline'!$B$1:$L$257,5,FALSE)),"",(VLOOKUP($B73,'E-1 Off Site Hedge Baseline'!$B$1:$L$257,5,FALSE))))</f>
        <v/>
      </c>
      <c r="F73" s="520" t="str">
        <f>IF(B73="","",IF(ISNA(VLOOKUP($B73,'E-1 Off Site Hedge Baseline'!$B$1:$L$257,6,FALSE)),"",(VLOOKUP($B73,'E-1 Off Site Hedge Baseline'!$B$1:$L$257,6,FALSE))))</f>
        <v/>
      </c>
      <c r="G73" s="520" t="str">
        <f>IF(B73="","",IF(ISNA(VLOOKUP($B73,'E-1 Off Site Hedge Baseline'!$B$1:$L$257,7,FALSE)),"",(VLOOKUP($B73,'E-1 Off Site Hedge Baseline'!$B$1:$L$257,7,FALSE))))</f>
        <v/>
      </c>
      <c r="H73" s="520" t="str">
        <f>IF(B73="","",IF(ISNA(VLOOKUP($B73,'E-1 Off Site Hedge Baseline'!$B$1:$L$257,8,FALSE)),"",(VLOOKUP($B73,'E-1 Off Site Hedge Baseline'!$B$1:$L$257,8,FALSE))))</f>
        <v/>
      </c>
      <c r="I73" s="520" t="str">
        <f>IF(B73="","",IF(ISNA(VLOOKUP($B73,'E-1 Off Site Hedge Baseline'!$B$1:$L$257,10,FALSE)),"",(VLOOKUP($B73,'E-1 Off Site Hedge Baseline'!$B$1:$L$257,10,FALSE))))</f>
        <v/>
      </c>
      <c r="J73" s="520" t="str">
        <f>IF(B73="","",IF(ISNA(VLOOKUP($B73,'E-1 Off Site Hedge Baseline'!$B$1:$L$257,11,FALSE)),"",(VLOOKUP($B73,'E-1 Off Site Hedge Baseline'!$B$1:$L$257,11,FALSE))))</f>
        <v/>
      </c>
      <c r="K73" s="520" t="str">
        <f>IF(B73="","",IF(ISNA(VLOOKUP($B73,'E-1 Off Site Hedge Baseline'!$B$1:$U$257,113,FALSE)),"",(VLOOKUP($B73,'E-1 Off Site Hedge Baseline'!$B$1:$U$257,13,FALSE))))</f>
        <v/>
      </c>
      <c r="L73" s="507" t="str">
        <f>IF(B73="","",IF(ISNA(VLOOKUP($B73,'E-1 Off Site Hedge Baseline'!$B$1:$U$257,12,FALSE)),"",(VLOOKUP($B73,'E-1 Off Site Hedge Baseline'!$B$1:$U$257,12,FALSE))))</f>
        <v/>
      </c>
      <c r="M73" s="418" t="str">
        <f t="shared" si="8"/>
        <v/>
      </c>
      <c r="N73" s="498" t="str">
        <f>IFERROR(IF(B73="","",INDEX('G-6 Hedgerow Data'!$AN$3:$AZ$15,MATCH(C73,'G-6 Hedgerow Data'!$AM$3:$AM$15,0),MATCH(M73,'G-6 Hedgerow Data'!$AN$2:$AZ$2,0))),"")</f>
        <v/>
      </c>
      <c r="O73" s="499" t="str">
        <f t="shared" si="2"/>
        <v/>
      </c>
      <c r="P73" s="505" t="str">
        <f>IF(B73="","",VLOOKUP(B73,'E-1 Off Site Hedge Baseline'!$B$10:T318,16,FALSE))</f>
        <v/>
      </c>
      <c r="Q73" s="498" t="str">
        <f>IF(M73="","",VLOOKUP(M73,'G-6 Hedgerow Data'!$B$2:$AG$15,2,FALSE))</f>
        <v/>
      </c>
      <c r="R73" s="499" t="str">
        <f>IF(M73="","",VLOOKUP(M73,'G-6 Hedgerow Data'!$B$2:$AG$15,3,FALSE))</f>
        <v/>
      </c>
      <c r="S73" s="145"/>
      <c r="T73" s="499" t="str">
        <f>IFERROR(IF(AND(Q73="V.Low",OR(S73="Good",S73="Moderate")),"Error ▲",VLOOKUP(S73,'G-1 All Habitats'!$Z$2:$AA$9,2,FALSE)),"")</f>
        <v/>
      </c>
      <c r="U73" s="145"/>
      <c r="V73" s="507" t="str">
        <f>IF(U73="","",IF(VLOOKUP(U73,'G-3 Multipliers'!$L$3:$N$6,2,FALSE)=0,"Spatial Data Missing ⚠",VLOOKUP(U73,'G-3 Multipliers'!$L$3:$N$6,2,FALSE)))</f>
        <v/>
      </c>
      <c r="W73" s="505"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20" t="str">
        <f t="shared" si="5"/>
        <v/>
      </c>
      <c r="AF73" s="520" t="str">
        <f t="shared" si="6"/>
        <v/>
      </c>
      <c r="AG73" s="524" t="str">
        <f>IFERROR(IF(O73="","",VLOOKUP(AD73,'G-3 Multipliers'!$P$3:$Q$6,2,FALSE)),"")</f>
        <v/>
      </c>
      <c r="AH73" s="197"/>
      <c r="AI73" s="499" t="str">
        <f>IF(AH73="","",IF(VLOOKUP(AH73,'G-3 Multipliers'!$S$3:$T$6,2,FALSE)=0,"Spatial Data Missing ⚠",VLOOKUP(AH73,'G-3 Multipliers'!$S$3:$T$6,2,FALSE)))</f>
        <v/>
      </c>
      <c r="AJ73" s="545" t="str">
        <f t="shared" si="7"/>
        <v/>
      </c>
      <c r="AK73" s="149"/>
      <c r="AL73" s="150"/>
      <c r="AP73" s="31" t="str">
        <f>IFERROR(INDEX('G-6 Hedgerow Data'!$BJ$3:$BJ$15,MATCH(M73,'G-6 Hedgerow Data'!$B$3:$B$15,0)),"")</f>
        <v/>
      </c>
    </row>
    <row r="74" spans="2:42" ht="13.8" x14ac:dyDescent="0.25">
      <c r="B74" s="531" t="str">
        <f>'E-1 Off Site Hedge Baseline'!AK72</f>
        <v/>
      </c>
      <c r="C74" s="520" t="str">
        <f>IF(B74="","",IF(ISNA(VLOOKUP($B74,'E-1 Off Site Hedge Baseline'!$B$1:$L$257,3,FALSE)),"",(VLOOKUP($B74,'E-1 Off Site Hedge Baseline'!$B$1:$L$257,3,FALSE))))</f>
        <v/>
      </c>
      <c r="D74" s="520" t="str">
        <f>IF(B74="","",IF(ISNA(VLOOKUP($B74,'E-1 Off Site Hedge Baseline'!$B$1:$L$258,4,FALSE)),"",(VLOOKUP($B74,'E-1 Off Site Hedge Baseline'!$B$1:$L$258,4,FALSE))))</f>
        <v/>
      </c>
      <c r="E74" s="520" t="str">
        <f>IF(B74="","",IF(ISNA(VLOOKUP($B74,'E-1 Off Site Hedge Baseline'!$B$1:$L$257,5,FALSE)),"",(VLOOKUP($B74,'E-1 Off Site Hedge Baseline'!$B$1:$L$257,5,FALSE))))</f>
        <v/>
      </c>
      <c r="F74" s="520" t="str">
        <f>IF(B74="","",IF(ISNA(VLOOKUP($B74,'E-1 Off Site Hedge Baseline'!$B$1:$L$257,6,FALSE)),"",(VLOOKUP($B74,'E-1 Off Site Hedge Baseline'!$B$1:$L$257,6,FALSE))))</f>
        <v/>
      </c>
      <c r="G74" s="520" t="str">
        <f>IF(B74="","",IF(ISNA(VLOOKUP($B74,'E-1 Off Site Hedge Baseline'!$B$1:$L$257,7,FALSE)),"",(VLOOKUP($B74,'E-1 Off Site Hedge Baseline'!$B$1:$L$257,7,FALSE))))</f>
        <v/>
      </c>
      <c r="H74" s="520" t="str">
        <f>IF(B74="","",IF(ISNA(VLOOKUP($B74,'E-1 Off Site Hedge Baseline'!$B$1:$L$257,8,FALSE)),"",(VLOOKUP($B74,'E-1 Off Site Hedge Baseline'!$B$1:$L$257,8,FALSE))))</f>
        <v/>
      </c>
      <c r="I74" s="520" t="str">
        <f>IF(B74="","",IF(ISNA(VLOOKUP($B74,'E-1 Off Site Hedge Baseline'!$B$1:$L$257,10,FALSE)),"",(VLOOKUP($B74,'E-1 Off Site Hedge Baseline'!$B$1:$L$257,10,FALSE))))</f>
        <v/>
      </c>
      <c r="J74" s="520" t="str">
        <f>IF(B74="","",IF(ISNA(VLOOKUP($B74,'E-1 Off Site Hedge Baseline'!$B$1:$L$257,11,FALSE)),"",(VLOOKUP($B74,'E-1 Off Site Hedge Baseline'!$B$1:$L$257,11,FALSE))))</f>
        <v/>
      </c>
      <c r="K74" s="520" t="str">
        <f>IF(B74="","",IF(ISNA(VLOOKUP($B74,'E-1 Off Site Hedge Baseline'!$B$1:$U$257,113,FALSE)),"",(VLOOKUP($B74,'E-1 Off Site Hedge Baseline'!$B$1:$U$257,13,FALSE))))</f>
        <v/>
      </c>
      <c r="L74" s="507" t="str">
        <f>IF(B74="","",IF(ISNA(VLOOKUP($B74,'E-1 Off Site Hedge Baseline'!$B$1:$U$257,12,FALSE)),"",(VLOOKUP($B74,'E-1 Off Site Hedge Baseline'!$B$1:$U$257,12,FALSE))))</f>
        <v/>
      </c>
      <c r="M74" s="418" t="str">
        <f t="shared" si="8"/>
        <v/>
      </c>
      <c r="N74" s="498" t="str">
        <f>IFERROR(IF(B74="","",INDEX('G-6 Hedgerow Data'!$AN$3:$AZ$15,MATCH(C74,'G-6 Hedgerow Data'!$AM$3:$AM$15,0),MATCH(M74,'G-6 Hedgerow Data'!$AN$2:$AZ$2,0))),"")</f>
        <v/>
      </c>
      <c r="O74" s="499" t="str">
        <f t="shared" si="2"/>
        <v/>
      </c>
      <c r="P74" s="505" t="str">
        <f>IF(B74="","",VLOOKUP(B74,'E-1 Off Site Hedge Baseline'!$B$10:T319,16,FALSE))</f>
        <v/>
      </c>
      <c r="Q74" s="498" t="str">
        <f>IF(M74="","",VLOOKUP(M74,'G-6 Hedgerow Data'!$B$2:$AG$15,2,FALSE))</f>
        <v/>
      </c>
      <c r="R74" s="499" t="str">
        <f>IF(M74="","",VLOOKUP(M74,'G-6 Hedgerow Data'!$B$2:$AG$15,3,FALSE))</f>
        <v/>
      </c>
      <c r="S74" s="145"/>
      <c r="T74" s="499" t="str">
        <f>IFERROR(IF(AND(Q74="V.Low",OR(S74="Good",S74="Moderate")),"Error ▲",VLOOKUP(S74,'G-1 All Habitats'!$Z$2:$AA$9,2,FALSE)),"")</f>
        <v/>
      </c>
      <c r="U74" s="145"/>
      <c r="V74" s="507" t="str">
        <f>IF(U74="","",IF(VLOOKUP(U74,'G-3 Multipliers'!$L$3:$N$6,2,FALSE)=0,"Spatial Data Missing ⚠",VLOOKUP(U74,'G-3 Multipliers'!$L$3:$N$6,2,FALSE)))</f>
        <v/>
      </c>
      <c r="W74" s="505"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20" t="str">
        <f t="shared" si="5"/>
        <v/>
      </c>
      <c r="AF74" s="520" t="str">
        <f t="shared" si="6"/>
        <v/>
      </c>
      <c r="AG74" s="524" t="str">
        <f>IFERROR(IF(O74="","",VLOOKUP(AD74,'G-3 Multipliers'!$P$3:$Q$6,2,FALSE)),"")</f>
        <v/>
      </c>
      <c r="AH74" s="197"/>
      <c r="AI74" s="499" t="str">
        <f>IF(AH74="","",IF(VLOOKUP(AH74,'G-3 Multipliers'!$S$3:$T$6,2,FALSE)=0,"Spatial Data Missing ⚠",VLOOKUP(AH74,'G-3 Multipliers'!$S$3:$T$6,2,FALSE)))</f>
        <v/>
      </c>
      <c r="AJ74" s="545" t="str">
        <f t="shared" si="7"/>
        <v/>
      </c>
      <c r="AK74" s="149"/>
      <c r="AL74" s="150"/>
      <c r="AP74" s="31" t="str">
        <f>IFERROR(INDEX('G-6 Hedgerow Data'!$BJ$3:$BJ$15,MATCH(M74,'G-6 Hedgerow Data'!$B$3:$B$15,0)),"")</f>
        <v/>
      </c>
    </row>
    <row r="75" spans="2:42" ht="13.8" x14ac:dyDescent="0.25">
      <c r="B75" s="531" t="str">
        <f>'E-1 Off Site Hedge Baseline'!AK73</f>
        <v/>
      </c>
      <c r="C75" s="520" t="str">
        <f>IF(B75="","",IF(ISNA(VLOOKUP($B75,'E-1 Off Site Hedge Baseline'!$B$1:$L$257,3,FALSE)),"",(VLOOKUP($B75,'E-1 Off Site Hedge Baseline'!$B$1:$L$257,3,FALSE))))</f>
        <v/>
      </c>
      <c r="D75" s="520" t="str">
        <f>IF(B75="","",IF(ISNA(VLOOKUP($B75,'E-1 Off Site Hedge Baseline'!$B$1:$L$258,4,FALSE)),"",(VLOOKUP($B75,'E-1 Off Site Hedge Baseline'!$B$1:$L$258,4,FALSE))))</f>
        <v/>
      </c>
      <c r="E75" s="520" t="str">
        <f>IF(B75="","",IF(ISNA(VLOOKUP($B75,'E-1 Off Site Hedge Baseline'!$B$1:$L$257,5,FALSE)),"",(VLOOKUP($B75,'E-1 Off Site Hedge Baseline'!$B$1:$L$257,5,FALSE))))</f>
        <v/>
      </c>
      <c r="F75" s="520" t="str">
        <f>IF(B75="","",IF(ISNA(VLOOKUP($B75,'E-1 Off Site Hedge Baseline'!$B$1:$L$257,6,FALSE)),"",(VLOOKUP($B75,'E-1 Off Site Hedge Baseline'!$B$1:$L$257,6,FALSE))))</f>
        <v/>
      </c>
      <c r="G75" s="520" t="str">
        <f>IF(B75="","",IF(ISNA(VLOOKUP($B75,'E-1 Off Site Hedge Baseline'!$B$1:$L$257,7,FALSE)),"",(VLOOKUP($B75,'E-1 Off Site Hedge Baseline'!$B$1:$L$257,7,FALSE))))</f>
        <v/>
      </c>
      <c r="H75" s="520" t="str">
        <f>IF(B75="","",IF(ISNA(VLOOKUP($B75,'E-1 Off Site Hedge Baseline'!$B$1:$L$257,8,FALSE)),"",(VLOOKUP($B75,'E-1 Off Site Hedge Baseline'!$B$1:$L$257,8,FALSE))))</f>
        <v/>
      </c>
      <c r="I75" s="520" t="str">
        <f>IF(B75="","",IF(ISNA(VLOOKUP($B75,'E-1 Off Site Hedge Baseline'!$B$1:$L$257,10,FALSE)),"",(VLOOKUP($B75,'E-1 Off Site Hedge Baseline'!$B$1:$L$257,10,FALSE))))</f>
        <v/>
      </c>
      <c r="J75" s="520" t="str">
        <f>IF(B75="","",IF(ISNA(VLOOKUP($B75,'E-1 Off Site Hedge Baseline'!$B$1:$L$257,11,FALSE)),"",(VLOOKUP($B75,'E-1 Off Site Hedge Baseline'!$B$1:$L$257,11,FALSE))))</f>
        <v/>
      </c>
      <c r="K75" s="520" t="str">
        <f>IF(B75="","",IF(ISNA(VLOOKUP($B75,'E-1 Off Site Hedge Baseline'!$B$1:$U$257,113,FALSE)),"",(VLOOKUP($B75,'E-1 Off Site Hedge Baseline'!$B$1:$U$257,13,FALSE))))</f>
        <v/>
      </c>
      <c r="L75" s="507" t="str">
        <f>IF(B75="","",IF(ISNA(VLOOKUP($B75,'E-1 Off Site Hedge Baseline'!$B$1:$U$257,12,FALSE)),"",(VLOOKUP($B75,'E-1 Off Site Hedge Baseline'!$B$1:$U$257,12,FALSE))))</f>
        <v/>
      </c>
      <c r="M75" s="418" t="str">
        <f t="shared" si="8"/>
        <v/>
      </c>
      <c r="N75" s="498" t="str">
        <f>IFERROR(IF(B75="","",INDEX('G-6 Hedgerow Data'!$AN$3:$AZ$15,MATCH(C75,'G-6 Hedgerow Data'!$AM$3:$AM$15,0),MATCH(M75,'G-6 Hedgerow Data'!$AN$2:$AZ$2,0))),"")</f>
        <v/>
      </c>
      <c r="O75" s="499" t="str">
        <f t="shared" si="2"/>
        <v/>
      </c>
      <c r="P75" s="505" t="str">
        <f>IF(B75="","",VLOOKUP(B75,'E-1 Off Site Hedge Baseline'!$B$10:T320,16,FALSE))</f>
        <v/>
      </c>
      <c r="Q75" s="498" t="str">
        <f>IF(M75="","",VLOOKUP(M75,'G-6 Hedgerow Data'!$B$2:$AG$15,2,FALSE))</f>
        <v/>
      </c>
      <c r="R75" s="499" t="str">
        <f>IF(M75="","",VLOOKUP(M75,'G-6 Hedgerow Data'!$B$2:$AG$15,3,FALSE))</f>
        <v/>
      </c>
      <c r="S75" s="145"/>
      <c r="T75" s="499" t="str">
        <f>IFERROR(IF(AND(Q75="V.Low",OR(S75="Good",S75="Moderate")),"Error ▲",VLOOKUP(S75,'G-1 All Habitats'!$Z$2:$AA$9,2,FALSE)),"")</f>
        <v/>
      </c>
      <c r="U75" s="145"/>
      <c r="V75" s="507" t="str">
        <f>IF(U75="","",IF(VLOOKUP(U75,'G-3 Multipliers'!$L$3:$N$6,2,FALSE)=0,"Spatial Data Missing ⚠",VLOOKUP(U75,'G-3 Multipliers'!$L$3:$N$6,2,FALSE)))</f>
        <v/>
      </c>
      <c r="W75" s="505"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20" t="str">
        <f t="shared" si="5"/>
        <v/>
      </c>
      <c r="AF75" s="520" t="str">
        <f t="shared" si="6"/>
        <v/>
      </c>
      <c r="AG75" s="524" t="str">
        <f>IFERROR(IF(O75="","",VLOOKUP(AD75,'G-3 Multipliers'!$P$3:$Q$6,2,FALSE)),"")</f>
        <v/>
      </c>
      <c r="AH75" s="197"/>
      <c r="AI75" s="499" t="str">
        <f>IF(AH75="","",IF(VLOOKUP(AH75,'G-3 Multipliers'!$S$3:$T$6,2,FALSE)=0,"Spatial Data Missing ⚠",VLOOKUP(AH75,'G-3 Multipliers'!$S$3:$T$6,2,FALSE)))</f>
        <v/>
      </c>
      <c r="AJ75" s="545" t="str">
        <f t="shared" si="7"/>
        <v/>
      </c>
      <c r="AK75" s="149"/>
      <c r="AL75" s="150"/>
      <c r="AP75" s="31" t="str">
        <f>IFERROR(INDEX('G-6 Hedgerow Data'!$BJ$3:$BJ$15,MATCH(M75,'G-6 Hedgerow Data'!$B$3:$B$15,0)),"")</f>
        <v/>
      </c>
    </row>
    <row r="76" spans="2:42" ht="13.8" x14ac:dyDescent="0.25">
      <c r="B76" s="531" t="str">
        <f>'E-1 Off Site Hedge Baseline'!AK74</f>
        <v/>
      </c>
      <c r="C76" s="520" t="str">
        <f>IF(B76="","",IF(ISNA(VLOOKUP($B76,'E-1 Off Site Hedge Baseline'!$B$1:$L$257,3,FALSE)),"",(VLOOKUP($B76,'E-1 Off Site Hedge Baseline'!$B$1:$L$257,3,FALSE))))</f>
        <v/>
      </c>
      <c r="D76" s="520" t="str">
        <f>IF(B76="","",IF(ISNA(VLOOKUP($B76,'E-1 Off Site Hedge Baseline'!$B$1:$L$258,4,FALSE)),"",(VLOOKUP($B76,'E-1 Off Site Hedge Baseline'!$B$1:$L$258,4,FALSE))))</f>
        <v/>
      </c>
      <c r="E76" s="520" t="str">
        <f>IF(B76="","",IF(ISNA(VLOOKUP($B76,'E-1 Off Site Hedge Baseline'!$B$1:$L$257,5,FALSE)),"",(VLOOKUP($B76,'E-1 Off Site Hedge Baseline'!$B$1:$L$257,5,FALSE))))</f>
        <v/>
      </c>
      <c r="F76" s="520" t="str">
        <f>IF(B76="","",IF(ISNA(VLOOKUP($B76,'E-1 Off Site Hedge Baseline'!$B$1:$L$257,6,FALSE)),"",(VLOOKUP($B76,'E-1 Off Site Hedge Baseline'!$B$1:$L$257,6,FALSE))))</f>
        <v/>
      </c>
      <c r="G76" s="520" t="str">
        <f>IF(B76="","",IF(ISNA(VLOOKUP($B76,'E-1 Off Site Hedge Baseline'!$B$1:$L$257,7,FALSE)),"",(VLOOKUP($B76,'E-1 Off Site Hedge Baseline'!$B$1:$L$257,7,FALSE))))</f>
        <v/>
      </c>
      <c r="H76" s="520" t="str">
        <f>IF(B76="","",IF(ISNA(VLOOKUP($B76,'E-1 Off Site Hedge Baseline'!$B$1:$L$257,8,FALSE)),"",(VLOOKUP($B76,'E-1 Off Site Hedge Baseline'!$B$1:$L$257,8,FALSE))))</f>
        <v/>
      </c>
      <c r="I76" s="520" t="str">
        <f>IF(B76="","",IF(ISNA(VLOOKUP($B76,'E-1 Off Site Hedge Baseline'!$B$1:$L$257,10,FALSE)),"",(VLOOKUP($B76,'E-1 Off Site Hedge Baseline'!$B$1:$L$257,10,FALSE))))</f>
        <v/>
      </c>
      <c r="J76" s="520" t="str">
        <f>IF(B76="","",IF(ISNA(VLOOKUP($B76,'E-1 Off Site Hedge Baseline'!$B$1:$L$257,11,FALSE)),"",(VLOOKUP($B76,'E-1 Off Site Hedge Baseline'!$B$1:$L$257,11,FALSE))))</f>
        <v/>
      </c>
      <c r="K76" s="520" t="str">
        <f>IF(B76="","",IF(ISNA(VLOOKUP($B76,'E-1 Off Site Hedge Baseline'!$B$1:$U$257,113,FALSE)),"",(VLOOKUP($B76,'E-1 Off Site Hedge Baseline'!$B$1:$U$257,13,FALSE))))</f>
        <v/>
      </c>
      <c r="L76" s="507" t="str">
        <f>IF(B76="","",IF(ISNA(VLOOKUP($B76,'E-1 Off Site Hedge Baseline'!$B$1:$U$257,12,FALSE)),"",(VLOOKUP($B76,'E-1 Off Site Hedge Baseline'!$B$1:$U$257,12,FALSE))))</f>
        <v/>
      </c>
      <c r="M76" s="418" t="str">
        <f t="shared" si="8"/>
        <v/>
      </c>
      <c r="N76" s="498" t="str">
        <f>IFERROR(IF(B76="","",INDEX('G-6 Hedgerow Data'!$AN$3:$AZ$15,MATCH(C76,'G-6 Hedgerow Data'!$AM$3:$AM$15,0),MATCH(M76,'G-6 Hedgerow Data'!$AN$2:$AZ$2,0))),"")</f>
        <v/>
      </c>
      <c r="O76" s="499" t="str">
        <f t="shared" si="2"/>
        <v/>
      </c>
      <c r="P76" s="505" t="str">
        <f>IF(B76="","",VLOOKUP(B76,'E-1 Off Site Hedge Baseline'!$B$10:T321,16,FALSE))</f>
        <v/>
      </c>
      <c r="Q76" s="498" t="str">
        <f>IF(M76="","",VLOOKUP(M76,'G-6 Hedgerow Data'!$B$2:$AG$15,2,FALSE))</f>
        <v/>
      </c>
      <c r="R76" s="499" t="str">
        <f>IF(M76="","",VLOOKUP(M76,'G-6 Hedgerow Data'!$B$2:$AG$15,3,FALSE))</f>
        <v/>
      </c>
      <c r="S76" s="145"/>
      <c r="T76" s="499" t="str">
        <f>IFERROR(IF(AND(Q76="V.Low",OR(S76="Good",S76="Moderate")),"Error ▲",VLOOKUP(S76,'G-1 All Habitats'!$Z$2:$AA$9,2,FALSE)),"")</f>
        <v/>
      </c>
      <c r="U76" s="145"/>
      <c r="V76" s="507" t="str">
        <f>IF(U76="","",IF(VLOOKUP(U76,'G-3 Multipliers'!$L$3:$N$6,2,FALSE)=0,"Spatial Data Missing ⚠",VLOOKUP(U76,'G-3 Multipliers'!$L$3:$N$6,2,FALSE)))</f>
        <v/>
      </c>
      <c r="W76" s="505"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9">IF(OR(S76="",M76=""),"",IF(LEFT(AB76,5)="Error ▲","Check Data ⚠",IF(AB76="Check Data ⚠","Check Data ⚠",VLOOKUP(AB76,TemporalMultipliers,3,FALSE))))</f>
        <v/>
      </c>
      <c r="AD76" s="537" t="str">
        <f>IF(M76="","",VLOOKUP(M76,'G-6 Hedgerow Data'!$B$3:$AG$15,31,FALSE))</f>
        <v/>
      </c>
      <c r="AE76" s="520" t="str">
        <f t="shared" si="5"/>
        <v/>
      </c>
      <c r="AF76" s="520" t="str">
        <f t="shared" si="6"/>
        <v/>
      </c>
      <c r="AG76" s="524" t="str">
        <f>IFERROR(IF(O76="","",VLOOKUP(AD76,'G-3 Multipliers'!$P$3:$Q$6,2,FALSE)),"")</f>
        <v/>
      </c>
      <c r="AH76" s="197"/>
      <c r="AI76" s="499" t="str">
        <f>IF(AH76="","",IF(VLOOKUP(AH76,'G-3 Multipliers'!$S$3:$T$6,2,FALSE)=0,"Spatial Data Missing ⚠",VLOOKUP(AH76,'G-3 Multipliers'!$S$3:$T$6,2,FALSE)))</f>
        <v/>
      </c>
      <c r="AJ76" s="545" t="str">
        <f t="shared" si="7"/>
        <v/>
      </c>
      <c r="AK76" s="149"/>
      <c r="AL76" s="150"/>
      <c r="AP76" s="31" t="str">
        <f>IFERROR(INDEX('G-6 Hedgerow Data'!$BJ$3:$BJ$15,MATCH(M76,'G-6 Hedgerow Data'!$B$3:$B$15,0)),"")</f>
        <v/>
      </c>
    </row>
    <row r="77" spans="2:42" ht="13.8" x14ac:dyDescent="0.25">
      <c r="B77" s="531" t="str">
        <f>'E-1 Off Site Hedge Baseline'!AK75</f>
        <v/>
      </c>
      <c r="C77" s="520" t="str">
        <f>IF(B77="","",IF(ISNA(VLOOKUP($B77,'E-1 Off Site Hedge Baseline'!$B$1:$L$257,3,FALSE)),"",(VLOOKUP($B77,'E-1 Off Site Hedge Baseline'!$B$1:$L$257,3,FALSE))))</f>
        <v/>
      </c>
      <c r="D77" s="520" t="str">
        <f>IF(B77="","",IF(ISNA(VLOOKUP($B77,'E-1 Off Site Hedge Baseline'!$B$1:$L$258,4,FALSE)),"",(VLOOKUP($B77,'E-1 Off Site Hedge Baseline'!$B$1:$L$258,4,FALSE))))</f>
        <v/>
      </c>
      <c r="E77" s="520" t="str">
        <f>IF(B77="","",IF(ISNA(VLOOKUP($B77,'E-1 Off Site Hedge Baseline'!$B$1:$L$257,5,FALSE)),"",(VLOOKUP($B77,'E-1 Off Site Hedge Baseline'!$B$1:$L$257,5,FALSE))))</f>
        <v/>
      </c>
      <c r="F77" s="520" t="str">
        <f>IF(B77="","",IF(ISNA(VLOOKUP($B77,'E-1 Off Site Hedge Baseline'!$B$1:$L$257,6,FALSE)),"",(VLOOKUP($B77,'E-1 Off Site Hedge Baseline'!$B$1:$L$257,6,FALSE))))</f>
        <v/>
      </c>
      <c r="G77" s="520" t="str">
        <f>IF(B77="","",IF(ISNA(VLOOKUP($B77,'E-1 Off Site Hedge Baseline'!$B$1:$L$257,7,FALSE)),"",(VLOOKUP($B77,'E-1 Off Site Hedge Baseline'!$B$1:$L$257,7,FALSE))))</f>
        <v/>
      </c>
      <c r="H77" s="520" t="str">
        <f>IF(B77="","",IF(ISNA(VLOOKUP($B77,'E-1 Off Site Hedge Baseline'!$B$1:$L$257,8,FALSE)),"",(VLOOKUP($B77,'E-1 Off Site Hedge Baseline'!$B$1:$L$257,8,FALSE))))</f>
        <v/>
      </c>
      <c r="I77" s="520" t="str">
        <f>IF(B77="","",IF(ISNA(VLOOKUP($B77,'E-1 Off Site Hedge Baseline'!$B$1:$L$257,10,FALSE)),"",(VLOOKUP($B77,'E-1 Off Site Hedge Baseline'!$B$1:$L$257,10,FALSE))))</f>
        <v/>
      </c>
      <c r="J77" s="520" t="str">
        <f>IF(B77="","",IF(ISNA(VLOOKUP($B77,'E-1 Off Site Hedge Baseline'!$B$1:$L$257,11,FALSE)),"",(VLOOKUP($B77,'E-1 Off Site Hedge Baseline'!$B$1:$L$257,11,FALSE))))</f>
        <v/>
      </c>
      <c r="K77" s="520" t="str">
        <f>IF(B77="","",IF(ISNA(VLOOKUP($B77,'E-1 Off Site Hedge Baseline'!$B$1:$U$257,113,FALSE)),"",(VLOOKUP($B77,'E-1 Off Site Hedge Baseline'!$B$1:$U$257,13,FALSE))))</f>
        <v/>
      </c>
      <c r="L77" s="507" t="str">
        <f>IF(B77="","",IF(ISNA(VLOOKUP($B77,'E-1 Off Site Hedge Baseline'!$B$1:$U$257,12,FALSE)),"",(VLOOKUP($B77,'E-1 Off Site Hedge Baseline'!$B$1:$U$257,12,FALSE))))</f>
        <v/>
      </c>
      <c r="M77" s="418" t="str">
        <f t="shared" si="8"/>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5" t="str">
        <f>IF(B77="","",VLOOKUP(B77,'E-1 Off Site Hedge Baseline'!$B$10:T322,16,FALSE))</f>
        <v/>
      </c>
      <c r="Q77" s="498" t="str">
        <f>IF(M77="","",VLOOKUP(M77,'G-6 Hedgerow Data'!$B$2:$AG$15,2,FALSE))</f>
        <v/>
      </c>
      <c r="R77" s="499" t="str">
        <f>IF(M77="","",VLOOKUP(M77,'G-6 Hedgerow Data'!$B$2:$AG$15,3,FALSE))</f>
        <v/>
      </c>
      <c r="S77" s="145"/>
      <c r="T77" s="499" t="str">
        <f>IFERROR(IF(AND(Q77="V.Low",OR(S77="Good",S77="Moderate")),"Error ▲",VLOOKUP(S77,'G-1 All Habitats'!$Z$2:$AA$9,2,FALSE)),"")</f>
        <v/>
      </c>
      <c r="U77" s="145"/>
      <c r="V77" s="507" t="str">
        <f>IF(U77="","",IF(VLOOKUP(U77,'G-3 Multipliers'!$L$3:$N$6,2,FALSE)=0,"Spatial Data Missing ⚠",VLOOKUP(U77,'G-3 Multipliers'!$L$3:$N$6,2,FALSE)))</f>
        <v/>
      </c>
      <c r="W77" s="505"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 ⚠",0,IF(Z77="30+","30+ ⚠",IF(X77+Z77&gt;30,"30+ ⚠",IF(LEFT(AA77,5)="Error ▲","Check Data ⚠",IF(X77+Z77-Y77&gt;0,X77+Z77-Y77,IF(X77-Y77&lt;=0,0,))))))))</f>
        <v/>
      </c>
      <c r="AC77" s="522" t="str">
        <f t="shared" si="9"/>
        <v/>
      </c>
      <c r="AD77" s="537" t="str">
        <f>IF(M77="","",VLOOKUP(M77,'G-6 Hedgerow Data'!$B$3:$AG$15,31,FALSE))</f>
        <v/>
      </c>
      <c r="AE77" s="52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20" t="str">
        <f t="shared" ref="AF77:AF140" si="14">(IF(AND(AE77="Yes",X77&gt;Y77),AD77,IF(AND(AE77="Low Difficulty - only applicable if all habitat created before losses ⚠",Y77&gt;=X77),"Low",AD77)))</f>
        <v/>
      </c>
      <c r="AG77" s="524" t="str">
        <f>IFERROR(IF(O77="","",VLOOKUP(AD77,'G-3 Multipliers'!$P$3:$Q$6,2,FALSE)),"")</f>
        <v/>
      </c>
      <c r="AH77" s="197"/>
      <c r="AI77" s="499" t="str">
        <f>IF(AH77="","",IF(VLOOKUP(AH77,'G-3 Multipliers'!$S$3:$T$6,2,FALSE)=0,"Spatial Data Missing ⚠",VLOOKUP(AH77,'G-3 Multipliers'!$S$3:$T$6,2,FALSE)))</f>
        <v/>
      </c>
      <c r="AJ77" s="545" t="str">
        <f t="shared" ref="AJ77:AJ140" si="15">IFERROR(IF(OR(M77="",S77="",U77="",AH77=""),"",(((((P77*R77*T77)-(P77*F77*H77))*(AG77*AC77))+(P77*F77*H77))*(W77)*AI77)),"")</f>
        <v/>
      </c>
      <c r="AK77" s="149"/>
      <c r="AL77" s="150"/>
      <c r="AP77" s="31" t="str">
        <f>IFERROR(INDEX('G-6 Hedgerow Data'!$BJ$3:$BJ$15,MATCH(M77,'G-6 Hedgerow Data'!$B$3:$B$15,0)),"")</f>
        <v/>
      </c>
    </row>
    <row r="78" spans="2:42" ht="13.8" x14ac:dyDescent="0.25">
      <c r="B78" s="531" t="str">
        <f>'E-1 Off Site Hedge Baseline'!AK76</f>
        <v/>
      </c>
      <c r="C78" s="520" t="str">
        <f>IF(B78="","",IF(ISNA(VLOOKUP($B78,'E-1 Off Site Hedge Baseline'!$B$1:$L$257,3,FALSE)),"",(VLOOKUP($B78,'E-1 Off Site Hedge Baseline'!$B$1:$L$257,3,FALSE))))</f>
        <v/>
      </c>
      <c r="D78" s="520" t="str">
        <f>IF(B78="","",IF(ISNA(VLOOKUP($B78,'E-1 Off Site Hedge Baseline'!$B$1:$L$258,4,FALSE)),"",(VLOOKUP($B78,'E-1 Off Site Hedge Baseline'!$B$1:$L$258,4,FALSE))))</f>
        <v/>
      </c>
      <c r="E78" s="520" t="str">
        <f>IF(B78="","",IF(ISNA(VLOOKUP($B78,'E-1 Off Site Hedge Baseline'!$B$1:$L$257,5,FALSE)),"",(VLOOKUP($B78,'E-1 Off Site Hedge Baseline'!$B$1:$L$257,5,FALSE))))</f>
        <v/>
      </c>
      <c r="F78" s="520" t="str">
        <f>IF(B78="","",IF(ISNA(VLOOKUP($B78,'E-1 Off Site Hedge Baseline'!$B$1:$L$257,6,FALSE)),"",(VLOOKUP($B78,'E-1 Off Site Hedge Baseline'!$B$1:$L$257,6,FALSE))))</f>
        <v/>
      </c>
      <c r="G78" s="520" t="str">
        <f>IF(B78="","",IF(ISNA(VLOOKUP($B78,'E-1 Off Site Hedge Baseline'!$B$1:$L$257,7,FALSE)),"",(VLOOKUP($B78,'E-1 Off Site Hedge Baseline'!$B$1:$L$257,7,FALSE))))</f>
        <v/>
      </c>
      <c r="H78" s="520" t="str">
        <f>IF(B78="","",IF(ISNA(VLOOKUP($B78,'E-1 Off Site Hedge Baseline'!$B$1:$L$257,8,FALSE)),"",(VLOOKUP($B78,'E-1 Off Site Hedge Baseline'!$B$1:$L$257,8,FALSE))))</f>
        <v/>
      </c>
      <c r="I78" s="520" t="str">
        <f>IF(B78="","",IF(ISNA(VLOOKUP($B78,'E-1 Off Site Hedge Baseline'!$B$1:$L$257,10,FALSE)),"",(VLOOKUP($B78,'E-1 Off Site Hedge Baseline'!$B$1:$L$257,10,FALSE))))</f>
        <v/>
      </c>
      <c r="J78" s="520" t="str">
        <f>IF(B78="","",IF(ISNA(VLOOKUP($B78,'E-1 Off Site Hedge Baseline'!$B$1:$L$257,11,FALSE)),"",(VLOOKUP($B78,'E-1 Off Site Hedge Baseline'!$B$1:$L$257,11,FALSE))))</f>
        <v/>
      </c>
      <c r="K78" s="520" t="str">
        <f>IF(B78="","",IF(ISNA(VLOOKUP($B78,'E-1 Off Site Hedge Baseline'!$B$1:$U$257,113,FALSE)),"",(VLOOKUP($B78,'E-1 Off Site Hedge Baseline'!$B$1:$U$257,13,FALSE))))</f>
        <v/>
      </c>
      <c r="L78" s="507" t="str">
        <f>IF(B78="","",IF(ISNA(VLOOKUP($B78,'E-1 Off Site Hedge Baseline'!$B$1:$U$257,12,FALSE)),"",(VLOOKUP($B78,'E-1 Off Site Hedge Baseline'!$B$1:$U$257,12,FALSE))))</f>
        <v/>
      </c>
      <c r="M78" s="418" t="str">
        <f t="shared" ref="M78:M141" si="16">C78</f>
        <v/>
      </c>
      <c r="N78" s="498" t="str">
        <f>IFERROR(IF(B78="","",INDEX('G-6 Hedgerow Data'!$AN$3:$AZ$15,MATCH(C78,'G-6 Hedgerow Data'!$AM$3:$AM$15,0),MATCH(M78,'G-6 Hedgerow Data'!$AN$2:$AZ$2,0))),"")</f>
        <v/>
      </c>
      <c r="O78" s="499" t="str">
        <f t="shared" si="10"/>
        <v/>
      </c>
      <c r="P78" s="505" t="str">
        <f>IF(B78="","",VLOOKUP(B78,'E-1 Off Site Hedge Baseline'!$B$10:T323,16,FALSE))</f>
        <v/>
      </c>
      <c r="Q78" s="498" t="str">
        <f>IF(M78="","",VLOOKUP(M78,'G-6 Hedgerow Data'!$B$2:$AG$15,2,FALSE))</f>
        <v/>
      </c>
      <c r="R78" s="499" t="str">
        <f>IF(M78="","",VLOOKUP(M78,'G-6 Hedgerow Data'!$B$2:$AG$15,3,FALSE))</f>
        <v/>
      </c>
      <c r="S78" s="145"/>
      <c r="T78" s="499" t="str">
        <f>IFERROR(IF(AND(Q78="V.Low",OR(S78="Good",S78="Moderate")),"Error ▲",VLOOKUP(S78,'G-1 All Habitats'!$Z$2:$AA$9,2,FALSE)),"")</f>
        <v/>
      </c>
      <c r="U78" s="145"/>
      <c r="V78" s="507" t="str">
        <f>IF(U78="","",IF(VLOOKUP(U78,'G-3 Multipliers'!$L$3:$N$6,2,FALSE)=0,"Spatial Data Missing ⚠",VLOOKUP(U78,'G-3 Multipliers'!$L$3:$N$6,2,FALSE)))</f>
        <v/>
      </c>
      <c r="W78" s="505"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9"/>
        <v/>
      </c>
      <c r="AD78" s="537" t="str">
        <f>IF(M78="","",VLOOKUP(M78,'G-6 Hedgerow Data'!$B$3:$AG$15,31,FALSE))</f>
        <v/>
      </c>
      <c r="AE78" s="520" t="str">
        <f t="shared" si="13"/>
        <v/>
      </c>
      <c r="AF78" s="520" t="str">
        <f t="shared" si="14"/>
        <v/>
      </c>
      <c r="AG78" s="524" t="str">
        <f>IFERROR(IF(O78="","",VLOOKUP(AD78,'G-3 Multipliers'!$P$3:$Q$6,2,FALSE)),"")</f>
        <v/>
      </c>
      <c r="AH78" s="197"/>
      <c r="AI78" s="499" t="str">
        <f>IF(AH78="","",IF(VLOOKUP(AH78,'G-3 Multipliers'!$S$3:$T$6,2,FALSE)=0,"Spatial Data Missing ⚠",VLOOKUP(AH78,'G-3 Multipliers'!$S$3:$T$6,2,FALSE)))</f>
        <v/>
      </c>
      <c r="AJ78" s="545" t="str">
        <f t="shared" si="15"/>
        <v/>
      </c>
      <c r="AK78" s="149"/>
      <c r="AL78" s="150"/>
      <c r="AP78" s="31" t="str">
        <f>IFERROR(INDEX('G-6 Hedgerow Data'!$BJ$3:$BJ$15,MATCH(M78,'G-6 Hedgerow Data'!$B$3:$B$15,0)),"")</f>
        <v/>
      </c>
    </row>
    <row r="79" spans="2:42" ht="13.8" x14ac:dyDescent="0.25">
      <c r="B79" s="531" t="str">
        <f>'E-1 Off Site Hedge Baseline'!AK77</f>
        <v/>
      </c>
      <c r="C79" s="520" t="str">
        <f>IF(B79="","",IF(ISNA(VLOOKUP($B79,'E-1 Off Site Hedge Baseline'!$B$1:$L$257,3,FALSE)),"",(VLOOKUP($B79,'E-1 Off Site Hedge Baseline'!$B$1:$L$257,3,FALSE))))</f>
        <v/>
      </c>
      <c r="D79" s="520" t="str">
        <f>IF(B79="","",IF(ISNA(VLOOKUP($B79,'E-1 Off Site Hedge Baseline'!$B$1:$L$258,4,FALSE)),"",(VLOOKUP($B79,'E-1 Off Site Hedge Baseline'!$B$1:$L$258,4,FALSE))))</f>
        <v/>
      </c>
      <c r="E79" s="520" t="str">
        <f>IF(B79="","",IF(ISNA(VLOOKUP($B79,'E-1 Off Site Hedge Baseline'!$B$1:$L$257,5,FALSE)),"",(VLOOKUP($B79,'E-1 Off Site Hedge Baseline'!$B$1:$L$257,5,FALSE))))</f>
        <v/>
      </c>
      <c r="F79" s="520" t="str">
        <f>IF(B79="","",IF(ISNA(VLOOKUP($B79,'E-1 Off Site Hedge Baseline'!$B$1:$L$257,6,FALSE)),"",(VLOOKUP($B79,'E-1 Off Site Hedge Baseline'!$B$1:$L$257,6,FALSE))))</f>
        <v/>
      </c>
      <c r="G79" s="520" t="str">
        <f>IF(B79="","",IF(ISNA(VLOOKUP($B79,'E-1 Off Site Hedge Baseline'!$B$1:$L$257,7,FALSE)),"",(VLOOKUP($B79,'E-1 Off Site Hedge Baseline'!$B$1:$L$257,7,FALSE))))</f>
        <v/>
      </c>
      <c r="H79" s="520" t="str">
        <f>IF(B79="","",IF(ISNA(VLOOKUP($B79,'E-1 Off Site Hedge Baseline'!$B$1:$L$257,8,FALSE)),"",(VLOOKUP($B79,'E-1 Off Site Hedge Baseline'!$B$1:$L$257,8,FALSE))))</f>
        <v/>
      </c>
      <c r="I79" s="520" t="str">
        <f>IF(B79="","",IF(ISNA(VLOOKUP($B79,'E-1 Off Site Hedge Baseline'!$B$1:$L$257,10,FALSE)),"",(VLOOKUP($B79,'E-1 Off Site Hedge Baseline'!$B$1:$L$257,10,FALSE))))</f>
        <v/>
      </c>
      <c r="J79" s="520" t="str">
        <f>IF(B79="","",IF(ISNA(VLOOKUP($B79,'E-1 Off Site Hedge Baseline'!$B$1:$L$257,11,FALSE)),"",(VLOOKUP($B79,'E-1 Off Site Hedge Baseline'!$B$1:$L$257,11,FALSE))))</f>
        <v/>
      </c>
      <c r="K79" s="520" t="str">
        <f>IF(B79="","",IF(ISNA(VLOOKUP($B79,'E-1 Off Site Hedge Baseline'!$B$1:$U$257,113,FALSE)),"",(VLOOKUP($B79,'E-1 Off Site Hedge Baseline'!$B$1:$U$257,13,FALSE))))</f>
        <v/>
      </c>
      <c r="L79" s="507" t="str">
        <f>IF(B79="","",IF(ISNA(VLOOKUP($B79,'E-1 Off Site Hedge Baseline'!$B$1:$U$257,12,FALSE)),"",(VLOOKUP($B79,'E-1 Off Site Hedge Baseline'!$B$1:$U$257,12,FALSE))))</f>
        <v/>
      </c>
      <c r="M79" s="418" t="str">
        <f t="shared" si="16"/>
        <v/>
      </c>
      <c r="N79" s="498" t="str">
        <f>IFERROR(IF(B79="","",INDEX('G-6 Hedgerow Data'!$AN$3:$AZ$15,MATCH(C79,'G-6 Hedgerow Data'!$AM$3:$AM$15,0),MATCH(M79,'G-6 Hedgerow Data'!$AN$2:$AZ$2,0))),"")</f>
        <v/>
      </c>
      <c r="O79" s="499" t="str">
        <f t="shared" si="10"/>
        <v/>
      </c>
      <c r="P79" s="505" t="str">
        <f>IF(B79="","",VLOOKUP(B79,'E-1 Off Site Hedge Baseline'!$B$10:T324,16,FALSE))</f>
        <v/>
      </c>
      <c r="Q79" s="498" t="str">
        <f>IF(M79="","",VLOOKUP(M79,'G-6 Hedgerow Data'!$B$2:$AG$15,2,FALSE))</f>
        <v/>
      </c>
      <c r="R79" s="499" t="str">
        <f>IF(M79="","",VLOOKUP(M79,'G-6 Hedgerow Data'!$B$2:$AG$15,3,FALSE))</f>
        <v/>
      </c>
      <c r="S79" s="145"/>
      <c r="T79" s="499" t="str">
        <f>IFERROR(IF(AND(Q79="V.Low",OR(S79="Good",S79="Moderate")),"Error ▲",VLOOKUP(S79,'G-1 All Habitats'!$Z$2:$AA$9,2,FALSE)),"")</f>
        <v/>
      </c>
      <c r="U79" s="145"/>
      <c r="V79" s="507" t="str">
        <f>IF(U79="","",IF(VLOOKUP(U79,'G-3 Multipliers'!$L$3:$N$6,2,FALSE)=0,"Spatial Data Missing ⚠",VLOOKUP(U79,'G-3 Multipliers'!$L$3:$N$6,2,FALSE)))</f>
        <v/>
      </c>
      <c r="W79" s="505"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9"/>
        <v/>
      </c>
      <c r="AD79" s="537" t="str">
        <f>IF(M79="","",VLOOKUP(M79,'G-6 Hedgerow Data'!$B$3:$AG$15,31,FALSE))</f>
        <v/>
      </c>
      <c r="AE79" s="520" t="str">
        <f t="shared" si="13"/>
        <v/>
      </c>
      <c r="AF79" s="520" t="str">
        <f t="shared" si="14"/>
        <v/>
      </c>
      <c r="AG79" s="524" t="str">
        <f>IFERROR(IF(O79="","",VLOOKUP(AD79,'G-3 Multipliers'!$P$3:$Q$6,2,FALSE)),"")</f>
        <v/>
      </c>
      <c r="AH79" s="197"/>
      <c r="AI79" s="499" t="str">
        <f>IF(AH79="","",IF(VLOOKUP(AH79,'G-3 Multipliers'!$S$3:$T$6,2,FALSE)=0,"Spatial Data Missing ⚠",VLOOKUP(AH79,'G-3 Multipliers'!$S$3:$T$6,2,FALSE)))</f>
        <v/>
      </c>
      <c r="AJ79" s="545" t="str">
        <f t="shared" si="15"/>
        <v/>
      </c>
      <c r="AK79" s="149"/>
      <c r="AL79" s="150"/>
      <c r="AP79" s="31" t="str">
        <f>IFERROR(INDEX('G-6 Hedgerow Data'!$BJ$3:$BJ$15,MATCH(M79,'G-6 Hedgerow Data'!$B$3:$B$15,0)),"")</f>
        <v/>
      </c>
    </row>
    <row r="80" spans="2:42" ht="13.8" x14ac:dyDescent="0.25">
      <c r="B80" s="531" t="str">
        <f>'E-1 Off Site Hedge Baseline'!AK78</f>
        <v/>
      </c>
      <c r="C80" s="520" t="str">
        <f>IF(B80="","",IF(ISNA(VLOOKUP($B80,'E-1 Off Site Hedge Baseline'!$B$1:$L$257,3,FALSE)),"",(VLOOKUP($B80,'E-1 Off Site Hedge Baseline'!$B$1:$L$257,3,FALSE))))</f>
        <v/>
      </c>
      <c r="D80" s="520" t="str">
        <f>IF(B80="","",IF(ISNA(VLOOKUP($B80,'E-1 Off Site Hedge Baseline'!$B$1:$L$258,4,FALSE)),"",(VLOOKUP($B80,'E-1 Off Site Hedge Baseline'!$B$1:$L$258,4,FALSE))))</f>
        <v/>
      </c>
      <c r="E80" s="520" t="str">
        <f>IF(B80="","",IF(ISNA(VLOOKUP($B80,'E-1 Off Site Hedge Baseline'!$B$1:$L$257,5,FALSE)),"",(VLOOKUP($B80,'E-1 Off Site Hedge Baseline'!$B$1:$L$257,5,FALSE))))</f>
        <v/>
      </c>
      <c r="F80" s="520" t="str">
        <f>IF(B80="","",IF(ISNA(VLOOKUP($B80,'E-1 Off Site Hedge Baseline'!$B$1:$L$257,6,FALSE)),"",(VLOOKUP($B80,'E-1 Off Site Hedge Baseline'!$B$1:$L$257,6,FALSE))))</f>
        <v/>
      </c>
      <c r="G80" s="520" t="str">
        <f>IF(B80="","",IF(ISNA(VLOOKUP($B80,'E-1 Off Site Hedge Baseline'!$B$1:$L$257,7,FALSE)),"",(VLOOKUP($B80,'E-1 Off Site Hedge Baseline'!$B$1:$L$257,7,FALSE))))</f>
        <v/>
      </c>
      <c r="H80" s="520" t="str">
        <f>IF(B80="","",IF(ISNA(VLOOKUP($B80,'E-1 Off Site Hedge Baseline'!$B$1:$L$257,8,FALSE)),"",(VLOOKUP($B80,'E-1 Off Site Hedge Baseline'!$B$1:$L$257,8,FALSE))))</f>
        <v/>
      </c>
      <c r="I80" s="520" t="str">
        <f>IF(B80="","",IF(ISNA(VLOOKUP($B80,'E-1 Off Site Hedge Baseline'!$B$1:$L$257,10,FALSE)),"",(VLOOKUP($B80,'E-1 Off Site Hedge Baseline'!$B$1:$L$257,10,FALSE))))</f>
        <v/>
      </c>
      <c r="J80" s="520" t="str">
        <f>IF(B80="","",IF(ISNA(VLOOKUP($B80,'E-1 Off Site Hedge Baseline'!$B$1:$L$257,11,FALSE)),"",(VLOOKUP($B80,'E-1 Off Site Hedge Baseline'!$B$1:$L$257,11,FALSE))))</f>
        <v/>
      </c>
      <c r="K80" s="520" t="str">
        <f>IF(B80="","",IF(ISNA(VLOOKUP($B80,'E-1 Off Site Hedge Baseline'!$B$1:$U$257,113,FALSE)),"",(VLOOKUP($B80,'E-1 Off Site Hedge Baseline'!$B$1:$U$257,13,FALSE))))</f>
        <v/>
      </c>
      <c r="L80" s="507" t="str">
        <f>IF(B80="","",IF(ISNA(VLOOKUP($B80,'E-1 Off Site Hedge Baseline'!$B$1:$U$257,12,FALSE)),"",(VLOOKUP($B80,'E-1 Off Site Hedge Baseline'!$B$1:$U$257,12,FALSE))))</f>
        <v/>
      </c>
      <c r="M80" s="418" t="str">
        <f t="shared" si="16"/>
        <v/>
      </c>
      <c r="N80" s="498" t="str">
        <f>IFERROR(IF(B80="","",INDEX('G-6 Hedgerow Data'!$AN$3:$AZ$15,MATCH(C80,'G-6 Hedgerow Data'!$AM$3:$AM$15,0),MATCH(M80,'G-6 Hedgerow Data'!$AN$2:$AZ$2,0))),"")</f>
        <v/>
      </c>
      <c r="O80" s="499" t="str">
        <f t="shared" si="10"/>
        <v/>
      </c>
      <c r="P80" s="505" t="str">
        <f>IF(B80="","",VLOOKUP(B80,'E-1 Off Site Hedge Baseline'!$B$10:T325,16,FALSE))</f>
        <v/>
      </c>
      <c r="Q80" s="498" t="str">
        <f>IF(M80="","",VLOOKUP(M80,'G-6 Hedgerow Data'!$B$2:$AG$15,2,FALSE))</f>
        <v/>
      </c>
      <c r="R80" s="499" t="str">
        <f>IF(M80="","",VLOOKUP(M80,'G-6 Hedgerow Data'!$B$2:$AG$15,3,FALSE))</f>
        <v/>
      </c>
      <c r="S80" s="145"/>
      <c r="T80" s="499" t="str">
        <f>IFERROR(IF(AND(Q80="V.Low",OR(S80="Good",S80="Moderate")),"Error ▲",VLOOKUP(S80,'G-1 All Habitats'!$Z$2:$AA$9,2,FALSE)),"")</f>
        <v/>
      </c>
      <c r="U80" s="145"/>
      <c r="V80" s="507" t="str">
        <f>IF(U80="","",IF(VLOOKUP(U80,'G-3 Multipliers'!$L$3:$N$6,2,FALSE)=0,"Spatial Data Missing ⚠",VLOOKUP(U80,'G-3 Multipliers'!$L$3:$N$6,2,FALSE)))</f>
        <v/>
      </c>
      <c r="W80" s="505"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9"/>
        <v/>
      </c>
      <c r="AD80" s="537" t="str">
        <f>IF(M80="","",VLOOKUP(M80,'G-6 Hedgerow Data'!$B$3:$AG$15,31,FALSE))</f>
        <v/>
      </c>
      <c r="AE80" s="520" t="str">
        <f t="shared" si="13"/>
        <v/>
      </c>
      <c r="AF80" s="520" t="str">
        <f t="shared" si="14"/>
        <v/>
      </c>
      <c r="AG80" s="524" t="str">
        <f>IFERROR(IF(O80="","",VLOOKUP(AD80,'G-3 Multipliers'!$P$3:$Q$6,2,FALSE)),"")</f>
        <v/>
      </c>
      <c r="AH80" s="197"/>
      <c r="AI80" s="499" t="str">
        <f>IF(AH80="","",IF(VLOOKUP(AH80,'G-3 Multipliers'!$S$3:$T$6,2,FALSE)=0,"Spatial Data Missing ⚠",VLOOKUP(AH80,'G-3 Multipliers'!$S$3:$T$6,2,FALSE)))</f>
        <v/>
      </c>
      <c r="AJ80" s="545" t="str">
        <f t="shared" si="15"/>
        <v/>
      </c>
      <c r="AK80" s="149"/>
      <c r="AL80" s="150"/>
      <c r="AP80" s="31" t="str">
        <f>IFERROR(INDEX('G-6 Hedgerow Data'!$BJ$3:$BJ$15,MATCH(M80,'G-6 Hedgerow Data'!$B$3:$B$15,0)),"")</f>
        <v/>
      </c>
    </row>
    <row r="81" spans="2:42" ht="13.8" x14ac:dyDescent="0.25">
      <c r="B81" s="531" t="str">
        <f>'E-1 Off Site Hedge Baseline'!AK79</f>
        <v/>
      </c>
      <c r="C81" s="520" t="str">
        <f>IF(B81="","",IF(ISNA(VLOOKUP($B81,'E-1 Off Site Hedge Baseline'!$B$1:$L$257,3,FALSE)),"",(VLOOKUP($B81,'E-1 Off Site Hedge Baseline'!$B$1:$L$257,3,FALSE))))</f>
        <v/>
      </c>
      <c r="D81" s="520" t="str">
        <f>IF(B81="","",IF(ISNA(VLOOKUP($B81,'E-1 Off Site Hedge Baseline'!$B$1:$L$258,4,FALSE)),"",(VLOOKUP($B81,'E-1 Off Site Hedge Baseline'!$B$1:$L$258,4,FALSE))))</f>
        <v/>
      </c>
      <c r="E81" s="520" t="str">
        <f>IF(B81="","",IF(ISNA(VLOOKUP($B81,'E-1 Off Site Hedge Baseline'!$B$1:$L$257,5,FALSE)),"",(VLOOKUP($B81,'E-1 Off Site Hedge Baseline'!$B$1:$L$257,5,FALSE))))</f>
        <v/>
      </c>
      <c r="F81" s="520" t="str">
        <f>IF(B81="","",IF(ISNA(VLOOKUP($B81,'E-1 Off Site Hedge Baseline'!$B$1:$L$257,6,FALSE)),"",(VLOOKUP($B81,'E-1 Off Site Hedge Baseline'!$B$1:$L$257,6,FALSE))))</f>
        <v/>
      </c>
      <c r="G81" s="520" t="str">
        <f>IF(B81="","",IF(ISNA(VLOOKUP($B81,'E-1 Off Site Hedge Baseline'!$B$1:$L$257,7,FALSE)),"",(VLOOKUP($B81,'E-1 Off Site Hedge Baseline'!$B$1:$L$257,7,FALSE))))</f>
        <v/>
      </c>
      <c r="H81" s="520" t="str">
        <f>IF(B81="","",IF(ISNA(VLOOKUP($B81,'E-1 Off Site Hedge Baseline'!$B$1:$L$257,8,FALSE)),"",(VLOOKUP($B81,'E-1 Off Site Hedge Baseline'!$B$1:$L$257,8,FALSE))))</f>
        <v/>
      </c>
      <c r="I81" s="520" t="str">
        <f>IF(B81="","",IF(ISNA(VLOOKUP($B81,'E-1 Off Site Hedge Baseline'!$B$1:$L$257,10,FALSE)),"",(VLOOKUP($B81,'E-1 Off Site Hedge Baseline'!$B$1:$L$257,10,FALSE))))</f>
        <v/>
      </c>
      <c r="J81" s="520" t="str">
        <f>IF(B81="","",IF(ISNA(VLOOKUP($B81,'E-1 Off Site Hedge Baseline'!$B$1:$L$257,11,FALSE)),"",(VLOOKUP($B81,'E-1 Off Site Hedge Baseline'!$B$1:$L$257,11,FALSE))))</f>
        <v/>
      </c>
      <c r="K81" s="520" t="str">
        <f>IF(B81="","",IF(ISNA(VLOOKUP($B81,'E-1 Off Site Hedge Baseline'!$B$1:$U$257,113,FALSE)),"",(VLOOKUP($B81,'E-1 Off Site Hedge Baseline'!$B$1:$U$257,13,FALSE))))</f>
        <v/>
      </c>
      <c r="L81" s="507" t="str">
        <f>IF(B81="","",IF(ISNA(VLOOKUP($B81,'E-1 Off Site Hedge Baseline'!$B$1:$U$257,12,FALSE)),"",(VLOOKUP($B81,'E-1 Off Site Hedge Baseline'!$B$1:$U$257,12,FALSE))))</f>
        <v/>
      </c>
      <c r="M81" s="418" t="str">
        <f t="shared" si="16"/>
        <v/>
      </c>
      <c r="N81" s="498" t="str">
        <f>IFERROR(IF(B81="","",INDEX('G-6 Hedgerow Data'!$AN$3:$AZ$15,MATCH(C81,'G-6 Hedgerow Data'!$AM$3:$AM$15,0),MATCH(M81,'G-6 Hedgerow Data'!$AN$2:$AZ$2,0))),"")</f>
        <v/>
      </c>
      <c r="O81" s="499" t="str">
        <f t="shared" si="10"/>
        <v/>
      </c>
      <c r="P81" s="505" t="str">
        <f>IF(B81="","",VLOOKUP(B81,'E-1 Off Site Hedge Baseline'!$B$10:T326,16,FALSE))</f>
        <v/>
      </c>
      <c r="Q81" s="498" t="str">
        <f>IF(M81="","",VLOOKUP(M81,'G-6 Hedgerow Data'!$B$2:$AG$15,2,FALSE))</f>
        <v/>
      </c>
      <c r="R81" s="499" t="str">
        <f>IF(M81="","",VLOOKUP(M81,'G-6 Hedgerow Data'!$B$2:$AG$15,3,FALSE))</f>
        <v/>
      </c>
      <c r="S81" s="145"/>
      <c r="T81" s="499" t="str">
        <f>IFERROR(IF(AND(Q81="V.Low",OR(S81="Good",S81="Moderate")),"Error ▲",VLOOKUP(S81,'G-1 All Habitats'!$Z$2:$AA$9,2,FALSE)),"")</f>
        <v/>
      </c>
      <c r="U81" s="145"/>
      <c r="V81" s="507" t="str">
        <f>IF(U81="","",IF(VLOOKUP(U81,'G-3 Multipliers'!$L$3:$N$6,2,FALSE)=0,"Spatial Data Missing ⚠",VLOOKUP(U81,'G-3 Multipliers'!$L$3:$N$6,2,FALSE)))</f>
        <v/>
      </c>
      <c r="W81" s="505"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9"/>
        <v/>
      </c>
      <c r="AD81" s="537" t="str">
        <f>IF(M81="","",VLOOKUP(M81,'G-6 Hedgerow Data'!$B$3:$AG$15,31,FALSE))</f>
        <v/>
      </c>
      <c r="AE81" s="520" t="str">
        <f t="shared" si="13"/>
        <v/>
      </c>
      <c r="AF81" s="520" t="str">
        <f t="shared" si="14"/>
        <v/>
      </c>
      <c r="AG81" s="524" t="str">
        <f>IFERROR(IF(O81="","",VLOOKUP(AD81,'G-3 Multipliers'!$P$3:$Q$6,2,FALSE)),"")</f>
        <v/>
      </c>
      <c r="AH81" s="197"/>
      <c r="AI81" s="499" t="str">
        <f>IF(AH81="","",IF(VLOOKUP(AH81,'G-3 Multipliers'!$S$3:$T$6,2,FALSE)=0,"Spatial Data Missing ⚠",VLOOKUP(AH81,'G-3 Multipliers'!$S$3:$T$6,2,FALSE)))</f>
        <v/>
      </c>
      <c r="AJ81" s="545" t="str">
        <f t="shared" si="15"/>
        <v/>
      </c>
      <c r="AK81" s="149"/>
      <c r="AL81" s="150"/>
      <c r="AP81" s="31" t="str">
        <f>IFERROR(INDEX('G-6 Hedgerow Data'!$BJ$3:$BJ$15,MATCH(M81,'G-6 Hedgerow Data'!$B$3:$B$15,0)),"")</f>
        <v/>
      </c>
    </row>
    <row r="82" spans="2:42" ht="13.8" x14ac:dyDescent="0.25">
      <c r="B82" s="531" t="str">
        <f>'E-1 Off Site Hedge Baseline'!AK80</f>
        <v/>
      </c>
      <c r="C82" s="520" t="str">
        <f>IF(B82="","",IF(ISNA(VLOOKUP($B82,'E-1 Off Site Hedge Baseline'!$B$1:$L$257,3,FALSE)),"",(VLOOKUP($B82,'E-1 Off Site Hedge Baseline'!$B$1:$L$257,3,FALSE))))</f>
        <v/>
      </c>
      <c r="D82" s="520" t="str">
        <f>IF(B82="","",IF(ISNA(VLOOKUP($B82,'E-1 Off Site Hedge Baseline'!$B$1:$L$258,4,FALSE)),"",(VLOOKUP($B82,'E-1 Off Site Hedge Baseline'!$B$1:$L$258,4,FALSE))))</f>
        <v/>
      </c>
      <c r="E82" s="520" t="str">
        <f>IF(B82="","",IF(ISNA(VLOOKUP($B82,'E-1 Off Site Hedge Baseline'!$B$1:$L$257,5,FALSE)),"",(VLOOKUP($B82,'E-1 Off Site Hedge Baseline'!$B$1:$L$257,5,FALSE))))</f>
        <v/>
      </c>
      <c r="F82" s="520" t="str">
        <f>IF(B82="","",IF(ISNA(VLOOKUP($B82,'E-1 Off Site Hedge Baseline'!$B$1:$L$257,6,FALSE)),"",(VLOOKUP($B82,'E-1 Off Site Hedge Baseline'!$B$1:$L$257,6,FALSE))))</f>
        <v/>
      </c>
      <c r="G82" s="520" t="str">
        <f>IF(B82="","",IF(ISNA(VLOOKUP($B82,'E-1 Off Site Hedge Baseline'!$B$1:$L$257,7,FALSE)),"",(VLOOKUP($B82,'E-1 Off Site Hedge Baseline'!$B$1:$L$257,7,FALSE))))</f>
        <v/>
      </c>
      <c r="H82" s="520" t="str">
        <f>IF(B82="","",IF(ISNA(VLOOKUP($B82,'E-1 Off Site Hedge Baseline'!$B$1:$L$257,8,FALSE)),"",(VLOOKUP($B82,'E-1 Off Site Hedge Baseline'!$B$1:$L$257,8,FALSE))))</f>
        <v/>
      </c>
      <c r="I82" s="520" t="str">
        <f>IF(B82="","",IF(ISNA(VLOOKUP($B82,'E-1 Off Site Hedge Baseline'!$B$1:$L$257,10,FALSE)),"",(VLOOKUP($B82,'E-1 Off Site Hedge Baseline'!$B$1:$L$257,10,FALSE))))</f>
        <v/>
      </c>
      <c r="J82" s="520" t="str">
        <f>IF(B82="","",IF(ISNA(VLOOKUP($B82,'E-1 Off Site Hedge Baseline'!$B$1:$L$257,11,FALSE)),"",(VLOOKUP($B82,'E-1 Off Site Hedge Baseline'!$B$1:$L$257,11,FALSE))))</f>
        <v/>
      </c>
      <c r="K82" s="520" t="str">
        <f>IF(B82="","",IF(ISNA(VLOOKUP($B82,'E-1 Off Site Hedge Baseline'!$B$1:$U$257,113,FALSE)),"",(VLOOKUP($B82,'E-1 Off Site Hedge Baseline'!$B$1:$U$257,13,FALSE))))</f>
        <v/>
      </c>
      <c r="L82" s="507" t="str">
        <f>IF(B82="","",IF(ISNA(VLOOKUP($B82,'E-1 Off Site Hedge Baseline'!$B$1:$U$257,12,FALSE)),"",(VLOOKUP($B82,'E-1 Off Site Hedge Baseline'!$B$1:$U$257,12,FALSE))))</f>
        <v/>
      </c>
      <c r="M82" s="418" t="str">
        <f t="shared" si="16"/>
        <v/>
      </c>
      <c r="N82" s="498" t="str">
        <f>IFERROR(IF(B82="","",INDEX('G-6 Hedgerow Data'!$AN$3:$AZ$15,MATCH(C82,'G-6 Hedgerow Data'!$AM$3:$AM$15,0),MATCH(M82,'G-6 Hedgerow Data'!$AN$2:$AZ$2,0))),"")</f>
        <v/>
      </c>
      <c r="O82" s="499" t="str">
        <f t="shared" si="10"/>
        <v/>
      </c>
      <c r="P82" s="505" t="str">
        <f>IF(B82="","",VLOOKUP(B82,'E-1 Off Site Hedge Baseline'!$B$10:T327,16,FALSE))</f>
        <v/>
      </c>
      <c r="Q82" s="498" t="str">
        <f>IF(M82="","",VLOOKUP(M82,'G-6 Hedgerow Data'!$B$2:$AG$15,2,FALSE))</f>
        <v/>
      </c>
      <c r="R82" s="499" t="str">
        <f>IF(M82="","",VLOOKUP(M82,'G-6 Hedgerow Data'!$B$2:$AG$15,3,FALSE))</f>
        <v/>
      </c>
      <c r="S82" s="145"/>
      <c r="T82" s="499" t="str">
        <f>IFERROR(IF(AND(Q82="V.Low",OR(S82="Good",S82="Moderate")),"Error ▲",VLOOKUP(S82,'G-1 All Habitats'!$Z$2:$AA$9,2,FALSE)),"")</f>
        <v/>
      </c>
      <c r="U82" s="145"/>
      <c r="V82" s="507" t="str">
        <f>IF(U82="","",IF(VLOOKUP(U82,'G-3 Multipliers'!$L$3:$N$6,2,FALSE)=0,"Spatial Data Missing ⚠",VLOOKUP(U82,'G-3 Multipliers'!$L$3:$N$6,2,FALSE)))</f>
        <v/>
      </c>
      <c r="W82" s="505"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9"/>
        <v/>
      </c>
      <c r="AD82" s="537" t="str">
        <f>IF(M82="","",VLOOKUP(M82,'G-6 Hedgerow Data'!$B$3:$AG$15,31,FALSE))</f>
        <v/>
      </c>
      <c r="AE82" s="520" t="str">
        <f t="shared" si="13"/>
        <v/>
      </c>
      <c r="AF82" s="520" t="str">
        <f t="shared" si="14"/>
        <v/>
      </c>
      <c r="AG82" s="524" t="str">
        <f>IFERROR(IF(O82="","",VLOOKUP(AD82,'G-3 Multipliers'!$P$3:$Q$6,2,FALSE)),"")</f>
        <v/>
      </c>
      <c r="AH82" s="197"/>
      <c r="AI82" s="499" t="str">
        <f>IF(AH82="","",IF(VLOOKUP(AH82,'G-3 Multipliers'!$S$3:$T$6,2,FALSE)=0,"Spatial Data Missing ⚠",VLOOKUP(AH82,'G-3 Multipliers'!$S$3:$T$6,2,FALSE)))</f>
        <v/>
      </c>
      <c r="AJ82" s="545" t="str">
        <f t="shared" si="15"/>
        <v/>
      </c>
      <c r="AK82" s="149"/>
      <c r="AL82" s="150"/>
      <c r="AP82" s="31" t="str">
        <f>IFERROR(INDEX('G-6 Hedgerow Data'!$BJ$3:$BJ$15,MATCH(M82,'G-6 Hedgerow Data'!$B$3:$B$15,0)),"")</f>
        <v/>
      </c>
    </row>
    <row r="83" spans="2:42" ht="13.8" x14ac:dyDescent="0.25">
      <c r="B83" s="531" t="str">
        <f>'E-1 Off Site Hedge Baseline'!AK81</f>
        <v/>
      </c>
      <c r="C83" s="520" t="str">
        <f>IF(B83="","",IF(ISNA(VLOOKUP($B83,'E-1 Off Site Hedge Baseline'!$B$1:$L$257,3,FALSE)),"",(VLOOKUP($B83,'E-1 Off Site Hedge Baseline'!$B$1:$L$257,3,FALSE))))</f>
        <v/>
      </c>
      <c r="D83" s="520" t="str">
        <f>IF(B83="","",IF(ISNA(VLOOKUP($B83,'E-1 Off Site Hedge Baseline'!$B$1:$L$258,4,FALSE)),"",(VLOOKUP($B83,'E-1 Off Site Hedge Baseline'!$B$1:$L$258,4,FALSE))))</f>
        <v/>
      </c>
      <c r="E83" s="520" t="str">
        <f>IF(B83="","",IF(ISNA(VLOOKUP($B83,'E-1 Off Site Hedge Baseline'!$B$1:$L$257,5,FALSE)),"",(VLOOKUP($B83,'E-1 Off Site Hedge Baseline'!$B$1:$L$257,5,FALSE))))</f>
        <v/>
      </c>
      <c r="F83" s="520" t="str">
        <f>IF(B83="","",IF(ISNA(VLOOKUP($B83,'E-1 Off Site Hedge Baseline'!$B$1:$L$257,6,FALSE)),"",(VLOOKUP($B83,'E-1 Off Site Hedge Baseline'!$B$1:$L$257,6,FALSE))))</f>
        <v/>
      </c>
      <c r="G83" s="520" t="str">
        <f>IF(B83="","",IF(ISNA(VLOOKUP($B83,'E-1 Off Site Hedge Baseline'!$B$1:$L$257,7,FALSE)),"",(VLOOKUP($B83,'E-1 Off Site Hedge Baseline'!$B$1:$L$257,7,FALSE))))</f>
        <v/>
      </c>
      <c r="H83" s="520" t="str">
        <f>IF(B83="","",IF(ISNA(VLOOKUP($B83,'E-1 Off Site Hedge Baseline'!$B$1:$L$257,8,FALSE)),"",(VLOOKUP($B83,'E-1 Off Site Hedge Baseline'!$B$1:$L$257,8,FALSE))))</f>
        <v/>
      </c>
      <c r="I83" s="520" t="str">
        <f>IF(B83="","",IF(ISNA(VLOOKUP($B83,'E-1 Off Site Hedge Baseline'!$B$1:$L$257,10,FALSE)),"",(VLOOKUP($B83,'E-1 Off Site Hedge Baseline'!$B$1:$L$257,10,FALSE))))</f>
        <v/>
      </c>
      <c r="J83" s="520" t="str">
        <f>IF(B83="","",IF(ISNA(VLOOKUP($B83,'E-1 Off Site Hedge Baseline'!$B$1:$L$257,11,FALSE)),"",(VLOOKUP($B83,'E-1 Off Site Hedge Baseline'!$B$1:$L$257,11,FALSE))))</f>
        <v/>
      </c>
      <c r="K83" s="520" t="str">
        <f>IF(B83="","",IF(ISNA(VLOOKUP($B83,'E-1 Off Site Hedge Baseline'!$B$1:$U$257,113,FALSE)),"",(VLOOKUP($B83,'E-1 Off Site Hedge Baseline'!$B$1:$U$257,13,FALSE))))</f>
        <v/>
      </c>
      <c r="L83" s="507" t="str">
        <f>IF(B83="","",IF(ISNA(VLOOKUP($B83,'E-1 Off Site Hedge Baseline'!$B$1:$U$257,12,FALSE)),"",(VLOOKUP($B83,'E-1 Off Site Hedge Baseline'!$B$1:$U$257,12,FALSE))))</f>
        <v/>
      </c>
      <c r="M83" s="418" t="str">
        <f t="shared" si="16"/>
        <v/>
      </c>
      <c r="N83" s="498" t="str">
        <f>IFERROR(IF(B83="","",INDEX('G-6 Hedgerow Data'!$AN$3:$AZ$15,MATCH(C83,'G-6 Hedgerow Data'!$AM$3:$AM$15,0),MATCH(M83,'G-6 Hedgerow Data'!$AN$2:$AZ$2,0))),"")</f>
        <v/>
      </c>
      <c r="O83" s="499" t="str">
        <f t="shared" si="10"/>
        <v/>
      </c>
      <c r="P83" s="505" t="str">
        <f>IF(B83="","",VLOOKUP(B83,'E-1 Off Site Hedge Baseline'!$B$10:T328,16,FALSE))</f>
        <v/>
      </c>
      <c r="Q83" s="498" t="str">
        <f>IF(M83="","",VLOOKUP(M83,'G-6 Hedgerow Data'!$B$2:$AG$15,2,FALSE))</f>
        <v/>
      </c>
      <c r="R83" s="499" t="str">
        <f>IF(M83="","",VLOOKUP(M83,'G-6 Hedgerow Data'!$B$2:$AG$15,3,FALSE))</f>
        <v/>
      </c>
      <c r="S83" s="145"/>
      <c r="T83" s="499" t="str">
        <f>IFERROR(IF(AND(Q83="V.Low",OR(S83="Good",S83="Moderate")),"Error ▲",VLOOKUP(S83,'G-1 All Habitats'!$Z$2:$AA$9,2,FALSE)),"")</f>
        <v/>
      </c>
      <c r="U83" s="145"/>
      <c r="V83" s="507" t="str">
        <f>IF(U83="","",IF(VLOOKUP(U83,'G-3 Multipliers'!$L$3:$N$6,2,FALSE)=0,"Spatial Data Missing ⚠",VLOOKUP(U83,'G-3 Multipliers'!$L$3:$N$6,2,FALSE)))</f>
        <v/>
      </c>
      <c r="W83" s="505"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9"/>
        <v/>
      </c>
      <c r="AD83" s="537" t="str">
        <f>IF(M83="","",VLOOKUP(M83,'G-6 Hedgerow Data'!$B$3:$AG$15,31,FALSE))</f>
        <v/>
      </c>
      <c r="AE83" s="520" t="str">
        <f t="shared" si="13"/>
        <v/>
      </c>
      <c r="AF83" s="520" t="str">
        <f t="shared" si="14"/>
        <v/>
      </c>
      <c r="AG83" s="524" t="str">
        <f>IFERROR(IF(O83="","",VLOOKUP(AD83,'G-3 Multipliers'!$P$3:$Q$6,2,FALSE)),"")</f>
        <v/>
      </c>
      <c r="AH83" s="197"/>
      <c r="AI83" s="499" t="str">
        <f>IF(AH83="","",IF(VLOOKUP(AH83,'G-3 Multipliers'!$S$3:$T$6,2,FALSE)=0,"Spatial Data Missing ⚠",VLOOKUP(AH83,'G-3 Multipliers'!$S$3:$T$6,2,FALSE)))</f>
        <v/>
      </c>
      <c r="AJ83" s="545" t="str">
        <f t="shared" si="15"/>
        <v/>
      </c>
      <c r="AK83" s="149"/>
      <c r="AL83" s="150"/>
      <c r="AP83" s="31" t="str">
        <f>IFERROR(INDEX('G-6 Hedgerow Data'!$BJ$3:$BJ$15,MATCH(M83,'G-6 Hedgerow Data'!$B$3:$B$15,0)),"")</f>
        <v/>
      </c>
    </row>
    <row r="84" spans="2:42" ht="13.8" x14ac:dyDescent="0.25">
      <c r="B84" s="531" t="str">
        <f>'E-1 Off Site Hedge Baseline'!AK82</f>
        <v/>
      </c>
      <c r="C84" s="520" t="str">
        <f>IF(B84="","",IF(ISNA(VLOOKUP($B84,'E-1 Off Site Hedge Baseline'!$B$1:$L$257,3,FALSE)),"",(VLOOKUP($B84,'E-1 Off Site Hedge Baseline'!$B$1:$L$257,3,FALSE))))</f>
        <v/>
      </c>
      <c r="D84" s="520" t="str">
        <f>IF(B84="","",IF(ISNA(VLOOKUP($B84,'E-1 Off Site Hedge Baseline'!$B$1:$L$258,4,FALSE)),"",(VLOOKUP($B84,'E-1 Off Site Hedge Baseline'!$B$1:$L$258,4,FALSE))))</f>
        <v/>
      </c>
      <c r="E84" s="520" t="str">
        <f>IF(B84="","",IF(ISNA(VLOOKUP($B84,'E-1 Off Site Hedge Baseline'!$B$1:$L$257,5,FALSE)),"",(VLOOKUP($B84,'E-1 Off Site Hedge Baseline'!$B$1:$L$257,5,FALSE))))</f>
        <v/>
      </c>
      <c r="F84" s="520" t="str">
        <f>IF(B84="","",IF(ISNA(VLOOKUP($B84,'E-1 Off Site Hedge Baseline'!$B$1:$L$257,6,FALSE)),"",(VLOOKUP($B84,'E-1 Off Site Hedge Baseline'!$B$1:$L$257,6,FALSE))))</f>
        <v/>
      </c>
      <c r="G84" s="520" t="str">
        <f>IF(B84="","",IF(ISNA(VLOOKUP($B84,'E-1 Off Site Hedge Baseline'!$B$1:$L$257,7,FALSE)),"",(VLOOKUP($B84,'E-1 Off Site Hedge Baseline'!$B$1:$L$257,7,FALSE))))</f>
        <v/>
      </c>
      <c r="H84" s="520" t="str">
        <f>IF(B84="","",IF(ISNA(VLOOKUP($B84,'E-1 Off Site Hedge Baseline'!$B$1:$L$257,8,FALSE)),"",(VLOOKUP($B84,'E-1 Off Site Hedge Baseline'!$B$1:$L$257,8,FALSE))))</f>
        <v/>
      </c>
      <c r="I84" s="520" t="str">
        <f>IF(B84="","",IF(ISNA(VLOOKUP($B84,'E-1 Off Site Hedge Baseline'!$B$1:$L$257,10,FALSE)),"",(VLOOKUP($B84,'E-1 Off Site Hedge Baseline'!$B$1:$L$257,10,FALSE))))</f>
        <v/>
      </c>
      <c r="J84" s="520" t="str">
        <f>IF(B84="","",IF(ISNA(VLOOKUP($B84,'E-1 Off Site Hedge Baseline'!$B$1:$L$257,11,FALSE)),"",(VLOOKUP($B84,'E-1 Off Site Hedge Baseline'!$B$1:$L$257,11,FALSE))))</f>
        <v/>
      </c>
      <c r="K84" s="520" t="str">
        <f>IF(B84="","",IF(ISNA(VLOOKUP($B84,'E-1 Off Site Hedge Baseline'!$B$1:$U$257,113,FALSE)),"",(VLOOKUP($B84,'E-1 Off Site Hedge Baseline'!$B$1:$U$257,13,FALSE))))</f>
        <v/>
      </c>
      <c r="L84" s="507" t="str">
        <f>IF(B84="","",IF(ISNA(VLOOKUP($B84,'E-1 Off Site Hedge Baseline'!$B$1:$U$257,12,FALSE)),"",(VLOOKUP($B84,'E-1 Off Site Hedge Baseline'!$B$1:$U$257,12,FALSE))))</f>
        <v/>
      </c>
      <c r="M84" s="418" t="str">
        <f t="shared" si="16"/>
        <v/>
      </c>
      <c r="N84" s="498" t="str">
        <f>IFERROR(IF(B84="","",INDEX('G-6 Hedgerow Data'!$AN$3:$AZ$15,MATCH(C84,'G-6 Hedgerow Data'!$AM$3:$AM$15,0),MATCH(M84,'G-6 Hedgerow Data'!$AN$2:$AZ$2,0))),"")</f>
        <v/>
      </c>
      <c r="O84" s="499" t="str">
        <f t="shared" si="10"/>
        <v/>
      </c>
      <c r="P84" s="505" t="str">
        <f>IF(B84="","",VLOOKUP(B84,'E-1 Off Site Hedge Baseline'!$B$10:T329,16,FALSE))</f>
        <v/>
      </c>
      <c r="Q84" s="498" t="str">
        <f>IF(M84="","",VLOOKUP(M84,'G-6 Hedgerow Data'!$B$2:$AG$15,2,FALSE))</f>
        <v/>
      </c>
      <c r="R84" s="499" t="str">
        <f>IF(M84="","",VLOOKUP(M84,'G-6 Hedgerow Data'!$B$2:$AG$15,3,FALSE))</f>
        <v/>
      </c>
      <c r="S84" s="145"/>
      <c r="T84" s="499" t="str">
        <f>IFERROR(IF(AND(Q84="V.Low",OR(S84="Good",S84="Moderate")),"Error ▲",VLOOKUP(S84,'G-1 All Habitats'!$Z$2:$AA$9,2,FALSE)),"")</f>
        <v/>
      </c>
      <c r="U84" s="145"/>
      <c r="V84" s="507" t="str">
        <f>IF(U84="","",IF(VLOOKUP(U84,'G-3 Multipliers'!$L$3:$N$6,2,FALSE)=0,"Spatial Data Missing ⚠",VLOOKUP(U84,'G-3 Multipliers'!$L$3:$N$6,2,FALSE)))</f>
        <v/>
      </c>
      <c r="W84" s="505"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9"/>
        <v/>
      </c>
      <c r="AD84" s="537" t="str">
        <f>IF(M84="","",VLOOKUP(M84,'G-6 Hedgerow Data'!$B$3:$AG$15,31,FALSE))</f>
        <v/>
      </c>
      <c r="AE84" s="520" t="str">
        <f t="shared" si="13"/>
        <v/>
      </c>
      <c r="AF84" s="520" t="str">
        <f t="shared" si="14"/>
        <v/>
      </c>
      <c r="AG84" s="524" t="str">
        <f>IFERROR(IF(O84="","",VLOOKUP(AD84,'G-3 Multipliers'!$P$3:$Q$6,2,FALSE)),"")</f>
        <v/>
      </c>
      <c r="AH84" s="197"/>
      <c r="AI84" s="499" t="str">
        <f>IF(AH84="","",IF(VLOOKUP(AH84,'G-3 Multipliers'!$S$3:$T$6,2,FALSE)=0,"Spatial Data Missing ⚠",VLOOKUP(AH84,'G-3 Multipliers'!$S$3:$T$6,2,FALSE)))</f>
        <v/>
      </c>
      <c r="AJ84" s="545" t="str">
        <f t="shared" si="15"/>
        <v/>
      </c>
      <c r="AK84" s="149"/>
      <c r="AL84" s="150"/>
      <c r="AP84" s="31" t="str">
        <f>IFERROR(INDEX('G-6 Hedgerow Data'!$BJ$3:$BJ$15,MATCH(M84,'G-6 Hedgerow Data'!$B$3:$B$15,0)),"")</f>
        <v/>
      </c>
    </row>
    <row r="85" spans="2:42" ht="13.8" x14ac:dyDescent="0.25">
      <c r="B85" s="531" t="str">
        <f>'E-1 Off Site Hedge Baseline'!AK83</f>
        <v/>
      </c>
      <c r="C85" s="520" t="str">
        <f>IF(B85="","",IF(ISNA(VLOOKUP($B85,'E-1 Off Site Hedge Baseline'!$B$1:$L$257,3,FALSE)),"",(VLOOKUP($B85,'E-1 Off Site Hedge Baseline'!$B$1:$L$257,3,FALSE))))</f>
        <v/>
      </c>
      <c r="D85" s="520" t="str">
        <f>IF(B85="","",IF(ISNA(VLOOKUP($B85,'E-1 Off Site Hedge Baseline'!$B$1:$L$258,4,FALSE)),"",(VLOOKUP($B85,'E-1 Off Site Hedge Baseline'!$B$1:$L$258,4,FALSE))))</f>
        <v/>
      </c>
      <c r="E85" s="520" t="str">
        <f>IF(B85="","",IF(ISNA(VLOOKUP($B85,'E-1 Off Site Hedge Baseline'!$B$1:$L$257,5,FALSE)),"",(VLOOKUP($B85,'E-1 Off Site Hedge Baseline'!$B$1:$L$257,5,FALSE))))</f>
        <v/>
      </c>
      <c r="F85" s="520" t="str">
        <f>IF(B85="","",IF(ISNA(VLOOKUP($B85,'E-1 Off Site Hedge Baseline'!$B$1:$L$257,6,FALSE)),"",(VLOOKUP($B85,'E-1 Off Site Hedge Baseline'!$B$1:$L$257,6,FALSE))))</f>
        <v/>
      </c>
      <c r="G85" s="520" t="str">
        <f>IF(B85="","",IF(ISNA(VLOOKUP($B85,'E-1 Off Site Hedge Baseline'!$B$1:$L$257,7,FALSE)),"",(VLOOKUP($B85,'E-1 Off Site Hedge Baseline'!$B$1:$L$257,7,FALSE))))</f>
        <v/>
      </c>
      <c r="H85" s="520" t="str">
        <f>IF(B85="","",IF(ISNA(VLOOKUP($B85,'E-1 Off Site Hedge Baseline'!$B$1:$L$257,8,FALSE)),"",(VLOOKUP($B85,'E-1 Off Site Hedge Baseline'!$B$1:$L$257,8,FALSE))))</f>
        <v/>
      </c>
      <c r="I85" s="520" t="str">
        <f>IF(B85="","",IF(ISNA(VLOOKUP($B85,'E-1 Off Site Hedge Baseline'!$B$1:$L$257,10,FALSE)),"",(VLOOKUP($B85,'E-1 Off Site Hedge Baseline'!$B$1:$L$257,10,FALSE))))</f>
        <v/>
      </c>
      <c r="J85" s="520" t="str">
        <f>IF(B85="","",IF(ISNA(VLOOKUP($B85,'E-1 Off Site Hedge Baseline'!$B$1:$L$257,11,FALSE)),"",(VLOOKUP($B85,'E-1 Off Site Hedge Baseline'!$B$1:$L$257,11,FALSE))))</f>
        <v/>
      </c>
      <c r="K85" s="520" t="str">
        <f>IF(B85="","",IF(ISNA(VLOOKUP($B85,'E-1 Off Site Hedge Baseline'!$B$1:$U$257,113,FALSE)),"",(VLOOKUP($B85,'E-1 Off Site Hedge Baseline'!$B$1:$U$257,13,FALSE))))</f>
        <v/>
      </c>
      <c r="L85" s="507" t="str">
        <f>IF(B85="","",IF(ISNA(VLOOKUP($B85,'E-1 Off Site Hedge Baseline'!$B$1:$U$257,12,FALSE)),"",(VLOOKUP($B85,'E-1 Off Site Hedge Baseline'!$B$1:$U$257,12,FALSE))))</f>
        <v/>
      </c>
      <c r="M85" s="418" t="str">
        <f t="shared" si="16"/>
        <v/>
      </c>
      <c r="N85" s="498" t="str">
        <f>IFERROR(IF(B85="","",INDEX('G-6 Hedgerow Data'!$AN$3:$AZ$15,MATCH(C85,'G-6 Hedgerow Data'!$AM$3:$AM$15,0),MATCH(M85,'G-6 Hedgerow Data'!$AN$2:$AZ$2,0))),"")</f>
        <v/>
      </c>
      <c r="O85" s="499" t="str">
        <f t="shared" si="10"/>
        <v/>
      </c>
      <c r="P85" s="505" t="str">
        <f>IF(B85="","",VLOOKUP(B85,'E-1 Off Site Hedge Baseline'!$B$10:T330,16,FALSE))</f>
        <v/>
      </c>
      <c r="Q85" s="498" t="str">
        <f>IF(M85="","",VLOOKUP(M85,'G-6 Hedgerow Data'!$B$2:$AG$15,2,FALSE))</f>
        <v/>
      </c>
      <c r="R85" s="499" t="str">
        <f>IF(M85="","",VLOOKUP(M85,'G-6 Hedgerow Data'!$B$2:$AG$15,3,FALSE))</f>
        <v/>
      </c>
      <c r="S85" s="145"/>
      <c r="T85" s="499" t="str">
        <f>IFERROR(IF(AND(Q85="V.Low",OR(S85="Good",S85="Moderate")),"Error ▲",VLOOKUP(S85,'G-1 All Habitats'!$Z$2:$AA$9,2,FALSE)),"")</f>
        <v/>
      </c>
      <c r="U85" s="145"/>
      <c r="V85" s="507" t="str">
        <f>IF(U85="","",IF(VLOOKUP(U85,'G-3 Multipliers'!$L$3:$N$6,2,FALSE)=0,"Spatial Data Missing ⚠",VLOOKUP(U85,'G-3 Multipliers'!$L$3:$N$6,2,FALSE)))</f>
        <v/>
      </c>
      <c r="W85" s="505"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9"/>
        <v/>
      </c>
      <c r="AD85" s="537" t="str">
        <f>IF(M85="","",VLOOKUP(M85,'G-6 Hedgerow Data'!$B$3:$AG$15,31,FALSE))</f>
        <v/>
      </c>
      <c r="AE85" s="520" t="str">
        <f t="shared" si="13"/>
        <v/>
      </c>
      <c r="AF85" s="520" t="str">
        <f t="shared" si="14"/>
        <v/>
      </c>
      <c r="AG85" s="524" t="str">
        <f>IFERROR(IF(O85="","",VLOOKUP(AD85,'G-3 Multipliers'!$P$3:$Q$6,2,FALSE)),"")</f>
        <v/>
      </c>
      <c r="AH85" s="197"/>
      <c r="AI85" s="499" t="str">
        <f>IF(AH85="","",IF(VLOOKUP(AH85,'G-3 Multipliers'!$S$3:$T$6,2,FALSE)=0,"Spatial Data Missing ⚠",VLOOKUP(AH85,'G-3 Multipliers'!$S$3:$T$6,2,FALSE)))</f>
        <v/>
      </c>
      <c r="AJ85" s="545" t="str">
        <f t="shared" si="15"/>
        <v/>
      </c>
      <c r="AK85" s="149"/>
      <c r="AL85" s="150"/>
      <c r="AP85" s="31" t="str">
        <f>IFERROR(INDEX('G-6 Hedgerow Data'!$BJ$3:$BJ$15,MATCH(M85,'G-6 Hedgerow Data'!$B$3:$B$15,0)),"")</f>
        <v/>
      </c>
    </row>
    <row r="86" spans="2:42" ht="13.8" x14ac:dyDescent="0.25">
      <c r="B86" s="531" t="str">
        <f>'E-1 Off Site Hedge Baseline'!AK84</f>
        <v/>
      </c>
      <c r="C86" s="520" t="str">
        <f>IF(B86="","",IF(ISNA(VLOOKUP($B86,'E-1 Off Site Hedge Baseline'!$B$1:$L$257,3,FALSE)),"",(VLOOKUP($B86,'E-1 Off Site Hedge Baseline'!$B$1:$L$257,3,FALSE))))</f>
        <v/>
      </c>
      <c r="D86" s="520" t="str">
        <f>IF(B86="","",IF(ISNA(VLOOKUP($B86,'E-1 Off Site Hedge Baseline'!$B$1:$L$258,4,FALSE)),"",(VLOOKUP($B86,'E-1 Off Site Hedge Baseline'!$B$1:$L$258,4,FALSE))))</f>
        <v/>
      </c>
      <c r="E86" s="520" t="str">
        <f>IF(B86="","",IF(ISNA(VLOOKUP($B86,'E-1 Off Site Hedge Baseline'!$B$1:$L$257,5,FALSE)),"",(VLOOKUP($B86,'E-1 Off Site Hedge Baseline'!$B$1:$L$257,5,FALSE))))</f>
        <v/>
      </c>
      <c r="F86" s="520" t="str">
        <f>IF(B86="","",IF(ISNA(VLOOKUP($B86,'E-1 Off Site Hedge Baseline'!$B$1:$L$257,6,FALSE)),"",(VLOOKUP($B86,'E-1 Off Site Hedge Baseline'!$B$1:$L$257,6,FALSE))))</f>
        <v/>
      </c>
      <c r="G86" s="520" t="str">
        <f>IF(B86="","",IF(ISNA(VLOOKUP($B86,'E-1 Off Site Hedge Baseline'!$B$1:$L$257,7,FALSE)),"",(VLOOKUP($B86,'E-1 Off Site Hedge Baseline'!$B$1:$L$257,7,FALSE))))</f>
        <v/>
      </c>
      <c r="H86" s="520" t="str">
        <f>IF(B86="","",IF(ISNA(VLOOKUP($B86,'E-1 Off Site Hedge Baseline'!$B$1:$L$257,8,FALSE)),"",(VLOOKUP($B86,'E-1 Off Site Hedge Baseline'!$B$1:$L$257,8,FALSE))))</f>
        <v/>
      </c>
      <c r="I86" s="520" t="str">
        <f>IF(B86="","",IF(ISNA(VLOOKUP($B86,'E-1 Off Site Hedge Baseline'!$B$1:$L$257,10,FALSE)),"",(VLOOKUP($B86,'E-1 Off Site Hedge Baseline'!$B$1:$L$257,10,FALSE))))</f>
        <v/>
      </c>
      <c r="J86" s="520" t="str">
        <f>IF(B86="","",IF(ISNA(VLOOKUP($B86,'E-1 Off Site Hedge Baseline'!$B$1:$L$257,11,FALSE)),"",(VLOOKUP($B86,'E-1 Off Site Hedge Baseline'!$B$1:$L$257,11,FALSE))))</f>
        <v/>
      </c>
      <c r="K86" s="520" t="str">
        <f>IF(B86="","",IF(ISNA(VLOOKUP($B86,'E-1 Off Site Hedge Baseline'!$B$1:$U$257,113,FALSE)),"",(VLOOKUP($B86,'E-1 Off Site Hedge Baseline'!$B$1:$U$257,13,FALSE))))</f>
        <v/>
      </c>
      <c r="L86" s="507" t="str">
        <f>IF(B86="","",IF(ISNA(VLOOKUP($B86,'E-1 Off Site Hedge Baseline'!$B$1:$U$257,12,FALSE)),"",(VLOOKUP($B86,'E-1 Off Site Hedge Baseline'!$B$1:$U$257,12,FALSE))))</f>
        <v/>
      </c>
      <c r="M86" s="418" t="str">
        <f t="shared" si="16"/>
        <v/>
      </c>
      <c r="N86" s="498" t="str">
        <f>IFERROR(IF(B86="","",INDEX('G-6 Hedgerow Data'!$AN$3:$AZ$15,MATCH(C86,'G-6 Hedgerow Data'!$AM$3:$AM$15,0),MATCH(M86,'G-6 Hedgerow Data'!$AN$2:$AZ$2,0))),"")</f>
        <v/>
      </c>
      <c r="O86" s="499" t="str">
        <f t="shared" si="10"/>
        <v/>
      </c>
      <c r="P86" s="505" t="str">
        <f>IF(B86="","",VLOOKUP(B86,'E-1 Off Site Hedge Baseline'!$B$10:T331,16,FALSE))</f>
        <v/>
      </c>
      <c r="Q86" s="498" t="str">
        <f>IF(M86="","",VLOOKUP(M86,'G-6 Hedgerow Data'!$B$2:$AG$15,2,FALSE))</f>
        <v/>
      </c>
      <c r="R86" s="499" t="str">
        <f>IF(M86="","",VLOOKUP(M86,'G-6 Hedgerow Data'!$B$2:$AG$15,3,FALSE))</f>
        <v/>
      </c>
      <c r="S86" s="145"/>
      <c r="T86" s="499" t="str">
        <f>IFERROR(IF(AND(Q86="V.Low",OR(S86="Good",S86="Moderate")),"Error ▲",VLOOKUP(S86,'G-1 All Habitats'!$Z$2:$AA$9,2,FALSE)),"")</f>
        <v/>
      </c>
      <c r="U86" s="145"/>
      <c r="V86" s="507" t="str">
        <f>IF(U86="","",IF(VLOOKUP(U86,'G-3 Multipliers'!$L$3:$N$6,2,FALSE)=0,"Spatial Data Missing ⚠",VLOOKUP(U86,'G-3 Multipliers'!$L$3:$N$6,2,FALSE)))</f>
        <v/>
      </c>
      <c r="W86" s="505"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9"/>
        <v/>
      </c>
      <c r="AD86" s="537" t="str">
        <f>IF(M86="","",VLOOKUP(M86,'G-6 Hedgerow Data'!$B$3:$AG$15,31,FALSE))</f>
        <v/>
      </c>
      <c r="AE86" s="520" t="str">
        <f t="shared" si="13"/>
        <v/>
      </c>
      <c r="AF86" s="520" t="str">
        <f t="shared" si="14"/>
        <v/>
      </c>
      <c r="AG86" s="524" t="str">
        <f>IFERROR(IF(O86="","",VLOOKUP(AD86,'G-3 Multipliers'!$P$3:$Q$6,2,FALSE)),"")</f>
        <v/>
      </c>
      <c r="AH86" s="197"/>
      <c r="AI86" s="499" t="str">
        <f>IF(AH86="","",IF(VLOOKUP(AH86,'G-3 Multipliers'!$S$3:$T$6,2,FALSE)=0,"Spatial Data Missing ⚠",VLOOKUP(AH86,'G-3 Multipliers'!$S$3:$T$6,2,FALSE)))</f>
        <v/>
      </c>
      <c r="AJ86" s="545" t="str">
        <f t="shared" si="15"/>
        <v/>
      </c>
      <c r="AK86" s="149"/>
      <c r="AL86" s="150"/>
      <c r="AP86" s="31" t="str">
        <f>IFERROR(INDEX('G-6 Hedgerow Data'!$BJ$3:$BJ$15,MATCH(M86,'G-6 Hedgerow Data'!$B$3:$B$15,0)),"")</f>
        <v/>
      </c>
    </row>
    <row r="87" spans="2:42" ht="13.8" x14ac:dyDescent="0.25">
      <c r="B87" s="531" t="str">
        <f>'E-1 Off Site Hedge Baseline'!AK85</f>
        <v/>
      </c>
      <c r="C87" s="520" t="str">
        <f>IF(B87="","",IF(ISNA(VLOOKUP($B87,'E-1 Off Site Hedge Baseline'!$B$1:$L$257,3,FALSE)),"",(VLOOKUP($B87,'E-1 Off Site Hedge Baseline'!$B$1:$L$257,3,FALSE))))</f>
        <v/>
      </c>
      <c r="D87" s="520" t="str">
        <f>IF(B87="","",IF(ISNA(VLOOKUP($B87,'E-1 Off Site Hedge Baseline'!$B$1:$L$258,4,FALSE)),"",(VLOOKUP($B87,'E-1 Off Site Hedge Baseline'!$B$1:$L$258,4,FALSE))))</f>
        <v/>
      </c>
      <c r="E87" s="520" t="str">
        <f>IF(B87="","",IF(ISNA(VLOOKUP($B87,'E-1 Off Site Hedge Baseline'!$B$1:$L$257,5,FALSE)),"",(VLOOKUP($B87,'E-1 Off Site Hedge Baseline'!$B$1:$L$257,5,FALSE))))</f>
        <v/>
      </c>
      <c r="F87" s="520" t="str">
        <f>IF(B87="","",IF(ISNA(VLOOKUP($B87,'E-1 Off Site Hedge Baseline'!$B$1:$L$257,6,FALSE)),"",(VLOOKUP($B87,'E-1 Off Site Hedge Baseline'!$B$1:$L$257,6,FALSE))))</f>
        <v/>
      </c>
      <c r="G87" s="520" t="str">
        <f>IF(B87="","",IF(ISNA(VLOOKUP($B87,'E-1 Off Site Hedge Baseline'!$B$1:$L$257,7,FALSE)),"",(VLOOKUP($B87,'E-1 Off Site Hedge Baseline'!$B$1:$L$257,7,FALSE))))</f>
        <v/>
      </c>
      <c r="H87" s="520" t="str">
        <f>IF(B87="","",IF(ISNA(VLOOKUP($B87,'E-1 Off Site Hedge Baseline'!$B$1:$L$257,8,FALSE)),"",(VLOOKUP($B87,'E-1 Off Site Hedge Baseline'!$B$1:$L$257,8,FALSE))))</f>
        <v/>
      </c>
      <c r="I87" s="520" t="str">
        <f>IF(B87="","",IF(ISNA(VLOOKUP($B87,'E-1 Off Site Hedge Baseline'!$B$1:$L$257,10,FALSE)),"",(VLOOKUP($B87,'E-1 Off Site Hedge Baseline'!$B$1:$L$257,10,FALSE))))</f>
        <v/>
      </c>
      <c r="J87" s="520" t="str">
        <f>IF(B87="","",IF(ISNA(VLOOKUP($B87,'E-1 Off Site Hedge Baseline'!$B$1:$L$257,11,FALSE)),"",(VLOOKUP($B87,'E-1 Off Site Hedge Baseline'!$B$1:$L$257,11,FALSE))))</f>
        <v/>
      </c>
      <c r="K87" s="520" t="str">
        <f>IF(B87="","",IF(ISNA(VLOOKUP($B87,'E-1 Off Site Hedge Baseline'!$B$1:$U$257,113,FALSE)),"",(VLOOKUP($B87,'E-1 Off Site Hedge Baseline'!$B$1:$U$257,13,FALSE))))</f>
        <v/>
      </c>
      <c r="L87" s="507" t="str">
        <f>IF(B87="","",IF(ISNA(VLOOKUP($B87,'E-1 Off Site Hedge Baseline'!$B$1:$U$257,12,FALSE)),"",(VLOOKUP($B87,'E-1 Off Site Hedge Baseline'!$B$1:$U$257,12,FALSE))))</f>
        <v/>
      </c>
      <c r="M87" s="418" t="str">
        <f t="shared" si="16"/>
        <v/>
      </c>
      <c r="N87" s="498" t="str">
        <f>IFERROR(IF(B87="","",INDEX('G-6 Hedgerow Data'!$AN$3:$AZ$15,MATCH(C87,'G-6 Hedgerow Data'!$AM$3:$AM$15,0),MATCH(M87,'G-6 Hedgerow Data'!$AN$2:$AZ$2,0))),"")</f>
        <v/>
      </c>
      <c r="O87" s="499" t="str">
        <f t="shared" si="10"/>
        <v/>
      </c>
      <c r="P87" s="505" t="str">
        <f>IF(B87="","",VLOOKUP(B87,'E-1 Off Site Hedge Baseline'!$B$10:T332,16,FALSE))</f>
        <v/>
      </c>
      <c r="Q87" s="498" t="str">
        <f>IF(M87="","",VLOOKUP(M87,'G-6 Hedgerow Data'!$B$2:$AG$15,2,FALSE))</f>
        <v/>
      </c>
      <c r="R87" s="499" t="str">
        <f>IF(M87="","",VLOOKUP(M87,'G-6 Hedgerow Data'!$B$2:$AG$15,3,FALSE))</f>
        <v/>
      </c>
      <c r="S87" s="145"/>
      <c r="T87" s="499" t="str">
        <f>IFERROR(IF(AND(Q87="V.Low",OR(S87="Good",S87="Moderate")),"Error ▲",VLOOKUP(S87,'G-1 All Habitats'!$Z$2:$AA$9,2,FALSE)),"")</f>
        <v/>
      </c>
      <c r="U87" s="145"/>
      <c r="V87" s="507" t="str">
        <f>IF(U87="","",IF(VLOOKUP(U87,'G-3 Multipliers'!$L$3:$N$6,2,FALSE)=0,"Spatial Data Missing ⚠",VLOOKUP(U87,'G-3 Multipliers'!$L$3:$N$6,2,FALSE)))</f>
        <v/>
      </c>
      <c r="W87" s="505"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9"/>
        <v/>
      </c>
      <c r="AD87" s="537" t="str">
        <f>IF(M87="","",VLOOKUP(M87,'G-6 Hedgerow Data'!$B$3:$AG$15,31,FALSE))</f>
        <v/>
      </c>
      <c r="AE87" s="520" t="str">
        <f t="shared" si="13"/>
        <v/>
      </c>
      <c r="AF87" s="520" t="str">
        <f t="shared" si="14"/>
        <v/>
      </c>
      <c r="AG87" s="524" t="str">
        <f>IFERROR(IF(O87="","",VLOOKUP(AD87,'G-3 Multipliers'!$P$3:$Q$6,2,FALSE)),"")</f>
        <v/>
      </c>
      <c r="AH87" s="197"/>
      <c r="AI87" s="499" t="str">
        <f>IF(AH87="","",IF(VLOOKUP(AH87,'G-3 Multipliers'!$S$3:$T$6,2,FALSE)=0,"Spatial Data Missing ⚠",VLOOKUP(AH87,'G-3 Multipliers'!$S$3:$T$6,2,FALSE)))</f>
        <v/>
      </c>
      <c r="AJ87" s="545" t="str">
        <f t="shared" si="15"/>
        <v/>
      </c>
      <c r="AK87" s="149"/>
      <c r="AL87" s="150"/>
      <c r="AP87" s="31" t="str">
        <f>IFERROR(INDEX('G-6 Hedgerow Data'!$BJ$3:$BJ$15,MATCH(M87,'G-6 Hedgerow Data'!$B$3:$B$15,0)),"")</f>
        <v/>
      </c>
    </row>
    <row r="88" spans="2:42" ht="13.8" x14ac:dyDescent="0.25">
      <c r="B88" s="531" t="str">
        <f>'E-1 Off Site Hedge Baseline'!AK86</f>
        <v/>
      </c>
      <c r="C88" s="520" t="str">
        <f>IF(B88="","",IF(ISNA(VLOOKUP($B88,'E-1 Off Site Hedge Baseline'!$B$1:$L$257,3,FALSE)),"",(VLOOKUP($B88,'E-1 Off Site Hedge Baseline'!$B$1:$L$257,3,FALSE))))</f>
        <v/>
      </c>
      <c r="D88" s="520" t="str">
        <f>IF(B88="","",IF(ISNA(VLOOKUP($B88,'E-1 Off Site Hedge Baseline'!$B$1:$L$258,4,FALSE)),"",(VLOOKUP($B88,'E-1 Off Site Hedge Baseline'!$B$1:$L$258,4,FALSE))))</f>
        <v/>
      </c>
      <c r="E88" s="520" t="str">
        <f>IF(B88="","",IF(ISNA(VLOOKUP($B88,'E-1 Off Site Hedge Baseline'!$B$1:$L$257,5,FALSE)),"",(VLOOKUP($B88,'E-1 Off Site Hedge Baseline'!$B$1:$L$257,5,FALSE))))</f>
        <v/>
      </c>
      <c r="F88" s="520" t="str">
        <f>IF(B88="","",IF(ISNA(VLOOKUP($B88,'E-1 Off Site Hedge Baseline'!$B$1:$L$257,6,FALSE)),"",(VLOOKUP($B88,'E-1 Off Site Hedge Baseline'!$B$1:$L$257,6,FALSE))))</f>
        <v/>
      </c>
      <c r="G88" s="520" t="str">
        <f>IF(B88="","",IF(ISNA(VLOOKUP($B88,'E-1 Off Site Hedge Baseline'!$B$1:$L$257,7,FALSE)),"",(VLOOKUP($B88,'E-1 Off Site Hedge Baseline'!$B$1:$L$257,7,FALSE))))</f>
        <v/>
      </c>
      <c r="H88" s="520" t="str">
        <f>IF(B88="","",IF(ISNA(VLOOKUP($B88,'E-1 Off Site Hedge Baseline'!$B$1:$L$257,8,FALSE)),"",(VLOOKUP($B88,'E-1 Off Site Hedge Baseline'!$B$1:$L$257,8,FALSE))))</f>
        <v/>
      </c>
      <c r="I88" s="520" t="str">
        <f>IF(B88="","",IF(ISNA(VLOOKUP($B88,'E-1 Off Site Hedge Baseline'!$B$1:$L$257,10,FALSE)),"",(VLOOKUP($B88,'E-1 Off Site Hedge Baseline'!$B$1:$L$257,10,FALSE))))</f>
        <v/>
      </c>
      <c r="J88" s="520" t="str">
        <f>IF(B88="","",IF(ISNA(VLOOKUP($B88,'E-1 Off Site Hedge Baseline'!$B$1:$L$257,11,FALSE)),"",(VLOOKUP($B88,'E-1 Off Site Hedge Baseline'!$B$1:$L$257,11,FALSE))))</f>
        <v/>
      </c>
      <c r="K88" s="520" t="str">
        <f>IF(B88="","",IF(ISNA(VLOOKUP($B88,'E-1 Off Site Hedge Baseline'!$B$1:$U$257,113,FALSE)),"",(VLOOKUP($B88,'E-1 Off Site Hedge Baseline'!$B$1:$U$257,13,FALSE))))</f>
        <v/>
      </c>
      <c r="L88" s="507" t="str">
        <f>IF(B88="","",IF(ISNA(VLOOKUP($B88,'E-1 Off Site Hedge Baseline'!$B$1:$U$257,12,FALSE)),"",(VLOOKUP($B88,'E-1 Off Site Hedge Baseline'!$B$1:$U$257,12,FALSE))))</f>
        <v/>
      </c>
      <c r="M88" s="418" t="str">
        <f t="shared" si="16"/>
        <v/>
      </c>
      <c r="N88" s="498" t="str">
        <f>IFERROR(IF(B88="","",INDEX('G-6 Hedgerow Data'!$AN$3:$AZ$15,MATCH(C88,'G-6 Hedgerow Data'!$AM$3:$AM$15,0),MATCH(M88,'G-6 Hedgerow Data'!$AN$2:$AZ$2,0))),"")</f>
        <v/>
      </c>
      <c r="O88" s="499" t="str">
        <f t="shared" si="10"/>
        <v/>
      </c>
      <c r="P88" s="505" t="str">
        <f>IF(B88="","",VLOOKUP(B88,'E-1 Off Site Hedge Baseline'!$B$10:T333,16,FALSE))</f>
        <v/>
      </c>
      <c r="Q88" s="498" t="str">
        <f>IF(M88="","",VLOOKUP(M88,'G-6 Hedgerow Data'!$B$2:$AG$15,2,FALSE))</f>
        <v/>
      </c>
      <c r="R88" s="499" t="str">
        <f>IF(M88="","",VLOOKUP(M88,'G-6 Hedgerow Data'!$B$2:$AG$15,3,FALSE))</f>
        <v/>
      </c>
      <c r="S88" s="145"/>
      <c r="T88" s="499" t="str">
        <f>IFERROR(IF(AND(Q88="V.Low",OR(S88="Good",S88="Moderate")),"Error ▲",VLOOKUP(S88,'G-1 All Habitats'!$Z$2:$AA$9,2,FALSE)),"")</f>
        <v/>
      </c>
      <c r="U88" s="145"/>
      <c r="V88" s="507" t="str">
        <f>IF(U88="","",IF(VLOOKUP(U88,'G-3 Multipliers'!$L$3:$N$6,2,FALSE)=0,"Spatial Data Missing ⚠",VLOOKUP(U88,'G-3 Multipliers'!$L$3:$N$6,2,FALSE)))</f>
        <v/>
      </c>
      <c r="W88" s="505"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9"/>
        <v/>
      </c>
      <c r="AD88" s="537" t="str">
        <f>IF(M88="","",VLOOKUP(M88,'G-6 Hedgerow Data'!$B$3:$AG$15,31,FALSE))</f>
        <v/>
      </c>
      <c r="AE88" s="520" t="str">
        <f t="shared" si="13"/>
        <v/>
      </c>
      <c r="AF88" s="520" t="str">
        <f t="shared" si="14"/>
        <v/>
      </c>
      <c r="AG88" s="524" t="str">
        <f>IFERROR(IF(O88="","",VLOOKUP(AD88,'G-3 Multipliers'!$P$3:$Q$6,2,FALSE)),"")</f>
        <v/>
      </c>
      <c r="AH88" s="197"/>
      <c r="AI88" s="499" t="str">
        <f>IF(AH88="","",IF(VLOOKUP(AH88,'G-3 Multipliers'!$S$3:$T$6,2,FALSE)=0,"Spatial Data Missing ⚠",VLOOKUP(AH88,'G-3 Multipliers'!$S$3:$T$6,2,FALSE)))</f>
        <v/>
      </c>
      <c r="AJ88" s="545" t="str">
        <f t="shared" si="15"/>
        <v/>
      </c>
      <c r="AK88" s="149"/>
      <c r="AL88" s="150"/>
      <c r="AP88" s="31" t="str">
        <f>IFERROR(INDEX('G-6 Hedgerow Data'!$BJ$3:$BJ$15,MATCH(M88,'G-6 Hedgerow Data'!$B$3:$B$15,0)),"")</f>
        <v/>
      </c>
    </row>
    <row r="89" spans="2:42" ht="13.8" x14ac:dyDescent="0.25">
      <c r="B89" s="531" t="str">
        <f>'E-1 Off Site Hedge Baseline'!AK87</f>
        <v/>
      </c>
      <c r="C89" s="520" t="str">
        <f>IF(B89="","",IF(ISNA(VLOOKUP($B89,'E-1 Off Site Hedge Baseline'!$B$1:$L$257,3,FALSE)),"",(VLOOKUP($B89,'E-1 Off Site Hedge Baseline'!$B$1:$L$257,3,FALSE))))</f>
        <v/>
      </c>
      <c r="D89" s="520" t="str">
        <f>IF(B89="","",IF(ISNA(VLOOKUP($B89,'E-1 Off Site Hedge Baseline'!$B$1:$L$258,4,FALSE)),"",(VLOOKUP($B89,'E-1 Off Site Hedge Baseline'!$B$1:$L$258,4,FALSE))))</f>
        <v/>
      </c>
      <c r="E89" s="520" t="str">
        <f>IF(B89="","",IF(ISNA(VLOOKUP($B89,'E-1 Off Site Hedge Baseline'!$B$1:$L$257,5,FALSE)),"",(VLOOKUP($B89,'E-1 Off Site Hedge Baseline'!$B$1:$L$257,5,FALSE))))</f>
        <v/>
      </c>
      <c r="F89" s="520" t="str">
        <f>IF(B89="","",IF(ISNA(VLOOKUP($B89,'E-1 Off Site Hedge Baseline'!$B$1:$L$257,6,FALSE)),"",(VLOOKUP($B89,'E-1 Off Site Hedge Baseline'!$B$1:$L$257,6,FALSE))))</f>
        <v/>
      </c>
      <c r="G89" s="520" t="str">
        <f>IF(B89="","",IF(ISNA(VLOOKUP($B89,'E-1 Off Site Hedge Baseline'!$B$1:$L$257,7,FALSE)),"",(VLOOKUP($B89,'E-1 Off Site Hedge Baseline'!$B$1:$L$257,7,FALSE))))</f>
        <v/>
      </c>
      <c r="H89" s="520" t="str">
        <f>IF(B89="","",IF(ISNA(VLOOKUP($B89,'E-1 Off Site Hedge Baseline'!$B$1:$L$257,8,FALSE)),"",(VLOOKUP($B89,'E-1 Off Site Hedge Baseline'!$B$1:$L$257,8,FALSE))))</f>
        <v/>
      </c>
      <c r="I89" s="520" t="str">
        <f>IF(B89="","",IF(ISNA(VLOOKUP($B89,'E-1 Off Site Hedge Baseline'!$B$1:$L$257,10,FALSE)),"",(VLOOKUP($B89,'E-1 Off Site Hedge Baseline'!$B$1:$L$257,10,FALSE))))</f>
        <v/>
      </c>
      <c r="J89" s="520" t="str">
        <f>IF(B89="","",IF(ISNA(VLOOKUP($B89,'E-1 Off Site Hedge Baseline'!$B$1:$L$257,11,FALSE)),"",(VLOOKUP($B89,'E-1 Off Site Hedge Baseline'!$B$1:$L$257,11,FALSE))))</f>
        <v/>
      </c>
      <c r="K89" s="520" t="str">
        <f>IF(B89="","",IF(ISNA(VLOOKUP($B89,'E-1 Off Site Hedge Baseline'!$B$1:$U$257,113,FALSE)),"",(VLOOKUP($B89,'E-1 Off Site Hedge Baseline'!$B$1:$U$257,13,FALSE))))</f>
        <v/>
      </c>
      <c r="L89" s="507" t="str">
        <f>IF(B89="","",IF(ISNA(VLOOKUP($B89,'E-1 Off Site Hedge Baseline'!$B$1:$U$257,12,FALSE)),"",(VLOOKUP($B89,'E-1 Off Site Hedge Baseline'!$B$1:$U$257,12,FALSE))))</f>
        <v/>
      </c>
      <c r="M89" s="418" t="str">
        <f t="shared" si="16"/>
        <v/>
      </c>
      <c r="N89" s="498" t="str">
        <f>IFERROR(IF(B89="","",INDEX('G-6 Hedgerow Data'!$AN$3:$AZ$15,MATCH(C89,'G-6 Hedgerow Data'!$AM$3:$AM$15,0),MATCH(M89,'G-6 Hedgerow Data'!$AN$2:$AZ$2,0))),"")</f>
        <v/>
      </c>
      <c r="O89" s="499" t="str">
        <f t="shared" si="10"/>
        <v/>
      </c>
      <c r="P89" s="505" t="str">
        <f>IF(B89="","",VLOOKUP(B89,'E-1 Off Site Hedge Baseline'!$B$10:T334,16,FALSE))</f>
        <v/>
      </c>
      <c r="Q89" s="498" t="str">
        <f>IF(M89="","",VLOOKUP(M89,'G-6 Hedgerow Data'!$B$2:$AG$15,2,FALSE))</f>
        <v/>
      </c>
      <c r="R89" s="499" t="str">
        <f>IF(M89="","",VLOOKUP(M89,'G-6 Hedgerow Data'!$B$2:$AG$15,3,FALSE))</f>
        <v/>
      </c>
      <c r="S89" s="145"/>
      <c r="T89" s="499" t="str">
        <f>IFERROR(IF(AND(Q89="V.Low",OR(S89="Good",S89="Moderate")),"Error ▲",VLOOKUP(S89,'G-1 All Habitats'!$Z$2:$AA$9,2,FALSE)),"")</f>
        <v/>
      </c>
      <c r="U89" s="145"/>
      <c r="V89" s="507" t="str">
        <f>IF(U89="","",IF(VLOOKUP(U89,'G-3 Multipliers'!$L$3:$N$6,2,FALSE)=0,"Spatial Data Missing ⚠",VLOOKUP(U89,'G-3 Multipliers'!$L$3:$N$6,2,FALSE)))</f>
        <v/>
      </c>
      <c r="W89" s="505"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9"/>
        <v/>
      </c>
      <c r="AD89" s="537" t="str">
        <f>IF(M89="","",VLOOKUP(M89,'G-6 Hedgerow Data'!$B$3:$AG$15,31,FALSE))</f>
        <v/>
      </c>
      <c r="AE89" s="520" t="str">
        <f t="shared" si="13"/>
        <v/>
      </c>
      <c r="AF89" s="520" t="str">
        <f t="shared" si="14"/>
        <v/>
      </c>
      <c r="AG89" s="524" t="str">
        <f>IFERROR(IF(O89="","",VLOOKUP(AD89,'G-3 Multipliers'!$P$3:$Q$6,2,FALSE)),"")</f>
        <v/>
      </c>
      <c r="AH89" s="197"/>
      <c r="AI89" s="499" t="str">
        <f>IF(AH89="","",IF(VLOOKUP(AH89,'G-3 Multipliers'!$S$3:$T$6,2,FALSE)=0,"Spatial Data Missing ⚠",VLOOKUP(AH89,'G-3 Multipliers'!$S$3:$T$6,2,FALSE)))</f>
        <v/>
      </c>
      <c r="AJ89" s="545" t="str">
        <f t="shared" si="15"/>
        <v/>
      </c>
      <c r="AK89" s="149"/>
      <c r="AL89" s="150"/>
      <c r="AP89" s="31" t="str">
        <f>IFERROR(INDEX('G-6 Hedgerow Data'!$BJ$3:$BJ$15,MATCH(M89,'G-6 Hedgerow Data'!$B$3:$B$15,0)),"")</f>
        <v/>
      </c>
    </row>
    <row r="90" spans="2:42" ht="13.8" x14ac:dyDescent="0.25">
      <c r="B90" s="531" t="str">
        <f>'E-1 Off Site Hedge Baseline'!AK88</f>
        <v/>
      </c>
      <c r="C90" s="520" t="str">
        <f>IF(B90="","",IF(ISNA(VLOOKUP($B90,'E-1 Off Site Hedge Baseline'!$B$1:$L$257,3,FALSE)),"",(VLOOKUP($B90,'E-1 Off Site Hedge Baseline'!$B$1:$L$257,3,FALSE))))</f>
        <v/>
      </c>
      <c r="D90" s="520" t="str">
        <f>IF(B90="","",IF(ISNA(VLOOKUP($B90,'E-1 Off Site Hedge Baseline'!$B$1:$L$258,4,FALSE)),"",(VLOOKUP($B90,'E-1 Off Site Hedge Baseline'!$B$1:$L$258,4,FALSE))))</f>
        <v/>
      </c>
      <c r="E90" s="520" t="str">
        <f>IF(B90="","",IF(ISNA(VLOOKUP($B90,'E-1 Off Site Hedge Baseline'!$B$1:$L$257,5,FALSE)),"",(VLOOKUP($B90,'E-1 Off Site Hedge Baseline'!$B$1:$L$257,5,FALSE))))</f>
        <v/>
      </c>
      <c r="F90" s="520" t="str">
        <f>IF(B90="","",IF(ISNA(VLOOKUP($B90,'E-1 Off Site Hedge Baseline'!$B$1:$L$257,6,FALSE)),"",(VLOOKUP($B90,'E-1 Off Site Hedge Baseline'!$B$1:$L$257,6,FALSE))))</f>
        <v/>
      </c>
      <c r="G90" s="520" t="str">
        <f>IF(B90="","",IF(ISNA(VLOOKUP($B90,'E-1 Off Site Hedge Baseline'!$B$1:$L$257,7,FALSE)),"",(VLOOKUP($B90,'E-1 Off Site Hedge Baseline'!$B$1:$L$257,7,FALSE))))</f>
        <v/>
      </c>
      <c r="H90" s="520" t="str">
        <f>IF(B90="","",IF(ISNA(VLOOKUP($B90,'E-1 Off Site Hedge Baseline'!$B$1:$L$257,8,FALSE)),"",(VLOOKUP($B90,'E-1 Off Site Hedge Baseline'!$B$1:$L$257,8,FALSE))))</f>
        <v/>
      </c>
      <c r="I90" s="520" t="str">
        <f>IF(B90="","",IF(ISNA(VLOOKUP($B90,'E-1 Off Site Hedge Baseline'!$B$1:$L$257,10,FALSE)),"",(VLOOKUP($B90,'E-1 Off Site Hedge Baseline'!$B$1:$L$257,10,FALSE))))</f>
        <v/>
      </c>
      <c r="J90" s="520" t="str">
        <f>IF(B90="","",IF(ISNA(VLOOKUP($B90,'E-1 Off Site Hedge Baseline'!$B$1:$L$257,11,FALSE)),"",(VLOOKUP($B90,'E-1 Off Site Hedge Baseline'!$B$1:$L$257,11,FALSE))))</f>
        <v/>
      </c>
      <c r="K90" s="520" t="str">
        <f>IF(B90="","",IF(ISNA(VLOOKUP($B90,'E-1 Off Site Hedge Baseline'!$B$1:$U$257,113,FALSE)),"",(VLOOKUP($B90,'E-1 Off Site Hedge Baseline'!$B$1:$U$257,13,FALSE))))</f>
        <v/>
      </c>
      <c r="L90" s="507" t="str">
        <f>IF(B90="","",IF(ISNA(VLOOKUP($B90,'E-1 Off Site Hedge Baseline'!$B$1:$U$257,12,FALSE)),"",(VLOOKUP($B90,'E-1 Off Site Hedge Baseline'!$B$1:$U$257,12,FALSE))))</f>
        <v/>
      </c>
      <c r="M90" s="418" t="str">
        <f t="shared" si="16"/>
        <v/>
      </c>
      <c r="N90" s="498" t="str">
        <f>IFERROR(IF(B90="","",INDEX('G-6 Hedgerow Data'!$AN$3:$AZ$15,MATCH(C90,'G-6 Hedgerow Data'!$AM$3:$AM$15,0),MATCH(M90,'G-6 Hedgerow Data'!$AN$2:$AZ$2,0))),"")</f>
        <v/>
      </c>
      <c r="O90" s="499" t="str">
        <f t="shared" si="10"/>
        <v/>
      </c>
      <c r="P90" s="505" t="str">
        <f>IF(B90="","",VLOOKUP(B90,'E-1 Off Site Hedge Baseline'!$B$10:T335,16,FALSE))</f>
        <v/>
      </c>
      <c r="Q90" s="498" t="str">
        <f>IF(M90="","",VLOOKUP(M90,'G-6 Hedgerow Data'!$B$2:$AG$15,2,FALSE))</f>
        <v/>
      </c>
      <c r="R90" s="499" t="str">
        <f>IF(M90="","",VLOOKUP(M90,'G-6 Hedgerow Data'!$B$2:$AG$15,3,FALSE))</f>
        <v/>
      </c>
      <c r="S90" s="145"/>
      <c r="T90" s="499" t="str">
        <f>IFERROR(IF(AND(Q90="V.Low",OR(S90="Good",S90="Moderate")),"Error ▲",VLOOKUP(S90,'G-1 All Habitats'!$Z$2:$AA$9,2,FALSE)),"")</f>
        <v/>
      </c>
      <c r="U90" s="145"/>
      <c r="V90" s="507" t="str">
        <f>IF(U90="","",IF(VLOOKUP(U90,'G-3 Multipliers'!$L$3:$N$6,2,FALSE)=0,"Spatial Data Missing ⚠",VLOOKUP(U90,'G-3 Multipliers'!$L$3:$N$6,2,FALSE)))</f>
        <v/>
      </c>
      <c r="W90" s="505"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9"/>
        <v/>
      </c>
      <c r="AD90" s="537" t="str">
        <f>IF(M90="","",VLOOKUP(M90,'G-6 Hedgerow Data'!$B$3:$AG$15,31,FALSE))</f>
        <v/>
      </c>
      <c r="AE90" s="520" t="str">
        <f t="shared" si="13"/>
        <v/>
      </c>
      <c r="AF90" s="520" t="str">
        <f t="shared" si="14"/>
        <v/>
      </c>
      <c r="AG90" s="524" t="str">
        <f>IFERROR(IF(O90="","",VLOOKUP(AD90,'G-3 Multipliers'!$P$3:$Q$6,2,FALSE)),"")</f>
        <v/>
      </c>
      <c r="AH90" s="197"/>
      <c r="AI90" s="499" t="str">
        <f>IF(AH90="","",IF(VLOOKUP(AH90,'G-3 Multipliers'!$S$3:$T$6,2,FALSE)=0,"Spatial Data Missing ⚠",VLOOKUP(AH90,'G-3 Multipliers'!$S$3:$T$6,2,FALSE)))</f>
        <v/>
      </c>
      <c r="AJ90" s="545" t="str">
        <f t="shared" si="15"/>
        <v/>
      </c>
      <c r="AK90" s="149"/>
      <c r="AL90" s="150"/>
      <c r="AP90" s="31" t="str">
        <f>IFERROR(INDEX('G-6 Hedgerow Data'!$BJ$3:$BJ$15,MATCH(M90,'G-6 Hedgerow Data'!$B$3:$B$15,0)),"")</f>
        <v/>
      </c>
    </row>
    <row r="91" spans="2:42" ht="13.8" x14ac:dyDescent="0.25">
      <c r="B91" s="531" t="str">
        <f>'E-1 Off Site Hedge Baseline'!AK89</f>
        <v/>
      </c>
      <c r="C91" s="520" t="str">
        <f>IF(B91="","",IF(ISNA(VLOOKUP($B91,'E-1 Off Site Hedge Baseline'!$B$1:$L$257,3,FALSE)),"",(VLOOKUP($B91,'E-1 Off Site Hedge Baseline'!$B$1:$L$257,3,FALSE))))</f>
        <v/>
      </c>
      <c r="D91" s="520" t="str">
        <f>IF(B91="","",IF(ISNA(VLOOKUP($B91,'E-1 Off Site Hedge Baseline'!$B$1:$L$258,4,FALSE)),"",(VLOOKUP($B91,'E-1 Off Site Hedge Baseline'!$B$1:$L$258,4,FALSE))))</f>
        <v/>
      </c>
      <c r="E91" s="520" t="str">
        <f>IF(B91="","",IF(ISNA(VLOOKUP($B91,'E-1 Off Site Hedge Baseline'!$B$1:$L$257,5,FALSE)),"",(VLOOKUP($B91,'E-1 Off Site Hedge Baseline'!$B$1:$L$257,5,FALSE))))</f>
        <v/>
      </c>
      <c r="F91" s="520" t="str">
        <f>IF(B91="","",IF(ISNA(VLOOKUP($B91,'E-1 Off Site Hedge Baseline'!$B$1:$L$257,6,FALSE)),"",(VLOOKUP($B91,'E-1 Off Site Hedge Baseline'!$B$1:$L$257,6,FALSE))))</f>
        <v/>
      </c>
      <c r="G91" s="520" t="str">
        <f>IF(B91="","",IF(ISNA(VLOOKUP($B91,'E-1 Off Site Hedge Baseline'!$B$1:$L$257,7,FALSE)),"",(VLOOKUP($B91,'E-1 Off Site Hedge Baseline'!$B$1:$L$257,7,FALSE))))</f>
        <v/>
      </c>
      <c r="H91" s="520" t="str">
        <f>IF(B91="","",IF(ISNA(VLOOKUP($B91,'E-1 Off Site Hedge Baseline'!$B$1:$L$257,8,FALSE)),"",(VLOOKUP($B91,'E-1 Off Site Hedge Baseline'!$B$1:$L$257,8,FALSE))))</f>
        <v/>
      </c>
      <c r="I91" s="520" t="str">
        <f>IF(B91="","",IF(ISNA(VLOOKUP($B91,'E-1 Off Site Hedge Baseline'!$B$1:$L$257,10,FALSE)),"",(VLOOKUP($B91,'E-1 Off Site Hedge Baseline'!$B$1:$L$257,10,FALSE))))</f>
        <v/>
      </c>
      <c r="J91" s="520" t="str">
        <f>IF(B91="","",IF(ISNA(VLOOKUP($B91,'E-1 Off Site Hedge Baseline'!$B$1:$L$257,11,FALSE)),"",(VLOOKUP($B91,'E-1 Off Site Hedge Baseline'!$B$1:$L$257,11,FALSE))))</f>
        <v/>
      </c>
      <c r="K91" s="520" t="str">
        <f>IF(B91="","",IF(ISNA(VLOOKUP($B91,'E-1 Off Site Hedge Baseline'!$B$1:$U$257,113,FALSE)),"",(VLOOKUP($B91,'E-1 Off Site Hedge Baseline'!$B$1:$U$257,13,FALSE))))</f>
        <v/>
      </c>
      <c r="L91" s="507" t="str">
        <f>IF(B91="","",IF(ISNA(VLOOKUP($B91,'E-1 Off Site Hedge Baseline'!$B$1:$U$257,12,FALSE)),"",(VLOOKUP($B91,'E-1 Off Site Hedge Baseline'!$B$1:$U$257,12,FALSE))))</f>
        <v/>
      </c>
      <c r="M91" s="418" t="str">
        <f t="shared" si="16"/>
        <v/>
      </c>
      <c r="N91" s="498" t="str">
        <f>IFERROR(IF(B91="","",INDEX('G-6 Hedgerow Data'!$AN$3:$AZ$15,MATCH(C91,'G-6 Hedgerow Data'!$AM$3:$AM$15,0),MATCH(M91,'G-6 Hedgerow Data'!$AN$2:$AZ$2,0))),"")</f>
        <v/>
      </c>
      <c r="O91" s="499" t="str">
        <f t="shared" si="10"/>
        <v/>
      </c>
      <c r="P91" s="505" t="str">
        <f>IF(B91="","",VLOOKUP(B91,'E-1 Off Site Hedge Baseline'!$B$10:T336,16,FALSE))</f>
        <v/>
      </c>
      <c r="Q91" s="498" t="str">
        <f>IF(M91="","",VLOOKUP(M91,'G-6 Hedgerow Data'!$B$2:$AG$15,2,FALSE))</f>
        <v/>
      </c>
      <c r="R91" s="499" t="str">
        <f>IF(M91="","",VLOOKUP(M91,'G-6 Hedgerow Data'!$B$2:$AG$15,3,FALSE))</f>
        <v/>
      </c>
      <c r="S91" s="145"/>
      <c r="T91" s="499" t="str">
        <f>IFERROR(IF(AND(Q91="V.Low",OR(S91="Good",S91="Moderate")),"Error ▲",VLOOKUP(S91,'G-1 All Habitats'!$Z$2:$AA$9,2,FALSE)),"")</f>
        <v/>
      </c>
      <c r="U91" s="145"/>
      <c r="V91" s="507" t="str">
        <f>IF(U91="","",IF(VLOOKUP(U91,'G-3 Multipliers'!$L$3:$N$6,2,FALSE)=0,"Spatial Data Missing ⚠",VLOOKUP(U91,'G-3 Multipliers'!$L$3:$N$6,2,FALSE)))</f>
        <v/>
      </c>
      <c r="W91" s="505"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9"/>
        <v/>
      </c>
      <c r="AD91" s="537" t="str">
        <f>IF(M91="","",VLOOKUP(M91,'G-6 Hedgerow Data'!$B$3:$AG$15,31,FALSE))</f>
        <v/>
      </c>
      <c r="AE91" s="520" t="str">
        <f t="shared" si="13"/>
        <v/>
      </c>
      <c r="AF91" s="520" t="str">
        <f t="shared" si="14"/>
        <v/>
      </c>
      <c r="AG91" s="524" t="str">
        <f>IFERROR(IF(O91="","",VLOOKUP(AD91,'G-3 Multipliers'!$P$3:$Q$6,2,FALSE)),"")</f>
        <v/>
      </c>
      <c r="AH91" s="197"/>
      <c r="AI91" s="499" t="str">
        <f>IF(AH91="","",IF(VLOOKUP(AH91,'G-3 Multipliers'!$S$3:$T$6,2,FALSE)=0,"Spatial Data Missing ⚠",VLOOKUP(AH91,'G-3 Multipliers'!$S$3:$T$6,2,FALSE)))</f>
        <v/>
      </c>
      <c r="AJ91" s="545" t="str">
        <f t="shared" si="15"/>
        <v/>
      </c>
      <c r="AK91" s="149"/>
      <c r="AL91" s="150"/>
      <c r="AP91" s="31" t="str">
        <f>IFERROR(INDEX('G-6 Hedgerow Data'!$BJ$3:$BJ$15,MATCH(M91,'G-6 Hedgerow Data'!$B$3:$B$15,0)),"")</f>
        <v/>
      </c>
    </row>
    <row r="92" spans="2:42" ht="13.8" x14ac:dyDescent="0.25">
      <c r="B92" s="531" t="str">
        <f>'E-1 Off Site Hedge Baseline'!AK90</f>
        <v/>
      </c>
      <c r="C92" s="520" t="str">
        <f>IF(B92="","",IF(ISNA(VLOOKUP($B92,'E-1 Off Site Hedge Baseline'!$B$1:$L$257,3,FALSE)),"",(VLOOKUP($B92,'E-1 Off Site Hedge Baseline'!$B$1:$L$257,3,FALSE))))</f>
        <v/>
      </c>
      <c r="D92" s="520" t="str">
        <f>IF(B92="","",IF(ISNA(VLOOKUP($B92,'E-1 Off Site Hedge Baseline'!$B$1:$L$258,4,FALSE)),"",(VLOOKUP($B92,'E-1 Off Site Hedge Baseline'!$B$1:$L$258,4,FALSE))))</f>
        <v/>
      </c>
      <c r="E92" s="520" t="str">
        <f>IF(B92="","",IF(ISNA(VLOOKUP($B92,'E-1 Off Site Hedge Baseline'!$B$1:$L$257,5,FALSE)),"",(VLOOKUP($B92,'E-1 Off Site Hedge Baseline'!$B$1:$L$257,5,FALSE))))</f>
        <v/>
      </c>
      <c r="F92" s="520" t="str">
        <f>IF(B92="","",IF(ISNA(VLOOKUP($B92,'E-1 Off Site Hedge Baseline'!$B$1:$L$257,6,FALSE)),"",(VLOOKUP($B92,'E-1 Off Site Hedge Baseline'!$B$1:$L$257,6,FALSE))))</f>
        <v/>
      </c>
      <c r="G92" s="520" t="str">
        <f>IF(B92="","",IF(ISNA(VLOOKUP($B92,'E-1 Off Site Hedge Baseline'!$B$1:$L$257,7,FALSE)),"",(VLOOKUP($B92,'E-1 Off Site Hedge Baseline'!$B$1:$L$257,7,FALSE))))</f>
        <v/>
      </c>
      <c r="H92" s="520" t="str">
        <f>IF(B92="","",IF(ISNA(VLOOKUP($B92,'E-1 Off Site Hedge Baseline'!$B$1:$L$257,8,FALSE)),"",(VLOOKUP($B92,'E-1 Off Site Hedge Baseline'!$B$1:$L$257,8,FALSE))))</f>
        <v/>
      </c>
      <c r="I92" s="520" t="str">
        <f>IF(B92="","",IF(ISNA(VLOOKUP($B92,'E-1 Off Site Hedge Baseline'!$B$1:$L$257,10,FALSE)),"",(VLOOKUP($B92,'E-1 Off Site Hedge Baseline'!$B$1:$L$257,10,FALSE))))</f>
        <v/>
      </c>
      <c r="J92" s="520" t="str">
        <f>IF(B92="","",IF(ISNA(VLOOKUP($B92,'E-1 Off Site Hedge Baseline'!$B$1:$L$257,11,FALSE)),"",(VLOOKUP($B92,'E-1 Off Site Hedge Baseline'!$B$1:$L$257,11,FALSE))))</f>
        <v/>
      </c>
      <c r="K92" s="520" t="str">
        <f>IF(B92="","",IF(ISNA(VLOOKUP($B92,'E-1 Off Site Hedge Baseline'!$B$1:$U$257,113,FALSE)),"",(VLOOKUP($B92,'E-1 Off Site Hedge Baseline'!$B$1:$U$257,13,FALSE))))</f>
        <v/>
      </c>
      <c r="L92" s="507" t="str">
        <f>IF(B92="","",IF(ISNA(VLOOKUP($B92,'E-1 Off Site Hedge Baseline'!$B$1:$U$257,12,FALSE)),"",(VLOOKUP($B92,'E-1 Off Site Hedge Baseline'!$B$1:$U$257,12,FALSE))))</f>
        <v/>
      </c>
      <c r="M92" s="418" t="str">
        <f t="shared" si="16"/>
        <v/>
      </c>
      <c r="N92" s="498" t="str">
        <f>IFERROR(IF(B92="","",INDEX('G-6 Hedgerow Data'!$AN$3:$AZ$15,MATCH(C92,'G-6 Hedgerow Data'!$AM$3:$AM$15,0),MATCH(M92,'G-6 Hedgerow Data'!$AN$2:$AZ$2,0))),"")</f>
        <v/>
      </c>
      <c r="O92" s="499" t="str">
        <f t="shared" si="10"/>
        <v/>
      </c>
      <c r="P92" s="505" t="str">
        <f>IF(B92="","",VLOOKUP(B92,'E-1 Off Site Hedge Baseline'!$B$10:T337,16,FALSE))</f>
        <v/>
      </c>
      <c r="Q92" s="498" t="str">
        <f>IF(M92="","",VLOOKUP(M92,'G-6 Hedgerow Data'!$B$2:$AG$15,2,FALSE))</f>
        <v/>
      </c>
      <c r="R92" s="499" t="str">
        <f>IF(M92="","",VLOOKUP(M92,'G-6 Hedgerow Data'!$B$2:$AG$15,3,FALSE))</f>
        <v/>
      </c>
      <c r="S92" s="145"/>
      <c r="T92" s="499" t="str">
        <f>IFERROR(IF(AND(Q92="V.Low",OR(S92="Good",S92="Moderate")),"Error ▲",VLOOKUP(S92,'G-1 All Habitats'!$Z$2:$AA$9,2,FALSE)),"")</f>
        <v/>
      </c>
      <c r="U92" s="145"/>
      <c r="V92" s="507" t="str">
        <f>IF(U92="","",IF(VLOOKUP(U92,'G-3 Multipliers'!$L$3:$N$6,2,FALSE)=0,"Spatial Data Missing ⚠",VLOOKUP(U92,'G-3 Multipliers'!$L$3:$N$6,2,FALSE)))</f>
        <v/>
      </c>
      <c r="W92" s="505"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9"/>
        <v/>
      </c>
      <c r="AD92" s="537" t="str">
        <f>IF(M92="","",VLOOKUP(M92,'G-6 Hedgerow Data'!$B$3:$AG$15,31,FALSE))</f>
        <v/>
      </c>
      <c r="AE92" s="520" t="str">
        <f t="shared" si="13"/>
        <v/>
      </c>
      <c r="AF92" s="520" t="str">
        <f t="shared" si="14"/>
        <v/>
      </c>
      <c r="AG92" s="524" t="str">
        <f>IFERROR(IF(O92="","",VLOOKUP(AD92,'G-3 Multipliers'!$P$3:$Q$6,2,FALSE)),"")</f>
        <v/>
      </c>
      <c r="AH92" s="197"/>
      <c r="AI92" s="499" t="str">
        <f>IF(AH92="","",IF(VLOOKUP(AH92,'G-3 Multipliers'!$S$3:$T$6,2,FALSE)=0,"Spatial Data Missing ⚠",VLOOKUP(AH92,'G-3 Multipliers'!$S$3:$T$6,2,FALSE)))</f>
        <v/>
      </c>
      <c r="AJ92" s="545" t="str">
        <f t="shared" si="15"/>
        <v/>
      </c>
      <c r="AK92" s="149"/>
      <c r="AL92" s="150"/>
      <c r="AP92" s="31" t="str">
        <f>IFERROR(INDEX('G-6 Hedgerow Data'!$BJ$3:$BJ$15,MATCH(M92,'G-6 Hedgerow Data'!$B$3:$B$15,0)),"")</f>
        <v/>
      </c>
    </row>
    <row r="93" spans="2:42" ht="13.8" x14ac:dyDescent="0.25">
      <c r="B93" s="531" t="str">
        <f>'E-1 Off Site Hedge Baseline'!AK91</f>
        <v/>
      </c>
      <c r="C93" s="520" t="str">
        <f>IF(B93="","",IF(ISNA(VLOOKUP($B93,'E-1 Off Site Hedge Baseline'!$B$1:$L$257,3,FALSE)),"",(VLOOKUP($B93,'E-1 Off Site Hedge Baseline'!$B$1:$L$257,3,FALSE))))</f>
        <v/>
      </c>
      <c r="D93" s="520" t="str">
        <f>IF(B93="","",IF(ISNA(VLOOKUP($B93,'E-1 Off Site Hedge Baseline'!$B$1:$L$258,4,FALSE)),"",(VLOOKUP($B93,'E-1 Off Site Hedge Baseline'!$B$1:$L$258,4,FALSE))))</f>
        <v/>
      </c>
      <c r="E93" s="520" t="str">
        <f>IF(B93="","",IF(ISNA(VLOOKUP($B93,'E-1 Off Site Hedge Baseline'!$B$1:$L$257,5,FALSE)),"",(VLOOKUP($B93,'E-1 Off Site Hedge Baseline'!$B$1:$L$257,5,FALSE))))</f>
        <v/>
      </c>
      <c r="F93" s="520" t="str">
        <f>IF(B93="","",IF(ISNA(VLOOKUP($B93,'E-1 Off Site Hedge Baseline'!$B$1:$L$257,6,FALSE)),"",(VLOOKUP($B93,'E-1 Off Site Hedge Baseline'!$B$1:$L$257,6,FALSE))))</f>
        <v/>
      </c>
      <c r="G93" s="520" t="str">
        <f>IF(B93="","",IF(ISNA(VLOOKUP($B93,'E-1 Off Site Hedge Baseline'!$B$1:$L$257,7,FALSE)),"",(VLOOKUP($B93,'E-1 Off Site Hedge Baseline'!$B$1:$L$257,7,FALSE))))</f>
        <v/>
      </c>
      <c r="H93" s="520" t="str">
        <f>IF(B93="","",IF(ISNA(VLOOKUP($B93,'E-1 Off Site Hedge Baseline'!$B$1:$L$257,8,FALSE)),"",(VLOOKUP($B93,'E-1 Off Site Hedge Baseline'!$B$1:$L$257,8,FALSE))))</f>
        <v/>
      </c>
      <c r="I93" s="520" t="str">
        <f>IF(B93="","",IF(ISNA(VLOOKUP($B93,'E-1 Off Site Hedge Baseline'!$B$1:$L$257,10,FALSE)),"",(VLOOKUP($B93,'E-1 Off Site Hedge Baseline'!$B$1:$L$257,10,FALSE))))</f>
        <v/>
      </c>
      <c r="J93" s="520" t="str">
        <f>IF(B93="","",IF(ISNA(VLOOKUP($B93,'E-1 Off Site Hedge Baseline'!$B$1:$L$257,11,FALSE)),"",(VLOOKUP($B93,'E-1 Off Site Hedge Baseline'!$B$1:$L$257,11,FALSE))))</f>
        <v/>
      </c>
      <c r="K93" s="520" t="str">
        <f>IF(B93="","",IF(ISNA(VLOOKUP($B93,'E-1 Off Site Hedge Baseline'!$B$1:$U$257,113,FALSE)),"",(VLOOKUP($B93,'E-1 Off Site Hedge Baseline'!$B$1:$U$257,13,FALSE))))</f>
        <v/>
      </c>
      <c r="L93" s="507" t="str">
        <f>IF(B93="","",IF(ISNA(VLOOKUP($B93,'E-1 Off Site Hedge Baseline'!$B$1:$U$257,12,FALSE)),"",(VLOOKUP($B93,'E-1 Off Site Hedge Baseline'!$B$1:$U$257,12,FALSE))))</f>
        <v/>
      </c>
      <c r="M93" s="418" t="str">
        <f t="shared" si="16"/>
        <v/>
      </c>
      <c r="N93" s="498" t="str">
        <f>IFERROR(IF(B93="","",INDEX('G-6 Hedgerow Data'!$AN$3:$AZ$15,MATCH(C93,'G-6 Hedgerow Data'!$AM$3:$AM$15,0),MATCH(M93,'G-6 Hedgerow Data'!$AN$2:$AZ$2,0))),"")</f>
        <v/>
      </c>
      <c r="O93" s="499" t="str">
        <f t="shared" si="10"/>
        <v/>
      </c>
      <c r="P93" s="505" t="str">
        <f>IF(B93="","",VLOOKUP(B93,'E-1 Off Site Hedge Baseline'!$B$10:T338,16,FALSE))</f>
        <v/>
      </c>
      <c r="Q93" s="498" t="str">
        <f>IF(M93="","",VLOOKUP(M93,'G-6 Hedgerow Data'!$B$2:$AG$15,2,FALSE))</f>
        <v/>
      </c>
      <c r="R93" s="499" t="str">
        <f>IF(M93="","",VLOOKUP(M93,'G-6 Hedgerow Data'!$B$2:$AG$15,3,FALSE))</f>
        <v/>
      </c>
      <c r="S93" s="145"/>
      <c r="T93" s="499" t="str">
        <f>IFERROR(IF(AND(Q93="V.Low",OR(S93="Good",S93="Moderate")),"Error ▲",VLOOKUP(S93,'G-1 All Habitats'!$Z$2:$AA$9,2,FALSE)),"")</f>
        <v/>
      </c>
      <c r="U93" s="145"/>
      <c r="V93" s="507" t="str">
        <f>IF(U93="","",IF(VLOOKUP(U93,'G-3 Multipliers'!$L$3:$N$6,2,FALSE)=0,"Spatial Data Missing ⚠",VLOOKUP(U93,'G-3 Multipliers'!$L$3:$N$6,2,FALSE)))</f>
        <v/>
      </c>
      <c r="W93" s="505"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9"/>
        <v/>
      </c>
      <c r="AD93" s="537" t="str">
        <f>IF(M93="","",VLOOKUP(M93,'G-6 Hedgerow Data'!$B$3:$AG$15,31,FALSE))</f>
        <v/>
      </c>
      <c r="AE93" s="520" t="str">
        <f t="shared" si="13"/>
        <v/>
      </c>
      <c r="AF93" s="520" t="str">
        <f t="shared" si="14"/>
        <v/>
      </c>
      <c r="AG93" s="524" t="str">
        <f>IFERROR(IF(O93="","",VLOOKUP(AD93,'G-3 Multipliers'!$P$3:$Q$6,2,FALSE)),"")</f>
        <v/>
      </c>
      <c r="AH93" s="197"/>
      <c r="AI93" s="499" t="str">
        <f>IF(AH93="","",IF(VLOOKUP(AH93,'G-3 Multipliers'!$S$3:$T$6,2,FALSE)=0,"Spatial Data Missing ⚠",VLOOKUP(AH93,'G-3 Multipliers'!$S$3:$T$6,2,FALSE)))</f>
        <v/>
      </c>
      <c r="AJ93" s="545" t="str">
        <f t="shared" si="15"/>
        <v/>
      </c>
      <c r="AK93" s="149"/>
      <c r="AL93" s="150"/>
      <c r="AP93" s="31" t="str">
        <f>IFERROR(INDEX('G-6 Hedgerow Data'!$BJ$3:$BJ$15,MATCH(M93,'G-6 Hedgerow Data'!$B$3:$B$15,0)),"")</f>
        <v/>
      </c>
    </row>
    <row r="94" spans="2:42" ht="13.8" x14ac:dyDescent="0.25">
      <c r="B94" s="531" t="str">
        <f>'E-1 Off Site Hedge Baseline'!AK92</f>
        <v/>
      </c>
      <c r="C94" s="520" t="str">
        <f>IF(B94="","",IF(ISNA(VLOOKUP($B94,'E-1 Off Site Hedge Baseline'!$B$1:$L$257,3,FALSE)),"",(VLOOKUP($B94,'E-1 Off Site Hedge Baseline'!$B$1:$L$257,3,FALSE))))</f>
        <v/>
      </c>
      <c r="D94" s="520" t="str">
        <f>IF(B94="","",IF(ISNA(VLOOKUP($B94,'E-1 Off Site Hedge Baseline'!$B$1:$L$258,4,FALSE)),"",(VLOOKUP($B94,'E-1 Off Site Hedge Baseline'!$B$1:$L$258,4,FALSE))))</f>
        <v/>
      </c>
      <c r="E94" s="520" t="str">
        <f>IF(B94="","",IF(ISNA(VLOOKUP($B94,'E-1 Off Site Hedge Baseline'!$B$1:$L$257,5,FALSE)),"",(VLOOKUP($B94,'E-1 Off Site Hedge Baseline'!$B$1:$L$257,5,FALSE))))</f>
        <v/>
      </c>
      <c r="F94" s="520" t="str">
        <f>IF(B94="","",IF(ISNA(VLOOKUP($B94,'E-1 Off Site Hedge Baseline'!$B$1:$L$257,6,FALSE)),"",(VLOOKUP($B94,'E-1 Off Site Hedge Baseline'!$B$1:$L$257,6,FALSE))))</f>
        <v/>
      </c>
      <c r="G94" s="520" t="str">
        <f>IF(B94="","",IF(ISNA(VLOOKUP($B94,'E-1 Off Site Hedge Baseline'!$B$1:$L$257,7,FALSE)),"",(VLOOKUP($B94,'E-1 Off Site Hedge Baseline'!$B$1:$L$257,7,FALSE))))</f>
        <v/>
      </c>
      <c r="H94" s="520" t="str">
        <f>IF(B94="","",IF(ISNA(VLOOKUP($B94,'E-1 Off Site Hedge Baseline'!$B$1:$L$257,8,FALSE)),"",(VLOOKUP($B94,'E-1 Off Site Hedge Baseline'!$B$1:$L$257,8,FALSE))))</f>
        <v/>
      </c>
      <c r="I94" s="520" t="str">
        <f>IF(B94="","",IF(ISNA(VLOOKUP($B94,'E-1 Off Site Hedge Baseline'!$B$1:$L$257,10,FALSE)),"",(VLOOKUP($B94,'E-1 Off Site Hedge Baseline'!$B$1:$L$257,10,FALSE))))</f>
        <v/>
      </c>
      <c r="J94" s="520" t="str">
        <f>IF(B94="","",IF(ISNA(VLOOKUP($B94,'E-1 Off Site Hedge Baseline'!$B$1:$L$257,11,FALSE)),"",(VLOOKUP($B94,'E-1 Off Site Hedge Baseline'!$B$1:$L$257,11,FALSE))))</f>
        <v/>
      </c>
      <c r="K94" s="520" t="str">
        <f>IF(B94="","",IF(ISNA(VLOOKUP($B94,'E-1 Off Site Hedge Baseline'!$B$1:$U$257,113,FALSE)),"",(VLOOKUP($B94,'E-1 Off Site Hedge Baseline'!$B$1:$U$257,13,FALSE))))</f>
        <v/>
      </c>
      <c r="L94" s="507" t="str">
        <f>IF(B94="","",IF(ISNA(VLOOKUP($B94,'E-1 Off Site Hedge Baseline'!$B$1:$U$257,12,FALSE)),"",(VLOOKUP($B94,'E-1 Off Site Hedge Baseline'!$B$1:$U$257,12,FALSE))))</f>
        <v/>
      </c>
      <c r="M94" s="418" t="str">
        <f t="shared" si="16"/>
        <v/>
      </c>
      <c r="N94" s="498" t="str">
        <f>IFERROR(IF(B94="","",INDEX('G-6 Hedgerow Data'!$AN$3:$AZ$15,MATCH(C94,'G-6 Hedgerow Data'!$AM$3:$AM$15,0),MATCH(M94,'G-6 Hedgerow Data'!$AN$2:$AZ$2,0))),"")</f>
        <v/>
      </c>
      <c r="O94" s="499" t="str">
        <f t="shared" si="10"/>
        <v/>
      </c>
      <c r="P94" s="505" t="str">
        <f>IF(B94="","",VLOOKUP(B94,'E-1 Off Site Hedge Baseline'!$B$10:T339,16,FALSE))</f>
        <v/>
      </c>
      <c r="Q94" s="498" t="str">
        <f>IF(M94="","",VLOOKUP(M94,'G-6 Hedgerow Data'!$B$2:$AG$15,2,FALSE))</f>
        <v/>
      </c>
      <c r="R94" s="499" t="str">
        <f>IF(M94="","",VLOOKUP(M94,'G-6 Hedgerow Data'!$B$2:$AG$15,3,FALSE))</f>
        <v/>
      </c>
      <c r="S94" s="145"/>
      <c r="T94" s="499" t="str">
        <f>IFERROR(IF(AND(Q94="V.Low",OR(S94="Good",S94="Moderate")),"Error ▲",VLOOKUP(S94,'G-1 All Habitats'!$Z$2:$AA$9,2,FALSE)),"")</f>
        <v/>
      </c>
      <c r="U94" s="145"/>
      <c r="V94" s="507" t="str">
        <f>IF(U94="","",IF(VLOOKUP(U94,'G-3 Multipliers'!$L$3:$N$6,2,FALSE)=0,"Spatial Data Missing ⚠",VLOOKUP(U94,'G-3 Multipliers'!$L$3:$N$6,2,FALSE)))</f>
        <v/>
      </c>
      <c r="W94" s="505"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9"/>
        <v/>
      </c>
      <c r="AD94" s="537" t="str">
        <f>IF(M94="","",VLOOKUP(M94,'G-6 Hedgerow Data'!$B$3:$AG$15,31,FALSE))</f>
        <v/>
      </c>
      <c r="AE94" s="520" t="str">
        <f t="shared" si="13"/>
        <v/>
      </c>
      <c r="AF94" s="520" t="str">
        <f t="shared" si="14"/>
        <v/>
      </c>
      <c r="AG94" s="524" t="str">
        <f>IFERROR(IF(O94="","",VLOOKUP(AD94,'G-3 Multipliers'!$P$3:$Q$6,2,FALSE)),"")</f>
        <v/>
      </c>
      <c r="AH94" s="197"/>
      <c r="AI94" s="499" t="str">
        <f>IF(AH94="","",IF(VLOOKUP(AH94,'G-3 Multipliers'!$S$3:$T$6,2,FALSE)=0,"Spatial Data Missing ⚠",VLOOKUP(AH94,'G-3 Multipliers'!$S$3:$T$6,2,FALSE)))</f>
        <v/>
      </c>
      <c r="AJ94" s="545" t="str">
        <f t="shared" si="15"/>
        <v/>
      </c>
      <c r="AK94" s="149"/>
      <c r="AL94" s="150"/>
      <c r="AP94" s="31" t="str">
        <f>IFERROR(INDEX('G-6 Hedgerow Data'!$BJ$3:$BJ$15,MATCH(M94,'G-6 Hedgerow Data'!$B$3:$B$15,0)),"")</f>
        <v/>
      </c>
    </row>
    <row r="95" spans="2:42" ht="13.8" x14ac:dyDescent="0.25">
      <c r="B95" s="531" t="str">
        <f>'E-1 Off Site Hedge Baseline'!AK93</f>
        <v/>
      </c>
      <c r="C95" s="520" t="str">
        <f>IF(B95="","",IF(ISNA(VLOOKUP($B95,'E-1 Off Site Hedge Baseline'!$B$1:$L$257,3,FALSE)),"",(VLOOKUP($B95,'E-1 Off Site Hedge Baseline'!$B$1:$L$257,3,FALSE))))</f>
        <v/>
      </c>
      <c r="D95" s="520" t="str">
        <f>IF(B95="","",IF(ISNA(VLOOKUP($B95,'E-1 Off Site Hedge Baseline'!$B$1:$L$258,4,FALSE)),"",(VLOOKUP($B95,'E-1 Off Site Hedge Baseline'!$B$1:$L$258,4,FALSE))))</f>
        <v/>
      </c>
      <c r="E95" s="520" t="str">
        <f>IF(B95="","",IF(ISNA(VLOOKUP($B95,'E-1 Off Site Hedge Baseline'!$B$1:$L$257,5,FALSE)),"",(VLOOKUP($B95,'E-1 Off Site Hedge Baseline'!$B$1:$L$257,5,FALSE))))</f>
        <v/>
      </c>
      <c r="F95" s="520" t="str">
        <f>IF(B95="","",IF(ISNA(VLOOKUP($B95,'E-1 Off Site Hedge Baseline'!$B$1:$L$257,6,FALSE)),"",(VLOOKUP($B95,'E-1 Off Site Hedge Baseline'!$B$1:$L$257,6,FALSE))))</f>
        <v/>
      </c>
      <c r="G95" s="520" t="str">
        <f>IF(B95="","",IF(ISNA(VLOOKUP($B95,'E-1 Off Site Hedge Baseline'!$B$1:$L$257,7,FALSE)),"",(VLOOKUP($B95,'E-1 Off Site Hedge Baseline'!$B$1:$L$257,7,FALSE))))</f>
        <v/>
      </c>
      <c r="H95" s="520" t="str">
        <f>IF(B95="","",IF(ISNA(VLOOKUP($B95,'E-1 Off Site Hedge Baseline'!$B$1:$L$257,8,FALSE)),"",(VLOOKUP($B95,'E-1 Off Site Hedge Baseline'!$B$1:$L$257,8,FALSE))))</f>
        <v/>
      </c>
      <c r="I95" s="520" t="str">
        <f>IF(B95="","",IF(ISNA(VLOOKUP($B95,'E-1 Off Site Hedge Baseline'!$B$1:$L$257,10,FALSE)),"",(VLOOKUP($B95,'E-1 Off Site Hedge Baseline'!$B$1:$L$257,10,FALSE))))</f>
        <v/>
      </c>
      <c r="J95" s="520" t="str">
        <f>IF(B95="","",IF(ISNA(VLOOKUP($B95,'E-1 Off Site Hedge Baseline'!$B$1:$L$257,11,FALSE)),"",(VLOOKUP($B95,'E-1 Off Site Hedge Baseline'!$B$1:$L$257,11,FALSE))))</f>
        <v/>
      </c>
      <c r="K95" s="520" t="str">
        <f>IF(B95="","",IF(ISNA(VLOOKUP($B95,'E-1 Off Site Hedge Baseline'!$B$1:$U$257,113,FALSE)),"",(VLOOKUP($B95,'E-1 Off Site Hedge Baseline'!$B$1:$U$257,13,FALSE))))</f>
        <v/>
      </c>
      <c r="L95" s="507" t="str">
        <f>IF(B95="","",IF(ISNA(VLOOKUP($B95,'E-1 Off Site Hedge Baseline'!$B$1:$U$257,12,FALSE)),"",(VLOOKUP($B95,'E-1 Off Site Hedge Baseline'!$B$1:$U$257,12,FALSE))))</f>
        <v/>
      </c>
      <c r="M95" s="418" t="str">
        <f t="shared" si="16"/>
        <v/>
      </c>
      <c r="N95" s="498" t="str">
        <f>IFERROR(IF(B95="","",INDEX('G-6 Hedgerow Data'!$AN$3:$AZ$15,MATCH(C95,'G-6 Hedgerow Data'!$AM$3:$AM$15,0),MATCH(M95,'G-6 Hedgerow Data'!$AN$2:$AZ$2,0))),"")</f>
        <v/>
      </c>
      <c r="O95" s="499" t="str">
        <f t="shared" si="10"/>
        <v/>
      </c>
      <c r="P95" s="505" t="str">
        <f>IF(B95="","",VLOOKUP(B95,'E-1 Off Site Hedge Baseline'!$B$10:T340,16,FALSE))</f>
        <v/>
      </c>
      <c r="Q95" s="498" t="str">
        <f>IF(M95="","",VLOOKUP(M95,'G-6 Hedgerow Data'!$B$2:$AG$15,2,FALSE))</f>
        <v/>
      </c>
      <c r="R95" s="499" t="str">
        <f>IF(M95="","",VLOOKUP(M95,'G-6 Hedgerow Data'!$B$2:$AG$15,3,FALSE))</f>
        <v/>
      </c>
      <c r="S95" s="145"/>
      <c r="T95" s="499" t="str">
        <f>IFERROR(IF(AND(Q95="V.Low",OR(S95="Good",S95="Moderate")),"Error ▲",VLOOKUP(S95,'G-1 All Habitats'!$Z$2:$AA$9,2,FALSE)),"")</f>
        <v/>
      </c>
      <c r="U95" s="145"/>
      <c r="V95" s="507" t="str">
        <f>IF(U95="","",IF(VLOOKUP(U95,'G-3 Multipliers'!$L$3:$N$6,2,FALSE)=0,"Spatial Data Missing ⚠",VLOOKUP(U95,'G-3 Multipliers'!$L$3:$N$6,2,FALSE)))</f>
        <v/>
      </c>
      <c r="W95" s="505"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9"/>
        <v/>
      </c>
      <c r="AD95" s="537" t="str">
        <f>IF(M95="","",VLOOKUP(M95,'G-6 Hedgerow Data'!$B$3:$AG$15,31,FALSE))</f>
        <v/>
      </c>
      <c r="AE95" s="520" t="str">
        <f t="shared" si="13"/>
        <v/>
      </c>
      <c r="AF95" s="520" t="str">
        <f t="shared" si="14"/>
        <v/>
      </c>
      <c r="AG95" s="524" t="str">
        <f>IFERROR(IF(O95="","",VLOOKUP(AD95,'G-3 Multipliers'!$P$3:$Q$6,2,FALSE)),"")</f>
        <v/>
      </c>
      <c r="AH95" s="197"/>
      <c r="AI95" s="499" t="str">
        <f>IF(AH95="","",IF(VLOOKUP(AH95,'G-3 Multipliers'!$S$3:$T$6,2,FALSE)=0,"Spatial Data Missing ⚠",VLOOKUP(AH95,'G-3 Multipliers'!$S$3:$T$6,2,FALSE)))</f>
        <v/>
      </c>
      <c r="AJ95" s="545" t="str">
        <f t="shared" si="15"/>
        <v/>
      </c>
      <c r="AK95" s="149"/>
      <c r="AL95" s="150"/>
      <c r="AP95" s="31" t="str">
        <f>IFERROR(INDEX('G-6 Hedgerow Data'!$BJ$3:$BJ$15,MATCH(M95,'G-6 Hedgerow Data'!$B$3:$B$15,0)),"")</f>
        <v/>
      </c>
    </row>
    <row r="96" spans="2:42" ht="13.8" x14ac:dyDescent="0.25">
      <c r="B96" s="531" t="str">
        <f>'E-1 Off Site Hedge Baseline'!AK94</f>
        <v/>
      </c>
      <c r="C96" s="520" t="str">
        <f>IF(B96="","",IF(ISNA(VLOOKUP($B96,'E-1 Off Site Hedge Baseline'!$B$1:$L$257,3,FALSE)),"",(VLOOKUP($B96,'E-1 Off Site Hedge Baseline'!$B$1:$L$257,3,FALSE))))</f>
        <v/>
      </c>
      <c r="D96" s="520" t="str">
        <f>IF(B96="","",IF(ISNA(VLOOKUP($B96,'E-1 Off Site Hedge Baseline'!$B$1:$L$258,4,FALSE)),"",(VLOOKUP($B96,'E-1 Off Site Hedge Baseline'!$B$1:$L$258,4,FALSE))))</f>
        <v/>
      </c>
      <c r="E96" s="520" t="str">
        <f>IF(B96="","",IF(ISNA(VLOOKUP($B96,'E-1 Off Site Hedge Baseline'!$B$1:$L$257,5,FALSE)),"",(VLOOKUP($B96,'E-1 Off Site Hedge Baseline'!$B$1:$L$257,5,FALSE))))</f>
        <v/>
      </c>
      <c r="F96" s="520" t="str">
        <f>IF(B96="","",IF(ISNA(VLOOKUP($B96,'E-1 Off Site Hedge Baseline'!$B$1:$L$257,6,FALSE)),"",(VLOOKUP($B96,'E-1 Off Site Hedge Baseline'!$B$1:$L$257,6,FALSE))))</f>
        <v/>
      </c>
      <c r="G96" s="520" t="str">
        <f>IF(B96="","",IF(ISNA(VLOOKUP($B96,'E-1 Off Site Hedge Baseline'!$B$1:$L$257,7,FALSE)),"",(VLOOKUP($B96,'E-1 Off Site Hedge Baseline'!$B$1:$L$257,7,FALSE))))</f>
        <v/>
      </c>
      <c r="H96" s="520" t="str">
        <f>IF(B96="","",IF(ISNA(VLOOKUP($B96,'E-1 Off Site Hedge Baseline'!$B$1:$L$257,8,FALSE)),"",(VLOOKUP($B96,'E-1 Off Site Hedge Baseline'!$B$1:$L$257,8,FALSE))))</f>
        <v/>
      </c>
      <c r="I96" s="520" t="str">
        <f>IF(B96="","",IF(ISNA(VLOOKUP($B96,'E-1 Off Site Hedge Baseline'!$B$1:$L$257,10,FALSE)),"",(VLOOKUP($B96,'E-1 Off Site Hedge Baseline'!$B$1:$L$257,10,FALSE))))</f>
        <v/>
      </c>
      <c r="J96" s="520" t="str">
        <f>IF(B96="","",IF(ISNA(VLOOKUP($B96,'E-1 Off Site Hedge Baseline'!$B$1:$L$257,11,FALSE)),"",(VLOOKUP($B96,'E-1 Off Site Hedge Baseline'!$B$1:$L$257,11,FALSE))))</f>
        <v/>
      </c>
      <c r="K96" s="520" t="str">
        <f>IF(B96="","",IF(ISNA(VLOOKUP($B96,'E-1 Off Site Hedge Baseline'!$B$1:$U$257,113,FALSE)),"",(VLOOKUP($B96,'E-1 Off Site Hedge Baseline'!$B$1:$U$257,13,FALSE))))</f>
        <v/>
      </c>
      <c r="L96" s="507" t="str">
        <f>IF(B96="","",IF(ISNA(VLOOKUP($B96,'E-1 Off Site Hedge Baseline'!$B$1:$U$257,12,FALSE)),"",(VLOOKUP($B96,'E-1 Off Site Hedge Baseline'!$B$1:$U$257,12,FALSE))))</f>
        <v/>
      </c>
      <c r="M96" s="418" t="str">
        <f t="shared" si="16"/>
        <v/>
      </c>
      <c r="N96" s="498" t="str">
        <f>IFERROR(IF(B96="","",INDEX('G-6 Hedgerow Data'!$AN$3:$AZ$15,MATCH(C96,'G-6 Hedgerow Data'!$AM$3:$AM$15,0),MATCH(M96,'G-6 Hedgerow Data'!$AN$2:$AZ$2,0))),"")</f>
        <v/>
      </c>
      <c r="O96" s="499" t="str">
        <f t="shared" si="10"/>
        <v/>
      </c>
      <c r="P96" s="505" t="str">
        <f>IF(B96="","",VLOOKUP(B96,'E-1 Off Site Hedge Baseline'!$B$10:T341,16,FALSE))</f>
        <v/>
      </c>
      <c r="Q96" s="498" t="str">
        <f>IF(M96="","",VLOOKUP(M96,'G-6 Hedgerow Data'!$B$2:$AG$15,2,FALSE))</f>
        <v/>
      </c>
      <c r="R96" s="499" t="str">
        <f>IF(M96="","",VLOOKUP(M96,'G-6 Hedgerow Data'!$B$2:$AG$15,3,FALSE))</f>
        <v/>
      </c>
      <c r="S96" s="145"/>
      <c r="T96" s="499" t="str">
        <f>IFERROR(IF(AND(Q96="V.Low",OR(S96="Good",S96="Moderate")),"Error ▲",VLOOKUP(S96,'G-1 All Habitats'!$Z$2:$AA$9,2,FALSE)),"")</f>
        <v/>
      </c>
      <c r="U96" s="145"/>
      <c r="V96" s="507" t="str">
        <f>IF(U96="","",IF(VLOOKUP(U96,'G-3 Multipliers'!$L$3:$N$6,2,FALSE)=0,"Spatial Data Missing ⚠",VLOOKUP(U96,'G-3 Multipliers'!$L$3:$N$6,2,FALSE)))</f>
        <v/>
      </c>
      <c r="W96" s="505"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9"/>
        <v/>
      </c>
      <c r="AD96" s="537" t="str">
        <f>IF(M96="","",VLOOKUP(M96,'G-6 Hedgerow Data'!$B$3:$AG$15,31,FALSE))</f>
        <v/>
      </c>
      <c r="AE96" s="520" t="str">
        <f t="shared" si="13"/>
        <v/>
      </c>
      <c r="AF96" s="520" t="str">
        <f t="shared" si="14"/>
        <v/>
      </c>
      <c r="AG96" s="524" t="str">
        <f>IFERROR(IF(O96="","",VLOOKUP(AD96,'G-3 Multipliers'!$P$3:$Q$6,2,FALSE)),"")</f>
        <v/>
      </c>
      <c r="AH96" s="197"/>
      <c r="AI96" s="499" t="str">
        <f>IF(AH96="","",IF(VLOOKUP(AH96,'G-3 Multipliers'!$S$3:$T$6,2,FALSE)=0,"Spatial Data Missing ⚠",VLOOKUP(AH96,'G-3 Multipliers'!$S$3:$T$6,2,FALSE)))</f>
        <v/>
      </c>
      <c r="AJ96" s="545" t="str">
        <f t="shared" si="15"/>
        <v/>
      </c>
      <c r="AK96" s="149"/>
      <c r="AL96" s="150"/>
      <c r="AP96" s="31" t="str">
        <f>IFERROR(INDEX('G-6 Hedgerow Data'!$BJ$3:$BJ$15,MATCH(M96,'G-6 Hedgerow Data'!$B$3:$B$15,0)),"")</f>
        <v/>
      </c>
    </row>
    <row r="97" spans="2:42" ht="13.8" x14ac:dyDescent="0.25">
      <c r="B97" s="531" t="str">
        <f>'E-1 Off Site Hedge Baseline'!AK95</f>
        <v/>
      </c>
      <c r="C97" s="520" t="str">
        <f>IF(B97="","",IF(ISNA(VLOOKUP($B97,'E-1 Off Site Hedge Baseline'!$B$1:$L$257,3,FALSE)),"",(VLOOKUP($B97,'E-1 Off Site Hedge Baseline'!$B$1:$L$257,3,FALSE))))</f>
        <v/>
      </c>
      <c r="D97" s="520" t="str">
        <f>IF(B97="","",IF(ISNA(VLOOKUP($B97,'E-1 Off Site Hedge Baseline'!$B$1:$L$258,4,FALSE)),"",(VLOOKUP($B97,'E-1 Off Site Hedge Baseline'!$B$1:$L$258,4,FALSE))))</f>
        <v/>
      </c>
      <c r="E97" s="520" t="str">
        <f>IF(B97="","",IF(ISNA(VLOOKUP($B97,'E-1 Off Site Hedge Baseline'!$B$1:$L$257,5,FALSE)),"",(VLOOKUP($B97,'E-1 Off Site Hedge Baseline'!$B$1:$L$257,5,FALSE))))</f>
        <v/>
      </c>
      <c r="F97" s="520" t="str">
        <f>IF(B97="","",IF(ISNA(VLOOKUP($B97,'E-1 Off Site Hedge Baseline'!$B$1:$L$257,6,FALSE)),"",(VLOOKUP($B97,'E-1 Off Site Hedge Baseline'!$B$1:$L$257,6,FALSE))))</f>
        <v/>
      </c>
      <c r="G97" s="520" t="str">
        <f>IF(B97="","",IF(ISNA(VLOOKUP($B97,'E-1 Off Site Hedge Baseline'!$B$1:$L$257,7,FALSE)),"",(VLOOKUP($B97,'E-1 Off Site Hedge Baseline'!$B$1:$L$257,7,FALSE))))</f>
        <v/>
      </c>
      <c r="H97" s="520" t="str">
        <f>IF(B97="","",IF(ISNA(VLOOKUP($B97,'E-1 Off Site Hedge Baseline'!$B$1:$L$257,8,FALSE)),"",(VLOOKUP($B97,'E-1 Off Site Hedge Baseline'!$B$1:$L$257,8,FALSE))))</f>
        <v/>
      </c>
      <c r="I97" s="520" t="str">
        <f>IF(B97="","",IF(ISNA(VLOOKUP($B97,'E-1 Off Site Hedge Baseline'!$B$1:$L$257,10,FALSE)),"",(VLOOKUP($B97,'E-1 Off Site Hedge Baseline'!$B$1:$L$257,10,FALSE))))</f>
        <v/>
      </c>
      <c r="J97" s="520" t="str">
        <f>IF(B97="","",IF(ISNA(VLOOKUP($B97,'E-1 Off Site Hedge Baseline'!$B$1:$L$257,11,FALSE)),"",(VLOOKUP($B97,'E-1 Off Site Hedge Baseline'!$B$1:$L$257,11,FALSE))))</f>
        <v/>
      </c>
      <c r="K97" s="520" t="str">
        <f>IF(B97="","",IF(ISNA(VLOOKUP($B97,'E-1 Off Site Hedge Baseline'!$B$1:$U$257,113,FALSE)),"",(VLOOKUP($B97,'E-1 Off Site Hedge Baseline'!$B$1:$U$257,13,FALSE))))</f>
        <v/>
      </c>
      <c r="L97" s="507" t="str">
        <f>IF(B97="","",IF(ISNA(VLOOKUP($B97,'E-1 Off Site Hedge Baseline'!$B$1:$U$257,12,FALSE)),"",(VLOOKUP($B97,'E-1 Off Site Hedge Baseline'!$B$1:$U$257,12,FALSE))))</f>
        <v/>
      </c>
      <c r="M97" s="418" t="str">
        <f t="shared" si="16"/>
        <v/>
      </c>
      <c r="N97" s="498" t="str">
        <f>IFERROR(IF(B97="","",INDEX('G-6 Hedgerow Data'!$AN$3:$AZ$15,MATCH(C97,'G-6 Hedgerow Data'!$AM$3:$AM$15,0),MATCH(M97,'G-6 Hedgerow Data'!$AN$2:$AZ$2,0))),"")</f>
        <v/>
      </c>
      <c r="O97" s="499" t="str">
        <f t="shared" si="10"/>
        <v/>
      </c>
      <c r="P97" s="505" t="str">
        <f>IF(B97="","",VLOOKUP(B97,'E-1 Off Site Hedge Baseline'!$B$10:T342,16,FALSE))</f>
        <v/>
      </c>
      <c r="Q97" s="498" t="str">
        <f>IF(M97="","",VLOOKUP(M97,'G-6 Hedgerow Data'!$B$2:$AG$15,2,FALSE))</f>
        <v/>
      </c>
      <c r="R97" s="499" t="str">
        <f>IF(M97="","",VLOOKUP(M97,'G-6 Hedgerow Data'!$B$2:$AG$15,3,FALSE))</f>
        <v/>
      </c>
      <c r="S97" s="145"/>
      <c r="T97" s="499" t="str">
        <f>IFERROR(IF(AND(Q97="V.Low",OR(S97="Good",S97="Moderate")),"Error ▲",VLOOKUP(S97,'G-1 All Habitats'!$Z$2:$AA$9,2,FALSE)),"")</f>
        <v/>
      </c>
      <c r="U97" s="145"/>
      <c r="V97" s="507" t="str">
        <f>IF(U97="","",IF(VLOOKUP(U97,'G-3 Multipliers'!$L$3:$N$6,2,FALSE)=0,"Spatial Data Missing ⚠",VLOOKUP(U97,'G-3 Multipliers'!$L$3:$N$6,2,FALSE)))</f>
        <v/>
      </c>
      <c r="W97" s="505"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9"/>
        <v/>
      </c>
      <c r="AD97" s="537" t="str">
        <f>IF(M97="","",VLOOKUP(M97,'G-6 Hedgerow Data'!$B$3:$AG$15,31,FALSE))</f>
        <v/>
      </c>
      <c r="AE97" s="520" t="str">
        <f t="shared" si="13"/>
        <v/>
      </c>
      <c r="AF97" s="520" t="str">
        <f t="shared" si="14"/>
        <v/>
      </c>
      <c r="AG97" s="524" t="str">
        <f>IFERROR(IF(O97="","",VLOOKUP(AD97,'G-3 Multipliers'!$P$3:$Q$6,2,FALSE)),"")</f>
        <v/>
      </c>
      <c r="AH97" s="197"/>
      <c r="AI97" s="499" t="str">
        <f>IF(AH97="","",IF(VLOOKUP(AH97,'G-3 Multipliers'!$S$3:$T$6,2,FALSE)=0,"Spatial Data Missing ⚠",VLOOKUP(AH97,'G-3 Multipliers'!$S$3:$T$6,2,FALSE)))</f>
        <v/>
      </c>
      <c r="AJ97" s="545" t="str">
        <f t="shared" si="15"/>
        <v/>
      </c>
      <c r="AK97" s="149"/>
      <c r="AL97" s="150"/>
      <c r="AP97" s="31" t="str">
        <f>IFERROR(INDEX('G-6 Hedgerow Data'!$BJ$3:$BJ$15,MATCH(M97,'G-6 Hedgerow Data'!$B$3:$B$15,0)),"")</f>
        <v/>
      </c>
    </row>
    <row r="98" spans="2:42" ht="13.8" x14ac:dyDescent="0.25">
      <c r="B98" s="531" t="str">
        <f>'E-1 Off Site Hedge Baseline'!AK96</f>
        <v/>
      </c>
      <c r="C98" s="520" t="str">
        <f>IF(B98="","",IF(ISNA(VLOOKUP($B98,'E-1 Off Site Hedge Baseline'!$B$1:$L$257,3,FALSE)),"",(VLOOKUP($B98,'E-1 Off Site Hedge Baseline'!$B$1:$L$257,3,FALSE))))</f>
        <v/>
      </c>
      <c r="D98" s="520" t="str">
        <f>IF(B98="","",IF(ISNA(VLOOKUP($B98,'E-1 Off Site Hedge Baseline'!$B$1:$L$258,4,FALSE)),"",(VLOOKUP($B98,'E-1 Off Site Hedge Baseline'!$B$1:$L$258,4,FALSE))))</f>
        <v/>
      </c>
      <c r="E98" s="520" t="str">
        <f>IF(B98="","",IF(ISNA(VLOOKUP($B98,'E-1 Off Site Hedge Baseline'!$B$1:$L$257,5,FALSE)),"",(VLOOKUP($B98,'E-1 Off Site Hedge Baseline'!$B$1:$L$257,5,FALSE))))</f>
        <v/>
      </c>
      <c r="F98" s="520" t="str">
        <f>IF(B98="","",IF(ISNA(VLOOKUP($B98,'E-1 Off Site Hedge Baseline'!$B$1:$L$257,6,FALSE)),"",(VLOOKUP($B98,'E-1 Off Site Hedge Baseline'!$B$1:$L$257,6,FALSE))))</f>
        <v/>
      </c>
      <c r="G98" s="520" t="str">
        <f>IF(B98="","",IF(ISNA(VLOOKUP($B98,'E-1 Off Site Hedge Baseline'!$B$1:$L$257,7,FALSE)),"",(VLOOKUP($B98,'E-1 Off Site Hedge Baseline'!$B$1:$L$257,7,FALSE))))</f>
        <v/>
      </c>
      <c r="H98" s="520" t="str">
        <f>IF(B98="","",IF(ISNA(VLOOKUP($B98,'E-1 Off Site Hedge Baseline'!$B$1:$L$257,8,FALSE)),"",(VLOOKUP($B98,'E-1 Off Site Hedge Baseline'!$B$1:$L$257,8,FALSE))))</f>
        <v/>
      </c>
      <c r="I98" s="520" t="str">
        <f>IF(B98="","",IF(ISNA(VLOOKUP($B98,'E-1 Off Site Hedge Baseline'!$B$1:$L$257,10,FALSE)),"",(VLOOKUP($B98,'E-1 Off Site Hedge Baseline'!$B$1:$L$257,10,FALSE))))</f>
        <v/>
      </c>
      <c r="J98" s="520" t="str">
        <f>IF(B98="","",IF(ISNA(VLOOKUP($B98,'E-1 Off Site Hedge Baseline'!$B$1:$L$257,11,FALSE)),"",(VLOOKUP($B98,'E-1 Off Site Hedge Baseline'!$B$1:$L$257,11,FALSE))))</f>
        <v/>
      </c>
      <c r="K98" s="520" t="str">
        <f>IF(B98="","",IF(ISNA(VLOOKUP($B98,'E-1 Off Site Hedge Baseline'!$B$1:$U$257,113,FALSE)),"",(VLOOKUP($B98,'E-1 Off Site Hedge Baseline'!$B$1:$U$257,13,FALSE))))</f>
        <v/>
      </c>
      <c r="L98" s="507" t="str">
        <f>IF(B98="","",IF(ISNA(VLOOKUP($B98,'E-1 Off Site Hedge Baseline'!$B$1:$U$257,12,FALSE)),"",(VLOOKUP($B98,'E-1 Off Site Hedge Baseline'!$B$1:$U$257,12,FALSE))))</f>
        <v/>
      </c>
      <c r="M98" s="418" t="str">
        <f t="shared" si="16"/>
        <v/>
      </c>
      <c r="N98" s="498" t="str">
        <f>IFERROR(IF(B98="","",INDEX('G-6 Hedgerow Data'!$AN$3:$AZ$15,MATCH(C98,'G-6 Hedgerow Data'!$AM$3:$AM$15,0),MATCH(M98,'G-6 Hedgerow Data'!$AN$2:$AZ$2,0))),"")</f>
        <v/>
      </c>
      <c r="O98" s="499" t="str">
        <f t="shared" si="10"/>
        <v/>
      </c>
      <c r="P98" s="505" t="str">
        <f>IF(B98="","",VLOOKUP(B98,'E-1 Off Site Hedge Baseline'!$B$10:T343,16,FALSE))</f>
        <v/>
      </c>
      <c r="Q98" s="498" t="str">
        <f>IF(M98="","",VLOOKUP(M98,'G-6 Hedgerow Data'!$B$2:$AG$15,2,FALSE))</f>
        <v/>
      </c>
      <c r="R98" s="499" t="str">
        <f>IF(M98="","",VLOOKUP(M98,'G-6 Hedgerow Data'!$B$2:$AG$15,3,FALSE))</f>
        <v/>
      </c>
      <c r="S98" s="145"/>
      <c r="T98" s="499" t="str">
        <f>IFERROR(IF(AND(Q98="V.Low",OR(S98="Good",S98="Moderate")),"Error ▲",VLOOKUP(S98,'G-1 All Habitats'!$Z$2:$AA$9,2,FALSE)),"")</f>
        <v/>
      </c>
      <c r="U98" s="145"/>
      <c r="V98" s="507" t="str">
        <f>IF(U98="","",IF(VLOOKUP(U98,'G-3 Multipliers'!$L$3:$N$6,2,FALSE)=0,"Spatial Data Missing ⚠",VLOOKUP(U98,'G-3 Multipliers'!$L$3:$N$6,2,FALSE)))</f>
        <v/>
      </c>
      <c r="W98" s="505"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9"/>
        <v/>
      </c>
      <c r="AD98" s="537" t="str">
        <f>IF(M98="","",VLOOKUP(M98,'G-6 Hedgerow Data'!$B$3:$AG$15,31,FALSE))</f>
        <v/>
      </c>
      <c r="AE98" s="520" t="str">
        <f t="shared" si="13"/>
        <v/>
      </c>
      <c r="AF98" s="520" t="str">
        <f t="shared" si="14"/>
        <v/>
      </c>
      <c r="AG98" s="524" t="str">
        <f>IFERROR(IF(O98="","",VLOOKUP(AD98,'G-3 Multipliers'!$P$3:$Q$6,2,FALSE)),"")</f>
        <v/>
      </c>
      <c r="AH98" s="197"/>
      <c r="AI98" s="499" t="str">
        <f>IF(AH98="","",IF(VLOOKUP(AH98,'G-3 Multipliers'!$S$3:$T$6,2,FALSE)=0,"Spatial Data Missing ⚠",VLOOKUP(AH98,'G-3 Multipliers'!$S$3:$T$6,2,FALSE)))</f>
        <v/>
      </c>
      <c r="AJ98" s="545" t="str">
        <f t="shared" si="15"/>
        <v/>
      </c>
      <c r="AK98" s="149"/>
      <c r="AL98" s="150"/>
      <c r="AP98" s="31" t="str">
        <f>IFERROR(INDEX('G-6 Hedgerow Data'!$BJ$3:$BJ$15,MATCH(M98,'G-6 Hedgerow Data'!$B$3:$B$15,0)),"")</f>
        <v/>
      </c>
    </row>
    <row r="99" spans="2:42" ht="13.8" x14ac:dyDescent="0.25">
      <c r="B99" s="531" t="str">
        <f>'E-1 Off Site Hedge Baseline'!AK97</f>
        <v/>
      </c>
      <c r="C99" s="520" t="str">
        <f>IF(B99="","",IF(ISNA(VLOOKUP($B99,'E-1 Off Site Hedge Baseline'!$B$1:$L$257,3,FALSE)),"",(VLOOKUP($B99,'E-1 Off Site Hedge Baseline'!$B$1:$L$257,3,FALSE))))</f>
        <v/>
      </c>
      <c r="D99" s="520" t="str">
        <f>IF(B99="","",IF(ISNA(VLOOKUP($B99,'E-1 Off Site Hedge Baseline'!$B$1:$L$258,4,FALSE)),"",(VLOOKUP($B99,'E-1 Off Site Hedge Baseline'!$B$1:$L$258,4,FALSE))))</f>
        <v/>
      </c>
      <c r="E99" s="520" t="str">
        <f>IF(B99="","",IF(ISNA(VLOOKUP($B99,'E-1 Off Site Hedge Baseline'!$B$1:$L$257,5,FALSE)),"",(VLOOKUP($B99,'E-1 Off Site Hedge Baseline'!$B$1:$L$257,5,FALSE))))</f>
        <v/>
      </c>
      <c r="F99" s="520" t="str">
        <f>IF(B99="","",IF(ISNA(VLOOKUP($B99,'E-1 Off Site Hedge Baseline'!$B$1:$L$257,6,FALSE)),"",(VLOOKUP($B99,'E-1 Off Site Hedge Baseline'!$B$1:$L$257,6,FALSE))))</f>
        <v/>
      </c>
      <c r="G99" s="520" t="str">
        <f>IF(B99="","",IF(ISNA(VLOOKUP($B99,'E-1 Off Site Hedge Baseline'!$B$1:$L$257,7,FALSE)),"",(VLOOKUP($B99,'E-1 Off Site Hedge Baseline'!$B$1:$L$257,7,FALSE))))</f>
        <v/>
      </c>
      <c r="H99" s="520" t="str">
        <f>IF(B99="","",IF(ISNA(VLOOKUP($B99,'E-1 Off Site Hedge Baseline'!$B$1:$L$257,8,FALSE)),"",(VLOOKUP($B99,'E-1 Off Site Hedge Baseline'!$B$1:$L$257,8,FALSE))))</f>
        <v/>
      </c>
      <c r="I99" s="520" t="str">
        <f>IF(B99="","",IF(ISNA(VLOOKUP($B99,'E-1 Off Site Hedge Baseline'!$B$1:$L$257,10,FALSE)),"",(VLOOKUP($B99,'E-1 Off Site Hedge Baseline'!$B$1:$L$257,10,FALSE))))</f>
        <v/>
      </c>
      <c r="J99" s="520" t="str">
        <f>IF(B99="","",IF(ISNA(VLOOKUP($B99,'E-1 Off Site Hedge Baseline'!$B$1:$L$257,11,FALSE)),"",(VLOOKUP($B99,'E-1 Off Site Hedge Baseline'!$B$1:$L$257,11,FALSE))))</f>
        <v/>
      </c>
      <c r="K99" s="520" t="str">
        <f>IF(B99="","",IF(ISNA(VLOOKUP($B99,'E-1 Off Site Hedge Baseline'!$B$1:$U$257,113,FALSE)),"",(VLOOKUP($B99,'E-1 Off Site Hedge Baseline'!$B$1:$U$257,13,FALSE))))</f>
        <v/>
      </c>
      <c r="L99" s="507" t="str">
        <f>IF(B99="","",IF(ISNA(VLOOKUP($B99,'E-1 Off Site Hedge Baseline'!$B$1:$U$257,12,FALSE)),"",(VLOOKUP($B99,'E-1 Off Site Hedge Baseline'!$B$1:$U$257,12,FALSE))))</f>
        <v/>
      </c>
      <c r="M99" s="418" t="str">
        <f t="shared" si="16"/>
        <v/>
      </c>
      <c r="N99" s="498" t="str">
        <f>IFERROR(IF(B99="","",INDEX('G-6 Hedgerow Data'!$AN$3:$AZ$15,MATCH(C99,'G-6 Hedgerow Data'!$AM$3:$AM$15,0),MATCH(M99,'G-6 Hedgerow Data'!$AN$2:$AZ$2,0))),"")</f>
        <v/>
      </c>
      <c r="O99" s="499" t="str">
        <f t="shared" si="10"/>
        <v/>
      </c>
      <c r="P99" s="505" t="str">
        <f>IF(B99="","",VLOOKUP(B99,'E-1 Off Site Hedge Baseline'!$B$10:T344,16,FALSE))</f>
        <v/>
      </c>
      <c r="Q99" s="498" t="str">
        <f>IF(M99="","",VLOOKUP(M99,'G-6 Hedgerow Data'!$B$2:$AG$15,2,FALSE))</f>
        <v/>
      </c>
      <c r="R99" s="499" t="str">
        <f>IF(M99="","",VLOOKUP(M99,'G-6 Hedgerow Data'!$B$2:$AG$15,3,FALSE))</f>
        <v/>
      </c>
      <c r="S99" s="145"/>
      <c r="T99" s="499" t="str">
        <f>IFERROR(IF(AND(Q99="V.Low",OR(S99="Good",S99="Moderate")),"Error ▲",VLOOKUP(S99,'G-1 All Habitats'!$Z$2:$AA$9,2,FALSE)),"")</f>
        <v/>
      </c>
      <c r="U99" s="145"/>
      <c r="V99" s="507" t="str">
        <f>IF(U99="","",IF(VLOOKUP(U99,'G-3 Multipliers'!$L$3:$N$6,2,FALSE)=0,"Spatial Data Missing ⚠",VLOOKUP(U99,'G-3 Multipliers'!$L$3:$N$6,2,FALSE)))</f>
        <v/>
      </c>
      <c r="W99" s="505"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9"/>
        <v/>
      </c>
      <c r="AD99" s="537" t="str">
        <f>IF(M99="","",VLOOKUP(M99,'G-6 Hedgerow Data'!$B$3:$AG$15,31,FALSE))</f>
        <v/>
      </c>
      <c r="AE99" s="520" t="str">
        <f t="shared" si="13"/>
        <v/>
      </c>
      <c r="AF99" s="520" t="str">
        <f t="shared" si="14"/>
        <v/>
      </c>
      <c r="AG99" s="524" t="str">
        <f>IFERROR(IF(O99="","",VLOOKUP(AD99,'G-3 Multipliers'!$P$3:$Q$6,2,FALSE)),"")</f>
        <v/>
      </c>
      <c r="AH99" s="197"/>
      <c r="AI99" s="499" t="str">
        <f>IF(AH99="","",IF(VLOOKUP(AH99,'G-3 Multipliers'!$S$3:$T$6,2,FALSE)=0,"Spatial Data Missing ⚠",VLOOKUP(AH99,'G-3 Multipliers'!$S$3:$T$6,2,FALSE)))</f>
        <v/>
      </c>
      <c r="AJ99" s="545" t="str">
        <f t="shared" si="15"/>
        <v/>
      </c>
      <c r="AK99" s="149"/>
      <c r="AL99" s="150"/>
      <c r="AP99" s="31" t="str">
        <f>IFERROR(INDEX('G-6 Hedgerow Data'!$BJ$3:$BJ$15,MATCH(M99,'G-6 Hedgerow Data'!$B$3:$B$15,0)),"")</f>
        <v/>
      </c>
    </row>
    <row r="100" spans="2:42" ht="13.8" x14ac:dyDescent="0.25">
      <c r="B100" s="531" t="str">
        <f>'E-1 Off Site Hedge Baseline'!AK98</f>
        <v/>
      </c>
      <c r="C100" s="520" t="str">
        <f>IF(B100="","",IF(ISNA(VLOOKUP($B100,'E-1 Off Site Hedge Baseline'!$B$1:$L$257,3,FALSE)),"",(VLOOKUP($B100,'E-1 Off Site Hedge Baseline'!$B$1:$L$257,3,FALSE))))</f>
        <v/>
      </c>
      <c r="D100" s="520" t="str">
        <f>IF(B100="","",IF(ISNA(VLOOKUP($B100,'E-1 Off Site Hedge Baseline'!$B$1:$L$258,4,FALSE)),"",(VLOOKUP($B100,'E-1 Off Site Hedge Baseline'!$B$1:$L$258,4,FALSE))))</f>
        <v/>
      </c>
      <c r="E100" s="520" t="str">
        <f>IF(B100="","",IF(ISNA(VLOOKUP($B100,'E-1 Off Site Hedge Baseline'!$B$1:$L$257,5,FALSE)),"",(VLOOKUP($B100,'E-1 Off Site Hedge Baseline'!$B$1:$L$257,5,FALSE))))</f>
        <v/>
      </c>
      <c r="F100" s="520" t="str">
        <f>IF(B100="","",IF(ISNA(VLOOKUP($B100,'E-1 Off Site Hedge Baseline'!$B$1:$L$257,6,FALSE)),"",(VLOOKUP($B100,'E-1 Off Site Hedge Baseline'!$B$1:$L$257,6,FALSE))))</f>
        <v/>
      </c>
      <c r="G100" s="520" t="str">
        <f>IF(B100="","",IF(ISNA(VLOOKUP($B100,'E-1 Off Site Hedge Baseline'!$B$1:$L$257,7,FALSE)),"",(VLOOKUP($B100,'E-1 Off Site Hedge Baseline'!$B$1:$L$257,7,FALSE))))</f>
        <v/>
      </c>
      <c r="H100" s="520" t="str">
        <f>IF(B100="","",IF(ISNA(VLOOKUP($B100,'E-1 Off Site Hedge Baseline'!$B$1:$L$257,8,FALSE)),"",(VLOOKUP($B100,'E-1 Off Site Hedge Baseline'!$B$1:$L$257,8,FALSE))))</f>
        <v/>
      </c>
      <c r="I100" s="520" t="str">
        <f>IF(B100="","",IF(ISNA(VLOOKUP($B100,'E-1 Off Site Hedge Baseline'!$B$1:$L$257,10,FALSE)),"",(VLOOKUP($B100,'E-1 Off Site Hedge Baseline'!$B$1:$L$257,10,FALSE))))</f>
        <v/>
      </c>
      <c r="J100" s="520" t="str">
        <f>IF(B100="","",IF(ISNA(VLOOKUP($B100,'E-1 Off Site Hedge Baseline'!$B$1:$L$257,11,FALSE)),"",(VLOOKUP($B100,'E-1 Off Site Hedge Baseline'!$B$1:$L$257,11,FALSE))))</f>
        <v/>
      </c>
      <c r="K100" s="520" t="str">
        <f>IF(B100="","",IF(ISNA(VLOOKUP($B100,'E-1 Off Site Hedge Baseline'!$B$1:$U$257,113,FALSE)),"",(VLOOKUP($B100,'E-1 Off Site Hedge Baseline'!$B$1:$U$257,13,FALSE))))</f>
        <v/>
      </c>
      <c r="L100" s="507" t="str">
        <f>IF(B100="","",IF(ISNA(VLOOKUP($B100,'E-1 Off Site Hedge Baseline'!$B$1:$U$257,12,FALSE)),"",(VLOOKUP($B100,'E-1 Off Site Hedge Baseline'!$B$1:$U$257,12,FALSE))))</f>
        <v/>
      </c>
      <c r="M100" s="418" t="str">
        <f t="shared" si="16"/>
        <v/>
      </c>
      <c r="N100" s="498" t="str">
        <f>IFERROR(IF(B100="","",INDEX('G-6 Hedgerow Data'!$AN$3:$AZ$15,MATCH(C100,'G-6 Hedgerow Data'!$AM$3:$AM$15,0),MATCH(M100,'G-6 Hedgerow Data'!$AN$2:$AZ$2,0))),"")</f>
        <v/>
      </c>
      <c r="O100" s="499" t="str">
        <f t="shared" si="10"/>
        <v/>
      </c>
      <c r="P100" s="505" t="str">
        <f>IF(B100="","",VLOOKUP(B100,'E-1 Off Site Hedge Baseline'!$B$10:T345,16,FALSE))</f>
        <v/>
      </c>
      <c r="Q100" s="498" t="str">
        <f>IF(M100="","",VLOOKUP(M100,'G-6 Hedgerow Data'!$B$2:$AG$15,2,FALSE))</f>
        <v/>
      </c>
      <c r="R100" s="499" t="str">
        <f>IF(M100="","",VLOOKUP(M100,'G-6 Hedgerow Data'!$B$2:$AG$15,3,FALSE))</f>
        <v/>
      </c>
      <c r="S100" s="145"/>
      <c r="T100" s="499" t="str">
        <f>IFERROR(IF(AND(Q100="V.Low",OR(S100="Good",S100="Moderate")),"Error ▲",VLOOKUP(S100,'G-1 All Habitats'!$Z$2:$AA$9,2,FALSE)),"")</f>
        <v/>
      </c>
      <c r="U100" s="145"/>
      <c r="V100" s="507" t="str">
        <f>IF(U100="","",IF(VLOOKUP(U100,'G-3 Multipliers'!$L$3:$N$6,2,FALSE)=0,"Spatial Data Missing ⚠",VLOOKUP(U100,'G-3 Multipliers'!$L$3:$N$6,2,FALSE)))</f>
        <v/>
      </c>
      <c r="W100" s="505"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9"/>
        <v/>
      </c>
      <c r="AD100" s="537" t="str">
        <f>IF(M100="","",VLOOKUP(M100,'G-6 Hedgerow Data'!$B$3:$AG$15,31,FALSE))</f>
        <v/>
      </c>
      <c r="AE100" s="520" t="str">
        <f t="shared" si="13"/>
        <v/>
      </c>
      <c r="AF100" s="520" t="str">
        <f t="shared" si="14"/>
        <v/>
      </c>
      <c r="AG100" s="524" t="str">
        <f>IFERROR(IF(O100="","",VLOOKUP(AD100,'G-3 Multipliers'!$P$3:$Q$6,2,FALSE)),"")</f>
        <v/>
      </c>
      <c r="AH100" s="197"/>
      <c r="AI100" s="499" t="str">
        <f>IF(AH100="","",IF(VLOOKUP(AH100,'G-3 Multipliers'!$S$3:$T$6,2,FALSE)=0,"Spatial Data Missing ⚠",VLOOKUP(AH100,'G-3 Multipliers'!$S$3:$T$6,2,FALSE)))</f>
        <v/>
      </c>
      <c r="AJ100" s="545" t="str">
        <f t="shared" si="15"/>
        <v/>
      </c>
      <c r="AK100" s="149"/>
      <c r="AL100" s="150"/>
      <c r="AP100" s="31" t="str">
        <f>IFERROR(INDEX('G-6 Hedgerow Data'!$BJ$3:$BJ$15,MATCH(M100,'G-6 Hedgerow Data'!$B$3:$B$15,0)),"")</f>
        <v/>
      </c>
    </row>
    <row r="101" spans="2:42" ht="13.8" x14ac:dyDescent="0.25">
      <c r="B101" s="531" t="str">
        <f>'E-1 Off Site Hedge Baseline'!AK99</f>
        <v/>
      </c>
      <c r="C101" s="520" t="str">
        <f>IF(B101="","",IF(ISNA(VLOOKUP($B101,'E-1 Off Site Hedge Baseline'!$B$1:$L$257,3,FALSE)),"",(VLOOKUP($B101,'E-1 Off Site Hedge Baseline'!$B$1:$L$257,3,FALSE))))</f>
        <v/>
      </c>
      <c r="D101" s="520" t="str">
        <f>IF(B101="","",IF(ISNA(VLOOKUP($B101,'E-1 Off Site Hedge Baseline'!$B$1:$L$258,4,FALSE)),"",(VLOOKUP($B101,'E-1 Off Site Hedge Baseline'!$B$1:$L$258,4,FALSE))))</f>
        <v/>
      </c>
      <c r="E101" s="520" t="str">
        <f>IF(B101="","",IF(ISNA(VLOOKUP($B101,'E-1 Off Site Hedge Baseline'!$B$1:$L$257,5,FALSE)),"",(VLOOKUP($B101,'E-1 Off Site Hedge Baseline'!$B$1:$L$257,5,FALSE))))</f>
        <v/>
      </c>
      <c r="F101" s="520" t="str">
        <f>IF(B101="","",IF(ISNA(VLOOKUP($B101,'E-1 Off Site Hedge Baseline'!$B$1:$L$257,6,FALSE)),"",(VLOOKUP($B101,'E-1 Off Site Hedge Baseline'!$B$1:$L$257,6,FALSE))))</f>
        <v/>
      </c>
      <c r="G101" s="520" t="str">
        <f>IF(B101="","",IF(ISNA(VLOOKUP($B101,'E-1 Off Site Hedge Baseline'!$B$1:$L$257,7,FALSE)),"",(VLOOKUP($B101,'E-1 Off Site Hedge Baseline'!$B$1:$L$257,7,FALSE))))</f>
        <v/>
      </c>
      <c r="H101" s="520" t="str">
        <f>IF(B101="","",IF(ISNA(VLOOKUP($B101,'E-1 Off Site Hedge Baseline'!$B$1:$L$257,8,FALSE)),"",(VLOOKUP($B101,'E-1 Off Site Hedge Baseline'!$B$1:$L$257,8,FALSE))))</f>
        <v/>
      </c>
      <c r="I101" s="520" t="str">
        <f>IF(B101="","",IF(ISNA(VLOOKUP($B101,'E-1 Off Site Hedge Baseline'!$B$1:$L$257,10,FALSE)),"",(VLOOKUP($B101,'E-1 Off Site Hedge Baseline'!$B$1:$L$257,10,FALSE))))</f>
        <v/>
      </c>
      <c r="J101" s="520" t="str">
        <f>IF(B101="","",IF(ISNA(VLOOKUP($B101,'E-1 Off Site Hedge Baseline'!$B$1:$L$257,11,FALSE)),"",(VLOOKUP($B101,'E-1 Off Site Hedge Baseline'!$B$1:$L$257,11,FALSE))))</f>
        <v/>
      </c>
      <c r="K101" s="520" t="str">
        <f>IF(B101="","",IF(ISNA(VLOOKUP($B101,'E-1 Off Site Hedge Baseline'!$B$1:$U$257,113,FALSE)),"",(VLOOKUP($B101,'E-1 Off Site Hedge Baseline'!$B$1:$U$257,13,FALSE))))</f>
        <v/>
      </c>
      <c r="L101" s="507" t="str">
        <f>IF(B101="","",IF(ISNA(VLOOKUP($B101,'E-1 Off Site Hedge Baseline'!$B$1:$U$257,12,FALSE)),"",(VLOOKUP($B101,'E-1 Off Site Hedge Baseline'!$B$1:$U$257,12,FALSE))))</f>
        <v/>
      </c>
      <c r="M101" s="418" t="str">
        <f t="shared" si="16"/>
        <v/>
      </c>
      <c r="N101" s="498" t="str">
        <f>IFERROR(IF(B101="","",INDEX('G-6 Hedgerow Data'!$AN$3:$AZ$15,MATCH(C101,'G-6 Hedgerow Data'!$AM$3:$AM$15,0),MATCH(M101,'G-6 Hedgerow Data'!$AN$2:$AZ$2,0))),"")</f>
        <v/>
      </c>
      <c r="O101" s="499" t="str">
        <f t="shared" si="10"/>
        <v/>
      </c>
      <c r="P101" s="505" t="str">
        <f>IF(B101="","",VLOOKUP(B101,'E-1 Off Site Hedge Baseline'!$B$10:T346,16,FALSE))</f>
        <v/>
      </c>
      <c r="Q101" s="498" t="str">
        <f>IF(M101="","",VLOOKUP(M101,'G-6 Hedgerow Data'!$B$2:$AG$15,2,FALSE))</f>
        <v/>
      </c>
      <c r="R101" s="499" t="str">
        <f>IF(M101="","",VLOOKUP(M101,'G-6 Hedgerow Data'!$B$2:$AG$15,3,FALSE))</f>
        <v/>
      </c>
      <c r="S101" s="145"/>
      <c r="T101" s="499" t="str">
        <f>IFERROR(IF(AND(Q101="V.Low",OR(S101="Good",S101="Moderate")),"Error ▲",VLOOKUP(S101,'G-1 All Habitats'!$Z$2:$AA$9,2,FALSE)),"")</f>
        <v/>
      </c>
      <c r="U101" s="145"/>
      <c r="V101" s="507" t="str">
        <f>IF(U101="","",IF(VLOOKUP(U101,'G-3 Multipliers'!$L$3:$N$6,2,FALSE)=0,"Spatial Data Missing ⚠",VLOOKUP(U101,'G-3 Multipliers'!$L$3:$N$6,2,FALSE)))</f>
        <v/>
      </c>
      <c r="W101" s="505"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9"/>
        <v/>
      </c>
      <c r="AD101" s="537" t="str">
        <f>IF(M101="","",VLOOKUP(M101,'G-6 Hedgerow Data'!$B$3:$AG$15,31,FALSE))</f>
        <v/>
      </c>
      <c r="AE101" s="520" t="str">
        <f t="shared" si="13"/>
        <v/>
      </c>
      <c r="AF101" s="520" t="str">
        <f t="shared" si="14"/>
        <v/>
      </c>
      <c r="AG101" s="524" t="str">
        <f>IFERROR(IF(O101="","",VLOOKUP(AD101,'G-3 Multipliers'!$P$3:$Q$6,2,FALSE)),"")</f>
        <v/>
      </c>
      <c r="AH101" s="197"/>
      <c r="AI101" s="499" t="str">
        <f>IF(AH101="","",IF(VLOOKUP(AH101,'G-3 Multipliers'!$S$3:$T$6,2,FALSE)=0,"Spatial Data Missing ⚠",VLOOKUP(AH101,'G-3 Multipliers'!$S$3:$T$6,2,FALSE)))</f>
        <v/>
      </c>
      <c r="AJ101" s="545" t="str">
        <f t="shared" si="15"/>
        <v/>
      </c>
      <c r="AK101" s="149"/>
      <c r="AL101" s="150"/>
      <c r="AP101" s="31" t="str">
        <f>IFERROR(INDEX('G-6 Hedgerow Data'!$BJ$3:$BJ$15,MATCH(M101,'G-6 Hedgerow Data'!$B$3:$B$15,0)),"")</f>
        <v/>
      </c>
    </row>
    <row r="102" spans="2:42" ht="13.8" x14ac:dyDescent="0.25">
      <c r="B102" s="531" t="str">
        <f>'E-1 Off Site Hedge Baseline'!AK100</f>
        <v/>
      </c>
      <c r="C102" s="520" t="str">
        <f>IF(B102="","",IF(ISNA(VLOOKUP($B102,'E-1 Off Site Hedge Baseline'!$B$1:$L$257,3,FALSE)),"",(VLOOKUP($B102,'E-1 Off Site Hedge Baseline'!$B$1:$L$257,3,FALSE))))</f>
        <v/>
      </c>
      <c r="D102" s="520" t="str">
        <f>IF(B102="","",IF(ISNA(VLOOKUP($B102,'E-1 Off Site Hedge Baseline'!$B$1:$L$258,4,FALSE)),"",(VLOOKUP($B102,'E-1 Off Site Hedge Baseline'!$B$1:$L$258,4,FALSE))))</f>
        <v/>
      </c>
      <c r="E102" s="520" t="str">
        <f>IF(B102="","",IF(ISNA(VLOOKUP($B102,'E-1 Off Site Hedge Baseline'!$B$1:$L$257,5,FALSE)),"",(VLOOKUP($B102,'E-1 Off Site Hedge Baseline'!$B$1:$L$257,5,FALSE))))</f>
        <v/>
      </c>
      <c r="F102" s="520" t="str">
        <f>IF(B102="","",IF(ISNA(VLOOKUP($B102,'E-1 Off Site Hedge Baseline'!$B$1:$L$257,6,FALSE)),"",(VLOOKUP($B102,'E-1 Off Site Hedge Baseline'!$B$1:$L$257,6,FALSE))))</f>
        <v/>
      </c>
      <c r="G102" s="520" t="str">
        <f>IF(B102="","",IF(ISNA(VLOOKUP($B102,'E-1 Off Site Hedge Baseline'!$B$1:$L$257,7,FALSE)),"",(VLOOKUP($B102,'E-1 Off Site Hedge Baseline'!$B$1:$L$257,7,FALSE))))</f>
        <v/>
      </c>
      <c r="H102" s="520" t="str">
        <f>IF(B102="","",IF(ISNA(VLOOKUP($B102,'E-1 Off Site Hedge Baseline'!$B$1:$L$257,8,FALSE)),"",(VLOOKUP($B102,'E-1 Off Site Hedge Baseline'!$B$1:$L$257,8,FALSE))))</f>
        <v/>
      </c>
      <c r="I102" s="520" t="str">
        <f>IF(B102="","",IF(ISNA(VLOOKUP($B102,'E-1 Off Site Hedge Baseline'!$B$1:$L$257,10,FALSE)),"",(VLOOKUP($B102,'E-1 Off Site Hedge Baseline'!$B$1:$L$257,10,FALSE))))</f>
        <v/>
      </c>
      <c r="J102" s="520" t="str">
        <f>IF(B102="","",IF(ISNA(VLOOKUP($B102,'E-1 Off Site Hedge Baseline'!$B$1:$L$257,11,FALSE)),"",(VLOOKUP($B102,'E-1 Off Site Hedge Baseline'!$B$1:$L$257,11,FALSE))))</f>
        <v/>
      </c>
      <c r="K102" s="520" t="str">
        <f>IF(B102="","",IF(ISNA(VLOOKUP($B102,'E-1 Off Site Hedge Baseline'!$B$1:$U$257,113,FALSE)),"",(VLOOKUP($B102,'E-1 Off Site Hedge Baseline'!$B$1:$U$257,13,FALSE))))</f>
        <v/>
      </c>
      <c r="L102" s="507" t="str">
        <f>IF(B102="","",IF(ISNA(VLOOKUP($B102,'E-1 Off Site Hedge Baseline'!$B$1:$U$257,12,FALSE)),"",(VLOOKUP($B102,'E-1 Off Site Hedge Baseline'!$B$1:$U$257,12,FALSE))))</f>
        <v/>
      </c>
      <c r="M102" s="418" t="str">
        <f t="shared" si="16"/>
        <v/>
      </c>
      <c r="N102" s="498" t="str">
        <f>IFERROR(IF(B102="","",INDEX('G-6 Hedgerow Data'!$AN$3:$AZ$15,MATCH(C102,'G-6 Hedgerow Data'!$AM$3:$AM$15,0),MATCH(M102,'G-6 Hedgerow Data'!$AN$2:$AZ$2,0))),"")</f>
        <v/>
      </c>
      <c r="O102" s="499" t="str">
        <f t="shared" si="10"/>
        <v/>
      </c>
      <c r="P102" s="505" t="str">
        <f>IF(B102="","",VLOOKUP(B102,'E-1 Off Site Hedge Baseline'!$B$10:T347,16,FALSE))</f>
        <v/>
      </c>
      <c r="Q102" s="498" t="str">
        <f>IF(M102="","",VLOOKUP(M102,'G-6 Hedgerow Data'!$B$2:$AG$15,2,FALSE))</f>
        <v/>
      </c>
      <c r="R102" s="499" t="str">
        <f>IF(M102="","",VLOOKUP(M102,'G-6 Hedgerow Data'!$B$2:$AG$15,3,FALSE))</f>
        <v/>
      </c>
      <c r="S102" s="145"/>
      <c r="T102" s="499" t="str">
        <f>IFERROR(IF(AND(Q102="V.Low",OR(S102="Good",S102="Moderate")),"Error ▲",VLOOKUP(S102,'G-1 All Habitats'!$Z$2:$AA$9,2,FALSE)),"")</f>
        <v/>
      </c>
      <c r="U102" s="145"/>
      <c r="V102" s="507" t="str">
        <f>IF(U102="","",IF(VLOOKUP(U102,'G-3 Multipliers'!$L$3:$N$6,2,FALSE)=0,"Spatial Data Missing ⚠",VLOOKUP(U102,'G-3 Multipliers'!$L$3:$N$6,2,FALSE)))</f>
        <v/>
      </c>
      <c r="W102" s="505"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9"/>
        <v/>
      </c>
      <c r="AD102" s="537" t="str">
        <f>IF(M102="","",VLOOKUP(M102,'G-6 Hedgerow Data'!$B$3:$AG$15,31,FALSE))</f>
        <v/>
      </c>
      <c r="AE102" s="520" t="str">
        <f t="shared" si="13"/>
        <v/>
      </c>
      <c r="AF102" s="520" t="str">
        <f t="shared" si="14"/>
        <v/>
      </c>
      <c r="AG102" s="524" t="str">
        <f>IFERROR(IF(O102="","",VLOOKUP(AD102,'G-3 Multipliers'!$P$3:$Q$6,2,FALSE)),"")</f>
        <v/>
      </c>
      <c r="AH102" s="197"/>
      <c r="AI102" s="499" t="str">
        <f>IF(AH102="","",IF(VLOOKUP(AH102,'G-3 Multipliers'!$S$3:$T$6,2,FALSE)=0,"Spatial Data Missing ⚠",VLOOKUP(AH102,'G-3 Multipliers'!$S$3:$T$6,2,FALSE)))</f>
        <v/>
      </c>
      <c r="AJ102" s="545" t="str">
        <f t="shared" si="15"/>
        <v/>
      </c>
      <c r="AK102" s="149"/>
      <c r="AL102" s="150"/>
      <c r="AP102" s="31" t="str">
        <f>IFERROR(INDEX('G-6 Hedgerow Data'!$BJ$3:$BJ$15,MATCH(M102,'G-6 Hedgerow Data'!$B$3:$B$15,0)),"")</f>
        <v/>
      </c>
    </row>
    <row r="103" spans="2:42" ht="13.8" x14ac:dyDescent="0.25">
      <c r="B103" s="531" t="str">
        <f>'E-1 Off Site Hedge Baseline'!AK101</f>
        <v/>
      </c>
      <c r="C103" s="520" t="str">
        <f>IF(B103="","",IF(ISNA(VLOOKUP($B103,'E-1 Off Site Hedge Baseline'!$B$1:$L$257,3,FALSE)),"",(VLOOKUP($B103,'E-1 Off Site Hedge Baseline'!$B$1:$L$257,3,FALSE))))</f>
        <v/>
      </c>
      <c r="D103" s="520" t="str">
        <f>IF(B103="","",IF(ISNA(VLOOKUP($B103,'E-1 Off Site Hedge Baseline'!$B$1:$L$258,4,FALSE)),"",(VLOOKUP($B103,'E-1 Off Site Hedge Baseline'!$B$1:$L$258,4,FALSE))))</f>
        <v/>
      </c>
      <c r="E103" s="520" t="str">
        <f>IF(B103="","",IF(ISNA(VLOOKUP($B103,'E-1 Off Site Hedge Baseline'!$B$1:$L$257,5,FALSE)),"",(VLOOKUP($B103,'E-1 Off Site Hedge Baseline'!$B$1:$L$257,5,FALSE))))</f>
        <v/>
      </c>
      <c r="F103" s="520" t="str">
        <f>IF(B103="","",IF(ISNA(VLOOKUP($B103,'E-1 Off Site Hedge Baseline'!$B$1:$L$257,6,FALSE)),"",(VLOOKUP($B103,'E-1 Off Site Hedge Baseline'!$B$1:$L$257,6,FALSE))))</f>
        <v/>
      </c>
      <c r="G103" s="520" t="str">
        <f>IF(B103="","",IF(ISNA(VLOOKUP($B103,'E-1 Off Site Hedge Baseline'!$B$1:$L$257,7,FALSE)),"",(VLOOKUP($B103,'E-1 Off Site Hedge Baseline'!$B$1:$L$257,7,FALSE))))</f>
        <v/>
      </c>
      <c r="H103" s="520" t="str">
        <f>IF(B103="","",IF(ISNA(VLOOKUP($B103,'E-1 Off Site Hedge Baseline'!$B$1:$L$257,8,FALSE)),"",(VLOOKUP($B103,'E-1 Off Site Hedge Baseline'!$B$1:$L$257,8,FALSE))))</f>
        <v/>
      </c>
      <c r="I103" s="520" t="str">
        <f>IF(B103="","",IF(ISNA(VLOOKUP($B103,'E-1 Off Site Hedge Baseline'!$B$1:$L$257,10,FALSE)),"",(VLOOKUP($B103,'E-1 Off Site Hedge Baseline'!$B$1:$L$257,10,FALSE))))</f>
        <v/>
      </c>
      <c r="J103" s="520" t="str">
        <f>IF(B103="","",IF(ISNA(VLOOKUP($B103,'E-1 Off Site Hedge Baseline'!$B$1:$L$257,11,FALSE)),"",(VLOOKUP($B103,'E-1 Off Site Hedge Baseline'!$B$1:$L$257,11,FALSE))))</f>
        <v/>
      </c>
      <c r="K103" s="520" t="str">
        <f>IF(B103="","",IF(ISNA(VLOOKUP($B103,'E-1 Off Site Hedge Baseline'!$B$1:$U$257,113,FALSE)),"",(VLOOKUP($B103,'E-1 Off Site Hedge Baseline'!$B$1:$U$257,13,FALSE))))</f>
        <v/>
      </c>
      <c r="L103" s="507" t="str">
        <f>IF(B103="","",IF(ISNA(VLOOKUP($B103,'E-1 Off Site Hedge Baseline'!$B$1:$U$257,12,FALSE)),"",(VLOOKUP($B103,'E-1 Off Site Hedge Baseline'!$B$1:$U$257,12,FALSE))))</f>
        <v/>
      </c>
      <c r="M103" s="418" t="str">
        <f t="shared" si="16"/>
        <v/>
      </c>
      <c r="N103" s="498" t="str">
        <f>IFERROR(IF(B103="","",INDEX('G-6 Hedgerow Data'!$AN$3:$AZ$15,MATCH(C103,'G-6 Hedgerow Data'!$AM$3:$AM$15,0),MATCH(M103,'G-6 Hedgerow Data'!$AN$2:$AZ$2,0))),"")</f>
        <v/>
      </c>
      <c r="O103" s="499" t="str">
        <f t="shared" si="10"/>
        <v/>
      </c>
      <c r="P103" s="505" t="str">
        <f>IF(B103="","",VLOOKUP(B103,'E-1 Off Site Hedge Baseline'!$B$10:T348,16,FALSE))</f>
        <v/>
      </c>
      <c r="Q103" s="498" t="str">
        <f>IF(M103="","",VLOOKUP(M103,'G-6 Hedgerow Data'!$B$2:$AG$15,2,FALSE))</f>
        <v/>
      </c>
      <c r="R103" s="499" t="str">
        <f>IF(M103="","",VLOOKUP(M103,'G-6 Hedgerow Data'!$B$2:$AG$15,3,FALSE))</f>
        <v/>
      </c>
      <c r="S103" s="145"/>
      <c r="T103" s="499" t="str">
        <f>IFERROR(IF(AND(Q103="V.Low",OR(S103="Good",S103="Moderate")),"Error ▲",VLOOKUP(S103,'G-1 All Habitats'!$Z$2:$AA$9,2,FALSE)),"")</f>
        <v/>
      </c>
      <c r="U103" s="145"/>
      <c r="V103" s="507" t="str">
        <f>IF(U103="","",IF(VLOOKUP(U103,'G-3 Multipliers'!$L$3:$N$6,2,FALSE)=0,"Spatial Data Missing ⚠",VLOOKUP(U103,'G-3 Multipliers'!$L$3:$N$6,2,FALSE)))</f>
        <v/>
      </c>
      <c r="W103" s="505"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9"/>
        <v/>
      </c>
      <c r="AD103" s="537" t="str">
        <f>IF(M103="","",VLOOKUP(M103,'G-6 Hedgerow Data'!$B$3:$AG$15,31,FALSE))</f>
        <v/>
      </c>
      <c r="AE103" s="520" t="str">
        <f t="shared" si="13"/>
        <v/>
      </c>
      <c r="AF103" s="520" t="str">
        <f t="shared" si="14"/>
        <v/>
      </c>
      <c r="AG103" s="524" t="str">
        <f>IFERROR(IF(O103="","",VLOOKUP(AD103,'G-3 Multipliers'!$P$3:$Q$6,2,FALSE)),"")</f>
        <v/>
      </c>
      <c r="AH103" s="197"/>
      <c r="AI103" s="499" t="str">
        <f>IF(AH103="","",IF(VLOOKUP(AH103,'G-3 Multipliers'!$S$3:$T$6,2,FALSE)=0,"Spatial Data Missing ⚠",VLOOKUP(AH103,'G-3 Multipliers'!$S$3:$T$6,2,FALSE)))</f>
        <v/>
      </c>
      <c r="AJ103" s="545" t="str">
        <f t="shared" si="15"/>
        <v/>
      </c>
      <c r="AK103" s="149"/>
      <c r="AL103" s="150"/>
      <c r="AP103" s="31" t="str">
        <f>IFERROR(INDEX('G-6 Hedgerow Data'!$BJ$3:$BJ$15,MATCH(M103,'G-6 Hedgerow Data'!$B$3:$B$15,0)),"")</f>
        <v/>
      </c>
    </row>
    <row r="104" spans="2:42" ht="13.8" x14ac:dyDescent="0.25">
      <c r="B104" s="531" t="str">
        <f>'E-1 Off Site Hedge Baseline'!AK102</f>
        <v/>
      </c>
      <c r="C104" s="520" t="str">
        <f>IF(B104="","",IF(ISNA(VLOOKUP($B104,'E-1 Off Site Hedge Baseline'!$B$1:$L$257,3,FALSE)),"",(VLOOKUP($B104,'E-1 Off Site Hedge Baseline'!$B$1:$L$257,3,FALSE))))</f>
        <v/>
      </c>
      <c r="D104" s="520" t="str">
        <f>IF(B104="","",IF(ISNA(VLOOKUP($B104,'E-1 Off Site Hedge Baseline'!$B$1:$L$258,4,FALSE)),"",(VLOOKUP($B104,'E-1 Off Site Hedge Baseline'!$B$1:$L$258,4,FALSE))))</f>
        <v/>
      </c>
      <c r="E104" s="520" t="str">
        <f>IF(B104="","",IF(ISNA(VLOOKUP($B104,'E-1 Off Site Hedge Baseline'!$B$1:$L$257,5,FALSE)),"",(VLOOKUP($B104,'E-1 Off Site Hedge Baseline'!$B$1:$L$257,5,FALSE))))</f>
        <v/>
      </c>
      <c r="F104" s="520" t="str">
        <f>IF(B104="","",IF(ISNA(VLOOKUP($B104,'E-1 Off Site Hedge Baseline'!$B$1:$L$257,6,FALSE)),"",(VLOOKUP($B104,'E-1 Off Site Hedge Baseline'!$B$1:$L$257,6,FALSE))))</f>
        <v/>
      </c>
      <c r="G104" s="520" t="str">
        <f>IF(B104="","",IF(ISNA(VLOOKUP($B104,'E-1 Off Site Hedge Baseline'!$B$1:$L$257,7,FALSE)),"",(VLOOKUP($B104,'E-1 Off Site Hedge Baseline'!$B$1:$L$257,7,FALSE))))</f>
        <v/>
      </c>
      <c r="H104" s="520" t="str">
        <f>IF(B104="","",IF(ISNA(VLOOKUP($B104,'E-1 Off Site Hedge Baseline'!$B$1:$L$257,8,FALSE)),"",(VLOOKUP($B104,'E-1 Off Site Hedge Baseline'!$B$1:$L$257,8,FALSE))))</f>
        <v/>
      </c>
      <c r="I104" s="520" t="str">
        <f>IF(B104="","",IF(ISNA(VLOOKUP($B104,'E-1 Off Site Hedge Baseline'!$B$1:$L$257,10,FALSE)),"",(VLOOKUP($B104,'E-1 Off Site Hedge Baseline'!$B$1:$L$257,10,FALSE))))</f>
        <v/>
      </c>
      <c r="J104" s="520" t="str">
        <f>IF(B104="","",IF(ISNA(VLOOKUP($B104,'E-1 Off Site Hedge Baseline'!$B$1:$L$257,11,FALSE)),"",(VLOOKUP($B104,'E-1 Off Site Hedge Baseline'!$B$1:$L$257,11,FALSE))))</f>
        <v/>
      </c>
      <c r="K104" s="520" t="str">
        <f>IF(B104="","",IF(ISNA(VLOOKUP($B104,'E-1 Off Site Hedge Baseline'!$B$1:$U$257,113,FALSE)),"",(VLOOKUP($B104,'E-1 Off Site Hedge Baseline'!$B$1:$U$257,13,FALSE))))</f>
        <v/>
      </c>
      <c r="L104" s="507" t="str">
        <f>IF(B104="","",IF(ISNA(VLOOKUP($B104,'E-1 Off Site Hedge Baseline'!$B$1:$U$257,12,FALSE)),"",(VLOOKUP($B104,'E-1 Off Site Hedge Baseline'!$B$1:$U$257,12,FALSE))))</f>
        <v/>
      </c>
      <c r="M104" s="418" t="str">
        <f t="shared" si="16"/>
        <v/>
      </c>
      <c r="N104" s="498" t="str">
        <f>IFERROR(IF(B104="","",INDEX('G-6 Hedgerow Data'!$AN$3:$AZ$15,MATCH(C104,'G-6 Hedgerow Data'!$AM$3:$AM$15,0),MATCH(M104,'G-6 Hedgerow Data'!$AN$2:$AZ$2,0))),"")</f>
        <v/>
      </c>
      <c r="O104" s="499" t="str">
        <f t="shared" si="10"/>
        <v/>
      </c>
      <c r="P104" s="505" t="str">
        <f>IF(B104="","",VLOOKUP(B104,'E-1 Off Site Hedge Baseline'!$B$10:T349,16,FALSE))</f>
        <v/>
      </c>
      <c r="Q104" s="498" t="str">
        <f>IF(M104="","",VLOOKUP(M104,'G-6 Hedgerow Data'!$B$2:$AG$15,2,FALSE))</f>
        <v/>
      </c>
      <c r="R104" s="499" t="str">
        <f>IF(M104="","",VLOOKUP(M104,'G-6 Hedgerow Data'!$B$2:$AG$15,3,FALSE))</f>
        <v/>
      </c>
      <c r="S104" s="145"/>
      <c r="T104" s="499" t="str">
        <f>IFERROR(IF(AND(Q104="V.Low",OR(S104="Good",S104="Moderate")),"Error ▲",VLOOKUP(S104,'G-1 All Habitats'!$Z$2:$AA$9,2,FALSE)),"")</f>
        <v/>
      </c>
      <c r="U104" s="145"/>
      <c r="V104" s="507" t="str">
        <f>IF(U104="","",IF(VLOOKUP(U104,'G-3 Multipliers'!$L$3:$N$6,2,FALSE)=0,"Spatial Data Missing ⚠",VLOOKUP(U104,'G-3 Multipliers'!$L$3:$N$6,2,FALSE)))</f>
        <v/>
      </c>
      <c r="W104" s="505"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9"/>
        <v/>
      </c>
      <c r="AD104" s="537" t="str">
        <f>IF(M104="","",VLOOKUP(M104,'G-6 Hedgerow Data'!$B$3:$AG$15,31,FALSE))</f>
        <v/>
      </c>
      <c r="AE104" s="520" t="str">
        <f t="shared" si="13"/>
        <v/>
      </c>
      <c r="AF104" s="520" t="str">
        <f t="shared" si="14"/>
        <v/>
      </c>
      <c r="AG104" s="524" t="str">
        <f>IFERROR(IF(O104="","",VLOOKUP(AD104,'G-3 Multipliers'!$P$3:$Q$6,2,FALSE)),"")</f>
        <v/>
      </c>
      <c r="AH104" s="197"/>
      <c r="AI104" s="499" t="str">
        <f>IF(AH104="","",IF(VLOOKUP(AH104,'G-3 Multipliers'!$S$3:$T$6,2,FALSE)=0,"Spatial Data Missing ⚠",VLOOKUP(AH104,'G-3 Multipliers'!$S$3:$T$6,2,FALSE)))</f>
        <v/>
      </c>
      <c r="AJ104" s="545" t="str">
        <f t="shared" si="15"/>
        <v/>
      </c>
      <c r="AK104" s="149"/>
      <c r="AL104" s="150"/>
      <c r="AP104" s="31" t="str">
        <f>IFERROR(INDEX('G-6 Hedgerow Data'!$BJ$3:$BJ$15,MATCH(M104,'G-6 Hedgerow Data'!$B$3:$B$15,0)),"")</f>
        <v/>
      </c>
    </row>
    <row r="105" spans="2:42" ht="13.8" x14ac:dyDescent="0.25">
      <c r="B105" s="531" t="str">
        <f>'E-1 Off Site Hedge Baseline'!AK103</f>
        <v/>
      </c>
      <c r="C105" s="520" t="str">
        <f>IF(B105="","",IF(ISNA(VLOOKUP($B105,'E-1 Off Site Hedge Baseline'!$B$1:$L$257,3,FALSE)),"",(VLOOKUP($B105,'E-1 Off Site Hedge Baseline'!$B$1:$L$257,3,FALSE))))</f>
        <v/>
      </c>
      <c r="D105" s="520" t="str">
        <f>IF(B105="","",IF(ISNA(VLOOKUP($B105,'E-1 Off Site Hedge Baseline'!$B$1:$L$258,4,FALSE)),"",(VLOOKUP($B105,'E-1 Off Site Hedge Baseline'!$B$1:$L$258,4,FALSE))))</f>
        <v/>
      </c>
      <c r="E105" s="520" t="str">
        <f>IF(B105="","",IF(ISNA(VLOOKUP($B105,'E-1 Off Site Hedge Baseline'!$B$1:$L$257,5,FALSE)),"",(VLOOKUP($B105,'E-1 Off Site Hedge Baseline'!$B$1:$L$257,5,FALSE))))</f>
        <v/>
      </c>
      <c r="F105" s="520" t="str">
        <f>IF(B105="","",IF(ISNA(VLOOKUP($B105,'E-1 Off Site Hedge Baseline'!$B$1:$L$257,6,FALSE)),"",(VLOOKUP($B105,'E-1 Off Site Hedge Baseline'!$B$1:$L$257,6,FALSE))))</f>
        <v/>
      </c>
      <c r="G105" s="520" t="str">
        <f>IF(B105="","",IF(ISNA(VLOOKUP($B105,'E-1 Off Site Hedge Baseline'!$B$1:$L$257,7,FALSE)),"",(VLOOKUP($B105,'E-1 Off Site Hedge Baseline'!$B$1:$L$257,7,FALSE))))</f>
        <v/>
      </c>
      <c r="H105" s="520" t="str">
        <f>IF(B105="","",IF(ISNA(VLOOKUP($B105,'E-1 Off Site Hedge Baseline'!$B$1:$L$257,8,FALSE)),"",(VLOOKUP($B105,'E-1 Off Site Hedge Baseline'!$B$1:$L$257,8,FALSE))))</f>
        <v/>
      </c>
      <c r="I105" s="520" t="str">
        <f>IF(B105="","",IF(ISNA(VLOOKUP($B105,'E-1 Off Site Hedge Baseline'!$B$1:$L$257,10,FALSE)),"",(VLOOKUP($B105,'E-1 Off Site Hedge Baseline'!$B$1:$L$257,10,FALSE))))</f>
        <v/>
      </c>
      <c r="J105" s="520" t="str">
        <f>IF(B105="","",IF(ISNA(VLOOKUP($B105,'E-1 Off Site Hedge Baseline'!$B$1:$L$257,11,FALSE)),"",(VLOOKUP($B105,'E-1 Off Site Hedge Baseline'!$B$1:$L$257,11,FALSE))))</f>
        <v/>
      </c>
      <c r="K105" s="520" t="str">
        <f>IF(B105="","",IF(ISNA(VLOOKUP($B105,'E-1 Off Site Hedge Baseline'!$B$1:$U$257,113,FALSE)),"",(VLOOKUP($B105,'E-1 Off Site Hedge Baseline'!$B$1:$U$257,13,FALSE))))</f>
        <v/>
      </c>
      <c r="L105" s="507" t="str">
        <f>IF(B105="","",IF(ISNA(VLOOKUP($B105,'E-1 Off Site Hedge Baseline'!$B$1:$U$257,12,FALSE)),"",(VLOOKUP($B105,'E-1 Off Site Hedge Baseline'!$B$1:$U$257,12,FALSE))))</f>
        <v/>
      </c>
      <c r="M105" s="418" t="str">
        <f t="shared" si="16"/>
        <v/>
      </c>
      <c r="N105" s="498" t="str">
        <f>IFERROR(IF(B105="","",INDEX('G-6 Hedgerow Data'!$AN$3:$AZ$15,MATCH(C105,'G-6 Hedgerow Data'!$AM$3:$AM$15,0),MATCH(M105,'G-6 Hedgerow Data'!$AN$2:$AZ$2,0))),"")</f>
        <v/>
      </c>
      <c r="O105" s="499" t="str">
        <f t="shared" si="10"/>
        <v/>
      </c>
      <c r="P105" s="505" t="str">
        <f>IF(B105="","",VLOOKUP(B105,'E-1 Off Site Hedge Baseline'!$B$10:T350,16,FALSE))</f>
        <v/>
      </c>
      <c r="Q105" s="498" t="str">
        <f>IF(M105="","",VLOOKUP(M105,'G-6 Hedgerow Data'!$B$2:$AG$15,2,FALSE))</f>
        <v/>
      </c>
      <c r="R105" s="499" t="str">
        <f>IF(M105="","",VLOOKUP(M105,'G-6 Hedgerow Data'!$B$2:$AG$15,3,FALSE))</f>
        <v/>
      </c>
      <c r="S105" s="145"/>
      <c r="T105" s="499" t="str">
        <f>IFERROR(IF(AND(Q105="V.Low",OR(S105="Good",S105="Moderate")),"Error ▲",VLOOKUP(S105,'G-1 All Habitats'!$Z$2:$AA$9,2,FALSE)),"")</f>
        <v/>
      </c>
      <c r="U105" s="145"/>
      <c r="V105" s="507" t="str">
        <f>IF(U105="","",IF(VLOOKUP(U105,'G-3 Multipliers'!$L$3:$N$6,2,FALSE)=0,"Spatial Data Missing ⚠",VLOOKUP(U105,'G-3 Multipliers'!$L$3:$N$6,2,FALSE)))</f>
        <v/>
      </c>
      <c r="W105" s="505"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9"/>
        <v/>
      </c>
      <c r="AD105" s="537" t="str">
        <f>IF(M105="","",VLOOKUP(M105,'G-6 Hedgerow Data'!$B$3:$AG$15,31,FALSE))</f>
        <v/>
      </c>
      <c r="AE105" s="520" t="str">
        <f t="shared" si="13"/>
        <v/>
      </c>
      <c r="AF105" s="520" t="str">
        <f t="shared" si="14"/>
        <v/>
      </c>
      <c r="AG105" s="524" t="str">
        <f>IFERROR(IF(O105="","",VLOOKUP(AD105,'G-3 Multipliers'!$P$3:$Q$6,2,FALSE)),"")</f>
        <v/>
      </c>
      <c r="AH105" s="197"/>
      <c r="AI105" s="499" t="str">
        <f>IF(AH105="","",IF(VLOOKUP(AH105,'G-3 Multipliers'!$S$3:$T$6,2,FALSE)=0,"Spatial Data Missing ⚠",VLOOKUP(AH105,'G-3 Multipliers'!$S$3:$T$6,2,FALSE)))</f>
        <v/>
      </c>
      <c r="AJ105" s="545" t="str">
        <f t="shared" si="15"/>
        <v/>
      </c>
      <c r="AK105" s="149"/>
      <c r="AL105" s="150"/>
      <c r="AP105" s="31" t="str">
        <f>IFERROR(INDEX('G-6 Hedgerow Data'!$BJ$3:$BJ$15,MATCH(M105,'G-6 Hedgerow Data'!$B$3:$B$15,0)),"")</f>
        <v/>
      </c>
    </row>
    <row r="106" spans="2:42" ht="13.8" x14ac:dyDescent="0.25">
      <c r="B106" s="531" t="str">
        <f>'E-1 Off Site Hedge Baseline'!AK104</f>
        <v/>
      </c>
      <c r="C106" s="520" t="str">
        <f>IF(B106="","",IF(ISNA(VLOOKUP($B106,'E-1 Off Site Hedge Baseline'!$B$1:$L$257,3,FALSE)),"",(VLOOKUP($B106,'E-1 Off Site Hedge Baseline'!$B$1:$L$257,3,FALSE))))</f>
        <v/>
      </c>
      <c r="D106" s="520" t="str">
        <f>IF(B106="","",IF(ISNA(VLOOKUP($B106,'E-1 Off Site Hedge Baseline'!$B$1:$L$258,4,FALSE)),"",(VLOOKUP($B106,'E-1 Off Site Hedge Baseline'!$B$1:$L$258,4,FALSE))))</f>
        <v/>
      </c>
      <c r="E106" s="520" t="str">
        <f>IF(B106="","",IF(ISNA(VLOOKUP($B106,'E-1 Off Site Hedge Baseline'!$B$1:$L$257,5,FALSE)),"",(VLOOKUP($B106,'E-1 Off Site Hedge Baseline'!$B$1:$L$257,5,FALSE))))</f>
        <v/>
      </c>
      <c r="F106" s="520" t="str">
        <f>IF(B106="","",IF(ISNA(VLOOKUP($B106,'E-1 Off Site Hedge Baseline'!$B$1:$L$257,6,FALSE)),"",(VLOOKUP($B106,'E-1 Off Site Hedge Baseline'!$B$1:$L$257,6,FALSE))))</f>
        <v/>
      </c>
      <c r="G106" s="520" t="str">
        <f>IF(B106="","",IF(ISNA(VLOOKUP($B106,'E-1 Off Site Hedge Baseline'!$B$1:$L$257,7,FALSE)),"",(VLOOKUP($B106,'E-1 Off Site Hedge Baseline'!$B$1:$L$257,7,FALSE))))</f>
        <v/>
      </c>
      <c r="H106" s="520" t="str">
        <f>IF(B106="","",IF(ISNA(VLOOKUP($B106,'E-1 Off Site Hedge Baseline'!$B$1:$L$257,8,FALSE)),"",(VLOOKUP($B106,'E-1 Off Site Hedge Baseline'!$B$1:$L$257,8,FALSE))))</f>
        <v/>
      </c>
      <c r="I106" s="520" t="str">
        <f>IF(B106="","",IF(ISNA(VLOOKUP($B106,'E-1 Off Site Hedge Baseline'!$B$1:$L$257,10,FALSE)),"",(VLOOKUP($B106,'E-1 Off Site Hedge Baseline'!$B$1:$L$257,10,FALSE))))</f>
        <v/>
      </c>
      <c r="J106" s="520" t="str">
        <f>IF(B106="","",IF(ISNA(VLOOKUP($B106,'E-1 Off Site Hedge Baseline'!$B$1:$L$257,11,FALSE)),"",(VLOOKUP($B106,'E-1 Off Site Hedge Baseline'!$B$1:$L$257,11,FALSE))))</f>
        <v/>
      </c>
      <c r="K106" s="520" t="str">
        <f>IF(B106="","",IF(ISNA(VLOOKUP($B106,'E-1 Off Site Hedge Baseline'!$B$1:$U$257,113,FALSE)),"",(VLOOKUP($B106,'E-1 Off Site Hedge Baseline'!$B$1:$U$257,13,FALSE))))</f>
        <v/>
      </c>
      <c r="L106" s="507" t="str">
        <f>IF(B106="","",IF(ISNA(VLOOKUP($B106,'E-1 Off Site Hedge Baseline'!$B$1:$U$257,12,FALSE)),"",(VLOOKUP($B106,'E-1 Off Site Hedge Baseline'!$B$1:$U$257,12,FALSE))))</f>
        <v/>
      </c>
      <c r="M106" s="418" t="str">
        <f t="shared" si="16"/>
        <v/>
      </c>
      <c r="N106" s="498" t="str">
        <f>IFERROR(IF(B106="","",INDEX('G-6 Hedgerow Data'!$AN$3:$AZ$15,MATCH(C106,'G-6 Hedgerow Data'!$AM$3:$AM$15,0),MATCH(M106,'G-6 Hedgerow Data'!$AN$2:$AZ$2,0))),"")</f>
        <v/>
      </c>
      <c r="O106" s="499" t="str">
        <f t="shared" si="10"/>
        <v/>
      </c>
      <c r="P106" s="505" t="str">
        <f>IF(B106="","",VLOOKUP(B106,'E-1 Off Site Hedge Baseline'!$B$10:T351,16,FALSE))</f>
        <v/>
      </c>
      <c r="Q106" s="498" t="str">
        <f>IF(M106="","",VLOOKUP(M106,'G-6 Hedgerow Data'!$B$2:$AG$15,2,FALSE))</f>
        <v/>
      </c>
      <c r="R106" s="499" t="str">
        <f>IF(M106="","",VLOOKUP(M106,'G-6 Hedgerow Data'!$B$2:$AG$15,3,FALSE))</f>
        <v/>
      </c>
      <c r="S106" s="145"/>
      <c r="T106" s="499" t="str">
        <f>IFERROR(IF(AND(Q106="V.Low",OR(S106="Good",S106="Moderate")),"Error ▲",VLOOKUP(S106,'G-1 All Habitats'!$Z$2:$AA$9,2,FALSE)),"")</f>
        <v/>
      </c>
      <c r="U106" s="145"/>
      <c r="V106" s="507" t="str">
        <f>IF(U106="","",IF(VLOOKUP(U106,'G-3 Multipliers'!$L$3:$N$6,2,FALSE)=0,"Spatial Data Missing ⚠",VLOOKUP(U106,'G-3 Multipliers'!$L$3:$N$6,2,FALSE)))</f>
        <v/>
      </c>
      <c r="W106" s="505"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9"/>
        <v/>
      </c>
      <c r="AD106" s="537" t="str">
        <f>IF(M106="","",VLOOKUP(M106,'G-6 Hedgerow Data'!$B$3:$AG$15,31,FALSE))</f>
        <v/>
      </c>
      <c r="AE106" s="520" t="str">
        <f t="shared" si="13"/>
        <v/>
      </c>
      <c r="AF106" s="520" t="str">
        <f t="shared" si="14"/>
        <v/>
      </c>
      <c r="AG106" s="524" t="str">
        <f>IFERROR(IF(O106="","",VLOOKUP(AD106,'G-3 Multipliers'!$P$3:$Q$6,2,FALSE)),"")</f>
        <v/>
      </c>
      <c r="AH106" s="197"/>
      <c r="AI106" s="499" t="str">
        <f>IF(AH106="","",IF(VLOOKUP(AH106,'G-3 Multipliers'!$S$3:$T$6,2,FALSE)=0,"Spatial Data Missing ⚠",VLOOKUP(AH106,'G-3 Multipliers'!$S$3:$T$6,2,FALSE)))</f>
        <v/>
      </c>
      <c r="AJ106" s="545" t="str">
        <f t="shared" si="15"/>
        <v/>
      </c>
      <c r="AK106" s="149"/>
      <c r="AL106" s="150"/>
      <c r="AP106" s="31" t="str">
        <f>IFERROR(INDEX('G-6 Hedgerow Data'!$BJ$3:$BJ$15,MATCH(M106,'G-6 Hedgerow Data'!$B$3:$B$15,0)),"")</f>
        <v/>
      </c>
    </row>
    <row r="107" spans="2:42" ht="13.8" x14ac:dyDescent="0.25">
      <c r="B107" s="531" t="str">
        <f>'E-1 Off Site Hedge Baseline'!AK105</f>
        <v/>
      </c>
      <c r="C107" s="520" t="str">
        <f>IF(B107="","",IF(ISNA(VLOOKUP($B107,'E-1 Off Site Hedge Baseline'!$B$1:$L$257,3,FALSE)),"",(VLOOKUP($B107,'E-1 Off Site Hedge Baseline'!$B$1:$L$257,3,FALSE))))</f>
        <v/>
      </c>
      <c r="D107" s="520" t="str">
        <f>IF(B107="","",IF(ISNA(VLOOKUP($B107,'E-1 Off Site Hedge Baseline'!$B$1:$L$258,4,FALSE)),"",(VLOOKUP($B107,'E-1 Off Site Hedge Baseline'!$B$1:$L$258,4,FALSE))))</f>
        <v/>
      </c>
      <c r="E107" s="520" t="str">
        <f>IF(B107="","",IF(ISNA(VLOOKUP($B107,'E-1 Off Site Hedge Baseline'!$B$1:$L$257,5,FALSE)),"",(VLOOKUP($B107,'E-1 Off Site Hedge Baseline'!$B$1:$L$257,5,FALSE))))</f>
        <v/>
      </c>
      <c r="F107" s="520" t="str">
        <f>IF(B107="","",IF(ISNA(VLOOKUP($B107,'E-1 Off Site Hedge Baseline'!$B$1:$L$257,6,FALSE)),"",(VLOOKUP($B107,'E-1 Off Site Hedge Baseline'!$B$1:$L$257,6,FALSE))))</f>
        <v/>
      </c>
      <c r="G107" s="520" t="str">
        <f>IF(B107="","",IF(ISNA(VLOOKUP($B107,'E-1 Off Site Hedge Baseline'!$B$1:$L$257,7,FALSE)),"",(VLOOKUP($B107,'E-1 Off Site Hedge Baseline'!$B$1:$L$257,7,FALSE))))</f>
        <v/>
      </c>
      <c r="H107" s="520" t="str">
        <f>IF(B107="","",IF(ISNA(VLOOKUP($B107,'E-1 Off Site Hedge Baseline'!$B$1:$L$257,8,FALSE)),"",(VLOOKUP($B107,'E-1 Off Site Hedge Baseline'!$B$1:$L$257,8,FALSE))))</f>
        <v/>
      </c>
      <c r="I107" s="520" t="str">
        <f>IF(B107="","",IF(ISNA(VLOOKUP($B107,'E-1 Off Site Hedge Baseline'!$B$1:$L$257,10,FALSE)),"",(VLOOKUP($B107,'E-1 Off Site Hedge Baseline'!$B$1:$L$257,10,FALSE))))</f>
        <v/>
      </c>
      <c r="J107" s="520" t="str">
        <f>IF(B107="","",IF(ISNA(VLOOKUP($B107,'E-1 Off Site Hedge Baseline'!$B$1:$L$257,11,FALSE)),"",(VLOOKUP($B107,'E-1 Off Site Hedge Baseline'!$B$1:$L$257,11,FALSE))))</f>
        <v/>
      </c>
      <c r="K107" s="520" t="str">
        <f>IF(B107="","",IF(ISNA(VLOOKUP($B107,'E-1 Off Site Hedge Baseline'!$B$1:$U$257,113,FALSE)),"",(VLOOKUP($B107,'E-1 Off Site Hedge Baseline'!$B$1:$U$257,13,FALSE))))</f>
        <v/>
      </c>
      <c r="L107" s="507" t="str">
        <f>IF(B107="","",IF(ISNA(VLOOKUP($B107,'E-1 Off Site Hedge Baseline'!$B$1:$U$257,12,FALSE)),"",(VLOOKUP($B107,'E-1 Off Site Hedge Baseline'!$B$1:$U$257,12,FALSE))))</f>
        <v/>
      </c>
      <c r="M107" s="418" t="str">
        <f t="shared" si="16"/>
        <v/>
      </c>
      <c r="N107" s="498" t="str">
        <f>IFERROR(IF(B107="","",INDEX('G-6 Hedgerow Data'!$AN$3:$AZ$15,MATCH(C107,'G-6 Hedgerow Data'!$AM$3:$AM$15,0),MATCH(M107,'G-6 Hedgerow Data'!$AN$2:$AZ$2,0))),"")</f>
        <v/>
      </c>
      <c r="O107" s="499" t="str">
        <f t="shared" si="10"/>
        <v/>
      </c>
      <c r="P107" s="505" t="str">
        <f>IF(B107="","",VLOOKUP(B107,'E-1 Off Site Hedge Baseline'!$B$10:T352,16,FALSE))</f>
        <v/>
      </c>
      <c r="Q107" s="498" t="str">
        <f>IF(M107="","",VLOOKUP(M107,'G-6 Hedgerow Data'!$B$2:$AG$15,2,FALSE))</f>
        <v/>
      </c>
      <c r="R107" s="499" t="str">
        <f>IF(M107="","",VLOOKUP(M107,'G-6 Hedgerow Data'!$B$2:$AG$15,3,FALSE))</f>
        <v/>
      </c>
      <c r="S107" s="145"/>
      <c r="T107" s="499" t="str">
        <f>IFERROR(IF(AND(Q107="V.Low",OR(S107="Good",S107="Moderate")),"Error ▲",VLOOKUP(S107,'G-1 All Habitats'!$Z$2:$AA$9,2,FALSE)),"")</f>
        <v/>
      </c>
      <c r="U107" s="145"/>
      <c r="V107" s="507" t="str">
        <f>IF(U107="","",IF(VLOOKUP(U107,'G-3 Multipliers'!$L$3:$N$6,2,FALSE)=0,"Spatial Data Missing ⚠",VLOOKUP(U107,'G-3 Multipliers'!$L$3:$N$6,2,FALSE)))</f>
        <v/>
      </c>
      <c r="W107" s="505"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9"/>
        <v/>
      </c>
      <c r="AD107" s="537" t="str">
        <f>IF(M107="","",VLOOKUP(M107,'G-6 Hedgerow Data'!$B$3:$AG$15,31,FALSE))</f>
        <v/>
      </c>
      <c r="AE107" s="520" t="str">
        <f t="shared" si="13"/>
        <v/>
      </c>
      <c r="AF107" s="520" t="str">
        <f t="shared" si="14"/>
        <v/>
      </c>
      <c r="AG107" s="524" t="str">
        <f>IFERROR(IF(O107="","",VLOOKUP(AD107,'G-3 Multipliers'!$P$3:$Q$6,2,FALSE)),"")</f>
        <v/>
      </c>
      <c r="AH107" s="197"/>
      <c r="AI107" s="499" t="str">
        <f>IF(AH107="","",IF(VLOOKUP(AH107,'G-3 Multipliers'!$S$3:$T$6,2,FALSE)=0,"Spatial Data Missing ⚠",VLOOKUP(AH107,'G-3 Multipliers'!$S$3:$T$6,2,FALSE)))</f>
        <v/>
      </c>
      <c r="AJ107" s="545" t="str">
        <f t="shared" si="15"/>
        <v/>
      </c>
      <c r="AK107" s="149"/>
      <c r="AL107" s="150"/>
      <c r="AP107" s="31" t="str">
        <f>IFERROR(INDEX('G-6 Hedgerow Data'!$BJ$3:$BJ$15,MATCH(M107,'G-6 Hedgerow Data'!$B$3:$B$15,0)),"")</f>
        <v/>
      </c>
    </row>
    <row r="108" spans="2:42" ht="13.8" x14ac:dyDescent="0.25">
      <c r="B108" s="531" t="str">
        <f>'E-1 Off Site Hedge Baseline'!AK106</f>
        <v/>
      </c>
      <c r="C108" s="520" t="str">
        <f>IF(B108="","",IF(ISNA(VLOOKUP($B108,'E-1 Off Site Hedge Baseline'!$B$1:$L$257,3,FALSE)),"",(VLOOKUP($B108,'E-1 Off Site Hedge Baseline'!$B$1:$L$257,3,FALSE))))</f>
        <v/>
      </c>
      <c r="D108" s="520" t="str">
        <f>IF(B108="","",IF(ISNA(VLOOKUP($B108,'E-1 Off Site Hedge Baseline'!$B$1:$L$258,4,FALSE)),"",(VLOOKUP($B108,'E-1 Off Site Hedge Baseline'!$B$1:$L$258,4,FALSE))))</f>
        <v/>
      </c>
      <c r="E108" s="520" t="str">
        <f>IF(B108="","",IF(ISNA(VLOOKUP($B108,'E-1 Off Site Hedge Baseline'!$B$1:$L$257,5,FALSE)),"",(VLOOKUP($B108,'E-1 Off Site Hedge Baseline'!$B$1:$L$257,5,FALSE))))</f>
        <v/>
      </c>
      <c r="F108" s="520" t="str">
        <f>IF(B108="","",IF(ISNA(VLOOKUP($B108,'E-1 Off Site Hedge Baseline'!$B$1:$L$257,6,FALSE)),"",(VLOOKUP($B108,'E-1 Off Site Hedge Baseline'!$B$1:$L$257,6,FALSE))))</f>
        <v/>
      </c>
      <c r="G108" s="520" t="str">
        <f>IF(B108="","",IF(ISNA(VLOOKUP($B108,'E-1 Off Site Hedge Baseline'!$B$1:$L$257,7,FALSE)),"",(VLOOKUP($B108,'E-1 Off Site Hedge Baseline'!$B$1:$L$257,7,FALSE))))</f>
        <v/>
      </c>
      <c r="H108" s="520" t="str">
        <f>IF(B108="","",IF(ISNA(VLOOKUP($B108,'E-1 Off Site Hedge Baseline'!$B$1:$L$257,8,FALSE)),"",(VLOOKUP($B108,'E-1 Off Site Hedge Baseline'!$B$1:$L$257,8,FALSE))))</f>
        <v/>
      </c>
      <c r="I108" s="520" t="str">
        <f>IF(B108="","",IF(ISNA(VLOOKUP($B108,'E-1 Off Site Hedge Baseline'!$B$1:$L$257,10,FALSE)),"",(VLOOKUP($B108,'E-1 Off Site Hedge Baseline'!$B$1:$L$257,10,FALSE))))</f>
        <v/>
      </c>
      <c r="J108" s="520" t="str">
        <f>IF(B108="","",IF(ISNA(VLOOKUP($B108,'E-1 Off Site Hedge Baseline'!$B$1:$L$257,11,FALSE)),"",(VLOOKUP($B108,'E-1 Off Site Hedge Baseline'!$B$1:$L$257,11,FALSE))))</f>
        <v/>
      </c>
      <c r="K108" s="520" t="str">
        <f>IF(B108="","",IF(ISNA(VLOOKUP($B108,'E-1 Off Site Hedge Baseline'!$B$1:$U$257,113,FALSE)),"",(VLOOKUP($B108,'E-1 Off Site Hedge Baseline'!$B$1:$U$257,13,FALSE))))</f>
        <v/>
      </c>
      <c r="L108" s="507" t="str">
        <f>IF(B108="","",IF(ISNA(VLOOKUP($B108,'E-1 Off Site Hedge Baseline'!$B$1:$U$257,12,FALSE)),"",(VLOOKUP($B108,'E-1 Off Site Hedge Baseline'!$B$1:$U$257,12,FALSE))))</f>
        <v/>
      </c>
      <c r="M108" s="418" t="str">
        <f t="shared" si="16"/>
        <v/>
      </c>
      <c r="N108" s="498" t="str">
        <f>IFERROR(IF(B108="","",INDEX('G-6 Hedgerow Data'!$AN$3:$AZ$15,MATCH(C108,'G-6 Hedgerow Data'!$AM$3:$AM$15,0),MATCH(M108,'G-6 Hedgerow Data'!$AN$2:$AZ$2,0))),"")</f>
        <v/>
      </c>
      <c r="O108" s="499" t="str">
        <f t="shared" si="10"/>
        <v/>
      </c>
      <c r="P108" s="505" t="str">
        <f>IF(B108="","",VLOOKUP(B108,'E-1 Off Site Hedge Baseline'!$B$10:T353,16,FALSE))</f>
        <v/>
      </c>
      <c r="Q108" s="498" t="str">
        <f>IF(M108="","",VLOOKUP(M108,'G-6 Hedgerow Data'!$B$2:$AG$15,2,FALSE))</f>
        <v/>
      </c>
      <c r="R108" s="499" t="str">
        <f>IF(M108="","",VLOOKUP(M108,'G-6 Hedgerow Data'!$B$2:$AG$15,3,FALSE))</f>
        <v/>
      </c>
      <c r="S108" s="145"/>
      <c r="T108" s="499" t="str">
        <f>IFERROR(IF(AND(Q108="V.Low",OR(S108="Good",S108="Moderate")),"Error ▲",VLOOKUP(S108,'G-1 All Habitats'!$Z$2:$AA$9,2,FALSE)),"")</f>
        <v/>
      </c>
      <c r="U108" s="145"/>
      <c r="V108" s="507" t="str">
        <f>IF(U108="","",IF(VLOOKUP(U108,'G-3 Multipliers'!$L$3:$N$6,2,FALSE)=0,"Spatial Data Missing ⚠",VLOOKUP(U108,'G-3 Multipliers'!$L$3:$N$6,2,FALSE)))</f>
        <v/>
      </c>
      <c r="W108" s="505"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9"/>
        <v/>
      </c>
      <c r="AD108" s="537" t="str">
        <f>IF(M108="","",VLOOKUP(M108,'G-6 Hedgerow Data'!$B$3:$AG$15,31,FALSE))</f>
        <v/>
      </c>
      <c r="AE108" s="520" t="str">
        <f t="shared" si="13"/>
        <v/>
      </c>
      <c r="AF108" s="520" t="str">
        <f t="shared" si="14"/>
        <v/>
      </c>
      <c r="AG108" s="524" t="str">
        <f>IFERROR(IF(O108="","",VLOOKUP(AD108,'G-3 Multipliers'!$P$3:$Q$6,2,FALSE)),"")</f>
        <v/>
      </c>
      <c r="AH108" s="197"/>
      <c r="AI108" s="499" t="str">
        <f>IF(AH108="","",IF(VLOOKUP(AH108,'G-3 Multipliers'!$S$3:$T$6,2,FALSE)=0,"Spatial Data Missing ⚠",VLOOKUP(AH108,'G-3 Multipliers'!$S$3:$T$6,2,FALSE)))</f>
        <v/>
      </c>
      <c r="AJ108" s="545" t="str">
        <f t="shared" si="15"/>
        <v/>
      </c>
      <c r="AK108" s="149"/>
      <c r="AL108" s="150"/>
      <c r="AP108" s="31" t="str">
        <f>IFERROR(INDEX('G-6 Hedgerow Data'!$BJ$3:$BJ$15,MATCH(M108,'G-6 Hedgerow Data'!$B$3:$B$15,0)),"")</f>
        <v/>
      </c>
    </row>
    <row r="109" spans="2:42" ht="13.8" x14ac:dyDescent="0.25">
      <c r="B109" s="531" t="str">
        <f>'E-1 Off Site Hedge Baseline'!AK107</f>
        <v/>
      </c>
      <c r="C109" s="520" t="str">
        <f>IF(B109="","",IF(ISNA(VLOOKUP($B109,'E-1 Off Site Hedge Baseline'!$B$1:$L$257,3,FALSE)),"",(VLOOKUP($B109,'E-1 Off Site Hedge Baseline'!$B$1:$L$257,3,FALSE))))</f>
        <v/>
      </c>
      <c r="D109" s="520" t="str">
        <f>IF(B109="","",IF(ISNA(VLOOKUP($B109,'E-1 Off Site Hedge Baseline'!$B$1:$L$258,4,FALSE)),"",(VLOOKUP($B109,'E-1 Off Site Hedge Baseline'!$B$1:$L$258,4,FALSE))))</f>
        <v/>
      </c>
      <c r="E109" s="520" t="str">
        <f>IF(B109="","",IF(ISNA(VLOOKUP($B109,'E-1 Off Site Hedge Baseline'!$B$1:$L$257,5,FALSE)),"",(VLOOKUP($B109,'E-1 Off Site Hedge Baseline'!$B$1:$L$257,5,FALSE))))</f>
        <v/>
      </c>
      <c r="F109" s="520" t="str">
        <f>IF(B109="","",IF(ISNA(VLOOKUP($B109,'E-1 Off Site Hedge Baseline'!$B$1:$L$257,6,FALSE)),"",(VLOOKUP($B109,'E-1 Off Site Hedge Baseline'!$B$1:$L$257,6,FALSE))))</f>
        <v/>
      </c>
      <c r="G109" s="520" t="str">
        <f>IF(B109="","",IF(ISNA(VLOOKUP($B109,'E-1 Off Site Hedge Baseline'!$B$1:$L$257,7,FALSE)),"",(VLOOKUP($B109,'E-1 Off Site Hedge Baseline'!$B$1:$L$257,7,FALSE))))</f>
        <v/>
      </c>
      <c r="H109" s="520" t="str">
        <f>IF(B109="","",IF(ISNA(VLOOKUP($B109,'E-1 Off Site Hedge Baseline'!$B$1:$L$257,8,FALSE)),"",(VLOOKUP($B109,'E-1 Off Site Hedge Baseline'!$B$1:$L$257,8,FALSE))))</f>
        <v/>
      </c>
      <c r="I109" s="520" t="str">
        <f>IF(B109="","",IF(ISNA(VLOOKUP($B109,'E-1 Off Site Hedge Baseline'!$B$1:$L$257,10,FALSE)),"",(VLOOKUP($B109,'E-1 Off Site Hedge Baseline'!$B$1:$L$257,10,FALSE))))</f>
        <v/>
      </c>
      <c r="J109" s="520" t="str">
        <f>IF(B109="","",IF(ISNA(VLOOKUP($B109,'E-1 Off Site Hedge Baseline'!$B$1:$L$257,11,FALSE)),"",(VLOOKUP($B109,'E-1 Off Site Hedge Baseline'!$B$1:$L$257,11,FALSE))))</f>
        <v/>
      </c>
      <c r="K109" s="520" t="str">
        <f>IF(B109="","",IF(ISNA(VLOOKUP($B109,'E-1 Off Site Hedge Baseline'!$B$1:$U$257,113,FALSE)),"",(VLOOKUP($B109,'E-1 Off Site Hedge Baseline'!$B$1:$U$257,13,FALSE))))</f>
        <v/>
      </c>
      <c r="L109" s="507" t="str">
        <f>IF(B109="","",IF(ISNA(VLOOKUP($B109,'E-1 Off Site Hedge Baseline'!$B$1:$U$257,12,FALSE)),"",(VLOOKUP($B109,'E-1 Off Site Hedge Baseline'!$B$1:$U$257,12,FALSE))))</f>
        <v/>
      </c>
      <c r="M109" s="418" t="str">
        <f t="shared" si="16"/>
        <v/>
      </c>
      <c r="N109" s="498" t="str">
        <f>IFERROR(IF(B109="","",INDEX('G-6 Hedgerow Data'!$AN$3:$AZ$15,MATCH(C109,'G-6 Hedgerow Data'!$AM$3:$AM$15,0),MATCH(M109,'G-6 Hedgerow Data'!$AN$2:$AZ$2,0))),"")</f>
        <v/>
      </c>
      <c r="O109" s="499" t="str">
        <f t="shared" si="10"/>
        <v/>
      </c>
      <c r="P109" s="505" t="str">
        <f>IF(B109="","",VLOOKUP(B109,'E-1 Off Site Hedge Baseline'!$B$10:T354,16,FALSE))</f>
        <v/>
      </c>
      <c r="Q109" s="498" t="str">
        <f>IF(M109="","",VLOOKUP(M109,'G-6 Hedgerow Data'!$B$2:$AG$15,2,FALSE))</f>
        <v/>
      </c>
      <c r="R109" s="499" t="str">
        <f>IF(M109="","",VLOOKUP(M109,'G-6 Hedgerow Data'!$B$2:$AG$15,3,FALSE))</f>
        <v/>
      </c>
      <c r="S109" s="145"/>
      <c r="T109" s="499" t="str">
        <f>IFERROR(IF(AND(Q109="V.Low",OR(S109="Good",S109="Moderate")),"Error ▲",VLOOKUP(S109,'G-1 All Habitats'!$Z$2:$AA$9,2,FALSE)),"")</f>
        <v/>
      </c>
      <c r="U109" s="145"/>
      <c r="V109" s="507" t="str">
        <f>IF(U109="","",IF(VLOOKUP(U109,'G-3 Multipliers'!$L$3:$N$6,2,FALSE)=0,"Spatial Data Missing ⚠",VLOOKUP(U109,'G-3 Multipliers'!$L$3:$N$6,2,FALSE)))</f>
        <v/>
      </c>
      <c r="W109" s="505"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9"/>
        <v/>
      </c>
      <c r="AD109" s="537" t="str">
        <f>IF(M109="","",VLOOKUP(M109,'G-6 Hedgerow Data'!$B$3:$AG$15,31,FALSE))</f>
        <v/>
      </c>
      <c r="AE109" s="520" t="str">
        <f t="shared" si="13"/>
        <v/>
      </c>
      <c r="AF109" s="520" t="str">
        <f t="shared" si="14"/>
        <v/>
      </c>
      <c r="AG109" s="524" t="str">
        <f>IFERROR(IF(O109="","",VLOOKUP(AD109,'G-3 Multipliers'!$P$3:$Q$6,2,FALSE)),"")</f>
        <v/>
      </c>
      <c r="AH109" s="197"/>
      <c r="AI109" s="499" t="str">
        <f>IF(AH109="","",IF(VLOOKUP(AH109,'G-3 Multipliers'!$S$3:$T$6,2,FALSE)=0,"Spatial Data Missing ⚠",VLOOKUP(AH109,'G-3 Multipliers'!$S$3:$T$6,2,FALSE)))</f>
        <v/>
      </c>
      <c r="AJ109" s="545" t="str">
        <f t="shared" si="15"/>
        <v/>
      </c>
      <c r="AK109" s="149"/>
      <c r="AL109" s="150"/>
      <c r="AP109" s="31" t="str">
        <f>IFERROR(INDEX('G-6 Hedgerow Data'!$BJ$3:$BJ$15,MATCH(M109,'G-6 Hedgerow Data'!$B$3:$B$15,0)),"")</f>
        <v/>
      </c>
    </row>
    <row r="110" spans="2:42" ht="13.8" x14ac:dyDescent="0.25">
      <c r="B110" s="531" t="str">
        <f>'E-1 Off Site Hedge Baseline'!AK108</f>
        <v/>
      </c>
      <c r="C110" s="520" t="str">
        <f>IF(B110="","",IF(ISNA(VLOOKUP($B110,'E-1 Off Site Hedge Baseline'!$B$1:$L$257,3,FALSE)),"",(VLOOKUP($B110,'E-1 Off Site Hedge Baseline'!$B$1:$L$257,3,FALSE))))</f>
        <v/>
      </c>
      <c r="D110" s="520" t="str">
        <f>IF(B110="","",IF(ISNA(VLOOKUP($B110,'E-1 Off Site Hedge Baseline'!$B$1:$L$258,4,FALSE)),"",(VLOOKUP($B110,'E-1 Off Site Hedge Baseline'!$B$1:$L$258,4,FALSE))))</f>
        <v/>
      </c>
      <c r="E110" s="520" t="str">
        <f>IF(B110="","",IF(ISNA(VLOOKUP($B110,'E-1 Off Site Hedge Baseline'!$B$1:$L$257,5,FALSE)),"",(VLOOKUP($B110,'E-1 Off Site Hedge Baseline'!$B$1:$L$257,5,FALSE))))</f>
        <v/>
      </c>
      <c r="F110" s="520" t="str">
        <f>IF(B110="","",IF(ISNA(VLOOKUP($B110,'E-1 Off Site Hedge Baseline'!$B$1:$L$257,6,FALSE)),"",(VLOOKUP($B110,'E-1 Off Site Hedge Baseline'!$B$1:$L$257,6,FALSE))))</f>
        <v/>
      </c>
      <c r="G110" s="520" t="str">
        <f>IF(B110="","",IF(ISNA(VLOOKUP($B110,'E-1 Off Site Hedge Baseline'!$B$1:$L$257,7,FALSE)),"",(VLOOKUP($B110,'E-1 Off Site Hedge Baseline'!$B$1:$L$257,7,FALSE))))</f>
        <v/>
      </c>
      <c r="H110" s="520" t="str">
        <f>IF(B110="","",IF(ISNA(VLOOKUP($B110,'E-1 Off Site Hedge Baseline'!$B$1:$L$257,8,FALSE)),"",(VLOOKUP($B110,'E-1 Off Site Hedge Baseline'!$B$1:$L$257,8,FALSE))))</f>
        <v/>
      </c>
      <c r="I110" s="520" t="str">
        <f>IF(B110="","",IF(ISNA(VLOOKUP($B110,'E-1 Off Site Hedge Baseline'!$B$1:$L$257,10,FALSE)),"",(VLOOKUP($B110,'E-1 Off Site Hedge Baseline'!$B$1:$L$257,10,FALSE))))</f>
        <v/>
      </c>
      <c r="J110" s="520" t="str">
        <f>IF(B110="","",IF(ISNA(VLOOKUP($B110,'E-1 Off Site Hedge Baseline'!$B$1:$L$257,11,FALSE)),"",(VLOOKUP($B110,'E-1 Off Site Hedge Baseline'!$B$1:$L$257,11,FALSE))))</f>
        <v/>
      </c>
      <c r="K110" s="520" t="str">
        <f>IF(B110="","",IF(ISNA(VLOOKUP($B110,'E-1 Off Site Hedge Baseline'!$B$1:$U$257,113,FALSE)),"",(VLOOKUP($B110,'E-1 Off Site Hedge Baseline'!$B$1:$U$257,13,FALSE))))</f>
        <v/>
      </c>
      <c r="L110" s="507" t="str">
        <f>IF(B110="","",IF(ISNA(VLOOKUP($B110,'E-1 Off Site Hedge Baseline'!$B$1:$U$257,12,FALSE)),"",(VLOOKUP($B110,'E-1 Off Site Hedge Baseline'!$B$1:$U$257,12,FALSE))))</f>
        <v/>
      </c>
      <c r="M110" s="418" t="str">
        <f t="shared" si="16"/>
        <v/>
      </c>
      <c r="N110" s="498" t="str">
        <f>IFERROR(IF(B110="","",INDEX('G-6 Hedgerow Data'!$AN$3:$AZ$15,MATCH(C110,'G-6 Hedgerow Data'!$AM$3:$AM$15,0),MATCH(M110,'G-6 Hedgerow Data'!$AN$2:$AZ$2,0))),"")</f>
        <v/>
      </c>
      <c r="O110" s="499" t="str">
        <f t="shared" si="10"/>
        <v/>
      </c>
      <c r="P110" s="505" t="str">
        <f>IF(B110="","",VLOOKUP(B110,'E-1 Off Site Hedge Baseline'!$B$10:T355,16,FALSE))</f>
        <v/>
      </c>
      <c r="Q110" s="498" t="str">
        <f>IF(M110="","",VLOOKUP(M110,'G-6 Hedgerow Data'!$B$2:$AG$15,2,FALSE))</f>
        <v/>
      </c>
      <c r="R110" s="499" t="str">
        <f>IF(M110="","",VLOOKUP(M110,'G-6 Hedgerow Data'!$B$2:$AG$15,3,FALSE))</f>
        <v/>
      </c>
      <c r="S110" s="145"/>
      <c r="T110" s="499" t="str">
        <f>IFERROR(IF(AND(Q110="V.Low",OR(S110="Good",S110="Moderate")),"Error ▲",VLOOKUP(S110,'G-1 All Habitats'!$Z$2:$AA$9,2,FALSE)),"")</f>
        <v/>
      </c>
      <c r="U110" s="145"/>
      <c r="V110" s="507" t="str">
        <f>IF(U110="","",IF(VLOOKUP(U110,'G-3 Multipliers'!$L$3:$N$6,2,FALSE)=0,"Spatial Data Missing ⚠",VLOOKUP(U110,'G-3 Multipliers'!$L$3:$N$6,2,FALSE)))</f>
        <v/>
      </c>
      <c r="W110" s="505"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9"/>
        <v/>
      </c>
      <c r="AD110" s="537" t="str">
        <f>IF(M110="","",VLOOKUP(M110,'G-6 Hedgerow Data'!$B$3:$AG$15,31,FALSE))</f>
        <v/>
      </c>
      <c r="AE110" s="520" t="str">
        <f t="shared" si="13"/>
        <v/>
      </c>
      <c r="AF110" s="520" t="str">
        <f t="shared" si="14"/>
        <v/>
      </c>
      <c r="AG110" s="524" t="str">
        <f>IFERROR(IF(O110="","",VLOOKUP(AD110,'G-3 Multipliers'!$P$3:$Q$6,2,FALSE)),"")</f>
        <v/>
      </c>
      <c r="AH110" s="197"/>
      <c r="AI110" s="499" t="str">
        <f>IF(AH110="","",IF(VLOOKUP(AH110,'G-3 Multipliers'!$S$3:$T$6,2,FALSE)=0,"Spatial Data Missing ⚠",VLOOKUP(AH110,'G-3 Multipliers'!$S$3:$T$6,2,FALSE)))</f>
        <v/>
      </c>
      <c r="AJ110" s="545" t="str">
        <f t="shared" si="15"/>
        <v/>
      </c>
      <c r="AK110" s="149"/>
      <c r="AL110" s="150"/>
      <c r="AP110" s="31" t="str">
        <f>IFERROR(INDEX('G-6 Hedgerow Data'!$BJ$3:$BJ$15,MATCH(M110,'G-6 Hedgerow Data'!$B$3:$B$15,0)),"")</f>
        <v/>
      </c>
    </row>
    <row r="111" spans="2:42" ht="13.8" x14ac:dyDescent="0.25">
      <c r="B111" s="531" t="str">
        <f>'E-1 Off Site Hedge Baseline'!AK109</f>
        <v/>
      </c>
      <c r="C111" s="520" t="str">
        <f>IF(B111="","",IF(ISNA(VLOOKUP($B111,'E-1 Off Site Hedge Baseline'!$B$1:$L$257,3,FALSE)),"",(VLOOKUP($B111,'E-1 Off Site Hedge Baseline'!$B$1:$L$257,3,FALSE))))</f>
        <v/>
      </c>
      <c r="D111" s="520" t="str">
        <f>IF(B111="","",IF(ISNA(VLOOKUP($B111,'E-1 Off Site Hedge Baseline'!$B$1:$L$258,4,FALSE)),"",(VLOOKUP($B111,'E-1 Off Site Hedge Baseline'!$B$1:$L$258,4,FALSE))))</f>
        <v/>
      </c>
      <c r="E111" s="520" t="str">
        <f>IF(B111="","",IF(ISNA(VLOOKUP($B111,'E-1 Off Site Hedge Baseline'!$B$1:$L$257,5,FALSE)),"",(VLOOKUP($B111,'E-1 Off Site Hedge Baseline'!$B$1:$L$257,5,FALSE))))</f>
        <v/>
      </c>
      <c r="F111" s="520" t="str">
        <f>IF(B111="","",IF(ISNA(VLOOKUP($B111,'E-1 Off Site Hedge Baseline'!$B$1:$L$257,6,FALSE)),"",(VLOOKUP($B111,'E-1 Off Site Hedge Baseline'!$B$1:$L$257,6,FALSE))))</f>
        <v/>
      </c>
      <c r="G111" s="520" t="str">
        <f>IF(B111="","",IF(ISNA(VLOOKUP($B111,'E-1 Off Site Hedge Baseline'!$B$1:$L$257,7,FALSE)),"",(VLOOKUP($B111,'E-1 Off Site Hedge Baseline'!$B$1:$L$257,7,FALSE))))</f>
        <v/>
      </c>
      <c r="H111" s="520" t="str">
        <f>IF(B111="","",IF(ISNA(VLOOKUP($B111,'E-1 Off Site Hedge Baseline'!$B$1:$L$257,8,FALSE)),"",(VLOOKUP($B111,'E-1 Off Site Hedge Baseline'!$B$1:$L$257,8,FALSE))))</f>
        <v/>
      </c>
      <c r="I111" s="520" t="str">
        <f>IF(B111="","",IF(ISNA(VLOOKUP($B111,'E-1 Off Site Hedge Baseline'!$B$1:$L$257,10,FALSE)),"",(VLOOKUP($B111,'E-1 Off Site Hedge Baseline'!$B$1:$L$257,10,FALSE))))</f>
        <v/>
      </c>
      <c r="J111" s="520" t="str">
        <f>IF(B111="","",IF(ISNA(VLOOKUP($B111,'E-1 Off Site Hedge Baseline'!$B$1:$L$257,11,FALSE)),"",(VLOOKUP($B111,'E-1 Off Site Hedge Baseline'!$B$1:$L$257,11,FALSE))))</f>
        <v/>
      </c>
      <c r="K111" s="520" t="str">
        <f>IF(B111="","",IF(ISNA(VLOOKUP($B111,'E-1 Off Site Hedge Baseline'!$B$1:$U$257,113,FALSE)),"",(VLOOKUP($B111,'E-1 Off Site Hedge Baseline'!$B$1:$U$257,13,FALSE))))</f>
        <v/>
      </c>
      <c r="L111" s="507" t="str">
        <f>IF(B111="","",IF(ISNA(VLOOKUP($B111,'E-1 Off Site Hedge Baseline'!$B$1:$U$257,12,FALSE)),"",(VLOOKUP($B111,'E-1 Off Site Hedge Baseline'!$B$1:$U$257,12,FALSE))))</f>
        <v/>
      </c>
      <c r="M111" s="418" t="str">
        <f t="shared" si="16"/>
        <v/>
      </c>
      <c r="N111" s="498" t="str">
        <f>IFERROR(IF(B111="","",INDEX('G-6 Hedgerow Data'!$AN$3:$AZ$15,MATCH(C111,'G-6 Hedgerow Data'!$AM$3:$AM$15,0),MATCH(M111,'G-6 Hedgerow Data'!$AN$2:$AZ$2,0))),"")</f>
        <v/>
      </c>
      <c r="O111" s="499" t="str">
        <f t="shared" si="10"/>
        <v/>
      </c>
      <c r="P111" s="505" t="str">
        <f>IF(B111="","",VLOOKUP(B111,'E-1 Off Site Hedge Baseline'!$B$10:T356,16,FALSE))</f>
        <v/>
      </c>
      <c r="Q111" s="498" t="str">
        <f>IF(M111="","",VLOOKUP(M111,'G-6 Hedgerow Data'!$B$2:$AG$15,2,FALSE))</f>
        <v/>
      </c>
      <c r="R111" s="499" t="str">
        <f>IF(M111="","",VLOOKUP(M111,'G-6 Hedgerow Data'!$B$2:$AG$15,3,FALSE))</f>
        <v/>
      </c>
      <c r="S111" s="145"/>
      <c r="T111" s="499" t="str">
        <f>IFERROR(IF(AND(Q111="V.Low",OR(S111="Good",S111="Moderate")),"Error ▲",VLOOKUP(S111,'G-1 All Habitats'!$Z$2:$AA$9,2,FALSE)),"")</f>
        <v/>
      </c>
      <c r="U111" s="145"/>
      <c r="V111" s="507" t="str">
        <f>IF(U111="","",IF(VLOOKUP(U111,'G-3 Multipliers'!$L$3:$N$6,2,FALSE)=0,"Spatial Data Missing ⚠",VLOOKUP(U111,'G-3 Multipliers'!$L$3:$N$6,2,FALSE)))</f>
        <v/>
      </c>
      <c r="W111" s="505"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9"/>
        <v/>
      </c>
      <c r="AD111" s="537" t="str">
        <f>IF(M111="","",VLOOKUP(M111,'G-6 Hedgerow Data'!$B$3:$AG$15,31,FALSE))</f>
        <v/>
      </c>
      <c r="AE111" s="520" t="str">
        <f t="shared" si="13"/>
        <v/>
      </c>
      <c r="AF111" s="520" t="str">
        <f t="shared" si="14"/>
        <v/>
      </c>
      <c r="AG111" s="524" t="str">
        <f>IFERROR(IF(O111="","",VLOOKUP(AD111,'G-3 Multipliers'!$P$3:$Q$6,2,FALSE)),"")</f>
        <v/>
      </c>
      <c r="AH111" s="197"/>
      <c r="AI111" s="499" t="str">
        <f>IF(AH111="","",IF(VLOOKUP(AH111,'G-3 Multipliers'!$S$3:$T$6,2,FALSE)=0,"Spatial Data Missing ⚠",VLOOKUP(AH111,'G-3 Multipliers'!$S$3:$T$6,2,FALSE)))</f>
        <v/>
      </c>
      <c r="AJ111" s="545" t="str">
        <f t="shared" si="15"/>
        <v/>
      </c>
      <c r="AK111" s="149"/>
      <c r="AL111" s="150"/>
      <c r="AP111" s="31" t="str">
        <f>IFERROR(INDEX('G-6 Hedgerow Data'!$BJ$3:$BJ$15,MATCH(M111,'G-6 Hedgerow Data'!$B$3:$B$15,0)),"")</f>
        <v/>
      </c>
    </row>
    <row r="112" spans="2:42" ht="13.8" x14ac:dyDescent="0.25">
      <c r="B112" s="531" t="str">
        <f>'E-1 Off Site Hedge Baseline'!AK110</f>
        <v/>
      </c>
      <c r="C112" s="520" t="str">
        <f>IF(B112="","",IF(ISNA(VLOOKUP($B112,'E-1 Off Site Hedge Baseline'!$B$1:$L$257,3,FALSE)),"",(VLOOKUP($B112,'E-1 Off Site Hedge Baseline'!$B$1:$L$257,3,FALSE))))</f>
        <v/>
      </c>
      <c r="D112" s="520" t="str">
        <f>IF(B112="","",IF(ISNA(VLOOKUP($B112,'E-1 Off Site Hedge Baseline'!$B$1:$L$258,4,FALSE)),"",(VLOOKUP($B112,'E-1 Off Site Hedge Baseline'!$B$1:$L$258,4,FALSE))))</f>
        <v/>
      </c>
      <c r="E112" s="520" t="str">
        <f>IF(B112="","",IF(ISNA(VLOOKUP($B112,'E-1 Off Site Hedge Baseline'!$B$1:$L$257,5,FALSE)),"",(VLOOKUP($B112,'E-1 Off Site Hedge Baseline'!$B$1:$L$257,5,FALSE))))</f>
        <v/>
      </c>
      <c r="F112" s="520" t="str">
        <f>IF(B112="","",IF(ISNA(VLOOKUP($B112,'E-1 Off Site Hedge Baseline'!$B$1:$L$257,6,FALSE)),"",(VLOOKUP($B112,'E-1 Off Site Hedge Baseline'!$B$1:$L$257,6,FALSE))))</f>
        <v/>
      </c>
      <c r="G112" s="520" t="str">
        <f>IF(B112="","",IF(ISNA(VLOOKUP($B112,'E-1 Off Site Hedge Baseline'!$B$1:$L$257,7,FALSE)),"",(VLOOKUP($B112,'E-1 Off Site Hedge Baseline'!$B$1:$L$257,7,FALSE))))</f>
        <v/>
      </c>
      <c r="H112" s="520" t="str">
        <f>IF(B112="","",IF(ISNA(VLOOKUP($B112,'E-1 Off Site Hedge Baseline'!$B$1:$L$257,8,FALSE)),"",(VLOOKUP($B112,'E-1 Off Site Hedge Baseline'!$B$1:$L$257,8,FALSE))))</f>
        <v/>
      </c>
      <c r="I112" s="520" t="str">
        <f>IF(B112="","",IF(ISNA(VLOOKUP($B112,'E-1 Off Site Hedge Baseline'!$B$1:$L$257,10,FALSE)),"",(VLOOKUP($B112,'E-1 Off Site Hedge Baseline'!$B$1:$L$257,10,FALSE))))</f>
        <v/>
      </c>
      <c r="J112" s="520" t="str">
        <f>IF(B112="","",IF(ISNA(VLOOKUP($B112,'E-1 Off Site Hedge Baseline'!$B$1:$L$257,11,FALSE)),"",(VLOOKUP($B112,'E-1 Off Site Hedge Baseline'!$B$1:$L$257,11,FALSE))))</f>
        <v/>
      </c>
      <c r="K112" s="520" t="str">
        <f>IF(B112="","",IF(ISNA(VLOOKUP($B112,'E-1 Off Site Hedge Baseline'!$B$1:$U$257,113,FALSE)),"",(VLOOKUP($B112,'E-1 Off Site Hedge Baseline'!$B$1:$U$257,13,FALSE))))</f>
        <v/>
      </c>
      <c r="L112" s="507" t="str">
        <f>IF(B112="","",IF(ISNA(VLOOKUP($B112,'E-1 Off Site Hedge Baseline'!$B$1:$U$257,12,FALSE)),"",(VLOOKUP($B112,'E-1 Off Site Hedge Baseline'!$B$1:$U$257,12,FALSE))))</f>
        <v/>
      </c>
      <c r="M112" s="418" t="str">
        <f t="shared" si="16"/>
        <v/>
      </c>
      <c r="N112" s="498" t="str">
        <f>IFERROR(IF(B112="","",INDEX('G-6 Hedgerow Data'!$AN$3:$AZ$15,MATCH(C112,'G-6 Hedgerow Data'!$AM$3:$AM$15,0),MATCH(M112,'G-6 Hedgerow Data'!$AN$2:$AZ$2,0))),"")</f>
        <v/>
      </c>
      <c r="O112" s="499" t="str">
        <f t="shared" si="10"/>
        <v/>
      </c>
      <c r="P112" s="505" t="str">
        <f>IF(B112="","",VLOOKUP(B112,'E-1 Off Site Hedge Baseline'!$B$10:T357,16,FALSE))</f>
        <v/>
      </c>
      <c r="Q112" s="498" t="str">
        <f>IF(M112="","",VLOOKUP(M112,'G-6 Hedgerow Data'!$B$2:$AG$15,2,FALSE))</f>
        <v/>
      </c>
      <c r="R112" s="499" t="str">
        <f>IF(M112="","",VLOOKUP(M112,'G-6 Hedgerow Data'!$B$2:$AG$15,3,FALSE))</f>
        <v/>
      </c>
      <c r="S112" s="145"/>
      <c r="T112" s="499" t="str">
        <f>IFERROR(IF(AND(Q112="V.Low",OR(S112="Good",S112="Moderate")),"Error ▲",VLOOKUP(S112,'G-1 All Habitats'!$Z$2:$AA$9,2,FALSE)),"")</f>
        <v/>
      </c>
      <c r="U112" s="145"/>
      <c r="V112" s="507" t="str">
        <f>IF(U112="","",IF(VLOOKUP(U112,'G-3 Multipliers'!$L$3:$N$6,2,FALSE)=0,"Spatial Data Missing ⚠",VLOOKUP(U112,'G-3 Multipliers'!$L$3:$N$6,2,FALSE)))</f>
        <v/>
      </c>
      <c r="W112" s="505"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9"/>
        <v/>
      </c>
      <c r="AD112" s="537" t="str">
        <f>IF(M112="","",VLOOKUP(M112,'G-6 Hedgerow Data'!$B$3:$AG$15,31,FALSE))</f>
        <v/>
      </c>
      <c r="AE112" s="520" t="str">
        <f t="shared" si="13"/>
        <v/>
      </c>
      <c r="AF112" s="520" t="str">
        <f t="shared" si="14"/>
        <v/>
      </c>
      <c r="AG112" s="524" t="str">
        <f>IFERROR(IF(O112="","",VLOOKUP(AD112,'G-3 Multipliers'!$P$3:$Q$6,2,FALSE)),"")</f>
        <v/>
      </c>
      <c r="AH112" s="197"/>
      <c r="AI112" s="499" t="str">
        <f>IF(AH112="","",IF(VLOOKUP(AH112,'G-3 Multipliers'!$S$3:$T$6,2,FALSE)=0,"Spatial Data Missing ⚠",VLOOKUP(AH112,'G-3 Multipliers'!$S$3:$T$6,2,FALSE)))</f>
        <v/>
      </c>
      <c r="AJ112" s="545" t="str">
        <f t="shared" si="15"/>
        <v/>
      </c>
      <c r="AK112" s="149"/>
      <c r="AL112" s="150"/>
      <c r="AP112" s="31" t="str">
        <f>IFERROR(INDEX('G-6 Hedgerow Data'!$BJ$3:$BJ$15,MATCH(M112,'G-6 Hedgerow Data'!$B$3:$B$15,0)),"")</f>
        <v/>
      </c>
    </row>
    <row r="113" spans="2:42" ht="13.8" x14ac:dyDescent="0.25">
      <c r="B113" s="531" t="str">
        <f>'E-1 Off Site Hedge Baseline'!AK111</f>
        <v/>
      </c>
      <c r="C113" s="520" t="str">
        <f>IF(B113="","",IF(ISNA(VLOOKUP($B113,'E-1 Off Site Hedge Baseline'!$B$1:$L$257,3,FALSE)),"",(VLOOKUP($B113,'E-1 Off Site Hedge Baseline'!$B$1:$L$257,3,FALSE))))</f>
        <v/>
      </c>
      <c r="D113" s="520" t="str">
        <f>IF(B113="","",IF(ISNA(VLOOKUP($B113,'E-1 Off Site Hedge Baseline'!$B$1:$L$258,4,FALSE)),"",(VLOOKUP($B113,'E-1 Off Site Hedge Baseline'!$B$1:$L$258,4,FALSE))))</f>
        <v/>
      </c>
      <c r="E113" s="520" t="str">
        <f>IF(B113="","",IF(ISNA(VLOOKUP($B113,'E-1 Off Site Hedge Baseline'!$B$1:$L$257,5,FALSE)),"",(VLOOKUP($B113,'E-1 Off Site Hedge Baseline'!$B$1:$L$257,5,FALSE))))</f>
        <v/>
      </c>
      <c r="F113" s="520" t="str">
        <f>IF(B113="","",IF(ISNA(VLOOKUP($B113,'E-1 Off Site Hedge Baseline'!$B$1:$L$257,6,FALSE)),"",(VLOOKUP($B113,'E-1 Off Site Hedge Baseline'!$B$1:$L$257,6,FALSE))))</f>
        <v/>
      </c>
      <c r="G113" s="520" t="str">
        <f>IF(B113="","",IF(ISNA(VLOOKUP($B113,'E-1 Off Site Hedge Baseline'!$B$1:$L$257,7,FALSE)),"",(VLOOKUP($B113,'E-1 Off Site Hedge Baseline'!$B$1:$L$257,7,FALSE))))</f>
        <v/>
      </c>
      <c r="H113" s="520" t="str">
        <f>IF(B113="","",IF(ISNA(VLOOKUP($B113,'E-1 Off Site Hedge Baseline'!$B$1:$L$257,8,FALSE)),"",(VLOOKUP($B113,'E-1 Off Site Hedge Baseline'!$B$1:$L$257,8,FALSE))))</f>
        <v/>
      </c>
      <c r="I113" s="520" t="str">
        <f>IF(B113="","",IF(ISNA(VLOOKUP($B113,'E-1 Off Site Hedge Baseline'!$B$1:$L$257,10,FALSE)),"",(VLOOKUP($B113,'E-1 Off Site Hedge Baseline'!$B$1:$L$257,10,FALSE))))</f>
        <v/>
      </c>
      <c r="J113" s="520" t="str">
        <f>IF(B113="","",IF(ISNA(VLOOKUP($B113,'E-1 Off Site Hedge Baseline'!$B$1:$L$257,11,FALSE)),"",(VLOOKUP($B113,'E-1 Off Site Hedge Baseline'!$B$1:$L$257,11,FALSE))))</f>
        <v/>
      </c>
      <c r="K113" s="520" t="str">
        <f>IF(B113="","",IF(ISNA(VLOOKUP($B113,'E-1 Off Site Hedge Baseline'!$B$1:$U$257,113,FALSE)),"",(VLOOKUP($B113,'E-1 Off Site Hedge Baseline'!$B$1:$U$257,13,FALSE))))</f>
        <v/>
      </c>
      <c r="L113" s="507" t="str">
        <f>IF(B113="","",IF(ISNA(VLOOKUP($B113,'E-1 Off Site Hedge Baseline'!$B$1:$U$257,12,FALSE)),"",(VLOOKUP($B113,'E-1 Off Site Hedge Baseline'!$B$1:$U$257,12,FALSE))))</f>
        <v/>
      </c>
      <c r="M113" s="418" t="str">
        <f t="shared" si="16"/>
        <v/>
      </c>
      <c r="N113" s="498" t="str">
        <f>IFERROR(IF(B113="","",INDEX('G-6 Hedgerow Data'!$AN$3:$AZ$15,MATCH(C113,'G-6 Hedgerow Data'!$AM$3:$AM$15,0),MATCH(M113,'G-6 Hedgerow Data'!$AN$2:$AZ$2,0))),"")</f>
        <v/>
      </c>
      <c r="O113" s="499" t="str">
        <f t="shared" si="10"/>
        <v/>
      </c>
      <c r="P113" s="505" t="str">
        <f>IF(B113="","",VLOOKUP(B113,'E-1 Off Site Hedge Baseline'!$B$10:T358,16,FALSE))</f>
        <v/>
      </c>
      <c r="Q113" s="498" t="str">
        <f>IF(M113="","",VLOOKUP(M113,'G-6 Hedgerow Data'!$B$2:$AG$15,2,FALSE))</f>
        <v/>
      </c>
      <c r="R113" s="499" t="str">
        <f>IF(M113="","",VLOOKUP(M113,'G-6 Hedgerow Data'!$B$2:$AG$15,3,FALSE))</f>
        <v/>
      </c>
      <c r="S113" s="145"/>
      <c r="T113" s="499" t="str">
        <f>IFERROR(IF(AND(Q113="V.Low",OR(S113="Good",S113="Moderate")),"Error ▲",VLOOKUP(S113,'G-1 All Habitats'!$Z$2:$AA$9,2,FALSE)),"")</f>
        <v/>
      </c>
      <c r="U113" s="145"/>
      <c r="V113" s="507" t="str">
        <f>IF(U113="","",IF(VLOOKUP(U113,'G-3 Multipliers'!$L$3:$N$6,2,FALSE)=0,"Spatial Data Missing ⚠",VLOOKUP(U113,'G-3 Multipliers'!$L$3:$N$6,2,FALSE)))</f>
        <v/>
      </c>
      <c r="W113" s="505"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9"/>
        <v/>
      </c>
      <c r="AD113" s="537" t="str">
        <f>IF(M113="","",VLOOKUP(M113,'G-6 Hedgerow Data'!$B$3:$AG$15,31,FALSE))</f>
        <v/>
      </c>
      <c r="AE113" s="520" t="str">
        <f t="shared" si="13"/>
        <v/>
      </c>
      <c r="AF113" s="520" t="str">
        <f t="shared" si="14"/>
        <v/>
      </c>
      <c r="AG113" s="524" t="str">
        <f>IFERROR(IF(O113="","",VLOOKUP(AD113,'G-3 Multipliers'!$P$3:$Q$6,2,FALSE)),"")</f>
        <v/>
      </c>
      <c r="AH113" s="197"/>
      <c r="AI113" s="499" t="str">
        <f>IF(AH113="","",IF(VLOOKUP(AH113,'G-3 Multipliers'!$S$3:$T$6,2,FALSE)=0,"Spatial Data Missing ⚠",VLOOKUP(AH113,'G-3 Multipliers'!$S$3:$T$6,2,FALSE)))</f>
        <v/>
      </c>
      <c r="AJ113" s="545" t="str">
        <f t="shared" si="15"/>
        <v/>
      </c>
      <c r="AK113" s="149"/>
      <c r="AL113" s="150"/>
      <c r="AP113" s="31" t="str">
        <f>IFERROR(INDEX('G-6 Hedgerow Data'!$BJ$3:$BJ$15,MATCH(M113,'G-6 Hedgerow Data'!$B$3:$B$15,0)),"")</f>
        <v/>
      </c>
    </row>
    <row r="114" spans="2:42" ht="13.8" x14ac:dyDescent="0.25">
      <c r="B114" s="531" t="str">
        <f>'E-1 Off Site Hedge Baseline'!AK112</f>
        <v/>
      </c>
      <c r="C114" s="520" t="str">
        <f>IF(B114="","",IF(ISNA(VLOOKUP($B114,'E-1 Off Site Hedge Baseline'!$B$1:$L$257,3,FALSE)),"",(VLOOKUP($B114,'E-1 Off Site Hedge Baseline'!$B$1:$L$257,3,FALSE))))</f>
        <v/>
      </c>
      <c r="D114" s="520" t="str">
        <f>IF(B114="","",IF(ISNA(VLOOKUP($B114,'E-1 Off Site Hedge Baseline'!$B$1:$L$258,4,FALSE)),"",(VLOOKUP($B114,'E-1 Off Site Hedge Baseline'!$B$1:$L$258,4,FALSE))))</f>
        <v/>
      </c>
      <c r="E114" s="520" t="str">
        <f>IF(B114="","",IF(ISNA(VLOOKUP($B114,'E-1 Off Site Hedge Baseline'!$B$1:$L$257,5,FALSE)),"",(VLOOKUP($B114,'E-1 Off Site Hedge Baseline'!$B$1:$L$257,5,FALSE))))</f>
        <v/>
      </c>
      <c r="F114" s="520" t="str">
        <f>IF(B114="","",IF(ISNA(VLOOKUP($B114,'E-1 Off Site Hedge Baseline'!$B$1:$L$257,6,FALSE)),"",(VLOOKUP($B114,'E-1 Off Site Hedge Baseline'!$B$1:$L$257,6,FALSE))))</f>
        <v/>
      </c>
      <c r="G114" s="520" t="str">
        <f>IF(B114="","",IF(ISNA(VLOOKUP($B114,'E-1 Off Site Hedge Baseline'!$B$1:$L$257,7,FALSE)),"",(VLOOKUP($B114,'E-1 Off Site Hedge Baseline'!$B$1:$L$257,7,FALSE))))</f>
        <v/>
      </c>
      <c r="H114" s="520" t="str">
        <f>IF(B114="","",IF(ISNA(VLOOKUP($B114,'E-1 Off Site Hedge Baseline'!$B$1:$L$257,8,FALSE)),"",(VLOOKUP($B114,'E-1 Off Site Hedge Baseline'!$B$1:$L$257,8,FALSE))))</f>
        <v/>
      </c>
      <c r="I114" s="520" t="str">
        <f>IF(B114="","",IF(ISNA(VLOOKUP($B114,'E-1 Off Site Hedge Baseline'!$B$1:$L$257,10,FALSE)),"",(VLOOKUP($B114,'E-1 Off Site Hedge Baseline'!$B$1:$L$257,10,FALSE))))</f>
        <v/>
      </c>
      <c r="J114" s="520" t="str">
        <f>IF(B114="","",IF(ISNA(VLOOKUP($B114,'E-1 Off Site Hedge Baseline'!$B$1:$L$257,11,FALSE)),"",(VLOOKUP($B114,'E-1 Off Site Hedge Baseline'!$B$1:$L$257,11,FALSE))))</f>
        <v/>
      </c>
      <c r="K114" s="520" t="str">
        <f>IF(B114="","",IF(ISNA(VLOOKUP($B114,'E-1 Off Site Hedge Baseline'!$B$1:$U$257,113,FALSE)),"",(VLOOKUP($B114,'E-1 Off Site Hedge Baseline'!$B$1:$U$257,13,FALSE))))</f>
        <v/>
      </c>
      <c r="L114" s="507" t="str">
        <f>IF(B114="","",IF(ISNA(VLOOKUP($B114,'E-1 Off Site Hedge Baseline'!$B$1:$U$257,12,FALSE)),"",(VLOOKUP($B114,'E-1 Off Site Hedge Baseline'!$B$1:$U$257,12,FALSE))))</f>
        <v/>
      </c>
      <c r="M114" s="418" t="str">
        <f t="shared" si="16"/>
        <v/>
      </c>
      <c r="N114" s="498" t="str">
        <f>IFERROR(IF(B114="","",INDEX('G-6 Hedgerow Data'!$AN$3:$AZ$15,MATCH(C114,'G-6 Hedgerow Data'!$AM$3:$AM$15,0),MATCH(M114,'G-6 Hedgerow Data'!$AN$2:$AZ$2,0))),"")</f>
        <v/>
      </c>
      <c r="O114" s="499" t="str">
        <f t="shared" si="10"/>
        <v/>
      </c>
      <c r="P114" s="505" t="str">
        <f>IF(B114="","",VLOOKUP(B114,'E-1 Off Site Hedge Baseline'!$B$10:T359,16,FALSE))</f>
        <v/>
      </c>
      <c r="Q114" s="498" t="str">
        <f>IF(M114="","",VLOOKUP(M114,'G-6 Hedgerow Data'!$B$2:$AG$15,2,FALSE))</f>
        <v/>
      </c>
      <c r="R114" s="499" t="str">
        <f>IF(M114="","",VLOOKUP(M114,'G-6 Hedgerow Data'!$B$2:$AG$15,3,FALSE))</f>
        <v/>
      </c>
      <c r="S114" s="145"/>
      <c r="T114" s="499" t="str">
        <f>IFERROR(IF(AND(Q114="V.Low",OR(S114="Good",S114="Moderate")),"Error ▲",VLOOKUP(S114,'G-1 All Habitats'!$Z$2:$AA$9,2,FALSE)),"")</f>
        <v/>
      </c>
      <c r="U114" s="145"/>
      <c r="V114" s="507" t="str">
        <f>IF(U114="","",IF(VLOOKUP(U114,'G-3 Multipliers'!$L$3:$N$6,2,FALSE)=0,"Spatial Data Missing ⚠",VLOOKUP(U114,'G-3 Multipliers'!$L$3:$N$6,2,FALSE)))</f>
        <v/>
      </c>
      <c r="W114" s="505"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9"/>
        <v/>
      </c>
      <c r="AD114" s="537" t="str">
        <f>IF(M114="","",VLOOKUP(M114,'G-6 Hedgerow Data'!$B$3:$AG$15,31,FALSE))</f>
        <v/>
      </c>
      <c r="AE114" s="520" t="str">
        <f t="shared" si="13"/>
        <v/>
      </c>
      <c r="AF114" s="520" t="str">
        <f t="shared" si="14"/>
        <v/>
      </c>
      <c r="AG114" s="524" t="str">
        <f>IFERROR(IF(O114="","",VLOOKUP(AD114,'G-3 Multipliers'!$P$3:$Q$6,2,FALSE)),"")</f>
        <v/>
      </c>
      <c r="AH114" s="197"/>
      <c r="AI114" s="499" t="str">
        <f>IF(AH114="","",IF(VLOOKUP(AH114,'G-3 Multipliers'!$S$3:$T$6,2,FALSE)=0,"Spatial Data Missing ⚠",VLOOKUP(AH114,'G-3 Multipliers'!$S$3:$T$6,2,FALSE)))</f>
        <v/>
      </c>
      <c r="AJ114" s="545" t="str">
        <f t="shared" si="15"/>
        <v/>
      </c>
      <c r="AK114" s="149"/>
      <c r="AL114" s="150"/>
      <c r="AP114" s="31" t="str">
        <f>IFERROR(INDEX('G-6 Hedgerow Data'!$BJ$3:$BJ$15,MATCH(M114,'G-6 Hedgerow Data'!$B$3:$B$15,0)),"")</f>
        <v/>
      </c>
    </row>
    <row r="115" spans="2:42" ht="13.8" x14ac:dyDescent="0.25">
      <c r="B115" s="531" t="str">
        <f>'E-1 Off Site Hedge Baseline'!AK113</f>
        <v/>
      </c>
      <c r="C115" s="520" t="str">
        <f>IF(B115="","",IF(ISNA(VLOOKUP($B115,'E-1 Off Site Hedge Baseline'!$B$1:$L$257,3,FALSE)),"",(VLOOKUP($B115,'E-1 Off Site Hedge Baseline'!$B$1:$L$257,3,FALSE))))</f>
        <v/>
      </c>
      <c r="D115" s="520" t="str">
        <f>IF(B115="","",IF(ISNA(VLOOKUP($B115,'E-1 Off Site Hedge Baseline'!$B$1:$L$258,4,FALSE)),"",(VLOOKUP($B115,'E-1 Off Site Hedge Baseline'!$B$1:$L$258,4,FALSE))))</f>
        <v/>
      </c>
      <c r="E115" s="520" t="str">
        <f>IF(B115="","",IF(ISNA(VLOOKUP($B115,'E-1 Off Site Hedge Baseline'!$B$1:$L$257,5,FALSE)),"",(VLOOKUP($B115,'E-1 Off Site Hedge Baseline'!$B$1:$L$257,5,FALSE))))</f>
        <v/>
      </c>
      <c r="F115" s="520" t="str">
        <f>IF(B115="","",IF(ISNA(VLOOKUP($B115,'E-1 Off Site Hedge Baseline'!$B$1:$L$257,6,FALSE)),"",(VLOOKUP($B115,'E-1 Off Site Hedge Baseline'!$B$1:$L$257,6,FALSE))))</f>
        <v/>
      </c>
      <c r="G115" s="520" t="str">
        <f>IF(B115="","",IF(ISNA(VLOOKUP($B115,'E-1 Off Site Hedge Baseline'!$B$1:$L$257,7,FALSE)),"",(VLOOKUP($B115,'E-1 Off Site Hedge Baseline'!$B$1:$L$257,7,FALSE))))</f>
        <v/>
      </c>
      <c r="H115" s="520" t="str">
        <f>IF(B115="","",IF(ISNA(VLOOKUP($B115,'E-1 Off Site Hedge Baseline'!$B$1:$L$257,8,FALSE)),"",(VLOOKUP($B115,'E-1 Off Site Hedge Baseline'!$B$1:$L$257,8,FALSE))))</f>
        <v/>
      </c>
      <c r="I115" s="520" t="str">
        <f>IF(B115="","",IF(ISNA(VLOOKUP($B115,'E-1 Off Site Hedge Baseline'!$B$1:$L$257,10,FALSE)),"",(VLOOKUP($B115,'E-1 Off Site Hedge Baseline'!$B$1:$L$257,10,FALSE))))</f>
        <v/>
      </c>
      <c r="J115" s="520" t="str">
        <f>IF(B115="","",IF(ISNA(VLOOKUP($B115,'E-1 Off Site Hedge Baseline'!$B$1:$L$257,11,FALSE)),"",(VLOOKUP($B115,'E-1 Off Site Hedge Baseline'!$B$1:$L$257,11,FALSE))))</f>
        <v/>
      </c>
      <c r="K115" s="520" t="str">
        <f>IF(B115="","",IF(ISNA(VLOOKUP($B115,'E-1 Off Site Hedge Baseline'!$B$1:$U$257,113,FALSE)),"",(VLOOKUP($B115,'E-1 Off Site Hedge Baseline'!$B$1:$U$257,13,FALSE))))</f>
        <v/>
      </c>
      <c r="L115" s="507" t="str">
        <f>IF(B115="","",IF(ISNA(VLOOKUP($B115,'E-1 Off Site Hedge Baseline'!$B$1:$U$257,12,FALSE)),"",(VLOOKUP($B115,'E-1 Off Site Hedge Baseline'!$B$1:$U$257,12,FALSE))))</f>
        <v/>
      </c>
      <c r="M115" s="418" t="str">
        <f t="shared" si="16"/>
        <v/>
      </c>
      <c r="N115" s="498" t="str">
        <f>IFERROR(IF(B115="","",INDEX('G-6 Hedgerow Data'!$AN$3:$AZ$15,MATCH(C115,'G-6 Hedgerow Data'!$AM$3:$AM$15,0),MATCH(M115,'G-6 Hedgerow Data'!$AN$2:$AZ$2,0))),"")</f>
        <v/>
      </c>
      <c r="O115" s="499" t="str">
        <f t="shared" si="10"/>
        <v/>
      </c>
      <c r="P115" s="505" t="str">
        <f>IF(B115="","",VLOOKUP(B115,'E-1 Off Site Hedge Baseline'!$B$10:T360,16,FALSE))</f>
        <v/>
      </c>
      <c r="Q115" s="498" t="str">
        <f>IF(M115="","",VLOOKUP(M115,'G-6 Hedgerow Data'!$B$2:$AG$15,2,FALSE))</f>
        <v/>
      </c>
      <c r="R115" s="499" t="str">
        <f>IF(M115="","",VLOOKUP(M115,'G-6 Hedgerow Data'!$B$2:$AG$15,3,FALSE))</f>
        <v/>
      </c>
      <c r="S115" s="145"/>
      <c r="T115" s="499" t="str">
        <f>IFERROR(IF(AND(Q115="V.Low",OR(S115="Good",S115="Moderate")),"Error ▲",VLOOKUP(S115,'G-1 All Habitats'!$Z$2:$AA$9,2,FALSE)),"")</f>
        <v/>
      </c>
      <c r="U115" s="145"/>
      <c r="V115" s="507" t="str">
        <f>IF(U115="","",IF(VLOOKUP(U115,'G-3 Multipliers'!$L$3:$N$6,2,FALSE)=0,"Spatial Data Missing ⚠",VLOOKUP(U115,'G-3 Multipliers'!$L$3:$N$6,2,FALSE)))</f>
        <v/>
      </c>
      <c r="W115" s="505"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9"/>
        <v/>
      </c>
      <c r="AD115" s="537" t="str">
        <f>IF(M115="","",VLOOKUP(M115,'G-6 Hedgerow Data'!$B$3:$AG$15,31,FALSE))</f>
        <v/>
      </c>
      <c r="AE115" s="520" t="str">
        <f t="shared" si="13"/>
        <v/>
      </c>
      <c r="AF115" s="520" t="str">
        <f t="shared" si="14"/>
        <v/>
      </c>
      <c r="AG115" s="524" t="str">
        <f>IFERROR(IF(O115="","",VLOOKUP(AD115,'G-3 Multipliers'!$P$3:$Q$6,2,FALSE)),"")</f>
        <v/>
      </c>
      <c r="AH115" s="197"/>
      <c r="AI115" s="499" t="str">
        <f>IF(AH115="","",IF(VLOOKUP(AH115,'G-3 Multipliers'!$S$3:$T$6,2,FALSE)=0,"Spatial Data Missing ⚠",VLOOKUP(AH115,'G-3 Multipliers'!$S$3:$T$6,2,FALSE)))</f>
        <v/>
      </c>
      <c r="AJ115" s="545" t="str">
        <f t="shared" si="15"/>
        <v/>
      </c>
      <c r="AK115" s="149"/>
      <c r="AL115" s="150"/>
      <c r="AP115" s="31" t="str">
        <f>IFERROR(INDEX('G-6 Hedgerow Data'!$BJ$3:$BJ$15,MATCH(M115,'G-6 Hedgerow Data'!$B$3:$B$15,0)),"")</f>
        <v/>
      </c>
    </row>
    <row r="116" spans="2:42" ht="13.8" x14ac:dyDescent="0.25">
      <c r="B116" s="531" t="str">
        <f>'E-1 Off Site Hedge Baseline'!AK114</f>
        <v/>
      </c>
      <c r="C116" s="520" t="str">
        <f>IF(B116="","",IF(ISNA(VLOOKUP($B116,'E-1 Off Site Hedge Baseline'!$B$1:$L$257,3,FALSE)),"",(VLOOKUP($B116,'E-1 Off Site Hedge Baseline'!$B$1:$L$257,3,FALSE))))</f>
        <v/>
      </c>
      <c r="D116" s="520" t="str">
        <f>IF(B116="","",IF(ISNA(VLOOKUP($B116,'E-1 Off Site Hedge Baseline'!$B$1:$L$258,4,FALSE)),"",(VLOOKUP($B116,'E-1 Off Site Hedge Baseline'!$B$1:$L$258,4,FALSE))))</f>
        <v/>
      </c>
      <c r="E116" s="520" t="str">
        <f>IF(B116="","",IF(ISNA(VLOOKUP($B116,'E-1 Off Site Hedge Baseline'!$B$1:$L$257,5,FALSE)),"",(VLOOKUP($B116,'E-1 Off Site Hedge Baseline'!$B$1:$L$257,5,FALSE))))</f>
        <v/>
      </c>
      <c r="F116" s="520" t="str">
        <f>IF(B116="","",IF(ISNA(VLOOKUP($B116,'E-1 Off Site Hedge Baseline'!$B$1:$L$257,6,FALSE)),"",(VLOOKUP($B116,'E-1 Off Site Hedge Baseline'!$B$1:$L$257,6,FALSE))))</f>
        <v/>
      </c>
      <c r="G116" s="520" t="str">
        <f>IF(B116="","",IF(ISNA(VLOOKUP($B116,'E-1 Off Site Hedge Baseline'!$B$1:$L$257,7,FALSE)),"",(VLOOKUP($B116,'E-1 Off Site Hedge Baseline'!$B$1:$L$257,7,FALSE))))</f>
        <v/>
      </c>
      <c r="H116" s="520" t="str">
        <f>IF(B116="","",IF(ISNA(VLOOKUP($B116,'E-1 Off Site Hedge Baseline'!$B$1:$L$257,8,FALSE)),"",(VLOOKUP($B116,'E-1 Off Site Hedge Baseline'!$B$1:$L$257,8,FALSE))))</f>
        <v/>
      </c>
      <c r="I116" s="520" t="str">
        <f>IF(B116="","",IF(ISNA(VLOOKUP($B116,'E-1 Off Site Hedge Baseline'!$B$1:$L$257,10,FALSE)),"",(VLOOKUP($B116,'E-1 Off Site Hedge Baseline'!$B$1:$L$257,10,FALSE))))</f>
        <v/>
      </c>
      <c r="J116" s="520" t="str">
        <f>IF(B116="","",IF(ISNA(VLOOKUP($B116,'E-1 Off Site Hedge Baseline'!$B$1:$L$257,11,FALSE)),"",(VLOOKUP($B116,'E-1 Off Site Hedge Baseline'!$B$1:$L$257,11,FALSE))))</f>
        <v/>
      </c>
      <c r="K116" s="520" t="str">
        <f>IF(B116="","",IF(ISNA(VLOOKUP($B116,'E-1 Off Site Hedge Baseline'!$B$1:$U$257,113,FALSE)),"",(VLOOKUP($B116,'E-1 Off Site Hedge Baseline'!$B$1:$U$257,13,FALSE))))</f>
        <v/>
      </c>
      <c r="L116" s="507" t="str">
        <f>IF(B116="","",IF(ISNA(VLOOKUP($B116,'E-1 Off Site Hedge Baseline'!$B$1:$U$257,12,FALSE)),"",(VLOOKUP($B116,'E-1 Off Site Hedge Baseline'!$B$1:$U$257,12,FALSE))))</f>
        <v/>
      </c>
      <c r="M116" s="418" t="str">
        <f t="shared" si="16"/>
        <v/>
      </c>
      <c r="N116" s="498" t="str">
        <f>IFERROR(IF(B116="","",INDEX('G-6 Hedgerow Data'!$AN$3:$AZ$15,MATCH(C116,'G-6 Hedgerow Data'!$AM$3:$AM$15,0),MATCH(M116,'G-6 Hedgerow Data'!$AN$2:$AZ$2,0))),"")</f>
        <v/>
      </c>
      <c r="O116" s="499" t="str">
        <f t="shared" si="10"/>
        <v/>
      </c>
      <c r="P116" s="505" t="str">
        <f>IF(B116="","",VLOOKUP(B116,'E-1 Off Site Hedge Baseline'!$B$10:T361,16,FALSE))</f>
        <v/>
      </c>
      <c r="Q116" s="498" t="str">
        <f>IF(M116="","",VLOOKUP(M116,'G-6 Hedgerow Data'!$B$2:$AG$15,2,FALSE))</f>
        <v/>
      </c>
      <c r="R116" s="499" t="str">
        <f>IF(M116="","",VLOOKUP(M116,'G-6 Hedgerow Data'!$B$2:$AG$15,3,FALSE))</f>
        <v/>
      </c>
      <c r="S116" s="145"/>
      <c r="T116" s="499" t="str">
        <f>IFERROR(IF(AND(Q116="V.Low",OR(S116="Good",S116="Moderate")),"Error ▲",VLOOKUP(S116,'G-1 All Habitats'!$Z$2:$AA$9,2,FALSE)),"")</f>
        <v/>
      </c>
      <c r="U116" s="145"/>
      <c r="V116" s="507" t="str">
        <f>IF(U116="","",IF(VLOOKUP(U116,'G-3 Multipliers'!$L$3:$N$6,2,FALSE)=0,"Spatial Data Missing ⚠",VLOOKUP(U116,'G-3 Multipliers'!$L$3:$N$6,2,FALSE)))</f>
        <v/>
      </c>
      <c r="W116" s="505"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9"/>
        <v/>
      </c>
      <c r="AD116" s="537" t="str">
        <f>IF(M116="","",VLOOKUP(M116,'G-6 Hedgerow Data'!$B$3:$AG$15,31,FALSE))</f>
        <v/>
      </c>
      <c r="AE116" s="520" t="str">
        <f t="shared" si="13"/>
        <v/>
      </c>
      <c r="AF116" s="520" t="str">
        <f t="shared" si="14"/>
        <v/>
      </c>
      <c r="AG116" s="524" t="str">
        <f>IFERROR(IF(O116="","",VLOOKUP(AD116,'G-3 Multipliers'!$P$3:$Q$6,2,FALSE)),"")</f>
        <v/>
      </c>
      <c r="AH116" s="197"/>
      <c r="AI116" s="499" t="str">
        <f>IF(AH116="","",IF(VLOOKUP(AH116,'G-3 Multipliers'!$S$3:$T$6,2,FALSE)=0,"Spatial Data Missing ⚠",VLOOKUP(AH116,'G-3 Multipliers'!$S$3:$T$6,2,FALSE)))</f>
        <v/>
      </c>
      <c r="AJ116" s="545" t="str">
        <f t="shared" si="15"/>
        <v/>
      </c>
      <c r="AK116" s="149"/>
      <c r="AL116" s="150"/>
      <c r="AP116" s="31" t="str">
        <f>IFERROR(INDEX('G-6 Hedgerow Data'!$BJ$3:$BJ$15,MATCH(M116,'G-6 Hedgerow Data'!$B$3:$B$15,0)),"")</f>
        <v/>
      </c>
    </row>
    <row r="117" spans="2:42" ht="13.8" x14ac:dyDescent="0.25">
      <c r="B117" s="531" t="str">
        <f>'E-1 Off Site Hedge Baseline'!AK115</f>
        <v/>
      </c>
      <c r="C117" s="520" t="str">
        <f>IF(B117="","",IF(ISNA(VLOOKUP($B117,'E-1 Off Site Hedge Baseline'!$B$1:$L$257,3,FALSE)),"",(VLOOKUP($B117,'E-1 Off Site Hedge Baseline'!$B$1:$L$257,3,FALSE))))</f>
        <v/>
      </c>
      <c r="D117" s="520" t="str">
        <f>IF(B117="","",IF(ISNA(VLOOKUP($B117,'E-1 Off Site Hedge Baseline'!$B$1:$L$258,4,FALSE)),"",(VLOOKUP($B117,'E-1 Off Site Hedge Baseline'!$B$1:$L$258,4,FALSE))))</f>
        <v/>
      </c>
      <c r="E117" s="520" t="str">
        <f>IF(B117="","",IF(ISNA(VLOOKUP($B117,'E-1 Off Site Hedge Baseline'!$B$1:$L$257,5,FALSE)),"",(VLOOKUP($B117,'E-1 Off Site Hedge Baseline'!$B$1:$L$257,5,FALSE))))</f>
        <v/>
      </c>
      <c r="F117" s="520" t="str">
        <f>IF(B117="","",IF(ISNA(VLOOKUP($B117,'E-1 Off Site Hedge Baseline'!$B$1:$L$257,6,FALSE)),"",(VLOOKUP($B117,'E-1 Off Site Hedge Baseline'!$B$1:$L$257,6,FALSE))))</f>
        <v/>
      </c>
      <c r="G117" s="520" t="str">
        <f>IF(B117="","",IF(ISNA(VLOOKUP($B117,'E-1 Off Site Hedge Baseline'!$B$1:$L$257,7,FALSE)),"",(VLOOKUP($B117,'E-1 Off Site Hedge Baseline'!$B$1:$L$257,7,FALSE))))</f>
        <v/>
      </c>
      <c r="H117" s="520" t="str">
        <f>IF(B117="","",IF(ISNA(VLOOKUP($B117,'E-1 Off Site Hedge Baseline'!$B$1:$L$257,8,FALSE)),"",(VLOOKUP($B117,'E-1 Off Site Hedge Baseline'!$B$1:$L$257,8,FALSE))))</f>
        <v/>
      </c>
      <c r="I117" s="520" t="str">
        <f>IF(B117="","",IF(ISNA(VLOOKUP($B117,'E-1 Off Site Hedge Baseline'!$B$1:$L$257,10,FALSE)),"",(VLOOKUP($B117,'E-1 Off Site Hedge Baseline'!$B$1:$L$257,10,FALSE))))</f>
        <v/>
      </c>
      <c r="J117" s="520" t="str">
        <f>IF(B117="","",IF(ISNA(VLOOKUP($B117,'E-1 Off Site Hedge Baseline'!$B$1:$L$257,11,FALSE)),"",(VLOOKUP($B117,'E-1 Off Site Hedge Baseline'!$B$1:$L$257,11,FALSE))))</f>
        <v/>
      </c>
      <c r="K117" s="520" t="str">
        <f>IF(B117="","",IF(ISNA(VLOOKUP($B117,'E-1 Off Site Hedge Baseline'!$B$1:$U$257,113,FALSE)),"",(VLOOKUP($B117,'E-1 Off Site Hedge Baseline'!$B$1:$U$257,13,FALSE))))</f>
        <v/>
      </c>
      <c r="L117" s="507" t="str">
        <f>IF(B117="","",IF(ISNA(VLOOKUP($B117,'E-1 Off Site Hedge Baseline'!$B$1:$U$257,12,FALSE)),"",(VLOOKUP($B117,'E-1 Off Site Hedge Baseline'!$B$1:$U$257,12,FALSE))))</f>
        <v/>
      </c>
      <c r="M117" s="418" t="str">
        <f t="shared" si="16"/>
        <v/>
      </c>
      <c r="N117" s="498" t="str">
        <f>IFERROR(IF(B117="","",INDEX('G-6 Hedgerow Data'!$AN$3:$AZ$15,MATCH(C117,'G-6 Hedgerow Data'!$AM$3:$AM$15,0),MATCH(M117,'G-6 Hedgerow Data'!$AN$2:$AZ$2,0))),"")</f>
        <v/>
      </c>
      <c r="O117" s="499" t="str">
        <f t="shared" si="10"/>
        <v/>
      </c>
      <c r="P117" s="505" t="str">
        <f>IF(B117="","",VLOOKUP(B117,'E-1 Off Site Hedge Baseline'!$B$10:T362,16,FALSE))</f>
        <v/>
      </c>
      <c r="Q117" s="498" t="str">
        <f>IF(M117="","",VLOOKUP(M117,'G-6 Hedgerow Data'!$B$2:$AG$15,2,FALSE))</f>
        <v/>
      </c>
      <c r="R117" s="499" t="str">
        <f>IF(M117="","",VLOOKUP(M117,'G-6 Hedgerow Data'!$B$2:$AG$15,3,FALSE))</f>
        <v/>
      </c>
      <c r="S117" s="145"/>
      <c r="T117" s="499" t="str">
        <f>IFERROR(IF(AND(Q117="V.Low",OR(S117="Good",S117="Moderate")),"Error ▲",VLOOKUP(S117,'G-1 All Habitats'!$Z$2:$AA$9,2,FALSE)),"")</f>
        <v/>
      </c>
      <c r="U117" s="145"/>
      <c r="V117" s="507" t="str">
        <f>IF(U117="","",IF(VLOOKUP(U117,'G-3 Multipliers'!$L$3:$N$6,2,FALSE)=0,"Spatial Data Missing ⚠",VLOOKUP(U117,'G-3 Multipliers'!$L$3:$N$6,2,FALSE)))</f>
        <v/>
      </c>
      <c r="W117" s="505"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9"/>
        <v/>
      </c>
      <c r="AD117" s="537" t="str">
        <f>IF(M117="","",VLOOKUP(M117,'G-6 Hedgerow Data'!$B$3:$AG$15,31,FALSE))</f>
        <v/>
      </c>
      <c r="AE117" s="520" t="str">
        <f t="shared" si="13"/>
        <v/>
      </c>
      <c r="AF117" s="520" t="str">
        <f t="shared" si="14"/>
        <v/>
      </c>
      <c r="AG117" s="524" t="str">
        <f>IFERROR(IF(O117="","",VLOOKUP(AD117,'G-3 Multipliers'!$P$3:$Q$6,2,FALSE)),"")</f>
        <v/>
      </c>
      <c r="AH117" s="197"/>
      <c r="AI117" s="499" t="str">
        <f>IF(AH117="","",IF(VLOOKUP(AH117,'G-3 Multipliers'!$S$3:$T$6,2,FALSE)=0,"Spatial Data Missing ⚠",VLOOKUP(AH117,'G-3 Multipliers'!$S$3:$T$6,2,FALSE)))</f>
        <v/>
      </c>
      <c r="AJ117" s="545" t="str">
        <f t="shared" si="15"/>
        <v/>
      </c>
      <c r="AK117" s="149"/>
      <c r="AL117" s="150"/>
      <c r="AP117" s="31" t="str">
        <f>IFERROR(INDEX('G-6 Hedgerow Data'!$BJ$3:$BJ$15,MATCH(M117,'G-6 Hedgerow Data'!$B$3:$B$15,0)),"")</f>
        <v/>
      </c>
    </row>
    <row r="118" spans="2:42" ht="13.8" x14ac:dyDescent="0.25">
      <c r="B118" s="531" t="str">
        <f>'E-1 Off Site Hedge Baseline'!AK116</f>
        <v/>
      </c>
      <c r="C118" s="520" t="str">
        <f>IF(B118="","",IF(ISNA(VLOOKUP($B118,'E-1 Off Site Hedge Baseline'!$B$1:$L$257,3,FALSE)),"",(VLOOKUP($B118,'E-1 Off Site Hedge Baseline'!$B$1:$L$257,3,FALSE))))</f>
        <v/>
      </c>
      <c r="D118" s="520" t="str">
        <f>IF(B118="","",IF(ISNA(VLOOKUP($B118,'E-1 Off Site Hedge Baseline'!$B$1:$L$258,4,FALSE)),"",(VLOOKUP($B118,'E-1 Off Site Hedge Baseline'!$B$1:$L$258,4,FALSE))))</f>
        <v/>
      </c>
      <c r="E118" s="520" t="str">
        <f>IF(B118="","",IF(ISNA(VLOOKUP($B118,'E-1 Off Site Hedge Baseline'!$B$1:$L$257,5,FALSE)),"",(VLOOKUP($B118,'E-1 Off Site Hedge Baseline'!$B$1:$L$257,5,FALSE))))</f>
        <v/>
      </c>
      <c r="F118" s="520" t="str">
        <f>IF(B118="","",IF(ISNA(VLOOKUP($B118,'E-1 Off Site Hedge Baseline'!$B$1:$L$257,6,FALSE)),"",(VLOOKUP($B118,'E-1 Off Site Hedge Baseline'!$B$1:$L$257,6,FALSE))))</f>
        <v/>
      </c>
      <c r="G118" s="520" t="str">
        <f>IF(B118="","",IF(ISNA(VLOOKUP($B118,'E-1 Off Site Hedge Baseline'!$B$1:$L$257,7,FALSE)),"",(VLOOKUP($B118,'E-1 Off Site Hedge Baseline'!$B$1:$L$257,7,FALSE))))</f>
        <v/>
      </c>
      <c r="H118" s="520" t="str">
        <f>IF(B118="","",IF(ISNA(VLOOKUP($B118,'E-1 Off Site Hedge Baseline'!$B$1:$L$257,8,FALSE)),"",(VLOOKUP($B118,'E-1 Off Site Hedge Baseline'!$B$1:$L$257,8,FALSE))))</f>
        <v/>
      </c>
      <c r="I118" s="520" t="str">
        <f>IF(B118="","",IF(ISNA(VLOOKUP($B118,'E-1 Off Site Hedge Baseline'!$B$1:$L$257,10,FALSE)),"",(VLOOKUP($B118,'E-1 Off Site Hedge Baseline'!$B$1:$L$257,10,FALSE))))</f>
        <v/>
      </c>
      <c r="J118" s="520" t="str">
        <f>IF(B118="","",IF(ISNA(VLOOKUP($B118,'E-1 Off Site Hedge Baseline'!$B$1:$L$257,11,FALSE)),"",(VLOOKUP($B118,'E-1 Off Site Hedge Baseline'!$B$1:$L$257,11,FALSE))))</f>
        <v/>
      </c>
      <c r="K118" s="520" t="str">
        <f>IF(B118="","",IF(ISNA(VLOOKUP($B118,'E-1 Off Site Hedge Baseline'!$B$1:$U$257,113,FALSE)),"",(VLOOKUP($B118,'E-1 Off Site Hedge Baseline'!$B$1:$U$257,13,FALSE))))</f>
        <v/>
      </c>
      <c r="L118" s="507" t="str">
        <f>IF(B118="","",IF(ISNA(VLOOKUP($B118,'E-1 Off Site Hedge Baseline'!$B$1:$U$257,12,FALSE)),"",(VLOOKUP($B118,'E-1 Off Site Hedge Baseline'!$B$1:$U$257,12,FALSE))))</f>
        <v/>
      </c>
      <c r="M118" s="418" t="str">
        <f t="shared" si="16"/>
        <v/>
      </c>
      <c r="N118" s="498" t="str">
        <f>IFERROR(IF(B118="","",INDEX('G-6 Hedgerow Data'!$AN$3:$AZ$15,MATCH(C118,'G-6 Hedgerow Data'!$AM$3:$AM$15,0),MATCH(M118,'G-6 Hedgerow Data'!$AN$2:$AZ$2,0))),"")</f>
        <v/>
      </c>
      <c r="O118" s="499" t="str">
        <f t="shared" si="10"/>
        <v/>
      </c>
      <c r="P118" s="505" t="str">
        <f>IF(B118="","",VLOOKUP(B118,'E-1 Off Site Hedge Baseline'!$B$10:T363,16,FALSE))</f>
        <v/>
      </c>
      <c r="Q118" s="498" t="str">
        <f>IF(M118="","",VLOOKUP(M118,'G-6 Hedgerow Data'!$B$2:$AG$15,2,FALSE))</f>
        <v/>
      </c>
      <c r="R118" s="499" t="str">
        <f>IF(M118="","",VLOOKUP(M118,'G-6 Hedgerow Data'!$B$2:$AG$15,3,FALSE))</f>
        <v/>
      </c>
      <c r="S118" s="145"/>
      <c r="T118" s="499" t="str">
        <f>IFERROR(IF(AND(Q118="V.Low",OR(S118="Good",S118="Moderate")),"Error ▲",VLOOKUP(S118,'G-1 All Habitats'!$Z$2:$AA$9,2,FALSE)),"")</f>
        <v/>
      </c>
      <c r="U118" s="145"/>
      <c r="V118" s="507" t="str">
        <f>IF(U118="","",IF(VLOOKUP(U118,'G-3 Multipliers'!$L$3:$N$6,2,FALSE)=0,"Spatial Data Missing ⚠",VLOOKUP(U118,'G-3 Multipliers'!$L$3:$N$6,2,FALSE)))</f>
        <v/>
      </c>
      <c r="W118" s="505"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9"/>
        <v/>
      </c>
      <c r="AD118" s="537" t="str">
        <f>IF(M118="","",VLOOKUP(M118,'G-6 Hedgerow Data'!$B$3:$AG$15,31,FALSE))</f>
        <v/>
      </c>
      <c r="AE118" s="520" t="str">
        <f t="shared" si="13"/>
        <v/>
      </c>
      <c r="AF118" s="520" t="str">
        <f t="shared" si="14"/>
        <v/>
      </c>
      <c r="AG118" s="524" t="str">
        <f>IFERROR(IF(O118="","",VLOOKUP(AD118,'G-3 Multipliers'!$P$3:$Q$6,2,FALSE)),"")</f>
        <v/>
      </c>
      <c r="AH118" s="197"/>
      <c r="AI118" s="499" t="str">
        <f>IF(AH118="","",IF(VLOOKUP(AH118,'G-3 Multipliers'!$S$3:$T$6,2,FALSE)=0,"Spatial Data Missing ⚠",VLOOKUP(AH118,'G-3 Multipliers'!$S$3:$T$6,2,FALSE)))</f>
        <v/>
      </c>
      <c r="AJ118" s="545" t="str">
        <f t="shared" si="15"/>
        <v/>
      </c>
      <c r="AK118" s="149"/>
      <c r="AL118" s="150"/>
      <c r="AP118" s="31" t="str">
        <f>IFERROR(INDEX('G-6 Hedgerow Data'!$BJ$3:$BJ$15,MATCH(M118,'G-6 Hedgerow Data'!$B$3:$B$15,0)),"")</f>
        <v/>
      </c>
    </row>
    <row r="119" spans="2:42" ht="13.8" x14ac:dyDescent="0.25">
      <c r="B119" s="531" t="str">
        <f>'E-1 Off Site Hedge Baseline'!AK117</f>
        <v/>
      </c>
      <c r="C119" s="520" t="str">
        <f>IF(B119="","",IF(ISNA(VLOOKUP($B119,'E-1 Off Site Hedge Baseline'!$B$1:$L$257,3,FALSE)),"",(VLOOKUP($B119,'E-1 Off Site Hedge Baseline'!$B$1:$L$257,3,FALSE))))</f>
        <v/>
      </c>
      <c r="D119" s="520" t="str">
        <f>IF(B119="","",IF(ISNA(VLOOKUP($B119,'E-1 Off Site Hedge Baseline'!$B$1:$L$258,4,FALSE)),"",(VLOOKUP($B119,'E-1 Off Site Hedge Baseline'!$B$1:$L$258,4,FALSE))))</f>
        <v/>
      </c>
      <c r="E119" s="520" t="str">
        <f>IF(B119="","",IF(ISNA(VLOOKUP($B119,'E-1 Off Site Hedge Baseline'!$B$1:$L$257,5,FALSE)),"",(VLOOKUP($B119,'E-1 Off Site Hedge Baseline'!$B$1:$L$257,5,FALSE))))</f>
        <v/>
      </c>
      <c r="F119" s="520" t="str">
        <f>IF(B119="","",IF(ISNA(VLOOKUP($B119,'E-1 Off Site Hedge Baseline'!$B$1:$L$257,6,FALSE)),"",(VLOOKUP($B119,'E-1 Off Site Hedge Baseline'!$B$1:$L$257,6,FALSE))))</f>
        <v/>
      </c>
      <c r="G119" s="520" t="str">
        <f>IF(B119="","",IF(ISNA(VLOOKUP($B119,'E-1 Off Site Hedge Baseline'!$B$1:$L$257,7,FALSE)),"",(VLOOKUP($B119,'E-1 Off Site Hedge Baseline'!$B$1:$L$257,7,FALSE))))</f>
        <v/>
      </c>
      <c r="H119" s="520" t="str">
        <f>IF(B119="","",IF(ISNA(VLOOKUP($B119,'E-1 Off Site Hedge Baseline'!$B$1:$L$257,8,FALSE)),"",(VLOOKUP($B119,'E-1 Off Site Hedge Baseline'!$B$1:$L$257,8,FALSE))))</f>
        <v/>
      </c>
      <c r="I119" s="520" t="str">
        <f>IF(B119="","",IF(ISNA(VLOOKUP($B119,'E-1 Off Site Hedge Baseline'!$B$1:$L$257,10,FALSE)),"",(VLOOKUP($B119,'E-1 Off Site Hedge Baseline'!$B$1:$L$257,10,FALSE))))</f>
        <v/>
      </c>
      <c r="J119" s="520" t="str">
        <f>IF(B119="","",IF(ISNA(VLOOKUP($B119,'E-1 Off Site Hedge Baseline'!$B$1:$L$257,11,FALSE)),"",(VLOOKUP($B119,'E-1 Off Site Hedge Baseline'!$B$1:$L$257,11,FALSE))))</f>
        <v/>
      </c>
      <c r="K119" s="520" t="str">
        <f>IF(B119="","",IF(ISNA(VLOOKUP($B119,'E-1 Off Site Hedge Baseline'!$B$1:$U$257,113,FALSE)),"",(VLOOKUP($B119,'E-1 Off Site Hedge Baseline'!$B$1:$U$257,13,FALSE))))</f>
        <v/>
      </c>
      <c r="L119" s="507" t="str">
        <f>IF(B119="","",IF(ISNA(VLOOKUP($B119,'E-1 Off Site Hedge Baseline'!$B$1:$U$257,12,FALSE)),"",(VLOOKUP($B119,'E-1 Off Site Hedge Baseline'!$B$1:$U$257,12,FALSE))))</f>
        <v/>
      </c>
      <c r="M119" s="418" t="str">
        <f t="shared" si="16"/>
        <v/>
      </c>
      <c r="N119" s="498" t="str">
        <f>IFERROR(IF(B119="","",INDEX('G-6 Hedgerow Data'!$AN$3:$AZ$15,MATCH(C119,'G-6 Hedgerow Data'!$AM$3:$AM$15,0),MATCH(M119,'G-6 Hedgerow Data'!$AN$2:$AZ$2,0))),"")</f>
        <v/>
      </c>
      <c r="O119" s="499" t="str">
        <f t="shared" si="10"/>
        <v/>
      </c>
      <c r="P119" s="505" t="str">
        <f>IF(B119="","",VLOOKUP(B119,'E-1 Off Site Hedge Baseline'!$B$10:T364,16,FALSE))</f>
        <v/>
      </c>
      <c r="Q119" s="498" t="str">
        <f>IF(M119="","",VLOOKUP(M119,'G-6 Hedgerow Data'!$B$2:$AG$15,2,FALSE))</f>
        <v/>
      </c>
      <c r="R119" s="499" t="str">
        <f>IF(M119="","",VLOOKUP(M119,'G-6 Hedgerow Data'!$B$2:$AG$15,3,FALSE))</f>
        <v/>
      </c>
      <c r="S119" s="145"/>
      <c r="T119" s="499" t="str">
        <f>IFERROR(IF(AND(Q119="V.Low",OR(S119="Good",S119="Moderate")),"Error ▲",VLOOKUP(S119,'G-1 All Habitats'!$Z$2:$AA$9,2,FALSE)),"")</f>
        <v/>
      </c>
      <c r="U119" s="145"/>
      <c r="V119" s="507" t="str">
        <f>IF(U119="","",IF(VLOOKUP(U119,'G-3 Multipliers'!$L$3:$N$6,2,FALSE)=0,"Spatial Data Missing ⚠",VLOOKUP(U119,'G-3 Multipliers'!$L$3:$N$6,2,FALSE)))</f>
        <v/>
      </c>
      <c r="W119" s="505"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9"/>
        <v/>
      </c>
      <c r="AD119" s="537" t="str">
        <f>IF(M119="","",VLOOKUP(M119,'G-6 Hedgerow Data'!$B$3:$AG$15,31,FALSE))</f>
        <v/>
      </c>
      <c r="AE119" s="520" t="str">
        <f t="shared" si="13"/>
        <v/>
      </c>
      <c r="AF119" s="520" t="str">
        <f t="shared" si="14"/>
        <v/>
      </c>
      <c r="AG119" s="524" t="str">
        <f>IFERROR(IF(O119="","",VLOOKUP(AD119,'G-3 Multipliers'!$P$3:$Q$6,2,FALSE)),"")</f>
        <v/>
      </c>
      <c r="AH119" s="197"/>
      <c r="AI119" s="499" t="str">
        <f>IF(AH119="","",IF(VLOOKUP(AH119,'G-3 Multipliers'!$S$3:$T$6,2,FALSE)=0,"Spatial Data Missing ⚠",VLOOKUP(AH119,'G-3 Multipliers'!$S$3:$T$6,2,FALSE)))</f>
        <v/>
      </c>
      <c r="AJ119" s="545" t="str">
        <f t="shared" si="15"/>
        <v/>
      </c>
      <c r="AK119" s="149"/>
      <c r="AL119" s="150"/>
      <c r="AP119" s="31" t="str">
        <f>IFERROR(INDEX('G-6 Hedgerow Data'!$BJ$3:$BJ$15,MATCH(M119,'G-6 Hedgerow Data'!$B$3:$B$15,0)),"")</f>
        <v/>
      </c>
    </row>
    <row r="120" spans="2:42" ht="13.8" x14ac:dyDescent="0.25">
      <c r="B120" s="531" t="str">
        <f>'E-1 Off Site Hedge Baseline'!AK118</f>
        <v/>
      </c>
      <c r="C120" s="520" t="str">
        <f>IF(B120="","",IF(ISNA(VLOOKUP($B120,'E-1 Off Site Hedge Baseline'!$B$1:$L$257,3,FALSE)),"",(VLOOKUP($B120,'E-1 Off Site Hedge Baseline'!$B$1:$L$257,3,FALSE))))</f>
        <v/>
      </c>
      <c r="D120" s="520" t="str">
        <f>IF(B120="","",IF(ISNA(VLOOKUP($B120,'E-1 Off Site Hedge Baseline'!$B$1:$L$258,4,FALSE)),"",(VLOOKUP($B120,'E-1 Off Site Hedge Baseline'!$B$1:$L$258,4,FALSE))))</f>
        <v/>
      </c>
      <c r="E120" s="520" t="str">
        <f>IF(B120="","",IF(ISNA(VLOOKUP($B120,'E-1 Off Site Hedge Baseline'!$B$1:$L$257,5,FALSE)),"",(VLOOKUP($B120,'E-1 Off Site Hedge Baseline'!$B$1:$L$257,5,FALSE))))</f>
        <v/>
      </c>
      <c r="F120" s="520" t="str">
        <f>IF(B120="","",IF(ISNA(VLOOKUP($B120,'E-1 Off Site Hedge Baseline'!$B$1:$L$257,6,FALSE)),"",(VLOOKUP($B120,'E-1 Off Site Hedge Baseline'!$B$1:$L$257,6,FALSE))))</f>
        <v/>
      </c>
      <c r="G120" s="520" t="str">
        <f>IF(B120="","",IF(ISNA(VLOOKUP($B120,'E-1 Off Site Hedge Baseline'!$B$1:$L$257,7,FALSE)),"",(VLOOKUP($B120,'E-1 Off Site Hedge Baseline'!$B$1:$L$257,7,FALSE))))</f>
        <v/>
      </c>
      <c r="H120" s="520" t="str">
        <f>IF(B120="","",IF(ISNA(VLOOKUP($B120,'E-1 Off Site Hedge Baseline'!$B$1:$L$257,8,FALSE)),"",(VLOOKUP($B120,'E-1 Off Site Hedge Baseline'!$B$1:$L$257,8,FALSE))))</f>
        <v/>
      </c>
      <c r="I120" s="520" t="str">
        <f>IF(B120="","",IF(ISNA(VLOOKUP($B120,'E-1 Off Site Hedge Baseline'!$B$1:$L$257,10,FALSE)),"",(VLOOKUP($B120,'E-1 Off Site Hedge Baseline'!$B$1:$L$257,10,FALSE))))</f>
        <v/>
      </c>
      <c r="J120" s="520" t="str">
        <f>IF(B120="","",IF(ISNA(VLOOKUP($B120,'E-1 Off Site Hedge Baseline'!$B$1:$L$257,11,FALSE)),"",(VLOOKUP($B120,'E-1 Off Site Hedge Baseline'!$B$1:$L$257,11,FALSE))))</f>
        <v/>
      </c>
      <c r="K120" s="520" t="str">
        <f>IF(B120="","",IF(ISNA(VLOOKUP($B120,'E-1 Off Site Hedge Baseline'!$B$1:$U$257,113,FALSE)),"",(VLOOKUP($B120,'E-1 Off Site Hedge Baseline'!$B$1:$U$257,13,FALSE))))</f>
        <v/>
      </c>
      <c r="L120" s="507" t="str">
        <f>IF(B120="","",IF(ISNA(VLOOKUP($B120,'E-1 Off Site Hedge Baseline'!$B$1:$U$257,12,FALSE)),"",(VLOOKUP($B120,'E-1 Off Site Hedge Baseline'!$B$1:$U$257,12,FALSE))))</f>
        <v/>
      </c>
      <c r="M120" s="418" t="str">
        <f t="shared" si="16"/>
        <v/>
      </c>
      <c r="N120" s="498" t="str">
        <f>IFERROR(IF(B120="","",INDEX('G-6 Hedgerow Data'!$AN$3:$AZ$15,MATCH(C120,'G-6 Hedgerow Data'!$AM$3:$AM$15,0),MATCH(M120,'G-6 Hedgerow Data'!$AN$2:$AZ$2,0))),"")</f>
        <v/>
      </c>
      <c r="O120" s="499" t="str">
        <f t="shared" si="10"/>
        <v/>
      </c>
      <c r="P120" s="505" t="str">
        <f>IF(B120="","",VLOOKUP(B120,'E-1 Off Site Hedge Baseline'!$B$10:T365,16,FALSE))</f>
        <v/>
      </c>
      <c r="Q120" s="498" t="str">
        <f>IF(M120="","",VLOOKUP(M120,'G-6 Hedgerow Data'!$B$2:$AG$15,2,FALSE))</f>
        <v/>
      </c>
      <c r="R120" s="499" t="str">
        <f>IF(M120="","",VLOOKUP(M120,'G-6 Hedgerow Data'!$B$2:$AG$15,3,FALSE))</f>
        <v/>
      </c>
      <c r="S120" s="145"/>
      <c r="T120" s="499" t="str">
        <f>IFERROR(IF(AND(Q120="V.Low",OR(S120="Good",S120="Moderate")),"Error ▲",VLOOKUP(S120,'G-1 All Habitats'!$Z$2:$AA$9,2,FALSE)),"")</f>
        <v/>
      </c>
      <c r="U120" s="145"/>
      <c r="V120" s="507" t="str">
        <f>IF(U120="","",IF(VLOOKUP(U120,'G-3 Multipliers'!$L$3:$N$6,2,FALSE)=0,"Spatial Data Missing ⚠",VLOOKUP(U120,'G-3 Multipliers'!$L$3:$N$6,2,FALSE)))</f>
        <v/>
      </c>
      <c r="W120" s="505"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9"/>
        <v/>
      </c>
      <c r="AD120" s="537" t="str">
        <f>IF(M120="","",VLOOKUP(M120,'G-6 Hedgerow Data'!$B$3:$AG$15,31,FALSE))</f>
        <v/>
      </c>
      <c r="AE120" s="520" t="str">
        <f t="shared" si="13"/>
        <v/>
      </c>
      <c r="AF120" s="520" t="str">
        <f t="shared" si="14"/>
        <v/>
      </c>
      <c r="AG120" s="524" t="str">
        <f>IFERROR(IF(O120="","",VLOOKUP(AD120,'G-3 Multipliers'!$P$3:$Q$6,2,FALSE)),"")</f>
        <v/>
      </c>
      <c r="AH120" s="197"/>
      <c r="AI120" s="499" t="str">
        <f>IF(AH120="","",IF(VLOOKUP(AH120,'G-3 Multipliers'!$S$3:$T$6,2,FALSE)=0,"Spatial Data Missing ⚠",VLOOKUP(AH120,'G-3 Multipliers'!$S$3:$T$6,2,FALSE)))</f>
        <v/>
      </c>
      <c r="AJ120" s="545" t="str">
        <f t="shared" si="15"/>
        <v/>
      </c>
      <c r="AK120" s="149"/>
      <c r="AL120" s="150"/>
      <c r="AP120" s="31" t="str">
        <f>IFERROR(INDEX('G-6 Hedgerow Data'!$BJ$3:$BJ$15,MATCH(M120,'G-6 Hedgerow Data'!$B$3:$B$15,0)),"")</f>
        <v/>
      </c>
    </row>
    <row r="121" spans="2:42" ht="13.8" x14ac:dyDescent="0.25">
      <c r="B121" s="531" t="str">
        <f>'E-1 Off Site Hedge Baseline'!AK119</f>
        <v/>
      </c>
      <c r="C121" s="520" t="str">
        <f>IF(B121="","",IF(ISNA(VLOOKUP($B121,'E-1 Off Site Hedge Baseline'!$B$1:$L$257,3,FALSE)),"",(VLOOKUP($B121,'E-1 Off Site Hedge Baseline'!$B$1:$L$257,3,FALSE))))</f>
        <v/>
      </c>
      <c r="D121" s="520" t="str">
        <f>IF(B121="","",IF(ISNA(VLOOKUP($B121,'E-1 Off Site Hedge Baseline'!$B$1:$L$258,4,FALSE)),"",(VLOOKUP($B121,'E-1 Off Site Hedge Baseline'!$B$1:$L$258,4,FALSE))))</f>
        <v/>
      </c>
      <c r="E121" s="520" t="str">
        <f>IF(B121="","",IF(ISNA(VLOOKUP($B121,'E-1 Off Site Hedge Baseline'!$B$1:$L$257,5,FALSE)),"",(VLOOKUP($B121,'E-1 Off Site Hedge Baseline'!$B$1:$L$257,5,FALSE))))</f>
        <v/>
      </c>
      <c r="F121" s="520" t="str">
        <f>IF(B121="","",IF(ISNA(VLOOKUP($B121,'E-1 Off Site Hedge Baseline'!$B$1:$L$257,6,FALSE)),"",(VLOOKUP($B121,'E-1 Off Site Hedge Baseline'!$B$1:$L$257,6,FALSE))))</f>
        <v/>
      </c>
      <c r="G121" s="520" t="str">
        <f>IF(B121="","",IF(ISNA(VLOOKUP($B121,'E-1 Off Site Hedge Baseline'!$B$1:$L$257,7,FALSE)),"",(VLOOKUP($B121,'E-1 Off Site Hedge Baseline'!$B$1:$L$257,7,FALSE))))</f>
        <v/>
      </c>
      <c r="H121" s="520" t="str">
        <f>IF(B121="","",IF(ISNA(VLOOKUP($B121,'E-1 Off Site Hedge Baseline'!$B$1:$L$257,8,FALSE)),"",(VLOOKUP($B121,'E-1 Off Site Hedge Baseline'!$B$1:$L$257,8,FALSE))))</f>
        <v/>
      </c>
      <c r="I121" s="520" t="str">
        <f>IF(B121="","",IF(ISNA(VLOOKUP($B121,'E-1 Off Site Hedge Baseline'!$B$1:$L$257,10,FALSE)),"",(VLOOKUP($B121,'E-1 Off Site Hedge Baseline'!$B$1:$L$257,10,FALSE))))</f>
        <v/>
      </c>
      <c r="J121" s="520" t="str">
        <f>IF(B121="","",IF(ISNA(VLOOKUP($B121,'E-1 Off Site Hedge Baseline'!$B$1:$L$257,11,FALSE)),"",(VLOOKUP($B121,'E-1 Off Site Hedge Baseline'!$B$1:$L$257,11,FALSE))))</f>
        <v/>
      </c>
      <c r="K121" s="520" t="str">
        <f>IF(B121="","",IF(ISNA(VLOOKUP($B121,'E-1 Off Site Hedge Baseline'!$B$1:$U$257,113,FALSE)),"",(VLOOKUP($B121,'E-1 Off Site Hedge Baseline'!$B$1:$U$257,13,FALSE))))</f>
        <v/>
      </c>
      <c r="L121" s="507" t="str">
        <f>IF(B121="","",IF(ISNA(VLOOKUP($B121,'E-1 Off Site Hedge Baseline'!$B$1:$U$257,12,FALSE)),"",(VLOOKUP($B121,'E-1 Off Site Hedge Baseline'!$B$1:$U$257,12,FALSE))))</f>
        <v/>
      </c>
      <c r="M121" s="418" t="str">
        <f t="shared" si="16"/>
        <v/>
      </c>
      <c r="N121" s="498" t="str">
        <f>IFERROR(IF(B121="","",INDEX('G-6 Hedgerow Data'!$AN$3:$AZ$15,MATCH(C121,'G-6 Hedgerow Data'!$AM$3:$AM$15,0),MATCH(M121,'G-6 Hedgerow Data'!$AN$2:$AZ$2,0))),"")</f>
        <v/>
      </c>
      <c r="O121" s="499" t="str">
        <f t="shared" si="10"/>
        <v/>
      </c>
      <c r="P121" s="505" t="str">
        <f>IF(B121="","",VLOOKUP(B121,'E-1 Off Site Hedge Baseline'!$B$10:T366,16,FALSE))</f>
        <v/>
      </c>
      <c r="Q121" s="498" t="str">
        <f>IF(M121="","",VLOOKUP(M121,'G-6 Hedgerow Data'!$B$2:$AG$15,2,FALSE))</f>
        <v/>
      </c>
      <c r="R121" s="499" t="str">
        <f>IF(M121="","",VLOOKUP(M121,'G-6 Hedgerow Data'!$B$2:$AG$15,3,FALSE))</f>
        <v/>
      </c>
      <c r="S121" s="145"/>
      <c r="T121" s="499" t="str">
        <f>IFERROR(IF(AND(Q121="V.Low",OR(S121="Good",S121="Moderate")),"Error ▲",VLOOKUP(S121,'G-1 All Habitats'!$Z$2:$AA$9,2,FALSE)),"")</f>
        <v/>
      </c>
      <c r="U121" s="145"/>
      <c r="V121" s="507" t="str">
        <f>IF(U121="","",IF(VLOOKUP(U121,'G-3 Multipliers'!$L$3:$N$6,2,FALSE)=0,"Spatial Data Missing ⚠",VLOOKUP(U121,'G-3 Multipliers'!$L$3:$N$6,2,FALSE)))</f>
        <v/>
      </c>
      <c r="W121" s="505"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9"/>
        <v/>
      </c>
      <c r="AD121" s="537" t="str">
        <f>IF(M121="","",VLOOKUP(M121,'G-6 Hedgerow Data'!$B$3:$AG$15,31,FALSE))</f>
        <v/>
      </c>
      <c r="AE121" s="520" t="str">
        <f t="shared" si="13"/>
        <v/>
      </c>
      <c r="AF121" s="520" t="str">
        <f t="shared" si="14"/>
        <v/>
      </c>
      <c r="AG121" s="524" t="str">
        <f>IFERROR(IF(O121="","",VLOOKUP(AD121,'G-3 Multipliers'!$P$3:$Q$6,2,FALSE)),"")</f>
        <v/>
      </c>
      <c r="AH121" s="197"/>
      <c r="AI121" s="499" t="str">
        <f>IF(AH121="","",IF(VLOOKUP(AH121,'G-3 Multipliers'!$S$3:$T$6,2,FALSE)=0,"Spatial Data Missing ⚠",VLOOKUP(AH121,'G-3 Multipliers'!$S$3:$T$6,2,FALSE)))</f>
        <v/>
      </c>
      <c r="AJ121" s="545" t="str">
        <f t="shared" si="15"/>
        <v/>
      </c>
      <c r="AK121" s="149"/>
      <c r="AL121" s="150"/>
      <c r="AP121" s="31" t="str">
        <f>IFERROR(INDEX('G-6 Hedgerow Data'!$BJ$3:$BJ$15,MATCH(M121,'G-6 Hedgerow Data'!$B$3:$B$15,0)),"")</f>
        <v/>
      </c>
    </row>
    <row r="122" spans="2:42" ht="13.8" x14ac:dyDescent="0.25">
      <c r="B122" s="531" t="str">
        <f>'E-1 Off Site Hedge Baseline'!AK120</f>
        <v/>
      </c>
      <c r="C122" s="520" t="str">
        <f>IF(B122="","",IF(ISNA(VLOOKUP($B122,'E-1 Off Site Hedge Baseline'!$B$1:$L$257,3,FALSE)),"",(VLOOKUP($B122,'E-1 Off Site Hedge Baseline'!$B$1:$L$257,3,FALSE))))</f>
        <v/>
      </c>
      <c r="D122" s="520" t="str">
        <f>IF(B122="","",IF(ISNA(VLOOKUP($B122,'E-1 Off Site Hedge Baseline'!$B$1:$L$258,4,FALSE)),"",(VLOOKUP($B122,'E-1 Off Site Hedge Baseline'!$B$1:$L$258,4,FALSE))))</f>
        <v/>
      </c>
      <c r="E122" s="520" t="str">
        <f>IF(B122="","",IF(ISNA(VLOOKUP($B122,'E-1 Off Site Hedge Baseline'!$B$1:$L$257,5,FALSE)),"",(VLOOKUP($B122,'E-1 Off Site Hedge Baseline'!$B$1:$L$257,5,FALSE))))</f>
        <v/>
      </c>
      <c r="F122" s="520" t="str">
        <f>IF(B122="","",IF(ISNA(VLOOKUP($B122,'E-1 Off Site Hedge Baseline'!$B$1:$L$257,6,FALSE)),"",(VLOOKUP($B122,'E-1 Off Site Hedge Baseline'!$B$1:$L$257,6,FALSE))))</f>
        <v/>
      </c>
      <c r="G122" s="520" t="str">
        <f>IF(B122="","",IF(ISNA(VLOOKUP($B122,'E-1 Off Site Hedge Baseline'!$B$1:$L$257,7,FALSE)),"",(VLOOKUP($B122,'E-1 Off Site Hedge Baseline'!$B$1:$L$257,7,FALSE))))</f>
        <v/>
      </c>
      <c r="H122" s="520" t="str">
        <f>IF(B122="","",IF(ISNA(VLOOKUP($B122,'E-1 Off Site Hedge Baseline'!$B$1:$L$257,8,FALSE)),"",(VLOOKUP($B122,'E-1 Off Site Hedge Baseline'!$B$1:$L$257,8,FALSE))))</f>
        <v/>
      </c>
      <c r="I122" s="520" t="str">
        <f>IF(B122="","",IF(ISNA(VLOOKUP($B122,'E-1 Off Site Hedge Baseline'!$B$1:$L$257,10,FALSE)),"",(VLOOKUP($B122,'E-1 Off Site Hedge Baseline'!$B$1:$L$257,10,FALSE))))</f>
        <v/>
      </c>
      <c r="J122" s="520" t="str">
        <f>IF(B122="","",IF(ISNA(VLOOKUP($B122,'E-1 Off Site Hedge Baseline'!$B$1:$L$257,11,FALSE)),"",(VLOOKUP($B122,'E-1 Off Site Hedge Baseline'!$B$1:$L$257,11,FALSE))))</f>
        <v/>
      </c>
      <c r="K122" s="520" t="str">
        <f>IF(B122="","",IF(ISNA(VLOOKUP($B122,'E-1 Off Site Hedge Baseline'!$B$1:$U$257,113,FALSE)),"",(VLOOKUP($B122,'E-1 Off Site Hedge Baseline'!$B$1:$U$257,13,FALSE))))</f>
        <v/>
      </c>
      <c r="L122" s="507" t="str">
        <f>IF(B122="","",IF(ISNA(VLOOKUP($B122,'E-1 Off Site Hedge Baseline'!$B$1:$U$257,12,FALSE)),"",(VLOOKUP($B122,'E-1 Off Site Hedge Baseline'!$B$1:$U$257,12,FALSE))))</f>
        <v/>
      </c>
      <c r="M122" s="418" t="str">
        <f t="shared" si="16"/>
        <v/>
      </c>
      <c r="N122" s="498" t="str">
        <f>IFERROR(IF(B122="","",INDEX('G-6 Hedgerow Data'!$AN$3:$AZ$15,MATCH(C122,'G-6 Hedgerow Data'!$AM$3:$AM$15,0),MATCH(M122,'G-6 Hedgerow Data'!$AN$2:$AZ$2,0))),"")</f>
        <v/>
      </c>
      <c r="O122" s="499" t="str">
        <f t="shared" si="10"/>
        <v/>
      </c>
      <c r="P122" s="505" t="str">
        <f>IF(B122="","",VLOOKUP(B122,'E-1 Off Site Hedge Baseline'!$B$10:T367,16,FALSE))</f>
        <v/>
      </c>
      <c r="Q122" s="498" t="str">
        <f>IF(M122="","",VLOOKUP(M122,'G-6 Hedgerow Data'!$B$2:$AG$15,2,FALSE))</f>
        <v/>
      </c>
      <c r="R122" s="499" t="str">
        <f>IF(M122="","",VLOOKUP(M122,'G-6 Hedgerow Data'!$B$2:$AG$15,3,FALSE))</f>
        <v/>
      </c>
      <c r="S122" s="145"/>
      <c r="T122" s="499" t="str">
        <f>IFERROR(IF(AND(Q122="V.Low",OR(S122="Good",S122="Moderate")),"Error ▲",VLOOKUP(S122,'G-1 All Habitats'!$Z$2:$AA$9,2,FALSE)),"")</f>
        <v/>
      </c>
      <c r="U122" s="145"/>
      <c r="V122" s="507" t="str">
        <f>IF(U122="","",IF(VLOOKUP(U122,'G-3 Multipliers'!$L$3:$N$6,2,FALSE)=0,"Spatial Data Missing ⚠",VLOOKUP(U122,'G-3 Multipliers'!$L$3:$N$6,2,FALSE)))</f>
        <v/>
      </c>
      <c r="W122" s="505"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9"/>
        <v/>
      </c>
      <c r="AD122" s="537" t="str">
        <f>IF(M122="","",VLOOKUP(M122,'G-6 Hedgerow Data'!$B$3:$AG$15,31,FALSE))</f>
        <v/>
      </c>
      <c r="AE122" s="520" t="str">
        <f t="shared" si="13"/>
        <v/>
      </c>
      <c r="AF122" s="520" t="str">
        <f t="shared" si="14"/>
        <v/>
      </c>
      <c r="AG122" s="524" t="str">
        <f>IFERROR(IF(O122="","",VLOOKUP(AD122,'G-3 Multipliers'!$P$3:$Q$6,2,FALSE)),"")</f>
        <v/>
      </c>
      <c r="AH122" s="197"/>
      <c r="AI122" s="499" t="str">
        <f>IF(AH122="","",IF(VLOOKUP(AH122,'G-3 Multipliers'!$S$3:$T$6,2,FALSE)=0,"Spatial Data Missing ⚠",VLOOKUP(AH122,'G-3 Multipliers'!$S$3:$T$6,2,FALSE)))</f>
        <v/>
      </c>
      <c r="AJ122" s="545" t="str">
        <f t="shared" si="15"/>
        <v/>
      </c>
      <c r="AK122" s="149"/>
      <c r="AL122" s="150"/>
      <c r="AP122" s="31" t="str">
        <f>IFERROR(INDEX('G-6 Hedgerow Data'!$BJ$3:$BJ$15,MATCH(M122,'G-6 Hedgerow Data'!$B$3:$B$15,0)),"")</f>
        <v/>
      </c>
    </row>
    <row r="123" spans="2:42" ht="13.8" x14ac:dyDescent="0.25">
      <c r="B123" s="531" t="str">
        <f>'E-1 Off Site Hedge Baseline'!AK121</f>
        <v/>
      </c>
      <c r="C123" s="520" t="str">
        <f>IF(B123="","",IF(ISNA(VLOOKUP($B123,'E-1 Off Site Hedge Baseline'!$B$1:$L$257,3,FALSE)),"",(VLOOKUP($B123,'E-1 Off Site Hedge Baseline'!$B$1:$L$257,3,FALSE))))</f>
        <v/>
      </c>
      <c r="D123" s="520" t="str">
        <f>IF(B123="","",IF(ISNA(VLOOKUP($B123,'E-1 Off Site Hedge Baseline'!$B$1:$L$258,4,FALSE)),"",(VLOOKUP($B123,'E-1 Off Site Hedge Baseline'!$B$1:$L$258,4,FALSE))))</f>
        <v/>
      </c>
      <c r="E123" s="520" t="str">
        <f>IF(B123="","",IF(ISNA(VLOOKUP($B123,'E-1 Off Site Hedge Baseline'!$B$1:$L$257,5,FALSE)),"",(VLOOKUP($B123,'E-1 Off Site Hedge Baseline'!$B$1:$L$257,5,FALSE))))</f>
        <v/>
      </c>
      <c r="F123" s="520" t="str">
        <f>IF(B123="","",IF(ISNA(VLOOKUP($B123,'E-1 Off Site Hedge Baseline'!$B$1:$L$257,6,FALSE)),"",(VLOOKUP($B123,'E-1 Off Site Hedge Baseline'!$B$1:$L$257,6,FALSE))))</f>
        <v/>
      </c>
      <c r="G123" s="520" t="str">
        <f>IF(B123="","",IF(ISNA(VLOOKUP($B123,'E-1 Off Site Hedge Baseline'!$B$1:$L$257,7,FALSE)),"",(VLOOKUP($B123,'E-1 Off Site Hedge Baseline'!$B$1:$L$257,7,FALSE))))</f>
        <v/>
      </c>
      <c r="H123" s="520" t="str">
        <f>IF(B123="","",IF(ISNA(VLOOKUP($B123,'E-1 Off Site Hedge Baseline'!$B$1:$L$257,8,FALSE)),"",(VLOOKUP($B123,'E-1 Off Site Hedge Baseline'!$B$1:$L$257,8,FALSE))))</f>
        <v/>
      </c>
      <c r="I123" s="520" t="str">
        <f>IF(B123="","",IF(ISNA(VLOOKUP($B123,'E-1 Off Site Hedge Baseline'!$B$1:$L$257,10,FALSE)),"",(VLOOKUP($B123,'E-1 Off Site Hedge Baseline'!$B$1:$L$257,10,FALSE))))</f>
        <v/>
      </c>
      <c r="J123" s="520" t="str">
        <f>IF(B123="","",IF(ISNA(VLOOKUP($B123,'E-1 Off Site Hedge Baseline'!$B$1:$L$257,11,FALSE)),"",(VLOOKUP($B123,'E-1 Off Site Hedge Baseline'!$B$1:$L$257,11,FALSE))))</f>
        <v/>
      </c>
      <c r="K123" s="520" t="str">
        <f>IF(B123="","",IF(ISNA(VLOOKUP($B123,'E-1 Off Site Hedge Baseline'!$B$1:$U$257,113,FALSE)),"",(VLOOKUP($B123,'E-1 Off Site Hedge Baseline'!$B$1:$U$257,13,FALSE))))</f>
        <v/>
      </c>
      <c r="L123" s="507" t="str">
        <f>IF(B123="","",IF(ISNA(VLOOKUP($B123,'E-1 Off Site Hedge Baseline'!$B$1:$U$257,12,FALSE)),"",(VLOOKUP($B123,'E-1 Off Site Hedge Baseline'!$B$1:$U$257,12,FALSE))))</f>
        <v/>
      </c>
      <c r="M123" s="418" t="str">
        <f t="shared" si="16"/>
        <v/>
      </c>
      <c r="N123" s="498" t="str">
        <f>IFERROR(IF(B123="","",INDEX('G-6 Hedgerow Data'!$AN$3:$AZ$15,MATCH(C123,'G-6 Hedgerow Data'!$AM$3:$AM$15,0),MATCH(M123,'G-6 Hedgerow Data'!$AN$2:$AZ$2,0))),"")</f>
        <v/>
      </c>
      <c r="O123" s="499" t="str">
        <f t="shared" si="10"/>
        <v/>
      </c>
      <c r="P123" s="505" t="str">
        <f>IF(B123="","",VLOOKUP(B123,'E-1 Off Site Hedge Baseline'!$B$10:T368,16,FALSE))</f>
        <v/>
      </c>
      <c r="Q123" s="498" t="str">
        <f>IF(M123="","",VLOOKUP(M123,'G-6 Hedgerow Data'!$B$2:$AG$15,2,FALSE))</f>
        <v/>
      </c>
      <c r="R123" s="499" t="str">
        <f>IF(M123="","",VLOOKUP(M123,'G-6 Hedgerow Data'!$B$2:$AG$15,3,FALSE))</f>
        <v/>
      </c>
      <c r="S123" s="145"/>
      <c r="T123" s="499" t="str">
        <f>IFERROR(IF(AND(Q123="V.Low",OR(S123="Good",S123="Moderate")),"Error ▲",VLOOKUP(S123,'G-1 All Habitats'!$Z$2:$AA$9,2,FALSE)),"")</f>
        <v/>
      </c>
      <c r="U123" s="145"/>
      <c r="V123" s="507" t="str">
        <f>IF(U123="","",IF(VLOOKUP(U123,'G-3 Multipliers'!$L$3:$N$6,2,FALSE)=0,"Spatial Data Missing ⚠",VLOOKUP(U123,'G-3 Multipliers'!$L$3:$N$6,2,FALSE)))</f>
        <v/>
      </c>
      <c r="W123" s="505"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9"/>
        <v/>
      </c>
      <c r="AD123" s="537" t="str">
        <f>IF(M123="","",VLOOKUP(M123,'G-6 Hedgerow Data'!$B$3:$AG$15,31,FALSE))</f>
        <v/>
      </c>
      <c r="AE123" s="520" t="str">
        <f t="shared" si="13"/>
        <v/>
      </c>
      <c r="AF123" s="520" t="str">
        <f t="shared" si="14"/>
        <v/>
      </c>
      <c r="AG123" s="524" t="str">
        <f>IFERROR(IF(O123="","",VLOOKUP(AD123,'G-3 Multipliers'!$P$3:$Q$6,2,FALSE)),"")</f>
        <v/>
      </c>
      <c r="AH123" s="197"/>
      <c r="AI123" s="499" t="str">
        <f>IF(AH123="","",IF(VLOOKUP(AH123,'G-3 Multipliers'!$S$3:$T$6,2,FALSE)=0,"Spatial Data Missing ⚠",VLOOKUP(AH123,'G-3 Multipliers'!$S$3:$T$6,2,FALSE)))</f>
        <v/>
      </c>
      <c r="AJ123" s="545" t="str">
        <f t="shared" si="15"/>
        <v/>
      </c>
      <c r="AK123" s="149"/>
      <c r="AL123" s="150"/>
      <c r="AP123" s="31" t="str">
        <f>IFERROR(INDEX('G-6 Hedgerow Data'!$BJ$3:$BJ$15,MATCH(M123,'G-6 Hedgerow Data'!$B$3:$B$15,0)),"")</f>
        <v/>
      </c>
    </row>
    <row r="124" spans="2:42" ht="13.8" x14ac:dyDescent="0.25">
      <c r="B124" s="531" t="str">
        <f>'E-1 Off Site Hedge Baseline'!AK122</f>
        <v/>
      </c>
      <c r="C124" s="520" t="str">
        <f>IF(B124="","",IF(ISNA(VLOOKUP($B124,'E-1 Off Site Hedge Baseline'!$B$1:$L$257,3,FALSE)),"",(VLOOKUP($B124,'E-1 Off Site Hedge Baseline'!$B$1:$L$257,3,FALSE))))</f>
        <v/>
      </c>
      <c r="D124" s="520" t="str">
        <f>IF(B124="","",IF(ISNA(VLOOKUP($B124,'E-1 Off Site Hedge Baseline'!$B$1:$L$258,4,FALSE)),"",(VLOOKUP($B124,'E-1 Off Site Hedge Baseline'!$B$1:$L$258,4,FALSE))))</f>
        <v/>
      </c>
      <c r="E124" s="520" t="str">
        <f>IF(B124="","",IF(ISNA(VLOOKUP($B124,'E-1 Off Site Hedge Baseline'!$B$1:$L$257,5,FALSE)),"",(VLOOKUP($B124,'E-1 Off Site Hedge Baseline'!$B$1:$L$257,5,FALSE))))</f>
        <v/>
      </c>
      <c r="F124" s="520" t="str">
        <f>IF(B124="","",IF(ISNA(VLOOKUP($B124,'E-1 Off Site Hedge Baseline'!$B$1:$L$257,6,FALSE)),"",(VLOOKUP($B124,'E-1 Off Site Hedge Baseline'!$B$1:$L$257,6,FALSE))))</f>
        <v/>
      </c>
      <c r="G124" s="520" t="str">
        <f>IF(B124="","",IF(ISNA(VLOOKUP($B124,'E-1 Off Site Hedge Baseline'!$B$1:$L$257,7,FALSE)),"",(VLOOKUP($B124,'E-1 Off Site Hedge Baseline'!$B$1:$L$257,7,FALSE))))</f>
        <v/>
      </c>
      <c r="H124" s="520" t="str">
        <f>IF(B124="","",IF(ISNA(VLOOKUP($B124,'E-1 Off Site Hedge Baseline'!$B$1:$L$257,8,FALSE)),"",(VLOOKUP($B124,'E-1 Off Site Hedge Baseline'!$B$1:$L$257,8,FALSE))))</f>
        <v/>
      </c>
      <c r="I124" s="520" t="str">
        <f>IF(B124="","",IF(ISNA(VLOOKUP($B124,'E-1 Off Site Hedge Baseline'!$B$1:$L$257,10,FALSE)),"",(VLOOKUP($B124,'E-1 Off Site Hedge Baseline'!$B$1:$L$257,10,FALSE))))</f>
        <v/>
      </c>
      <c r="J124" s="520" t="str">
        <f>IF(B124="","",IF(ISNA(VLOOKUP($B124,'E-1 Off Site Hedge Baseline'!$B$1:$L$257,11,FALSE)),"",(VLOOKUP($B124,'E-1 Off Site Hedge Baseline'!$B$1:$L$257,11,FALSE))))</f>
        <v/>
      </c>
      <c r="K124" s="520" t="str">
        <f>IF(B124="","",IF(ISNA(VLOOKUP($B124,'E-1 Off Site Hedge Baseline'!$B$1:$U$257,113,FALSE)),"",(VLOOKUP($B124,'E-1 Off Site Hedge Baseline'!$B$1:$U$257,13,FALSE))))</f>
        <v/>
      </c>
      <c r="L124" s="507" t="str">
        <f>IF(B124="","",IF(ISNA(VLOOKUP($B124,'E-1 Off Site Hedge Baseline'!$B$1:$U$257,12,FALSE)),"",(VLOOKUP($B124,'E-1 Off Site Hedge Baseline'!$B$1:$U$257,12,FALSE))))</f>
        <v/>
      </c>
      <c r="M124" s="418" t="str">
        <f t="shared" si="16"/>
        <v/>
      </c>
      <c r="N124" s="498" t="str">
        <f>IFERROR(IF(B124="","",INDEX('G-6 Hedgerow Data'!$AN$3:$AZ$15,MATCH(C124,'G-6 Hedgerow Data'!$AM$3:$AM$15,0),MATCH(M124,'G-6 Hedgerow Data'!$AN$2:$AZ$2,0))),"")</f>
        <v/>
      </c>
      <c r="O124" s="499" t="str">
        <f t="shared" si="10"/>
        <v/>
      </c>
      <c r="P124" s="505" t="str">
        <f>IF(B124="","",VLOOKUP(B124,'E-1 Off Site Hedge Baseline'!$B$10:T369,16,FALSE))</f>
        <v/>
      </c>
      <c r="Q124" s="498" t="str">
        <f>IF(M124="","",VLOOKUP(M124,'G-6 Hedgerow Data'!$B$2:$AG$15,2,FALSE))</f>
        <v/>
      </c>
      <c r="R124" s="499" t="str">
        <f>IF(M124="","",VLOOKUP(M124,'G-6 Hedgerow Data'!$B$2:$AG$15,3,FALSE))</f>
        <v/>
      </c>
      <c r="S124" s="145"/>
      <c r="T124" s="499" t="str">
        <f>IFERROR(IF(AND(Q124="V.Low",OR(S124="Good",S124="Moderate")),"Error ▲",VLOOKUP(S124,'G-1 All Habitats'!$Z$2:$AA$9,2,FALSE)),"")</f>
        <v/>
      </c>
      <c r="U124" s="145"/>
      <c r="V124" s="507" t="str">
        <f>IF(U124="","",IF(VLOOKUP(U124,'G-3 Multipliers'!$L$3:$N$6,2,FALSE)=0,"Spatial Data Missing ⚠",VLOOKUP(U124,'G-3 Multipliers'!$L$3:$N$6,2,FALSE)))</f>
        <v/>
      </c>
      <c r="W124" s="505"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9"/>
        <v/>
      </c>
      <c r="AD124" s="537" t="str">
        <f>IF(M124="","",VLOOKUP(M124,'G-6 Hedgerow Data'!$B$3:$AG$15,31,FALSE))</f>
        <v/>
      </c>
      <c r="AE124" s="520" t="str">
        <f t="shared" si="13"/>
        <v/>
      </c>
      <c r="AF124" s="520" t="str">
        <f t="shared" si="14"/>
        <v/>
      </c>
      <c r="AG124" s="524" t="str">
        <f>IFERROR(IF(O124="","",VLOOKUP(AD124,'G-3 Multipliers'!$P$3:$Q$6,2,FALSE)),"")</f>
        <v/>
      </c>
      <c r="AH124" s="197"/>
      <c r="AI124" s="499" t="str">
        <f>IF(AH124="","",IF(VLOOKUP(AH124,'G-3 Multipliers'!$S$3:$T$6,2,FALSE)=0,"Spatial Data Missing ⚠",VLOOKUP(AH124,'G-3 Multipliers'!$S$3:$T$6,2,FALSE)))</f>
        <v/>
      </c>
      <c r="AJ124" s="545" t="str">
        <f t="shared" si="15"/>
        <v/>
      </c>
      <c r="AK124" s="149"/>
      <c r="AL124" s="150"/>
      <c r="AP124" s="31" t="str">
        <f>IFERROR(INDEX('G-6 Hedgerow Data'!$BJ$3:$BJ$15,MATCH(M124,'G-6 Hedgerow Data'!$B$3:$B$15,0)),"")</f>
        <v/>
      </c>
    </row>
    <row r="125" spans="2:42" ht="13.8" x14ac:dyDescent="0.25">
      <c r="B125" s="531" t="str">
        <f>'E-1 Off Site Hedge Baseline'!AK123</f>
        <v/>
      </c>
      <c r="C125" s="520" t="str">
        <f>IF(B125="","",IF(ISNA(VLOOKUP($B125,'E-1 Off Site Hedge Baseline'!$B$1:$L$257,3,FALSE)),"",(VLOOKUP($B125,'E-1 Off Site Hedge Baseline'!$B$1:$L$257,3,FALSE))))</f>
        <v/>
      </c>
      <c r="D125" s="520" t="str">
        <f>IF(B125="","",IF(ISNA(VLOOKUP($B125,'E-1 Off Site Hedge Baseline'!$B$1:$L$258,4,FALSE)),"",(VLOOKUP($B125,'E-1 Off Site Hedge Baseline'!$B$1:$L$258,4,FALSE))))</f>
        <v/>
      </c>
      <c r="E125" s="520" t="str">
        <f>IF(B125="","",IF(ISNA(VLOOKUP($B125,'E-1 Off Site Hedge Baseline'!$B$1:$L$257,5,FALSE)),"",(VLOOKUP($B125,'E-1 Off Site Hedge Baseline'!$B$1:$L$257,5,FALSE))))</f>
        <v/>
      </c>
      <c r="F125" s="520" t="str">
        <f>IF(B125="","",IF(ISNA(VLOOKUP($B125,'E-1 Off Site Hedge Baseline'!$B$1:$L$257,6,FALSE)),"",(VLOOKUP($B125,'E-1 Off Site Hedge Baseline'!$B$1:$L$257,6,FALSE))))</f>
        <v/>
      </c>
      <c r="G125" s="520" t="str">
        <f>IF(B125="","",IF(ISNA(VLOOKUP($B125,'E-1 Off Site Hedge Baseline'!$B$1:$L$257,7,FALSE)),"",(VLOOKUP($B125,'E-1 Off Site Hedge Baseline'!$B$1:$L$257,7,FALSE))))</f>
        <v/>
      </c>
      <c r="H125" s="520" t="str">
        <f>IF(B125="","",IF(ISNA(VLOOKUP($B125,'E-1 Off Site Hedge Baseline'!$B$1:$L$257,8,FALSE)),"",(VLOOKUP($B125,'E-1 Off Site Hedge Baseline'!$B$1:$L$257,8,FALSE))))</f>
        <v/>
      </c>
      <c r="I125" s="520" t="str">
        <f>IF(B125="","",IF(ISNA(VLOOKUP($B125,'E-1 Off Site Hedge Baseline'!$B$1:$L$257,10,FALSE)),"",(VLOOKUP($B125,'E-1 Off Site Hedge Baseline'!$B$1:$L$257,10,FALSE))))</f>
        <v/>
      </c>
      <c r="J125" s="520" t="str">
        <f>IF(B125="","",IF(ISNA(VLOOKUP($B125,'E-1 Off Site Hedge Baseline'!$B$1:$L$257,11,FALSE)),"",(VLOOKUP($B125,'E-1 Off Site Hedge Baseline'!$B$1:$L$257,11,FALSE))))</f>
        <v/>
      </c>
      <c r="K125" s="520" t="str">
        <f>IF(B125="","",IF(ISNA(VLOOKUP($B125,'E-1 Off Site Hedge Baseline'!$B$1:$U$257,113,FALSE)),"",(VLOOKUP($B125,'E-1 Off Site Hedge Baseline'!$B$1:$U$257,13,FALSE))))</f>
        <v/>
      </c>
      <c r="L125" s="507" t="str">
        <f>IF(B125="","",IF(ISNA(VLOOKUP($B125,'E-1 Off Site Hedge Baseline'!$B$1:$U$257,12,FALSE)),"",(VLOOKUP($B125,'E-1 Off Site Hedge Baseline'!$B$1:$U$257,12,FALSE))))</f>
        <v/>
      </c>
      <c r="M125" s="418" t="str">
        <f t="shared" si="16"/>
        <v/>
      </c>
      <c r="N125" s="498" t="str">
        <f>IFERROR(IF(B125="","",INDEX('G-6 Hedgerow Data'!$AN$3:$AZ$15,MATCH(C125,'G-6 Hedgerow Data'!$AM$3:$AM$15,0),MATCH(M125,'G-6 Hedgerow Data'!$AN$2:$AZ$2,0))),"")</f>
        <v/>
      </c>
      <c r="O125" s="499" t="str">
        <f t="shared" si="10"/>
        <v/>
      </c>
      <c r="P125" s="505" t="str">
        <f>IF(B125="","",VLOOKUP(B125,'E-1 Off Site Hedge Baseline'!$B$10:T370,16,FALSE))</f>
        <v/>
      </c>
      <c r="Q125" s="498" t="str">
        <f>IF(M125="","",VLOOKUP(M125,'G-6 Hedgerow Data'!$B$2:$AG$15,2,FALSE))</f>
        <v/>
      </c>
      <c r="R125" s="499" t="str">
        <f>IF(M125="","",VLOOKUP(M125,'G-6 Hedgerow Data'!$B$2:$AG$15,3,FALSE))</f>
        <v/>
      </c>
      <c r="S125" s="145"/>
      <c r="T125" s="499" t="str">
        <f>IFERROR(IF(AND(Q125="V.Low",OR(S125="Good",S125="Moderate")),"Error ▲",VLOOKUP(S125,'G-1 All Habitats'!$Z$2:$AA$9,2,FALSE)),"")</f>
        <v/>
      </c>
      <c r="U125" s="145"/>
      <c r="V125" s="507" t="str">
        <f>IF(U125="","",IF(VLOOKUP(U125,'G-3 Multipliers'!$L$3:$N$6,2,FALSE)=0,"Spatial Data Missing ⚠",VLOOKUP(U125,'G-3 Multipliers'!$L$3:$N$6,2,FALSE)))</f>
        <v/>
      </c>
      <c r="W125" s="505"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9"/>
        <v/>
      </c>
      <c r="AD125" s="537" t="str">
        <f>IF(M125="","",VLOOKUP(M125,'G-6 Hedgerow Data'!$B$3:$AG$15,31,FALSE))</f>
        <v/>
      </c>
      <c r="AE125" s="520" t="str">
        <f t="shared" si="13"/>
        <v/>
      </c>
      <c r="AF125" s="520" t="str">
        <f t="shared" si="14"/>
        <v/>
      </c>
      <c r="AG125" s="524" t="str">
        <f>IFERROR(IF(O125="","",VLOOKUP(AD125,'G-3 Multipliers'!$P$3:$Q$6,2,FALSE)),"")</f>
        <v/>
      </c>
      <c r="AH125" s="197"/>
      <c r="AI125" s="499" t="str">
        <f>IF(AH125="","",IF(VLOOKUP(AH125,'G-3 Multipliers'!$S$3:$T$6,2,FALSE)=0,"Spatial Data Missing ⚠",VLOOKUP(AH125,'G-3 Multipliers'!$S$3:$T$6,2,FALSE)))</f>
        <v/>
      </c>
      <c r="AJ125" s="545" t="str">
        <f t="shared" si="15"/>
        <v/>
      </c>
      <c r="AK125" s="149"/>
      <c r="AL125" s="150"/>
      <c r="AP125" s="31" t="str">
        <f>IFERROR(INDEX('G-6 Hedgerow Data'!$BJ$3:$BJ$15,MATCH(M125,'G-6 Hedgerow Data'!$B$3:$B$15,0)),"")</f>
        <v/>
      </c>
    </row>
    <row r="126" spans="2:42" ht="13.8" x14ac:dyDescent="0.25">
      <c r="B126" s="531" t="str">
        <f>'E-1 Off Site Hedge Baseline'!AK124</f>
        <v/>
      </c>
      <c r="C126" s="520" t="str">
        <f>IF(B126="","",IF(ISNA(VLOOKUP($B126,'E-1 Off Site Hedge Baseline'!$B$1:$L$257,3,FALSE)),"",(VLOOKUP($B126,'E-1 Off Site Hedge Baseline'!$B$1:$L$257,3,FALSE))))</f>
        <v/>
      </c>
      <c r="D126" s="520" t="str">
        <f>IF(B126="","",IF(ISNA(VLOOKUP($B126,'E-1 Off Site Hedge Baseline'!$B$1:$L$258,4,FALSE)),"",(VLOOKUP($B126,'E-1 Off Site Hedge Baseline'!$B$1:$L$258,4,FALSE))))</f>
        <v/>
      </c>
      <c r="E126" s="520" t="str">
        <f>IF(B126="","",IF(ISNA(VLOOKUP($B126,'E-1 Off Site Hedge Baseline'!$B$1:$L$257,5,FALSE)),"",(VLOOKUP($B126,'E-1 Off Site Hedge Baseline'!$B$1:$L$257,5,FALSE))))</f>
        <v/>
      </c>
      <c r="F126" s="520" t="str">
        <f>IF(B126="","",IF(ISNA(VLOOKUP($B126,'E-1 Off Site Hedge Baseline'!$B$1:$L$257,6,FALSE)),"",(VLOOKUP($B126,'E-1 Off Site Hedge Baseline'!$B$1:$L$257,6,FALSE))))</f>
        <v/>
      </c>
      <c r="G126" s="520" t="str">
        <f>IF(B126="","",IF(ISNA(VLOOKUP($B126,'E-1 Off Site Hedge Baseline'!$B$1:$L$257,7,FALSE)),"",(VLOOKUP($B126,'E-1 Off Site Hedge Baseline'!$B$1:$L$257,7,FALSE))))</f>
        <v/>
      </c>
      <c r="H126" s="520" t="str">
        <f>IF(B126="","",IF(ISNA(VLOOKUP($B126,'E-1 Off Site Hedge Baseline'!$B$1:$L$257,8,FALSE)),"",(VLOOKUP($B126,'E-1 Off Site Hedge Baseline'!$B$1:$L$257,8,FALSE))))</f>
        <v/>
      </c>
      <c r="I126" s="520" t="str">
        <f>IF(B126="","",IF(ISNA(VLOOKUP($B126,'E-1 Off Site Hedge Baseline'!$B$1:$L$257,10,FALSE)),"",(VLOOKUP($B126,'E-1 Off Site Hedge Baseline'!$B$1:$L$257,10,FALSE))))</f>
        <v/>
      </c>
      <c r="J126" s="520" t="str">
        <f>IF(B126="","",IF(ISNA(VLOOKUP($B126,'E-1 Off Site Hedge Baseline'!$B$1:$L$257,11,FALSE)),"",(VLOOKUP($B126,'E-1 Off Site Hedge Baseline'!$B$1:$L$257,11,FALSE))))</f>
        <v/>
      </c>
      <c r="K126" s="520" t="str">
        <f>IF(B126="","",IF(ISNA(VLOOKUP($B126,'E-1 Off Site Hedge Baseline'!$B$1:$U$257,113,FALSE)),"",(VLOOKUP($B126,'E-1 Off Site Hedge Baseline'!$B$1:$U$257,13,FALSE))))</f>
        <v/>
      </c>
      <c r="L126" s="507" t="str">
        <f>IF(B126="","",IF(ISNA(VLOOKUP($B126,'E-1 Off Site Hedge Baseline'!$B$1:$U$257,12,FALSE)),"",(VLOOKUP($B126,'E-1 Off Site Hedge Baseline'!$B$1:$U$257,12,FALSE))))</f>
        <v/>
      </c>
      <c r="M126" s="418" t="str">
        <f t="shared" si="16"/>
        <v/>
      </c>
      <c r="N126" s="498" t="str">
        <f>IFERROR(IF(B126="","",INDEX('G-6 Hedgerow Data'!$AN$3:$AZ$15,MATCH(C126,'G-6 Hedgerow Data'!$AM$3:$AM$15,0),MATCH(M126,'G-6 Hedgerow Data'!$AN$2:$AZ$2,0))),"")</f>
        <v/>
      </c>
      <c r="O126" s="499" t="str">
        <f t="shared" si="10"/>
        <v/>
      </c>
      <c r="P126" s="505" t="str">
        <f>IF(B126="","",VLOOKUP(B126,'E-1 Off Site Hedge Baseline'!$B$10:T371,16,FALSE))</f>
        <v/>
      </c>
      <c r="Q126" s="498" t="str">
        <f>IF(M126="","",VLOOKUP(M126,'G-6 Hedgerow Data'!$B$2:$AG$15,2,FALSE))</f>
        <v/>
      </c>
      <c r="R126" s="499" t="str">
        <f>IF(M126="","",VLOOKUP(M126,'G-6 Hedgerow Data'!$B$2:$AG$15,3,FALSE))</f>
        <v/>
      </c>
      <c r="S126" s="145"/>
      <c r="T126" s="499" t="str">
        <f>IFERROR(IF(AND(Q126="V.Low",OR(S126="Good",S126="Moderate")),"Error ▲",VLOOKUP(S126,'G-1 All Habitats'!$Z$2:$AA$9,2,FALSE)),"")</f>
        <v/>
      </c>
      <c r="U126" s="145"/>
      <c r="V126" s="507" t="str">
        <f>IF(U126="","",IF(VLOOKUP(U126,'G-3 Multipliers'!$L$3:$N$6,2,FALSE)=0,"Spatial Data Missing ⚠",VLOOKUP(U126,'G-3 Multipliers'!$L$3:$N$6,2,FALSE)))</f>
        <v/>
      </c>
      <c r="W126" s="505"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9"/>
        <v/>
      </c>
      <c r="AD126" s="537" t="str">
        <f>IF(M126="","",VLOOKUP(M126,'G-6 Hedgerow Data'!$B$3:$AG$15,31,FALSE))</f>
        <v/>
      </c>
      <c r="AE126" s="520" t="str">
        <f t="shared" si="13"/>
        <v/>
      </c>
      <c r="AF126" s="520" t="str">
        <f t="shared" si="14"/>
        <v/>
      </c>
      <c r="AG126" s="524" t="str">
        <f>IFERROR(IF(O126="","",VLOOKUP(AD126,'G-3 Multipliers'!$P$3:$Q$6,2,FALSE)),"")</f>
        <v/>
      </c>
      <c r="AH126" s="197"/>
      <c r="AI126" s="499" t="str">
        <f>IF(AH126="","",IF(VLOOKUP(AH126,'G-3 Multipliers'!$S$3:$T$6,2,FALSE)=0,"Spatial Data Missing ⚠",VLOOKUP(AH126,'G-3 Multipliers'!$S$3:$T$6,2,FALSE)))</f>
        <v/>
      </c>
      <c r="AJ126" s="545" t="str">
        <f t="shared" si="15"/>
        <v/>
      </c>
      <c r="AK126" s="149"/>
      <c r="AL126" s="150"/>
      <c r="AP126" s="31" t="str">
        <f>IFERROR(INDEX('G-6 Hedgerow Data'!$BJ$3:$BJ$15,MATCH(M126,'G-6 Hedgerow Data'!$B$3:$B$15,0)),"")</f>
        <v/>
      </c>
    </row>
    <row r="127" spans="2:42" ht="13.8" x14ac:dyDescent="0.25">
      <c r="B127" s="531" t="str">
        <f>'E-1 Off Site Hedge Baseline'!AK125</f>
        <v/>
      </c>
      <c r="C127" s="520" t="str">
        <f>IF(B127="","",IF(ISNA(VLOOKUP($B127,'E-1 Off Site Hedge Baseline'!$B$1:$L$257,3,FALSE)),"",(VLOOKUP($B127,'E-1 Off Site Hedge Baseline'!$B$1:$L$257,3,FALSE))))</f>
        <v/>
      </c>
      <c r="D127" s="520" t="str">
        <f>IF(B127="","",IF(ISNA(VLOOKUP($B127,'E-1 Off Site Hedge Baseline'!$B$1:$L$258,4,FALSE)),"",(VLOOKUP($B127,'E-1 Off Site Hedge Baseline'!$B$1:$L$258,4,FALSE))))</f>
        <v/>
      </c>
      <c r="E127" s="520" t="str">
        <f>IF(B127="","",IF(ISNA(VLOOKUP($B127,'E-1 Off Site Hedge Baseline'!$B$1:$L$257,5,FALSE)),"",(VLOOKUP($B127,'E-1 Off Site Hedge Baseline'!$B$1:$L$257,5,FALSE))))</f>
        <v/>
      </c>
      <c r="F127" s="520" t="str">
        <f>IF(B127="","",IF(ISNA(VLOOKUP($B127,'E-1 Off Site Hedge Baseline'!$B$1:$L$257,6,FALSE)),"",(VLOOKUP($B127,'E-1 Off Site Hedge Baseline'!$B$1:$L$257,6,FALSE))))</f>
        <v/>
      </c>
      <c r="G127" s="520" t="str">
        <f>IF(B127="","",IF(ISNA(VLOOKUP($B127,'E-1 Off Site Hedge Baseline'!$B$1:$L$257,7,FALSE)),"",(VLOOKUP($B127,'E-1 Off Site Hedge Baseline'!$B$1:$L$257,7,FALSE))))</f>
        <v/>
      </c>
      <c r="H127" s="520" t="str">
        <f>IF(B127="","",IF(ISNA(VLOOKUP($B127,'E-1 Off Site Hedge Baseline'!$B$1:$L$257,8,FALSE)),"",(VLOOKUP($B127,'E-1 Off Site Hedge Baseline'!$B$1:$L$257,8,FALSE))))</f>
        <v/>
      </c>
      <c r="I127" s="520" t="str">
        <f>IF(B127="","",IF(ISNA(VLOOKUP($B127,'E-1 Off Site Hedge Baseline'!$B$1:$L$257,10,FALSE)),"",(VLOOKUP($B127,'E-1 Off Site Hedge Baseline'!$B$1:$L$257,10,FALSE))))</f>
        <v/>
      </c>
      <c r="J127" s="520" t="str">
        <f>IF(B127="","",IF(ISNA(VLOOKUP($B127,'E-1 Off Site Hedge Baseline'!$B$1:$L$257,11,FALSE)),"",(VLOOKUP($B127,'E-1 Off Site Hedge Baseline'!$B$1:$L$257,11,FALSE))))</f>
        <v/>
      </c>
      <c r="K127" s="520" t="str">
        <f>IF(B127="","",IF(ISNA(VLOOKUP($B127,'E-1 Off Site Hedge Baseline'!$B$1:$U$257,113,FALSE)),"",(VLOOKUP($B127,'E-1 Off Site Hedge Baseline'!$B$1:$U$257,13,FALSE))))</f>
        <v/>
      </c>
      <c r="L127" s="507" t="str">
        <f>IF(B127="","",IF(ISNA(VLOOKUP($B127,'E-1 Off Site Hedge Baseline'!$B$1:$U$257,12,FALSE)),"",(VLOOKUP($B127,'E-1 Off Site Hedge Baseline'!$B$1:$U$257,12,FALSE))))</f>
        <v/>
      </c>
      <c r="M127" s="418" t="str">
        <f t="shared" si="16"/>
        <v/>
      </c>
      <c r="N127" s="498" t="str">
        <f>IFERROR(IF(B127="","",INDEX('G-6 Hedgerow Data'!$AN$3:$AZ$15,MATCH(C127,'G-6 Hedgerow Data'!$AM$3:$AM$15,0),MATCH(M127,'G-6 Hedgerow Data'!$AN$2:$AZ$2,0))),"")</f>
        <v/>
      </c>
      <c r="O127" s="499" t="str">
        <f t="shared" si="10"/>
        <v/>
      </c>
      <c r="P127" s="505" t="str">
        <f>IF(B127="","",VLOOKUP(B127,'E-1 Off Site Hedge Baseline'!$B$10:T372,16,FALSE))</f>
        <v/>
      </c>
      <c r="Q127" s="498" t="str">
        <f>IF(M127="","",VLOOKUP(M127,'G-6 Hedgerow Data'!$B$2:$AG$15,2,FALSE))</f>
        <v/>
      </c>
      <c r="R127" s="499" t="str">
        <f>IF(M127="","",VLOOKUP(M127,'G-6 Hedgerow Data'!$B$2:$AG$15,3,FALSE))</f>
        <v/>
      </c>
      <c r="S127" s="145"/>
      <c r="T127" s="499" t="str">
        <f>IFERROR(IF(AND(Q127="V.Low",OR(S127="Good",S127="Moderate")),"Error ▲",VLOOKUP(S127,'G-1 All Habitats'!$Z$2:$AA$9,2,FALSE)),"")</f>
        <v/>
      </c>
      <c r="U127" s="145"/>
      <c r="V127" s="507" t="str">
        <f>IF(U127="","",IF(VLOOKUP(U127,'G-3 Multipliers'!$L$3:$N$6,2,FALSE)=0,"Spatial Data Missing ⚠",VLOOKUP(U127,'G-3 Multipliers'!$L$3:$N$6,2,FALSE)))</f>
        <v/>
      </c>
      <c r="W127" s="505"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9"/>
        <v/>
      </c>
      <c r="AD127" s="537" t="str">
        <f>IF(M127="","",VLOOKUP(M127,'G-6 Hedgerow Data'!$B$3:$AG$15,31,FALSE))</f>
        <v/>
      </c>
      <c r="AE127" s="520" t="str">
        <f t="shared" si="13"/>
        <v/>
      </c>
      <c r="AF127" s="520" t="str">
        <f t="shared" si="14"/>
        <v/>
      </c>
      <c r="AG127" s="524" t="str">
        <f>IFERROR(IF(O127="","",VLOOKUP(AD127,'G-3 Multipliers'!$P$3:$Q$6,2,FALSE)),"")</f>
        <v/>
      </c>
      <c r="AH127" s="197"/>
      <c r="AI127" s="499" t="str">
        <f>IF(AH127="","",IF(VLOOKUP(AH127,'G-3 Multipliers'!$S$3:$T$6,2,FALSE)=0,"Spatial Data Missing ⚠",VLOOKUP(AH127,'G-3 Multipliers'!$S$3:$T$6,2,FALSE)))</f>
        <v/>
      </c>
      <c r="AJ127" s="545" t="str">
        <f t="shared" si="15"/>
        <v/>
      </c>
      <c r="AK127" s="149"/>
      <c r="AL127" s="150"/>
      <c r="AP127" s="31" t="str">
        <f>IFERROR(INDEX('G-6 Hedgerow Data'!$BJ$3:$BJ$15,MATCH(M127,'G-6 Hedgerow Data'!$B$3:$B$15,0)),"")</f>
        <v/>
      </c>
    </row>
    <row r="128" spans="2:42" ht="13.8" x14ac:dyDescent="0.25">
      <c r="B128" s="531" t="str">
        <f>'E-1 Off Site Hedge Baseline'!AK126</f>
        <v/>
      </c>
      <c r="C128" s="520" t="str">
        <f>IF(B128="","",IF(ISNA(VLOOKUP($B128,'E-1 Off Site Hedge Baseline'!$B$1:$L$257,3,FALSE)),"",(VLOOKUP($B128,'E-1 Off Site Hedge Baseline'!$B$1:$L$257,3,FALSE))))</f>
        <v/>
      </c>
      <c r="D128" s="520" t="str">
        <f>IF(B128="","",IF(ISNA(VLOOKUP($B128,'E-1 Off Site Hedge Baseline'!$B$1:$L$258,4,FALSE)),"",(VLOOKUP($B128,'E-1 Off Site Hedge Baseline'!$B$1:$L$258,4,FALSE))))</f>
        <v/>
      </c>
      <c r="E128" s="520" t="str">
        <f>IF(B128="","",IF(ISNA(VLOOKUP($B128,'E-1 Off Site Hedge Baseline'!$B$1:$L$257,5,FALSE)),"",(VLOOKUP($B128,'E-1 Off Site Hedge Baseline'!$B$1:$L$257,5,FALSE))))</f>
        <v/>
      </c>
      <c r="F128" s="520" t="str">
        <f>IF(B128="","",IF(ISNA(VLOOKUP($B128,'E-1 Off Site Hedge Baseline'!$B$1:$L$257,6,FALSE)),"",(VLOOKUP($B128,'E-1 Off Site Hedge Baseline'!$B$1:$L$257,6,FALSE))))</f>
        <v/>
      </c>
      <c r="G128" s="520" t="str">
        <f>IF(B128="","",IF(ISNA(VLOOKUP($B128,'E-1 Off Site Hedge Baseline'!$B$1:$L$257,7,FALSE)),"",(VLOOKUP($B128,'E-1 Off Site Hedge Baseline'!$B$1:$L$257,7,FALSE))))</f>
        <v/>
      </c>
      <c r="H128" s="520" t="str">
        <f>IF(B128="","",IF(ISNA(VLOOKUP($B128,'E-1 Off Site Hedge Baseline'!$B$1:$L$257,8,FALSE)),"",(VLOOKUP($B128,'E-1 Off Site Hedge Baseline'!$B$1:$L$257,8,FALSE))))</f>
        <v/>
      </c>
      <c r="I128" s="520" t="str">
        <f>IF(B128="","",IF(ISNA(VLOOKUP($B128,'E-1 Off Site Hedge Baseline'!$B$1:$L$257,10,FALSE)),"",(VLOOKUP($B128,'E-1 Off Site Hedge Baseline'!$B$1:$L$257,10,FALSE))))</f>
        <v/>
      </c>
      <c r="J128" s="520" t="str">
        <f>IF(B128="","",IF(ISNA(VLOOKUP($B128,'E-1 Off Site Hedge Baseline'!$B$1:$L$257,11,FALSE)),"",(VLOOKUP($B128,'E-1 Off Site Hedge Baseline'!$B$1:$L$257,11,FALSE))))</f>
        <v/>
      </c>
      <c r="K128" s="520" t="str">
        <f>IF(B128="","",IF(ISNA(VLOOKUP($B128,'E-1 Off Site Hedge Baseline'!$B$1:$U$257,113,FALSE)),"",(VLOOKUP($B128,'E-1 Off Site Hedge Baseline'!$B$1:$U$257,13,FALSE))))</f>
        <v/>
      </c>
      <c r="L128" s="507" t="str">
        <f>IF(B128="","",IF(ISNA(VLOOKUP($B128,'E-1 Off Site Hedge Baseline'!$B$1:$U$257,12,FALSE)),"",(VLOOKUP($B128,'E-1 Off Site Hedge Baseline'!$B$1:$U$257,12,FALSE))))</f>
        <v/>
      </c>
      <c r="M128" s="418" t="str">
        <f t="shared" si="16"/>
        <v/>
      </c>
      <c r="N128" s="498" t="str">
        <f>IFERROR(IF(B128="","",INDEX('G-6 Hedgerow Data'!$AN$3:$AZ$15,MATCH(C128,'G-6 Hedgerow Data'!$AM$3:$AM$15,0),MATCH(M128,'G-6 Hedgerow Data'!$AN$2:$AZ$2,0))),"")</f>
        <v/>
      </c>
      <c r="O128" s="499" t="str">
        <f t="shared" si="10"/>
        <v/>
      </c>
      <c r="P128" s="505" t="str">
        <f>IF(B128="","",VLOOKUP(B128,'E-1 Off Site Hedge Baseline'!$B$10:T373,16,FALSE))</f>
        <v/>
      </c>
      <c r="Q128" s="498" t="str">
        <f>IF(M128="","",VLOOKUP(M128,'G-6 Hedgerow Data'!$B$2:$AG$15,2,FALSE))</f>
        <v/>
      </c>
      <c r="R128" s="499" t="str">
        <f>IF(M128="","",VLOOKUP(M128,'G-6 Hedgerow Data'!$B$2:$AG$15,3,FALSE))</f>
        <v/>
      </c>
      <c r="S128" s="145"/>
      <c r="T128" s="499" t="str">
        <f>IFERROR(IF(AND(Q128="V.Low",OR(S128="Good",S128="Moderate")),"Error ▲",VLOOKUP(S128,'G-1 All Habitats'!$Z$2:$AA$9,2,FALSE)),"")</f>
        <v/>
      </c>
      <c r="U128" s="145"/>
      <c r="V128" s="507" t="str">
        <f>IF(U128="","",IF(VLOOKUP(U128,'G-3 Multipliers'!$L$3:$N$6,2,FALSE)=0,"Spatial Data Missing ⚠",VLOOKUP(U128,'G-3 Multipliers'!$L$3:$N$6,2,FALSE)))</f>
        <v/>
      </c>
      <c r="W128" s="505"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9"/>
        <v/>
      </c>
      <c r="AD128" s="537" t="str">
        <f>IF(M128="","",VLOOKUP(M128,'G-6 Hedgerow Data'!$B$3:$AG$15,31,FALSE))</f>
        <v/>
      </c>
      <c r="AE128" s="520" t="str">
        <f t="shared" si="13"/>
        <v/>
      </c>
      <c r="AF128" s="520" t="str">
        <f t="shared" si="14"/>
        <v/>
      </c>
      <c r="AG128" s="524" t="str">
        <f>IFERROR(IF(O128="","",VLOOKUP(AD128,'G-3 Multipliers'!$P$3:$Q$6,2,FALSE)),"")</f>
        <v/>
      </c>
      <c r="AH128" s="197"/>
      <c r="AI128" s="499" t="str">
        <f>IF(AH128="","",IF(VLOOKUP(AH128,'G-3 Multipliers'!$S$3:$T$6,2,FALSE)=0,"Spatial Data Missing ⚠",VLOOKUP(AH128,'G-3 Multipliers'!$S$3:$T$6,2,FALSE)))</f>
        <v/>
      </c>
      <c r="AJ128" s="545" t="str">
        <f t="shared" si="15"/>
        <v/>
      </c>
      <c r="AK128" s="149"/>
      <c r="AL128" s="150"/>
      <c r="AP128" s="31" t="str">
        <f>IFERROR(INDEX('G-6 Hedgerow Data'!$BJ$3:$BJ$15,MATCH(M128,'G-6 Hedgerow Data'!$B$3:$B$15,0)),"")</f>
        <v/>
      </c>
    </row>
    <row r="129" spans="2:42" ht="13.8" x14ac:dyDescent="0.25">
      <c r="B129" s="531" t="str">
        <f>'E-1 Off Site Hedge Baseline'!AK127</f>
        <v/>
      </c>
      <c r="C129" s="520" t="str">
        <f>IF(B129="","",IF(ISNA(VLOOKUP($B129,'E-1 Off Site Hedge Baseline'!$B$1:$L$257,3,FALSE)),"",(VLOOKUP($B129,'E-1 Off Site Hedge Baseline'!$B$1:$L$257,3,FALSE))))</f>
        <v/>
      </c>
      <c r="D129" s="520" t="str">
        <f>IF(B129="","",IF(ISNA(VLOOKUP($B129,'E-1 Off Site Hedge Baseline'!$B$1:$L$258,4,FALSE)),"",(VLOOKUP($B129,'E-1 Off Site Hedge Baseline'!$B$1:$L$258,4,FALSE))))</f>
        <v/>
      </c>
      <c r="E129" s="520" t="str">
        <f>IF(B129="","",IF(ISNA(VLOOKUP($B129,'E-1 Off Site Hedge Baseline'!$B$1:$L$257,5,FALSE)),"",(VLOOKUP($B129,'E-1 Off Site Hedge Baseline'!$B$1:$L$257,5,FALSE))))</f>
        <v/>
      </c>
      <c r="F129" s="520" t="str">
        <f>IF(B129="","",IF(ISNA(VLOOKUP($B129,'E-1 Off Site Hedge Baseline'!$B$1:$L$257,6,FALSE)),"",(VLOOKUP($B129,'E-1 Off Site Hedge Baseline'!$B$1:$L$257,6,FALSE))))</f>
        <v/>
      </c>
      <c r="G129" s="520" t="str">
        <f>IF(B129="","",IF(ISNA(VLOOKUP($B129,'E-1 Off Site Hedge Baseline'!$B$1:$L$257,7,FALSE)),"",(VLOOKUP($B129,'E-1 Off Site Hedge Baseline'!$B$1:$L$257,7,FALSE))))</f>
        <v/>
      </c>
      <c r="H129" s="520" t="str">
        <f>IF(B129="","",IF(ISNA(VLOOKUP($B129,'E-1 Off Site Hedge Baseline'!$B$1:$L$257,8,FALSE)),"",(VLOOKUP($B129,'E-1 Off Site Hedge Baseline'!$B$1:$L$257,8,FALSE))))</f>
        <v/>
      </c>
      <c r="I129" s="520" t="str">
        <f>IF(B129="","",IF(ISNA(VLOOKUP($B129,'E-1 Off Site Hedge Baseline'!$B$1:$L$257,10,FALSE)),"",(VLOOKUP($B129,'E-1 Off Site Hedge Baseline'!$B$1:$L$257,10,FALSE))))</f>
        <v/>
      </c>
      <c r="J129" s="520" t="str">
        <f>IF(B129="","",IF(ISNA(VLOOKUP($B129,'E-1 Off Site Hedge Baseline'!$B$1:$L$257,11,FALSE)),"",(VLOOKUP($B129,'E-1 Off Site Hedge Baseline'!$B$1:$L$257,11,FALSE))))</f>
        <v/>
      </c>
      <c r="K129" s="520" t="str">
        <f>IF(B129="","",IF(ISNA(VLOOKUP($B129,'E-1 Off Site Hedge Baseline'!$B$1:$U$257,113,FALSE)),"",(VLOOKUP($B129,'E-1 Off Site Hedge Baseline'!$B$1:$U$257,13,FALSE))))</f>
        <v/>
      </c>
      <c r="L129" s="507" t="str">
        <f>IF(B129="","",IF(ISNA(VLOOKUP($B129,'E-1 Off Site Hedge Baseline'!$B$1:$U$257,12,FALSE)),"",(VLOOKUP($B129,'E-1 Off Site Hedge Baseline'!$B$1:$U$257,12,FALSE))))</f>
        <v/>
      </c>
      <c r="M129" s="418" t="str">
        <f t="shared" si="16"/>
        <v/>
      </c>
      <c r="N129" s="498" t="str">
        <f>IFERROR(IF(B129="","",INDEX('G-6 Hedgerow Data'!$AN$3:$AZ$15,MATCH(C129,'G-6 Hedgerow Data'!$AM$3:$AM$15,0),MATCH(M129,'G-6 Hedgerow Data'!$AN$2:$AZ$2,0))),"")</f>
        <v/>
      </c>
      <c r="O129" s="499" t="str">
        <f t="shared" si="10"/>
        <v/>
      </c>
      <c r="P129" s="505" t="str">
        <f>IF(B129="","",VLOOKUP(B129,'E-1 Off Site Hedge Baseline'!$B$10:T374,16,FALSE))</f>
        <v/>
      </c>
      <c r="Q129" s="498" t="str">
        <f>IF(M129="","",VLOOKUP(M129,'G-6 Hedgerow Data'!$B$2:$AG$15,2,FALSE))</f>
        <v/>
      </c>
      <c r="R129" s="499" t="str">
        <f>IF(M129="","",VLOOKUP(M129,'G-6 Hedgerow Data'!$B$2:$AG$15,3,FALSE))</f>
        <v/>
      </c>
      <c r="S129" s="145"/>
      <c r="T129" s="499" t="str">
        <f>IFERROR(IF(AND(Q129="V.Low",OR(S129="Good",S129="Moderate")),"Error ▲",VLOOKUP(S129,'G-1 All Habitats'!$Z$2:$AA$9,2,FALSE)),"")</f>
        <v/>
      </c>
      <c r="U129" s="145"/>
      <c r="V129" s="507" t="str">
        <f>IF(U129="","",IF(VLOOKUP(U129,'G-3 Multipliers'!$L$3:$N$6,2,FALSE)=0,"Spatial Data Missing ⚠",VLOOKUP(U129,'G-3 Multipliers'!$L$3:$N$6,2,FALSE)))</f>
        <v/>
      </c>
      <c r="W129" s="505"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9"/>
        <v/>
      </c>
      <c r="AD129" s="537" t="str">
        <f>IF(M129="","",VLOOKUP(M129,'G-6 Hedgerow Data'!$B$3:$AG$15,31,FALSE))</f>
        <v/>
      </c>
      <c r="AE129" s="520" t="str">
        <f t="shared" si="13"/>
        <v/>
      </c>
      <c r="AF129" s="520" t="str">
        <f t="shared" si="14"/>
        <v/>
      </c>
      <c r="AG129" s="524" t="str">
        <f>IFERROR(IF(O129="","",VLOOKUP(AD129,'G-3 Multipliers'!$P$3:$Q$6,2,FALSE)),"")</f>
        <v/>
      </c>
      <c r="AH129" s="197"/>
      <c r="AI129" s="499" t="str">
        <f>IF(AH129="","",IF(VLOOKUP(AH129,'G-3 Multipliers'!$S$3:$T$6,2,FALSE)=0,"Spatial Data Missing ⚠",VLOOKUP(AH129,'G-3 Multipliers'!$S$3:$T$6,2,FALSE)))</f>
        <v/>
      </c>
      <c r="AJ129" s="545" t="str">
        <f t="shared" si="15"/>
        <v/>
      </c>
      <c r="AK129" s="149"/>
      <c r="AL129" s="150"/>
      <c r="AP129" s="31" t="str">
        <f>IFERROR(INDEX('G-6 Hedgerow Data'!$BJ$3:$BJ$15,MATCH(M129,'G-6 Hedgerow Data'!$B$3:$B$15,0)),"")</f>
        <v/>
      </c>
    </row>
    <row r="130" spans="2:42" ht="13.8" x14ac:dyDescent="0.25">
      <c r="B130" s="531" t="str">
        <f>'E-1 Off Site Hedge Baseline'!AK128</f>
        <v/>
      </c>
      <c r="C130" s="520" t="str">
        <f>IF(B130="","",IF(ISNA(VLOOKUP($B130,'E-1 Off Site Hedge Baseline'!$B$1:$L$257,3,FALSE)),"",(VLOOKUP($B130,'E-1 Off Site Hedge Baseline'!$B$1:$L$257,3,FALSE))))</f>
        <v/>
      </c>
      <c r="D130" s="520" t="str">
        <f>IF(B130="","",IF(ISNA(VLOOKUP($B130,'E-1 Off Site Hedge Baseline'!$B$1:$L$258,4,FALSE)),"",(VLOOKUP($B130,'E-1 Off Site Hedge Baseline'!$B$1:$L$258,4,FALSE))))</f>
        <v/>
      </c>
      <c r="E130" s="520" t="str">
        <f>IF(B130="","",IF(ISNA(VLOOKUP($B130,'E-1 Off Site Hedge Baseline'!$B$1:$L$257,5,FALSE)),"",(VLOOKUP($B130,'E-1 Off Site Hedge Baseline'!$B$1:$L$257,5,FALSE))))</f>
        <v/>
      </c>
      <c r="F130" s="520" t="str">
        <f>IF(B130="","",IF(ISNA(VLOOKUP($B130,'E-1 Off Site Hedge Baseline'!$B$1:$L$257,6,FALSE)),"",(VLOOKUP($B130,'E-1 Off Site Hedge Baseline'!$B$1:$L$257,6,FALSE))))</f>
        <v/>
      </c>
      <c r="G130" s="520" t="str">
        <f>IF(B130="","",IF(ISNA(VLOOKUP($B130,'E-1 Off Site Hedge Baseline'!$B$1:$L$257,7,FALSE)),"",(VLOOKUP($B130,'E-1 Off Site Hedge Baseline'!$B$1:$L$257,7,FALSE))))</f>
        <v/>
      </c>
      <c r="H130" s="520" t="str">
        <f>IF(B130="","",IF(ISNA(VLOOKUP($B130,'E-1 Off Site Hedge Baseline'!$B$1:$L$257,8,FALSE)),"",(VLOOKUP($B130,'E-1 Off Site Hedge Baseline'!$B$1:$L$257,8,FALSE))))</f>
        <v/>
      </c>
      <c r="I130" s="520" t="str">
        <f>IF(B130="","",IF(ISNA(VLOOKUP($B130,'E-1 Off Site Hedge Baseline'!$B$1:$L$257,10,FALSE)),"",(VLOOKUP($B130,'E-1 Off Site Hedge Baseline'!$B$1:$L$257,10,FALSE))))</f>
        <v/>
      </c>
      <c r="J130" s="520" t="str">
        <f>IF(B130="","",IF(ISNA(VLOOKUP($B130,'E-1 Off Site Hedge Baseline'!$B$1:$L$257,11,FALSE)),"",(VLOOKUP($B130,'E-1 Off Site Hedge Baseline'!$B$1:$L$257,11,FALSE))))</f>
        <v/>
      </c>
      <c r="K130" s="520" t="str">
        <f>IF(B130="","",IF(ISNA(VLOOKUP($B130,'E-1 Off Site Hedge Baseline'!$B$1:$U$257,113,FALSE)),"",(VLOOKUP($B130,'E-1 Off Site Hedge Baseline'!$B$1:$U$257,13,FALSE))))</f>
        <v/>
      </c>
      <c r="L130" s="507" t="str">
        <f>IF(B130="","",IF(ISNA(VLOOKUP($B130,'E-1 Off Site Hedge Baseline'!$B$1:$U$257,12,FALSE)),"",(VLOOKUP($B130,'E-1 Off Site Hedge Baseline'!$B$1:$U$257,12,FALSE))))</f>
        <v/>
      </c>
      <c r="M130" s="418" t="str">
        <f t="shared" si="16"/>
        <v/>
      </c>
      <c r="N130" s="498" t="str">
        <f>IFERROR(IF(B130="","",INDEX('G-6 Hedgerow Data'!$AN$3:$AZ$15,MATCH(C130,'G-6 Hedgerow Data'!$AM$3:$AM$15,0),MATCH(M130,'G-6 Hedgerow Data'!$AN$2:$AZ$2,0))),"")</f>
        <v/>
      </c>
      <c r="O130" s="499" t="str">
        <f t="shared" si="10"/>
        <v/>
      </c>
      <c r="P130" s="505" t="str">
        <f>IF(B130="","",VLOOKUP(B130,'E-1 Off Site Hedge Baseline'!$B$10:T375,16,FALSE))</f>
        <v/>
      </c>
      <c r="Q130" s="498" t="str">
        <f>IF(M130="","",VLOOKUP(M130,'G-6 Hedgerow Data'!$B$2:$AG$15,2,FALSE))</f>
        <v/>
      </c>
      <c r="R130" s="499" t="str">
        <f>IF(M130="","",VLOOKUP(M130,'G-6 Hedgerow Data'!$B$2:$AG$15,3,FALSE))</f>
        <v/>
      </c>
      <c r="S130" s="145"/>
      <c r="T130" s="499" t="str">
        <f>IFERROR(IF(AND(Q130="V.Low",OR(S130="Good",S130="Moderate")),"Error ▲",VLOOKUP(S130,'G-1 All Habitats'!$Z$2:$AA$9,2,FALSE)),"")</f>
        <v/>
      </c>
      <c r="U130" s="145"/>
      <c r="V130" s="507" t="str">
        <f>IF(U130="","",IF(VLOOKUP(U130,'G-3 Multipliers'!$L$3:$N$6,2,FALSE)=0,"Spatial Data Missing ⚠",VLOOKUP(U130,'G-3 Multipliers'!$L$3:$N$6,2,FALSE)))</f>
        <v/>
      </c>
      <c r="W130" s="505"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9"/>
        <v/>
      </c>
      <c r="AD130" s="537" t="str">
        <f>IF(M130="","",VLOOKUP(M130,'G-6 Hedgerow Data'!$B$3:$AG$15,31,FALSE))</f>
        <v/>
      </c>
      <c r="AE130" s="520" t="str">
        <f t="shared" si="13"/>
        <v/>
      </c>
      <c r="AF130" s="520" t="str">
        <f t="shared" si="14"/>
        <v/>
      </c>
      <c r="AG130" s="524" t="str">
        <f>IFERROR(IF(O130="","",VLOOKUP(AD130,'G-3 Multipliers'!$P$3:$Q$6,2,FALSE)),"")</f>
        <v/>
      </c>
      <c r="AH130" s="197"/>
      <c r="AI130" s="499" t="str">
        <f>IF(AH130="","",IF(VLOOKUP(AH130,'G-3 Multipliers'!$S$3:$T$6,2,FALSE)=0,"Spatial Data Missing ⚠",VLOOKUP(AH130,'G-3 Multipliers'!$S$3:$T$6,2,FALSE)))</f>
        <v/>
      </c>
      <c r="AJ130" s="545" t="str">
        <f t="shared" si="15"/>
        <v/>
      </c>
      <c r="AK130" s="149"/>
      <c r="AL130" s="150"/>
      <c r="AP130" s="31" t="str">
        <f>IFERROR(INDEX('G-6 Hedgerow Data'!$BJ$3:$BJ$15,MATCH(M130,'G-6 Hedgerow Data'!$B$3:$B$15,0)),"")</f>
        <v/>
      </c>
    </row>
    <row r="131" spans="2:42" ht="13.8" x14ac:dyDescent="0.25">
      <c r="B131" s="531" t="str">
        <f>'E-1 Off Site Hedge Baseline'!AK129</f>
        <v/>
      </c>
      <c r="C131" s="520" t="str">
        <f>IF(B131="","",IF(ISNA(VLOOKUP($B131,'E-1 Off Site Hedge Baseline'!$B$1:$L$257,3,FALSE)),"",(VLOOKUP($B131,'E-1 Off Site Hedge Baseline'!$B$1:$L$257,3,FALSE))))</f>
        <v/>
      </c>
      <c r="D131" s="520" t="str">
        <f>IF(B131="","",IF(ISNA(VLOOKUP($B131,'E-1 Off Site Hedge Baseline'!$B$1:$L$258,4,FALSE)),"",(VLOOKUP($B131,'E-1 Off Site Hedge Baseline'!$B$1:$L$258,4,FALSE))))</f>
        <v/>
      </c>
      <c r="E131" s="520" t="str">
        <f>IF(B131="","",IF(ISNA(VLOOKUP($B131,'E-1 Off Site Hedge Baseline'!$B$1:$L$257,5,FALSE)),"",(VLOOKUP($B131,'E-1 Off Site Hedge Baseline'!$B$1:$L$257,5,FALSE))))</f>
        <v/>
      </c>
      <c r="F131" s="520" t="str">
        <f>IF(B131="","",IF(ISNA(VLOOKUP($B131,'E-1 Off Site Hedge Baseline'!$B$1:$L$257,6,FALSE)),"",(VLOOKUP($B131,'E-1 Off Site Hedge Baseline'!$B$1:$L$257,6,FALSE))))</f>
        <v/>
      </c>
      <c r="G131" s="520" t="str">
        <f>IF(B131="","",IF(ISNA(VLOOKUP($B131,'E-1 Off Site Hedge Baseline'!$B$1:$L$257,7,FALSE)),"",(VLOOKUP($B131,'E-1 Off Site Hedge Baseline'!$B$1:$L$257,7,FALSE))))</f>
        <v/>
      </c>
      <c r="H131" s="520" t="str">
        <f>IF(B131="","",IF(ISNA(VLOOKUP($B131,'E-1 Off Site Hedge Baseline'!$B$1:$L$257,8,FALSE)),"",(VLOOKUP($B131,'E-1 Off Site Hedge Baseline'!$B$1:$L$257,8,FALSE))))</f>
        <v/>
      </c>
      <c r="I131" s="520" t="str">
        <f>IF(B131="","",IF(ISNA(VLOOKUP($B131,'E-1 Off Site Hedge Baseline'!$B$1:$L$257,10,FALSE)),"",(VLOOKUP($B131,'E-1 Off Site Hedge Baseline'!$B$1:$L$257,10,FALSE))))</f>
        <v/>
      </c>
      <c r="J131" s="520" t="str">
        <f>IF(B131="","",IF(ISNA(VLOOKUP($B131,'E-1 Off Site Hedge Baseline'!$B$1:$L$257,11,FALSE)),"",(VLOOKUP($B131,'E-1 Off Site Hedge Baseline'!$B$1:$L$257,11,FALSE))))</f>
        <v/>
      </c>
      <c r="K131" s="520" t="str">
        <f>IF(B131="","",IF(ISNA(VLOOKUP($B131,'E-1 Off Site Hedge Baseline'!$B$1:$U$257,113,FALSE)),"",(VLOOKUP($B131,'E-1 Off Site Hedge Baseline'!$B$1:$U$257,13,FALSE))))</f>
        <v/>
      </c>
      <c r="L131" s="507" t="str">
        <f>IF(B131="","",IF(ISNA(VLOOKUP($B131,'E-1 Off Site Hedge Baseline'!$B$1:$U$257,12,FALSE)),"",(VLOOKUP($B131,'E-1 Off Site Hedge Baseline'!$B$1:$U$257,12,FALSE))))</f>
        <v/>
      </c>
      <c r="M131" s="418" t="str">
        <f t="shared" si="16"/>
        <v/>
      </c>
      <c r="N131" s="498" t="str">
        <f>IFERROR(IF(B131="","",INDEX('G-6 Hedgerow Data'!$AN$3:$AZ$15,MATCH(C131,'G-6 Hedgerow Data'!$AM$3:$AM$15,0),MATCH(M131,'G-6 Hedgerow Data'!$AN$2:$AZ$2,0))),"")</f>
        <v/>
      </c>
      <c r="O131" s="499" t="str">
        <f t="shared" si="10"/>
        <v/>
      </c>
      <c r="P131" s="505" t="str">
        <f>IF(B131="","",VLOOKUP(B131,'E-1 Off Site Hedge Baseline'!$B$10:T376,16,FALSE))</f>
        <v/>
      </c>
      <c r="Q131" s="498" t="str">
        <f>IF(M131="","",VLOOKUP(M131,'G-6 Hedgerow Data'!$B$2:$AG$15,2,FALSE))</f>
        <v/>
      </c>
      <c r="R131" s="499" t="str">
        <f>IF(M131="","",VLOOKUP(M131,'G-6 Hedgerow Data'!$B$2:$AG$15,3,FALSE))</f>
        <v/>
      </c>
      <c r="S131" s="145"/>
      <c r="T131" s="499" t="str">
        <f>IFERROR(IF(AND(Q131="V.Low",OR(S131="Good",S131="Moderate")),"Error ▲",VLOOKUP(S131,'G-1 All Habitats'!$Z$2:$AA$9,2,FALSE)),"")</f>
        <v/>
      </c>
      <c r="U131" s="145"/>
      <c r="V131" s="507" t="str">
        <f>IF(U131="","",IF(VLOOKUP(U131,'G-3 Multipliers'!$L$3:$N$6,2,FALSE)=0,"Spatial Data Missing ⚠",VLOOKUP(U131,'G-3 Multipliers'!$L$3:$N$6,2,FALSE)))</f>
        <v/>
      </c>
      <c r="W131" s="505"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9"/>
        <v/>
      </c>
      <c r="AD131" s="537" t="str">
        <f>IF(M131="","",VLOOKUP(M131,'G-6 Hedgerow Data'!$B$3:$AG$15,31,FALSE))</f>
        <v/>
      </c>
      <c r="AE131" s="520" t="str">
        <f t="shared" si="13"/>
        <v/>
      </c>
      <c r="AF131" s="520" t="str">
        <f t="shared" si="14"/>
        <v/>
      </c>
      <c r="AG131" s="524" t="str">
        <f>IFERROR(IF(O131="","",VLOOKUP(AD131,'G-3 Multipliers'!$P$3:$Q$6,2,FALSE)),"")</f>
        <v/>
      </c>
      <c r="AH131" s="197"/>
      <c r="AI131" s="499" t="str">
        <f>IF(AH131="","",IF(VLOOKUP(AH131,'G-3 Multipliers'!$S$3:$T$6,2,FALSE)=0,"Spatial Data Missing ⚠",VLOOKUP(AH131,'G-3 Multipliers'!$S$3:$T$6,2,FALSE)))</f>
        <v/>
      </c>
      <c r="AJ131" s="545" t="str">
        <f t="shared" si="15"/>
        <v/>
      </c>
      <c r="AK131" s="149"/>
      <c r="AL131" s="150"/>
      <c r="AP131" s="31" t="str">
        <f>IFERROR(INDEX('G-6 Hedgerow Data'!$BJ$3:$BJ$15,MATCH(M131,'G-6 Hedgerow Data'!$B$3:$B$15,0)),"")</f>
        <v/>
      </c>
    </row>
    <row r="132" spans="2:42" ht="13.8" x14ac:dyDescent="0.25">
      <c r="B132" s="531" t="str">
        <f>'E-1 Off Site Hedge Baseline'!AK130</f>
        <v/>
      </c>
      <c r="C132" s="520" t="str">
        <f>IF(B132="","",IF(ISNA(VLOOKUP($B132,'E-1 Off Site Hedge Baseline'!$B$1:$L$257,3,FALSE)),"",(VLOOKUP($B132,'E-1 Off Site Hedge Baseline'!$B$1:$L$257,3,FALSE))))</f>
        <v/>
      </c>
      <c r="D132" s="520" t="str">
        <f>IF(B132="","",IF(ISNA(VLOOKUP($B132,'E-1 Off Site Hedge Baseline'!$B$1:$L$258,4,FALSE)),"",(VLOOKUP($B132,'E-1 Off Site Hedge Baseline'!$B$1:$L$258,4,FALSE))))</f>
        <v/>
      </c>
      <c r="E132" s="520" t="str">
        <f>IF(B132="","",IF(ISNA(VLOOKUP($B132,'E-1 Off Site Hedge Baseline'!$B$1:$L$257,5,FALSE)),"",(VLOOKUP($B132,'E-1 Off Site Hedge Baseline'!$B$1:$L$257,5,FALSE))))</f>
        <v/>
      </c>
      <c r="F132" s="520" t="str">
        <f>IF(B132="","",IF(ISNA(VLOOKUP($B132,'E-1 Off Site Hedge Baseline'!$B$1:$L$257,6,FALSE)),"",(VLOOKUP($B132,'E-1 Off Site Hedge Baseline'!$B$1:$L$257,6,FALSE))))</f>
        <v/>
      </c>
      <c r="G132" s="520" t="str">
        <f>IF(B132="","",IF(ISNA(VLOOKUP($B132,'E-1 Off Site Hedge Baseline'!$B$1:$L$257,7,FALSE)),"",(VLOOKUP($B132,'E-1 Off Site Hedge Baseline'!$B$1:$L$257,7,FALSE))))</f>
        <v/>
      </c>
      <c r="H132" s="520" t="str">
        <f>IF(B132="","",IF(ISNA(VLOOKUP($B132,'E-1 Off Site Hedge Baseline'!$B$1:$L$257,8,FALSE)),"",(VLOOKUP($B132,'E-1 Off Site Hedge Baseline'!$B$1:$L$257,8,FALSE))))</f>
        <v/>
      </c>
      <c r="I132" s="520" t="str">
        <f>IF(B132="","",IF(ISNA(VLOOKUP($B132,'E-1 Off Site Hedge Baseline'!$B$1:$L$257,10,FALSE)),"",(VLOOKUP($B132,'E-1 Off Site Hedge Baseline'!$B$1:$L$257,10,FALSE))))</f>
        <v/>
      </c>
      <c r="J132" s="520" t="str">
        <f>IF(B132="","",IF(ISNA(VLOOKUP($B132,'E-1 Off Site Hedge Baseline'!$B$1:$L$257,11,FALSE)),"",(VLOOKUP($B132,'E-1 Off Site Hedge Baseline'!$B$1:$L$257,11,FALSE))))</f>
        <v/>
      </c>
      <c r="K132" s="520" t="str">
        <f>IF(B132="","",IF(ISNA(VLOOKUP($B132,'E-1 Off Site Hedge Baseline'!$B$1:$U$257,113,FALSE)),"",(VLOOKUP($B132,'E-1 Off Site Hedge Baseline'!$B$1:$U$257,13,FALSE))))</f>
        <v/>
      </c>
      <c r="L132" s="507" t="str">
        <f>IF(B132="","",IF(ISNA(VLOOKUP($B132,'E-1 Off Site Hedge Baseline'!$B$1:$U$257,12,FALSE)),"",(VLOOKUP($B132,'E-1 Off Site Hedge Baseline'!$B$1:$U$257,12,FALSE))))</f>
        <v/>
      </c>
      <c r="M132" s="418" t="str">
        <f t="shared" si="16"/>
        <v/>
      </c>
      <c r="N132" s="498" t="str">
        <f>IFERROR(IF(B132="","",INDEX('G-6 Hedgerow Data'!$AN$3:$AZ$15,MATCH(C132,'G-6 Hedgerow Data'!$AM$3:$AM$15,0),MATCH(M132,'G-6 Hedgerow Data'!$AN$2:$AZ$2,0))),"")</f>
        <v/>
      </c>
      <c r="O132" s="499" t="str">
        <f t="shared" si="10"/>
        <v/>
      </c>
      <c r="P132" s="505" t="str">
        <f>IF(B132="","",VLOOKUP(B132,'E-1 Off Site Hedge Baseline'!$B$10:T377,16,FALSE))</f>
        <v/>
      </c>
      <c r="Q132" s="498" t="str">
        <f>IF(M132="","",VLOOKUP(M132,'G-6 Hedgerow Data'!$B$2:$AG$15,2,FALSE))</f>
        <v/>
      </c>
      <c r="R132" s="499" t="str">
        <f>IF(M132="","",VLOOKUP(M132,'G-6 Hedgerow Data'!$B$2:$AG$15,3,FALSE))</f>
        <v/>
      </c>
      <c r="S132" s="145"/>
      <c r="T132" s="499" t="str">
        <f>IFERROR(IF(AND(Q132="V.Low",OR(S132="Good",S132="Moderate")),"Error ▲",VLOOKUP(S132,'G-1 All Habitats'!$Z$2:$AA$9,2,FALSE)),"")</f>
        <v/>
      </c>
      <c r="U132" s="145"/>
      <c r="V132" s="507" t="str">
        <f>IF(U132="","",IF(VLOOKUP(U132,'G-3 Multipliers'!$L$3:$N$6,2,FALSE)=0,"Spatial Data Missing ⚠",VLOOKUP(U132,'G-3 Multipliers'!$L$3:$N$6,2,FALSE)))</f>
        <v/>
      </c>
      <c r="W132" s="505"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9"/>
        <v/>
      </c>
      <c r="AD132" s="537" t="str">
        <f>IF(M132="","",VLOOKUP(M132,'G-6 Hedgerow Data'!$B$3:$AG$15,31,FALSE))</f>
        <v/>
      </c>
      <c r="AE132" s="520" t="str">
        <f t="shared" si="13"/>
        <v/>
      </c>
      <c r="AF132" s="520" t="str">
        <f t="shared" si="14"/>
        <v/>
      </c>
      <c r="AG132" s="524" t="str">
        <f>IFERROR(IF(O132="","",VLOOKUP(AD132,'G-3 Multipliers'!$P$3:$Q$6,2,FALSE)),"")</f>
        <v/>
      </c>
      <c r="AH132" s="197"/>
      <c r="AI132" s="499" t="str">
        <f>IF(AH132="","",IF(VLOOKUP(AH132,'G-3 Multipliers'!$S$3:$T$6,2,FALSE)=0,"Spatial Data Missing ⚠",VLOOKUP(AH132,'G-3 Multipliers'!$S$3:$T$6,2,FALSE)))</f>
        <v/>
      </c>
      <c r="AJ132" s="545" t="str">
        <f t="shared" si="15"/>
        <v/>
      </c>
      <c r="AK132" s="149"/>
      <c r="AL132" s="150"/>
      <c r="AP132" s="31" t="str">
        <f>IFERROR(INDEX('G-6 Hedgerow Data'!$BJ$3:$BJ$15,MATCH(M132,'G-6 Hedgerow Data'!$B$3:$B$15,0)),"")</f>
        <v/>
      </c>
    </row>
    <row r="133" spans="2:42" ht="13.8" x14ac:dyDescent="0.25">
      <c r="B133" s="531" t="str">
        <f>'E-1 Off Site Hedge Baseline'!AK131</f>
        <v/>
      </c>
      <c r="C133" s="520" t="str">
        <f>IF(B133="","",IF(ISNA(VLOOKUP($B133,'E-1 Off Site Hedge Baseline'!$B$1:$L$257,3,FALSE)),"",(VLOOKUP($B133,'E-1 Off Site Hedge Baseline'!$B$1:$L$257,3,FALSE))))</f>
        <v/>
      </c>
      <c r="D133" s="520" t="str">
        <f>IF(B133="","",IF(ISNA(VLOOKUP($B133,'E-1 Off Site Hedge Baseline'!$B$1:$L$258,4,FALSE)),"",(VLOOKUP($B133,'E-1 Off Site Hedge Baseline'!$B$1:$L$258,4,FALSE))))</f>
        <v/>
      </c>
      <c r="E133" s="520" t="str">
        <f>IF(B133="","",IF(ISNA(VLOOKUP($B133,'E-1 Off Site Hedge Baseline'!$B$1:$L$257,5,FALSE)),"",(VLOOKUP($B133,'E-1 Off Site Hedge Baseline'!$B$1:$L$257,5,FALSE))))</f>
        <v/>
      </c>
      <c r="F133" s="520" t="str">
        <f>IF(B133="","",IF(ISNA(VLOOKUP($B133,'E-1 Off Site Hedge Baseline'!$B$1:$L$257,6,FALSE)),"",(VLOOKUP($B133,'E-1 Off Site Hedge Baseline'!$B$1:$L$257,6,FALSE))))</f>
        <v/>
      </c>
      <c r="G133" s="520" t="str">
        <f>IF(B133="","",IF(ISNA(VLOOKUP($B133,'E-1 Off Site Hedge Baseline'!$B$1:$L$257,7,FALSE)),"",(VLOOKUP($B133,'E-1 Off Site Hedge Baseline'!$B$1:$L$257,7,FALSE))))</f>
        <v/>
      </c>
      <c r="H133" s="520" t="str">
        <f>IF(B133="","",IF(ISNA(VLOOKUP($B133,'E-1 Off Site Hedge Baseline'!$B$1:$L$257,8,FALSE)),"",(VLOOKUP($B133,'E-1 Off Site Hedge Baseline'!$B$1:$L$257,8,FALSE))))</f>
        <v/>
      </c>
      <c r="I133" s="520" t="str">
        <f>IF(B133="","",IF(ISNA(VLOOKUP($B133,'E-1 Off Site Hedge Baseline'!$B$1:$L$257,10,FALSE)),"",(VLOOKUP($B133,'E-1 Off Site Hedge Baseline'!$B$1:$L$257,10,FALSE))))</f>
        <v/>
      </c>
      <c r="J133" s="520" t="str">
        <f>IF(B133="","",IF(ISNA(VLOOKUP($B133,'E-1 Off Site Hedge Baseline'!$B$1:$L$257,11,FALSE)),"",(VLOOKUP($B133,'E-1 Off Site Hedge Baseline'!$B$1:$L$257,11,FALSE))))</f>
        <v/>
      </c>
      <c r="K133" s="520" t="str">
        <f>IF(B133="","",IF(ISNA(VLOOKUP($B133,'E-1 Off Site Hedge Baseline'!$B$1:$U$257,113,FALSE)),"",(VLOOKUP($B133,'E-1 Off Site Hedge Baseline'!$B$1:$U$257,13,FALSE))))</f>
        <v/>
      </c>
      <c r="L133" s="507" t="str">
        <f>IF(B133="","",IF(ISNA(VLOOKUP($B133,'E-1 Off Site Hedge Baseline'!$B$1:$U$257,12,FALSE)),"",(VLOOKUP($B133,'E-1 Off Site Hedge Baseline'!$B$1:$U$257,12,FALSE))))</f>
        <v/>
      </c>
      <c r="M133" s="418" t="str">
        <f t="shared" si="16"/>
        <v/>
      </c>
      <c r="N133" s="498" t="str">
        <f>IFERROR(IF(B133="","",INDEX('G-6 Hedgerow Data'!$AN$3:$AZ$15,MATCH(C133,'G-6 Hedgerow Data'!$AM$3:$AM$15,0),MATCH(M133,'G-6 Hedgerow Data'!$AN$2:$AZ$2,0))),"")</f>
        <v/>
      </c>
      <c r="O133" s="499" t="str">
        <f t="shared" si="10"/>
        <v/>
      </c>
      <c r="P133" s="505" t="str">
        <f>IF(B133="","",VLOOKUP(B133,'E-1 Off Site Hedge Baseline'!$B$10:T378,16,FALSE))</f>
        <v/>
      </c>
      <c r="Q133" s="498" t="str">
        <f>IF(M133="","",VLOOKUP(M133,'G-6 Hedgerow Data'!$B$2:$AG$15,2,FALSE))</f>
        <v/>
      </c>
      <c r="R133" s="499" t="str">
        <f>IF(M133="","",VLOOKUP(M133,'G-6 Hedgerow Data'!$B$2:$AG$15,3,FALSE))</f>
        <v/>
      </c>
      <c r="S133" s="145"/>
      <c r="T133" s="499" t="str">
        <f>IFERROR(IF(AND(Q133="V.Low",OR(S133="Good",S133="Moderate")),"Error ▲",VLOOKUP(S133,'G-1 All Habitats'!$Z$2:$AA$9,2,FALSE)),"")</f>
        <v/>
      </c>
      <c r="U133" s="145"/>
      <c r="V133" s="507" t="str">
        <f>IF(U133="","",IF(VLOOKUP(U133,'G-3 Multipliers'!$L$3:$N$6,2,FALSE)=0,"Spatial Data Missing ⚠",VLOOKUP(U133,'G-3 Multipliers'!$L$3:$N$6,2,FALSE)))</f>
        <v/>
      </c>
      <c r="W133" s="505"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9"/>
        <v/>
      </c>
      <c r="AD133" s="537" t="str">
        <f>IF(M133="","",VLOOKUP(M133,'G-6 Hedgerow Data'!$B$3:$AG$15,31,FALSE))</f>
        <v/>
      </c>
      <c r="AE133" s="520" t="str">
        <f t="shared" si="13"/>
        <v/>
      </c>
      <c r="AF133" s="520" t="str">
        <f t="shared" si="14"/>
        <v/>
      </c>
      <c r="AG133" s="524" t="str">
        <f>IFERROR(IF(O133="","",VLOOKUP(AD133,'G-3 Multipliers'!$P$3:$Q$6,2,FALSE)),"")</f>
        <v/>
      </c>
      <c r="AH133" s="197"/>
      <c r="AI133" s="499" t="str">
        <f>IF(AH133="","",IF(VLOOKUP(AH133,'G-3 Multipliers'!$S$3:$T$6,2,FALSE)=0,"Spatial Data Missing ⚠",VLOOKUP(AH133,'G-3 Multipliers'!$S$3:$T$6,2,FALSE)))</f>
        <v/>
      </c>
      <c r="AJ133" s="545" t="str">
        <f t="shared" si="15"/>
        <v/>
      </c>
      <c r="AK133" s="149"/>
      <c r="AL133" s="150"/>
      <c r="AP133" s="31" t="str">
        <f>IFERROR(INDEX('G-6 Hedgerow Data'!$BJ$3:$BJ$15,MATCH(M133,'G-6 Hedgerow Data'!$B$3:$B$15,0)),"")</f>
        <v/>
      </c>
    </row>
    <row r="134" spans="2:42" ht="13.8" x14ac:dyDescent="0.25">
      <c r="B134" s="531" t="str">
        <f>'E-1 Off Site Hedge Baseline'!AK132</f>
        <v/>
      </c>
      <c r="C134" s="520" t="str">
        <f>IF(B134="","",IF(ISNA(VLOOKUP($B134,'E-1 Off Site Hedge Baseline'!$B$1:$L$257,3,FALSE)),"",(VLOOKUP($B134,'E-1 Off Site Hedge Baseline'!$B$1:$L$257,3,FALSE))))</f>
        <v/>
      </c>
      <c r="D134" s="520" t="str">
        <f>IF(B134="","",IF(ISNA(VLOOKUP($B134,'E-1 Off Site Hedge Baseline'!$B$1:$L$258,4,FALSE)),"",(VLOOKUP($B134,'E-1 Off Site Hedge Baseline'!$B$1:$L$258,4,FALSE))))</f>
        <v/>
      </c>
      <c r="E134" s="520" t="str">
        <f>IF(B134="","",IF(ISNA(VLOOKUP($B134,'E-1 Off Site Hedge Baseline'!$B$1:$L$257,5,FALSE)),"",(VLOOKUP($B134,'E-1 Off Site Hedge Baseline'!$B$1:$L$257,5,FALSE))))</f>
        <v/>
      </c>
      <c r="F134" s="520" t="str">
        <f>IF(B134="","",IF(ISNA(VLOOKUP($B134,'E-1 Off Site Hedge Baseline'!$B$1:$L$257,6,FALSE)),"",(VLOOKUP($B134,'E-1 Off Site Hedge Baseline'!$B$1:$L$257,6,FALSE))))</f>
        <v/>
      </c>
      <c r="G134" s="520" t="str">
        <f>IF(B134="","",IF(ISNA(VLOOKUP($B134,'E-1 Off Site Hedge Baseline'!$B$1:$L$257,7,FALSE)),"",(VLOOKUP($B134,'E-1 Off Site Hedge Baseline'!$B$1:$L$257,7,FALSE))))</f>
        <v/>
      </c>
      <c r="H134" s="520" t="str">
        <f>IF(B134="","",IF(ISNA(VLOOKUP($B134,'E-1 Off Site Hedge Baseline'!$B$1:$L$257,8,FALSE)),"",(VLOOKUP($B134,'E-1 Off Site Hedge Baseline'!$B$1:$L$257,8,FALSE))))</f>
        <v/>
      </c>
      <c r="I134" s="520" t="str">
        <f>IF(B134="","",IF(ISNA(VLOOKUP($B134,'E-1 Off Site Hedge Baseline'!$B$1:$L$257,10,FALSE)),"",(VLOOKUP($B134,'E-1 Off Site Hedge Baseline'!$B$1:$L$257,10,FALSE))))</f>
        <v/>
      </c>
      <c r="J134" s="520" t="str">
        <f>IF(B134="","",IF(ISNA(VLOOKUP($B134,'E-1 Off Site Hedge Baseline'!$B$1:$L$257,11,FALSE)),"",(VLOOKUP($B134,'E-1 Off Site Hedge Baseline'!$B$1:$L$257,11,FALSE))))</f>
        <v/>
      </c>
      <c r="K134" s="520" t="str">
        <f>IF(B134="","",IF(ISNA(VLOOKUP($B134,'E-1 Off Site Hedge Baseline'!$B$1:$U$257,113,FALSE)),"",(VLOOKUP($B134,'E-1 Off Site Hedge Baseline'!$B$1:$U$257,13,FALSE))))</f>
        <v/>
      </c>
      <c r="L134" s="507" t="str">
        <f>IF(B134="","",IF(ISNA(VLOOKUP($B134,'E-1 Off Site Hedge Baseline'!$B$1:$U$257,12,FALSE)),"",(VLOOKUP($B134,'E-1 Off Site Hedge Baseline'!$B$1:$U$257,12,FALSE))))</f>
        <v/>
      </c>
      <c r="M134" s="418" t="str">
        <f t="shared" si="16"/>
        <v/>
      </c>
      <c r="N134" s="498" t="str">
        <f>IFERROR(IF(B134="","",INDEX('G-6 Hedgerow Data'!$AN$3:$AZ$15,MATCH(C134,'G-6 Hedgerow Data'!$AM$3:$AM$15,0),MATCH(M134,'G-6 Hedgerow Data'!$AN$2:$AZ$2,0))),"")</f>
        <v/>
      </c>
      <c r="O134" s="499" t="str">
        <f t="shared" si="10"/>
        <v/>
      </c>
      <c r="P134" s="505" t="str">
        <f>IF(B134="","",VLOOKUP(B134,'E-1 Off Site Hedge Baseline'!$B$10:T379,16,FALSE))</f>
        <v/>
      </c>
      <c r="Q134" s="498" t="str">
        <f>IF(M134="","",VLOOKUP(M134,'G-6 Hedgerow Data'!$B$2:$AG$15,2,FALSE))</f>
        <v/>
      </c>
      <c r="R134" s="499" t="str">
        <f>IF(M134="","",VLOOKUP(M134,'G-6 Hedgerow Data'!$B$2:$AG$15,3,FALSE))</f>
        <v/>
      </c>
      <c r="S134" s="145"/>
      <c r="T134" s="499" t="str">
        <f>IFERROR(IF(AND(Q134="V.Low",OR(S134="Good",S134="Moderate")),"Error ▲",VLOOKUP(S134,'G-1 All Habitats'!$Z$2:$AA$9,2,FALSE)),"")</f>
        <v/>
      </c>
      <c r="U134" s="145"/>
      <c r="V134" s="507" t="str">
        <f>IF(U134="","",IF(VLOOKUP(U134,'G-3 Multipliers'!$L$3:$N$6,2,FALSE)=0,"Spatial Data Missing ⚠",VLOOKUP(U134,'G-3 Multipliers'!$L$3:$N$6,2,FALSE)))</f>
        <v/>
      </c>
      <c r="W134" s="505"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9"/>
        <v/>
      </c>
      <c r="AD134" s="537" t="str">
        <f>IF(M134="","",VLOOKUP(M134,'G-6 Hedgerow Data'!$B$3:$AG$15,31,FALSE))</f>
        <v/>
      </c>
      <c r="AE134" s="520" t="str">
        <f t="shared" si="13"/>
        <v/>
      </c>
      <c r="AF134" s="520" t="str">
        <f t="shared" si="14"/>
        <v/>
      </c>
      <c r="AG134" s="524" t="str">
        <f>IFERROR(IF(O134="","",VLOOKUP(AD134,'G-3 Multipliers'!$P$3:$Q$6,2,FALSE)),"")</f>
        <v/>
      </c>
      <c r="AH134" s="197"/>
      <c r="AI134" s="499" t="str">
        <f>IF(AH134="","",IF(VLOOKUP(AH134,'G-3 Multipliers'!$S$3:$T$6,2,FALSE)=0,"Spatial Data Missing ⚠",VLOOKUP(AH134,'G-3 Multipliers'!$S$3:$T$6,2,FALSE)))</f>
        <v/>
      </c>
      <c r="AJ134" s="545" t="str">
        <f t="shared" si="15"/>
        <v/>
      </c>
      <c r="AK134" s="149"/>
      <c r="AL134" s="150"/>
      <c r="AP134" s="31" t="str">
        <f>IFERROR(INDEX('G-6 Hedgerow Data'!$BJ$3:$BJ$15,MATCH(M134,'G-6 Hedgerow Data'!$B$3:$B$15,0)),"")</f>
        <v/>
      </c>
    </row>
    <row r="135" spans="2:42" ht="13.8" x14ac:dyDescent="0.25">
      <c r="B135" s="531" t="str">
        <f>'E-1 Off Site Hedge Baseline'!AK133</f>
        <v/>
      </c>
      <c r="C135" s="520" t="str">
        <f>IF(B135="","",IF(ISNA(VLOOKUP($B135,'E-1 Off Site Hedge Baseline'!$B$1:$L$257,3,FALSE)),"",(VLOOKUP($B135,'E-1 Off Site Hedge Baseline'!$B$1:$L$257,3,FALSE))))</f>
        <v/>
      </c>
      <c r="D135" s="520" t="str">
        <f>IF(B135="","",IF(ISNA(VLOOKUP($B135,'E-1 Off Site Hedge Baseline'!$B$1:$L$258,4,FALSE)),"",(VLOOKUP($B135,'E-1 Off Site Hedge Baseline'!$B$1:$L$258,4,FALSE))))</f>
        <v/>
      </c>
      <c r="E135" s="520" t="str">
        <f>IF(B135="","",IF(ISNA(VLOOKUP($B135,'E-1 Off Site Hedge Baseline'!$B$1:$L$257,5,FALSE)),"",(VLOOKUP($B135,'E-1 Off Site Hedge Baseline'!$B$1:$L$257,5,FALSE))))</f>
        <v/>
      </c>
      <c r="F135" s="520" t="str">
        <f>IF(B135="","",IF(ISNA(VLOOKUP($B135,'E-1 Off Site Hedge Baseline'!$B$1:$L$257,6,FALSE)),"",(VLOOKUP($B135,'E-1 Off Site Hedge Baseline'!$B$1:$L$257,6,FALSE))))</f>
        <v/>
      </c>
      <c r="G135" s="520" t="str">
        <f>IF(B135="","",IF(ISNA(VLOOKUP($B135,'E-1 Off Site Hedge Baseline'!$B$1:$L$257,7,FALSE)),"",(VLOOKUP($B135,'E-1 Off Site Hedge Baseline'!$B$1:$L$257,7,FALSE))))</f>
        <v/>
      </c>
      <c r="H135" s="520" t="str">
        <f>IF(B135="","",IF(ISNA(VLOOKUP($B135,'E-1 Off Site Hedge Baseline'!$B$1:$L$257,8,FALSE)),"",(VLOOKUP($B135,'E-1 Off Site Hedge Baseline'!$B$1:$L$257,8,FALSE))))</f>
        <v/>
      </c>
      <c r="I135" s="520" t="str">
        <f>IF(B135="","",IF(ISNA(VLOOKUP($B135,'E-1 Off Site Hedge Baseline'!$B$1:$L$257,10,FALSE)),"",(VLOOKUP($B135,'E-1 Off Site Hedge Baseline'!$B$1:$L$257,10,FALSE))))</f>
        <v/>
      </c>
      <c r="J135" s="520" t="str">
        <f>IF(B135="","",IF(ISNA(VLOOKUP($B135,'E-1 Off Site Hedge Baseline'!$B$1:$L$257,11,FALSE)),"",(VLOOKUP($B135,'E-1 Off Site Hedge Baseline'!$B$1:$L$257,11,FALSE))))</f>
        <v/>
      </c>
      <c r="K135" s="520" t="str">
        <f>IF(B135="","",IF(ISNA(VLOOKUP($B135,'E-1 Off Site Hedge Baseline'!$B$1:$U$257,113,FALSE)),"",(VLOOKUP($B135,'E-1 Off Site Hedge Baseline'!$B$1:$U$257,13,FALSE))))</f>
        <v/>
      </c>
      <c r="L135" s="507" t="str">
        <f>IF(B135="","",IF(ISNA(VLOOKUP($B135,'E-1 Off Site Hedge Baseline'!$B$1:$U$257,12,FALSE)),"",(VLOOKUP($B135,'E-1 Off Site Hedge Baseline'!$B$1:$U$257,12,FALSE))))</f>
        <v/>
      </c>
      <c r="M135" s="418" t="str">
        <f t="shared" si="16"/>
        <v/>
      </c>
      <c r="N135" s="498" t="str">
        <f>IFERROR(IF(B135="","",INDEX('G-6 Hedgerow Data'!$AN$3:$AZ$15,MATCH(C135,'G-6 Hedgerow Data'!$AM$3:$AM$15,0),MATCH(M135,'G-6 Hedgerow Data'!$AN$2:$AZ$2,0))),"")</f>
        <v/>
      </c>
      <c r="O135" s="499" t="str">
        <f t="shared" si="10"/>
        <v/>
      </c>
      <c r="P135" s="505" t="str">
        <f>IF(B135="","",VLOOKUP(B135,'E-1 Off Site Hedge Baseline'!$B$10:T380,16,FALSE))</f>
        <v/>
      </c>
      <c r="Q135" s="498" t="str">
        <f>IF(M135="","",VLOOKUP(M135,'G-6 Hedgerow Data'!$B$2:$AG$15,2,FALSE))</f>
        <v/>
      </c>
      <c r="R135" s="499" t="str">
        <f>IF(M135="","",VLOOKUP(M135,'G-6 Hedgerow Data'!$B$2:$AG$15,3,FALSE))</f>
        <v/>
      </c>
      <c r="S135" s="145"/>
      <c r="T135" s="499" t="str">
        <f>IFERROR(IF(AND(Q135="V.Low",OR(S135="Good",S135="Moderate")),"Error ▲",VLOOKUP(S135,'G-1 All Habitats'!$Z$2:$AA$9,2,FALSE)),"")</f>
        <v/>
      </c>
      <c r="U135" s="145"/>
      <c r="V135" s="507" t="str">
        <f>IF(U135="","",IF(VLOOKUP(U135,'G-3 Multipliers'!$L$3:$N$6,2,FALSE)=0,"Spatial Data Missing ⚠",VLOOKUP(U135,'G-3 Multipliers'!$L$3:$N$6,2,FALSE)))</f>
        <v/>
      </c>
      <c r="W135" s="505"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9"/>
        <v/>
      </c>
      <c r="AD135" s="537" t="str">
        <f>IF(M135="","",VLOOKUP(M135,'G-6 Hedgerow Data'!$B$3:$AG$15,31,FALSE))</f>
        <v/>
      </c>
      <c r="AE135" s="520" t="str">
        <f t="shared" si="13"/>
        <v/>
      </c>
      <c r="AF135" s="520" t="str">
        <f t="shared" si="14"/>
        <v/>
      </c>
      <c r="AG135" s="524" t="str">
        <f>IFERROR(IF(O135="","",VLOOKUP(AD135,'G-3 Multipliers'!$P$3:$Q$6,2,FALSE)),"")</f>
        <v/>
      </c>
      <c r="AH135" s="197"/>
      <c r="AI135" s="499" t="str">
        <f>IF(AH135="","",IF(VLOOKUP(AH135,'G-3 Multipliers'!$S$3:$T$6,2,FALSE)=0,"Spatial Data Missing ⚠",VLOOKUP(AH135,'G-3 Multipliers'!$S$3:$T$6,2,FALSE)))</f>
        <v/>
      </c>
      <c r="AJ135" s="545" t="str">
        <f t="shared" si="15"/>
        <v/>
      </c>
      <c r="AK135" s="149"/>
      <c r="AL135" s="150"/>
      <c r="AP135" s="31" t="str">
        <f>IFERROR(INDEX('G-6 Hedgerow Data'!$BJ$3:$BJ$15,MATCH(M135,'G-6 Hedgerow Data'!$B$3:$B$15,0)),"")</f>
        <v/>
      </c>
    </row>
    <row r="136" spans="2:42" ht="13.8" x14ac:dyDescent="0.25">
      <c r="B136" s="531" t="str">
        <f>'E-1 Off Site Hedge Baseline'!AK134</f>
        <v/>
      </c>
      <c r="C136" s="520" t="str">
        <f>IF(B136="","",IF(ISNA(VLOOKUP($B136,'E-1 Off Site Hedge Baseline'!$B$1:$L$257,3,FALSE)),"",(VLOOKUP($B136,'E-1 Off Site Hedge Baseline'!$B$1:$L$257,3,FALSE))))</f>
        <v/>
      </c>
      <c r="D136" s="520" t="str">
        <f>IF(B136="","",IF(ISNA(VLOOKUP($B136,'E-1 Off Site Hedge Baseline'!$B$1:$L$258,4,FALSE)),"",(VLOOKUP($B136,'E-1 Off Site Hedge Baseline'!$B$1:$L$258,4,FALSE))))</f>
        <v/>
      </c>
      <c r="E136" s="520" t="str">
        <f>IF(B136="","",IF(ISNA(VLOOKUP($B136,'E-1 Off Site Hedge Baseline'!$B$1:$L$257,5,FALSE)),"",(VLOOKUP($B136,'E-1 Off Site Hedge Baseline'!$B$1:$L$257,5,FALSE))))</f>
        <v/>
      </c>
      <c r="F136" s="520" t="str">
        <f>IF(B136="","",IF(ISNA(VLOOKUP($B136,'E-1 Off Site Hedge Baseline'!$B$1:$L$257,6,FALSE)),"",(VLOOKUP($B136,'E-1 Off Site Hedge Baseline'!$B$1:$L$257,6,FALSE))))</f>
        <v/>
      </c>
      <c r="G136" s="520" t="str">
        <f>IF(B136="","",IF(ISNA(VLOOKUP($B136,'E-1 Off Site Hedge Baseline'!$B$1:$L$257,7,FALSE)),"",(VLOOKUP($B136,'E-1 Off Site Hedge Baseline'!$B$1:$L$257,7,FALSE))))</f>
        <v/>
      </c>
      <c r="H136" s="520" t="str">
        <f>IF(B136="","",IF(ISNA(VLOOKUP($B136,'E-1 Off Site Hedge Baseline'!$B$1:$L$257,8,FALSE)),"",(VLOOKUP($B136,'E-1 Off Site Hedge Baseline'!$B$1:$L$257,8,FALSE))))</f>
        <v/>
      </c>
      <c r="I136" s="520" t="str">
        <f>IF(B136="","",IF(ISNA(VLOOKUP($B136,'E-1 Off Site Hedge Baseline'!$B$1:$L$257,10,FALSE)),"",(VLOOKUP($B136,'E-1 Off Site Hedge Baseline'!$B$1:$L$257,10,FALSE))))</f>
        <v/>
      </c>
      <c r="J136" s="520" t="str">
        <f>IF(B136="","",IF(ISNA(VLOOKUP($B136,'E-1 Off Site Hedge Baseline'!$B$1:$L$257,11,FALSE)),"",(VLOOKUP($B136,'E-1 Off Site Hedge Baseline'!$B$1:$L$257,11,FALSE))))</f>
        <v/>
      </c>
      <c r="K136" s="520" t="str">
        <f>IF(B136="","",IF(ISNA(VLOOKUP($B136,'E-1 Off Site Hedge Baseline'!$B$1:$U$257,113,FALSE)),"",(VLOOKUP($B136,'E-1 Off Site Hedge Baseline'!$B$1:$U$257,13,FALSE))))</f>
        <v/>
      </c>
      <c r="L136" s="507" t="str">
        <f>IF(B136="","",IF(ISNA(VLOOKUP($B136,'E-1 Off Site Hedge Baseline'!$B$1:$U$257,12,FALSE)),"",(VLOOKUP($B136,'E-1 Off Site Hedge Baseline'!$B$1:$U$257,12,FALSE))))</f>
        <v/>
      </c>
      <c r="M136" s="418" t="str">
        <f t="shared" si="16"/>
        <v/>
      </c>
      <c r="N136" s="498" t="str">
        <f>IFERROR(IF(B136="","",INDEX('G-6 Hedgerow Data'!$AN$3:$AZ$15,MATCH(C136,'G-6 Hedgerow Data'!$AM$3:$AM$15,0),MATCH(M136,'G-6 Hedgerow Data'!$AN$2:$AZ$2,0))),"")</f>
        <v/>
      </c>
      <c r="O136" s="499" t="str">
        <f t="shared" si="10"/>
        <v/>
      </c>
      <c r="P136" s="505" t="str">
        <f>IF(B136="","",VLOOKUP(B136,'E-1 Off Site Hedge Baseline'!$B$10:T381,16,FALSE))</f>
        <v/>
      </c>
      <c r="Q136" s="498" t="str">
        <f>IF(M136="","",VLOOKUP(M136,'G-6 Hedgerow Data'!$B$2:$AG$15,2,FALSE))</f>
        <v/>
      </c>
      <c r="R136" s="499" t="str">
        <f>IF(M136="","",VLOOKUP(M136,'G-6 Hedgerow Data'!$B$2:$AG$15,3,FALSE))</f>
        <v/>
      </c>
      <c r="S136" s="145"/>
      <c r="T136" s="499" t="str">
        <f>IFERROR(IF(AND(Q136="V.Low",OR(S136="Good",S136="Moderate")),"Error ▲",VLOOKUP(S136,'G-1 All Habitats'!$Z$2:$AA$9,2,FALSE)),"")</f>
        <v/>
      </c>
      <c r="U136" s="145"/>
      <c r="V136" s="507" t="str">
        <f>IF(U136="","",IF(VLOOKUP(U136,'G-3 Multipliers'!$L$3:$N$6,2,FALSE)=0,"Spatial Data Missing ⚠",VLOOKUP(U136,'G-3 Multipliers'!$L$3:$N$6,2,FALSE)))</f>
        <v/>
      </c>
      <c r="W136" s="505"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9"/>
        <v/>
      </c>
      <c r="AD136" s="537" t="str">
        <f>IF(M136="","",VLOOKUP(M136,'G-6 Hedgerow Data'!$B$3:$AG$15,31,FALSE))</f>
        <v/>
      </c>
      <c r="AE136" s="520" t="str">
        <f t="shared" si="13"/>
        <v/>
      </c>
      <c r="AF136" s="520" t="str">
        <f t="shared" si="14"/>
        <v/>
      </c>
      <c r="AG136" s="524" t="str">
        <f>IFERROR(IF(O136="","",VLOOKUP(AD136,'G-3 Multipliers'!$P$3:$Q$6,2,FALSE)),"")</f>
        <v/>
      </c>
      <c r="AH136" s="197"/>
      <c r="AI136" s="499" t="str">
        <f>IF(AH136="","",IF(VLOOKUP(AH136,'G-3 Multipliers'!$S$3:$T$6,2,FALSE)=0,"Spatial Data Missing ⚠",VLOOKUP(AH136,'G-3 Multipliers'!$S$3:$T$6,2,FALSE)))</f>
        <v/>
      </c>
      <c r="AJ136" s="545" t="str">
        <f t="shared" si="15"/>
        <v/>
      </c>
      <c r="AK136" s="149"/>
      <c r="AL136" s="150"/>
      <c r="AP136" s="31" t="str">
        <f>IFERROR(INDEX('G-6 Hedgerow Data'!$BJ$3:$BJ$15,MATCH(M136,'G-6 Hedgerow Data'!$B$3:$B$15,0)),"")</f>
        <v/>
      </c>
    </row>
    <row r="137" spans="2:42" ht="13.8" x14ac:dyDescent="0.25">
      <c r="B137" s="531" t="str">
        <f>'E-1 Off Site Hedge Baseline'!AK135</f>
        <v/>
      </c>
      <c r="C137" s="520" t="str">
        <f>IF(B137="","",IF(ISNA(VLOOKUP($B137,'E-1 Off Site Hedge Baseline'!$B$1:$L$257,3,FALSE)),"",(VLOOKUP($B137,'E-1 Off Site Hedge Baseline'!$B$1:$L$257,3,FALSE))))</f>
        <v/>
      </c>
      <c r="D137" s="520" t="str">
        <f>IF(B137="","",IF(ISNA(VLOOKUP($B137,'E-1 Off Site Hedge Baseline'!$B$1:$L$258,4,FALSE)),"",(VLOOKUP($B137,'E-1 Off Site Hedge Baseline'!$B$1:$L$258,4,FALSE))))</f>
        <v/>
      </c>
      <c r="E137" s="520" t="str">
        <f>IF(B137="","",IF(ISNA(VLOOKUP($B137,'E-1 Off Site Hedge Baseline'!$B$1:$L$257,5,FALSE)),"",(VLOOKUP($B137,'E-1 Off Site Hedge Baseline'!$B$1:$L$257,5,FALSE))))</f>
        <v/>
      </c>
      <c r="F137" s="520" t="str">
        <f>IF(B137="","",IF(ISNA(VLOOKUP($B137,'E-1 Off Site Hedge Baseline'!$B$1:$L$257,6,FALSE)),"",(VLOOKUP($B137,'E-1 Off Site Hedge Baseline'!$B$1:$L$257,6,FALSE))))</f>
        <v/>
      </c>
      <c r="G137" s="520" t="str">
        <f>IF(B137="","",IF(ISNA(VLOOKUP($B137,'E-1 Off Site Hedge Baseline'!$B$1:$L$257,7,FALSE)),"",(VLOOKUP($B137,'E-1 Off Site Hedge Baseline'!$B$1:$L$257,7,FALSE))))</f>
        <v/>
      </c>
      <c r="H137" s="520" t="str">
        <f>IF(B137="","",IF(ISNA(VLOOKUP($B137,'E-1 Off Site Hedge Baseline'!$B$1:$L$257,8,FALSE)),"",(VLOOKUP($B137,'E-1 Off Site Hedge Baseline'!$B$1:$L$257,8,FALSE))))</f>
        <v/>
      </c>
      <c r="I137" s="520" t="str">
        <f>IF(B137="","",IF(ISNA(VLOOKUP($B137,'E-1 Off Site Hedge Baseline'!$B$1:$L$257,10,FALSE)),"",(VLOOKUP($B137,'E-1 Off Site Hedge Baseline'!$B$1:$L$257,10,FALSE))))</f>
        <v/>
      </c>
      <c r="J137" s="520" t="str">
        <f>IF(B137="","",IF(ISNA(VLOOKUP($B137,'E-1 Off Site Hedge Baseline'!$B$1:$L$257,11,FALSE)),"",(VLOOKUP($B137,'E-1 Off Site Hedge Baseline'!$B$1:$L$257,11,FALSE))))</f>
        <v/>
      </c>
      <c r="K137" s="520" t="str">
        <f>IF(B137="","",IF(ISNA(VLOOKUP($B137,'E-1 Off Site Hedge Baseline'!$B$1:$U$257,113,FALSE)),"",(VLOOKUP($B137,'E-1 Off Site Hedge Baseline'!$B$1:$U$257,13,FALSE))))</f>
        <v/>
      </c>
      <c r="L137" s="507" t="str">
        <f>IF(B137="","",IF(ISNA(VLOOKUP($B137,'E-1 Off Site Hedge Baseline'!$B$1:$U$257,12,FALSE)),"",(VLOOKUP($B137,'E-1 Off Site Hedge Baseline'!$B$1:$U$257,12,FALSE))))</f>
        <v/>
      </c>
      <c r="M137" s="418" t="str">
        <f t="shared" si="16"/>
        <v/>
      </c>
      <c r="N137" s="498" t="str">
        <f>IFERROR(IF(B137="","",INDEX('G-6 Hedgerow Data'!$AN$3:$AZ$15,MATCH(C137,'G-6 Hedgerow Data'!$AM$3:$AM$15,0),MATCH(M137,'G-6 Hedgerow Data'!$AN$2:$AZ$2,0))),"")</f>
        <v/>
      </c>
      <c r="O137" s="499" t="str">
        <f t="shared" si="10"/>
        <v/>
      </c>
      <c r="P137" s="505" t="str">
        <f>IF(B137="","",VLOOKUP(B137,'E-1 Off Site Hedge Baseline'!$B$10:T382,16,FALSE))</f>
        <v/>
      </c>
      <c r="Q137" s="498" t="str">
        <f>IF(M137="","",VLOOKUP(M137,'G-6 Hedgerow Data'!$B$2:$AG$15,2,FALSE))</f>
        <v/>
      </c>
      <c r="R137" s="499" t="str">
        <f>IF(M137="","",VLOOKUP(M137,'G-6 Hedgerow Data'!$B$2:$AG$15,3,FALSE))</f>
        <v/>
      </c>
      <c r="S137" s="145"/>
      <c r="T137" s="499" t="str">
        <f>IFERROR(IF(AND(Q137="V.Low",OR(S137="Good",S137="Moderate")),"Error ▲",VLOOKUP(S137,'G-1 All Habitats'!$Z$2:$AA$9,2,FALSE)),"")</f>
        <v/>
      </c>
      <c r="U137" s="145"/>
      <c r="V137" s="507" t="str">
        <f>IF(U137="","",IF(VLOOKUP(U137,'G-3 Multipliers'!$L$3:$N$6,2,FALSE)=0,"Spatial Data Missing ⚠",VLOOKUP(U137,'G-3 Multipliers'!$L$3:$N$6,2,FALSE)))</f>
        <v/>
      </c>
      <c r="W137" s="505"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9"/>
        <v/>
      </c>
      <c r="AD137" s="537" t="str">
        <f>IF(M137="","",VLOOKUP(M137,'G-6 Hedgerow Data'!$B$3:$AG$15,31,FALSE))</f>
        <v/>
      </c>
      <c r="AE137" s="520" t="str">
        <f t="shared" si="13"/>
        <v/>
      </c>
      <c r="AF137" s="520" t="str">
        <f t="shared" si="14"/>
        <v/>
      </c>
      <c r="AG137" s="524" t="str">
        <f>IFERROR(IF(O137="","",VLOOKUP(AD137,'G-3 Multipliers'!$P$3:$Q$6,2,FALSE)),"")</f>
        <v/>
      </c>
      <c r="AH137" s="197"/>
      <c r="AI137" s="499" t="str">
        <f>IF(AH137="","",IF(VLOOKUP(AH137,'G-3 Multipliers'!$S$3:$T$6,2,FALSE)=0,"Spatial Data Missing ⚠",VLOOKUP(AH137,'G-3 Multipliers'!$S$3:$T$6,2,FALSE)))</f>
        <v/>
      </c>
      <c r="AJ137" s="545" t="str">
        <f t="shared" si="15"/>
        <v/>
      </c>
      <c r="AK137" s="149"/>
      <c r="AL137" s="150"/>
      <c r="AP137" s="31" t="str">
        <f>IFERROR(INDEX('G-6 Hedgerow Data'!$BJ$3:$BJ$15,MATCH(M137,'G-6 Hedgerow Data'!$B$3:$B$15,0)),"")</f>
        <v/>
      </c>
    </row>
    <row r="138" spans="2:42" ht="13.8" x14ac:dyDescent="0.25">
      <c r="B138" s="531" t="str">
        <f>'E-1 Off Site Hedge Baseline'!AK136</f>
        <v/>
      </c>
      <c r="C138" s="520" t="str">
        <f>IF(B138="","",IF(ISNA(VLOOKUP($B138,'E-1 Off Site Hedge Baseline'!$B$1:$L$257,3,FALSE)),"",(VLOOKUP($B138,'E-1 Off Site Hedge Baseline'!$B$1:$L$257,3,FALSE))))</f>
        <v/>
      </c>
      <c r="D138" s="520" t="str">
        <f>IF(B138="","",IF(ISNA(VLOOKUP($B138,'E-1 Off Site Hedge Baseline'!$B$1:$L$258,4,FALSE)),"",(VLOOKUP($B138,'E-1 Off Site Hedge Baseline'!$B$1:$L$258,4,FALSE))))</f>
        <v/>
      </c>
      <c r="E138" s="520" t="str">
        <f>IF(B138="","",IF(ISNA(VLOOKUP($B138,'E-1 Off Site Hedge Baseline'!$B$1:$L$257,5,FALSE)),"",(VLOOKUP($B138,'E-1 Off Site Hedge Baseline'!$B$1:$L$257,5,FALSE))))</f>
        <v/>
      </c>
      <c r="F138" s="520" t="str">
        <f>IF(B138="","",IF(ISNA(VLOOKUP($B138,'E-1 Off Site Hedge Baseline'!$B$1:$L$257,6,FALSE)),"",(VLOOKUP($B138,'E-1 Off Site Hedge Baseline'!$B$1:$L$257,6,FALSE))))</f>
        <v/>
      </c>
      <c r="G138" s="520" t="str">
        <f>IF(B138="","",IF(ISNA(VLOOKUP($B138,'E-1 Off Site Hedge Baseline'!$B$1:$L$257,7,FALSE)),"",(VLOOKUP($B138,'E-1 Off Site Hedge Baseline'!$B$1:$L$257,7,FALSE))))</f>
        <v/>
      </c>
      <c r="H138" s="520" t="str">
        <f>IF(B138="","",IF(ISNA(VLOOKUP($B138,'E-1 Off Site Hedge Baseline'!$B$1:$L$257,8,FALSE)),"",(VLOOKUP($B138,'E-1 Off Site Hedge Baseline'!$B$1:$L$257,8,FALSE))))</f>
        <v/>
      </c>
      <c r="I138" s="520" t="str">
        <f>IF(B138="","",IF(ISNA(VLOOKUP($B138,'E-1 Off Site Hedge Baseline'!$B$1:$L$257,10,FALSE)),"",(VLOOKUP($B138,'E-1 Off Site Hedge Baseline'!$B$1:$L$257,10,FALSE))))</f>
        <v/>
      </c>
      <c r="J138" s="520" t="str">
        <f>IF(B138="","",IF(ISNA(VLOOKUP($B138,'E-1 Off Site Hedge Baseline'!$B$1:$L$257,11,FALSE)),"",(VLOOKUP($B138,'E-1 Off Site Hedge Baseline'!$B$1:$L$257,11,FALSE))))</f>
        <v/>
      </c>
      <c r="K138" s="520" t="str">
        <f>IF(B138="","",IF(ISNA(VLOOKUP($B138,'E-1 Off Site Hedge Baseline'!$B$1:$U$257,113,FALSE)),"",(VLOOKUP($B138,'E-1 Off Site Hedge Baseline'!$B$1:$U$257,13,FALSE))))</f>
        <v/>
      </c>
      <c r="L138" s="507" t="str">
        <f>IF(B138="","",IF(ISNA(VLOOKUP($B138,'E-1 Off Site Hedge Baseline'!$B$1:$U$257,12,FALSE)),"",(VLOOKUP($B138,'E-1 Off Site Hedge Baseline'!$B$1:$U$257,12,FALSE))))</f>
        <v/>
      </c>
      <c r="M138" s="418" t="str">
        <f t="shared" si="16"/>
        <v/>
      </c>
      <c r="N138" s="498" t="str">
        <f>IFERROR(IF(B138="","",INDEX('G-6 Hedgerow Data'!$AN$3:$AZ$15,MATCH(C138,'G-6 Hedgerow Data'!$AM$3:$AM$15,0),MATCH(M138,'G-6 Hedgerow Data'!$AN$2:$AZ$2,0))),"")</f>
        <v/>
      </c>
      <c r="O138" s="499" t="str">
        <f t="shared" si="10"/>
        <v/>
      </c>
      <c r="P138" s="505" t="str">
        <f>IF(B138="","",VLOOKUP(B138,'E-1 Off Site Hedge Baseline'!$B$10:T383,16,FALSE))</f>
        <v/>
      </c>
      <c r="Q138" s="498" t="str">
        <f>IF(M138="","",VLOOKUP(M138,'G-6 Hedgerow Data'!$B$2:$AG$15,2,FALSE))</f>
        <v/>
      </c>
      <c r="R138" s="499" t="str">
        <f>IF(M138="","",VLOOKUP(M138,'G-6 Hedgerow Data'!$B$2:$AG$15,3,FALSE))</f>
        <v/>
      </c>
      <c r="S138" s="145"/>
      <c r="T138" s="499" t="str">
        <f>IFERROR(IF(AND(Q138="V.Low",OR(S138="Good",S138="Moderate")),"Error ▲",VLOOKUP(S138,'G-1 All Habitats'!$Z$2:$AA$9,2,FALSE)),"")</f>
        <v/>
      </c>
      <c r="U138" s="145"/>
      <c r="V138" s="507" t="str">
        <f>IF(U138="","",IF(VLOOKUP(U138,'G-3 Multipliers'!$L$3:$N$6,2,FALSE)=0,"Spatial Data Missing ⚠",VLOOKUP(U138,'G-3 Multipliers'!$L$3:$N$6,2,FALSE)))</f>
        <v/>
      </c>
      <c r="W138" s="505"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9"/>
        <v/>
      </c>
      <c r="AD138" s="537" t="str">
        <f>IF(M138="","",VLOOKUP(M138,'G-6 Hedgerow Data'!$B$3:$AG$15,31,FALSE))</f>
        <v/>
      </c>
      <c r="AE138" s="520" t="str">
        <f t="shared" si="13"/>
        <v/>
      </c>
      <c r="AF138" s="520" t="str">
        <f t="shared" si="14"/>
        <v/>
      </c>
      <c r="AG138" s="524" t="str">
        <f>IFERROR(IF(O138="","",VLOOKUP(AD138,'G-3 Multipliers'!$P$3:$Q$6,2,FALSE)),"")</f>
        <v/>
      </c>
      <c r="AH138" s="197"/>
      <c r="AI138" s="499" t="str">
        <f>IF(AH138="","",IF(VLOOKUP(AH138,'G-3 Multipliers'!$S$3:$T$6,2,FALSE)=0,"Spatial Data Missing ⚠",VLOOKUP(AH138,'G-3 Multipliers'!$S$3:$T$6,2,FALSE)))</f>
        <v/>
      </c>
      <c r="AJ138" s="545" t="str">
        <f t="shared" si="15"/>
        <v/>
      </c>
      <c r="AK138" s="149"/>
      <c r="AL138" s="150"/>
      <c r="AP138" s="31" t="str">
        <f>IFERROR(INDEX('G-6 Hedgerow Data'!$BJ$3:$BJ$15,MATCH(M138,'G-6 Hedgerow Data'!$B$3:$B$15,0)),"")</f>
        <v/>
      </c>
    </row>
    <row r="139" spans="2:42" ht="13.8" x14ac:dyDescent="0.25">
      <c r="B139" s="531" t="str">
        <f>'E-1 Off Site Hedge Baseline'!AK137</f>
        <v/>
      </c>
      <c r="C139" s="520" t="str">
        <f>IF(B139="","",IF(ISNA(VLOOKUP($B139,'E-1 Off Site Hedge Baseline'!$B$1:$L$257,3,FALSE)),"",(VLOOKUP($B139,'E-1 Off Site Hedge Baseline'!$B$1:$L$257,3,FALSE))))</f>
        <v/>
      </c>
      <c r="D139" s="520" t="str">
        <f>IF(B139="","",IF(ISNA(VLOOKUP($B139,'E-1 Off Site Hedge Baseline'!$B$1:$L$258,4,FALSE)),"",(VLOOKUP($B139,'E-1 Off Site Hedge Baseline'!$B$1:$L$258,4,FALSE))))</f>
        <v/>
      </c>
      <c r="E139" s="520" t="str">
        <f>IF(B139="","",IF(ISNA(VLOOKUP($B139,'E-1 Off Site Hedge Baseline'!$B$1:$L$257,5,FALSE)),"",(VLOOKUP($B139,'E-1 Off Site Hedge Baseline'!$B$1:$L$257,5,FALSE))))</f>
        <v/>
      </c>
      <c r="F139" s="520" t="str">
        <f>IF(B139="","",IF(ISNA(VLOOKUP($B139,'E-1 Off Site Hedge Baseline'!$B$1:$L$257,6,FALSE)),"",(VLOOKUP($B139,'E-1 Off Site Hedge Baseline'!$B$1:$L$257,6,FALSE))))</f>
        <v/>
      </c>
      <c r="G139" s="520" t="str">
        <f>IF(B139="","",IF(ISNA(VLOOKUP($B139,'E-1 Off Site Hedge Baseline'!$B$1:$L$257,7,FALSE)),"",(VLOOKUP($B139,'E-1 Off Site Hedge Baseline'!$B$1:$L$257,7,FALSE))))</f>
        <v/>
      </c>
      <c r="H139" s="520" t="str">
        <f>IF(B139="","",IF(ISNA(VLOOKUP($B139,'E-1 Off Site Hedge Baseline'!$B$1:$L$257,8,FALSE)),"",(VLOOKUP($B139,'E-1 Off Site Hedge Baseline'!$B$1:$L$257,8,FALSE))))</f>
        <v/>
      </c>
      <c r="I139" s="520" t="str">
        <f>IF(B139="","",IF(ISNA(VLOOKUP($B139,'E-1 Off Site Hedge Baseline'!$B$1:$L$257,10,FALSE)),"",(VLOOKUP($B139,'E-1 Off Site Hedge Baseline'!$B$1:$L$257,10,FALSE))))</f>
        <v/>
      </c>
      <c r="J139" s="520" t="str">
        <f>IF(B139="","",IF(ISNA(VLOOKUP($B139,'E-1 Off Site Hedge Baseline'!$B$1:$L$257,11,FALSE)),"",(VLOOKUP($B139,'E-1 Off Site Hedge Baseline'!$B$1:$L$257,11,FALSE))))</f>
        <v/>
      </c>
      <c r="K139" s="520" t="str">
        <f>IF(B139="","",IF(ISNA(VLOOKUP($B139,'E-1 Off Site Hedge Baseline'!$B$1:$U$257,113,FALSE)),"",(VLOOKUP($B139,'E-1 Off Site Hedge Baseline'!$B$1:$U$257,13,FALSE))))</f>
        <v/>
      </c>
      <c r="L139" s="507" t="str">
        <f>IF(B139="","",IF(ISNA(VLOOKUP($B139,'E-1 Off Site Hedge Baseline'!$B$1:$U$257,12,FALSE)),"",(VLOOKUP($B139,'E-1 Off Site Hedge Baseline'!$B$1:$U$257,12,FALSE))))</f>
        <v/>
      </c>
      <c r="M139" s="418" t="str">
        <f t="shared" si="16"/>
        <v/>
      </c>
      <c r="N139" s="498" t="str">
        <f>IFERROR(IF(B139="","",INDEX('G-6 Hedgerow Data'!$AN$3:$AZ$15,MATCH(C139,'G-6 Hedgerow Data'!$AM$3:$AM$15,0),MATCH(M139,'G-6 Hedgerow Data'!$AN$2:$AZ$2,0))),"")</f>
        <v/>
      </c>
      <c r="O139" s="499" t="str">
        <f t="shared" si="10"/>
        <v/>
      </c>
      <c r="P139" s="505" t="str">
        <f>IF(B139="","",VLOOKUP(B139,'E-1 Off Site Hedge Baseline'!$B$10:T384,16,FALSE))</f>
        <v/>
      </c>
      <c r="Q139" s="498" t="str">
        <f>IF(M139="","",VLOOKUP(M139,'G-6 Hedgerow Data'!$B$2:$AG$15,2,FALSE))</f>
        <v/>
      </c>
      <c r="R139" s="499" t="str">
        <f>IF(M139="","",VLOOKUP(M139,'G-6 Hedgerow Data'!$B$2:$AG$15,3,FALSE))</f>
        <v/>
      </c>
      <c r="S139" s="145"/>
      <c r="T139" s="499" t="str">
        <f>IFERROR(IF(AND(Q139="V.Low",OR(S139="Good",S139="Moderate")),"Error ▲",VLOOKUP(S139,'G-1 All Habitats'!$Z$2:$AA$9,2,FALSE)),"")</f>
        <v/>
      </c>
      <c r="U139" s="145"/>
      <c r="V139" s="507" t="str">
        <f>IF(U139="","",IF(VLOOKUP(U139,'G-3 Multipliers'!$L$3:$N$6,2,FALSE)=0,"Spatial Data Missing ⚠",VLOOKUP(U139,'G-3 Multipliers'!$L$3:$N$6,2,FALSE)))</f>
        <v/>
      </c>
      <c r="W139" s="505"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9"/>
        <v/>
      </c>
      <c r="AD139" s="537" t="str">
        <f>IF(M139="","",VLOOKUP(M139,'G-6 Hedgerow Data'!$B$3:$AG$15,31,FALSE))</f>
        <v/>
      </c>
      <c r="AE139" s="520" t="str">
        <f t="shared" si="13"/>
        <v/>
      </c>
      <c r="AF139" s="520" t="str">
        <f t="shared" si="14"/>
        <v/>
      </c>
      <c r="AG139" s="524" t="str">
        <f>IFERROR(IF(O139="","",VLOOKUP(AD139,'G-3 Multipliers'!$P$3:$Q$6,2,FALSE)),"")</f>
        <v/>
      </c>
      <c r="AH139" s="197"/>
      <c r="AI139" s="499" t="str">
        <f>IF(AH139="","",IF(VLOOKUP(AH139,'G-3 Multipliers'!$S$3:$T$6,2,FALSE)=0,"Spatial Data Missing ⚠",VLOOKUP(AH139,'G-3 Multipliers'!$S$3:$T$6,2,FALSE)))</f>
        <v/>
      </c>
      <c r="AJ139" s="545" t="str">
        <f t="shared" si="15"/>
        <v/>
      </c>
      <c r="AK139" s="149"/>
      <c r="AL139" s="150"/>
      <c r="AP139" s="31" t="str">
        <f>IFERROR(INDEX('G-6 Hedgerow Data'!$BJ$3:$BJ$15,MATCH(M139,'G-6 Hedgerow Data'!$B$3:$B$15,0)),"")</f>
        <v/>
      </c>
    </row>
    <row r="140" spans="2:42" ht="13.8" x14ac:dyDescent="0.25">
      <c r="B140" s="531" t="str">
        <f>'E-1 Off Site Hedge Baseline'!AK138</f>
        <v/>
      </c>
      <c r="C140" s="520" t="str">
        <f>IF(B140="","",IF(ISNA(VLOOKUP($B140,'E-1 Off Site Hedge Baseline'!$B$1:$L$257,3,FALSE)),"",(VLOOKUP($B140,'E-1 Off Site Hedge Baseline'!$B$1:$L$257,3,FALSE))))</f>
        <v/>
      </c>
      <c r="D140" s="520" t="str">
        <f>IF(B140="","",IF(ISNA(VLOOKUP($B140,'E-1 Off Site Hedge Baseline'!$B$1:$L$258,4,FALSE)),"",(VLOOKUP($B140,'E-1 Off Site Hedge Baseline'!$B$1:$L$258,4,FALSE))))</f>
        <v/>
      </c>
      <c r="E140" s="520" t="str">
        <f>IF(B140="","",IF(ISNA(VLOOKUP($B140,'E-1 Off Site Hedge Baseline'!$B$1:$L$257,5,FALSE)),"",(VLOOKUP($B140,'E-1 Off Site Hedge Baseline'!$B$1:$L$257,5,FALSE))))</f>
        <v/>
      </c>
      <c r="F140" s="520" t="str">
        <f>IF(B140="","",IF(ISNA(VLOOKUP($B140,'E-1 Off Site Hedge Baseline'!$B$1:$L$257,6,FALSE)),"",(VLOOKUP($B140,'E-1 Off Site Hedge Baseline'!$B$1:$L$257,6,FALSE))))</f>
        <v/>
      </c>
      <c r="G140" s="520" t="str">
        <f>IF(B140="","",IF(ISNA(VLOOKUP($B140,'E-1 Off Site Hedge Baseline'!$B$1:$L$257,7,FALSE)),"",(VLOOKUP($B140,'E-1 Off Site Hedge Baseline'!$B$1:$L$257,7,FALSE))))</f>
        <v/>
      </c>
      <c r="H140" s="520" t="str">
        <f>IF(B140="","",IF(ISNA(VLOOKUP($B140,'E-1 Off Site Hedge Baseline'!$B$1:$L$257,8,FALSE)),"",(VLOOKUP($B140,'E-1 Off Site Hedge Baseline'!$B$1:$L$257,8,FALSE))))</f>
        <v/>
      </c>
      <c r="I140" s="520" t="str">
        <f>IF(B140="","",IF(ISNA(VLOOKUP($B140,'E-1 Off Site Hedge Baseline'!$B$1:$L$257,10,FALSE)),"",(VLOOKUP($B140,'E-1 Off Site Hedge Baseline'!$B$1:$L$257,10,FALSE))))</f>
        <v/>
      </c>
      <c r="J140" s="520" t="str">
        <f>IF(B140="","",IF(ISNA(VLOOKUP($B140,'E-1 Off Site Hedge Baseline'!$B$1:$L$257,11,FALSE)),"",(VLOOKUP($B140,'E-1 Off Site Hedge Baseline'!$B$1:$L$257,11,FALSE))))</f>
        <v/>
      </c>
      <c r="K140" s="520" t="str">
        <f>IF(B140="","",IF(ISNA(VLOOKUP($B140,'E-1 Off Site Hedge Baseline'!$B$1:$U$257,113,FALSE)),"",(VLOOKUP($B140,'E-1 Off Site Hedge Baseline'!$B$1:$U$257,13,FALSE))))</f>
        <v/>
      </c>
      <c r="L140" s="507" t="str">
        <f>IF(B140="","",IF(ISNA(VLOOKUP($B140,'E-1 Off Site Hedge Baseline'!$B$1:$U$257,12,FALSE)),"",(VLOOKUP($B140,'E-1 Off Site Hedge Baseline'!$B$1:$U$257,12,FALSE))))</f>
        <v/>
      </c>
      <c r="M140" s="418" t="str">
        <f t="shared" si="16"/>
        <v/>
      </c>
      <c r="N140" s="498" t="str">
        <f>IFERROR(IF(B140="","",INDEX('G-6 Hedgerow Data'!$AN$3:$AZ$15,MATCH(C140,'G-6 Hedgerow Data'!$AM$3:$AM$15,0),MATCH(M140,'G-6 Hedgerow Data'!$AN$2:$AZ$2,0))),"")</f>
        <v/>
      </c>
      <c r="O140" s="499" t="str">
        <f t="shared" si="10"/>
        <v/>
      </c>
      <c r="P140" s="505" t="str">
        <f>IF(B140="","",VLOOKUP(B140,'E-1 Off Site Hedge Baseline'!$B$10:T385,16,FALSE))</f>
        <v/>
      </c>
      <c r="Q140" s="498" t="str">
        <f>IF(M140="","",VLOOKUP(M140,'G-6 Hedgerow Data'!$B$2:$AG$15,2,FALSE))</f>
        <v/>
      </c>
      <c r="R140" s="499" t="str">
        <f>IF(M140="","",VLOOKUP(M140,'G-6 Hedgerow Data'!$B$2:$AG$15,3,FALSE))</f>
        <v/>
      </c>
      <c r="S140" s="145"/>
      <c r="T140" s="499" t="str">
        <f>IFERROR(IF(AND(Q140="V.Low",OR(S140="Good",S140="Moderate")),"Error ▲",VLOOKUP(S140,'G-1 All Habitats'!$Z$2:$AA$9,2,FALSE)),"")</f>
        <v/>
      </c>
      <c r="U140" s="145"/>
      <c r="V140" s="507" t="str">
        <f>IF(U140="","",IF(VLOOKUP(U140,'G-3 Multipliers'!$L$3:$N$6,2,FALSE)=0,"Spatial Data Missing ⚠",VLOOKUP(U140,'G-3 Multipliers'!$L$3:$N$6,2,FALSE)))</f>
        <v/>
      </c>
      <c r="W140" s="505"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7">IF(OR(S140="",M140=""),"",IF(LEFT(AB140,5)="Error ▲","Check Data ⚠",IF(AB140="Check Data ⚠","Check Data ⚠",VLOOKUP(AB140,TemporalMultipliers,3,FALSE))))</f>
        <v/>
      </c>
      <c r="AD140" s="537" t="str">
        <f>IF(M140="","",VLOOKUP(M140,'G-6 Hedgerow Data'!$B$3:$AG$15,31,FALSE))</f>
        <v/>
      </c>
      <c r="AE140" s="520" t="str">
        <f t="shared" si="13"/>
        <v/>
      </c>
      <c r="AF140" s="520" t="str">
        <f t="shared" si="14"/>
        <v/>
      </c>
      <c r="AG140" s="524" t="str">
        <f>IFERROR(IF(O140="","",VLOOKUP(AD140,'G-3 Multipliers'!$P$3:$Q$6,2,FALSE)),"")</f>
        <v/>
      </c>
      <c r="AH140" s="197"/>
      <c r="AI140" s="499" t="str">
        <f>IF(AH140="","",IF(VLOOKUP(AH140,'G-3 Multipliers'!$S$3:$T$6,2,FALSE)=0,"Spatial Data Missing ⚠",VLOOKUP(AH140,'G-3 Multipliers'!$S$3:$T$6,2,FALSE)))</f>
        <v/>
      </c>
      <c r="AJ140" s="545" t="str">
        <f t="shared" si="15"/>
        <v/>
      </c>
      <c r="AK140" s="149"/>
      <c r="AL140" s="150"/>
      <c r="AP140" s="31" t="str">
        <f>IFERROR(INDEX('G-6 Hedgerow Data'!$BJ$3:$BJ$15,MATCH(M140,'G-6 Hedgerow Data'!$B$3:$B$15,0)),"")</f>
        <v/>
      </c>
    </row>
    <row r="141" spans="2:42" ht="13.8" x14ac:dyDescent="0.25">
      <c r="B141" s="531" t="str">
        <f>'E-1 Off Site Hedge Baseline'!AK139</f>
        <v/>
      </c>
      <c r="C141" s="520" t="str">
        <f>IF(B141="","",IF(ISNA(VLOOKUP($B141,'E-1 Off Site Hedge Baseline'!$B$1:$L$257,3,FALSE)),"",(VLOOKUP($B141,'E-1 Off Site Hedge Baseline'!$B$1:$L$257,3,FALSE))))</f>
        <v/>
      </c>
      <c r="D141" s="520" t="str">
        <f>IF(B141="","",IF(ISNA(VLOOKUP($B141,'E-1 Off Site Hedge Baseline'!$B$1:$L$258,4,FALSE)),"",(VLOOKUP($B141,'E-1 Off Site Hedge Baseline'!$B$1:$L$258,4,FALSE))))</f>
        <v/>
      </c>
      <c r="E141" s="520" t="str">
        <f>IF(B141="","",IF(ISNA(VLOOKUP($B141,'E-1 Off Site Hedge Baseline'!$B$1:$L$257,5,FALSE)),"",(VLOOKUP($B141,'E-1 Off Site Hedge Baseline'!$B$1:$L$257,5,FALSE))))</f>
        <v/>
      </c>
      <c r="F141" s="520" t="str">
        <f>IF(B141="","",IF(ISNA(VLOOKUP($B141,'E-1 Off Site Hedge Baseline'!$B$1:$L$257,6,FALSE)),"",(VLOOKUP($B141,'E-1 Off Site Hedge Baseline'!$B$1:$L$257,6,FALSE))))</f>
        <v/>
      </c>
      <c r="G141" s="520" t="str">
        <f>IF(B141="","",IF(ISNA(VLOOKUP($B141,'E-1 Off Site Hedge Baseline'!$B$1:$L$257,7,FALSE)),"",(VLOOKUP($B141,'E-1 Off Site Hedge Baseline'!$B$1:$L$257,7,FALSE))))</f>
        <v/>
      </c>
      <c r="H141" s="520" t="str">
        <f>IF(B141="","",IF(ISNA(VLOOKUP($B141,'E-1 Off Site Hedge Baseline'!$B$1:$L$257,8,FALSE)),"",(VLOOKUP($B141,'E-1 Off Site Hedge Baseline'!$B$1:$L$257,8,FALSE))))</f>
        <v/>
      </c>
      <c r="I141" s="520" t="str">
        <f>IF(B141="","",IF(ISNA(VLOOKUP($B141,'E-1 Off Site Hedge Baseline'!$B$1:$L$257,10,FALSE)),"",(VLOOKUP($B141,'E-1 Off Site Hedge Baseline'!$B$1:$L$257,10,FALSE))))</f>
        <v/>
      </c>
      <c r="J141" s="520" t="str">
        <f>IF(B141="","",IF(ISNA(VLOOKUP($B141,'E-1 Off Site Hedge Baseline'!$B$1:$L$257,11,FALSE)),"",(VLOOKUP($B141,'E-1 Off Site Hedge Baseline'!$B$1:$L$257,11,FALSE))))</f>
        <v/>
      </c>
      <c r="K141" s="520" t="str">
        <f>IF(B141="","",IF(ISNA(VLOOKUP($B141,'E-1 Off Site Hedge Baseline'!$B$1:$U$257,113,FALSE)),"",(VLOOKUP($B141,'E-1 Off Site Hedge Baseline'!$B$1:$U$257,13,FALSE))))</f>
        <v/>
      </c>
      <c r="L141" s="507" t="str">
        <f>IF(B141="","",IF(ISNA(VLOOKUP($B141,'E-1 Off Site Hedge Baseline'!$B$1:$U$257,12,FALSE)),"",(VLOOKUP($B141,'E-1 Off Site Hedge Baseline'!$B$1:$U$257,12,FALSE))))</f>
        <v/>
      </c>
      <c r="M141" s="418" t="str">
        <f t="shared" si="16"/>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5" t="str">
        <f>IF(B141="","",VLOOKUP(B141,'E-1 Off Site Hedge Baseline'!$B$10:T386,16,FALSE))</f>
        <v/>
      </c>
      <c r="Q141" s="498" t="str">
        <f>IF(M141="","",VLOOKUP(M141,'G-6 Hedgerow Data'!$B$2:$AG$15,2,FALSE))</f>
        <v/>
      </c>
      <c r="R141" s="499" t="str">
        <f>IF(M141="","",VLOOKUP(M141,'G-6 Hedgerow Data'!$B$2:$AG$15,3,FALSE))</f>
        <v/>
      </c>
      <c r="S141" s="145"/>
      <c r="T141" s="499" t="str">
        <f>IFERROR(IF(AND(Q141="V.Low",OR(S141="Good",S141="Moderate")),"Error ▲",VLOOKUP(S141,'G-1 All Habitats'!$Z$2:$AA$9,2,FALSE)),"")</f>
        <v/>
      </c>
      <c r="U141" s="145"/>
      <c r="V141" s="507" t="str">
        <f>IF(U141="","",IF(VLOOKUP(U141,'G-3 Multipliers'!$L$3:$N$6,2,FALSE)=0,"Spatial Data Missing ⚠",VLOOKUP(U141,'G-3 Multipliers'!$L$3:$N$6,2,FALSE)))</f>
        <v/>
      </c>
      <c r="W141" s="505"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 ⚠",0,IF(Z141="30+","30+ ⚠",IF(X141+Z141&gt;30,"30+ ⚠",IF(LEFT(AA141,5)="Error ▲","Check Data ⚠",IF(X141+Z141-Y141&gt;0,X141+Z141-Y141,IF(X141-Y141&lt;=0,0,))))))))</f>
        <v/>
      </c>
      <c r="AC141" s="522" t="str">
        <f t="shared" si="17"/>
        <v/>
      </c>
      <c r="AD141" s="537" t="str">
        <f>IF(M141="","",VLOOKUP(M141,'G-6 Hedgerow Data'!$B$3:$AG$15,31,FALSE))</f>
        <v/>
      </c>
      <c r="AE141" s="52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20" t="str">
        <f t="shared" ref="AF141:AF204" si="22">(IF(AND(AE141="Yes",X141&gt;Y141),AD141,IF(AND(AE141="Low Difficulty - only applicable if all habitat created before losses ⚠",Y141&gt;=X141),"Low",AD141)))</f>
        <v/>
      </c>
      <c r="AG141" s="524" t="str">
        <f>IFERROR(IF(O141="","",VLOOKUP(AD141,'G-3 Multipliers'!$P$3:$Q$6,2,FALSE)),"")</f>
        <v/>
      </c>
      <c r="AH141" s="197"/>
      <c r="AI141" s="499" t="str">
        <f>IF(AH141="","",IF(VLOOKUP(AH141,'G-3 Multipliers'!$S$3:$T$6,2,FALSE)=0,"Spatial Data Missing ⚠",VLOOKUP(AH141,'G-3 Multipliers'!$S$3:$T$6,2,FALSE)))</f>
        <v/>
      </c>
      <c r="AJ141" s="545" t="str">
        <f t="shared" ref="AJ141:AJ204" si="23">IFERROR(IF(OR(M141="",S141="",U141="",AH141=""),"",(((((P141*R141*T141)-(P141*F141*H141))*(AG141*AC141))+(P141*F141*H141))*(W141)*AI141)),"")</f>
        <v/>
      </c>
      <c r="AK141" s="149"/>
      <c r="AL141" s="150"/>
      <c r="AP141" s="31" t="str">
        <f>IFERROR(INDEX('G-6 Hedgerow Data'!$BJ$3:$BJ$15,MATCH(M141,'G-6 Hedgerow Data'!$B$3:$B$15,0)),"")</f>
        <v/>
      </c>
    </row>
    <row r="142" spans="2:42" ht="13.8" x14ac:dyDescent="0.25">
      <c r="B142" s="531" t="str">
        <f>'E-1 Off Site Hedge Baseline'!AK140</f>
        <v/>
      </c>
      <c r="C142" s="520" t="str">
        <f>IF(B142="","",IF(ISNA(VLOOKUP($B142,'E-1 Off Site Hedge Baseline'!$B$1:$L$257,3,FALSE)),"",(VLOOKUP($B142,'E-1 Off Site Hedge Baseline'!$B$1:$L$257,3,FALSE))))</f>
        <v/>
      </c>
      <c r="D142" s="520" t="str">
        <f>IF(B142="","",IF(ISNA(VLOOKUP($B142,'E-1 Off Site Hedge Baseline'!$B$1:$L$258,4,FALSE)),"",(VLOOKUP($B142,'E-1 Off Site Hedge Baseline'!$B$1:$L$258,4,FALSE))))</f>
        <v/>
      </c>
      <c r="E142" s="520" t="str">
        <f>IF(B142="","",IF(ISNA(VLOOKUP($B142,'E-1 Off Site Hedge Baseline'!$B$1:$L$257,5,FALSE)),"",(VLOOKUP($B142,'E-1 Off Site Hedge Baseline'!$B$1:$L$257,5,FALSE))))</f>
        <v/>
      </c>
      <c r="F142" s="520" t="str">
        <f>IF(B142="","",IF(ISNA(VLOOKUP($B142,'E-1 Off Site Hedge Baseline'!$B$1:$L$257,6,FALSE)),"",(VLOOKUP($B142,'E-1 Off Site Hedge Baseline'!$B$1:$L$257,6,FALSE))))</f>
        <v/>
      </c>
      <c r="G142" s="520" t="str">
        <f>IF(B142="","",IF(ISNA(VLOOKUP($B142,'E-1 Off Site Hedge Baseline'!$B$1:$L$257,7,FALSE)),"",(VLOOKUP($B142,'E-1 Off Site Hedge Baseline'!$B$1:$L$257,7,FALSE))))</f>
        <v/>
      </c>
      <c r="H142" s="520" t="str">
        <f>IF(B142="","",IF(ISNA(VLOOKUP($B142,'E-1 Off Site Hedge Baseline'!$B$1:$L$257,8,FALSE)),"",(VLOOKUP($B142,'E-1 Off Site Hedge Baseline'!$B$1:$L$257,8,FALSE))))</f>
        <v/>
      </c>
      <c r="I142" s="520" t="str">
        <f>IF(B142="","",IF(ISNA(VLOOKUP($B142,'E-1 Off Site Hedge Baseline'!$B$1:$L$257,10,FALSE)),"",(VLOOKUP($B142,'E-1 Off Site Hedge Baseline'!$B$1:$L$257,10,FALSE))))</f>
        <v/>
      </c>
      <c r="J142" s="520" t="str">
        <f>IF(B142="","",IF(ISNA(VLOOKUP($B142,'E-1 Off Site Hedge Baseline'!$B$1:$L$257,11,FALSE)),"",(VLOOKUP($B142,'E-1 Off Site Hedge Baseline'!$B$1:$L$257,11,FALSE))))</f>
        <v/>
      </c>
      <c r="K142" s="520" t="str">
        <f>IF(B142="","",IF(ISNA(VLOOKUP($B142,'E-1 Off Site Hedge Baseline'!$B$1:$U$257,113,FALSE)),"",(VLOOKUP($B142,'E-1 Off Site Hedge Baseline'!$B$1:$U$257,13,FALSE))))</f>
        <v/>
      </c>
      <c r="L142" s="507" t="str">
        <f>IF(B142="","",IF(ISNA(VLOOKUP($B142,'E-1 Off Site Hedge Baseline'!$B$1:$U$257,12,FALSE)),"",(VLOOKUP($B142,'E-1 Off Site Hedge Baseline'!$B$1:$U$257,12,FALSE))))</f>
        <v/>
      </c>
      <c r="M142" s="418" t="str">
        <f t="shared" ref="M142:M205" si="24">C142</f>
        <v/>
      </c>
      <c r="N142" s="498" t="str">
        <f>IFERROR(IF(B142="","",INDEX('G-6 Hedgerow Data'!$AN$3:$AZ$15,MATCH(C142,'G-6 Hedgerow Data'!$AM$3:$AM$15,0),MATCH(M142,'G-6 Hedgerow Data'!$AN$2:$AZ$2,0))),"")</f>
        <v/>
      </c>
      <c r="O142" s="499" t="str">
        <f t="shared" si="18"/>
        <v/>
      </c>
      <c r="P142" s="505" t="str">
        <f>IF(B142="","",VLOOKUP(B142,'E-1 Off Site Hedge Baseline'!$B$10:T387,16,FALSE))</f>
        <v/>
      </c>
      <c r="Q142" s="498" t="str">
        <f>IF(M142="","",VLOOKUP(M142,'G-6 Hedgerow Data'!$B$2:$AG$15,2,FALSE))</f>
        <v/>
      </c>
      <c r="R142" s="499" t="str">
        <f>IF(M142="","",VLOOKUP(M142,'G-6 Hedgerow Data'!$B$2:$AG$15,3,FALSE))</f>
        <v/>
      </c>
      <c r="S142" s="145"/>
      <c r="T142" s="499" t="str">
        <f>IFERROR(IF(AND(Q142="V.Low",OR(S142="Good",S142="Moderate")),"Error ▲",VLOOKUP(S142,'G-1 All Habitats'!$Z$2:$AA$9,2,FALSE)),"")</f>
        <v/>
      </c>
      <c r="U142" s="145"/>
      <c r="V142" s="507" t="str">
        <f>IF(U142="","",IF(VLOOKUP(U142,'G-3 Multipliers'!$L$3:$N$6,2,FALSE)=0,"Spatial Data Missing ⚠",VLOOKUP(U142,'G-3 Multipliers'!$L$3:$N$6,2,FALSE)))</f>
        <v/>
      </c>
      <c r="W142" s="505"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7"/>
        <v/>
      </c>
      <c r="AD142" s="537" t="str">
        <f>IF(M142="","",VLOOKUP(M142,'G-6 Hedgerow Data'!$B$3:$AG$15,31,FALSE))</f>
        <v/>
      </c>
      <c r="AE142" s="520" t="str">
        <f t="shared" si="21"/>
        <v/>
      </c>
      <c r="AF142" s="520" t="str">
        <f t="shared" si="22"/>
        <v/>
      </c>
      <c r="AG142" s="524" t="str">
        <f>IFERROR(IF(O142="","",VLOOKUP(AD142,'G-3 Multipliers'!$P$3:$Q$6,2,FALSE)),"")</f>
        <v/>
      </c>
      <c r="AH142" s="197"/>
      <c r="AI142" s="499" t="str">
        <f>IF(AH142="","",IF(VLOOKUP(AH142,'G-3 Multipliers'!$S$3:$T$6,2,FALSE)=0,"Spatial Data Missing ⚠",VLOOKUP(AH142,'G-3 Multipliers'!$S$3:$T$6,2,FALSE)))</f>
        <v/>
      </c>
      <c r="AJ142" s="545" t="str">
        <f t="shared" si="23"/>
        <v/>
      </c>
      <c r="AK142" s="149"/>
      <c r="AL142" s="150"/>
      <c r="AP142" s="31" t="str">
        <f>IFERROR(INDEX('G-6 Hedgerow Data'!$BJ$3:$BJ$15,MATCH(M142,'G-6 Hedgerow Data'!$B$3:$B$15,0)),"")</f>
        <v/>
      </c>
    </row>
    <row r="143" spans="2:42" ht="13.8" x14ac:dyDescent="0.25">
      <c r="B143" s="531" t="str">
        <f>'E-1 Off Site Hedge Baseline'!AK141</f>
        <v/>
      </c>
      <c r="C143" s="520" t="str">
        <f>IF(B143="","",IF(ISNA(VLOOKUP($B143,'E-1 Off Site Hedge Baseline'!$B$1:$L$257,3,FALSE)),"",(VLOOKUP($B143,'E-1 Off Site Hedge Baseline'!$B$1:$L$257,3,FALSE))))</f>
        <v/>
      </c>
      <c r="D143" s="520" t="str">
        <f>IF(B143="","",IF(ISNA(VLOOKUP($B143,'E-1 Off Site Hedge Baseline'!$B$1:$L$258,4,FALSE)),"",(VLOOKUP($B143,'E-1 Off Site Hedge Baseline'!$B$1:$L$258,4,FALSE))))</f>
        <v/>
      </c>
      <c r="E143" s="520" t="str">
        <f>IF(B143="","",IF(ISNA(VLOOKUP($B143,'E-1 Off Site Hedge Baseline'!$B$1:$L$257,5,FALSE)),"",(VLOOKUP($B143,'E-1 Off Site Hedge Baseline'!$B$1:$L$257,5,FALSE))))</f>
        <v/>
      </c>
      <c r="F143" s="520" t="str">
        <f>IF(B143="","",IF(ISNA(VLOOKUP($B143,'E-1 Off Site Hedge Baseline'!$B$1:$L$257,6,FALSE)),"",(VLOOKUP($B143,'E-1 Off Site Hedge Baseline'!$B$1:$L$257,6,FALSE))))</f>
        <v/>
      </c>
      <c r="G143" s="520" t="str">
        <f>IF(B143="","",IF(ISNA(VLOOKUP($B143,'E-1 Off Site Hedge Baseline'!$B$1:$L$257,7,FALSE)),"",(VLOOKUP($B143,'E-1 Off Site Hedge Baseline'!$B$1:$L$257,7,FALSE))))</f>
        <v/>
      </c>
      <c r="H143" s="520" t="str">
        <f>IF(B143="","",IF(ISNA(VLOOKUP($B143,'E-1 Off Site Hedge Baseline'!$B$1:$L$257,8,FALSE)),"",(VLOOKUP($B143,'E-1 Off Site Hedge Baseline'!$B$1:$L$257,8,FALSE))))</f>
        <v/>
      </c>
      <c r="I143" s="520" t="str">
        <f>IF(B143="","",IF(ISNA(VLOOKUP($B143,'E-1 Off Site Hedge Baseline'!$B$1:$L$257,10,FALSE)),"",(VLOOKUP($B143,'E-1 Off Site Hedge Baseline'!$B$1:$L$257,10,FALSE))))</f>
        <v/>
      </c>
      <c r="J143" s="520" t="str">
        <f>IF(B143="","",IF(ISNA(VLOOKUP($B143,'E-1 Off Site Hedge Baseline'!$B$1:$L$257,11,FALSE)),"",(VLOOKUP($B143,'E-1 Off Site Hedge Baseline'!$B$1:$L$257,11,FALSE))))</f>
        <v/>
      </c>
      <c r="K143" s="520" t="str">
        <f>IF(B143="","",IF(ISNA(VLOOKUP($B143,'E-1 Off Site Hedge Baseline'!$B$1:$U$257,113,FALSE)),"",(VLOOKUP($B143,'E-1 Off Site Hedge Baseline'!$B$1:$U$257,13,FALSE))))</f>
        <v/>
      </c>
      <c r="L143" s="507" t="str">
        <f>IF(B143="","",IF(ISNA(VLOOKUP($B143,'E-1 Off Site Hedge Baseline'!$B$1:$U$257,12,FALSE)),"",(VLOOKUP($B143,'E-1 Off Site Hedge Baseline'!$B$1:$U$257,12,FALSE))))</f>
        <v/>
      </c>
      <c r="M143" s="418" t="str">
        <f t="shared" si="24"/>
        <v/>
      </c>
      <c r="N143" s="498" t="str">
        <f>IFERROR(IF(B143="","",INDEX('G-6 Hedgerow Data'!$AN$3:$AZ$15,MATCH(C143,'G-6 Hedgerow Data'!$AM$3:$AM$15,0),MATCH(M143,'G-6 Hedgerow Data'!$AN$2:$AZ$2,0))),"")</f>
        <v/>
      </c>
      <c r="O143" s="499" t="str">
        <f t="shared" si="18"/>
        <v/>
      </c>
      <c r="P143" s="505" t="str">
        <f>IF(B143="","",VLOOKUP(B143,'E-1 Off Site Hedge Baseline'!$B$10:T388,16,FALSE))</f>
        <v/>
      </c>
      <c r="Q143" s="498" t="str">
        <f>IF(M143="","",VLOOKUP(M143,'G-6 Hedgerow Data'!$B$2:$AG$15,2,FALSE))</f>
        <v/>
      </c>
      <c r="R143" s="499" t="str">
        <f>IF(M143="","",VLOOKUP(M143,'G-6 Hedgerow Data'!$B$2:$AG$15,3,FALSE))</f>
        <v/>
      </c>
      <c r="S143" s="145"/>
      <c r="T143" s="499" t="str">
        <f>IFERROR(IF(AND(Q143="V.Low",OR(S143="Good",S143="Moderate")),"Error ▲",VLOOKUP(S143,'G-1 All Habitats'!$Z$2:$AA$9,2,FALSE)),"")</f>
        <v/>
      </c>
      <c r="U143" s="145"/>
      <c r="V143" s="507" t="str">
        <f>IF(U143="","",IF(VLOOKUP(U143,'G-3 Multipliers'!$L$3:$N$6,2,FALSE)=0,"Spatial Data Missing ⚠",VLOOKUP(U143,'G-3 Multipliers'!$L$3:$N$6,2,FALSE)))</f>
        <v/>
      </c>
      <c r="W143" s="505"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7"/>
        <v/>
      </c>
      <c r="AD143" s="537" t="str">
        <f>IF(M143="","",VLOOKUP(M143,'G-6 Hedgerow Data'!$B$3:$AG$15,31,FALSE))</f>
        <v/>
      </c>
      <c r="AE143" s="520" t="str">
        <f t="shared" si="21"/>
        <v/>
      </c>
      <c r="AF143" s="520" t="str">
        <f t="shared" si="22"/>
        <v/>
      </c>
      <c r="AG143" s="524" t="str">
        <f>IFERROR(IF(O143="","",VLOOKUP(AD143,'G-3 Multipliers'!$P$3:$Q$6,2,FALSE)),"")</f>
        <v/>
      </c>
      <c r="AH143" s="197"/>
      <c r="AI143" s="499" t="str">
        <f>IF(AH143="","",IF(VLOOKUP(AH143,'G-3 Multipliers'!$S$3:$T$6,2,FALSE)=0,"Spatial Data Missing ⚠",VLOOKUP(AH143,'G-3 Multipliers'!$S$3:$T$6,2,FALSE)))</f>
        <v/>
      </c>
      <c r="AJ143" s="545" t="str">
        <f t="shared" si="23"/>
        <v/>
      </c>
      <c r="AK143" s="149"/>
      <c r="AL143" s="150"/>
      <c r="AP143" s="31" t="str">
        <f>IFERROR(INDEX('G-6 Hedgerow Data'!$BJ$3:$BJ$15,MATCH(M143,'G-6 Hedgerow Data'!$B$3:$B$15,0)),"")</f>
        <v/>
      </c>
    </row>
    <row r="144" spans="2:42" ht="13.8" x14ac:dyDescent="0.25">
      <c r="B144" s="531" t="str">
        <f>'E-1 Off Site Hedge Baseline'!AK142</f>
        <v/>
      </c>
      <c r="C144" s="520" t="str">
        <f>IF(B144="","",IF(ISNA(VLOOKUP($B144,'E-1 Off Site Hedge Baseline'!$B$1:$L$257,3,FALSE)),"",(VLOOKUP($B144,'E-1 Off Site Hedge Baseline'!$B$1:$L$257,3,FALSE))))</f>
        <v/>
      </c>
      <c r="D144" s="520" t="str">
        <f>IF(B144="","",IF(ISNA(VLOOKUP($B144,'E-1 Off Site Hedge Baseline'!$B$1:$L$258,4,FALSE)),"",(VLOOKUP($B144,'E-1 Off Site Hedge Baseline'!$B$1:$L$258,4,FALSE))))</f>
        <v/>
      </c>
      <c r="E144" s="520" t="str">
        <f>IF(B144="","",IF(ISNA(VLOOKUP($B144,'E-1 Off Site Hedge Baseline'!$B$1:$L$257,5,FALSE)),"",(VLOOKUP($B144,'E-1 Off Site Hedge Baseline'!$B$1:$L$257,5,FALSE))))</f>
        <v/>
      </c>
      <c r="F144" s="520" t="str">
        <f>IF(B144="","",IF(ISNA(VLOOKUP($B144,'E-1 Off Site Hedge Baseline'!$B$1:$L$257,6,FALSE)),"",(VLOOKUP($B144,'E-1 Off Site Hedge Baseline'!$B$1:$L$257,6,FALSE))))</f>
        <v/>
      </c>
      <c r="G144" s="520" t="str">
        <f>IF(B144="","",IF(ISNA(VLOOKUP($B144,'E-1 Off Site Hedge Baseline'!$B$1:$L$257,7,FALSE)),"",(VLOOKUP($B144,'E-1 Off Site Hedge Baseline'!$B$1:$L$257,7,FALSE))))</f>
        <v/>
      </c>
      <c r="H144" s="520" t="str">
        <f>IF(B144="","",IF(ISNA(VLOOKUP($B144,'E-1 Off Site Hedge Baseline'!$B$1:$L$257,8,FALSE)),"",(VLOOKUP($B144,'E-1 Off Site Hedge Baseline'!$B$1:$L$257,8,FALSE))))</f>
        <v/>
      </c>
      <c r="I144" s="520" t="str">
        <f>IF(B144="","",IF(ISNA(VLOOKUP($B144,'E-1 Off Site Hedge Baseline'!$B$1:$L$257,10,FALSE)),"",(VLOOKUP($B144,'E-1 Off Site Hedge Baseline'!$B$1:$L$257,10,FALSE))))</f>
        <v/>
      </c>
      <c r="J144" s="520" t="str">
        <f>IF(B144="","",IF(ISNA(VLOOKUP($B144,'E-1 Off Site Hedge Baseline'!$B$1:$L$257,11,FALSE)),"",(VLOOKUP($B144,'E-1 Off Site Hedge Baseline'!$B$1:$L$257,11,FALSE))))</f>
        <v/>
      </c>
      <c r="K144" s="520" t="str">
        <f>IF(B144="","",IF(ISNA(VLOOKUP($B144,'E-1 Off Site Hedge Baseline'!$B$1:$U$257,113,FALSE)),"",(VLOOKUP($B144,'E-1 Off Site Hedge Baseline'!$B$1:$U$257,13,FALSE))))</f>
        <v/>
      </c>
      <c r="L144" s="507" t="str">
        <f>IF(B144="","",IF(ISNA(VLOOKUP($B144,'E-1 Off Site Hedge Baseline'!$B$1:$U$257,12,FALSE)),"",(VLOOKUP($B144,'E-1 Off Site Hedge Baseline'!$B$1:$U$257,12,FALSE))))</f>
        <v/>
      </c>
      <c r="M144" s="418" t="str">
        <f t="shared" si="24"/>
        <v/>
      </c>
      <c r="N144" s="498" t="str">
        <f>IFERROR(IF(B144="","",INDEX('G-6 Hedgerow Data'!$AN$3:$AZ$15,MATCH(C144,'G-6 Hedgerow Data'!$AM$3:$AM$15,0),MATCH(M144,'G-6 Hedgerow Data'!$AN$2:$AZ$2,0))),"")</f>
        <v/>
      </c>
      <c r="O144" s="499" t="str">
        <f t="shared" si="18"/>
        <v/>
      </c>
      <c r="P144" s="505" t="str">
        <f>IF(B144="","",VLOOKUP(B144,'E-1 Off Site Hedge Baseline'!$B$10:T389,16,FALSE))</f>
        <v/>
      </c>
      <c r="Q144" s="498" t="str">
        <f>IF(M144="","",VLOOKUP(M144,'G-6 Hedgerow Data'!$B$2:$AG$15,2,FALSE))</f>
        <v/>
      </c>
      <c r="R144" s="499" t="str">
        <f>IF(M144="","",VLOOKUP(M144,'G-6 Hedgerow Data'!$B$2:$AG$15,3,FALSE))</f>
        <v/>
      </c>
      <c r="S144" s="145"/>
      <c r="T144" s="499" t="str">
        <f>IFERROR(IF(AND(Q144="V.Low",OR(S144="Good",S144="Moderate")),"Error ▲",VLOOKUP(S144,'G-1 All Habitats'!$Z$2:$AA$9,2,FALSE)),"")</f>
        <v/>
      </c>
      <c r="U144" s="145"/>
      <c r="V144" s="507" t="str">
        <f>IF(U144="","",IF(VLOOKUP(U144,'G-3 Multipliers'!$L$3:$N$6,2,FALSE)=0,"Spatial Data Missing ⚠",VLOOKUP(U144,'G-3 Multipliers'!$L$3:$N$6,2,FALSE)))</f>
        <v/>
      </c>
      <c r="W144" s="505"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7"/>
        <v/>
      </c>
      <c r="AD144" s="537" t="str">
        <f>IF(M144="","",VLOOKUP(M144,'G-6 Hedgerow Data'!$B$3:$AG$15,31,FALSE))</f>
        <v/>
      </c>
      <c r="AE144" s="520" t="str">
        <f t="shared" si="21"/>
        <v/>
      </c>
      <c r="AF144" s="520" t="str">
        <f t="shared" si="22"/>
        <v/>
      </c>
      <c r="AG144" s="524" t="str">
        <f>IFERROR(IF(O144="","",VLOOKUP(AD144,'G-3 Multipliers'!$P$3:$Q$6,2,FALSE)),"")</f>
        <v/>
      </c>
      <c r="AH144" s="197"/>
      <c r="AI144" s="499" t="str">
        <f>IF(AH144="","",IF(VLOOKUP(AH144,'G-3 Multipliers'!$S$3:$T$6,2,FALSE)=0,"Spatial Data Missing ⚠",VLOOKUP(AH144,'G-3 Multipliers'!$S$3:$T$6,2,FALSE)))</f>
        <v/>
      </c>
      <c r="AJ144" s="545" t="str">
        <f t="shared" si="23"/>
        <v/>
      </c>
      <c r="AK144" s="149"/>
      <c r="AL144" s="150"/>
      <c r="AP144" s="31" t="str">
        <f>IFERROR(INDEX('G-6 Hedgerow Data'!$BJ$3:$BJ$15,MATCH(M144,'G-6 Hedgerow Data'!$B$3:$B$15,0)),"")</f>
        <v/>
      </c>
    </row>
    <row r="145" spans="2:42" ht="13.8" x14ac:dyDescent="0.25">
      <c r="B145" s="531" t="str">
        <f>'E-1 Off Site Hedge Baseline'!AK143</f>
        <v/>
      </c>
      <c r="C145" s="520" t="str">
        <f>IF(B145="","",IF(ISNA(VLOOKUP($B145,'E-1 Off Site Hedge Baseline'!$B$1:$L$257,3,FALSE)),"",(VLOOKUP($B145,'E-1 Off Site Hedge Baseline'!$B$1:$L$257,3,FALSE))))</f>
        <v/>
      </c>
      <c r="D145" s="520" t="str">
        <f>IF(B145="","",IF(ISNA(VLOOKUP($B145,'E-1 Off Site Hedge Baseline'!$B$1:$L$258,4,FALSE)),"",(VLOOKUP($B145,'E-1 Off Site Hedge Baseline'!$B$1:$L$258,4,FALSE))))</f>
        <v/>
      </c>
      <c r="E145" s="520" t="str">
        <f>IF(B145="","",IF(ISNA(VLOOKUP($B145,'E-1 Off Site Hedge Baseline'!$B$1:$L$257,5,FALSE)),"",(VLOOKUP($B145,'E-1 Off Site Hedge Baseline'!$B$1:$L$257,5,FALSE))))</f>
        <v/>
      </c>
      <c r="F145" s="520" t="str">
        <f>IF(B145="","",IF(ISNA(VLOOKUP($B145,'E-1 Off Site Hedge Baseline'!$B$1:$L$257,6,FALSE)),"",(VLOOKUP($B145,'E-1 Off Site Hedge Baseline'!$B$1:$L$257,6,FALSE))))</f>
        <v/>
      </c>
      <c r="G145" s="520" t="str">
        <f>IF(B145="","",IF(ISNA(VLOOKUP($B145,'E-1 Off Site Hedge Baseline'!$B$1:$L$257,7,FALSE)),"",(VLOOKUP($B145,'E-1 Off Site Hedge Baseline'!$B$1:$L$257,7,FALSE))))</f>
        <v/>
      </c>
      <c r="H145" s="520" t="str">
        <f>IF(B145="","",IF(ISNA(VLOOKUP($B145,'E-1 Off Site Hedge Baseline'!$B$1:$L$257,8,FALSE)),"",(VLOOKUP($B145,'E-1 Off Site Hedge Baseline'!$B$1:$L$257,8,FALSE))))</f>
        <v/>
      </c>
      <c r="I145" s="520" t="str">
        <f>IF(B145="","",IF(ISNA(VLOOKUP($B145,'E-1 Off Site Hedge Baseline'!$B$1:$L$257,10,FALSE)),"",(VLOOKUP($B145,'E-1 Off Site Hedge Baseline'!$B$1:$L$257,10,FALSE))))</f>
        <v/>
      </c>
      <c r="J145" s="520" t="str">
        <f>IF(B145="","",IF(ISNA(VLOOKUP($B145,'E-1 Off Site Hedge Baseline'!$B$1:$L$257,11,FALSE)),"",(VLOOKUP($B145,'E-1 Off Site Hedge Baseline'!$B$1:$L$257,11,FALSE))))</f>
        <v/>
      </c>
      <c r="K145" s="520" t="str">
        <f>IF(B145="","",IF(ISNA(VLOOKUP($B145,'E-1 Off Site Hedge Baseline'!$B$1:$U$257,113,FALSE)),"",(VLOOKUP($B145,'E-1 Off Site Hedge Baseline'!$B$1:$U$257,13,FALSE))))</f>
        <v/>
      </c>
      <c r="L145" s="507" t="str">
        <f>IF(B145="","",IF(ISNA(VLOOKUP($B145,'E-1 Off Site Hedge Baseline'!$B$1:$U$257,12,FALSE)),"",(VLOOKUP($B145,'E-1 Off Site Hedge Baseline'!$B$1:$U$257,12,FALSE))))</f>
        <v/>
      </c>
      <c r="M145" s="418" t="str">
        <f t="shared" si="24"/>
        <v/>
      </c>
      <c r="N145" s="498" t="str">
        <f>IFERROR(IF(B145="","",INDEX('G-6 Hedgerow Data'!$AN$3:$AZ$15,MATCH(C145,'G-6 Hedgerow Data'!$AM$3:$AM$15,0),MATCH(M145,'G-6 Hedgerow Data'!$AN$2:$AZ$2,0))),"")</f>
        <v/>
      </c>
      <c r="O145" s="499" t="str">
        <f t="shared" si="18"/>
        <v/>
      </c>
      <c r="P145" s="505" t="str">
        <f>IF(B145="","",VLOOKUP(B145,'E-1 Off Site Hedge Baseline'!$B$10:T390,16,FALSE))</f>
        <v/>
      </c>
      <c r="Q145" s="498" t="str">
        <f>IF(M145="","",VLOOKUP(M145,'G-6 Hedgerow Data'!$B$2:$AG$15,2,FALSE))</f>
        <v/>
      </c>
      <c r="R145" s="499" t="str">
        <f>IF(M145="","",VLOOKUP(M145,'G-6 Hedgerow Data'!$B$2:$AG$15,3,FALSE))</f>
        <v/>
      </c>
      <c r="S145" s="145"/>
      <c r="T145" s="499" t="str">
        <f>IFERROR(IF(AND(Q145="V.Low",OR(S145="Good",S145="Moderate")),"Error ▲",VLOOKUP(S145,'G-1 All Habitats'!$Z$2:$AA$9,2,FALSE)),"")</f>
        <v/>
      </c>
      <c r="U145" s="145"/>
      <c r="V145" s="507" t="str">
        <f>IF(U145="","",IF(VLOOKUP(U145,'G-3 Multipliers'!$L$3:$N$6,2,FALSE)=0,"Spatial Data Missing ⚠",VLOOKUP(U145,'G-3 Multipliers'!$L$3:$N$6,2,FALSE)))</f>
        <v/>
      </c>
      <c r="W145" s="505"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7"/>
        <v/>
      </c>
      <c r="AD145" s="537" t="str">
        <f>IF(M145="","",VLOOKUP(M145,'G-6 Hedgerow Data'!$B$3:$AG$15,31,FALSE))</f>
        <v/>
      </c>
      <c r="AE145" s="520" t="str">
        <f t="shared" si="21"/>
        <v/>
      </c>
      <c r="AF145" s="520" t="str">
        <f t="shared" si="22"/>
        <v/>
      </c>
      <c r="AG145" s="524" t="str">
        <f>IFERROR(IF(O145="","",VLOOKUP(AD145,'G-3 Multipliers'!$P$3:$Q$6,2,FALSE)),"")</f>
        <v/>
      </c>
      <c r="AH145" s="197"/>
      <c r="AI145" s="499" t="str">
        <f>IF(AH145="","",IF(VLOOKUP(AH145,'G-3 Multipliers'!$S$3:$T$6,2,FALSE)=0,"Spatial Data Missing ⚠",VLOOKUP(AH145,'G-3 Multipliers'!$S$3:$T$6,2,FALSE)))</f>
        <v/>
      </c>
      <c r="AJ145" s="545" t="str">
        <f t="shared" si="23"/>
        <v/>
      </c>
      <c r="AK145" s="149"/>
      <c r="AL145" s="150"/>
      <c r="AP145" s="31" t="str">
        <f>IFERROR(INDEX('G-6 Hedgerow Data'!$BJ$3:$BJ$15,MATCH(M145,'G-6 Hedgerow Data'!$B$3:$B$15,0)),"")</f>
        <v/>
      </c>
    </row>
    <row r="146" spans="2:42" ht="13.8" x14ac:dyDescent="0.25">
      <c r="B146" s="531" t="str">
        <f>'E-1 Off Site Hedge Baseline'!AK144</f>
        <v/>
      </c>
      <c r="C146" s="520" t="str">
        <f>IF(B146="","",IF(ISNA(VLOOKUP($B146,'E-1 Off Site Hedge Baseline'!$B$1:$L$257,3,FALSE)),"",(VLOOKUP($B146,'E-1 Off Site Hedge Baseline'!$B$1:$L$257,3,FALSE))))</f>
        <v/>
      </c>
      <c r="D146" s="520" t="str">
        <f>IF(B146="","",IF(ISNA(VLOOKUP($B146,'E-1 Off Site Hedge Baseline'!$B$1:$L$258,4,FALSE)),"",(VLOOKUP($B146,'E-1 Off Site Hedge Baseline'!$B$1:$L$258,4,FALSE))))</f>
        <v/>
      </c>
      <c r="E146" s="520" t="str">
        <f>IF(B146="","",IF(ISNA(VLOOKUP($B146,'E-1 Off Site Hedge Baseline'!$B$1:$L$257,5,FALSE)),"",(VLOOKUP($B146,'E-1 Off Site Hedge Baseline'!$B$1:$L$257,5,FALSE))))</f>
        <v/>
      </c>
      <c r="F146" s="520" t="str">
        <f>IF(B146="","",IF(ISNA(VLOOKUP($B146,'E-1 Off Site Hedge Baseline'!$B$1:$L$257,6,FALSE)),"",(VLOOKUP($B146,'E-1 Off Site Hedge Baseline'!$B$1:$L$257,6,FALSE))))</f>
        <v/>
      </c>
      <c r="G146" s="520" t="str">
        <f>IF(B146="","",IF(ISNA(VLOOKUP($B146,'E-1 Off Site Hedge Baseline'!$B$1:$L$257,7,FALSE)),"",(VLOOKUP($B146,'E-1 Off Site Hedge Baseline'!$B$1:$L$257,7,FALSE))))</f>
        <v/>
      </c>
      <c r="H146" s="520" t="str">
        <f>IF(B146="","",IF(ISNA(VLOOKUP($B146,'E-1 Off Site Hedge Baseline'!$B$1:$L$257,8,FALSE)),"",(VLOOKUP($B146,'E-1 Off Site Hedge Baseline'!$B$1:$L$257,8,FALSE))))</f>
        <v/>
      </c>
      <c r="I146" s="520" t="str">
        <f>IF(B146="","",IF(ISNA(VLOOKUP($B146,'E-1 Off Site Hedge Baseline'!$B$1:$L$257,10,FALSE)),"",(VLOOKUP($B146,'E-1 Off Site Hedge Baseline'!$B$1:$L$257,10,FALSE))))</f>
        <v/>
      </c>
      <c r="J146" s="520" t="str">
        <f>IF(B146="","",IF(ISNA(VLOOKUP($B146,'E-1 Off Site Hedge Baseline'!$B$1:$L$257,11,FALSE)),"",(VLOOKUP($B146,'E-1 Off Site Hedge Baseline'!$B$1:$L$257,11,FALSE))))</f>
        <v/>
      </c>
      <c r="K146" s="520" t="str">
        <f>IF(B146="","",IF(ISNA(VLOOKUP($B146,'E-1 Off Site Hedge Baseline'!$B$1:$U$257,113,FALSE)),"",(VLOOKUP($B146,'E-1 Off Site Hedge Baseline'!$B$1:$U$257,13,FALSE))))</f>
        <v/>
      </c>
      <c r="L146" s="507" t="str">
        <f>IF(B146="","",IF(ISNA(VLOOKUP($B146,'E-1 Off Site Hedge Baseline'!$B$1:$U$257,12,FALSE)),"",(VLOOKUP($B146,'E-1 Off Site Hedge Baseline'!$B$1:$U$257,12,FALSE))))</f>
        <v/>
      </c>
      <c r="M146" s="418" t="str">
        <f t="shared" si="24"/>
        <v/>
      </c>
      <c r="N146" s="498" t="str">
        <f>IFERROR(IF(B146="","",INDEX('G-6 Hedgerow Data'!$AN$3:$AZ$15,MATCH(C146,'G-6 Hedgerow Data'!$AM$3:$AM$15,0),MATCH(M146,'G-6 Hedgerow Data'!$AN$2:$AZ$2,0))),"")</f>
        <v/>
      </c>
      <c r="O146" s="499" t="str">
        <f t="shared" si="18"/>
        <v/>
      </c>
      <c r="P146" s="505" t="str">
        <f>IF(B146="","",VLOOKUP(B146,'E-1 Off Site Hedge Baseline'!$B$10:T391,16,FALSE))</f>
        <v/>
      </c>
      <c r="Q146" s="498" t="str">
        <f>IF(M146="","",VLOOKUP(M146,'G-6 Hedgerow Data'!$B$2:$AG$15,2,FALSE))</f>
        <v/>
      </c>
      <c r="R146" s="499" t="str">
        <f>IF(M146="","",VLOOKUP(M146,'G-6 Hedgerow Data'!$B$2:$AG$15,3,FALSE))</f>
        <v/>
      </c>
      <c r="S146" s="145"/>
      <c r="T146" s="499" t="str">
        <f>IFERROR(IF(AND(Q146="V.Low",OR(S146="Good",S146="Moderate")),"Error ▲",VLOOKUP(S146,'G-1 All Habitats'!$Z$2:$AA$9,2,FALSE)),"")</f>
        <v/>
      </c>
      <c r="U146" s="145"/>
      <c r="V146" s="507" t="str">
        <f>IF(U146="","",IF(VLOOKUP(U146,'G-3 Multipliers'!$L$3:$N$6,2,FALSE)=0,"Spatial Data Missing ⚠",VLOOKUP(U146,'G-3 Multipliers'!$L$3:$N$6,2,FALSE)))</f>
        <v/>
      </c>
      <c r="W146" s="505"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7"/>
        <v/>
      </c>
      <c r="AD146" s="537" t="str">
        <f>IF(M146="","",VLOOKUP(M146,'G-6 Hedgerow Data'!$B$3:$AG$15,31,FALSE))</f>
        <v/>
      </c>
      <c r="AE146" s="520" t="str">
        <f t="shared" si="21"/>
        <v/>
      </c>
      <c r="AF146" s="520" t="str">
        <f t="shared" si="22"/>
        <v/>
      </c>
      <c r="AG146" s="524" t="str">
        <f>IFERROR(IF(O146="","",VLOOKUP(AD146,'G-3 Multipliers'!$P$3:$Q$6,2,FALSE)),"")</f>
        <v/>
      </c>
      <c r="AH146" s="197"/>
      <c r="AI146" s="499" t="str">
        <f>IF(AH146="","",IF(VLOOKUP(AH146,'G-3 Multipliers'!$S$3:$T$6,2,FALSE)=0,"Spatial Data Missing ⚠",VLOOKUP(AH146,'G-3 Multipliers'!$S$3:$T$6,2,FALSE)))</f>
        <v/>
      </c>
      <c r="AJ146" s="545" t="str">
        <f t="shared" si="23"/>
        <v/>
      </c>
      <c r="AK146" s="149"/>
      <c r="AL146" s="150"/>
      <c r="AP146" s="31" t="str">
        <f>IFERROR(INDEX('G-6 Hedgerow Data'!$BJ$3:$BJ$15,MATCH(M146,'G-6 Hedgerow Data'!$B$3:$B$15,0)),"")</f>
        <v/>
      </c>
    </row>
    <row r="147" spans="2:42" ht="13.8" x14ac:dyDescent="0.25">
      <c r="B147" s="531" t="str">
        <f>'E-1 Off Site Hedge Baseline'!AK145</f>
        <v/>
      </c>
      <c r="C147" s="520" t="str">
        <f>IF(B147="","",IF(ISNA(VLOOKUP($B147,'E-1 Off Site Hedge Baseline'!$B$1:$L$257,3,FALSE)),"",(VLOOKUP($B147,'E-1 Off Site Hedge Baseline'!$B$1:$L$257,3,FALSE))))</f>
        <v/>
      </c>
      <c r="D147" s="520" t="str">
        <f>IF(B147="","",IF(ISNA(VLOOKUP($B147,'E-1 Off Site Hedge Baseline'!$B$1:$L$258,4,FALSE)),"",(VLOOKUP($B147,'E-1 Off Site Hedge Baseline'!$B$1:$L$258,4,FALSE))))</f>
        <v/>
      </c>
      <c r="E147" s="520" t="str">
        <f>IF(B147="","",IF(ISNA(VLOOKUP($B147,'E-1 Off Site Hedge Baseline'!$B$1:$L$257,5,FALSE)),"",(VLOOKUP($B147,'E-1 Off Site Hedge Baseline'!$B$1:$L$257,5,FALSE))))</f>
        <v/>
      </c>
      <c r="F147" s="520" t="str">
        <f>IF(B147="","",IF(ISNA(VLOOKUP($B147,'E-1 Off Site Hedge Baseline'!$B$1:$L$257,6,FALSE)),"",(VLOOKUP($B147,'E-1 Off Site Hedge Baseline'!$B$1:$L$257,6,FALSE))))</f>
        <v/>
      </c>
      <c r="G147" s="520" t="str">
        <f>IF(B147="","",IF(ISNA(VLOOKUP($B147,'E-1 Off Site Hedge Baseline'!$B$1:$L$257,7,FALSE)),"",(VLOOKUP($B147,'E-1 Off Site Hedge Baseline'!$B$1:$L$257,7,FALSE))))</f>
        <v/>
      </c>
      <c r="H147" s="520" t="str">
        <f>IF(B147="","",IF(ISNA(VLOOKUP($B147,'E-1 Off Site Hedge Baseline'!$B$1:$L$257,8,FALSE)),"",(VLOOKUP($B147,'E-1 Off Site Hedge Baseline'!$B$1:$L$257,8,FALSE))))</f>
        <v/>
      </c>
      <c r="I147" s="520" t="str">
        <f>IF(B147="","",IF(ISNA(VLOOKUP($B147,'E-1 Off Site Hedge Baseline'!$B$1:$L$257,10,FALSE)),"",(VLOOKUP($B147,'E-1 Off Site Hedge Baseline'!$B$1:$L$257,10,FALSE))))</f>
        <v/>
      </c>
      <c r="J147" s="520" t="str">
        <f>IF(B147="","",IF(ISNA(VLOOKUP($B147,'E-1 Off Site Hedge Baseline'!$B$1:$L$257,11,FALSE)),"",(VLOOKUP($B147,'E-1 Off Site Hedge Baseline'!$B$1:$L$257,11,FALSE))))</f>
        <v/>
      </c>
      <c r="K147" s="520" t="str">
        <f>IF(B147="","",IF(ISNA(VLOOKUP($B147,'E-1 Off Site Hedge Baseline'!$B$1:$U$257,113,FALSE)),"",(VLOOKUP($B147,'E-1 Off Site Hedge Baseline'!$B$1:$U$257,13,FALSE))))</f>
        <v/>
      </c>
      <c r="L147" s="507" t="str">
        <f>IF(B147="","",IF(ISNA(VLOOKUP($B147,'E-1 Off Site Hedge Baseline'!$B$1:$U$257,12,FALSE)),"",(VLOOKUP($B147,'E-1 Off Site Hedge Baseline'!$B$1:$U$257,12,FALSE))))</f>
        <v/>
      </c>
      <c r="M147" s="418" t="str">
        <f t="shared" si="24"/>
        <v/>
      </c>
      <c r="N147" s="498" t="str">
        <f>IFERROR(IF(B147="","",INDEX('G-6 Hedgerow Data'!$AN$3:$AZ$15,MATCH(C147,'G-6 Hedgerow Data'!$AM$3:$AM$15,0),MATCH(M147,'G-6 Hedgerow Data'!$AN$2:$AZ$2,0))),"")</f>
        <v/>
      </c>
      <c r="O147" s="499" t="str">
        <f t="shared" si="18"/>
        <v/>
      </c>
      <c r="P147" s="505" t="str">
        <f>IF(B147="","",VLOOKUP(B147,'E-1 Off Site Hedge Baseline'!$B$10:T392,16,FALSE))</f>
        <v/>
      </c>
      <c r="Q147" s="498" t="str">
        <f>IF(M147="","",VLOOKUP(M147,'G-6 Hedgerow Data'!$B$2:$AG$15,2,FALSE))</f>
        <v/>
      </c>
      <c r="R147" s="499" t="str">
        <f>IF(M147="","",VLOOKUP(M147,'G-6 Hedgerow Data'!$B$2:$AG$15,3,FALSE))</f>
        <v/>
      </c>
      <c r="S147" s="145"/>
      <c r="T147" s="499" t="str">
        <f>IFERROR(IF(AND(Q147="V.Low",OR(S147="Good",S147="Moderate")),"Error ▲",VLOOKUP(S147,'G-1 All Habitats'!$Z$2:$AA$9,2,FALSE)),"")</f>
        <v/>
      </c>
      <c r="U147" s="145"/>
      <c r="V147" s="507" t="str">
        <f>IF(U147="","",IF(VLOOKUP(U147,'G-3 Multipliers'!$L$3:$N$6,2,FALSE)=0,"Spatial Data Missing ⚠",VLOOKUP(U147,'G-3 Multipliers'!$L$3:$N$6,2,FALSE)))</f>
        <v/>
      </c>
      <c r="W147" s="505"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7"/>
        <v/>
      </c>
      <c r="AD147" s="537" t="str">
        <f>IF(M147="","",VLOOKUP(M147,'G-6 Hedgerow Data'!$B$3:$AG$15,31,FALSE))</f>
        <v/>
      </c>
      <c r="AE147" s="520" t="str">
        <f t="shared" si="21"/>
        <v/>
      </c>
      <c r="AF147" s="520" t="str">
        <f t="shared" si="22"/>
        <v/>
      </c>
      <c r="AG147" s="524" t="str">
        <f>IFERROR(IF(O147="","",VLOOKUP(AD147,'G-3 Multipliers'!$P$3:$Q$6,2,FALSE)),"")</f>
        <v/>
      </c>
      <c r="AH147" s="197"/>
      <c r="AI147" s="499" t="str">
        <f>IF(AH147="","",IF(VLOOKUP(AH147,'G-3 Multipliers'!$S$3:$T$6,2,FALSE)=0,"Spatial Data Missing ⚠",VLOOKUP(AH147,'G-3 Multipliers'!$S$3:$T$6,2,FALSE)))</f>
        <v/>
      </c>
      <c r="AJ147" s="545" t="str">
        <f t="shared" si="23"/>
        <v/>
      </c>
      <c r="AK147" s="149"/>
      <c r="AL147" s="150"/>
      <c r="AP147" s="31" t="str">
        <f>IFERROR(INDEX('G-6 Hedgerow Data'!$BJ$3:$BJ$15,MATCH(M147,'G-6 Hedgerow Data'!$B$3:$B$15,0)),"")</f>
        <v/>
      </c>
    </row>
    <row r="148" spans="2:42" ht="13.8" x14ac:dyDescent="0.25">
      <c r="B148" s="531" t="str">
        <f>'E-1 Off Site Hedge Baseline'!AK146</f>
        <v/>
      </c>
      <c r="C148" s="520" t="str">
        <f>IF(B148="","",IF(ISNA(VLOOKUP($B148,'E-1 Off Site Hedge Baseline'!$B$1:$L$257,3,FALSE)),"",(VLOOKUP($B148,'E-1 Off Site Hedge Baseline'!$B$1:$L$257,3,FALSE))))</f>
        <v/>
      </c>
      <c r="D148" s="520" t="str">
        <f>IF(B148="","",IF(ISNA(VLOOKUP($B148,'E-1 Off Site Hedge Baseline'!$B$1:$L$258,4,FALSE)),"",(VLOOKUP($B148,'E-1 Off Site Hedge Baseline'!$B$1:$L$258,4,FALSE))))</f>
        <v/>
      </c>
      <c r="E148" s="520" t="str">
        <f>IF(B148="","",IF(ISNA(VLOOKUP($B148,'E-1 Off Site Hedge Baseline'!$B$1:$L$257,5,FALSE)),"",(VLOOKUP($B148,'E-1 Off Site Hedge Baseline'!$B$1:$L$257,5,FALSE))))</f>
        <v/>
      </c>
      <c r="F148" s="520" t="str">
        <f>IF(B148="","",IF(ISNA(VLOOKUP($B148,'E-1 Off Site Hedge Baseline'!$B$1:$L$257,6,FALSE)),"",(VLOOKUP($B148,'E-1 Off Site Hedge Baseline'!$B$1:$L$257,6,FALSE))))</f>
        <v/>
      </c>
      <c r="G148" s="520" t="str">
        <f>IF(B148="","",IF(ISNA(VLOOKUP($B148,'E-1 Off Site Hedge Baseline'!$B$1:$L$257,7,FALSE)),"",(VLOOKUP($B148,'E-1 Off Site Hedge Baseline'!$B$1:$L$257,7,FALSE))))</f>
        <v/>
      </c>
      <c r="H148" s="520" t="str">
        <f>IF(B148="","",IF(ISNA(VLOOKUP($B148,'E-1 Off Site Hedge Baseline'!$B$1:$L$257,8,FALSE)),"",(VLOOKUP($B148,'E-1 Off Site Hedge Baseline'!$B$1:$L$257,8,FALSE))))</f>
        <v/>
      </c>
      <c r="I148" s="520" t="str">
        <f>IF(B148="","",IF(ISNA(VLOOKUP($B148,'E-1 Off Site Hedge Baseline'!$B$1:$L$257,10,FALSE)),"",(VLOOKUP($B148,'E-1 Off Site Hedge Baseline'!$B$1:$L$257,10,FALSE))))</f>
        <v/>
      </c>
      <c r="J148" s="520" t="str">
        <f>IF(B148="","",IF(ISNA(VLOOKUP($B148,'E-1 Off Site Hedge Baseline'!$B$1:$L$257,11,FALSE)),"",(VLOOKUP($B148,'E-1 Off Site Hedge Baseline'!$B$1:$L$257,11,FALSE))))</f>
        <v/>
      </c>
      <c r="K148" s="520" t="str">
        <f>IF(B148="","",IF(ISNA(VLOOKUP($B148,'E-1 Off Site Hedge Baseline'!$B$1:$U$257,113,FALSE)),"",(VLOOKUP($B148,'E-1 Off Site Hedge Baseline'!$B$1:$U$257,13,FALSE))))</f>
        <v/>
      </c>
      <c r="L148" s="507" t="str">
        <f>IF(B148="","",IF(ISNA(VLOOKUP($B148,'E-1 Off Site Hedge Baseline'!$B$1:$U$257,12,FALSE)),"",(VLOOKUP($B148,'E-1 Off Site Hedge Baseline'!$B$1:$U$257,12,FALSE))))</f>
        <v/>
      </c>
      <c r="M148" s="418" t="str">
        <f t="shared" si="24"/>
        <v/>
      </c>
      <c r="N148" s="498" t="str">
        <f>IFERROR(IF(B148="","",INDEX('G-6 Hedgerow Data'!$AN$3:$AZ$15,MATCH(C148,'G-6 Hedgerow Data'!$AM$3:$AM$15,0),MATCH(M148,'G-6 Hedgerow Data'!$AN$2:$AZ$2,0))),"")</f>
        <v/>
      </c>
      <c r="O148" s="499" t="str">
        <f t="shared" si="18"/>
        <v/>
      </c>
      <c r="P148" s="505" t="str">
        <f>IF(B148="","",VLOOKUP(B148,'E-1 Off Site Hedge Baseline'!$B$10:T393,16,FALSE))</f>
        <v/>
      </c>
      <c r="Q148" s="498" t="str">
        <f>IF(M148="","",VLOOKUP(M148,'G-6 Hedgerow Data'!$B$2:$AG$15,2,FALSE))</f>
        <v/>
      </c>
      <c r="R148" s="499" t="str">
        <f>IF(M148="","",VLOOKUP(M148,'G-6 Hedgerow Data'!$B$2:$AG$15,3,FALSE))</f>
        <v/>
      </c>
      <c r="S148" s="145"/>
      <c r="T148" s="499" t="str">
        <f>IFERROR(IF(AND(Q148="V.Low",OR(S148="Good",S148="Moderate")),"Error ▲",VLOOKUP(S148,'G-1 All Habitats'!$Z$2:$AA$9,2,FALSE)),"")</f>
        <v/>
      </c>
      <c r="U148" s="145"/>
      <c r="V148" s="507" t="str">
        <f>IF(U148="","",IF(VLOOKUP(U148,'G-3 Multipliers'!$L$3:$N$6,2,FALSE)=0,"Spatial Data Missing ⚠",VLOOKUP(U148,'G-3 Multipliers'!$L$3:$N$6,2,FALSE)))</f>
        <v/>
      </c>
      <c r="W148" s="505"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7"/>
        <v/>
      </c>
      <c r="AD148" s="537" t="str">
        <f>IF(M148="","",VLOOKUP(M148,'G-6 Hedgerow Data'!$B$3:$AG$15,31,FALSE))</f>
        <v/>
      </c>
      <c r="AE148" s="520" t="str">
        <f t="shared" si="21"/>
        <v/>
      </c>
      <c r="AF148" s="520" t="str">
        <f t="shared" si="22"/>
        <v/>
      </c>
      <c r="AG148" s="524" t="str">
        <f>IFERROR(IF(O148="","",VLOOKUP(AD148,'G-3 Multipliers'!$P$3:$Q$6,2,FALSE)),"")</f>
        <v/>
      </c>
      <c r="AH148" s="197"/>
      <c r="AI148" s="499" t="str">
        <f>IF(AH148="","",IF(VLOOKUP(AH148,'G-3 Multipliers'!$S$3:$T$6,2,FALSE)=0,"Spatial Data Missing ⚠",VLOOKUP(AH148,'G-3 Multipliers'!$S$3:$T$6,2,FALSE)))</f>
        <v/>
      </c>
      <c r="AJ148" s="545" t="str">
        <f t="shared" si="23"/>
        <v/>
      </c>
      <c r="AK148" s="149"/>
      <c r="AL148" s="150"/>
      <c r="AP148" s="31" t="str">
        <f>IFERROR(INDEX('G-6 Hedgerow Data'!$BJ$3:$BJ$15,MATCH(M148,'G-6 Hedgerow Data'!$B$3:$B$15,0)),"")</f>
        <v/>
      </c>
    </row>
    <row r="149" spans="2:42" ht="13.8" x14ac:dyDescent="0.25">
      <c r="B149" s="531" t="str">
        <f>'E-1 Off Site Hedge Baseline'!AK147</f>
        <v/>
      </c>
      <c r="C149" s="520" t="str">
        <f>IF(B149="","",IF(ISNA(VLOOKUP($B149,'E-1 Off Site Hedge Baseline'!$B$1:$L$257,3,FALSE)),"",(VLOOKUP($B149,'E-1 Off Site Hedge Baseline'!$B$1:$L$257,3,FALSE))))</f>
        <v/>
      </c>
      <c r="D149" s="520" t="str">
        <f>IF(B149="","",IF(ISNA(VLOOKUP($B149,'E-1 Off Site Hedge Baseline'!$B$1:$L$258,4,FALSE)),"",(VLOOKUP($B149,'E-1 Off Site Hedge Baseline'!$B$1:$L$258,4,FALSE))))</f>
        <v/>
      </c>
      <c r="E149" s="520" t="str">
        <f>IF(B149="","",IF(ISNA(VLOOKUP($B149,'E-1 Off Site Hedge Baseline'!$B$1:$L$257,5,FALSE)),"",(VLOOKUP($B149,'E-1 Off Site Hedge Baseline'!$B$1:$L$257,5,FALSE))))</f>
        <v/>
      </c>
      <c r="F149" s="520" t="str">
        <f>IF(B149="","",IF(ISNA(VLOOKUP($B149,'E-1 Off Site Hedge Baseline'!$B$1:$L$257,6,FALSE)),"",(VLOOKUP($B149,'E-1 Off Site Hedge Baseline'!$B$1:$L$257,6,FALSE))))</f>
        <v/>
      </c>
      <c r="G149" s="520" t="str">
        <f>IF(B149="","",IF(ISNA(VLOOKUP($B149,'E-1 Off Site Hedge Baseline'!$B$1:$L$257,7,FALSE)),"",(VLOOKUP($B149,'E-1 Off Site Hedge Baseline'!$B$1:$L$257,7,FALSE))))</f>
        <v/>
      </c>
      <c r="H149" s="520" t="str">
        <f>IF(B149="","",IF(ISNA(VLOOKUP($B149,'E-1 Off Site Hedge Baseline'!$B$1:$L$257,8,FALSE)),"",(VLOOKUP($B149,'E-1 Off Site Hedge Baseline'!$B$1:$L$257,8,FALSE))))</f>
        <v/>
      </c>
      <c r="I149" s="520" t="str">
        <f>IF(B149="","",IF(ISNA(VLOOKUP($B149,'E-1 Off Site Hedge Baseline'!$B$1:$L$257,10,FALSE)),"",(VLOOKUP($B149,'E-1 Off Site Hedge Baseline'!$B$1:$L$257,10,FALSE))))</f>
        <v/>
      </c>
      <c r="J149" s="520" t="str">
        <f>IF(B149="","",IF(ISNA(VLOOKUP($B149,'E-1 Off Site Hedge Baseline'!$B$1:$L$257,11,FALSE)),"",(VLOOKUP($B149,'E-1 Off Site Hedge Baseline'!$B$1:$L$257,11,FALSE))))</f>
        <v/>
      </c>
      <c r="K149" s="520" t="str">
        <f>IF(B149="","",IF(ISNA(VLOOKUP($B149,'E-1 Off Site Hedge Baseline'!$B$1:$U$257,113,FALSE)),"",(VLOOKUP($B149,'E-1 Off Site Hedge Baseline'!$B$1:$U$257,13,FALSE))))</f>
        <v/>
      </c>
      <c r="L149" s="507" t="str">
        <f>IF(B149="","",IF(ISNA(VLOOKUP($B149,'E-1 Off Site Hedge Baseline'!$B$1:$U$257,12,FALSE)),"",(VLOOKUP($B149,'E-1 Off Site Hedge Baseline'!$B$1:$U$257,12,FALSE))))</f>
        <v/>
      </c>
      <c r="M149" s="418" t="str">
        <f t="shared" si="24"/>
        <v/>
      </c>
      <c r="N149" s="498" t="str">
        <f>IFERROR(IF(B149="","",INDEX('G-6 Hedgerow Data'!$AN$3:$AZ$15,MATCH(C149,'G-6 Hedgerow Data'!$AM$3:$AM$15,0),MATCH(M149,'G-6 Hedgerow Data'!$AN$2:$AZ$2,0))),"")</f>
        <v/>
      </c>
      <c r="O149" s="499" t="str">
        <f t="shared" si="18"/>
        <v/>
      </c>
      <c r="P149" s="505" t="str">
        <f>IF(B149="","",VLOOKUP(B149,'E-1 Off Site Hedge Baseline'!$B$10:T394,16,FALSE))</f>
        <v/>
      </c>
      <c r="Q149" s="498" t="str">
        <f>IF(M149="","",VLOOKUP(M149,'G-6 Hedgerow Data'!$B$2:$AG$15,2,FALSE))</f>
        <v/>
      </c>
      <c r="R149" s="499" t="str">
        <f>IF(M149="","",VLOOKUP(M149,'G-6 Hedgerow Data'!$B$2:$AG$15,3,FALSE))</f>
        <v/>
      </c>
      <c r="S149" s="145"/>
      <c r="T149" s="499" t="str">
        <f>IFERROR(IF(AND(Q149="V.Low",OR(S149="Good",S149="Moderate")),"Error ▲",VLOOKUP(S149,'G-1 All Habitats'!$Z$2:$AA$9,2,FALSE)),"")</f>
        <v/>
      </c>
      <c r="U149" s="145"/>
      <c r="V149" s="507" t="str">
        <f>IF(U149="","",IF(VLOOKUP(U149,'G-3 Multipliers'!$L$3:$N$6,2,FALSE)=0,"Spatial Data Missing ⚠",VLOOKUP(U149,'G-3 Multipliers'!$L$3:$N$6,2,FALSE)))</f>
        <v/>
      </c>
      <c r="W149" s="505"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7"/>
        <v/>
      </c>
      <c r="AD149" s="537" t="str">
        <f>IF(M149="","",VLOOKUP(M149,'G-6 Hedgerow Data'!$B$3:$AG$15,31,FALSE))</f>
        <v/>
      </c>
      <c r="AE149" s="520" t="str">
        <f t="shared" si="21"/>
        <v/>
      </c>
      <c r="AF149" s="520" t="str">
        <f t="shared" si="22"/>
        <v/>
      </c>
      <c r="AG149" s="524" t="str">
        <f>IFERROR(IF(O149="","",VLOOKUP(AD149,'G-3 Multipliers'!$P$3:$Q$6,2,FALSE)),"")</f>
        <v/>
      </c>
      <c r="AH149" s="197"/>
      <c r="AI149" s="499" t="str">
        <f>IF(AH149="","",IF(VLOOKUP(AH149,'G-3 Multipliers'!$S$3:$T$6,2,FALSE)=0,"Spatial Data Missing ⚠",VLOOKUP(AH149,'G-3 Multipliers'!$S$3:$T$6,2,FALSE)))</f>
        <v/>
      </c>
      <c r="AJ149" s="545" t="str">
        <f t="shared" si="23"/>
        <v/>
      </c>
      <c r="AK149" s="149"/>
      <c r="AL149" s="150"/>
      <c r="AP149" s="31" t="str">
        <f>IFERROR(INDEX('G-6 Hedgerow Data'!$BJ$3:$BJ$15,MATCH(M149,'G-6 Hedgerow Data'!$B$3:$B$15,0)),"")</f>
        <v/>
      </c>
    </row>
    <row r="150" spans="2:42" ht="13.8" x14ac:dyDescent="0.25">
      <c r="B150" s="531" t="str">
        <f>'E-1 Off Site Hedge Baseline'!AK148</f>
        <v/>
      </c>
      <c r="C150" s="520" t="str">
        <f>IF(B150="","",IF(ISNA(VLOOKUP($B150,'E-1 Off Site Hedge Baseline'!$B$1:$L$257,3,FALSE)),"",(VLOOKUP($B150,'E-1 Off Site Hedge Baseline'!$B$1:$L$257,3,FALSE))))</f>
        <v/>
      </c>
      <c r="D150" s="520" t="str">
        <f>IF(B150="","",IF(ISNA(VLOOKUP($B150,'E-1 Off Site Hedge Baseline'!$B$1:$L$258,4,FALSE)),"",(VLOOKUP($B150,'E-1 Off Site Hedge Baseline'!$B$1:$L$258,4,FALSE))))</f>
        <v/>
      </c>
      <c r="E150" s="520" t="str">
        <f>IF(B150="","",IF(ISNA(VLOOKUP($B150,'E-1 Off Site Hedge Baseline'!$B$1:$L$257,5,FALSE)),"",(VLOOKUP($B150,'E-1 Off Site Hedge Baseline'!$B$1:$L$257,5,FALSE))))</f>
        <v/>
      </c>
      <c r="F150" s="520" t="str">
        <f>IF(B150="","",IF(ISNA(VLOOKUP($B150,'E-1 Off Site Hedge Baseline'!$B$1:$L$257,6,FALSE)),"",(VLOOKUP($B150,'E-1 Off Site Hedge Baseline'!$B$1:$L$257,6,FALSE))))</f>
        <v/>
      </c>
      <c r="G150" s="520" t="str">
        <f>IF(B150="","",IF(ISNA(VLOOKUP($B150,'E-1 Off Site Hedge Baseline'!$B$1:$L$257,7,FALSE)),"",(VLOOKUP($B150,'E-1 Off Site Hedge Baseline'!$B$1:$L$257,7,FALSE))))</f>
        <v/>
      </c>
      <c r="H150" s="520" t="str">
        <f>IF(B150="","",IF(ISNA(VLOOKUP($B150,'E-1 Off Site Hedge Baseline'!$B$1:$L$257,8,FALSE)),"",(VLOOKUP($B150,'E-1 Off Site Hedge Baseline'!$B$1:$L$257,8,FALSE))))</f>
        <v/>
      </c>
      <c r="I150" s="520" t="str">
        <f>IF(B150="","",IF(ISNA(VLOOKUP($B150,'E-1 Off Site Hedge Baseline'!$B$1:$L$257,10,FALSE)),"",(VLOOKUP($B150,'E-1 Off Site Hedge Baseline'!$B$1:$L$257,10,FALSE))))</f>
        <v/>
      </c>
      <c r="J150" s="520" t="str">
        <f>IF(B150="","",IF(ISNA(VLOOKUP($B150,'E-1 Off Site Hedge Baseline'!$B$1:$L$257,11,FALSE)),"",(VLOOKUP($B150,'E-1 Off Site Hedge Baseline'!$B$1:$L$257,11,FALSE))))</f>
        <v/>
      </c>
      <c r="K150" s="520" t="str">
        <f>IF(B150="","",IF(ISNA(VLOOKUP($B150,'E-1 Off Site Hedge Baseline'!$B$1:$U$257,113,FALSE)),"",(VLOOKUP($B150,'E-1 Off Site Hedge Baseline'!$B$1:$U$257,13,FALSE))))</f>
        <v/>
      </c>
      <c r="L150" s="507" t="str">
        <f>IF(B150="","",IF(ISNA(VLOOKUP($B150,'E-1 Off Site Hedge Baseline'!$B$1:$U$257,12,FALSE)),"",(VLOOKUP($B150,'E-1 Off Site Hedge Baseline'!$B$1:$U$257,12,FALSE))))</f>
        <v/>
      </c>
      <c r="M150" s="418" t="str">
        <f t="shared" si="24"/>
        <v/>
      </c>
      <c r="N150" s="498" t="str">
        <f>IFERROR(IF(B150="","",INDEX('G-6 Hedgerow Data'!$AN$3:$AZ$15,MATCH(C150,'G-6 Hedgerow Data'!$AM$3:$AM$15,0),MATCH(M150,'G-6 Hedgerow Data'!$AN$2:$AZ$2,0))),"")</f>
        <v/>
      </c>
      <c r="O150" s="499" t="str">
        <f t="shared" si="18"/>
        <v/>
      </c>
      <c r="P150" s="505" t="str">
        <f>IF(B150="","",VLOOKUP(B150,'E-1 Off Site Hedge Baseline'!$B$10:T395,16,FALSE))</f>
        <v/>
      </c>
      <c r="Q150" s="498" t="str">
        <f>IF(M150="","",VLOOKUP(M150,'G-6 Hedgerow Data'!$B$2:$AG$15,2,FALSE))</f>
        <v/>
      </c>
      <c r="R150" s="499" t="str">
        <f>IF(M150="","",VLOOKUP(M150,'G-6 Hedgerow Data'!$B$2:$AG$15,3,FALSE))</f>
        <v/>
      </c>
      <c r="S150" s="145"/>
      <c r="T150" s="499" t="str">
        <f>IFERROR(IF(AND(Q150="V.Low",OR(S150="Good",S150="Moderate")),"Error ▲",VLOOKUP(S150,'G-1 All Habitats'!$Z$2:$AA$9,2,FALSE)),"")</f>
        <v/>
      </c>
      <c r="U150" s="145"/>
      <c r="V150" s="507" t="str">
        <f>IF(U150="","",IF(VLOOKUP(U150,'G-3 Multipliers'!$L$3:$N$6,2,FALSE)=0,"Spatial Data Missing ⚠",VLOOKUP(U150,'G-3 Multipliers'!$L$3:$N$6,2,FALSE)))</f>
        <v/>
      </c>
      <c r="W150" s="505"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7"/>
        <v/>
      </c>
      <c r="AD150" s="537" t="str">
        <f>IF(M150="","",VLOOKUP(M150,'G-6 Hedgerow Data'!$B$3:$AG$15,31,FALSE))</f>
        <v/>
      </c>
      <c r="AE150" s="520" t="str">
        <f t="shared" si="21"/>
        <v/>
      </c>
      <c r="AF150" s="520" t="str">
        <f t="shared" si="22"/>
        <v/>
      </c>
      <c r="AG150" s="524" t="str">
        <f>IFERROR(IF(O150="","",VLOOKUP(AD150,'G-3 Multipliers'!$P$3:$Q$6,2,FALSE)),"")</f>
        <v/>
      </c>
      <c r="AH150" s="197"/>
      <c r="AI150" s="499" t="str">
        <f>IF(AH150="","",IF(VLOOKUP(AH150,'G-3 Multipliers'!$S$3:$T$6,2,FALSE)=0,"Spatial Data Missing ⚠",VLOOKUP(AH150,'G-3 Multipliers'!$S$3:$T$6,2,FALSE)))</f>
        <v/>
      </c>
      <c r="AJ150" s="545" t="str">
        <f t="shared" si="23"/>
        <v/>
      </c>
      <c r="AK150" s="149"/>
      <c r="AL150" s="150"/>
      <c r="AP150" s="31" t="str">
        <f>IFERROR(INDEX('G-6 Hedgerow Data'!$BJ$3:$BJ$15,MATCH(M150,'G-6 Hedgerow Data'!$B$3:$B$15,0)),"")</f>
        <v/>
      </c>
    </row>
    <row r="151" spans="2:42" ht="13.8" x14ac:dyDescent="0.25">
      <c r="B151" s="531" t="str">
        <f>'E-1 Off Site Hedge Baseline'!AK149</f>
        <v/>
      </c>
      <c r="C151" s="520" t="str">
        <f>IF(B151="","",IF(ISNA(VLOOKUP($B151,'E-1 Off Site Hedge Baseline'!$B$1:$L$257,3,FALSE)),"",(VLOOKUP($B151,'E-1 Off Site Hedge Baseline'!$B$1:$L$257,3,FALSE))))</f>
        <v/>
      </c>
      <c r="D151" s="520" t="str">
        <f>IF(B151="","",IF(ISNA(VLOOKUP($B151,'E-1 Off Site Hedge Baseline'!$B$1:$L$258,4,FALSE)),"",(VLOOKUP($B151,'E-1 Off Site Hedge Baseline'!$B$1:$L$258,4,FALSE))))</f>
        <v/>
      </c>
      <c r="E151" s="520" t="str">
        <f>IF(B151="","",IF(ISNA(VLOOKUP($B151,'E-1 Off Site Hedge Baseline'!$B$1:$L$257,5,FALSE)),"",(VLOOKUP($B151,'E-1 Off Site Hedge Baseline'!$B$1:$L$257,5,FALSE))))</f>
        <v/>
      </c>
      <c r="F151" s="520" t="str">
        <f>IF(B151="","",IF(ISNA(VLOOKUP($B151,'E-1 Off Site Hedge Baseline'!$B$1:$L$257,6,FALSE)),"",(VLOOKUP($B151,'E-1 Off Site Hedge Baseline'!$B$1:$L$257,6,FALSE))))</f>
        <v/>
      </c>
      <c r="G151" s="520" t="str">
        <f>IF(B151="","",IF(ISNA(VLOOKUP($B151,'E-1 Off Site Hedge Baseline'!$B$1:$L$257,7,FALSE)),"",(VLOOKUP($B151,'E-1 Off Site Hedge Baseline'!$B$1:$L$257,7,FALSE))))</f>
        <v/>
      </c>
      <c r="H151" s="520" t="str">
        <f>IF(B151="","",IF(ISNA(VLOOKUP($B151,'E-1 Off Site Hedge Baseline'!$B$1:$L$257,8,FALSE)),"",(VLOOKUP($B151,'E-1 Off Site Hedge Baseline'!$B$1:$L$257,8,FALSE))))</f>
        <v/>
      </c>
      <c r="I151" s="520" t="str">
        <f>IF(B151="","",IF(ISNA(VLOOKUP($B151,'E-1 Off Site Hedge Baseline'!$B$1:$L$257,10,FALSE)),"",(VLOOKUP($B151,'E-1 Off Site Hedge Baseline'!$B$1:$L$257,10,FALSE))))</f>
        <v/>
      </c>
      <c r="J151" s="520" t="str">
        <f>IF(B151="","",IF(ISNA(VLOOKUP($B151,'E-1 Off Site Hedge Baseline'!$B$1:$L$257,11,FALSE)),"",(VLOOKUP($B151,'E-1 Off Site Hedge Baseline'!$B$1:$L$257,11,FALSE))))</f>
        <v/>
      </c>
      <c r="K151" s="520" t="str">
        <f>IF(B151="","",IF(ISNA(VLOOKUP($B151,'E-1 Off Site Hedge Baseline'!$B$1:$U$257,113,FALSE)),"",(VLOOKUP($B151,'E-1 Off Site Hedge Baseline'!$B$1:$U$257,13,FALSE))))</f>
        <v/>
      </c>
      <c r="L151" s="507" t="str">
        <f>IF(B151="","",IF(ISNA(VLOOKUP($B151,'E-1 Off Site Hedge Baseline'!$B$1:$U$257,12,FALSE)),"",(VLOOKUP($B151,'E-1 Off Site Hedge Baseline'!$B$1:$U$257,12,FALSE))))</f>
        <v/>
      </c>
      <c r="M151" s="418" t="str">
        <f t="shared" si="24"/>
        <v/>
      </c>
      <c r="N151" s="498" t="str">
        <f>IFERROR(IF(B151="","",INDEX('G-6 Hedgerow Data'!$AN$3:$AZ$15,MATCH(C151,'G-6 Hedgerow Data'!$AM$3:$AM$15,0),MATCH(M151,'G-6 Hedgerow Data'!$AN$2:$AZ$2,0))),"")</f>
        <v/>
      </c>
      <c r="O151" s="499" t="str">
        <f t="shared" si="18"/>
        <v/>
      </c>
      <c r="P151" s="505" t="str">
        <f>IF(B151="","",VLOOKUP(B151,'E-1 Off Site Hedge Baseline'!$B$10:T396,16,FALSE))</f>
        <v/>
      </c>
      <c r="Q151" s="498" t="str">
        <f>IF(M151="","",VLOOKUP(M151,'G-6 Hedgerow Data'!$B$2:$AG$15,2,FALSE))</f>
        <v/>
      </c>
      <c r="R151" s="499" t="str">
        <f>IF(M151="","",VLOOKUP(M151,'G-6 Hedgerow Data'!$B$2:$AG$15,3,FALSE))</f>
        <v/>
      </c>
      <c r="S151" s="145"/>
      <c r="T151" s="499" t="str">
        <f>IFERROR(IF(AND(Q151="V.Low",OR(S151="Good",S151="Moderate")),"Error ▲",VLOOKUP(S151,'G-1 All Habitats'!$Z$2:$AA$9,2,FALSE)),"")</f>
        <v/>
      </c>
      <c r="U151" s="145"/>
      <c r="V151" s="507" t="str">
        <f>IF(U151="","",IF(VLOOKUP(U151,'G-3 Multipliers'!$L$3:$N$6,2,FALSE)=0,"Spatial Data Missing ⚠",VLOOKUP(U151,'G-3 Multipliers'!$L$3:$N$6,2,FALSE)))</f>
        <v/>
      </c>
      <c r="W151" s="505"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7"/>
        <v/>
      </c>
      <c r="AD151" s="537" t="str">
        <f>IF(M151="","",VLOOKUP(M151,'G-6 Hedgerow Data'!$B$3:$AG$15,31,FALSE))</f>
        <v/>
      </c>
      <c r="AE151" s="520" t="str">
        <f t="shared" si="21"/>
        <v/>
      </c>
      <c r="AF151" s="520" t="str">
        <f t="shared" si="22"/>
        <v/>
      </c>
      <c r="AG151" s="524" t="str">
        <f>IFERROR(IF(O151="","",VLOOKUP(AD151,'G-3 Multipliers'!$P$3:$Q$6,2,FALSE)),"")</f>
        <v/>
      </c>
      <c r="AH151" s="197"/>
      <c r="AI151" s="499" t="str">
        <f>IF(AH151="","",IF(VLOOKUP(AH151,'G-3 Multipliers'!$S$3:$T$6,2,FALSE)=0,"Spatial Data Missing ⚠",VLOOKUP(AH151,'G-3 Multipliers'!$S$3:$T$6,2,FALSE)))</f>
        <v/>
      </c>
      <c r="AJ151" s="545" t="str">
        <f t="shared" si="23"/>
        <v/>
      </c>
      <c r="AK151" s="149"/>
      <c r="AL151" s="150"/>
      <c r="AP151" s="31" t="str">
        <f>IFERROR(INDEX('G-6 Hedgerow Data'!$BJ$3:$BJ$15,MATCH(M151,'G-6 Hedgerow Data'!$B$3:$B$15,0)),"")</f>
        <v/>
      </c>
    </row>
    <row r="152" spans="2:42" ht="13.8" x14ac:dyDescent="0.25">
      <c r="B152" s="531" t="str">
        <f>'E-1 Off Site Hedge Baseline'!AK150</f>
        <v/>
      </c>
      <c r="C152" s="520" t="str">
        <f>IF(B152="","",IF(ISNA(VLOOKUP($B152,'E-1 Off Site Hedge Baseline'!$B$1:$L$257,3,FALSE)),"",(VLOOKUP($B152,'E-1 Off Site Hedge Baseline'!$B$1:$L$257,3,FALSE))))</f>
        <v/>
      </c>
      <c r="D152" s="520" t="str">
        <f>IF(B152="","",IF(ISNA(VLOOKUP($B152,'E-1 Off Site Hedge Baseline'!$B$1:$L$258,4,FALSE)),"",(VLOOKUP($B152,'E-1 Off Site Hedge Baseline'!$B$1:$L$258,4,FALSE))))</f>
        <v/>
      </c>
      <c r="E152" s="520" t="str">
        <f>IF(B152="","",IF(ISNA(VLOOKUP($B152,'E-1 Off Site Hedge Baseline'!$B$1:$L$257,5,FALSE)),"",(VLOOKUP($B152,'E-1 Off Site Hedge Baseline'!$B$1:$L$257,5,FALSE))))</f>
        <v/>
      </c>
      <c r="F152" s="520" t="str">
        <f>IF(B152="","",IF(ISNA(VLOOKUP($B152,'E-1 Off Site Hedge Baseline'!$B$1:$L$257,6,FALSE)),"",(VLOOKUP($B152,'E-1 Off Site Hedge Baseline'!$B$1:$L$257,6,FALSE))))</f>
        <v/>
      </c>
      <c r="G152" s="520" t="str">
        <f>IF(B152="","",IF(ISNA(VLOOKUP($B152,'E-1 Off Site Hedge Baseline'!$B$1:$L$257,7,FALSE)),"",(VLOOKUP($B152,'E-1 Off Site Hedge Baseline'!$B$1:$L$257,7,FALSE))))</f>
        <v/>
      </c>
      <c r="H152" s="520" t="str">
        <f>IF(B152="","",IF(ISNA(VLOOKUP($B152,'E-1 Off Site Hedge Baseline'!$B$1:$L$257,8,FALSE)),"",(VLOOKUP($B152,'E-1 Off Site Hedge Baseline'!$B$1:$L$257,8,FALSE))))</f>
        <v/>
      </c>
      <c r="I152" s="520" t="str">
        <f>IF(B152="","",IF(ISNA(VLOOKUP($B152,'E-1 Off Site Hedge Baseline'!$B$1:$L$257,10,FALSE)),"",(VLOOKUP($B152,'E-1 Off Site Hedge Baseline'!$B$1:$L$257,10,FALSE))))</f>
        <v/>
      </c>
      <c r="J152" s="520" t="str">
        <f>IF(B152="","",IF(ISNA(VLOOKUP($B152,'E-1 Off Site Hedge Baseline'!$B$1:$L$257,11,FALSE)),"",(VLOOKUP($B152,'E-1 Off Site Hedge Baseline'!$B$1:$L$257,11,FALSE))))</f>
        <v/>
      </c>
      <c r="K152" s="520" t="str">
        <f>IF(B152="","",IF(ISNA(VLOOKUP($B152,'E-1 Off Site Hedge Baseline'!$B$1:$U$257,113,FALSE)),"",(VLOOKUP($B152,'E-1 Off Site Hedge Baseline'!$B$1:$U$257,13,FALSE))))</f>
        <v/>
      </c>
      <c r="L152" s="507" t="str">
        <f>IF(B152="","",IF(ISNA(VLOOKUP($B152,'E-1 Off Site Hedge Baseline'!$B$1:$U$257,12,FALSE)),"",(VLOOKUP($B152,'E-1 Off Site Hedge Baseline'!$B$1:$U$257,12,FALSE))))</f>
        <v/>
      </c>
      <c r="M152" s="418" t="str">
        <f t="shared" si="24"/>
        <v/>
      </c>
      <c r="N152" s="498" t="str">
        <f>IFERROR(IF(B152="","",INDEX('G-6 Hedgerow Data'!$AN$3:$AZ$15,MATCH(C152,'G-6 Hedgerow Data'!$AM$3:$AM$15,0),MATCH(M152,'G-6 Hedgerow Data'!$AN$2:$AZ$2,0))),"")</f>
        <v/>
      </c>
      <c r="O152" s="499" t="str">
        <f t="shared" si="18"/>
        <v/>
      </c>
      <c r="P152" s="505" t="str">
        <f>IF(B152="","",VLOOKUP(B152,'E-1 Off Site Hedge Baseline'!$B$10:T397,16,FALSE))</f>
        <v/>
      </c>
      <c r="Q152" s="498" t="str">
        <f>IF(M152="","",VLOOKUP(M152,'G-6 Hedgerow Data'!$B$2:$AG$15,2,FALSE))</f>
        <v/>
      </c>
      <c r="R152" s="499" t="str">
        <f>IF(M152="","",VLOOKUP(M152,'G-6 Hedgerow Data'!$B$2:$AG$15,3,FALSE))</f>
        <v/>
      </c>
      <c r="S152" s="145"/>
      <c r="T152" s="499" t="str">
        <f>IFERROR(IF(AND(Q152="V.Low",OR(S152="Good",S152="Moderate")),"Error ▲",VLOOKUP(S152,'G-1 All Habitats'!$Z$2:$AA$9,2,FALSE)),"")</f>
        <v/>
      </c>
      <c r="U152" s="145"/>
      <c r="V152" s="507" t="str">
        <f>IF(U152="","",IF(VLOOKUP(U152,'G-3 Multipliers'!$L$3:$N$6,2,FALSE)=0,"Spatial Data Missing ⚠",VLOOKUP(U152,'G-3 Multipliers'!$L$3:$N$6,2,FALSE)))</f>
        <v/>
      </c>
      <c r="W152" s="505"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7"/>
        <v/>
      </c>
      <c r="AD152" s="537" t="str">
        <f>IF(M152="","",VLOOKUP(M152,'G-6 Hedgerow Data'!$B$3:$AG$15,31,FALSE))</f>
        <v/>
      </c>
      <c r="AE152" s="520" t="str">
        <f t="shared" si="21"/>
        <v/>
      </c>
      <c r="AF152" s="520" t="str">
        <f t="shared" si="22"/>
        <v/>
      </c>
      <c r="AG152" s="524" t="str">
        <f>IFERROR(IF(O152="","",VLOOKUP(AD152,'G-3 Multipliers'!$P$3:$Q$6,2,FALSE)),"")</f>
        <v/>
      </c>
      <c r="AH152" s="197"/>
      <c r="AI152" s="499" t="str">
        <f>IF(AH152="","",IF(VLOOKUP(AH152,'G-3 Multipliers'!$S$3:$T$6,2,FALSE)=0,"Spatial Data Missing ⚠",VLOOKUP(AH152,'G-3 Multipliers'!$S$3:$T$6,2,FALSE)))</f>
        <v/>
      </c>
      <c r="AJ152" s="545" t="str">
        <f t="shared" si="23"/>
        <v/>
      </c>
      <c r="AK152" s="149"/>
      <c r="AL152" s="150"/>
      <c r="AP152" s="31" t="str">
        <f>IFERROR(INDEX('G-6 Hedgerow Data'!$BJ$3:$BJ$15,MATCH(M152,'G-6 Hedgerow Data'!$B$3:$B$15,0)),"")</f>
        <v/>
      </c>
    </row>
    <row r="153" spans="2:42" ht="13.8" x14ac:dyDescent="0.25">
      <c r="B153" s="531" t="str">
        <f>'E-1 Off Site Hedge Baseline'!AK151</f>
        <v/>
      </c>
      <c r="C153" s="520" t="str">
        <f>IF(B153="","",IF(ISNA(VLOOKUP($B153,'E-1 Off Site Hedge Baseline'!$B$1:$L$257,3,FALSE)),"",(VLOOKUP($B153,'E-1 Off Site Hedge Baseline'!$B$1:$L$257,3,FALSE))))</f>
        <v/>
      </c>
      <c r="D153" s="520" t="str">
        <f>IF(B153="","",IF(ISNA(VLOOKUP($B153,'E-1 Off Site Hedge Baseline'!$B$1:$L$258,4,FALSE)),"",(VLOOKUP($B153,'E-1 Off Site Hedge Baseline'!$B$1:$L$258,4,FALSE))))</f>
        <v/>
      </c>
      <c r="E153" s="520" t="str">
        <f>IF(B153="","",IF(ISNA(VLOOKUP($B153,'E-1 Off Site Hedge Baseline'!$B$1:$L$257,5,FALSE)),"",(VLOOKUP($B153,'E-1 Off Site Hedge Baseline'!$B$1:$L$257,5,FALSE))))</f>
        <v/>
      </c>
      <c r="F153" s="520" t="str">
        <f>IF(B153="","",IF(ISNA(VLOOKUP($B153,'E-1 Off Site Hedge Baseline'!$B$1:$L$257,6,FALSE)),"",(VLOOKUP($B153,'E-1 Off Site Hedge Baseline'!$B$1:$L$257,6,FALSE))))</f>
        <v/>
      </c>
      <c r="G153" s="520" t="str">
        <f>IF(B153="","",IF(ISNA(VLOOKUP($B153,'E-1 Off Site Hedge Baseline'!$B$1:$L$257,7,FALSE)),"",(VLOOKUP($B153,'E-1 Off Site Hedge Baseline'!$B$1:$L$257,7,FALSE))))</f>
        <v/>
      </c>
      <c r="H153" s="520" t="str">
        <f>IF(B153="","",IF(ISNA(VLOOKUP($B153,'E-1 Off Site Hedge Baseline'!$B$1:$L$257,8,FALSE)),"",(VLOOKUP($B153,'E-1 Off Site Hedge Baseline'!$B$1:$L$257,8,FALSE))))</f>
        <v/>
      </c>
      <c r="I153" s="520" t="str">
        <f>IF(B153="","",IF(ISNA(VLOOKUP($B153,'E-1 Off Site Hedge Baseline'!$B$1:$L$257,10,FALSE)),"",(VLOOKUP($B153,'E-1 Off Site Hedge Baseline'!$B$1:$L$257,10,FALSE))))</f>
        <v/>
      </c>
      <c r="J153" s="520" t="str">
        <f>IF(B153="","",IF(ISNA(VLOOKUP($B153,'E-1 Off Site Hedge Baseline'!$B$1:$L$257,11,FALSE)),"",(VLOOKUP($B153,'E-1 Off Site Hedge Baseline'!$B$1:$L$257,11,FALSE))))</f>
        <v/>
      </c>
      <c r="K153" s="520" t="str">
        <f>IF(B153="","",IF(ISNA(VLOOKUP($B153,'E-1 Off Site Hedge Baseline'!$B$1:$U$257,113,FALSE)),"",(VLOOKUP($B153,'E-1 Off Site Hedge Baseline'!$B$1:$U$257,13,FALSE))))</f>
        <v/>
      </c>
      <c r="L153" s="507" t="str">
        <f>IF(B153="","",IF(ISNA(VLOOKUP($B153,'E-1 Off Site Hedge Baseline'!$B$1:$U$257,12,FALSE)),"",(VLOOKUP($B153,'E-1 Off Site Hedge Baseline'!$B$1:$U$257,12,FALSE))))</f>
        <v/>
      </c>
      <c r="M153" s="418" t="str">
        <f t="shared" si="24"/>
        <v/>
      </c>
      <c r="N153" s="498" t="str">
        <f>IFERROR(IF(B153="","",INDEX('G-6 Hedgerow Data'!$AN$3:$AZ$15,MATCH(C153,'G-6 Hedgerow Data'!$AM$3:$AM$15,0),MATCH(M153,'G-6 Hedgerow Data'!$AN$2:$AZ$2,0))),"")</f>
        <v/>
      </c>
      <c r="O153" s="499" t="str">
        <f t="shared" si="18"/>
        <v/>
      </c>
      <c r="P153" s="505" t="str">
        <f>IF(B153="","",VLOOKUP(B153,'E-1 Off Site Hedge Baseline'!$B$10:T398,16,FALSE))</f>
        <v/>
      </c>
      <c r="Q153" s="498" t="str">
        <f>IF(M153="","",VLOOKUP(M153,'G-6 Hedgerow Data'!$B$2:$AG$15,2,FALSE))</f>
        <v/>
      </c>
      <c r="R153" s="499" t="str">
        <f>IF(M153="","",VLOOKUP(M153,'G-6 Hedgerow Data'!$B$2:$AG$15,3,FALSE))</f>
        <v/>
      </c>
      <c r="S153" s="145"/>
      <c r="T153" s="499" t="str">
        <f>IFERROR(IF(AND(Q153="V.Low",OR(S153="Good",S153="Moderate")),"Error ▲",VLOOKUP(S153,'G-1 All Habitats'!$Z$2:$AA$9,2,FALSE)),"")</f>
        <v/>
      </c>
      <c r="U153" s="145"/>
      <c r="V153" s="507" t="str">
        <f>IF(U153="","",IF(VLOOKUP(U153,'G-3 Multipliers'!$L$3:$N$6,2,FALSE)=0,"Spatial Data Missing ⚠",VLOOKUP(U153,'G-3 Multipliers'!$L$3:$N$6,2,FALSE)))</f>
        <v/>
      </c>
      <c r="W153" s="505"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7"/>
        <v/>
      </c>
      <c r="AD153" s="537" t="str">
        <f>IF(M153="","",VLOOKUP(M153,'G-6 Hedgerow Data'!$B$3:$AG$15,31,FALSE))</f>
        <v/>
      </c>
      <c r="AE153" s="520" t="str">
        <f t="shared" si="21"/>
        <v/>
      </c>
      <c r="AF153" s="520" t="str">
        <f t="shared" si="22"/>
        <v/>
      </c>
      <c r="AG153" s="524" t="str">
        <f>IFERROR(IF(O153="","",VLOOKUP(AD153,'G-3 Multipliers'!$P$3:$Q$6,2,FALSE)),"")</f>
        <v/>
      </c>
      <c r="AH153" s="197"/>
      <c r="AI153" s="499" t="str">
        <f>IF(AH153="","",IF(VLOOKUP(AH153,'G-3 Multipliers'!$S$3:$T$6,2,FALSE)=0,"Spatial Data Missing ⚠",VLOOKUP(AH153,'G-3 Multipliers'!$S$3:$T$6,2,FALSE)))</f>
        <v/>
      </c>
      <c r="AJ153" s="545" t="str">
        <f t="shared" si="23"/>
        <v/>
      </c>
      <c r="AK153" s="149"/>
      <c r="AL153" s="150"/>
      <c r="AP153" s="31" t="str">
        <f>IFERROR(INDEX('G-6 Hedgerow Data'!$BJ$3:$BJ$15,MATCH(M153,'G-6 Hedgerow Data'!$B$3:$B$15,0)),"")</f>
        <v/>
      </c>
    </row>
    <row r="154" spans="2:42" ht="13.8" x14ac:dyDescent="0.25">
      <c r="B154" s="531" t="str">
        <f>'E-1 Off Site Hedge Baseline'!AK152</f>
        <v/>
      </c>
      <c r="C154" s="520" t="str">
        <f>IF(B154="","",IF(ISNA(VLOOKUP($B154,'E-1 Off Site Hedge Baseline'!$B$1:$L$257,3,FALSE)),"",(VLOOKUP($B154,'E-1 Off Site Hedge Baseline'!$B$1:$L$257,3,FALSE))))</f>
        <v/>
      </c>
      <c r="D154" s="520" t="str">
        <f>IF(B154="","",IF(ISNA(VLOOKUP($B154,'E-1 Off Site Hedge Baseline'!$B$1:$L$258,4,FALSE)),"",(VLOOKUP($B154,'E-1 Off Site Hedge Baseline'!$B$1:$L$258,4,FALSE))))</f>
        <v/>
      </c>
      <c r="E154" s="520" t="str">
        <f>IF(B154="","",IF(ISNA(VLOOKUP($B154,'E-1 Off Site Hedge Baseline'!$B$1:$L$257,5,FALSE)),"",(VLOOKUP($B154,'E-1 Off Site Hedge Baseline'!$B$1:$L$257,5,FALSE))))</f>
        <v/>
      </c>
      <c r="F154" s="520" t="str">
        <f>IF(B154="","",IF(ISNA(VLOOKUP($B154,'E-1 Off Site Hedge Baseline'!$B$1:$L$257,6,FALSE)),"",(VLOOKUP($B154,'E-1 Off Site Hedge Baseline'!$B$1:$L$257,6,FALSE))))</f>
        <v/>
      </c>
      <c r="G154" s="520" t="str">
        <f>IF(B154="","",IF(ISNA(VLOOKUP($B154,'E-1 Off Site Hedge Baseline'!$B$1:$L$257,7,FALSE)),"",(VLOOKUP($B154,'E-1 Off Site Hedge Baseline'!$B$1:$L$257,7,FALSE))))</f>
        <v/>
      </c>
      <c r="H154" s="520" t="str">
        <f>IF(B154="","",IF(ISNA(VLOOKUP($B154,'E-1 Off Site Hedge Baseline'!$B$1:$L$257,8,FALSE)),"",(VLOOKUP($B154,'E-1 Off Site Hedge Baseline'!$B$1:$L$257,8,FALSE))))</f>
        <v/>
      </c>
      <c r="I154" s="520" t="str">
        <f>IF(B154="","",IF(ISNA(VLOOKUP($B154,'E-1 Off Site Hedge Baseline'!$B$1:$L$257,10,FALSE)),"",(VLOOKUP($B154,'E-1 Off Site Hedge Baseline'!$B$1:$L$257,10,FALSE))))</f>
        <v/>
      </c>
      <c r="J154" s="520" t="str">
        <f>IF(B154="","",IF(ISNA(VLOOKUP($B154,'E-1 Off Site Hedge Baseline'!$B$1:$L$257,11,FALSE)),"",(VLOOKUP($B154,'E-1 Off Site Hedge Baseline'!$B$1:$L$257,11,FALSE))))</f>
        <v/>
      </c>
      <c r="K154" s="520" t="str">
        <f>IF(B154="","",IF(ISNA(VLOOKUP($B154,'E-1 Off Site Hedge Baseline'!$B$1:$U$257,113,FALSE)),"",(VLOOKUP($B154,'E-1 Off Site Hedge Baseline'!$B$1:$U$257,13,FALSE))))</f>
        <v/>
      </c>
      <c r="L154" s="507" t="str">
        <f>IF(B154="","",IF(ISNA(VLOOKUP($B154,'E-1 Off Site Hedge Baseline'!$B$1:$U$257,12,FALSE)),"",(VLOOKUP($B154,'E-1 Off Site Hedge Baseline'!$B$1:$U$257,12,FALSE))))</f>
        <v/>
      </c>
      <c r="M154" s="418" t="str">
        <f t="shared" si="24"/>
        <v/>
      </c>
      <c r="N154" s="498" t="str">
        <f>IFERROR(IF(B154="","",INDEX('G-6 Hedgerow Data'!$AN$3:$AZ$15,MATCH(C154,'G-6 Hedgerow Data'!$AM$3:$AM$15,0),MATCH(M154,'G-6 Hedgerow Data'!$AN$2:$AZ$2,0))),"")</f>
        <v/>
      </c>
      <c r="O154" s="499" t="str">
        <f t="shared" si="18"/>
        <v/>
      </c>
      <c r="P154" s="505" t="str">
        <f>IF(B154="","",VLOOKUP(B154,'E-1 Off Site Hedge Baseline'!$B$10:T399,16,FALSE))</f>
        <v/>
      </c>
      <c r="Q154" s="498" t="str">
        <f>IF(M154="","",VLOOKUP(M154,'G-6 Hedgerow Data'!$B$2:$AG$15,2,FALSE))</f>
        <v/>
      </c>
      <c r="R154" s="499" t="str">
        <f>IF(M154="","",VLOOKUP(M154,'G-6 Hedgerow Data'!$B$2:$AG$15,3,FALSE))</f>
        <v/>
      </c>
      <c r="S154" s="145"/>
      <c r="T154" s="499" t="str">
        <f>IFERROR(IF(AND(Q154="V.Low",OR(S154="Good",S154="Moderate")),"Error ▲",VLOOKUP(S154,'G-1 All Habitats'!$Z$2:$AA$9,2,FALSE)),"")</f>
        <v/>
      </c>
      <c r="U154" s="145"/>
      <c r="V154" s="507" t="str">
        <f>IF(U154="","",IF(VLOOKUP(U154,'G-3 Multipliers'!$L$3:$N$6,2,FALSE)=0,"Spatial Data Missing ⚠",VLOOKUP(U154,'G-3 Multipliers'!$L$3:$N$6,2,FALSE)))</f>
        <v/>
      </c>
      <c r="W154" s="505"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7"/>
        <v/>
      </c>
      <c r="AD154" s="537" t="str">
        <f>IF(M154="","",VLOOKUP(M154,'G-6 Hedgerow Data'!$B$3:$AG$15,31,FALSE))</f>
        <v/>
      </c>
      <c r="AE154" s="520" t="str">
        <f t="shared" si="21"/>
        <v/>
      </c>
      <c r="AF154" s="520" t="str">
        <f t="shared" si="22"/>
        <v/>
      </c>
      <c r="AG154" s="524" t="str">
        <f>IFERROR(IF(O154="","",VLOOKUP(AD154,'G-3 Multipliers'!$P$3:$Q$6,2,FALSE)),"")</f>
        <v/>
      </c>
      <c r="AH154" s="197"/>
      <c r="AI154" s="499" t="str">
        <f>IF(AH154="","",IF(VLOOKUP(AH154,'G-3 Multipliers'!$S$3:$T$6,2,FALSE)=0,"Spatial Data Missing ⚠",VLOOKUP(AH154,'G-3 Multipliers'!$S$3:$T$6,2,FALSE)))</f>
        <v/>
      </c>
      <c r="AJ154" s="545" t="str">
        <f t="shared" si="23"/>
        <v/>
      </c>
      <c r="AK154" s="149"/>
      <c r="AL154" s="150"/>
      <c r="AP154" s="31" t="str">
        <f>IFERROR(INDEX('G-6 Hedgerow Data'!$BJ$3:$BJ$15,MATCH(M154,'G-6 Hedgerow Data'!$B$3:$B$15,0)),"")</f>
        <v/>
      </c>
    </row>
    <row r="155" spans="2:42" ht="13.8" x14ac:dyDescent="0.25">
      <c r="B155" s="531" t="str">
        <f>'E-1 Off Site Hedge Baseline'!AK153</f>
        <v/>
      </c>
      <c r="C155" s="520" t="str">
        <f>IF(B155="","",IF(ISNA(VLOOKUP($B155,'E-1 Off Site Hedge Baseline'!$B$1:$L$257,3,FALSE)),"",(VLOOKUP($B155,'E-1 Off Site Hedge Baseline'!$B$1:$L$257,3,FALSE))))</f>
        <v/>
      </c>
      <c r="D155" s="520" t="str">
        <f>IF(B155="","",IF(ISNA(VLOOKUP($B155,'E-1 Off Site Hedge Baseline'!$B$1:$L$258,4,FALSE)),"",(VLOOKUP($B155,'E-1 Off Site Hedge Baseline'!$B$1:$L$258,4,FALSE))))</f>
        <v/>
      </c>
      <c r="E155" s="520" t="str">
        <f>IF(B155="","",IF(ISNA(VLOOKUP($B155,'E-1 Off Site Hedge Baseline'!$B$1:$L$257,5,FALSE)),"",(VLOOKUP($B155,'E-1 Off Site Hedge Baseline'!$B$1:$L$257,5,FALSE))))</f>
        <v/>
      </c>
      <c r="F155" s="520" t="str">
        <f>IF(B155="","",IF(ISNA(VLOOKUP($B155,'E-1 Off Site Hedge Baseline'!$B$1:$L$257,6,FALSE)),"",(VLOOKUP($B155,'E-1 Off Site Hedge Baseline'!$B$1:$L$257,6,FALSE))))</f>
        <v/>
      </c>
      <c r="G155" s="520" t="str">
        <f>IF(B155="","",IF(ISNA(VLOOKUP($B155,'E-1 Off Site Hedge Baseline'!$B$1:$L$257,7,FALSE)),"",(VLOOKUP($B155,'E-1 Off Site Hedge Baseline'!$B$1:$L$257,7,FALSE))))</f>
        <v/>
      </c>
      <c r="H155" s="520" t="str">
        <f>IF(B155="","",IF(ISNA(VLOOKUP($B155,'E-1 Off Site Hedge Baseline'!$B$1:$L$257,8,FALSE)),"",(VLOOKUP($B155,'E-1 Off Site Hedge Baseline'!$B$1:$L$257,8,FALSE))))</f>
        <v/>
      </c>
      <c r="I155" s="520" t="str">
        <f>IF(B155="","",IF(ISNA(VLOOKUP($B155,'E-1 Off Site Hedge Baseline'!$B$1:$L$257,10,FALSE)),"",(VLOOKUP($B155,'E-1 Off Site Hedge Baseline'!$B$1:$L$257,10,FALSE))))</f>
        <v/>
      </c>
      <c r="J155" s="520" t="str">
        <f>IF(B155="","",IF(ISNA(VLOOKUP($B155,'E-1 Off Site Hedge Baseline'!$B$1:$L$257,11,FALSE)),"",(VLOOKUP($B155,'E-1 Off Site Hedge Baseline'!$B$1:$L$257,11,FALSE))))</f>
        <v/>
      </c>
      <c r="K155" s="520" t="str">
        <f>IF(B155="","",IF(ISNA(VLOOKUP($B155,'E-1 Off Site Hedge Baseline'!$B$1:$U$257,113,FALSE)),"",(VLOOKUP($B155,'E-1 Off Site Hedge Baseline'!$B$1:$U$257,13,FALSE))))</f>
        <v/>
      </c>
      <c r="L155" s="507" t="str">
        <f>IF(B155="","",IF(ISNA(VLOOKUP($B155,'E-1 Off Site Hedge Baseline'!$B$1:$U$257,12,FALSE)),"",(VLOOKUP($B155,'E-1 Off Site Hedge Baseline'!$B$1:$U$257,12,FALSE))))</f>
        <v/>
      </c>
      <c r="M155" s="418" t="str">
        <f t="shared" si="24"/>
        <v/>
      </c>
      <c r="N155" s="498" t="str">
        <f>IFERROR(IF(B155="","",INDEX('G-6 Hedgerow Data'!$AN$3:$AZ$15,MATCH(C155,'G-6 Hedgerow Data'!$AM$3:$AM$15,0),MATCH(M155,'G-6 Hedgerow Data'!$AN$2:$AZ$2,0))),"")</f>
        <v/>
      </c>
      <c r="O155" s="499" t="str">
        <f t="shared" si="18"/>
        <v/>
      </c>
      <c r="P155" s="505" t="str">
        <f>IF(B155="","",VLOOKUP(B155,'E-1 Off Site Hedge Baseline'!$B$10:T400,16,FALSE))</f>
        <v/>
      </c>
      <c r="Q155" s="498" t="str">
        <f>IF(M155="","",VLOOKUP(M155,'G-6 Hedgerow Data'!$B$2:$AG$15,2,FALSE))</f>
        <v/>
      </c>
      <c r="R155" s="499" t="str">
        <f>IF(M155="","",VLOOKUP(M155,'G-6 Hedgerow Data'!$B$2:$AG$15,3,FALSE))</f>
        <v/>
      </c>
      <c r="S155" s="145"/>
      <c r="T155" s="499" t="str">
        <f>IFERROR(IF(AND(Q155="V.Low",OR(S155="Good",S155="Moderate")),"Error ▲",VLOOKUP(S155,'G-1 All Habitats'!$Z$2:$AA$9,2,FALSE)),"")</f>
        <v/>
      </c>
      <c r="U155" s="145"/>
      <c r="V155" s="507" t="str">
        <f>IF(U155="","",IF(VLOOKUP(U155,'G-3 Multipliers'!$L$3:$N$6,2,FALSE)=0,"Spatial Data Missing ⚠",VLOOKUP(U155,'G-3 Multipliers'!$L$3:$N$6,2,FALSE)))</f>
        <v/>
      </c>
      <c r="W155" s="505"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7"/>
        <v/>
      </c>
      <c r="AD155" s="537" t="str">
        <f>IF(M155="","",VLOOKUP(M155,'G-6 Hedgerow Data'!$B$3:$AG$15,31,FALSE))</f>
        <v/>
      </c>
      <c r="AE155" s="520" t="str">
        <f t="shared" si="21"/>
        <v/>
      </c>
      <c r="AF155" s="520" t="str">
        <f t="shared" si="22"/>
        <v/>
      </c>
      <c r="AG155" s="524" t="str">
        <f>IFERROR(IF(O155="","",VLOOKUP(AD155,'G-3 Multipliers'!$P$3:$Q$6,2,FALSE)),"")</f>
        <v/>
      </c>
      <c r="AH155" s="197"/>
      <c r="AI155" s="499" t="str">
        <f>IF(AH155="","",IF(VLOOKUP(AH155,'G-3 Multipliers'!$S$3:$T$6,2,FALSE)=0,"Spatial Data Missing ⚠",VLOOKUP(AH155,'G-3 Multipliers'!$S$3:$T$6,2,FALSE)))</f>
        <v/>
      </c>
      <c r="AJ155" s="545" t="str">
        <f t="shared" si="23"/>
        <v/>
      </c>
      <c r="AK155" s="149"/>
      <c r="AL155" s="150"/>
      <c r="AP155" s="31" t="str">
        <f>IFERROR(INDEX('G-6 Hedgerow Data'!$BJ$3:$BJ$15,MATCH(M155,'G-6 Hedgerow Data'!$B$3:$B$15,0)),"")</f>
        <v/>
      </c>
    </row>
    <row r="156" spans="2:42" ht="13.8" x14ac:dyDescent="0.25">
      <c r="B156" s="531" t="str">
        <f>'E-1 Off Site Hedge Baseline'!AK154</f>
        <v/>
      </c>
      <c r="C156" s="520" t="str">
        <f>IF(B156="","",IF(ISNA(VLOOKUP($B156,'E-1 Off Site Hedge Baseline'!$B$1:$L$257,3,FALSE)),"",(VLOOKUP($B156,'E-1 Off Site Hedge Baseline'!$B$1:$L$257,3,FALSE))))</f>
        <v/>
      </c>
      <c r="D156" s="520" t="str">
        <f>IF(B156="","",IF(ISNA(VLOOKUP($B156,'E-1 Off Site Hedge Baseline'!$B$1:$L$258,4,FALSE)),"",(VLOOKUP($B156,'E-1 Off Site Hedge Baseline'!$B$1:$L$258,4,FALSE))))</f>
        <v/>
      </c>
      <c r="E156" s="520" t="str">
        <f>IF(B156="","",IF(ISNA(VLOOKUP($B156,'E-1 Off Site Hedge Baseline'!$B$1:$L$257,5,FALSE)),"",(VLOOKUP($B156,'E-1 Off Site Hedge Baseline'!$B$1:$L$257,5,FALSE))))</f>
        <v/>
      </c>
      <c r="F156" s="520" t="str">
        <f>IF(B156="","",IF(ISNA(VLOOKUP($B156,'E-1 Off Site Hedge Baseline'!$B$1:$L$257,6,FALSE)),"",(VLOOKUP($B156,'E-1 Off Site Hedge Baseline'!$B$1:$L$257,6,FALSE))))</f>
        <v/>
      </c>
      <c r="G156" s="520" t="str">
        <f>IF(B156="","",IF(ISNA(VLOOKUP($B156,'E-1 Off Site Hedge Baseline'!$B$1:$L$257,7,FALSE)),"",(VLOOKUP($B156,'E-1 Off Site Hedge Baseline'!$B$1:$L$257,7,FALSE))))</f>
        <v/>
      </c>
      <c r="H156" s="520" t="str">
        <f>IF(B156="","",IF(ISNA(VLOOKUP($B156,'E-1 Off Site Hedge Baseline'!$B$1:$L$257,8,FALSE)),"",(VLOOKUP($B156,'E-1 Off Site Hedge Baseline'!$B$1:$L$257,8,FALSE))))</f>
        <v/>
      </c>
      <c r="I156" s="520" t="str">
        <f>IF(B156="","",IF(ISNA(VLOOKUP($B156,'E-1 Off Site Hedge Baseline'!$B$1:$L$257,10,FALSE)),"",(VLOOKUP($B156,'E-1 Off Site Hedge Baseline'!$B$1:$L$257,10,FALSE))))</f>
        <v/>
      </c>
      <c r="J156" s="520" t="str">
        <f>IF(B156="","",IF(ISNA(VLOOKUP($B156,'E-1 Off Site Hedge Baseline'!$B$1:$L$257,11,FALSE)),"",(VLOOKUP($B156,'E-1 Off Site Hedge Baseline'!$B$1:$L$257,11,FALSE))))</f>
        <v/>
      </c>
      <c r="K156" s="520" t="str">
        <f>IF(B156="","",IF(ISNA(VLOOKUP($B156,'E-1 Off Site Hedge Baseline'!$B$1:$U$257,113,FALSE)),"",(VLOOKUP($B156,'E-1 Off Site Hedge Baseline'!$B$1:$U$257,13,FALSE))))</f>
        <v/>
      </c>
      <c r="L156" s="507" t="str">
        <f>IF(B156="","",IF(ISNA(VLOOKUP($B156,'E-1 Off Site Hedge Baseline'!$B$1:$U$257,12,FALSE)),"",(VLOOKUP($B156,'E-1 Off Site Hedge Baseline'!$B$1:$U$257,12,FALSE))))</f>
        <v/>
      </c>
      <c r="M156" s="418" t="str">
        <f t="shared" si="24"/>
        <v/>
      </c>
      <c r="N156" s="498" t="str">
        <f>IFERROR(IF(B156="","",INDEX('G-6 Hedgerow Data'!$AN$3:$AZ$15,MATCH(C156,'G-6 Hedgerow Data'!$AM$3:$AM$15,0),MATCH(M156,'G-6 Hedgerow Data'!$AN$2:$AZ$2,0))),"")</f>
        <v/>
      </c>
      <c r="O156" s="499" t="str">
        <f t="shared" si="18"/>
        <v/>
      </c>
      <c r="P156" s="505" t="str">
        <f>IF(B156="","",VLOOKUP(B156,'E-1 Off Site Hedge Baseline'!$B$10:T401,16,FALSE))</f>
        <v/>
      </c>
      <c r="Q156" s="498" t="str">
        <f>IF(M156="","",VLOOKUP(M156,'G-6 Hedgerow Data'!$B$2:$AG$15,2,FALSE))</f>
        <v/>
      </c>
      <c r="R156" s="499" t="str">
        <f>IF(M156="","",VLOOKUP(M156,'G-6 Hedgerow Data'!$B$2:$AG$15,3,FALSE))</f>
        <v/>
      </c>
      <c r="S156" s="145"/>
      <c r="T156" s="499" t="str">
        <f>IFERROR(IF(AND(Q156="V.Low",OR(S156="Good",S156="Moderate")),"Error ▲",VLOOKUP(S156,'G-1 All Habitats'!$Z$2:$AA$9,2,FALSE)),"")</f>
        <v/>
      </c>
      <c r="U156" s="145"/>
      <c r="V156" s="507" t="str">
        <f>IF(U156="","",IF(VLOOKUP(U156,'G-3 Multipliers'!$L$3:$N$6,2,FALSE)=0,"Spatial Data Missing ⚠",VLOOKUP(U156,'G-3 Multipliers'!$L$3:$N$6,2,FALSE)))</f>
        <v/>
      </c>
      <c r="W156" s="505"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7"/>
        <v/>
      </c>
      <c r="AD156" s="537" t="str">
        <f>IF(M156="","",VLOOKUP(M156,'G-6 Hedgerow Data'!$B$3:$AG$15,31,FALSE))</f>
        <v/>
      </c>
      <c r="AE156" s="520" t="str">
        <f t="shared" si="21"/>
        <v/>
      </c>
      <c r="AF156" s="520" t="str">
        <f t="shared" si="22"/>
        <v/>
      </c>
      <c r="AG156" s="524" t="str">
        <f>IFERROR(IF(O156="","",VLOOKUP(AD156,'G-3 Multipliers'!$P$3:$Q$6,2,FALSE)),"")</f>
        <v/>
      </c>
      <c r="AH156" s="197"/>
      <c r="AI156" s="499" t="str">
        <f>IF(AH156="","",IF(VLOOKUP(AH156,'G-3 Multipliers'!$S$3:$T$6,2,FALSE)=0,"Spatial Data Missing ⚠",VLOOKUP(AH156,'G-3 Multipliers'!$S$3:$T$6,2,FALSE)))</f>
        <v/>
      </c>
      <c r="AJ156" s="545" t="str">
        <f t="shared" si="23"/>
        <v/>
      </c>
      <c r="AK156" s="149"/>
      <c r="AL156" s="150"/>
      <c r="AP156" s="31" t="str">
        <f>IFERROR(INDEX('G-6 Hedgerow Data'!$BJ$3:$BJ$15,MATCH(M156,'G-6 Hedgerow Data'!$B$3:$B$15,0)),"")</f>
        <v/>
      </c>
    </row>
    <row r="157" spans="2:42" ht="13.8" x14ac:dyDescent="0.25">
      <c r="B157" s="531" t="str">
        <f>'E-1 Off Site Hedge Baseline'!AK155</f>
        <v/>
      </c>
      <c r="C157" s="520" t="str">
        <f>IF(B157="","",IF(ISNA(VLOOKUP($B157,'E-1 Off Site Hedge Baseline'!$B$1:$L$257,3,FALSE)),"",(VLOOKUP($B157,'E-1 Off Site Hedge Baseline'!$B$1:$L$257,3,FALSE))))</f>
        <v/>
      </c>
      <c r="D157" s="520" t="str">
        <f>IF(B157="","",IF(ISNA(VLOOKUP($B157,'E-1 Off Site Hedge Baseline'!$B$1:$L$258,4,FALSE)),"",(VLOOKUP($B157,'E-1 Off Site Hedge Baseline'!$B$1:$L$258,4,FALSE))))</f>
        <v/>
      </c>
      <c r="E157" s="520" t="str">
        <f>IF(B157="","",IF(ISNA(VLOOKUP($B157,'E-1 Off Site Hedge Baseline'!$B$1:$L$257,5,FALSE)),"",(VLOOKUP($B157,'E-1 Off Site Hedge Baseline'!$B$1:$L$257,5,FALSE))))</f>
        <v/>
      </c>
      <c r="F157" s="520" t="str">
        <f>IF(B157="","",IF(ISNA(VLOOKUP($B157,'E-1 Off Site Hedge Baseline'!$B$1:$L$257,6,FALSE)),"",(VLOOKUP($B157,'E-1 Off Site Hedge Baseline'!$B$1:$L$257,6,FALSE))))</f>
        <v/>
      </c>
      <c r="G157" s="520" t="str">
        <f>IF(B157="","",IF(ISNA(VLOOKUP($B157,'E-1 Off Site Hedge Baseline'!$B$1:$L$257,7,FALSE)),"",(VLOOKUP($B157,'E-1 Off Site Hedge Baseline'!$B$1:$L$257,7,FALSE))))</f>
        <v/>
      </c>
      <c r="H157" s="520" t="str">
        <f>IF(B157="","",IF(ISNA(VLOOKUP($B157,'E-1 Off Site Hedge Baseline'!$B$1:$L$257,8,FALSE)),"",(VLOOKUP($B157,'E-1 Off Site Hedge Baseline'!$B$1:$L$257,8,FALSE))))</f>
        <v/>
      </c>
      <c r="I157" s="520" t="str">
        <f>IF(B157="","",IF(ISNA(VLOOKUP($B157,'E-1 Off Site Hedge Baseline'!$B$1:$L$257,10,FALSE)),"",(VLOOKUP($B157,'E-1 Off Site Hedge Baseline'!$B$1:$L$257,10,FALSE))))</f>
        <v/>
      </c>
      <c r="J157" s="520" t="str">
        <f>IF(B157="","",IF(ISNA(VLOOKUP($B157,'E-1 Off Site Hedge Baseline'!$B$1:$L$257,11,FALSE)),"",(VLOOKUP($B157,'E-1 Off Site Hedge Baseline'!$B$1:$L$257,11,FALSE))))</f>
        <v/>
      </c>
      <c r="K157" s="520" t="str">
        <f>IF(B157="","",IF(ISNA(VLOOKUP($B157,'E-1 Off Site Hedge Baseline'!$B$1:$U$257,113,FALSE)),"",(VLOOKUP($B157,'E-1 Off Site Hedge Baseline'!$B$1:$U$257,13,FALSE))))</f>
        <v/>
      </c>
      <c r="L157" s="507" t="str">
        <f>IF(B157="","",IF(ISNA(VLOOKUP($B157,'E-1 Off Site Hedge Baseline'!$B$1:$U$257,12,FALSE)),"",(VLOOKUP($B157,'E-1 Off Site Hedge Baseline'!$B$1:$U$257,12,FALSE))))</f>
        <v/>
      </c>
      <c r="M157" s="418" t="str">
        <f t="shared" si="24"/>
        <v/>
      </c>
      <c r="N157" s="498" t="str">
        <f>IFERROR(IF(B157="","",INDEX('G-6 Hedgerow Data'!$AN$3:$AZ$15,MATCH(C157,'G-6 Hedgerow Data'!$AM$3:$AM$15,0),MATCH(M157,'G-6 Hedgerow Data'!$AN$2:$AZ$2,0))),"")</f>
        <v/>
      </c>
      <c r="O157" s="499" t="str">
        <f t="shared" si="18"/>
        <v/>
      </c>
      <c r="P157" s="505" t="str">
        <f>IF(B157="","",VLOOKUP(B157,'E-1 Off Site Hedge Baseline'!$B$10:T402,16,FALSE))</f>
        <v/>
      </c>
      <c r="Q157" s="498" t="str">
        <f>IF(M157="","",VLOOKUP(M157,'G-6 Hedgerow Data'!$B$2:$AG$15,2,FALSE))</f>
        <v/>
      </c>
      <c r="R157" s="499" t="str">
        <f>IF(M157="","",VLOOKUP(M157,'G-6 Hedgerow Data'!$B$2:$AG$15,3,FALSE))</f>
        <v/>
      </c>
      <c r="S157" s="145"/>
      <c r="T157" s="499" t="str">
        <f>IFERROR(IF(AND(Q157="V.Low",OR(S157="Good",S157="Moderate")),"Error ▲",VLOOKUP(S157,'G-1 All Habitats'!$Z$2:$AA$9,2,FALSE)),"")</f>
        <v/>
      </c>
      <c r="U157" s="145"/>
      <c r="V157" s="507" t="str">
        <f>IF(U157="","",IF(VLOOKUP(U157,'G-3 Multipliers'!$L$3:$N$6,2,FALSE)=0,"Spatial Data Missing ⚠",VLOOKUP(U157,'G-3 Multipliers'!$L$3:$N$6,2,FALSE)))</f>
        <v/>
      </c>
      <c r="W157" s="505"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7"/>
        <v/>
      </c>
      <c r="AD157" s="537" t="str">
        <f>IF(M157="","",VLOOKUP(M157,'G-6 Hedgerow Data'!$B$3:$AG$15,31,FALSE))</f>
        <v/>
      </c>
      <c r="AE157" s="520" t="str">
        <f t="shared" si="21"/>
        <v/>
      </c>
      <c r="AF157" s="520" t="str">
        <f t="shared" si="22"/>
        <v/>
      </c>
      <c r="AG157" s="524" t="str">
        <f>IFERROR(IF(O157="","",VLOOKUP(AD157,'G-3 Multipliers'!$P$3:$Q$6,2,FALSE)),"")</f>
        <v/>
      </c>
      <c r="AH157" s="197"/>
      <c r="AI157" s="499" t="str">
        <f>IF(AH157="","",IF(VLOOKUP(AH157,'G-3 Multipliers'!$S$3:$T$6,2,FALSE)=0,"Spatial Data Missing ⚠",VLOOKUP(AH157,'G-3 Multipliers'!$S$3:$T$6,2,FALSE)))</f>
        <v/>
      </c>
      <c r="AJ157" s="545" t="str">
        <f t="shared" si="23"/>
        <v/>
      </c>
      <c r="AK157" s="149"/>
      <c r="AL157" s="150"/>
      <c r="AP157" s="31" t="str">
        <f>IFERROR(INDEX('G-6 Hedgerow Data'!$BJ$3:$BJ$15,MATCH(M157,'G-6 Hedgerow Data'!$B$3:$B$15,0)),"")</f>
        <v/>
      </c>
    </row>
    <row r="158" spans="2:42" ht="13.8" x14ac:dyDescent="0.25">
      <c r="B158" s="531" t="str">
        <f>'E-1 Off Site Hedge Baseline'!AK156</f>
        <v/>
      </c>
      <c r="C158" s="520" t="str">
        <f>IF(B158="","",IF(ISNA(VLOOKUP($B158,'E-1 Off Site Hedge Baseline'!$B$1:$L$257,3,FALSE)),"",(VLOOKUP($B158,'E-1 Off Site Hedge Baseline'!$B$1:$L$257,3,FALSE))))</f>
        <v/>
      </c>
      <c r="D158" s="520" t="str">
        <f>IF(B158="","",IF(ISNA(VLOOKUP($B158,'E-1 Off Site Hedge Baseline'!$B$1:$L$258,4,FALSE)),"",(VLOOKUP($B158,'E-1 Off Site Hedge Baseline'!$B$1:$L$258,4,FALSE))))</f>
        <v/>
      </c>
      <c r="E158" s="520" t="str">
        <f>IF(B158="","",IF(ISNA(VLOOKUP($B158,'E-1 Off Site Hedge Baseline'!$B$1:$L$257,5,FALSE)),"",(VLOOKUP($B158,'E-1 Off Site Hedge Baseline'!$B$1:$L$257,5,FALSE))))</f>
        <v/>
      </c>
      <c r="F158" s="520" t="str">
        <f>IF(B158="","",IF(ISNA(VLOOKUP($B158,'E-1 Off Site Hedge Baseline'!$B$1:$L$257,6,FALSE)),"",(VLOOKUP($B158,'E-1 Off Site Hedge Baseline'!$B$1:$L$257,6,FALSE))))</f>
        <v/>
      </c>
      <c r="G158" s="520" t="str">
        <f>IF(B158="","",IF(ISNA(VLOOKUP($B158,'E-1 Off Site Hedge Baseline'!$B$1:$L$257,7,FALSE)),"",(VLOOKUP($B158,'E-1 Off Site Hedge Baseline'!$B$1:$L$257,7,FALSE))))</f>
        <v/>
      </c>
      <c r="H158" s="520" t="str">
        <f>IF(B158="","",IF(ISNA(VLOOKUP($B158,'E-1 Off Site Hedge Baseline'!$B$1:$L$257,8,FALSE)),"",(VLOOKUP($B158,'E-1 Off Site Hedge Baseline'!$B$1:$L$257,8,FALSE))))</f>
        <v/>
      </c>
      <c r="I158" s="520" t="str">
        <f>IF(B158="","",IF(ISNA(VLOOKUP($B158,'E-1 Off Site Hedge Baseline'!$B$1:$L$257,10,FALSE)),"",(VLOOKUP($B158,'E-1 Off Site Hedge Baseline'!$B$1:$L$257,10,FALSE))))</f>
        <v/>
      </c>
      <c r="J158" s="520" t="str">
        <f>IF(B158="","",IF(ISNA(VLOOKUP($B158,'E-1 Off Site Hedge Baseline'!$B$1:$L$257,11,FALSE)),"",(VLOOKUP($B158,'E-1 Off Site Hedge Baseline'!$B$1:$L$257,11,FALSE))))</f>
        <v/>
      </c>
      <c r="K158" s="520" t="str">
        <f>IF(B158="","",IF(ISNA(VLOOKUP($B158,'E-1 Off Site Hedge Baseline'!$B$1:$U$257,113,FALSE)),"",(VLOOKUP($B158,'E-1 Off Site Hedge Baseline'!$B$1:$U$257,13,FALSE))))</f>
        <v/>
      </c>
      <c r="L158" s="507" t="str">
        <f>IF(B158="","",IF(ISNA(VLOOKUP($B158,'E-1 Off Site Hedge Baseline'!$B$1:$U$257,12,FALSE)),"",(VLOOKUP($B158,'E-1 Off Site Hedge Baseline'!$B$1:$U$257,12,FALSE))))</f>
        <v/>
      </c>
      <c r="M158" s="418" t="str">
        <f t="shared" si="24"/>
        <v/>
      </c>
      <c r="N158" s="498" t="str">
        <f>IFERROR(IF(B158="","",INDEX('G-6 Hedgerow Data'!$AN$3:$AZ$15,MATCH(C158,'G-6 Hedgerow Data'!$AM$3:$AM$15,0),MATCH(M158,'G-6 Hedgerow Data'!$AN$2:$AZ$2,0))),"")</f>
        <v/>
      </c>
      <c r="O158" s="499" t="str">
        <f t="shared" si="18"/>
        <v/>
      </c>
      <c r="P158" s="505" t="str">
        <f>IF(B158="","",VLOOKUP(B158,'E-1 Off Site Hedge Baseline'!$B$10:T403,16,FALSE))</f>
        <v/>
      </c>
      <c r="Q158" s="498" t="str">
        <f>IF(M158="","",VLOOKUP(M158,'G-6 Hedgerow Data'!$B$2:$AG$15,2,FALSE))</f>
        <v/>
      </c>
      <c r="R158" s="499" t="str">
        <f>IF(M158="","",VLOOKUP(M158,'G-6 Hedgerow Data'!$B$2:$AG$15,3,FALSE))</f>
        <v/>
      </c>
      <c r="S158" s="145"/>
      <c r="T158" s="499" t="str">
        <f>IFERROR(IF(AND(Q158="V.Low",OR(S158="Good",S158="Moderate")),"Error ▲",VLOOKUP(S158,'G-1 All Habitats'!$Z$2:$AA$9,2,FALSE)),"")</f>
        <v/>
      </c>
      <c r="U158" s="145"/>
      <c r="V158" s="507" t="str">
        <f>IF(U158="","",IF(VLOOKUP(U158,'G-3 Multipliers'!$L$3:$N$6,2,FALSE)=0,"Spatial Data Missing ⚠",VLOOKUP(U158,'G-3 Multipliers'!$L$3:$N$6,2,FALSE)))</f>
        <v/>
      </c>
      <c r="W158" s="505"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7"/>
        <v/>
      </c>
      <c r="AD158" s="537" t="str">
        <f>IF(M158="","",VLOOKUP(M158,'G-6 Hedgerow Data'!$B$3:$AG$15,31,FALSE))</f>
        <v/>
      </c>
      <c r="AE158" s="520" t="str">
        <f t="shared" si="21"/>
        <v/>
      </c>
      <c r="AF158" s="520" t="str">
        <f t="shared" si="22"/>
        <v/>
      </c>
      <c r="AG158" s="524" t="str">
        <f>IFERROR(IF(O158="","",VLOOKUP(AD158,'G-3 Multipliers'!$P$3:$Q$6,2,FALSE)),"")</f>
        <v/>
      </c>
      <c r="AH158" s="197"/>
      <c r="AI158" s="499" t="str">
        <f>IF(AH158="","",IF(VLOOKUP(AH158,'G-3 Multipliers'!$S$3:$T$6,2,FALSE)=0,"Spatial Data Missing ⚠",VLOOKUP(AH158,'G-3 Multipliers'!$S$3:$T$6,2,FALSE)))</f>
        <v/>
      </c>
      <c r="AJ158" s="545" t="str">
        <f t="shared" si="23"/>
        <v/>
      </c>
      <c r="AK158" s="149"/>
      <c r="AL158" s="150"/>
      <c r="AP158" s="31" t="str">
        <f>IFERROR(INDEX('G-6 Hedgerow Data'!$BJ$3:$BJ$15,MATCH(M158,'G-6 Hedgerow Data'!$B$3:$B$15,0)),"")</f>
        <v/>
      </c>
    </row>
    <row r="159" spans="2:42" ht="13.8" x14ac:dyDescent="0.25">
      <c r="B159" s="531" t="str">
        <f>'E-1 Off Site Hedge Baseline'!AK157</f>
        <v/>
      </c>
      <c r="C159" s="520" t="str">
        <f>IF(B159="","",IF(ISNA(VLOOKUP($B159,'E-1 Off Site Hedge Baseline'!$B$1:$L$257,3,FALSE)),"",(VLOOKUP($B159,'E-1 Off Site Hedge Baseline'!$B$1:$L$257,3,FALSE))))</f>
        <v/>
      </c>
      <c r="D159" s="520" t="str">
        <f>IF(B159="","",IF(ISNA(VLOOKUP($B159,'E-1 Off Site Hedge Baseline'!$B$1:$L$258,4,FALSE)),"",(VLOOKUP($B159,'E-1 Off Site Hedge Baseline'!$B$1:$L$258,4,FALSE))))</f>
        <v/>
      </c>
      <c r="E159" s="520" t="str">
        <f>IF(B159="","",IF(ISNA(VLOOKUP($B159,'E-1 Off Site Hedge Baseline'!$B$1:$L$257,5,FALSE)),"",(VLOOKUP($B159,'E-1 Off Site Hedge Baseline'!$B$1:$L$257,5,FALSE))))</f>
        <v/>
      </c>
      <c r="F159" s="520" t="str">
        <f>IF(B159="","",IF(ISNA(VLOOKUP($B159,'E-1 Off Site Hedge Baseline'!$B$1:$L$257,6,FALSE)),"",(VLOOKUP($B159,'E-1 Off Site Hedge Baseline'!$B$1:$L$257,6,FALSE))))</f>
        <v/>
      </c>
      <c r="G159" s="520" t="str">
        <f>IF(B159="","",IF(ISNA(VLOOKUP($B159,'E-1 Off Site Hedge Baseline'!$B$1:$L$257,7,FALSE)),"",(VLOOKUP($B159,'E-1 Off Site Hedge Baseline'!$B$1:$L$257,7,FALSE))))</f>
        <v/>
      </c>
      <c r="H159" s="520" t="str">
        <f>IF(B159="","",IF(ISNA(VLOOKUP($B159,'E-1 Off Site Hedge Baseline'!$B$1:$L$257,8,FALSE)),"",(VLOOKUP($B159,'E-1 Off Site Hedge Baseline'!$B$1:$L$257,8,FALSE))))</f>
        <v/>
      </c>
      <c r="I159" s="520" t="str">
        <f>IF(B159="","",IF(ISNA(VLOOKUP($B159,'E-1 Off Site Hedge Baseline'!$B$1:$L$257,10,FALSE)),"",(VLOOKUP($B159,'E-1 Off Site Hedge Baseline'!$B$1:$L$257,10,FALSE))))</f>
        <v/>
      </c>
      <c r="J159" s="520" t="str">
        <f>IF(B159="","",IF(ISNA(VLOOKUP($B159,'E-1 Off Site Hedge Baseline'!$B$1:$L$257,11,FALSE)),"",(VLOOKUP($B159,'E-1 Off Site Hedge Baseline'!$B$1:$L$257,11,FALSE))))</f>
        <v/>
      </c>
      <c r="K159" s="520" t="str">
        <f>IF(B159="","",IF(ISNA(VLOOKUP($B159,'E-1 Off Site Hedge Baseline'!$B$1:$U$257,113,FALSE)),"",(VLOOKUP($B159,'E-1 Off Site Hedge Baseline'!$B$1:$U$257,13,FALSE))))</f>
        <v/>
      </c>
      <c r="L159" s="507" t="str">
        <f>IF(B159="","",IF(ISNA(VLOOKUP($B159,'E-1 Off Site Hedge Baseline'!$B$1:$U$257,12,FALSE)),"",(VLOOKUP($B159,'E-1 Off Site Hedge Baseline'!$B$1:$U$257,12,FALSE))))</f>
        <v/>
      </c>
      <c r="M159" s="418" t="str">
        <f t="shared" si="24"/>
        <v/>
      </c>
      <c r="N159" s="498" t="str">
        <f>IFERROR(IF(B159="","",INDEX('G-6 Hedgerow Data'!$AN$3:$AZ$15,MATCH(C159,'G-6 Hedgerow Data'!$AM$3:$AM$15,0),MATCH(M159,'G-6 Hedgerow Data'!$AN$2:$AZ$2,0))),"")</f>
        <v/>
      </c>
      <c r="O159" s="499" t="str">
        <f t="shared" si="18"/>
        <v/>
      </c>
      <c r="P159" s="505" t="str">
        <f>IF(B159="","",VLOOKUP(B159,'E-1 Off Site Hedge Baseline'!$B$10:T404,16,FALSE))</f>
        <v/>
      </c>
      <c r="Q159" s="498" t="str">
        <f>IF(M159="","",VLOOKUP(M159,'G-6 Hedgerow Data'!$B$2:$AG$15,2,FALSE))</f>
        <v/>
      </c>
      <c r="R159" s="499" t="str">
        <f>IF(M159="","",VLOOKUP(M159,'G-6 Hedgerow Data'!$B$2:$AG$15,3,FALSE))</f>
        <v/>
      </c>
      <c r="S159" s="145"/>
      <c r="T159" s="499" t="str">
        <f>IFERROR(IF(AND(Q159="V.Low",OR(S159="Good",S159="Moderate")),"Error ▲",VLOOKUP(S159,'G-1 All Habitats'!$Z$2:$AA$9,2,FALSE)),"")</f>
        <v/>
      </c>
      <c r="U159" s="145"/>
      <c r="V159" s="507" t="str">
        <f>IF(U159="","",IF(VLOOKUP(U159,'G-3 Multipliers'!$L$3:$N$6,2,FALSE)=0,"Spatial Data Missing ⚠",VLOOKUP(U159,'G-3 Multipliers'!$L$3:$N$6,2,FALSE)))</f>
        <v/>
      </c>
      <c r="W159" s="505"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7"/>
        <v/>
      </c>
      <c r="AD159" s="537" t="str">
        <f>IF(M159="","",VLOOKUP(M159,'G-6 Hedgerow Data'!$B$3:$AG$15,31,FALSE))</f>
        <v/>
      </c>
      <c r="AE159" s="520" t="str">
        <f t="shared" si="21"/>
        <v/>
      </c>
      <c r="AF159" s="520" t="str">
        <f t="shared" si="22"/>
        <v/>
      </c>
      <c r="AG159" s="524" t="str">
        <f>IFERROR(IF(O159="","",VLOOKUP(AD159,'G-3 Multipliers'!$P$3:$Q$6,2,FALSE)),"")</f>
        <v/>
      </c>
      <c r="AH159" s="197"/>
      <c r="AI159" s="499" t="str">
        <f>IF(AH159="","",IF(VLOOKUP(AH159,'G-3 Multipliers'!$S$3:$T$6,2,FALSE)=0,"Spatial Data Missing ⚠",VLOOKUP(AH159,'G-3 Multipliers'!$S$3:$T$6,2,FALSE)))</f>
        <v/>
      </c>
      <c r="AJ159" s="545" t="str">
        <f t="shared" si="23"/>
        <v/>
      </c>
      <c r="AK159" s="149"/>
      <c r="AL159" s="150"/>
      <c r="AP159" s="31" t="str">
        <f>IFERROR(INDEX('G-6 Hedgerow Data'!$BJ$3:$BJ$15,MATCH(M159,'G-6 Hedgerow Data'!$B$3:$B$15,0)),"")</f>
        <v/>
      </c>
    </row>
    <row r="160" spans="2:42" ht="13.8" x14ac:dyDescent="0.25">
      <c r="B160" s="531" t="str">
        <f>'E-1 Off Site Hedge Baseline'!AK158</f>
        <v/>
      </c>
      <c r="C160" s="520" t="str">
        <f>IF(B160="","",IF(ISNA(VLOOKUP($B160,'E-1 Off Site Hedge Baseline'!$B$1:$L$257,3,FALSE)),"",(VLOOKUP($B160,'E-1 Off Site Hedge Baseline'!$B$1:$L$257,3,FALSE))))</f>
        <v/>
      </c>
      <c r="D160" s="520" t="str">
        <f>IF(B160="","",IF(ISNA(VLOOKUP($B160,'E-1 Off Site Hedge Baseline'!$B$1:$L$258,4,FALSE)),"",(VLOOKUP($B160,'E-1 Off Site Hedge Baseline'!$B$1:$L$258,4,FALSE))))</f>
        <v/>
      </c>
      <c r="E160" s="520" t="str">
        <f>IF(B160="","",IF(ISNA(VLOOKUP($B160,'E-1 Off Site Hedge Baseline'!$B$1:$L$257,5,FALSE)),"",(VLOOKUP($B160,'E-1 Off Site Hedge Baseline'!$B$1:$L$257,5,FALSE))))</f>
        <v/>
      </c>
      <c r="F160" s="520" t="str">
        <f>IF(B160="","",IF(ISNA(VLOOKUP($B160,'E-1 Off Site Hedge Baseline'!$B$1:$L$257,6,FALSE)),"",(VLOOKUP($B160,'E-1 Off Site Hedge Baseline'!$B$1:$L$257,6,FALSE))))</f>
        <v/>
      </c>
      <c r="G160" s="520" t="str">
        <f>IF(B160="","",IF(ISNA(VLOOKUP($B160,'E-1 Off Site Hedge Baseline'!$B$1:$L$257,7,FALSE)),"",(VLOOKUP($B160,'E-1 Off Site Hedge Baseline'!$B$1:$L$257,7,FALSE))))</f>
        <v/>
      </c>
      <c r="H160" s="520" t="str">
        <f>IF(B160="","",IF(ISNA(VLOOKUP($B160,'E-1 Off Site Hedge Baseline'!$B$1:$L$257,8,FALSE)),"",(VLOOKUP($B160,'E-1 Off Site Hedge Baseline'!$B$1:$L$257,8,FALSE))))</f>
        <v/>
      </c>
      <c r="I160" s="520" t="str">
        <f>IF(B160="","",IF(ISNA(VLOOKUP($B160,'E-1 Off Site Hedge Baseline'!$B$1:$L$257,10,FALSE)),"",(VLOOKUP($B160,'E-1 Off Site Hedge Baseline'!$B$1:$L$257,10,FALSE))))</f>
        <v/>
      </c>
      <c r="J160" s="520" t="str">
        <f>IF(B160="","",IF(ISNA(VLOOKUP($B160,'E-1 Off Site Hedge Baseline'!$B$1:$L$257,11,FALSE)),"",(VLOOKUP($B160,'E-1 Off Site Hedge Baseline'!$B$1:$L$257,11,FALSE))))</f>
        <v/>
      </c>
      <c r="K160" s="520" t="str">
        <f>IF(B160="","",IF(ISNA(VLOOKUP($B160,'E-1 Off Site Hedge Baseline'!$B$1:$U$257,113,FALSE)),"",(VLOOKUP($B160,'E-1 Off Site Hedge Baseline'!$B$1:$U$257,13,FALSE))))</f>
        <v/>
      </c>
      <c r="L160" s="507" t="str">
        <f>IF(B160="","",IF(ISNA(VLOOKUP($B160,'E-1 Off Site Hedge Baseline'!$B$1:$U$257,12,FALSE)),"",(VLOOKUP($B160,'E-1 Off Site Hedge Baseline'!$B$1:$U$257,12,FALSE))))</f>
        <v/>
      </c>
      <c r="M160" s="418" t="str">
        <f t="shared" si="24"/>
        <v/>
      </c>
      <c r="N160" s="498" t="str">
        <f>IFERROR(IF(B160="","",INDEX('G-6 Hedgerow Data'!$AN$3:$AZ$15,MATCH(C160,'G-6 Hedgerow Data'!$AM$3:$AM$15,0),MATCH(M160,'G-6 Hedgerow Data'!$AN$2:$AZ$2,0))),"")</f>
        <v/>
      </c>
      <c r="O160" s="499" t="str">
        <f t="shared" si="18"/>
        <v/>
      </c>
      <c r="P160" s="505" t="str">
        <f>IF(B160="","",VLOOKUP(B160,'E-1 Off Site Hedge Baseline'!$B$10:T405,16,FALSE))</f>
        <v/>
      </c>
      <c r="Q160" s="498" t="str">
        <f>IF(M160="","",VLOOKUP(M160,'G-6 Hedgerow Data'!$B$2:$AG$15,2,FALSE))</f>
        <v/>
      </c>
      <c r="R160" s="499" t="str">
        <f>IF(M160="","",VLOOKUP(M160,'G-6 Hedgerow Data'!$B$2:$AG$15,3,FALSE))</f>
        <v/>
      </c>
      <c r="S160" s="145"/>
      <c r="T160" s="499" t="str">
        <f>IFERROR(IF(AND(Q160="V.Low",OR(S160="Good",S160="Moderate")),"Error ▲",VLOOKUP(S160,'G-1 All Habitats'!$Z$2:$AA$9,2,FALSE)),"")</f>
        <v/>
      </c>
      <c r="U160" s="145"/>
      <c r="V160" s="507" t="str">
        <f>IF(U160="","",IF(VLOOKUP(U160,'G-3 Multipliers'!$L$3:$N$6,2,FALSE)=0,"Spatial Data Missing ⚠",VLOOKUP(U160,'G-3 Multipliers'!$L$3:$N$6,2,FALSE)))</f>
        <v/>
      </c>
      <c r="W160" s="505"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7"/>
        <v/>
      </c>
      <c r="AD160" s="537" t="str">
        <f>IF(M160="","",VLOOKUP(M160,'G-6 Hedgerow Data'!$B$3:$AG$15,31,FALSE))</f>
        <v/>
      </c>
      <c r="AE160" s="520" t="str">
        <f t="shared" si="21"/>
        <v/>
      </c>
      <c r="AF160" s="520" t="str">
        <f t="shared" si="22"/>
        <v/>
      </c>
      <c r="AG160" s="524" t="str">
        <f>IFERROR(IF(O160="","",VLOOKUP(AD160,'G-3 Multipliers'!$P$3:$Q$6,2,FALSE)),"")</f>
        <v/>
      </c>
      <c r="AH160" s="197"/>
      <c r="AI160" s="499" t="str">
        <f>IF(AH160="","",IF(VLOOKUP(AH160,'G-3 Multipliers'!$S$3:$T$6,2,FALSE)=0,"Spatial Data Missing ⚠",VLOOKUP(AH160,'G-3 Multipliers'!$S$3:$T$6,2,FALSE)))</f>
        <v/>
      </c>
      <c r="AJ160" s="545" t="str">
        <f t="shared" si="23"/>
        <v/>
      </c>
      <c r="AK160" s="149"/>
      <c r="AL160" s="150"/>
      <c r="AP160" s="31" t="str">
        <f>IFERROR(INDEX('G-6 Hedgerow Data'!$BJ$3:$BJ$15,MATCH(M160,'G-6 Hedgerow Data'!$B$3:$B$15,0)),"")</f>
        <v/>
      </c>
    </row>
    <row r="161" spans="2:42" ht="13.8" x14ac:dyDescent="0.25">
      <c r="B161" s="531" t="str">
        <f>'E-1 Off Site Hedge Baseline'!AK159</f>
        <v/>
      </c>
      <c r="C161" s="520" t="str">
        <f>IF(B161="","",IF(ISNA(VLOOKUP($B161,'E-1 Off Site Hedge Baseline'!$B$1:$L$257,3,FALSE)),"",(VLOOKUP($B161,'E-1 Off Site Hedge Baseline'!$B$1:$L$257,3,FALSE))))</f>
        <v/>
      </c>
      <c r="D161" s="520" t="str">
        <f>IF(B161="","",IF(ISNA(VLOOKUP($B161,'E-1 Off Site Hedge Baseline'!$B$1:$L$258,4,FALSE)),"",(VLOOKUP($B161,'E-1 Off Site Hedge Baseline'!$B$1:$L$258,4,FALSE))))</f>
        <v/>
      </c>
      <c r="E161" s="520" t="str">
        <f>IF(B161="","",IF(ISNA(VLOOKUP($B161,'E-1 Off Site Hedge Baseline'!$B$1:$L$257,5,FALSE)),"",(VLOOKUP($B161,'E-1 Off Site Hedge Baseline'!$B$1:$L$257,5,FALSE))))</f>
        <v/>
      </c>
      <c r="F161" s="520" t="str">
        <f>IF(B161="","",IF(ISNA(VLOOKUP($B161,'E-1 Off Site Hedge Baseline'!$B$1:$L$257,6,FALSE)),"",(VLOOKUP($B161,'E-1 Off Site Hedge Baseline'!$B$1:$L$257,6,FALSE))))</f>
        <v/>
      </c>
      <c r="G161" s="520" t="str">
        <f>IF(B161="","",IF(ISNA(VLOOKUP($B161,'E-1 Off Site Hedge Baseline'!$B$1:$L$257,7,FALSE)),"",(VLOOKUP($B161,'E-1 Off Site Hedge Baseline'!$B$1:$L$257,7,FALSE))))</f>
        <v/>
      </c>
      <c r="H161" s="520" t="str">
        <f>IF(B161="","",IF(ISNA(VLOOKUP($B161,'E-1 Off Site Hedge Baseline'!$B$1:$L$257,8,FALSE)),"",(VLOOKUP($B161,'E-1 Off Site Hedge Baseline'!$B$1:$L$257,8,FALSE))))</f>
        <v/>
      </c>
      <c r="I161" s="520" t="str">
        <f>IF(B161="","",IF(ISNA(VLOOKUP($B161,'E-1 Off Site Hedge Baseline'!$B$1:$L$257,10,FALSE)),"",(VLOOKUP($B161,'E-1 Off Site Hedge Baseline'!$B$1:$L$257,10,FALSE))))</f>
        <v/>
      </c>
      <c r="J161" s="520" t="str">
        <f>IF(B161="","",IF(ISNA(VLOOKUP($B161,'E-1 Off Site Hedge Baseline'!$B$1:$L$257,11,FALSE)),"",(VLOOKUP($B161,'E-1 Off Site Hedge Baseline'!$B$1:$L$257,11,FALSE))))</f>
        <v/>
      </c>
      <c r="K161" s="520" t="str">
        <f>IF(B161="","",IF(ISNA(VLOOKUP($B161,'E-1 Off Site Hedge Baseline'!$B$1:$U$257,113,FALSE)),"",(VLOOKUP($B161,'E-1 Off Site Hedge Baseline'!$B$1:$U$257,13,FALSE))))</f>
        <v/>
      </c>
      <c r="L161" s="507" t="str">
        <f>IF(B161="","",IF(ISNA(VLOOKUP($B161,'E-1 Off Site Hedge Baseline'!$B$1:$U$257,12,FALSE)),"",(VLOOKUP($B161,'E-1 Off Site Hedge Baseline'!$B$1:$U$257,12,FALSE))))</f>
        <v/>
      </c>
      <c r="M161" s="418" t="str">
        <f t="shared" si="24"/>
        <v/>
      </c>
      <c r="N161" s="498" t="str">
        <f>IFERROR(IF(B161="","",INDEX('G-6 Hedgerow Data'!$AN$3:$AZ$15,MATCH(C161,'G-6 Hedgerow Data'!$AM$3:$AM$15,0),MATCH(M161,'G-6 Hedgerow Data'!$AN$2:$AZ$2,0))),"")</f>
        <v/>
      </c>
      <c r="O161" s="499" t="str">
        <f t="shared" si="18"/>
        <v/>
      </c>
      <c r="P161" s="505" t="str">
        <f>IF(B161="","",VLOOKUP(B161,'E-1 Off Site Hedge Baseline'!$B$10:T406,16,FALSE))</f>
        <v/>
      </c>
      <c r="Q161" s="498" t="str">
        <f>IF(M161="","",VLOOKUP(M161,'G-6 Hedgerow Data'!$B$2:$AG$15,2,FALSE))</f>
        <v/>
      </c>
      <c r="R161" s="499" t="str">
        <f>IF(M161="","",VLOOKUP(M161,'G-6 Hedgerow Data'!$B$2:$AG$15,3,FALSE))</f>
        <v/>
      </c>
      <c r="S161" s="145"/>
      <c r="T161" s="499" t="str">
        <f>IFERROR(IF(AND(Q161="V.Low",OR(S161="Good",S161="Moderate")),"Error ▲",VLOOKUP(S161,'G-1 All Habitats'!$Z$2:$AA$9,2,FALSE)),"")</f>
        <v/>
      </c>
      <c r="U161" s="145"/>
      <c r="V161" s="507" t="str">
        <f>IF(U161="","",IF(VLOOKUP(U161,'G-3 Multipliers'!$L$3:$N$6,2,FALSE)=0,"Spatial Data Missing ⚠",VLOOKUP(U161,'G-3 Multipliers'!$L$3:$N$6,2,FALSE)))</f>
        <v/>
      </c>
      <c r="W161" s="505"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7"/>
        <v/>
      </c>
      <c r="AD161" s="537" t="str">
        <f>IF(M161="","",VLOOKUP(M161,'G-6 Hedgerow Data'!$B$3:$AG$15,31,FALSE))</f>
        <v/>
      </c>
      <c r="AE161" s="520" t="str">
        <f t="shared" si="21"/>
        <v/>
      </c>
      <c r="AF161" s="520" t="str">
        <f t="shared" si="22"/>
        <v/>
      </c>
      <c r="AG161" s="524" t="str">
        <f>IFERROR(IF(O161="","",VLOOKUP(AD161,'G-3 Multipliers'!$P$3:$Q$6,2,FALSE)),"")</f>
        <v/>
      </c>
      <c r="AH161" s="197"/>
      <c r="AI161" s="499" t="str">
        <f>IF(AH161="","",IF(VLOOKUP(AH161,'G-3 Multipliers'!$S$3:$T$6,2,FALSE)=0,"Spatial Data Missing ⚠",VLOOKUP(AH161,'G-3 Multipliers'!$S$3:$T$6,2,FALSE)))</f>
        <v/>
      </c>
      <c r="AJ161" s="545" t="str">
        <f t="shared" si="23"/>
        <v/>
      </c>
      <c r="AK161" s="149"/>
      <c r="AL161" s="150"/>
      <c r="AP161" s="31" t="str">
        <f>IFERROR(INDEX('G-6 Hedgerow Data'!$BJ$3:$BJ$15,MATCH(M161,'G-6 Hedgerow Data'!$B$3:$B$15,0)),"")</f>
        <v/>
      </c>
    </row>
    <row r="162" spans="2:42" ht="13.8" x14ac:dyDescent="0.25">
      <c r="B162" s="531" t="str">
        <f>'E-1 Off Site Hedge Baseline'!AK160</f>
        <v/>
      </c>
      <c r="C162" s="520" t="str">
        <f>IF(B162="","",IF(ISNA(VLOOKUP($B162,'E-1 Off Site Hedge Baseline'!$B$1:$L$257,3,FALSE)),"",(VLOOKUP($B162,'E-1 Off Site Hedge Baseline'!$B$1:$L$257,3,FALSE))))</f>
        <v/>
      </c>
      <c r="D162" s="520" t="str">
        <f>IF(B162="","",IF(ISNA(VLOOKUP($B162,'E-1 Off Site Hedge Baseline'!$B$1:$L$258,4,FALSE)),"",(VLOOKUP($B162,'E-1 Off Site Hedge Baseline'!$B$1:$L$258,4,FALSE))))</f>
        <v/>
      </c>
      <c r="E162" s="520" t="str">
        <f>IF(B162="","",IF(ISNA(VLOOKUP($B162,'E-1 Off Site Hedge Baseline'!$B$1:$L$257,5,FALSE)),"",(VLOOKUP($B162,'E-1 Off Site Hedge Baseline'!$B$1:$L$257,5,FALSE))))</f>
        <v/>
      </c>
      <c r="F162" s="520" t="str">
        <f>IF(B162="","",IF(ISNA(VLOOKUP($B162,'E-1 Off Site Hedge Baseline'!$B$1:$L$257,6,FALSE)),"",(VLOOKUP($B162,'E-1 Off Site Hedge Baseline'!$B$1:$L$257,6,FALSE))))</f>
        <v/>
      </c>
      <c r="G162" s="520" t="str">
        <f>IF(B162="","",IF(ISNA(VLOOKUP($B162,'E-1 Off Site Hedge Baseline'!$B$1:$L$257,7,FALSE)),"",(VLOOKUP($B162,'E-1 Off Site Hedge Baseline'!$B$1:$L$257,7,FALSE))))</f>
        <v/>
      </c>
      <c r="H162" s="520" t="str">
        <f>IF(B162="","",IF(ISNA(VLOOKUP($B162,'E-1 Off Site Hedge Baseline'!$B$1:$L$257,8,FALSE)),"",(VLOOKUP($B162,'E-1 Off Site Hedge Baseline'!$B$1:$L$257,8,FALSE))))</f>
        <v/>
      </c>
      <c r="I162" s="520" t="str">
        <f>IF(B162="","",IF(ISNA(VLOOKUP($B162,'E-1 Off Site Hedge Baseline'!$B$1:$L$257,10,FALSE)),"",(VLOOKUP($B162,'E-1 Off Site Hedge Baseline'!$B$1:$L$257,10,FALSE))))</f>
        <v/>
      </c>
      <c r="J162" s="520" t="str">
        <f>IF(B162="","",IF(ISNA(VLOOKUP($B162,'E-1 Off Site Hedge Baseline'!$B$1:$L$257,11,FALSE)),"",(VLOOKUP($B162,'E-1 Off Site Hedge Baseline'!$B$1:$L$257,11,FALSE))))</f>
        <v/>
      </c>
      <c r="K162" s="520" t="str">
        <f>IF(B162="","",IF(ISNA(VLOOKUP($B162,'E-1 Off Site Hedge Baseline'!$B$1:$U$257,113,FALSE)),"",(VLOOKUP($B162,'E-1 Off Site Hedge Baseline'!$B$1:$U$257,13,FALSE))))</f>
        <v/>
      </c>
      <c r="L162" s="507" t="str">
        <f>IF(B162="","",IF(ISNA(VLOOKUP($B162,'E-1 Off Site Hedge Baseline'!$B$1:$U$257,12,FALSE)),"",(VLOOKUP($B162,'E-1 Off Site Hedge Baseline'!$B$1:$U$257,12,FALSE))))</f>
        <v/>
      </c>
      <c r="M162" s="418" t="str">
        <f t="shared" si="24"/>
        <v/>
      </c>
      <c r="N162" s="498" t="str">
        <f>IFERROR(IF(B162="","",INDEX('G-6 Hedgerow Data'!$AN$3:$AZ$15,MATCH(C162,'G-6 Hedgerow Data'!$AM$3:$AM$15,0),MATCH(M162,'G-6 Hedgerow Data'!$AN$2:$AZ$2,0))),"")</f>
        <v/>
      </c>
      <c r="O162" s="499" t="str">
        <f t="shared" si="18"/>
        <v/>
      </c>
      <c r="P162" s="505" t="str">
        <f>IF(B162="","",VLOOKUP(B162,'E-1 Off Site Hedge Baseline'!$B$10:T407,16,FALSE))</f>
        <v/>
      </c>
      <c r="Q162" s="498" t="str">
        <f>IF(M162="","",VLOOKUP(M162,'G-6 Hedgerow Data'!$B$2:$AG$15,2,FALSE))</f>
        <v/>
      </c>
      <c r="R162" s="499" t="str">
        <f>IF(M162="","",VLOOKUP(M162,'G-6 Hedgerow Data'!$B$2:$AG$15,3,FALSE))</f>
        <v/>
      </c>
      <c r="S162" s="145"/>
      <c r="T162" s="499" t="str">
        <f>IFERROR(IF(AND(Q162="V.Low",OR(S162="Good",S162="Moderate")),"Error ▲",VLOOKUP(S162,'G-1 All Habitats'!$Z$2:$AA$9,2,FALSE)),"")</f>
        <v/>
      </c>
      <c r="U162" s="145"/>
      <c r="V162" s="507" t="str">
        <f>IF(U162="","",IF(VLOOKUP(U162,'G-3 Multipliers'!$L$3:$N$6,2,FALSE)=0,"Spatial Data Missing ⚠",VLOOKUP(U162,'G-3 Multipliers'!$L$3:$N$6,2,FALSE)))</f>
        <v/>
      </c>
      <c r="W162" s="505"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7"/>
        <v/>
      </c>
      <c r="AD162" s="537" t="str">
        <f>IF(M162="","",VLOOKUP(M162,'G-6 Hedgerow Data'!$B$3:$AG$15,31,FALSE))</f>
        <v/>
      </c>
      <c r="AE162" s="520" t="str">
        <f t="shared" si="21"/>
        <v/>
      </c>
      <c r="AF162" s="520" t="str">
        <f t="shared" si="22"/>
        <v/>
      </c>
      <c r="AG162" s="524" t="str">
        <f>IFERROR(IF(O162="","",VLOOKUP(AD162,'G-3 Multipliers'!$P$3:$Q$6,2,FALSE)),"")</f>
        <v/>
      </c>
      <c r="AH162" s="197"/>
      <c r="AI162" s="499" t="str">
        <f>IF(AH162="","",IF(VLOOKUP(AH162,'G-3 Multipliers'!$S$3:$T$6,2,FALSE)=0,"Spatial Data Missing ⚠",VLOOKUP(AH162,'G-3 Multipliers'!$S$3:$T$6,2,FALSE)))</f>
        <v/>
      </c>
      <c r="AJ162" s="545" t="str">
        <f t="shared" si="23"/>
        <v/>
      </c>
      <c r="AK162" s="149"/>
      <c r="AL162" s="150"/>
      <c r="AP162" s="31" t="str">
        <f>IFERROR(INDEX('G-6 Hedgerow Data'!$BJ$3:$BJ$15,MATCH(M162,'G-6 Hedgerow Data'!$B$3:$B$15,0)),"")</f>
        <v/>
      </c>
    </row>
    <row r="163" spans="2:42" ht="13.8" x14ac:dyDescent="0.25">
      <c r="B163" s="531" t="str">
        <f>'E-1 Off Site Hedge Baseline'!AK161</f>
        <v/>
      </c>
      <c r="C163" s="520" t="str">
        <f>IF(B163="","",IF(ISNA(VLOOKUP($B163,'E-1 Off Site Hedge Baseline'!$B$1:$L$257,3,FALSE)),"",(VLOOKUP($B163,'E-1 Off Site Hedge Baseline'!$B$1:$L$257,3,FALSE))))</f>
        <v/>
      </c>
      <c r="D163" s="520" t="str">
        <f>IF(B163="","",IF(ISNA(VLOOKUP($B163,'E-1 Off Site Hedge Baseline'!$B$1:$L$258,4,FALSE)),"",(VLOOKUP($B163,'E-1 Off Site Hedge Baseline'!$B$1:$L$258,4,FALSE))))</f>
        <v/>
      </c>
      <c r="E163" s="520" t="str">
        <f>IF(B163="","",IF(ISNA(VLOOKUP($B163,'E-1 Off Site Hedge Baseline'!$B$1:$L$257,5,FALSE)),"",(VLOOKUP($B163,'E-1 Off Site Hedge Baseline'!$B$1:$L$257,5,FALSE))))</f>
        <v/>
      </c>
      <c r="F163" s="520" t="str">
        <f>IF(B163="","",IF(ISNA(VLOOKUP($B163,'E-1 Off Site Hedge Baseline'!$B$1:$L$257,6,FALSE)),"",(VLOOKUP($B163,'E-1 Off Site Hedge Baseline'!$B$1:$L$257,6,FALSE))))</f>
        <v/>
      </c>
      <c r="G163" s="520" t="str">
        <f>IF(B163="","",IF(ISNA(VLOOKUP($B163,'E-1 Off Site Hedge Baseline'!$B$1:$L$257,7,FALSE)),"",(VLOOKUP($B163,'E-1 Off Site Hedge Baseline'!$B$1:$L$257,7,FALSE))))</f>
        <v/>
      </c>
      <c r="H163" s="520" t="str">
        <f>IF(B163="","",IF(ISNA(VLOOKUP($B163,'E-1 Off Site Hedge Baseline'!$B$1:$L$257,8,FALSE)),"",(VLOOKUP($B163,'E-1 Off Site Hedge Baseline'!$B$1:$L$257,8,FALSE))))</f>
        <v/>
      </c>
      <c r="I163" s="520" t="str">
        <f>IF(B163="","",IF(ISNA(VLOOKUP($B163,'E-1 Off Site Hedge Baseline'!$B$1:$L$257,10,FALSE)),"",(VLOOKUP($B163,'E-1 Off Site Hedge Baseline'!$B$1:$L$257,10,FALSE))))</f>
        <v/>
      </c>
      <c r="J163" s="520" t="str">
        <f>IF(B163="","",IF(ISNA(VLOOKUP($B163,'E-1 Off Site Hedge Baseline'!$B$1:$L$257,11,FALSE)),"",(VLOOKUP($B163,'E-1 Off Site Hedge Baseline'!$B$1:$L$257,11,FALSE))))</f>
        <v/>
      </c>
      <c r="K163" s="520" t="str">
        <f>IF(B163="","",IF(ISNA(VLOOKUP($B163,'E-1 Off Site Hedge Baseline'!$B$1:$U$257,113,FALSE)),"",(VLOOKUP($B163,'E-1 Off Site Hedge Baseline'!$B$1:$U$257,13,FALSE))))</f>
        <v/>
      </c>
      <c r="L163" s="507" t="str">
        <f>IF(B163="","",IF(ISNA(VLOOKUP($B163,'E-1 Off Site Hedge Baseline'!$B$1:$U$257,12,FALSE)),"",(VLOOKUP($B163,'E-1 Off Site Hedge Baseline'!$B$1:$U$257,12,FALSE))))</f>
        <v/>
      </c>
      <c r="M163" s="418" t="str">
        <f t="shared" si="24"/>
        <v/>
      </c>
      <c r="N163" s="498" t="str">
        <f>IFERROR(IF(B163="","",INDEX('G-6 Hedgerow Data'!$AN$3:$AZ$15,MATCH(C163,'G-6 Hedgerow Data'!$AM$3:$AM$15,0),MATCH(M163,'G-6 Hedgerow Data'!$AN$2:$AZ$2,0))),"")</f>
        <v/>
      </c>
      <c r="O163" s="499" t="str">
        <f t="shared" si="18"/>
        <v/>
      </c>
      <c r="P163" s="505" t="str">
        <f>IF(B163="","",VLOOKUP(B163,'E-1 Off Site Hedge Baseline'!$B$10:T408,16,FALSE))</f>
        <v/>
      </c>
      <c r="Q163" s="498" t="str">
        <f>IF(M163="","",VLOOKUP(M163,'G-6 Hedgerow Data'!$B$2:$AG$15,2,FALSE))</f>
        <v/>
      </c>
      <c r="R163" s="499" t="str">
        <f>IF(M163="","",VLOOKUP(M163,'G-6 Hedgerow Data'!$B$2:$AG$15,3,FALSE))</f>
        <v/>
      </c>
      <c r="S163" s="145"/>
      <c r="T163" s="499" t="str">
        <f>IFERROR(IF(AND(Q163="V.Low",OR(S163="Good",S163="Moderate")),"Error ▲",VLOOKUP(S163,'G-1 All Habitats'!$Z$2:$AA$9,2,FALSE)),"")</f>
        <v/>
      </c>
      <c r="U163" s="145"/>
      <c r="V163" s="507" t="str">
        <f>IF(U163="","",IF(VLOOKUP(U163,'G-3 Multipliers'!$L$3:$N$6,2,FALSE)=0,"Spatial Data Missing ⚠",VLOOKUP(U163,'G-3 Multipliers'!$L$3:$N$6,2,FALSE)))</f>
        <v/>
      </c>
      <c r="W163" s="505"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7"/>
        <v/>
      </c>
      <c r="AD163" s="537" t="str">
        <f>IF(M163="","",VLOOKUP(M163,'G-6 Hedgerow Data'!$B$3:$AG$15,31,FALSE))</f>
        <v/>
      </c>
      <c r="AE163" s="520" t="str">
        <f t="shared" si="21"/>
        <v/>
      </c>
      <c r="AF163" s="520" t="str">
        <f t="shared" si="22"/>
        <v/>
      </c>
      <c r="AG163" s="524" t="str">
        <f>IFERROR(IF(O163="","",VLOOKUP(AD163,'G-3 Multipliers'!$P$3:$Q$6,2,FALSE)),"")</f>
        <v/>
      </c>
      <c r="AH163" s="197"/>
      <c r="AI163" s="499" t="str">
        <f>IF(AH163="","",IF(VLOOKUP(AH163,'G-3 Multipliers'!$S$3:$T$6,2,FALSE)=0,"Spatial Data Missing ⚠",VLOOKUP(AH163,'G-3 Multipliers'!$S$3:$T$6,2,FALSE)))</f>
        <v/>
      </c>
      <c r="AJ163" s="545" t="str">
        <f t="shared" si="23"/>
        <v/>
      </c>
      <c r="AK163" s="149"/>
      <c r="AL163" s="150"/>
      <c r="AP163" s="31" t="str">
        <f>IFERROR(INDEX('G-6 Hedgerow Data'!$BJ$3:$BJ$15,MATCH(M163,'G-6 Hedgerow Data'!$B$3:$B$15,0)),"")</f>
        <v/>
      </c>
    </row>
    <row r="164" spans="2:42" ht="13.8" x14ac:dyDescent="0.25">
      <c r="B164" s="531" t="str">
        <f>'E-1 Off Site Hedge Baseline'!AK162</f>
        <v/>
      </c>
      <c r="C164" s="520" t="str">
        <f>IF(B164="","",IF(ISNA(VLOOKUP($B164,'E-1 Off Site Hedge Baseline'!$B$1:$L$257,3,FALSE)),"",(VLOOKUP($B164,'E-1 Off Site Hedge Baseline'!$B$1:$L$257,3,FALSE))))</f>
        <v/>
      </c>
      <c r="D164" s="520" t="str">
        <f>IF(B164="","",IF(ISNA(VLOOKUP($B164,'E-1 Off Site Hedge Baseline'!$B$1:$L$258,4,FALSE)),"",(VLOOKUP($B164,'E-1 Off Site Hedge Baseline'!$B$1:$L$258,4,FALSE))))</f>
        <v/>
      </c>
      <c r="E164" s="520" t="str">
        <f>IF(B164="","",IF(ISNA(VLOOKUP($B164,'E-1 Off Site Hedge Baseline'!$B$1:$L$257,5,FALSE)),"",(VLOOKUP($B164,'E-1 Off Site Hedge Baseline'!$B$1:$L$257,5,FALSE))))</f>
        <v/>
      </c>
      <c r="F164" s="520" t="str">
        <f>IF(B164="","",IF(ISNA(VLOOKUP($B164,'E-1 Off Site Hedge Baseline'!$B$1:$L$257,6,FALSE)),"",(VLOOKUP($B164,'E-1 Off Site Hedge Baseline'!$B$1:$L$257,6,FALSE))))</f>
        <v/>
      </c>
      <c r="G164" s="520" t="str">
        <f>IF(B164="","",IF(ISNA(VLOOKUP($B164,'E-1 Off Site Hedge Baseline'!$B$1:$L$257,7,FALSE)),"",(VLOOKUP($B164,'E-1 Off Site Hedge Baseline'!$B$1:$L$257,7,FALSE))))</f>
        <v/>
      </c>
      <c r="H164" s="520" t="str">
        <f>IF(B164="","",IF(ISNA(VLOOKUP($B164,'E-1 Off Site Hedge Baseline'!$B$1:$L$257,8,FALSE)),"",(VLOOKUP($B164,'E-1 Off Site Hedge Baseline'!$B$1:$L$257,8,FALSE))))</f>
        <v/>
      </c>
      <c r="I164" s="520" t="str">
        <f>IF(B164="","",IF(ISNA(VLOOKUP($B164,'E-1 Off Site Hedge Baseline'!$B$1:$L$257,10,FALSE)),"",(VLOOKUP($B164,'E-1 Off Site Hedge Baseline'!$B$1:$L$257,10,FALSE))))</f>
        <v/>
      </c>
      <c r="J164" s="520" t="str">
        <f>IF(B164="","",IF(ISNA(VLOOKUP($B164,'E-1 Off Site Hedge Baseline'!$B$1:$L$257,11,FALSE)),"",(VLOOKUP($B164,'E-1 Off Site Hedge Baseline'!$B$1:$L$257,11,FALSE))))</f>
        <v/>
      </c>
      <c r="K164" s="520" t="str">
        <f>IF(B164="","",IF(ISNA(VLOOKUP($B164,'E-1 Off Site Hedge Baseline'!$B$1:$U$257,113,FALSE)),"",(VLOOKUP($B164,'E-1 Off Site Hedge Baseline'!$B$1:$U$257,13,FALSE))))</f>
        <v/>
      </c>
      <c r="L164" s="507" t="str">
        <f>IF(B164="","",IF(ISNA(VLOOKUP($B164,'E-1 Off Site Hedge Baseline'!$B$1:$U$257,12,FALSE)),"",(VLOOKUP($B164,'E-1 Off Site Hedge Baseline'!$B$1:$U$257,12,FALSE))))</f>
        <v/>
      </c>
      <c r="M164" s="418" t="str">
        <f t="shared" si="24"/>
        <v/>
      </c>
      <c r="N164" s="498" t="str">
        <f>IFERROR(IF(B164="","",INDEX('G-6 Hedgerow Data'!$AN$3:$AZ$15,MATCH(C164,'G-6 Hedgerow Data'!$AM$3:$AM$15,0),MATCH(M164,'G-6 Hedgerow Data'!$AN$2:$AZ$2,0))),"")</f>
        <v/>
      </c>
      <c r="O164" s="499" t="str">
        <f t="shared" si="18"/>
        <v/>
      </c>
      <c r="P164" s="505" t="str">
        <f>IF(B164="","",VLOOKUP(B164,'E-1 Off Site Hedge Baseline'!$B$10:T409,16,FALSE))</f>
        <v/>
      </c>
      <c r="Q164" s="498" t="str">
        <f>IF(M164="","",VLOOKUP(M164,'G-6 Hedgerow Data'!$B$2:$AG$15,2,FALSE))</f>
        <v/>
      </c>
      <c r="R164" s="499" t="str">
        <f>IF(M164="","",VLOOKUP(M164,'G-6 Hedgerow Data'!$B$2:$AG$15,3,FALSE))</f>
        <v/>
      </c>
      <c r="S164" s="145"/>
      <c r="T164" s="499" t="str">
        <f>IFERROR(IF(AND(Q164="V.Low",OR(S164="Good",S164="Moderate")),"Error ▲",VLOOKUP(S164,'G-1 All Habitats'!$Z$2:$AA$9,2,FALSE)),"")</f>
        <v/>
      </c>
      <c r="U164" s="145"/>
      <c r="V164" s="507" t="str">
        <f>IF(U164="","",IF(VLOOKUP(U164,'G-3 Multipliers'!$L$3:$N$6,2,FALSE)=0,"Spatial Data Missing ⚠",VLOOKUP(U164,'G-3 Multipliers'!$L$3:$N$6,2,FALSE)))</f>
        <v/>
      </c>
      <c r="W164" s="505"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7"/>
        <v/>
      </c>
      <c r="AD164" s="537" t="str">
        <f>IF(M164="","",VLOOKUP(M164,'G-6 Hedgerow Data'!$B$3:$AG$15,31,FALSE))</f>
        <v/>
      </c>
      <c r="AE164" s="520" t="str">
        <f t="shared" si="21"/>
        <v/>
      </c>
      <c r="AF164" s="520" t="str">
        <f t="shared" si="22"/>
        <v/>
      </c>
      <c r="AG164" s="524" t="str">
        <f>IFERROR(IF(O164="","",VLOOKUP(AD164,'G-3 Multipliers'!$P$3:$Q$6,2,FALSE)),"")</f>
        <v/>
      </c>
      <c r="AH164" s="197"/>
      <c r="AI164" s="499" t="str">
        <f>IF(AH164="","",IF(VLOOKUP(AH164,'G-3 Multipliers'!$S$3:$T$6,2,FALSE)=0,"Spatial Data Missing ⚠",VLOOKUP(AH164,'G-3 Multipliers'!$S$3:$T$6,2,FALSE)))</f>
        <v/>
      </c>
      <c r="AJ164" s="545" t="str">
        <f t="shared" si="23"/>
        <v/>
      </c>
      <c r="AK164" s="149"/>
      <c r="AL164" s="150"/>
      <c r="AP164" s="31" t="str">
        <f>IFERROR(INDEX('G-6 Hedgerow Data'!$BJ$3:$BJ$15,MATCH(M164,'G-6 Hedgerow Data'!$B$3:$B$15,0)),"")</f>
        <v/>
      </c>
    </row>
    <row r="165" spans="2:42" ht="13.8" x14ac:dyDescent="0.25">
      <c r="B165" s="531" t="str">
        <f>'E-1 Off Site Hedge Baseline'!AK163</f>
        <v/>
      </c>
      <c r="C165" s="520" t="str">
        <f>IF(B165="","",IF(ISNA(VLOOKUP($B165,'E-1 Off Site Hedge Baseline'!$B$1:$L$257,3,FALSE)),"",(VLOOKUP($B165,'E-1 Off Site Hedge Baseline'!$B$1:$L$257,3,FALSE))))</f>
        <v/>
      </c>
      <c r="D165" s="520" t="str">
        <f>IF(B165="","",IF(ISNA(VLOOKUP($B165,'E-1 Off Site Hedge Baseline'!$B$1:$L$258,4,FALSE)),"",(VLOOKUP($B165,'E-1 Off Site Hedge Baseline'!$B$1:$L$258,4,FALSE))))</f>
        <v/>
      </c>
      <c r="E165" s="520" t="str">
        <f>IF(B165="","",IF(ISNA(VLOOKUP($B165,'E-1 Off Site Hedge Baseline'!$B$1:$L$257,5,FALSE)),"",(VLOOKUP($B165,'E-1 Off Site Hedge Baseline'!$B$1:$L$257,5,FALSE))))</f>
        <v/>
      </c>
      <c r="F165" s="520" t="str">
        <f>IF(B165="","",IF(ISNA(VLOOKUP($B165,'E-1 Off Site Hedge Baseline'!$B$1:$L$257,6,FALSE)),"",(VLOOKUP($B165,'E-1 Off Site Hedge Baseline'!$B$1:$L$257,6,FALSE))))</f>
        <v/>
      </c>
      <c r="G165" s="520" t="str">
        <f>IF(B165="","",IF(ISNA(VLOOKUP($B165,'E-1 Off Site Hedge Baseline'!$B$1:$L$257,7,FALSE)),"",(VLOOKUP($B165,'E-1 Off Site Hedge Baseline'!$B$1:$L$257,7,FALSE))))</f>
        <v/>
      </c>
      <c r="H165" s="520" t="str">
        <f>IF(B165="","",IF(ISNA(VLOOKUP($B165,'E-1 Off Site Hedge Baseline'!$B$1:$L$257,8,FALSE)),"",(VLOOKUP($B165,'E-1 Off Site Hedge Baseline'!$B$1:$L$257,8,FALSE))))</f>
        <v/>
      </c>
      <c r="I165" s="520" t="str">
        <f>IF(B165="","",IF(ISNA(VLOOKUP($B165,'E-1 Off Site Hedge Baseline'!$B$1:$L$257,10,FALSE)),"",(VLOOKUP($B165,'E-1 Off Site Hedge Baseline'!$B$1:$L$257,10,FALSE))))</f>
        <v/>
      </c>
      <c r="J165" s="520" t="str">
        <f>IF(B165="","",IF(ISNA(VLOOKUP($B165,'E-1 Off Site Hedge Baseline'!$B$1:$L$257,11,FALSE)),"",(VLOOKUP($B165,'E-1 Off Site Hedge Baseline'!$B$1:$L$257,11,FALSE))))</f>
        <v/>
      </c>
      <c r="K165" s="520" t="str">
        <f>IF(B165="","",IF(ISNA(VLOOKUP($B165,'E-1 Off Site Hedge Baseline'!$B$1:$U$257,113,FALSE)),"",(VLOOKUP($B165,'E-1 Off Site Hedge Baseline'!$B$1:$U$257,13,FALSE))))</f>
        <v/>
      </c>
      <c r="L165" s="507" t="str">
        <f>IF(B165="","",IF(ISNA(VLOOKUP($B165,'E-1 Off Site Hedge Baseline'!$B$1:$U$257,12,FALSE)),"",(VLOOKUP($B165,'E-1 Off Site Hedge Baseline'!$B$1:$U$257,12,FALSE))))</f>
        <v/>
      </c>
      <c r="M165" s="418" t="str">
        <f t="shared" si="24"/>
        <v/>
      </c>
      <c r="N165" s="498" t="str">
        <f>IFERROR(IF(B165="","",INDEX('G-6 Hedgerow Data'!$AN$3:$AZ$15,MATCH(C165,'G-6 Hedgerow Data'!$AM$3:$AM$15,0),MATCH(M165,'G-6 Hedgerow Data'!$AN$2:$AZ$2,0))),"")</f>
        <v/>
      </c>
      <c r="O165" s="499" t="str">
        <f t="shared" si="18"/>
        <v/>
      </c>
      <c r="P165" s="505" t="str">
        <f>IF(B165="","",VLOOKUP(B165,'E-1 Off Site Hedge Baseline'!$B$10:T410,16,FALSE))</f>
        <v/>
      </c>
      <c r="Q165" s="498" t="str">
        <f>IF(M165="","",VLOOKUP(M165,'G-6 Hedgerow Data'!$B$2:$AG$15,2,FALSE))</f>
        <v/>
      </c>
      <c r="R165" s="499" t="str">
        <f>IF(M165="","",VLOOKUP(M165,'G-6 Hedgerow Data'!$B$2:$AG$15,3,FALSE))</f>
        <v/>
      </c>
      <c r="S165" s="145"/>
      <c r="T165" s="499" t="str">
        <f>IFERROR(IF(AND(Q165="V.Low",OR(S165="Good",S165="Moderate")),"Error ▲",VLOOKUP(S165,'G-1 All Habitats'!$Z$2:$AA$9,2,FALSE)),"")</f>
        <v/>
      </c>
      <c r="U165" s="145"/>
      <c r="V165" s="507" t="str">
        <f>IF(U165="","",IF(VLOOKUP(U165,'G-3 Multipliers'!$L$3:$N$6,2,FALSE)=0,"Spatial Data Missing ⚠",VLOOKUP(U165,'G-3 Multipliers'!$L$3:$N$6,2,FALSE)))</f>
        <v/>
      </c>
      <c r="W165" s="505"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7"/>
        <v/>
      </c>
      <c r="AD165" s="537" t="str">
        <f>IF(M165="","",VLOOKUP(M165,'G-6 Hedgerow Data'!$B$3:$AG$15,31,FALSE))</f>
        <v/>
      </c>
      <c r="AE165" s="520" t="str">
        <f t="shared" si="21"/>
        <v/>
      </c>
      <c r="AF165" s="520" t="str">
        <f t="shared" si="22"/>
        <v/>
      </c>
      <c r="AG165" s="524" t="str">
        <f>IFERROR(IF(O165="","",VLOOKUP(AD165,'G-3 Multipliers'!$P$3:$Q$6,2,FALSE)),"")</f>
        <v/>
      </c>
      <c r="AH165" s="197"/>
      <c r="AI165" s="499" t="str">
        <f>IF(AH165="","",IF(VLOOKUP(AH165,'G-3 Multipliers'!$S$3:$T$6,2,FALSE)=0,"Spatial Data Missing ⚠",VLOOKUP(AH165,'G-3 Multipliers'!$S$3:$T$6,2,FALSE)))</f>
        <v/>
      </c>
      <c r="AJ165" s="545" t="str">
        <f t="shared" si="23"/>
        <v/>
      </c>
      <c r="AK165" s="149"/>
      <c r="AL165" s="150"/>
      <c r="AP165" s="31" t="str">
        <f>IFERROR(INDEX('G-6 Hedgerow Data'!$BJ$3:$BJ$15,MATCH(M165,'G-6 Hedgerow Data'!$B$3:$B$15,0)),"")</f>
        <v/>
      </c>
    </row>
    <row r="166" spans="2:42" ht="13.8" x14ac:dyDescent="0.25">
      <c r="B166" s="531" t="str">
        <f>'E-1 Off Site Hedge Baseline'!AK164</f>
        <v/>
      </c>
      <c r="C166" s="520" t="str">
        <f>IF(B166="","",IF(ISNA(VLOOKUP($B166,'E-1 Off Site Hedge Baseline'!$B$1:$L$257,3,FALSE)),"",(VLOOKUP($B166,'E-1 Off Site Hedge Baseline'!$B$1:$L$257,3,FALSE))))</f>
        <v/>
      </c>
      <c r="D166" s="520" t="str">
        <f>IF(B166="","",IF(ISNA(VLOOKUP($B166,'E-1 Off Site Hedge Baseline'!$B$1:$L$258,4,FALSE)),"",(VLOOKUP($B166,'E-1 Off Site Hedge Baseline'!$B$1:$L$258,4,FALSE))))</f>
        <v/>
      </c>
      <c r="E166" s="520" t="str">
        <f>IF(B166="","",IF(ISNA(VLOOKUP($B166,'E-1 Off Site Hedge Baseline'!$B$1:$L$257,5,FALSE)),"",(VLOOKUP($B166,'E-1 Off Site Hedge Baseline'!$B$1:$L$257,5,FALSE))))</f>
        <v/>
      </c>
      <c r="F166" s="520" t="str">
        <f>IF(B166="","",IF(ISNA(VLOOKUP($B166,'E-1 Off Site Hedge Baseline'!$B$1:$L$257,6,FALSE)),"",(VLOOKUP($B166,'E-1 Off Site Hedge Baseline'!$B$1:$L$257,6,FALSE))))</f>
        <v/>
      </c>
      <c r="G166" s="520" t="str">
        <f>IF(B166="","",IF(ISNA(VLOOKUP($B166,'E-1 Off Site Hedge Baseline'!$B$1:$L$257,7,FALSE)),"",(VLOOKUP($B166,'E-1 Off Site Hedge Baseline'!$B$1:$L$257,7,FALSE))))</f>
        <v/>
      </c>
      <c r="H166" s="520" t="str">
        <f>IF(B166="","",IF(ISNA(VLOOKUP($B166,'E-1 Off Site Hedge Baseline'!$B$1:$L$257,8,FALSE)),"",(VLOOKUP($B166,'E-1 Off Site Hedge Baseline'!$B$1:$L$257,8,FALSE))))</f>
        <v/>
      </c>
      <c r="I166" s="520" t="str">
        <f>IF(B166="","",IF(ISNA(VLOOKUP($B166,'E-1 Off Site Hedge Baseline'!$B$1:$L$257,10,FALSE)),"",(VLOOKUP($B166,'E-1 Off Site Hedge Baseline'!$B$1:$L$257,10,FALSE))))</f>
        <v/>
      </c>
      <c r="J166" s="520" t="str">
        <f>IF(B166="","",IF(ISNA(VLOOKUP($B166,'E-1 Off Site Hedge Baseline'!$B$1:$L$257,11,FALSE)),"",(VLOOKUP($B166,'E-1 Off Site Hedge Baseline'!$B$1:$L$257,11,FALSE))))</f>
        <v/>
      </c>
      <c r="K166" s="520" t="str">
        <f>IF(B166="","",IF(ISNA(VLOOKUP($B166,'E-1 Off Site Hedge Baseline'!$B$1:$U$257,113,FALSE)),"",(VLOOKUP($B166,'E-1 Off Site Hedge Baseline'!$B$1:$U$257,13,FALSE))))</f>
        <v/>
      </c>
      <c r="L166" s="507" t="str">
        <f>IF(B166="","",IF(ISNA(VLOOKUP($B166,'E-1 Off Site Hedge Baseline'!$B$1:$U$257,12,FALSE)),"",(VLOOKUP($B166,'E-1 Off Site Hedge Baseline'!$B$1:$U$257,12,FALSE))))</f>
        <v/>
      </c>
      <c r="M166" s="418" t="str">
        <f t="shared" si="24"/>
        <v/>
      </c>
      <c r="N166" s="498" t="str">
        <f>IFERROR(IF(B166="","",INDEX('G-6 Hedgerow Data'!$AN$3:$AZ$15,MATCH(C166,'G-6 Hedgerow Data'!$AM$3:$AM$15,0),MATCH(M166,'G-6 Hedgerow Data'!$AN$2:$AZ$2,0))),"")</f>
        <v/>
      </c>
      <c r="O166" s="499" t="str">
        <f t="shared" si="18"/>
        <v/>
      </c>
      <c r="P166" s="505" t="str">
        <f>IF(B166="","",VLOOKUP(B166,'E-1 Off Site Hedge Baseline'!$B$10:T411,16,FALSE))</f>
        <v/>
      </c>
      <c r="Q166" s="498" t="str">
        <f>IF(M166="","",VLOOKUP(M166,'G-6 Hedgerow Data'!$B$2:$AG$15,2,FALSE))</f>
        <v/>
      </c>
      <c r="R166" s="499" t="str">
        <f>IF(M166="","",VLOOKUP(M166,'G-6 Hedgerow Data'!$B$2:$AG$15,3,FALSE))</f>
        <v/>
      </c>
      <c r="S166" s="145"/>
      <c r="T166" s="499" t="str">
        <f>IFERROR(IF(AND(Q166="V.Low",OR(S166="Good",S166="Moderate")),"Error ▲",VLOOKUP(S166,'G-1 All Habitats'!$Z$2:$AA$9,2,FALSE)),"")</f>
        <v/>
      </c>
      <c r="U166" s="145"/>
      <c r="V166" s="507" t="str">
        <f>IF(U166="","",IF(VLOOKUP(U166,'G-3 Multipliers'!$L$3:$N$6,2,FALSE)=0,"Spatial Data Missing ⚠",VLOOKUP(U166,'G-3 Multipliers'!$L$3:$N$6,2,FALSE)))</f>
        <v/>
      </c>
      <c r="W166" s="505"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7"/>
        <v/>
      </c>
      <c r="AD166" s="537" t="str">
        <f>IF(M166="","",VLOOKUP(M166,'G-6 Hedgerow Data'!$B$3:$AG$15,31,FALSE))</f>
        <v/>
      </c>
      <c r="AE166" s="520" t="str">
        <f t="shared" si="21"/>
        <v/>
      </c>
      <c r="AF166" s="520" t="str">
        <f t="shared" si="22"/>
        <v/>
      </c>
      <c r="AG166" s="524" t="str">
        <f>IFERROR(IF(O166="","",VLOOKUP(AD166,'G-3 Multipliers'!$P$3:$Q$6,2,FALSE)),"")</f>
        <v/>
      </c>
      <c r="AH166" s="197"/>
      <c r="AI166" s="499" t="str">
        <f>IF(AH166="","",IF(VLOOKUP(AH166,'G-3 Multipliers'!$S$3:$T$6,2,FALSE)=0,"Spatial Data Missing ⚠",VLOOKUP(AH166,'G-3 Multipliers'!$S$3:$T$6,2,FALSE)))</f>
        <v/>
      </c>
      <c r="AJ166" s="545" t="str">
        <f t="shared" si="23"/>
        <v/>
      </c>
      <c r="AK166" s="149"/>
      <c r="AL166" s="150"/>
      <c r="AP166" s="31" t="str">
        <f>IFERROR(INDEX('G-6 Hedgerow Data'!$BJ$3:$BJ$15,MATCH(M166,'G-6 Hedgerow Data'!$B$3:$B$15,0)),"")</f>
        <v/>
      </c>
    </row>
    <row r="167" spans="2:42" ht="13.8" x14ac:dyDescent="0.25">
      <c r="B167" s="531" t="str">
        <f>'E-1 Off Site Hedge Baseline'!AK165</f>
        <v/>
      </c>
      <c r="C167" s="520" t="str">
        <f>IF(B167="","",IF(ISNA(VLOOKUP($B167,'E-1 Off Site Hedge Baseline'!$B$1:$L$257,3,FALSE)),"",(VLOOKUP($B167,'E-1 Off Site Hedge Baseline'!$B$1:$L$257,3,FALSE))))</f>
        <v/>
      </c>
      <c r="D167" s="520" t="str">
        <f>IF(B167="","",IF(ISNA(VLOOKUP($B167,'E-1 Off Site Hedge Baseline'!$B$1:$L$258,4,FALSE)),"",(VLOOKUP($B167,'E-1 Off Site Hedge Baseline'!$B$1:$L$258,4,FALSE))))</f>
        <v/>
      </c>
      <c r="E167" s="520" t="str">
        <f>IF(B167="","",IF(ISNA(VLOOKUP($B167,'E-1 Off Site Hedge Baseline'!$B$1:$L$257,5,FALSE)),"",(VLOOKUP($B167,'E-1 Off Site Hedge Baseline'!$B$1:$L$257,5,FALSE))))</f>
        <v/>
      </c>
      <c r="F167" s="520" t="str">
        <f>IF(B167="","",IF(ISNA(VLOOKUP($B167,'E-1 Off Site Hedge Baseline'!$B$1:$L$257,6,FALSE)),"",(VLOOKUP($B167,'E-1 Off Site Hedge Baseline'!$B$1:$L$257,6,FALSE))))</f>
        <v/>
      </c>
      <c r="G167" s="520" t="str">
        <f>IF(B167="","",IF(ISNA(VLOOKUP($B167,'E-1 Off Site Hedge Baseline'!$B$1:$L$257,7,FALSE)),"",(VLOOKUP($B167,'E-1 Off Site Hedge Baseline'!$B$1:$L$257,7,FALSE))))</f>
        <v/>
      </c>
      <c r="H167" s="520" t="str">
        <f>IF(B167="","",IF(ISNA(VLOOKUP($B167,'E-1 Off Site Hedge Baseline'!$B$1:$L$257,8,FALSE)),"",(VLOOKUP($B167,'E-1 Off Site Hedge Baseline'!$B$1:$L$257,8,FALSE))))</f>
        <v/>
      </c>
      <c r="I167" s="520" t="str">
        <f>IF(B167="","",IF(ISNA(VLOOKUP($B167,'E-1 Off Site Hedge Baseline'!$B$1:$L$257,10,FALSE)),"",(VLOOKUP($B167,'E-1 Off Site Hedge Baseline'!$B$1:$L$257,10,FALSE))))</f>
        <v/>
      </c>
      <c r="J167" s="520" t="str">
        <f>IF(B167="","",IF(ISNA(VLOOKUP($B167,'E-1 Off Site Hedge Baseline'!$B$1:$L$257,11,FALSE)),"",(VLOOKUP($B167,'E-1 Off Site Hedge Baseline'!$B$1:$L$257,11,FALSE))))</f>
        <v/>
      </c>
      <c r="K167" s="520" t="str">
        <f>IF(B167="","",IF(ISNA(VLOOKUP($B167,'E-1 Off Site Hedge Baseline'!$B$1:$U$257,113,FALSE)),"",(VLOOKUP($B167,'E-1 Off Site Hedge Baseline'!$B$1:$U$257,13,FALSE))))</f>
        <v/>
      </c>
      <c r="L167" s="507" t="str">
        <f>IF(B167="","",IF(ISNA(VLOOKUP($B167,'E-1 Off Site Hedge Baseline'!$B$1:$U$257,12,FALSE)),"",(VLOOKUP($B167,'E-1 Off Site Hedge Baseline'!$B$1:$U$257,12,FALSE))))</f>
        <v/>
      </c>
      <c r="M167" s="418" t="str">
        <f t="shared" si="24"/>
        <v/>
      </c>
      <c r="N167" s="498" t="str">
        <f>IFERROR(IF(B167="","",INDEX('G-6 Hedgerow Data'!$AN$3:$AZ$15,MATCH(C167,'G-6 Hedgerow Data'!$AM$3:$AM$15,0),MATCH(M167,'G-6 Hedgerow Data'!$AN$2:$AZ$2,0))),"")</f>
        <v/>
      </c>
      <c r="O167" s="499" t="str">
        <f t="shared" si="18"/>
        <v/>
      </c>
      <c r="P167" s="505" t="str">
        <f>IF(B167="","",VLOOKUP(B167,'E-1 Off Site Hedge Baseline'!$B$10:T412,16,FALSE))</f>
        <v/>
      </c>
      <c r="Q167" s="498" t="str">
        <f>IF(M167="","",VLOOKUP(M167,'G-6 Hedgerow Data'!$B$2:$AG$15,2,FALSE))</f>
        <v/>
      </c>
      <c r="R167" s="499" t="str">
        <f>IF(M167="","",VLOOKUP(M167,'G-6 Hedgerow Data'!$B$2:$AG$15,3,FALSE))</f>
        <v/>
      </c>
      <c r="S167" s="145"/>
      <c r="T167" s="499" t="str">
        <f>IFERROR(IF(AND(Q167="V.Low",OR(S167="Good",S167="Moderate")),"Error ▲",VLOOKUP(S167,'G-1 All Habitats'!$Z$2:$AA$9,2,FALSE)),"")</f>
        <v/>
      </c>
      <c r="U167" s="145"/>
      <c r="V167" s="507" t="str">
        <f>IF(U167="","",IF(VLOOKUP(U167,'G-3 Multipliers'!$L$3:$N$6,2,FALSE)=0,"Spatial Data Missing ⚠",VLOOKUP(U167,'G-3 Multipliers'!$L$3:$N$6,2,FALSE)))</f>
        <v/>
      </c>
      <c r="W167" s="505"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7"/>
        <v/>
      </c>
      <c r="AD167" s="537" t="str">
        <f>IF(M167="","",VLOOKUP(M167,'G-6 Hedgerow Data'!$B$3:$AG$15,31,FALSE))</f>
        <v/>
      </c>
      <c r="AE167" s="520" t="str">
        <f t="shared" si="21"/>
        <v/>
      </c>
      <c r="AF167" s="520" t="str">
        <f t="shared" si="22"/>
        <v/>
      </c>
      <c r="AG167" s="524" t="str">
        <f>IFERROR(IF(O167="","",VLOOKUP(AD167,'G-3 Multipliers'!$P$3:$Q$6,2,FALSE)),"")</f>
        <v/>
      </c>
      <c r="AH167" s="197"/>
      <c r="AI167" s="499" t="str">
        <f>IF(AH167="","",IF(VLOOKUP(AH167,'G-3 Multipliers'!$S$3:$T$6,2,FALSE)=0,"Spatial Data Missing ⚠",VLOOKUP(AH167,'G-3 Multipliers'!$S$3:$T$6,2,FALSE)))</f>
        <v/>
      </c>
      <c r="AJ167" s="545" t="str">
        <f t="shared" si="23"/>
        <v/>
      </c>
      <c r="AK167" s="149"/>
      <c r="AL167" s="150"/>
      <c r="AP167" s="31" t="str">
        <f>IFERROR(INDEX('G-6 Hedgerow Data'!$BJ$3:$BJ$15,MATCH(M167,'G-6 Hedgerow Data'!$B$3:$B$15,0)),"")</f>
        <v/>
      </c>
    </row>
    <row r="168" spans="2:42" ht="13.8" x14ac:dyDescent="0.25">
      <c r="B168" s="531" t="str">
        <f>'E-1 Off Site Hedge Baseline'!AK166</f>
        <v/>
      </c>
      <c r="C168" s="520" t="str">
        <f>IF(B168="","",IF(ISNA(VLOOKUP($B168,'E-1 Off Site Hedge Baseline'!$B$1:$L$257,3,FALSE)),"",(VLOOKUP($B168,'E-1 Off Site Hedge Baseline'!$B$1:$L$257,3,FALSE))))</f>
        <v/>
      </c>
      <c r="D168" s="520" t="str">
        <f>IF(B168="","",IF(ISNA(VLOOKUP($B168,'E-1 Off Site Hedge Baseline'!$B$1:$L$258,4,FALSE)),"",(VLOOKUP($B168,'E-1 Off Site Hedge Baseline'!$B$1:$L$258,4,FALSE))))</f>
        <v/>
      </c>
      <c r="E168" s="520" t="str">
        <f>IF(B168="","",IF(ISNA(VLOOKUP($B168,'E-1 Off Site Hedge Baseline'!$B$1:$L$257,5,FALSE)),"",(VLOOKUP($B168,'E-1 Off Site Hedge Baseline'!$B$1:$L$257,5,FALSE))))</f>
        <v/>
      </c>
      <c r="F168" s="520" t="str">
        <f>IF(B168="","",IF(ISNA(VLOOKUP($B168,'E-1 Off Site Hedge Baseline'!$B$1:$L$257,6,FALSE)),"",(VLOOKUP($B168,'E-1 Off Site Hedge Baseline'!$B$1:$L$257,6,FALSE))))</f>
        <v/>
      </c>
      <c r="G168" s="520" t="str">
        <f>IF(B168="","",IF(ISNA(VLOOKUP($B168,'E-1 Off Site Hedge Baseline'!$B$1:$L$257,7,FALSE)),"",(VLOOKUP($B168,'E-1 Off Site Hedge Baseline'!$B$1:$L$257,7,FALSE))))</f>
        <v/>
      </c>
      <c r="H168" s="520" t="str">
        <f>IF(B168="","",IF(ISNA(VLOOKUP($B168,'E-1 Off Site Hedge Baseline'!$B$1:$L$257,8,FALSE)),"",(VLOOKUP($B168,'E-1 Off Site Hedge Baseline'!$B$1:$L$257,8,FALSE))))</f>
        <v/>
      </c>
      <c r="I168" s="520" t="str">
        <f>IF(B168="","",IF(ISNA(VLOOKUP($B168,'E-1 Off Site Hedge Baseline'!$B$1:$L$257,10,FALSE)),"",(VLOOKUP($B168,'E-1 Off Site Hedge Baseline'!$B$1:$L$257,10,FALSE))))</f>
        <v/>
      </c>
      <c r="J168" s="520" t="str">
        <f>IF(B168="","",IF(ISNA(VLOOKUP($B168,'E-1 Off Site Hedge Baseline'!$B$1:$L$257,11,FALSE)),"",(VLOOKUP($B168,'E-1 Off Site Hedge Baseline'!$B$1:$L$257,11,FALSE))))</f>
        <v/>
      </c>
      <c r="K168" s="520" t="str">
        <f>IF(B168="","",IF(ISNA(VLOOKUP($B168,'E-1 Off Site Hedge Baseline'!$B$1:$U$257,113,FALSE)),"",(VLOOKUP($B168,'E-1 Off Site Hedge Baseline'!$B$1:$U$257,13,FALSE))))</f>
        <v/>
      </c>
      <c r="L168" s="507" t="str">
        <f>IF(B168="","",IF(ISNA(VLOOKUP($B168,'E-1 Off Site Hedge Baseline'!$B$1:$U$257,12,FALSE)),"",(VLOOKUP($B168,'E-1 Off Site Hedge Baseline'!$B$1:$U$257,12,FALSE))))</f>
        <v/>
      </c>
      <c r="M168" s="418" t="str">
        <f t="shared" si="24"/>
        <v/>
      </c>
      <c r="N168" s="498" t="str">
        <f>IFERROR(IF(B168="","",INDEX('G-6 Hedgerow Data'!$AN$3:$AZ$15,MATCH(C168,'G-6 Hedgerow Data'!$AM$3:$AM$15,0),MATCH(M168,'G-6 Hedgerow Data'!$AN$2:$AZ$2,0))),"")</f>
        <v/>
      </c>
      <c r="O168" s="499" t="str">
        <f t="shared" si="18"/>
        <v/>
      </c>
      <c r="P168" s="505" t="str">
        <f>IF(B168="","",VLOOKUP(B168,'E-1 Off Site Hedge Baseline'!$B$10:T413,16,FALSE))</f>
        <v/>
      </c>
      <c r="Q168" s="498" t="str">
        <f>IF(M168="","",VLOOKUP(M168,'G-6 Hedgerow Data'!$B$2:$AG$15,2,FALSE))</f>
        <v/>
      </c>
      <c r="R168" s="499" t="str">
        <f>IF(M168="","",VLOOKUP(M168,'G-6 Hedgerow Data'!$B$2:$AG$15,3,FALSE))</f>
        <v/>
      </c>
      <c r="S168" s="145"/>
      <c r="T168" s="499" t="str">
        <f>IFERROR(IF(AND(Q168="V.Low",OR(S168="Good",S168="Moderate")),"Error ▲",VLOOKUP(S168,'G-1 All Habitats'!$Z$2:$AA$9,2,FALSE)),"")</f>
        <v/>
      </c>
      <c r="U168" s="145"/>
      <c r="V168" s="507" t="str">
        <f>IF(U168="","",IF(VLOOKUP(U168,'G-3 Multipliers'!$L$3:$N$6,2,FALSE)=0,"Spatial Data Missing ⚠",VLOOKUP(U168,'G-3 Multipliers'!$L$3:$N$6,2,FALSE)))</f>
        <v/>
      </c>
      <c r="W168" s="505"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7"/>
        <v/>
      </c>
      <c r="AD168" s="537" t="str">
        <f>IF(M168="","",VLOOKUP(M168,'G-6 Hedgerow Data'!$B$3:$AG$15,31,FALSE))</f>
        <v/>
      </c>
      <c r="AE168" s="520" t="str">
        <f t="shared" si="21"/>
        <v/>
      </c>
      <c r="AF168" s="520" t="str">
        <f t="shared" si="22"/>
        <v/>
      </c>
      <c r="AG168" s="524" t="str">
        <f>IFERROR(IF(O168="","",VLOOKUP(AD168,'G-3 Multipliers'!$P$3:$Q$6,2,FALSE)),"")</f>
        <v/>
      </c>
      <c r="AH168" s="197"/>
      <c r="AI168" s="499" t="str">
        <f>IF(AH168="","",IF(VLOOKUP(AH168,'G-3 Multipliers'!$S$3:$T$6,2,FALSE)=0,"Spatial Data Missing ⚠",VLOOKUP(AH168,'G-3 Multipliers'!$S$3:$T$6,2,FALSE)))</f>
        <v/>
      </c>
      <c r="AJ168" s="545" t="str">
        <f t="shared" si="23"/>
        <v/>
      </c>
      <c r="AK168" s="149"/>
      <c r="AL168" s="150"/>
      <c r="AP168" s="31" t="str">
        <f>IFERROR(INDEX('G-6 Hedgerow Data'!$BJ$3:$BJ$15,MATCH(M168,'G-6 Hedgerow Data'!$B$3:$B$15,0)),"")</f>
        <v/>
      </c>
    </row>
    <row r="169" spans="2:42" ht="13.8" x14ac:dyDescent="0.25">
      <c r="B169" s="531" t="str">
        <f>'E-1 Off Site Hedge Baseline'!AK167</f>
        <v/>
      </c>
      <c r="C169" s="520" t="str">
        <f>IF(B169="","",IF(ISNA(VLOOKUP($B169,'E-1 Off Site Hedge Baseline'!$B$1:$L$257,3,FALSE)),"",(VLOOKUP($B169,'E-1 Off Site Hedge Baseline'!$B$1:$L$257,3,FALSE))))</f>
        <v/>
      </c>
      <c r="D169" s="520" t="str">
        <f>IF(B169="","",IF(ISNA(VLOOKUP($B169,'E-1 Off Site Hedge Baseline'!$B$1:$L$258,4,FALSE)),"",(VLOOKUP($B169,'E-1 Off Site Hedge Baseline'!$B$1:$L$258,4,FALSE))))</f>
        <v/>
      </c>
      <c r="E169" s="520" t="str">
        <f>IF(B169="","",IF(ISNA(VLOOKUP($B169,'E-1 Off Site Hedge Baseline'!$B$1:$L$257,5,FALSE)),"",(VLOOKUP($B169,'E-1 Off Site Hedge Baseline'!$B$1:$L$257,5,FALSE))))</f>
        <v/>
      </c>
      <c r="F169" s="520" t="str">
        <f>IF(B169="","",IF(ISNA(VLOOKUP($B169,'E-1 Off Site Hedge Baseline'!$B$1:$L$257,6,FALSE)),"",(VLOOKUP($B169,'E-1 Off Site Hedge Baseline'!$B$1:$L$257,6,FALSE))))</f>
        <v/>
      </c>
      <c r="G169" s="520" t="str">
        <f>IF(B169="","",IF(ISNA(VLOOKUP($B169,'E-1 Off Site Hedge Baseline'!$B$1:$L$257,7,FALSE)),"",(VLOOKUP($B169,'E-1 Off Site Hedge Baseline'!$B$1:$L$257,7,FALSE))))</f>
        <v/>
      </c>
      <c r="H169" s="520" t="str">
        <f>IF(B169="","",IF(ISNA(VLOOKUP($B169,'E-1 Off Site Hedge Baseline'!$B$1:$L$257,8,FALSE)),"",(VLOOKUP($B169,'E-1 Off Site Hedge Baseline'!$B$1:$L$257,8,FALSE))))</f>
        <v/>
      </c>
      <c r="I169" s="520" t="str">
        <f>IF(B169="","",IF(ISNA(VLOOKUP($B169,'E-1 Off Site Hedge Baseline'!$B$1:$L$257,10,FALSE)),"",(VLOOKUP($B169,'E-1 Off Site Hedge Baseline'!$B$1:$L$257,10,FALSE))))</f>
        <v/>
      </c>
      <c r="J169" s="520" t="str">
        <f>IF(B169="","",IF(ISNA(VLOOKUP($B169,'E-1 Off Site Hedge Baseline'!$B$1:$L$257,11,FALSE)),"",(VLOOKUP($B169,'E-1 Off Site Hedge Baseline'!$B$1:$L$257,11,FALSE))))</f>
        <v/>
      </c>
      <c r="K169" s="520" t="str">
        <f>IF(B169="","",IF(ISNA(VLOOKUP($B169,'E-1 Off Site Hedge Baseline'!$B$1:$U$257,113,FALSE)),"",(VLOOKUP($B169,'E-1 Off Site Hedge Baseline'!$B$1:$U$257,13,FALSE))))</f>
        <v/>
      </c>
      <c r="L169" s="507" t="str">
        <f>IF(B169="","",IF(ISNA(VLOOKUP($B169,'E-1 Off Site Hedge Baseline'!$B$1:$U$257,12,FALSE)),"",(VLOOKUP($B169,'E-1 Off Site Hedge Baseline'!$B$1:$U$257,12,FALSE))))</f>
        <v/>
      </c>
      <c r="M169" s="418" t="str">
        <f t="shared" si="24"/>
        <v/>
      </c>
      <c r="N169" s="498" t="str">
        <f>IFERROR(IF(B169="","",INDEX('G-6 Hedgerow Data'!$AN$3:$AZ$15,MATCH(C169,'G-6 Hedgerow Data'!$AM$3:$AM$15,0),MATCH(M169,'G-6 Hedgerow Data'!$AN$2:$AZ$2,0))),"")</f>
        <v/>
      </c>
      <c r="O169" s="499" t="str">
        <f t="shared" si="18"/>
        <v/>
      </c>
      <c r="P169" s="505" t="str">
        <f>IF(B169="","",VLOOKUP(B169,'E-1 Off Site Hedge Baseline'!$B$10:T414,16,FALSE))</f>
        <v/>
      </c>
      <c r="Q169" s="498" t="str">
        <f>IF(M169="","",VLOOKUP(M169,'G-6 Hedgerow Data'!$B$2:$AG$15,2,FALSE))</f>
        <v/>
      </c>
      <c r="R169" s="499" t="str">
        <f>IF(M169="","",VLOOKUP(M169,'G-6 Hedgerow Data'!$B$2:$AG$15,3,FALSE))</f>
        <v/>
      </c>
      <c r="S169" s="145"/>
      <c r="T169" s="499" t="str">
        <f>IFERROR(IF(AND(Q169="V.Low",OR(S169="Good",S169="Moderate")),"Error ▲",VLOOKUP(S169,'G-1 All Habitats'!$Z$2:$AA$9,2,FALSE)),"")</f>
        <v/>
      </c>
      <c r="U169" s="145"/>
      <c r="V169" s="507" t="str">
        <f>IF(U169="","",IF(VLOOKUP(U169,'G-3 Multipliers'!$L$3:$N$6,2,FALSE)=0,"Spatial Data Missing ⚠",VLOOKUP(U169,'G-3 Multipliers'!$L$3:$N$6,2,FALSE)))</f>
        <v/>
      </c>
      <c r="W169" s="505"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7"/>
        <v/>
      </c>
      <c r="AD169" s="537" t="str">
        <f>IF(M169="","",VLOOKUP(M169,'G-6 Hedgerow Data'!$B$3:$AG$15,31,FALSE))</f>
        <v/>
      </c>
      <c r="AE169" s="520" t="str">
        <f t="shared" si="21"/>
        <v/>
      </c>
      <c r="AF169" s="520" t="str">
        <f t="shared" si="22"/>
        <v/>
      </c>
      <c r="AG169" s="524" t="str">
        <f>IFERROR(IF(O169="","",VLOOKUP(AD169,'G-3 Multipliers'!$P$3:$Q$6,2,FALSE)),"")</f>
        <v/>
      </c>
      <c r="AH169" s="197"/>
      <c r="AI169" s="499" t="str">
        <f>IF(AH169="","",IF(VLOOKUP(AH169,'G-3 Multipliers'!$S$3:$T$6,2,FALSE)=0,"Spatial Data Missing ⚠",VLOOKUP(AH169,'G-3 Multipliers'!$S$3:$T$6,2,FALSE)))</f>
        <v/>
      </c>
      <c r="AJ169" s="545" t="str">
        <f t="shared" si="23"/>
        <v/>
      </c>
      <c r="AK169" s="149"/>
      <c r="AL169" s="150"/>
      <c r="AP169" s="31" t="str">
        <f>IFERROR(INDEX('G-6 Hedgerow Data'!$BJ$3:$BJ$15,MATCH(M169,'G-6 Hedgerow Data'!$B$3:$B$15,0)),"")</f>
        <v/>
      </c>
    </row>
    <row r="170" spans="2:42" ht="13.8" x14ac:dyDescent="0.25">
      <c r="B170" s="531" t="str">
        <f>'E-1 Off Site Hedge Baseline'!AK168</f>
        <v/>
      </c>
      <c r="C170" s="520" t="str">
        <f>IF(B170="","",IF(ISNA(VLOOKUP($B170,'E-1 Off Site Hedge Baseline'!$B$1:$L$257,3,FALSE)),"",(VLOOKUP($B170,'E-1 Off Site Hedge Baseline'!$B$1:$L$257,3,FALSE))))</f>
        <v/>
      </c>
      <c r="D170" s="520" t="str">
        <f>IF(B170="","",IF(ISNA(VLOOKUP($B170,'E-1 Off Site Hedge Baseline'!$B$1:$L$258,4,FALSE)),"",(VLOOKUP($B170,'E-1 Off Site Hedge Baseline'!$B$1:$L$258,4,FALSE))))</f>
        <v/>
      </c>
      <c r="E170" s="520" t="str">
        <f>IF(B170="","",IF(ISNA(VLOOKUP($B170,'E-1 Off Site Hedge Baseline'!$B$1:$L$257,5,FALSE)),"",(VLOOKUP($B170,'E-1 Off Site Hedge Baseline'!$B$1:$L$257,5,FALSE))))</f>
        <v/>
      </c>
      <c r="F170" s="520" t="str">
        <f>IF(B170="","",IF(ISNA(VLOOKUP($B170,'E-1 Off Site Hedge Baseline'!$B$1:$L$257,6,FALSE)),"",(VLOOKUP($B170,'E-1 Off Site Hedge Baseline'!$B$1:$L$257,6,FALSE))))</f>
        <v/>
      </c>
      <c r="G170" s="520" t="str">
        <f>IF(B170="","",IF(ISNA(VLOOKUP($B170,'E-1 Off Site Hedge Baseline'!$B$1:$L$257,7,FALSE)),"",(VLOOKUP($B170,'E-1 Off Site Hedge Baseline'!$B$1:$L$257,7,FALSE))))</f>
        <v/>
      </c>
      <c r="H170" s="520" t="str">
        <f>IF(B170="","",IF(ISNA(VLOOKUP($B170,'E-1 Off Site Hedge Baseline'!$B$1:$L$257,8,FALSE)),"",(VLOOKUP($B170,'E-1 Off Site Hedge Baseline'!$B$1:$L$257,8,FALSE))))</f>
        <v/>
      </c>
      <c r="I170" s="520" t="str">
        <f>IF(B170="","",IF(ISNA(VLOOKUP($B170,'E-1 Off Site Hedge Baseline'!$B$1:$L$257,10,FALSE)),"",(VLOOKUP($B170,'E-1 Off Site Hedge Baseline'!$B$1:$L$257,10,FALSE))))</f>
        <v/>
      </c>
      <c r="J170" s="520" t="str">
        <f>IF(B170="","",IF(ISNA(VLOOKUP($B170,'E-1 Off Site Hedge Baseline'!$B$1:$L$257,11,FALSE)),"",(VLOOKUP($B170,'E-1 Off Site Hedge Baseline'!$B$1:$L$257,11,FALSE))))</f>
        <v/>
      </c>
      <c r="K170" s="520" t="str">
        <f>IF(B170="","",IF(ISNA(VLOOKUP($B170,'E-1 Off Site Hedge Baseline'!$B$1:$U$257,113,FALSE)),"",(VLOOKUP($B170,'E-1 Off Site Hedge Baseline'!$B$1:$U$257,13,FALSE))))</f>
        <v/>
      </c>
      <c r="L170" s="507" t="str">
        <f>IF(B170="","",IF(ISNA(VLOOKUP($B170,'E-1 Off Site Hedge Baseline'!$B$1:$U$257,12,FALSE)),"",(VLOOKUP($B170,'E-1 Off Site Hedge Baseline'!$B$1:$U$257,12,FALSE))))</f>
        <v/>
      </c>
      <c r="M170" s="418" t="str">
        <f t="shared" si="24"/>
        <v/>
      </c>
      <c r="N170" s="498" t="str">
        <f>IFERROR(IF(B170="","",INDEX('G-6 Hedgerow Data'!$AN$3:$AZ$15,MATCH(C170,'G-6 Hedgerow Data'!$AM$3:$AM$15,0),MATCH(M170,'G-6 Hedgerow Data'!$AN$2:$AZ$2,0))),"")</f>
        <v/>
      </c>
      <c r="O170" s="499" t="str">
        <f t="shared" si="18"/>
        <v/>
      </c>
      <c r="P170" s="505" t="str">
        <f>IF(B170="","",VLOOKUP(B170,'E-1 Off Site Hedge Baseline'!$B$10:T415,16,FALSE))</f>
        <v/>
      </c>
      <c r="Q170" s="498" t="str">
        <f>IF(M170="","",VLOOKUP(M170,'G-6 Hedgerow Data'!$B$2:$AG$15,2,FALSE))</f>
        <v/>
      </c>
      <c r="R170" s="499" t="str">
        <f>IF(M170="","",VLOOKUP(M170,'G-6 Hedgerow Data'!$B$2:$AG$15,3,FALSE))</f>
        <v/>
      </c>
      <c r="S170" s="145"/>
      <c r="T170" s="499" t="str">
        <f>IFERROR(IF(AND(Q170="V.Low",OR(S170="Good",S170="Moderate")),"Error ▲",VLOOKUP(S170,'G-1 All Habitats'!$Z$2:$AA$9,2,FALSE)),"")</f>
        <v/>
      </c>
      <c r="U170" s="145"/>
      <c r="V170" s="507" t="str">
        <f>IF(U170="","",IF(VLOOKUP(U170,'G-3 Multipliers'!$L$3:$N$6,2,FALSE)=0,"Spatial Data Missing ⚠",VLOOKUP(U170,'G-3 Multipliers'!$L$3:$N$6,2,FALSE)))</f>
        <v/>
      </c>
      <c r="W170" s="505"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7"/>
        <v/>
      </c>
      <c r="AD170" s="537" t="str">
        <f>IF(M170="","",VLOOKUP(M170,'G-6 Hedgerow Data'!$B$3:$AG$15,31,FALSE))</f>
        <v/>
      </c>
      <c r="AE170" s="520" t="str">
        <f t="shared" si="21"/>
        <v/>
      </c>
      <c r="AF170" s="520" t="str">
        <f t="shared" si="22"/>
        <v/>
      </c>
      <c r="AG170" s="524" t="str">
        <f>IFERROR(IF(O170="","",VLOOKUP(AD170,'G-3 Multipliers'!$P$3:$Q$6,2,FALSE)),"")</f>
        <v/>
      </c>
      <c r="AH170" s="197"/>
      <c r="AI170" s="499" t="str">
        <f>IF(AH170="","",IF(VLOOKUP(AH170,'G-3 Multipliers'!$S$3:$T$6,2,FALSE)=0,"Spatial Data Missing ⚠",VLOOKUP(AH170,'G-3 Multipliers'!$S$3:$T$6,2,FALSE)))</f>
        <v/>
      </c>
      <c r="AJ170" s="545" t="str">
        <f t="shared" si="23"/>
        <v/>
      </c>
      <c r="AK170" s="149"/>
      <c r="AL170" s="150"/>
      <c r="AP170" s="31" t="str">
        <f>IFERROR(INDEX('G-6 Hedgerow Data'!$BJ$3:$BJ$15,MATCH(M170,'G-6 Hedgerow Data'!$B$3:$B$15,0)),"")</f>
        <v/>
      </c>
    </row>
    <row r="171" spans="2:42" ht="13.8" x14ac:dyDescent="0.25">
      <c r="B171" s="531" t="str">
        <f>'E-1 Off Site Hedge Baseline'!AK169</f>
        <v/>
      </c>
      <c r="C171" s="520" t="str">
        <f>IF(B171="","",IF(ISNA(VLOOKUP($B171,'E-1 Off Site Hedge Baseline'!$B$1:$L$257,3,FALSE)),"",(VLOOKUP($B171,'E-1 Off Site Hedge Baseline'!$B$1:$L$257,3,FALSE))))</f>
        <v/>
      </c>
      <c r="D171" s="520" t="str">
        <f>IF(B171="","",IF(ISNA(VLOOKUP($B171,'E-1 Off Site Hedge Baseline'!$B$1:$L$258,4,FALSE)),"",(VLOOKUP($B171,'E-1 Off Site Hedge Baseline'!$B$1:$L$258,4,FALSE))))</f>
        <v/>
      </c>
      <c r="E171" s="520" t="str">
        <f>IF(B171="","",IF(ISNA(VLOOKUP($B171,'E-1 Off Site Hedge Baseline'!$B$1:$L$257,5,FALSE)),"",(VLOOKUP($B171,'E-1 Off Site Hedge Baseline'!$B$1:$L$257,5,FALSE))))</f>
        <v/>
      </c>
      <c r="F171" s="520" t="str">
        <f>IF(B171="","",IF(ISNA(VLOOKUP($B171,'E-1 Off Site Hedge Baseline'!$B$1:$L$257,6,FALSE)),"",(VLOOKUP($B171,'E-1 Off Site Hedge Baseline'!$B$1:$L$257,6,FALSE))))</f>
        <v/>
      </c>
      <c r="G171" s="520" t="str">
        <f>IF(B171="","",IF(ISNA(VLOOKUP($B171,'E-1 Off Site Hedge Baseline'!$B$1:$L$257,7,FALSE)),"",(VLOOKUP($B171,'E-1 Off Site Hedge Baseline'!$B$1:$L$257,7,FALSE))))</f>
        <v/>
      </c>
      <c r="H171" s="520" t="str">
        <f>IF(B171="","",IF(ISNA(VLOOKUP($B171,'E-1 Off Site Hedge Baseline'!$B$1:$L$257,8,FALSE)),"",(VLOOKUP($B171,'E-1 Off Site Hedge Baseline'!$B$1:$L$257,8,FALSE))))</f>
        <v/>
      </c>
      <c r="I171" s="520" t="str">
        <f>IF(B171="","",IF(ISNA(VLOOKUP($B171,'E-1 Off Site Hedge Baseline'!$B$1:$L$257,10,FALSE)),"",(VLOOKUP($B171,'E-1 Off Site Hedge Baseline'!$B$1:$L$257,10,FALSE))))</f>
        <v/>
      </c>
      <c r="J171" s="520" t="str">
        <f>IF(B171="","",IF(ISNA(VLOOKUP($B171,'E-1 Off Site Hedge Baseline'!$B$1:$L$257,11,FALSE)),"",(VLOOKUP($B171,'E-1 Off Site Hedge Baseline'!$B$1:$L$257,11,FALSE))))</f>
        <v/>
      </c>
      <c r="K171" s="520" t="str">
        <f>IF(B171="","",IF(ISNA(VLOOKUP($B171,'E-1 Off Site Hedge Baseline'!$B$1:$U$257,113,FALSE)),"",(VLOOKUP($B171,'E-1 Off Site Hedge Baseline'!$B$1:$U$257,13,FALSE))))</f>
        <v/>
      </c>
      <c r="L171" s="507" t="str">
        <f>IF(B171="","",IF(ISNA(VLOOKUP($B171,'E-1 Off Site Hedge Baseline'!$B$1:$U$257,12,FALSE)),"",(VLOOKUP($B171,'E-1 Off Site Hedge Baseline'!$B$1:$U$257,12,FALSE))))</f>
        <v/>
      </c>
      <c r="M171" s="418" t="str">
        <f t="shared" si="24"/>
        <v/>
      </c>
      <c r="N171" s="498" t="str">
        <f>IFERROR(IF(B171="","",INDEX('G-6 Hedgerow Data'!$AN$3:$AZ$15,MATCH(C171,'G-6 Hedgerow Data'!$AM$3:$AM$15,0),MATCH(M171,'G-6 Hedgerow Data'!$AN$2:$AZ$2,0))),"")</f>
        <v/>
      </c>
      <c r="O171" s="499" t="str">
        <f t="shared" si="18"/>
        <v/>
      </c>
      <c r="P171" s="505" t="str">
        <f>IF(B171="","",VLOOKUP(B171,'E-1 Off Site Hedge Baseline'!$B$10:T416,16,FALSE))</f>
        <v/>
      </c>
      <c r="Q171" s="498" t="str">
        <f>IF(M171="","",VLOOKUP(M171,'G-6 Hedgerow Data'!$B$2:$AG$15,2,FALSE))</f>
        <v/>
      </c>
      <c r="R171" s="499" t="str">
        <f>IF(M171="","",VLOOKUP(M171,'G-6 Hedgerow Data'!$B$2:$AG$15,3,FALSE))</f>
        <v/>
      </c>
      <c r="S171" s="145"/>
      <c r="T171" s="499" t="str">
        <f>IFERROR(IF(AND(Q171="V.Low",OR(S171="Good",S171="Moderate")),"Error ▲",VLOOKUP(S171,'G-1 All Habitats'!$Z$2:$AA$9,2,FALSE)),"")</f>
        <v/>
      </c>
      <c r="U171" s="145"/>
      <c r="V171" s="507" t="str">
        <f>IF(U171="","",IF(VLOOKUP(U171,'G-3 Multipliers'!$L$3:$N$6,2,FALSE)=0,"Spatial Data Missing ⚠",VLOOKUP(U171,'G-3 Multipliers'!$L$3:$N$6,2,FALSE)))</f>
        <v/>
      </c>
      <c r="W171" s="505"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7"/>
        <v/>
      </c>
      <c r="AD171" s="537" t="str">
        <f>IF(M171="","",VLOOKUP(M171,'G-6 Hedgerow Data'!$B$3:$AG$15,31,FALSE))</f>
        <v/>
      </c>
      <c r="AE171" s="520" t="str">
        <f t="shared" si="21"/>
        <v/>
      </c>
      <c r="AF171" s="520" t="str">
        <f t="shared" si="22"/>
        <v/>
      </c>
      <c r="AG171" s="524" t="str">
        <f>IFERROR(IF(O171="","",VLOOKUP(AD171,'G-3 Multipliers'!$P$3:$Q$6,2,FALSE)),"")</f>
        <v/>
      </c>
      <c r="AH171" s="197"/>
      <c r="AI171" s="499" t="str">
        <f>IF(AH171="","",IF(VLOOKUP(AH171,'G-3 Multipliers'!$S$3:$T$6,2,FALSE)=0,"Spatial Data Missing ⚠",VLOOKUP(AH171,'G-3 Multipliers'!$S$3:$T$6,2,FALSE)))</f>
        <v/>
      </c>
      <c r="AJ171" s="545" t="str">
        <f t="shared" si="23"/>
        <v/>
      </c>
      <c r="AK171" s="149"/>
      <c r="AL171" s="150"/>
      <c r="AP171" s="31" t="str">
        <f>IFERROR(INDEX('G-6 Hedgerow Data'!$BJ$3:$BJ$15,MATCH(M171,'G-6 Hedgerow Data'!$B$3:$B$15,0)),"")</f>
        <v/>
      </c>
    </row>
    <row r="172" spans="2:42" ht="13.8" x14ac:dyDescent="0.25">
      <c r="B172" s="531" t="str">
        <f>'E-1 Off Site Hedge Baseline'!AK170</f>
        <v/>
      </c>
      <c r="C172" s="520" t="str">
        <f>IF(B172="","",IF(ISNA(VLOOKUP($B172,'E-1 Off Site Hedge Baseline'!$B$1:$L$257,3,FALSE)),"",(VLOOKUP($B172,'E-1 Off Site Hedge Baseline'!$B$1:$L$257,3,FALSE))))</f>
        <v/>
      </c>
      <c r="D172" s="520" t="str">
        <f>IF(B172="","",IF(ISNA(VLOOKUP($B172,'E-1 Off Site Hedge Baseline'!$B$1:$L$258,4,FALSE)),"",(VLOOKUP($B172,'E-1 Off Site Hedge Baseline'!$B$1:$L$258,4,FALSE))))</f>
        <v/>
      </c>
      <c r="E172" s="520" t="str">
        <f>IF(B172="","",IF(ISNA(VLOOKUP($B172,'E-1 Off Site Hedge Baseline'!$B$1:$L$257,5,FALSE)),"",(VLOOKUP($B172,'E-1 Off Site Hedge Baseline'!$B$1:$L$257,5,FALSE))))</f>
        <v/>
      </c>
      <c r="F172" s="520" t="str">
        <f>IF(B172="","",IF(ISNA(VLOOKUP($B172,'E-1 Off Site Hedge Baseline'!$B$1:$L$257,6,FALSE)),"",(VLOOKUP($B172,'E-1 Off Site Hedge Baseline'!$B$1:$L$257,6,FALSE))))</f>
        <v/>
      </c>
      <c r="G172" s="520" t="str">
        <f>IF(B172="","",IF(ISNA(VLOOKUP($B172,'E-1 Off Site Hedge Baseline'!$B$1:$L$257,7,FALSE)),"",(VLOOKUP($B172,'E-1 Off Site Hedge Baseline'!$B$1:$L$257,7,FALSE))))</f>
        <v/>
      </c>
      <c r="H172" s="520" t="str">
        <f>IF(B172="","",IF(ISNA(VLOOKUP($B172,'E-1 Off Site Hedge Baseline'!$B$1:$L$257,8,FALSE)),"",(VLOOKUP($B172,'E-1 Off Site Hedge Baseline'!$B$1:$L$257,8,FALSE))))</f>
        <v/>
      </c>
      <c r="I172" s="520" t="str">
        <f>IF(B172="","",IF(ISNA(VLOOKUP($B172,'E-1 Off Site Hedge Baseline'!$B$1:$L$257,10,FALSE)),"",(VLOOKUP($B172,'E-1 Off Site Hedge Baseline'!$B$1:$L$257,10,FALSE))))</f>
        <v/>
      </c>
      <c r="J172" s="520" t="str">
        <f>IF(B172="","",IF(ISNA(VLOOKUP($B172,'E-1 Off Site Hedge Baseline'!$B$1:$L$257,11,FALSE)),"",(VLOOKUP($B172,'E-1 Off Site Hedge Baseline'!$B$1:$L$257,11,FALSE))))</f>
        <v/>
      </c>
      <c r="K172" s="520" t="str">
        <f>IF(B172="","",IF(ISNA(VLOOKUP($B172,'E-1 Off Site Hedge Baseline'!$B$1:$U$257,113,FALSE)),"",(VLOOKUP($B172,'E-1 Off Site Hedge Baseline'!$B$1:$U$257,13,FALSE))))</f>
        <v/>
      </c>
      <c r="L172" s="507" t="str">
        <f>IF(B172="","",IF(ISNA(VLOOKUP($B172,'E-1 Off Site Hedge Baseline'!$B$1:$U$257,12,FALSE)),"",(VLOOKUP($B172,'E-1 Off Site Hedge Baseline'!$B$1:$U$257,12,FALSE))))</f>
        <v/>
      </c>
      <c r="M172" s="418" t="str">
        <f t="shared" si="24"/>
        <v/>
      </c>
      <c r="N172" s="498" t="str">
        <f>IFERROR(IF(B172="","",INDEX('G-6 Hedgerow Data'!$AN$3:$AZ$15,MATCH(C172,'G-6 Hedgerow Data'!$AM$3:$AM$15,0),MATCH(M172,'G-6 Hedgerow Data'!$AN$2:$AZ$2,0))),"")</f>
        <v/>
      </c>
      <c r="O172" s="499" t="str">
        <f t="shared" si="18"/>
        <v/>
      </c>
      <c r="P172" s="505" t="str">
        <f>IF(B172="","",VLOOKUP(B172,'E-1 Off Site Hedge Baseline'!$B$10:T417,16,FALSE))</f>
        <v/>
      </c>
      <c r="Q172" s="498" t="str">
        <f>IF(M172="","",VLOOKUP(M172,'G-6 Hedgerow Data'!$B$2:$AG$15,2,FALSE))</f>
        <v/>
      </c>
      <c r="R172" s="499" t="str">
        <f>IF(M172="","",VLOOKUP(M172,'G-6 Hedgerow Data'!$B$2:$AG$15,3,FALSE))</f>
        <v/>
      </c>
      <c r="S172" s="145"/>
      <c r="T172" s="499" t="str">
        <f>IFERROR(IF(AND(Q172="V.Low",OR(S172="Good",S172="Moderate")),"Error ▲",VLOOKUP(S172,'G-1 All Habitats'!$Z$2:$AA$9,2,FALSE)),"")</f>
        <v/>
      </c>
      <c r="U172" s="145"/>
      <c r="V172" s="507" t="str">
        <f>IF(U172="","",IF(VLOOKUP(U172,'G-3 Multipliers'!$L$3:$N$6,2,FALSE)=0,"Spatial Data Missing ⚠",VLOOKUP(U172,'G-3 Multipliers'!$L$3:$N$6,2,FALSE)))</f>
        <v/>
      </c>
      <c r="W172" s="505"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7"/>
        <v/>
      </c>
      <c r="AD172" s="537" t="str">
        <f>IF(M172="","",VLOOKUP(M172,'G-6 Hedgerow Data'!$B$3:$AG$15,31,FALSE))</f>
        <v/>
      </c>
      <c r="AE172" s="520" t="str">
        <f t="shared" si="21"/>
        <v/>
      </c>
      <c r="AF172" s="520" t="str">
        <f t="shared" si="22"/>
        <v/>
      </c>
      <c r="AG172" s="524" t="str">
        <f>IFERROR(IF(O172="","",VLOOKUP(AD172,'G-3 Multipliers'!$P$3:$Q$6,2,FALSE)),"")</f>
        <v/>
      </c>
      <c r="AH172" s="197"/>
      <c r="AI172" s="499" t="str">
        <f>IF(AH172="","",IF(VLOOKUP(AH172,'G-3 Multipliers'!$S$3:$T$6,2,FALSE)=0,"Spatial Data Missing ⚠",VLOOKUP(AH172,'G-3 Multipliers'!$S$3:$T$6,2,FALSE)))</f>
        <v/>
      </c>
      <c r="AJ172" s="545" t="str">
        <f t="shared" si="23"/>
        <v/>
      </c>
      <c r="AK172" s="149"/>
      <c r="AL172" s="150"/>
      <c r="AP172" s="31" t="str">
        <f>IFERROR(INDEX('G-6 Hedgerow Data'!$BJ$3:$BJ$15,MATCH(M172,'G-6 Hedgerow Data'!$B$3:$B$15,0)),"")</f>
        <v/>
      </c>
    </row>
    <row r="173" spans="2:42" ht="13.8" x14ac:dyDescent="0.25">
      <c r="B173" s="531" t="str">
        <f>'E-1 Off Site Hedge Baseline'!AK171</f>
        <v/>
      </c>
      <c r="C173" s="520" t="str">
        <f>IF(B173="","",IF(ISNA(VLOOKUP($B173,'E-1 Off Site Hedge Baseline'!$B$1:$L$257,3,FALSE)),"",(VLOOKUP($B173,'E-1 Off Site Hedge Baseline'!$B$1:$L$257,3,FALSE))))</f>
        <v/>
      </c>
      <c r="D173" s="520" t="str">
        <f>IF(B173="","",IF(ISNA(VLOOKUP($B173,'E-1 Off Site Hedge Baseline'!$B$1:$L$258,4,FALSE)),"",(VLOOKUP($B173,'E-1 Off Site Hedge Baseline'!$B$1:$L$258,4,FALSE))))</f>
        <v/>
      </c>
      <c r="E173" s="520" t="str">
        <f>IF(B173="","",IF(ISNA(VLOOKUP($B173,'E-1 Off Site Hedge Baseline'!$B$1:$L$257,5,FALSE)),"",(VLOOKUP($B173,'E-1 Off Site Hedge Baseline'!$B$1:$L$257,5,FALSE))))</f>
        <v/>
      </c>
      <c r="F173" s="520" t="str">
        <f>IF(B173="","",IF(ISNA(VLOOKUP($B173,'E-1 Off Site Hedge Baseline'!$B$1:$L$257,6,FALSE)),"",(VLOOKUP($B173,'E-1 Off Site Hedge Baseline'!$B$1:$L$257,6,FALSE))))</f>
        <v/>
      </c>
      <c r="G173" s="520" t="str">
        <f>IF(B173="","",IF(ISNA(VLOOKUP($B173,'E-1 Off Site Hedge Baseline'!$B$1:$L$257,7,FALSE)),"",(VLOOKUP($B173,'E-1 Off Site Hedge Baseline'!$B$1:$L$257,7,FALSE))))</f>
        <v/>
      </c>
      <c r="H173" s="520" t="str">
        <f>IF(B173="","",IF(ISNA(VLOOKUP($B173,'E-1 Off Site Hedge Baseline'!$B$1:$L$257,8,FALSE)),"",(VLOOKUP($B173,'E-1 Off Site Hedge Baseline'!$B$1:$L$257,8,FALSE))))</f>
        <v/>
      </c>
      <c r="I173" s="520" t="str">
        <f>IF(B173="","",IF(ISNA(VLOOKUP($B173,'E-1 Off Site Hedge Baseline'!$B$1:$L$257,10,FALSE)),"",(VLOOKUP($B173,'E-1 Off Site Hedge Baseline'!$B$1:$L$257,10,FALSE))))</f>
        <v/>
      </c>
      <c r="J173" s="520" t="str">
        <f>IF(B173="","",IF(ISNA(VLOOKUP($B173,'E-1 Off Site Hedge Baseline'!$B$1:$L$257,11,FALSE)),"",(VLOOKUP($B173,'E-1 Off Site Hedge Baseline'!$B$1:$L$257,11,FALSE))))</f>
        <v/>
      </c>
      <c r="K173" s="520" t="str">
        <f>IF(B173="","",IF(ISNA(VLOOKUP($B173,'E-1 Off Site Hedge Baseline'!$B$1:$U$257,113,FALSE)),"",(VLOOKUP($B173,'E-1 Off Site Hedge Baseline'!$B$1:$U$257,13,FALSE))))</f>
        <v/>
      </c>
      <c r="L173" s="507" t="str">
        <f>IF(B173="","",IF(ISNA(VLOOKUP($B173,'E-1 Off Site Hedge Baseline'!$B$1:$U$257,12,FALSE)),"",(VLOOKUP($B173,'E-1 Off Site Hedge Baseline'!$B$1:$U$257,12,FALSE))))</f>
        <v/>
      </c>
      <c r="M173" s="418" t="str">
        <f t="shared" si="24"/>
        <v/>
      </c>
      <c r="N173" s="498" t="str">
        <f>IFERROR(IF(B173="","",INDEX('G-6 Hedgerow Data'!$AN$3:$AZ$15,MATCH(C173,'G-6 Hedgerow Data'!$AM$3:$AM$15,0),MATCH(M173,'G-6 Hedgerow Data'!$AN$2:$AZ$2,0))),"")</f>
        <v/>
      </c>
      <c r="O173" s="499" t="str">
        <f t="shared" si="18"/>
        <v/>
      </c>
      <c r="P173" s="505" t="str">
        <f>IF(B173="","",VLOOKUP(B173,'E-1 Off Site Hedge Baseline'!$B$10:T418,16,FALSE))</f>
        <v/>
      </c>
      <c r="Q173" s="498" t="str">
        <f>IF(M173="","",VLOOKUP(M173,'G-6 Hedgerow Data'!$B$2:$AG$15,2,FALSE))</f>
        <v/>
      </c>
      <c r="R173" s="499" t="str">
        <f>IF(M173="","",VLOOKUP(M173,'G-6 Hedgerow Data'!$B$2:$AG$15,3,FALSE))</f>
        <v/>
      </c>
      <c r="S173" s="145"/>
      <c r="T173" s="499" t="str">
        <f>IFERROR(IF(AND(Q173="V.Low",OR(S173="Good",S173="Moderate")),"Error ▲",VLOOKUP(S173,'G-1 All Habitats'!$Z$2:$AA$9,2,FALSE)),"")</f>
        <v/>
      </c>
      <c r="U173" s="145"/>
      <c r="V173" s="507" t="str">
        <f>IF(U173="","",IF(VLOOKUP(U173,'G-3 Multipliers'!$L$3:$N$6,2,FALSE)=0,"Spatial Data Missing ⚠",VLOOKUP(U173,'G-3 Multipliers'!$L$3:$N$6,2,FALSE)))</f>
        <v/>
      </c>
      <c r="W173" s="505"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7"/>
        <v/>
      </c>
      <c r="AD173" s="537" t="str">
        <f>IF(M173="","",VLOOKUP(M173,'G-6 Hedgerow Data'!$B$3:$AG$15,31,FALSE))</f>
        <v/>
      </c>
      <c r="AE173" s="520" t="str">
        <f t="shared" si="21"/>
        <v/>
      </c>
      <c r="AF173" s="520" t="str">
        <f t="shared" si="22"/>
        <v/>
      </c>
      <c r="AG173" s="524" t="str">
        <f>IFERROR(IF(O173="","",VLOOKUP(AD173,'G-3 Multipliers'!$P$3:$Q$6,2,FALSE)),"")</f>
        <v/>
      </c>
      <c r="AH173" s="197"/>
      <c r="AI173" s="499" t="str">
        <f>IF(AH173="","",IF(VLOOKUP(AH173,'G-3 Multipliers'!$S$3:$T$6,2,FALSE)=0,"Spatial Data Missing ⚠",VLOOKUP(AH173,'G-3 Multipliers'!$S$3:$T$6,2,FALSE)))</f>
        <v/>
      </c>
      <c r="AJ173" s="545" t="str">
        <f t="shared" si="23"/>
        <v/>
      </c>
      <c r="AK173" s="149"/>
      <c r="AL173" s="150"/>
      <c r="AP173" s="31" t="str">
        <f>IFERROR(INDEX('G-6 Hedgerow Data'!$BJ$3:$BJ$15,MATCH(M173,'G-6 Hedgerow Data'!$B$3:$B$15,0)),"")</f>
        <v/>
      </c>
    </row>
    <row r="174" spans="2:42" ht="13.8" x14ac:dyDescent="0.25">
      <c r="B174" s="531" t="str">
        <f>'E-1 Off Site Hedge Baseline'!AK172</f>
        <v/>
      </c>
      <c r="C174" s="520" t="str">
        <f>IF(B174="","",IF(ISNA(VLOOKUP($B174,'E-1 Off Site Hedge Baseline'!$B$1:$L$257,3,FALSE)),"",(VLOOKUP($B174,'E-1 Off Site Hedge Baseline'!$B$1:$L$257,3,FALSE))))</f>
        <v/>
      </c>
      <c r="D174" s="520" t="str">
        <f>IF(B174="","",IF(ISNA(VLOOKUP($B174,'E-1 Off Site Hedge Baseline'!$B$1:$L$258,4,FALSE)),"",(VLOOKUP($B174,'E-1 Off Site Hedge Baseline'!$B$1:$L$258,4,FALSE))))</f>
        <v/>
      </c>
      <c r="E174" s="520" t="str">
        <f>IF(B174="","",IF(ISNA(VLOOKUP($B174,'E-1 Off Site Hedge Baseline'!$B$1:$L$257,5,FALSE)),"",(VLOOKUP($B174,'E-1 Off Site Hedge Baseline'!$B$1:$L$257,5,FALSE))))</f>
        <v/>
      </c>
      <c r="F174" s="520" t="str">
        <f>IF(B174="","",IF(ISNA(VLOOKUP($B174,'E-1 Off Site Hedge Baseline'!$B$1:$L$257,6,FALSE)),"",(VLOOKUP($B174,'E-1 Off Site Hedge Baseline'!$B$1:$L$257,6,FALSE))))</f>
        <v/>
      </c>
      <c r="G174" s="520" t="str">
        <f>IF(B174="","",IF(ISNA(VLOOKUP($B174,'E-1 Off Site Hedge Baseline'!$B$1:$L$257,7,FALSE)),"",(VLOOKUP($B174,'E-1 Off Site Hedge Baseline'!$B$1:$L$257,7,FALSE))))</f>
        <v/>
      </c>
      <c r="H174" s="520" t="str">
        <f>IF(B174="","",IF(ISNA(VLOOKUP($B174,'E-1 Off Site Hedge Baseline'!$B$1:$L$257,8,FALSE)),"",(VLOOKUP($B174,'E-1 Off Site Hedge Baseline'!$B$1:$L$257,8,FALSE))))</f>
        <v/>
      </c>
      <c r="I174" s="520" t="str">
        <f>IF(B174="","",IF(ISNA(VLOOKUP($B174,'E-1 Off Site Hedge Baseline'!$B$1:$L$257,10,FALSE)),"",(VLOOKUP($B174,'E-1 Off Site Hedge Baseline'!$B$1:$L$257,10,FALSE))))</f>
        <v/>
      </c>
      <c r="J174" s="520" t="str">
        <f>IF(B174="","",IF(ISNA(VLOOKUP($B174,'E-1 Off Site Hedge Baseline'!$B$1:$L$257,11,FALSE)),"",(VLOOKUP($B174,'E-1 Off Site Hedge Baseline'!$B$1:$L$257,11,FALSE))))</f>
        <v/>
      </c>
      <c r="K174" s="520" t="str">
        <f>IF(B174="","",IF(ISNA(VLOOKUP($B174,'E-1 Off Site Hedge Baseline'!$B$1:$U$257,113,FALSE)),"",(VLOOKUP($B174,'E-1 Off Site Hedge Baseline'!$B$1:$U$257,13,FALSE))))</f>
        <v/>
      </c>
      <c r="L174" s="507" t="str">
        <f>IF(B174="","",IF(ISNA(VLOOKUP($B174,'E-1 Off Site Hedge Baseline'!$B$1:$U$257,12,FALSE)),"",(VLOOKUP($B174,'E-1 Off Site Hedge Baseline'!$B$1:$U$257,12,FALSE))))</f>
        <v/>
      </c>
      <c r="M174" s="418" t="str">
        <f t="shared" si="24"/>
        <v/>
      </c>
      <c r="N174" s="498" t="str">
        <f>IFERROR(IF(B174="","",INDEX('G-6 Hedgerow Data'!$AN$3:$AZ$15,MATCH(C174,'G-6 Hedgerow Data'!$AM$3:$AM$15,0),MATCH(M174,'G-6 Hedgerow Data'!$AN$2:$AZ$2,0))),"")</f>
        <v/>
      </c>
      <c r="O174" s="499" t="str">
        <f t="shared" si="18"/>
        <v/>
      </c>
      <c r="P174" s="505" t="str">
        <f>IF(B174="","",VLOOKUP(B174,'E-1 Off Site Hedge Baseline'!$B$10:T419,16,FALSE))</f>
        <v/>
      </c>
      <c r="Q174" s="498" t="str">
        <f>IF(M174="","",VLOOKUP(M174,'G-6 Hedgerow Data'!$B$2:$AG$15,2,FALSE))</f>
        <v/>
      </c>
      <c r="R174" s="499" t="str">
        <f>IF(M174="","",VLOOKUP(M174,'G-6 Hedgerow Data'!$B$2:$AG$15,3,FALSE))</f>
        <v/>
      </c>
      <c r="S174" s="145"/>
      <c r="T174" s="499" t="str">
        <f>IFERROR(IF(AND(Q174="V.Low",OR(S174="Good",S174="Moderate")),"Error ▲",VLOOKUP(S174,'G-1 All Habitats'!$Z$2:$AA$9,2,FALSE)),"")</f>
        <v/>
      </c>
      <c r="U174" s="145"/>
      <c r="V174" s="507" t="str">
        <f>IF(U174="","",IF(VLOOKUP(U174,'G-3 Multipliers'!$L$3:$N$6,2,FALSE)=0,"Spatial Data Missing ⚠",VLOOKUP(U174,'G-3 Multipliers'!$L$3:$N$6,2,FALSE)))</f>
        <v/>
      </c>
      <c r="W174" s="505"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7"/>
        <v/>
      </c>
      <c r="AD174" s="537" t="str">
        <f>IF(M174="","",VLOOKUP(M174,'G-6 Hedgerow Data'!$B$3:$AG$15,31,FALSE))</f>
        <v/>
      </c>
      <c r="AE174" s="520" t="str">
        <f t="shared" si="21"/>
        <v/>
      </c>
      <c r="AF174" s="520" t="str">
        <f t="shared" si="22"/>
        <v/>
      </c>
      <c r="AG174" s="524" t="str">
        <f>IFERROR(IF(O174="","",VLOOKUP(AD174,'G-3 Multipliers'!$P$3:$Q$6,2,FALSE)),"")</f>
        <v/>
      </c>
      <c r="AH174" s="197"/>
      <c r="AI174" s="499" t="str">
        <f>IF(AH174="","",IF(VLOOKUP(AH174,'G-3 Multipliers'!$S$3:$T$6,2,FALSE)=0,"Spatial Data Missing ⚠",VLOOKUP(AH174,'G-3 Multipliers'!$S$3:$T$6,2,FALSE)))</f>
        <v/>
      </c>
      <c r="AJ174" s="545" t="str">
        <f t="shared" si="23"/>
        <v/>
      </c>
      <c r="AK174" s="149"/>
      <c r="AL174" s="150"/>
      <c r="AP174" s="31" t="str">
        <f>IFERROR(INDEX('G-6 Hedgerow Data'!$BJ$3:$BJ$15,MATCH(M174,'G-6 Hedgerow Data'!$B$3:$B$15,0)),"")</f>
        <v/>
      </c>
    </row>
    <row r="175" spans="2:42" ht="13.8" x14ac:dyDescent="0.25">
      <c r="B175" s="531" t="str">
        <f>'E-1 Off Site Hedge Baseline'!AK173</f>
        <v/>
      </c>
      <c r="C175" s="520" t="str">
        <f>IF(B175="","",IF(ISNA(VLOOKUP($B175,'E-1 Off Site Hedge Baseline'!$B$1:$L$257,3,FALSE)),"",(VLOOKUP($B175,'E-1 Off Site Hedge Baseline'!$B$1:$L$257,3,FALSE))))</f>
        <v/>
      </c>
      <c r="D175" s="520" t="str">
        <f>IF(B175="","",IF(ISNA(VLOOKUP($B175,'E-1 Off Site Hedge Baseline'!$B$1:$L$258,4,FALSE)),"",(VLOOKUP($B175,'E-1 Off Site Hedge Baseline'!$B$1:$L$258,4,FALSE))))</f>
        <v/>
      </c>
      <c r="E175" s="520" t="str">
        <f>IF(B175="","",IF(ISNA(VLOOKUP($B175,'E-1 Off Site Hedge Baseline'!$B$1:$L$257,5,FALSE)),"",(VLOOKUP($B175,'E-1 Off Site Hedge Baseline'!$B$1:$L$257,5,FALSE))))</f>
        <v/>
      </c>
      <c r="F175" s="520" t="str">
        <f>IF(B175="","",IF(ISNA(VLOOKUP($B175,'E-1 Off Site Hedge Baseline'!$B$1:$L$257,6,FALSE)),"",(VLOOKUP($B175,'E-1 Off Site Hedge Baseline'!$B$1:$L$257,6,FALSE))))</f>
        <v/>
      </c>
      <c r="G175" s="520" t="str">
        <f>IF(B175="","",IF(ISNA(VLOOKUP($B175,'E-1 Off Site Hedge Baseline'!$B$1:$L$257,7,FALSE)),"",(VLOOKUP($B175,'E-1 Off Site Hedge Baseline'!$B$1:$L$257,7,FALSE))))</f>
        <v/>
      </c>
      <c r="H175" s="520" t="str">
        <f>IF(B175="","",IF(ISNA(VLOOKUP($B175,'E-1 Off Site Hedge Baseline'!$B$1:$L$257,8,FALSE)),"",(VLOOKUP($B175,'E-1 Off Site Hedge Baseline'!$B$1:$L$257,8,FALSE))))</f>
        <v/>
      </c>
      <c r="I175" s="520" t="str">
        <f>IF(B175="","",IF(ISNA(VLOOKUP($B175,'E-1 Off Site Hedge Baseline'!$B$1:$L$257,10,FALSE)),"",(VLOOKUP($B175,'E-1 Off Site Hedge Baseline'!$B$1:$L$257,10,FALSE))))</f>
        <v/>
      </c>
      <c r="J175" s="520" t="str">
        <f>IF(B175="","",IF(ISNA(VLOOKUP($B175,'E-1 Off Site Hedge Baseline'!$B$1:$L$257,11,FALSE)),"",(VLOOKUP($B175,'E-1 Off Site Hedge Baseline'!$B$1:$L$257,11,FALSE))))</f>
        <v/>
      </c>
      <c r="K175" s="520" t="str">
        <f>IF(B175="","",IF(ISNA(VLOOKUP($B175,'E-1 Off Site Hedge Baseline'!$B$1:$U$257,113,FALSE)),"",(VLOOKUP($B175,'E-1 Off Site Hedge Baseline'!$B$1:$U$257,13,FALSE))))</f>
        <v/>
      </c>
      <c r="L175" s="507" t="str">
        <f>IF(B175="","",IF(ISNA(VLOOKUP($B175,'E-1 Off Site Hedge Baseline'!$B$1:$U$257,12,FALSE)),"",(VLOOKUP($B175,'E-1 Off Site Hedge Baseline'!$B$1:$U$257,12,FALSE))))</f>
        <v/>
      </c>
      <c r="M175" s="418" t="str">
        <f t="shared" si="24"/>
        <v/>
      </c>
      <c r="N175" s="498" t="str">
        <f>IFERROR(IF(B175="","",INDEX('G-6 Hedgerow Data'!$AN$3:$AZ$15,MATCH(C175,'G-6 Hedgerow Data'!$AM$3:$AM$15,0),MATCH(M175,'G-6 Hedgerow Data'!$AN$2:$AZ$2,0))),"")</f>
        <v/>
      </c>
      <c r="O175" s="499" t="str">
        <f t="shared" si="18"/>
        <v/>
      </c>
      <c r="P175" s="505" t="str">
        <f>IF(B175="","",VLOOKUP(B175,'E-1 Off Site Hedge Baseline'!$B$10:T420,16,FALSE))</f>
        <v/>
      </c>
      <c r="Q175" s="498" t="str">
        <f>IF(M175="","",VLOOKUP(M175,'G-6 Hedgerow Data'!$B$2:$AG$15,2,FALSE))</f>
        <v/>
      </c>
      <c r="R175" s="499" t="str">
        <f>IF(M175="","",VLOOKUP(M175,'G-6 Hedgerow Data'!$B$2:$AG$15,3,FALSE))</f>
        <v/>
      </c>
      <c r="S175" s="145"/>
      <c r="T175" s="499" t="str">
        <f>IFERROR(IF(AND(Q175="V.Low",OR(S175="Good",S175="Moderate")),"Error ▲",VLOOKUP(S175,'G-1 All Habitats'!$Z$2:$AA$9,2,FALSE)),"")</f>
        <v/>
      </c>
      <c r="U175" s="145"/>
      <c r="V175" s="507" t="str">
        <f>IF(U175="","",IF(VLOOKUP(U175,'G-3 Multipliers'!$L$3:$N$6,2,FALSE)=0,"Spatial Data Missing ⚠",VLOOKUP(U175,'G-3 Multipliers'!$L$3:$N$6,2,FALSE)))</f>
        <v/>
      </c>
      <c r="W175" s="505"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7"/>
        <v/>
      </c>
      <c r="AD175" s="537" t="str">
        <f>IF(M175="","",VLOOKUP(M175,'G-6 Hedgerow Data'!$B$3:$AG$15,31,FALSE))</f>
        <v/>
      </c>
      <c r="AE175" s="520" t="str">
        <f t="shared" si="21"/>
        <v/>
      </c>
      <c r="AF175" s="520" t="str">
        <f t="shared" si="22"/>
        <v/>
      </c>
      <c r="AG175" s="524" t="str">
        <f>IFERROR(IF(O175="","",VLOOKUP(AD175,'G-3 Multipliers'!$P$3:$Q$6,2,FALSE)),"")</f>
        <v/>
      </c>
      <c r="AH175" s="197"/>
      <c r="AI175" s="499" t="str">
        <f>IF(AH175="","",IF(VLOOKUP(AH175,'G-3 Multipliers'!$S$3:$T$6,2,FALSE)=0,"Spatial Data Missing ⚠",VLOOKUP(AH175,'G-3 Multipliers'!$S$3:$T$6,2,FALSE)))</f>
        <v/>
      </c>
      <c r="AJ175" s="545" t="str">
        <f t="shared" si="23"/>
        <v/>
      </c>
      <c r="AK175" s="149"/>
      <c r="AL175" s="150"/>
      <c r="AP175" s="31" t="str">
        <f>IFERROR(INDEX('G-6 Hedgerow Data'!$BJ$3:$BJ$15,MATCH(M175,'G-6 Hedgerow Data'!$B$3:$B$15,0)),"")</f>
        <v/>
      </c>
    </row>
    <row r="176" spans="2:42" ht="13.8" x14ac:dyDescent="0.25">
      <c r="B176" s="531" t="str">
        <f>'E-1 Off Site Hedge Baseline'!AK174</f>
        <v/>
      </c>
      <c r="C176" s="520" t="str">
        <f>IF(B176="","",IF(ISNA(VLOOKUP($B176,'E-1 Off Site Hedge Baseline'!$B$1:$L$257,3,FALSE)),"",(VLOOKUP($B176,'E-1 Off Site Hedge Baseline'!$B$1:$L$257,3,FALSE))))</f>
        <v/>
      </c>
      <c r="D176" s="520" t="str">
        <f>IF(B176="","",IF(ISNA(VLOOKUP($B176,'E-1 Off Site Hedge Baseline'!$B$1:$L$258,4,FALSE)),"",(VLOOKUP($B176,'E-1 Off Site Hedge Baseline'!$B$1:$L$258,4,FALSE))))</f>
        <v/>
      </c>
      <c r="E176" s="520" t="str">
        <f>IF(B176="","",IF(ISNA(VLOOKUP($B176,'E-1 Off Site Hedge Baseline'!$B$1:$L$257,5,FALSE)),"",(VLOOKUP($B176,'E-1 Off Site Hedge Baseline'!$B$1:$L$257,5,FALSE))))</f>
        <v/>
      </c>
      <c r="F176" s="520" t="str">
        <f>IF(B176="","",IF(ISNA(VLOOKUP($B176,'E-1 Off Site Hedge Baseline'!$B$1:$L$257,6,FALSE)),"",(VLOOKUP($B176,'E-1 Off Site Hedge Baseline'!$B$1:$L$257,6,FALSE))))</f>
        <v/>
      </c>
      <c r="G176" s="520" t="str">
        <f>IF(B176="","",IF(ISNA(VLOOKUP($B176,'E-1 Off Site Hedge Baseline'!$B$1:$L$257,7,FALSE)),"",(VLOOKUP($B176,'E-1 Off Site Hedge Baseline'!$B$1:$L$257,7,FALSE))))</f>
        <v/>
      </c>
      <c r="H176" s="520" t="str">
        <f>IF(B176="","",IF(ISNA(VLOOKUP($B176,'E-1 Off Site Hedge Baseline'!$B$1:$L$257,8,FALSE)),"",(VLOOKUP($B176,'E-1 Off Site Hedge Baseline'!$B$1:$L$257,8,FALSE))))</f>
        <v/>
      </c>
      <c r="I176" s="520" t="str">
        <f>IF(B176="","",IF(ISNA(VLOOKUP($B176,'E-1 Off Site Hedge Baseline'!$B$1:$L$257,10,FALSE)),"",(VLOOKUP($B176,'E-1 Off Site Hedge Baseline'!$B$1:$L$257,10,FALSE))))</f>
        <v/>
      </c>
      <c r="J176" s="520" t="str">
        <f>IF(B176="","",IF(ISNA(VLOOKUP($B176,'E-1 Off Site Hedge Baseline'!$B$1:$L$257,11,FALSE)),"",(VLOOKUP($B176,'E-1 Off Site Hedge Baseline'!$B$1:$L$257,11,FALSE))))</f>
        <v/>
      </c>
      <c r="K176" s="520" t="str">
        <f>IF(B176="","",IF(ISNA(VLOOKUP($B176,'E-1 Off Site Hedge Baseline'!$B$1:$U$257,113,FALSE)),"",(VLOOKUP($B176,'E-1 Off Site Hedge Baseline'!$B$1:$U$257,13,FALSE))))</f>
        <v/>
      </c>
      <c r="L176" s="507" t="str">
        <f>IF(B176="","",IF(ISNA(VLOOKUP($B176,'E-1 Off Site Hedge Baseline'!$B$1:$U$257,12,FALSE)),"",(VLOOKUP($B176,'E-1 Off Site Hedge Baseline'!$B$1:$U$257,12,FALSE))))</f>
        <v/>
      </c>
      <c r="M176" s="418" t="str">
        <f t="shared" si="24"/>
        <v/>
      </c>
      <c r="N176" s="498" t="str">
        <f>IFERROR(IF(B176="","",INDEX('G-6 Hedgerow Data'!$AN$3:$AZ$15,MATCH(C176,'G-6 Hedgerow Data'!$AM$3:$AM$15,0),MATCH(M176,'G-6 Hedgerow Data'!$AN$2:$AZ$2,0))),"")</f>
        <v/>
      </c>
      <c r="O176" s="499" t="str">
        <f t="shared" si="18"/>
        <v/>
      </c>
      <c r="P176" s="505" t="str">
        <f>IF(B176="","",VLOOKUP(B176,'E-1 Off Site Hedge Baseline'!$B$10:T421,16,FALSE))</f>
        <v/>
      </c>
      <c r="Q176" s="498" t="str">
        <f>IF(M176="","",VLOOKUP(M176,'G-6 Hedgerow Data'!$B$2:$AG$15,2,FALSE))</f>
        <v/>
      </c>
      <c r="R176" s="499" t="str">
        <f>IF(M176="","",VLOOKUP(M176,'G-6 Hedgerow Data'!$B$2:$AG$15,3,FALSE))</f>
        <v/>
      </c>
      <c r="S176" s="145"/>
      <c r="T176" s="499" t="str">
        <f>IFERROR(IF(AND(Q176="V.Low",OR(S176="Good",S176="Moderate")),"Error ▲",VLOOKUP(S176,'G-1 All Habitats'!$Z$2:$AA$9,2,FALSE)),"")</f>
        <v/>
      </c>
      <c r="U176" s="145"/>
      <c r="V176" s="507" t="str">
        <f>IF(U176="","",IF(VLOOKUP(U176,'G-3 Multipliers'!$L$3:$N$6,2,FALSE)=0,"Spatial Data Missing ⚠",VLOOKUP(U176,'G-3 Multipliers'!$L$3:$N$6,2,FALSE)))</f>
        <v/>
      </c>
      <c r="W176" s="505"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7"/>
        <v/>
      </c>
      <c r="AD176" s="537" t="str">
        <f>IF(M176="","",VLOOKUP(M176,'G-6 Hedgerow Data'!$B$3:$AG$15,31,FALSE))</f>
        <v/>
      </c>
      <c r="AE176" s="520" t="str">
        <f t="shared" si="21"/>
        <v/>
      </c>
      <c r="AF176" s="520" t="str">
        <f t="shared" si="22"/>
        <v/>
      </c>
      <c r="AG176" s="524" t="str">
        <f>IFERROR(IF(O176="","",VLOOKUP(AD176,'G-3 Multipliers'!$P$3:$Q$6,2,FALSE)),"")</f>
        <v/>
      </c>
      <c r="AH176" s="197"/>
      <c r="AI176" s="499" t="str">
        <f>IF(AH176="","",IF(VLOOKUP(AH176,'G-3 Multipliers'!$S$3:$T$6,2,FALSE)=0,"Spatial Data Missing ⚠",VLOOKUP(AH176,'G-3 Multipliers'!$S$3:$T$6,2,FALSE)))</f>
        <v/>
      </c>
      <c r="AJ176" s="545" t="str">
        <f t="shared" si="23"/>
        <v/>
      </c>
      <c r="AK176" s="149"/>
      <c r="AL176" s="150"/>
      <c r="AP176" s="31" t="str">
        <f>IFERROR(INDEX('G-6 Hedgerow Data'!$BJ$3:$BJ$15,MATCH(M176,'G-6 Hedgerow Data'!$B$3:$B$15,0)),"")</f>
        <v/>
      </c>
    </row>
    <row r="177" spans="2:42" ht="13.8" x14ac:dyDescent="0.25">
      <c r="B177" s="531" t="str">
        <f>'E-1 Off Site Hedge Baseline'!AK175</f>
        <v/>
      </c>
      <c r="C177" s="520" t="str">
        <f>IF(B177="","",IF(ISNA(VLOOKUP($B177,'E-1 Off Site Hedge Baseline'!$B$1:$L$257,3,FALSE)),"",(VLOOKUP($B177,'E-1 Off Site Hedge Baseline'!$B$1:$L$257,3,FALSE))))</f>
        <v/>
      </c>
      <c r="D177" s="520" t="str">
        <f>IF(B177="","",IF(ISNA(VLOOKUP($B177,'E-1 Off Site Hedge Baseline'!$B$1:$L$258,4,FALSE)),"",(VLOOKUP($B177,'E-1 Off Site Hedge Baseline'!$B$1:$L$258,4,FALSE))))</f>
        <v/>
      </c>
      <c r="E177" s="520" t="str">
        <f>IF(B177="","",IF(ISNA(VLOOKUP($B177,'E-1 Off Site Hedge Baseline'!$B$1:$L$257,5,FALSE)),"",(VLOOKUP($B177,'E-1 Off Site Hedge Baseline'!$B$1:$L$257,5,FALSE))))</f>
        <v/>
      </c>
      <c r="F177" s="520" t="str">
        <f>IF(B177="","",IF(ISNA(VLOOKUP($B177,'E-1 Off Site Hedge Baseline'!$B$1:$L$257,6,FALSE)),"",(VLOOKUP($B177,'E-1 Off Site Hedge Baseline'!$B$1:$L$257,6,FALSE))))</f>
        <v/>
      </c>
      <c r="G177" s="520" t="str">
        <f>IF(B177="","",IF(ISNA(VLOOKUP($B177,'E-1 Off Site Hedge Baseline'!$B$1:$L$257,7,FALSE)),"",(VLOOKUP($B177,'E-1 Off Site Hedge Baseline'!$B$1:$L$257,7,FALSE))))</f>
        <v/>
      </c>
      <c r="H177" s="520" t="str">
        <f>IF(B177="","",IF(ISNA(VLOOKUP($B177,'E-1 Off Site Hedge Baseline'!$B$1:$L$257,8,FALSE)),"",(VLOOKUP($B177,'E-1 Off Site Hedge Baseline'!$B$1:$L$257,8,FALSE))))</f>
        <v/>
      </c>
      <c r="I177" s="520" t="str">
        <f>IF(B177="","",IF(ISNA(VLOOKUP($B177,'E-1 Off Site Hedge Baseline'!$B$1:$L$257,10,FALSE)),"",(VLOOKUP($B177,'E-1 Off Site Hedge Baseline'!$B$1:$L$257,10,FALSE))))</f>
        <v/>
      </c>
      <c r="J177" s="520" t="str">
        <f>IF(B177="","",IF(ISNA(VLOOKUP($B177,'E-1 Off Site Hedge Baseline'!$B$1:$L$257,11,FALSE)),"",(VLOOKUP($B177,'E-1 Off Site Hedge Baseline'!$B$1:$L$257,11,FALSE))))</f>
        <v/>
      </c>
      <c r="K177" s="520" t="str">
        <f>IF(B177="","",IF(ISNA(VLOOKUP($B177,'E-1 Off Site Hedge Baseline'!$B$1:$U$257,113,FALSE)),"",(VLOOKUP($B177,'E-1 Off Site Hedge Baseline'!$B$1:$U$257,13,FALSE))))</f>
        <v/>
      </c>
      <c r="L177" s="507" t="str">
        <f>IF(B177="","",IF(ISNA(VLOOKUP($B177,'E-1 Off Site Hedge Baseline'!$B$1:$U$257,12,FALSE)),"",(VLOOKUP($B177,'E-1 Off Site Hedge Baseline'!$B$1:$U$257,12,FALSE))))</f>
        <v/>
      </c>
      <c r="M177" s="418" t="str">
        <f t="shared" si="24"/>
        <v/>
      </c>
      <c r="N177" s="498" t="str">
        <f>IFERROR(IF(B177="","",INDEX('G-6 Hedgerow Data'!$AN$3:$AZ$15,MATCH(C177,'G-6 Hedgerow Data'!$AM$3:$AM$15,0),MATCH(M177,'G-6 Hedgerow Data'!$AN$2:$AZ$2,0))),"")</f>
        <v/>
      </c>
      <c r="O177" s="499" t="str">
        <f t="shared" si="18"/>
        <v/>
      </c>
      <c r="P177" s="505" t="str">
        <f>IF(B177="","",VLOOKUP(B177,'E-1 Off Site Hedge Baseline'!$B$10:T422,16,FALSE))</f>
        <v/>
      </c>
      <c r="Q177" s="498" t="str">
        <f>IF(M177="","",VLOOKUP(M177,'G-6 Hedgerow Data'!$B$2:$AG$15,2,FALSE))</f>
        <v/>
      </c>
      <c r="R177" s="499" t="str">
        <f>IF(M177="","",VLOOKUP(M177,'G-6 Hedgerow Data'!$B$2:$AG$15,3,FALSE))</f>
        <v/>
      </c>
      <c r="S177" s="145"/>
      <c r="T177" s="499" t="str">
        <f>IFERROR(IF(AND(Q177="V.Low",OR(S177="Good",S177="Moderate")),"Error ▲",VLOOKUP(S177,'G-1 All Habitats'!$Z$2:$AA$9,2,FALSE)),"")</f>
        <v/>
      </c>
      <c r="U177" s="145"/>
      <c r="V177" s="507" t="str">
        <f>IF(U177="","",IF(VLOOKUP(U177,'G-3 Multipliers'!$L$3:$N$6,2,FALSE)=0,"Spatial Data Missing ⚠",VLOOKUP(U177,'G-3 Multipliers'!$L$3:$N$6,2,FALSE)))</f>
        <v/>
      </c>
      <c r="W177" s="505"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7"/>
        <v/>
      </c>
      <c r="AD177" s="537" t="str">
        <f>IF(M177="","",VLOOKUP(M177,'G-6 Hedgerow Data'!$B$3:$AG$15,31,FALSE))</f>
        <v/>
      </c>
      <c r="AE177" s="520" t="str">
        <f t="shared" si="21"/>
        <v/>
      </c>
      <c r="AF177" s="520" t="str">
        <f t="shared" si="22"/>
        <v/>
      </c>
      <c r="AG177" s="524" t="str">
        <f>IFERROR(IF(O177="","",VLOOKUP(AD177,'G-3 Multipliers'!$P$3:$Q$6,2,FALSE)),"")</f>
        <v/>
      </c>
      <c r="AH177" s="197"/>
      <c r="AI177" s="499" t="str">
        <f>IF(AH177="","",IF(VLOOKUP(AH177,'G-3 Multipliers'!$S$3:$T$6,2,FALSE)=0,"Spatial Data Missing ⚠",VLOOKUP(AH177,'G-3 Multipliers'!$S$3:$T$6,2,FALSE)))</f>
        <v/>
      </c>
      <c r="AJ177" s="545" t="str">
        <f t="shared" si="23"/>
        <v/>
      </c>
      <c r="AK177" s="149"/>
      <c r="AL177" s="150"/>
      <c r="AP177" s="31" t="str">
        <f>IFERROR(INDEX('G-6 Hedgerow Data'!$BJ$3:$BJ$15,MATCH(M177,'G-6 Hedgerow Data'!$B$3:$B$15,0)),"")</f>
        <v/>
      </c>
    </row>
    <row r="178" spans="2:42" ht="13.8" x14ac:dyDescent="0.25">
      <c r="B178" s="531" t="str">
        <f>'E-1 Off Site Hedge Baseline'!AK176</f>
        <v/>
      </c>
      <c r="C178" s="520" t="str">
        <f>IF(B178="","",IF(ISNA(VLOOKUP($B178,'E-1 Off Site Hedge Baseline'!$B$1:$L$257,3,FALSE)),"",(VLOOKUP($B178,'E-1 Off Site Hedge Baseline'!$B$1:$L$257,3,FALSE))))</f>
        <v/>
      </c>
      <c r="D178" s="520" t="str">
        <f>IF(B178="","",IF(ISNA(VLOOKUP($B178,'E-1 Off Site Hedge Baseline'!$B$1:$L$258,4,FALSE)),"",(VLOOKUP($B178,'E-1 Off Site Hedge Baseline'!$B$1:$L$258,4,FALSE))))</f>
        <v/>
      </c>
      <c r="E178" s="520" t="str">
        <f>IF(B178="","",IF(ISNA(VLOOKUP($B178,'E-1 Off Site Hedge Baseline'!$B$1:$L$257,5,FALSE)),"",(VLOOKUP($B178,'E-1 Off Site Hedge Baseline'!$B$1:$L$257,5,FALSE))))</f>
        <v/>
      </c>
      <c r="F178" s="520" t="str">
        <f>IF(B178="","",IF(ISNA(VLOOKUP($B178,'E-1 Off Site Hedge Baseline'!$B$1:$L$257,6,FALSE)),"",(VLOOKUP($B178,'E-1 Off Site Hedge Baseline'!$B$1:$L$257,6,FALSE))))</f>
        <v/>
      </c>
      <c r="G178" s="520" t="str">
        <f>IF(B178="","",IF(ISNA(VLOOKUP($B178,'E-1 Off Site Hedge Baseline'!$B$1:$L$257,7,FALSE)),"",(VLOOKUP($B178,'E-1 Off Site Hedge Baseline'!$B$1:$L$257,7,FALSE))))</f>
        <v/>
      </c>
      <c r="H178" s="520" t="str">
        <f>IF(B178="","",IF(ISNA(VLOOKUP($B178,'E-1 Off Site Hedge Baseline'!$B$1:$L$257,8,FALSE)),"",(VLOOKUP($B178,'E-1 Off Site Hedge Baseline'!$B$1:$L$257,8,FALSE))))</f>
        <v/>
      </c>
      <c r="I178" s="520" t="str">
        <f>IF(B178="","",IF(ISNA(VLOOKUP($B178,'E-1 Off Site Hedge Baseline'!$B$1:$L$257,10,FALSE)),"",(VLOOKUP($B178,'E-1 Off Site Hedge Baseline'!$B$1:$L$257,10,FALSE))))</f>
        <v/>
      </c>
      <c r="J178" s="520" t="str">
        <f>IF(B178="","",IF(ISNA(VLOOKUP($B178,'E-1 Off Site Hedge Baseline'!$B$1:$L$257,11,FALSE)),"",(VLOOKUP($B178,'E-1 Off Site Hedge Baseline'!$B$1:$L$257,11,FALSE))))</f>
        <v/>
      </c>
      <c r="K178" s="520" t="str">
        <f>IF(B178="","",IF(ISNA(VLOOKUP($B178,'E-1 Off Site Hedge Baseline'!$B$1:$U$257,113,FALSE)),"",(VLOOKUP($B178,'E-1 Off Site Hedge Baseline'!$B$1:$U$257,13,FALSE))))</f>
        <v/>
      </c>
      <c r="L178" s="507" t="str">
        <f>IF(B178="","",IF(ISNA(VLOOKUP($B178,'E-1 Off Site Hedge Baseline'!$B$1:$U$257,12,FALSE)),"",(VLOOKUP($B178,'E-1 Off Site Hedge Baseline'!$B$1:$U$257,12,FALSE))))</f>
        <v/>
      </c>
      <c r="M178" s="418" t="str">
        <f t="shared" si="24"/>
        <v/>
      </c>
      <c r="N178" s="498" t="str">
        <f>IFERROR(IF(B178="","",INDEX('G-6 Hedgerow Data'!$AN$3:$AZ$15,MATCH(C178,'G-6 Hedgerow Data'!$AM$3:$AM$15,0),MATCH(M178,'G-6 Hedgerow Data'!$AN$2:$AZ$2,0))),"")</f>
        <v/>
      </c>
      <c r="O178" s="499" t="str">
        <f t="shared" si="18"/>
        <v/>
      </c>
      <c r="P178" s="505" t="str">
        <f>IF(B178="","",VLOOKUP(B178,'E-1 Off Site Hedge Baseline'!$B$10:T423,16,FALSE))</f>
        <v/>
      </c>
      <c r="Q178" s="498" t="str">
        <f>IF(M178="","",VLOOKUP(M178,'G-6 Hedgerow Data'!$B$2:$AG$15,2,FALSE))</f>
        <v/>
      </c>
      <c r="R178" s="499" t="str">
        <f>IF(M178="","",VLOOKUP(M178,'G-6 Hedgerow Data'!$B$2:$AG$15,3,FALSE))</f>
        <v/>
      </c>
      <c r="S178" s="145"/>
      <c r="T178" s="499" t="str">
        <f>IFERROR(IF(AND(Q178="V.Low",OR(S178="Good",S178="Moderate")),"Error ▲",VLOOKUP(S178,'G-1 All Habitats'!$Z$2:$AA$9,2,FALSE)),"")</f>
        <v/>
      </c>
      <c r="U178" s="145"/>
      <c r="V178" s="507" t="str">
        <f>IF(U178="","",IF(VLOOKUP(U178,'G-3 Multipliers'!$L$3:$N$6,2,FALSE)=0,"Spatial Data Missing ⚠",VLOOKUP(U178,'G-3 Multipliers'!$L$3:$N$6,2,FALSE)))</f>
        <v/>
      </c>
      <c r="W178" s="505"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7"/>
        <v/>
      </c>
      <c r="AD178" s="537" t="str">
        <f>IF(M178="","",VLOOKUP(M178,'G-6 Hedgerow Data'!$B$3:$AG$15,31,FALSE))</f>
        <v/>
      </c>
      <c r="AE178" s="520" t="str">
        <f t="shared" si="21"/>
        <v/>
      </c>
      <c r="AF178" s="520" t="str">
        <f t="shared" si="22"/>
        <v/>
      </c>
      <c r="AG178" s="524" t="str">
        <f>IFERROR(IF(O178="","",VLOOKUP(AD178,'G-3 Multipliers'!$P$3:$Q$6,2,FALSE)),"")</f>
        <v/>
      </c>
      <c r="AH178" s="197"/>
      <c r="AI178" s="499" t="str">
        <f>IF(AH178="","",IF(VLOOKUP(AH178,'G-3 Multipliers'!$S$3:$T$6,2,FALSE)=0,"Spatial Data Missing ⚠",VLOOKUP(AH178,'G-3 Multipliers'!$S$3:$T$6,2,FALSE)))</f>
        <v/>
      </c>
      <c r="AJ178" s="545" t="str">
        <f t="shared" si="23"/>
        <v/>
      </c>
      <c r="AK178" s="149"/>
      <c r="AL178" s="150"/>
      <c r="AP178" s="31" t="str">
        <f>IFERROR(INDEX('G-6 Hedgerow Data'!$BJ$3:$BJ$15,MATCH(M178,'G-6 Hedgerow Data'!$B$3:$B$15,0)),"")</f>
        <v/>
      </c>
    </row>
    <row r="179" spans="2:42" ht="13.8" x14ac:dyDescent="0.25">
      <c r="B179" s="531" t="str">
        <f>'E-1 Off Site Hedge Baseline'!AK177</f>
        <v/>
      </c>
      <c r="C179" s="520" t="str">
        <f>IF(B179="","",IF(ISNA(VLOOKUP($B179,'E-1 Off Site Hedge Baseline'!$B$1:$L$257,3,FALSE)),"",(VLOOKUP($B179,'E-1 Off Site Hedge Baseline'!$B$1:$L$257,3,FALSE))))</f>
        <v/>
      </c>
      <c r="D179" s="520" t="str">
        <f>IF(B179="","",IF(ISNA(VLOOKUP($B179,'E-1 Off Site Hedge Baseline'!$B$1:$L$258,4,FALSE)),"",(VLOOKUP($B179,'E-1 Off Site Hedge Baseline'!$B$1:$L$258,4,FALSE))))</f>
        <v/>
      </c>
      <c r="E179" s="520" t="str">
        <f>IF(B179="","",IF(ISNA(VLOOKUP($B179,'E-1 Off Site Hedge Baseline'!$B$1:$L$257,5,FALSE)),"",(VLOOKUP($B179,'E-1 Off Site Hedge Baseline'!$B$1:$L$257,5,FALSE))))</f>
        <v/>
      </c>
      <c r="F179" s="520" t="str">
        <f>IF(B179="","",IF(ISNA(VLOOKUP($B179,'E-1 Off Site Hedge Baseline'!$B$1:$L$257,6,FALSE)),"",(VLOOKUP($B179,'E-1 Off Site Hedge Baseline'!$B$1:$L$257,6,FALSE))))</f>
        <v/>
      </c>
      <c r="G179" s="520" t="str">
        <f>IF(B179="","",IF(ISNA(VLOOKUP($B179,'E-1 Off Site Hedge Baseline'!$B$1:$L$257,7,FALSE)),"",(VLOOKUP($B179,'E-1 Off Site Hedge Baseline'!$B$1:$L$257,7,FALSE))))</f>
        <v/>
      </c>
      <c r="H179" s="520" t="str">
        <f>IF(B179="","",IF(ISNA(VLOOKUP($B179,'E-1 Off Site Hedge Baseline'!$B$1:$L$257,8,FALSE)),"",(VLOOKUP($B179,'E-1 Off Site Hedge Baseline'!$B$1:$L$257,8,FALSE))))</f>
        <v/>
      </c>
      <c r="I179" s="520" t="str">
        <f>IF(B179="","",IF(ISNA(VLOOKUP($B179,'E-1 Off Site Hedge Baseline'!$B$1:$L$257,10,FALSE)),"",(VLOOKUP($B179,'E-1 Off Site Hedge Baseline'!$B$1:$L$257,10,FALSE))))</f>
        <v/>
      </c>
      <c r="J179" s="520" t="str">
        <f>IF(B179="","",IF(ISNA(VLOOKUP($B179,'E-1 Off Site Hedge Baseline'!$B$1:$L$257,11,FALSE)),"",(VLOOKUP($B179,'E-1 Off Site Hedge Baseline'!$B$1:$L$257,11,FALSE))))</f>
        <v/>
      </c>
      <c r="K179" s="520" t="str">
        <f>IF(B179="","",IF(ISNA(VLOOKUP($B179,'E-1 Off Site Hedge Baseline'!$B$1:$U$257,113,FALSE)),"",(VLOOKUP($B179,'E-1 Off Site Hedge Baseline'!$B$1:$U$257,13,FALSE))))</f>
        <v/>
      </c>
      <c r="L179" s="507" t="str">
        <f>IF(B179="","",IF(ISNA(VLOOKUP($B179,'E-1 Off Site Hedge Baseline'!$B$1:$U$257,12,FALSE)),"",(VLOOKUP($B179,'E-1 Off Site Hedge Baseline'!$B$1:$U$257,12,FALSE))))</f>
        <v/>
      </c>
      <c r="M179" s="418" t="str">
        <f t="shared" si="24"/>
        <v/>
      </c>
      <c r="N179" s="498" t="str">
        <f>IFERROR(IF(B179="","",INDEX('G-6 Hedgerow Data'!$AN$3:$AZ$15,MATCH(C179,'G-6 Hedgerow Data'!$AM$3:$AM$15,0),MATCH(M179,'G-6 Hedgerow Data'!$AN$2:$AZ$2,0))),"")</f>
        <v/>
      </c>
      <c r="O179" s="499" t="str">
        <f t="shared" si="18"/>
        <v/>
      </c>
      <c r="P179" s="505" t="str">
        <f>IF(B179="","",VLOOKUP(B179,'E-1 Off Site Hedge Baseline'!$B$10:T424,16,FALSE))</f>
        <v/>
      </c>
      <c r="Q179" s="498" t="str">
        <f>IF(M179="","",VLOOKUP(M179,'G-6 Hedgerow Data'!$B$2:$AG$15,2,FALSE))</f>
        <v/>
      </c>
      <c r="R179" s="499" t="str">
        <f>IF(M179="","",VLOOKUP(M179,'G-6 Hedgerow Data'!$B$2:$AG$15,3,FALSE))</f>
        <v/>
      </c>
      <c r="S179" s="145"/>
      <c r="T179" s="499" t="str">
        <f>IFERROR(IF(AND(Q179="V.Low",OR(S179="Good",S179="Moderate")),"Error ▲",VLOOKUP(S179,'G-1 All Habitats'!$Z$2:$AA$9,2,FALSE)),"")</f>
        <v/>
      </c>
      <c r="U179" s="145"/>
      <c r="V179" s="507" t="str">
        <f>IF(U179="","",IF(VLOOKUP(U179,'G-3 Multipliers'!$L$3:$N$6,2,FALSE)=0,"Spatial Data Missing ⚠",VLOOKUP(U179,'G-3 Multipliers'!$L$3:$N$6,2,FALSE)))</f>
        <v/>
      </c>
      <c r="W179" s="505"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7"/>
        <v/>
      </c>
      <c r="AD179" s="537" t="str">
        <f>IF(M179="","",VLOOKUP(M179,'G-6 Hedgerow Data'!$B$3:$AG$15,31,FALSE))</f>
        <v/>
      </c>
      <c r="AE179" s="520" t="str">
        <f t="shared" si="21"/>
        <v/>
      </c>
      <c r="AF179" s="520" t="str">
        <f t="shared" si="22"/>
        <v/>
      </c>
      <c r="AG179" s="524" t="str">
        <f>IFERROR(IF(O179="","",VLOOKUP(AD179,'G-3 Multipliers'!$P$3:$Q$6,2,FALSE)),"")</f>
        <v/>
      </c>
      <c r="AH179" s="197"/>
      <c r="AI179" s="499" t="str">
        <f>IF(AH179="","",IF(VLOOKUP(AH179,'G-3 Multipliers'!$S$3:$T$6,2,FALSE)=0,"Spatial Data Missing ⚠",VLOOKUP(AH179,'G-3 Multipliers'!$S$3:$T$6,2,FALSE)))</f>
        <v/>
      </c>
      <c r="AJ179" s="545" t="str">
        <f t="shared" si="23"/>
        <v/>
      </c>
      <c r="AK179" s="149"/>
      <c r="AL179" s="150"/>
      <c r="AP179" s="31" t="str">
        <f>IFERROR(INDEX('G-6 Hedgerow Data'!$BJ$3:$BJ$15,MATCH(M179,'G-6 Hedgerow Data'!$B$3:$B$15,0)),"")</f>
        <v/>
      </c>
    </row>
    <row r="180" spans="2:42" ht="13.8" x14ac:dyDescent="0.25">
      <c r="B180" s="531" t="str">
        <f>'E-1 Off Site Hedge Baseline'!AK178</f>
        <v/>
      </c>
      <c r="C180" s="520" t="str">
        <f>IF(B180="","",IF(ISNA(VLOOKUP($B180,'E-1 Off Site Hedge Baseline'!$B$1:$L$257,3,FALSE)),"",(VLOOKUP($B180,'E-1 Off Site Hedge Baseline'!$B$1:$L$257,3,FALSE))))</f>
        <v/>
      </c>
      <c r="D180" s="520" t="str">
        <f>IF(B180="","",IF(ISNA(VLOOKUP($B180,'E-1 Off Site Hedge Baseline'!$B$1:$L$258,4,FALSE)),"",(VLOOKUP($B180,'E-1 Off Site Hedge Baseline'!$B$1:$L$258,4,FALSE))))</f>
        <v/>
      </c>
      <c r="E180" s="520" t="str">
        <f>IF(B180="","",IF(ISNA(VLOOKUP($B180,'E-1 Off Site Hedge Baseline'!$B$1:$L$257,5,FALSE)),"",(VLOOKUP($B180,'E-1 Off Site Hedge Baseline'!$B$1:$L$257,5,FALSE))))</f>
        <v/>
      </c>
      <c r="F180" s="520" t="str">
        <f>IF(B180="","",IF(ISNA(VLOOKUP($B180,'E-1 Off Site Hedge Baseline'!$B$1:$L$257,6,FALSE)),"",(VLOOKUP($B180,'E-1 Off Site Hedge Baseline'!$B$1:$L$257,6,FALSE))))</f>
        <v/>
      </c>
      <c r="G180" s="520" t="str">
        <f>IF(B180="","",IF(ISNA(VLOOKUP($B180,'E-1 Off Site Hedge Baseline'!$B$1:$L$257,7,FALSE)),"",(VLOOKUP($B180,'E-1 Off Site Hedge Baseline'!$B$1:$L$257,7,FALSE))))</f>
        <v/>
      </c>
      <c r="H180" s="520" t="str">
        <f>IF(B180="","",IF(ISNA(VLOOKUP($B180,'E-1 Off Site Hedge Baseline'!$B$1:$L$257,8,FALSE)),"",(VLOOKUP($B180,'E-1 Off Site Hedge Baseline'!$B$1:$L$257,8,FALSE))))</f>
        <v/>
      </c>
      <c r="I180" s="520" t="str">
        <f>IF(B180="","",IF(ISNA(VLOOKUP($B180,'E-1 Off Site Hedge Baseline'!$B$1:$L$257,10,FALSE)),"",(VLOOKUP($B180,'E-1 Off Site Hedge Baseline'!$B$1:$L$257,10,FALSE))))</f>
        <v/>
      </c>
      <c r="J180" s="520" t="str">
        <f>IF(B180="","",IF(ISNA(VLOOKUP($B180,'E-1 Off Site Hedge Baseline'!$B$1:$L$257,11,FALSE)),"",(VLOOKUP($B180,'E-1 Off Site Hedge Baseline'!$B$1:$L$257,11,FALSE))))</f>
        <v/>
      </c>
      <c r="K180" s="520" t="str">
        <f>IF(B180="","",IF(ISNA(VLOOKUP($B180,'E-1 Off Site Hedge Baseline'!$B$1:$U$257,113,FALSE)),"",(VLOOKUP($B180,'E-1 Off Site Hedge Baseline'!$B$1:$U$257,13,FALSE))))</f>
        <v/>
      </c>
      <c r="L180" s="507" t="str">
        <f>IF(B180="","",IF(ISNA(VLOOKUP($B180,'E-1 Off Site Hedge Baseline'!$B$1:$U$257,12,FALSE)),"",(VLOOKUP($B180,'E-1 Off Site Hedge Baseline'!$B$1:$U$257,12,FALSE))))</f>
        <v/>
      </c>
      <c r="M180" s="418" t="str">
        <f t="shared" si="24"/>
        <v/>
      </c>
      <c r="N180" s="498" t="str">
        <f>IFERROR(IF(B180="","",INDEX('G-6 Hedgerow Data'!$AN$3:$AZ$15,MATCH(C180,'G-6 Hedgerow Data'!$AM$3:$AM$15,0),MATCH(M180,'G-6 Hedgerow Data'!$AN$2:$AZ$2,0))),"")</f>
        <v/>
      </c>
      <c r="O180" s="499" t="str">
        <f t="shared" si="18"/>
        <v/>
      </c>
      <c r="P180" s="505" t="str">
        <f>IF(B180="","",VLOOKUP(B180,'E-1 Off Site Hedge Baseline'!$B$10:T425,16,FALSE))</f>
        <v/>
      </c>
      <c r="Q180" s="498" t="str">
        <f>IF(M180="","",VLOOKUP(M180,'G-6 Hedgerow Data'!$B$2:$AG$15,2,FALSE))</f>
        <v/>
      </c>
      <c r="R180" s="499" t="str">
        <f>IF(M180="","",VLOOKUP(M180,'G-6 Hedgerow Data'!$B$2:$AG$15,3,FALSE))</f>
        <v/>
      </c>
      <c r="S180" s="145"/>
      <c r="T180" s="499" t="str">
        <f>IFERROR(IF(AND(Q180="V.Low",OR(S180="Good",S180="Moderate")),"Error ▲",VLOOKUP(S180,'G-1 All Habitats'!$Z$2:$AA$9,2,FALSE)),"")</f>
        <v/>
      </c>
      <c r="U180" s="145"/>
      <c r="V180" s="507" t="str">
        <f>IF(U180="","",IF(VLOOKUP(U180,'G-3 Multipliers'!$L$3:$N$6,2,FALSE)=0,"Spatial Data Missing ⚠",VLOOKUP(U180,'G-3 Multipliers'!$L$3:$N$6,2,FALSE)))</f>
        <v/>
      </c>
      <c r="W180" s="505"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7"/>
        <v/>
      </c>
      <c r="AD180" s="537" t="str">
        <f>IF(M180="","",VLOOKUP(M180,'G-6 Hedgerow Data'!$B$3:$AG$15,31,FALSE))</f>
        <v/>
      </c>
      <c r="AE180" s="520" t="str">
        <f t="shared" si="21"/>
        <v/>
      </c>
      <c r="AF180" s="520" t="str">
        <f t="shared" si="22"/>
        <v/>
      </c>
      <c r="AG180" s="524" t="str">
        <f>IFERROR(IF(O180="","",VLOOKUP(AD180,'G-3 Multipliers'!$P$3:$Q$6,2,FALSE)),"")</f>
        <v/>
      </c>
      <c r="AH180" s="197"/>
      <c r="AI180" s="499" t="str">
        <f>IF(AH180="","",IF(VLOOKUP(AH180,'G-3 Multipliers'!$S$3:$T$6,2,FALSE)=0,"Spatial Data Missing ⚠",VLOOKUP(AH180,'G-3 Multipliers'!$S$3:$T$6,2,FALSE)))</f>
        <v/>
      </c>
      <c r="AJ180" s="545" t="str">
        <f t="shared" si="23"/>
        <v/>
      </c>
      <c r="AK180" s="149"/>
      <c r="AL180" s="150"/>
      <c r="AP180" s="31" t="str">
        <f>IFERROR(INDEX('G-6 Hedgerow Data'!$BJ$3:$BJ$15,MATCH(M180,'G-6 Hedgerow Data'!$B$3:$B$15,0)),"")</f>
        <v/>
      </c>
    </row>
    <row r="181" spans="2:42" ht="13.8" x14ac:dyDescent="0.25">
      <c r="B181" s="531" t="str">
        <f>'E-1 Off Site Hedge Baseline'!AK179</f>
        <v/>
      </c>
      <c r="C181" s="520" t="str">
        <f>IF(B181="","",IF(ISNA(VLOOKUP($B181,'E-1 Off Site Hedge Baseline'!$B$1:$L$257,3,FALSE)),"",(VLOOKUP($B181,'E-1 Off Site Hedge Baseline'!$B$1:$L$257,3,FALSE))))</f>
        <v/>
      </c>
      <c r="D181" s="520" t="str">
        <f>IF(B181="","",IF(ISNA(VLOOKUP($B181,'E-1 Off Site Hedge Baseline'!$B$1:$L$258,4,FALSE)),"",(VLOOKUP($B181,'E-1 Off Site Hedge Baseline'!$B$1:$L$258,4,FALSE))))</f>
        <v/>
      </c>
      <c r="E181" s="520" t="str">
        <f>IF(B181="","",IF(ISNA(VLOOKUP($B181,'E-1 Off Site Hedge Baseline'!$B$1:$L$257,5,FALSE)),"",(VLOOKUP($B181,'E-1 Off Site Hedge Baseline'!$B$1:$L$257,5,FALSE))))</f>
        <v/>
      </c>
      <c r="F181" s="520" t="str">
        <f>IF(B181="","",IF(ISNA(VLOOKUP($B181,'E-1 Off Site Hedge Baseline'!$B$1:$L$257,6,FALSE)),"",(VLOOKUP($B181,'E-1 Off Site Hedge Baseline'!$B$1:$L$257,6,FALSE))))</f>
        <v/>
      </c>
      <c r="G181" s="520" t="str">
        <f>IF(B181="","",IF(ISNA(VLOOKUP($B181,'E-1 Off Site Hedge Baseline'!$B$1:$L$257,7,FALSE)),"",(VLOOKUP($B181,'E-1 Off Site Hedge Baseline'!$B$1:$L$257,7,FALSE))))</f>
        <v/>
      </c>
      <c r="H181" s="520" t="str">
        <f>IF(B181="","",IF(ISNA(VLOOKUP($B181,'E-1 Off Site Hedge Baseline'!$B$1:$L$257,8,FALSE)),"",(VLOOKUP($B181,'E-1 Off Site Hedge Baseline'!$B$1:$L$257,8,FALSE))))</f>
        <v/>
      </c>
      <c r="I181" s="520" t="str">
        <f>IF(B181="","",IF(ISNA(VLOOKUP($B181,'E-1 Off Site Hedge Baseline'!$B$1:$L$257,10,FALSE)),"",(VLOOKUP($B181,'E-1 Off Site Hedge Baseline'!$B$1:$L$257,10,FALSE))))</f>
        <v/>
      </c>
      <c r="J181" s="520" t="str">
        <f>IF(B181="","",IF(ISNA(VLOOKUP($B181,'E-1 Off Site Hedge Baseline'!$B$1:$L$257,11,FALSE)),"",(VLOOKUP($B181,'E-1 Off Site Hedge Baseline'!$B$1:$L$257,11,FALSE))))</f>
        <v/>
      </c>
      <c r="K181" s="520" t="str">
        <f>IF(B181="","",IF(ISNA(VLOOKUP($B181,'E-1 Off Site Hedge Baseline'!$B$1:$U$257,113,FALSE)),"",(VLOOKUP($B181,'E-1 Off Site Hedge Baseline'!$B$1:$U$257,13,FALSE))))</f>
        <v/>
      </c>
      <c r="L181" s="507" t="str">
        <f>IF(B181="","",IF(ISNA(VLOOKUP($B181,'E-1 Off Site Hedge Baseline'!$B$1:$U$257,12,FALSE)),"",(VLOOKUP($B181,'E-1 Off Site Hedge Baseline'!$B$1:$U$257,12,FALSE))))</f>
        <v/>
      </c>
      <c r="M181" s="418" t="str">
        <f t="shared" si="24"/>
        <v/>
      </c>
      <c r="N181" s="498" t="str">
        <f>IFERROR(IF(B181="","",INDEX('G-6 Hedgerow Data'!$AN$3:$AZ$15,MATCH(C181,'G-6 Hedgerow Data'!$AM$3:$AM$15,0),MATCH(M181,'G-6 Hedgerow Data'!$AN$2:$AZ$2,0))),"")</f>
        <v/>
      </c>
      <c r="O181" s="499" t="str">
        <f t="shared" si="18"/>
        <v/>
      </c>
      <c r="P181" s="505" t="str">
        <f>IF(B181="","",VLOOKUP(B181,'E-1 Off Site Hedge Baseline'!$B$10:T426,16,FALSE))</f>
        <v/>
      </c>
      <c r="Q181" s="498" t="str">
        <f>IF(M181="","",VLOOKUP(M181,'G-6 Hedgerow Data'!$B$2:$AG$15,2,FALSE))</f>
        <v/>
      </c>
      <c r="R181" s="499" t="str">
        <f>IF(M181="","",VLOOKUP(M181,'G-6 Hedgerow Data'!$B$2:$AG$15,3,FALSE))</f>
        <v/>
      </c>
      <c r="S181" s="145"/>
      <c r="T181" s="499" t="str">
        <f>IFERROR(IF(AND(Q181="V.Low",OR(S181="Good",S181="Moderate")),"Error ▲",VLOOKUP(S181,'G-1 All Habitats'!$Z$2:$AA$9,2,FALSE)),"")</f>
        <v/>
      </c>
      <c r="U181" s="145"/>
      <c r="V181" s="507" t="str">
        <f>IF(U181="","",IF(VLOOKUP(U181,'G-3 Multipliers'!$L$3:$N$6,2,FALSE)=0,"Spatial Data Missing ⚠",VLOOKUP(U181,'G-3 Multipliers'!$L$3:$N$6,2,FALSE)))</f>
        <v/>
      </c>
      <c r="W181" s="505"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7"/>
        <v/>
      </c>
      <c r="AD181" s="537" t="str">
        <f>IF(M181="","",VLOOKUP(M181,'G-6 Hedgerow Data'!$B$3:$AG$15,31,FALSE))</f>
        <v/>
      </c>
      <c r="AE181" s="520" t="str">
        <f t="shared" si="21"/>
        <v/>
      </c>
      <c r="AF181" s="520" t="str">
        <f t="shared" si="22"/>
        <v/>
      </c>
      <c r="AG181" s="524" t="str">
        <f>IFERROR(IF(O181="","",VLOOKUP(AD181,'G-3 Multipliers'!$P$3:$Q$6,2,FALSE)),"")</f>
        <v/>
      </c>
      <c r="AH181" s="197"/>
      <c r="AI181" s="499" t="str">
        <f>IF(AH181="","",IF(VLOOKUP(AH181,'G-3 Multipliers'!$S$3:$T$6,2,FALSE)=0,"Spatial Data Missing ⚠",VLOOKUP(AH181,'G-3 Multipliers'!$S$3:$T$6,2,FALSE)))</f>
        <v/>
      </c>
      <c r="AJ181" s="545" t="str">
        <f t="shared" si="23"/>
        <v/>
      </c>
      <c r="AK181" s="149"/>
      <c r="AL181" s="150"/>
      <c r="AP181" s="31" t="str">
        <f>IFERROR(INDEX('G-6 Hedgerow Data'!$BJ$3:$BJ$15,MATCH(M181,'G-6 Hedgerow Data'!$B$3:$B$15,0)),"")</f>
        <v/>
      </c>
    </row>
    <row r="182" spans="2:42" ht="13.8" x14ac:dyDescent="0.25">
      <c r="B182" s="531" t="str">
        <f>'E-1 Off Site Hedge Baseline'!AK180</f>
        <v/>
      </c>
      <c r="C182" s="520" t="str">
        <f>IF(B182="","",IF(ISNA(VLOOKUP($B182,'E-1 Off Site Hedge Baseline'!$B$1:$L$257,3,FALSE)),"",(VLOOKUP($B182,'E-1 Off Site Hedge Baseline'!$B$1:$L$257,3,FALSE))))</f>
        <v/>
      </c>
      <c r="D182" s="520" t="str">
        <f>IF(B182="","",IF(ISNA(VLOOKUP($B182,'E-1 Off Site Hedge Baseline'!$B$1:$L$258,4,FALSE)),"",(VLOOKUP($B182,'E-1 Off Site Hedge Baseline'!$B$1:$L$258,4,FALSE))))</f>
        <v/>
      </c>
      <c r="E182" s="520" t="str">
        <f>IF(B182="","",IF(ISNA(VLOOKUP($B182,'E-1 Off Site Hedge Baseline'!$B$1:$L$257,5,FALSE)),"",(VLOOKUP($B182,'E-1 Off Site Hedge Baseline'!$B$1:$L$257,5,FALSE))))</f>
        <v/>
      </c>
      <c r="F182" s="520" t="str">
        <f>IF(B182="","",IF(ISNA(VLOOKUP($B182,'E-1 Off Site Hedge Baseline'!$B$1:$L$257,6,FALSE)),"",(VLOOKUP($B182,'E-1 Off Site Hedge Baseline'!$B$1:$L$257,6,FALSE))))</f>
        <v/>
      </c>
      <c r="G182" s="520" t="str">
        <f>IF(B182="","",IF(ISNA(VLOOKUP($B182,'E-1 Off Site Hedge Baseline'!$B$1:$L$257,7,FALSE)),"",(VLOOKUP($B182,'E-1 Off Site Hedge Baseline'!$B$1:$L$257,7,FALSE))))</f>
        <v/>
      </c>
      <c r="H182" s="520" t="str">
        <f>IF(B182="","",IF(ISNA(VLOOKUP($B182,'E-1 Off Site Hedge Baseline'!$B$1:$L$257,8,FALSE)),"",(VLOOKUP($B182,'E-1 Off Site Hedge Baseline'!$B$1:$L$257,8,FALSE))))</f>
        <v/>
      </c>
      <c r="I182" s="520" t="str">
        <f>IF(B182="","",IF(ISNA(VLOOKUP($B182,'E-1 Off Site Hedge Baseline'!$B$1:$L$257,10,FALSE)),"",(VLOOKUP($B182,'E-1 Off Site Hedge Baseline'!$B$1:$L$257,10,FALSE))))</f>
        <v/>
      </c>
      <c r="J182" s="520" t="str">
        <f>IF(B182="","",IF(ISNA(VLOOKUP($B182,'E-1 Off Site Hedge Baseline'!$B$1:$L$257,11,FALSE)),"",(VLOOKUP($B182,'E-1 Off Site Hedge Baseline'!$B$1:$L$257,11,FALSE))))</f>
        <v/>
      </c>
      <c r="K182" s="520" t="str">
        <f>IF(B182="","",IF(ISNA(VLOOKUP($B182,'E-1 Off Site Hedge Baseline'!$B$1:$U$257,113,FALSE)),"",(VLOOKUP($B182,'E-1 Off Site Hedge Baseline'!$B$1:$U$257,13,FALSE))))</f>
        <v/>
      </c>
      <c r="L182" s="507" t="str">
        <f>IF(B182="","",IF(ISNA(VLOOKUP($B182,'E-1 Off Site Hedge Baseline'!$B$1:$U$257,12,FALSE)),"",(VLOOKUP($B182,'E-1 Off Site Hedge Baseline'!$B$1:$U$257,12,FALSE))))</f>
        <v/>
      </c>
      <c r="M182" s="418" t="str">
        <f t="shared" si="24"/>
        <v/>
      </c>
      <c r="N182" s="498" t="str">
        <f>IFERROR(IF(B182="","",INDEX('G-6 Hedgerow Data'!$AN$3:$AZ$15,MATCH(C182,'G-6 Hedgerow Data'!$AM$3:$AM$15,0),MATCH(M182,'G-6 Hedgerow Data'!$AN$2:$AZ$2,0))),"")</f>
        <v/>
      </c>
      <c r="O182" s="499" t="str">
        <f t="shared" si="18"/>
        <v/>
      </c>
      <c r="P182" s="505" t="str">
        <f>IF(B182="","",VLOOKUP(B182,'E-1 Off Site Hedge Baseline'!$B$10:T427,16,FALSE))</f>
        <v/>
      </c>
      <c r="Q182" s="498" t="str">
        <f>IF(M182="","",VLOOKUP(M182,'G-6 Hedgerow Data'!$B$2:$AG$15,2,FALSE))</f>
        <v/>
      </c>
      <c r="R182" s="499" t="str">
        <f>IF(M182="","",VLOOKUP(M182,'G-6 Hedgerow Data'!$B$2:$AG$15,3,FALSE))</f>
        <v/>
      </c>
      <c r="S182" s="145"/>
      <c r="T182" s="499" t="str">
        <f>IFERROR(IF(AND(Q182="V.Low",OR(S182="Good",S182="Moderate")),"Error ▲",VLOOKUP(S182,'G-1 All Habitats'!$Z$2:$AA$9,2,FALSE)),"")</f>
        <v/>
      </c>
      <c r="U182" s="145"/>
      <c r="V182" s="507" t="str">
        <f>IF(U182="","",IF(VLOOKUP(U182,'G-3 Multipliers'!$L$3:$N$6,2,FALSE)=0,"Spatial Data Missing ⚠",VLOOKUP(U182,'G-3 Multipliers'!$L$3:$N$6,2,FALSE)))</f>
        <v/>
      </c>
      <c r="W182" s="505"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7"/>
        <v/>
      </c>
      <c r="AD182" s="537" t="str">
        <f>IF(M182="","",VLOOKUP(M182,'G-6 Hedgerow Data'!$B$3:$AG$15,31,FALSE))</f>
        <v/>
      </c>
      <c r="AE182" s="520" t="str">
        <f t="shared" si="21"/>
        <v/>
      </c>
      <c r="AF182" s="520" t="str">
        <f t="shared" si="22"/>
        <v/>
      </c>
      <c r="AG182" s="524" t="str">
        <f>IFERROR(IF(O182="","",VLOOKUP(AD182,'G-3 Multipliers'!$P$3:$Q$6,2,FALSE)),"")</f>
        <v/>
      </c>
      <c r="AH182" s="197"/>
      <c r="AI182" s="499" t="str">
        <f>IF(AH182="","",IF(VLOOKUP(AH182,'G-3 Multipliers'!$S$3:$T$6,2,FALSE)=0,"Spatial Data Missing ⚠",VLOOKUP(AH182,'G-3 Multipliers'!$S$3:$T$6,2,FALSE)))</f>
        <v/>
      </c>
      <c r="AJ182" s="545" t="str">
        <f t="shared" si="23"/>
        <v/>
      </c>
      <c r="AK182" s="149"/>
      <c r="AL182" s="150"/>
      <c r="AP182" s="31" t="str">
        <f>IFERROR(INDEX('G-6 Hedgerow Data'!$BJ$3:$BJ$15,MATCH(M182,'G-6 Hedgerow Data'!$B$3:$B$15,0)),"")</f>
        <v/>
      </c>
    </row>
    <row r="183" spans="2:42" ht="13.8" x14ac:dyDescent="0.25">
      <c r="B183" s="531" t="str">
        <f>'E-1 Off Site Hedge Baseline'!AK181</f>
        <v/>
      </c>
      <c r="C183" s="520" t="str">
        <f>IF(B183="","",IF(ISNA(VLOOKUP($B183,'E-1 Off Site Hedge Baseline'!$B$1:$L$257,3,FALSE)),"",(VLOOKUP($B183,'E-1 Off Site Hedge Baseline'!$B$1:$L$257,3,FALSE))))</f>
        <v/>
      </c>
      <c r="D183" s="520" t="str">
        <f>IF(B183="","",IF(ISNA(VLOOKUP($B183,'E-1 Off Site Hedge Baseline'!$B$1:$L$258,4,FALSE)),"",(VLOOKUP($B183,'E-1 Off Site Hedge Baseline'!$B$1:$L$258,4,FALSE))))</f>
        <v/>
      </c>
      <c r="E183" s="520" t="str">
        <f>IF(B183="","",IF(ISNA(VLOOKUP($B183,'E-1 Off Site Hedge Baseline'!$B$1:$L$257,5,FALSE)),"",(VLOOKUP($B183,'E-1 Off Site Hedge Baseline'!$B$1:$L$257,5,FALSE))))</f>
        <v/>
      </c>
      <c r="F183" s="520" t="str">
        <f>IF(B183="","",IF(ISNA(VLOOKUP($B183,'E-1 Off Site Hedge Baseline'!$B$1:$L$257,6,FALSE)),"",(VLOOKUP($B183,'E-1 Off Site Hedge Baseline'!$B$1:$L$257,6,FALSE))))</f>
        <v/>
      </c>
      <c r="G183" s="520" t="str">
        <f>IF(B183="","",IF(ISNA(VLOOKUP($B183,'E-1 Off Site Hedge Baseline'!$B$1:$L$257,7,FALSE)),"",(VLOOKUP($B183,'E-1 Off Site Hedge Baseline'!$B$1:$L$257,7,FALSE))))</f>
        <v/>
      </c>
      <c r="H183" s="520" t="str">
        <f>IF(B183="","",IF(ISNA(VLOOKUP($B183,'E-1 Off Site Hedge Baseline'!$B$1:$L$257,8,FALSE)),"",(VLOOKUP($B183,'E-1 Off Site Hedge Baseline'!$B$1:$L$257,8,FALSE))))</f>
        <v/>
      </c>
      <c r="I183" s="520" t="str">
        <f>IF(B183="","",IF(ISNA(VLOOKUP($B183,'E-1 Off Site Hedge Baseline'!$B$1:$L$257,10,FALSE)),"",(VLOOKUP($B183,'E-1 Off Site Hedge Baseline'!$B$1:$L$257,10,FALSE))))</f>
        <v/>
      </c>
      <c r="J183" s="520" t="str">
        <f>IF(B183="","",IF(ISNA(VLOOKUP($B183,'E-1 Off Site Hedge Baseline'!$B$1:$L$257,11,FALSE)),"",(VLOOKUP($B183,'E-1 Off Site Hedge Baseline'!$B$1:$L$257,11,FALSE))))</f>
        <v/>
      </c>
      <c r="K183" s="520" t="str">
        <f>IF(B183="","",IF(ISNA(VLOOKUP($B183,'E-1 Off Site Hedge Baseline'!$B$1:$U$257,113,FALSE)),"",(VLOOKUP($B183,'E-1 Off Site Hedge Baseline'!$B$1:$U$257,13,FALSE))))</f>
        <v/>
      </c>
      <c r="L183" s="507" t="str">
        <f>IF(B183="","",IF(ISNA(VLOOKUP($B183,'E-1 Off Site Hedge Baseline'!$B$1:$U$257,12,FALSE)),"",(VLOOKUP($B183,'E-1 Off Site Hedge Baseline'!$B$1:$U$257,12,FALSE))))</f>
        <v/>
      </c>
      <c r="M183" s="418" t="str">
        <f t="shared" si="24"/>
        <v/>
      </c>
      <c r="N183" s="498" t="str">
        <f>IFERROR(IF(B183="","",INDEX('G-6 Hedgerow Data'!$AN$3:$AZ$15,MATCH(C183,'G-6 Hedgerow Data'!$AM$3:$AM$15,0),MATCH(M183,'G-6 Hedgerow Data'!$AN$2:$AZ$2,0))),"")</f>
        <v/>
      </c>
      <c r="O183" s="499" t="str">
        <f t="shared" si="18"/>
        <v/>
      </c>
      <c r="P183" s="505" t="str">
        <f>IF(B183="","",VLOOKUP(B183,'E-1 Off Site Hedge Baseline'!$B$10:T428,16,FALSE))</f>
        <v/>
      </c>
      <c r="Q183" s="498" t="str">
        <f>IF(M183="","",VLOOKUP(M183,'G-6 Hedgerow Data'!$B$2:$AG$15,2,FALSE))</f>
        <v/>
      </c>
      <c r="R183" s="499" t="str">
        <f>IF(M183="","",VLOOKUP(M183,'G-6 Hedgerow Data'!$B$2:$AG$15,3,FALSE))</f>
        <v/>
      </c>
      <c r="S183" s="145"/>
      <c r="T183" s="499" t="str">
        <f>IFERROR(IF(AND(Q183="V.Low",OR(S183="Good",S183="Moderate")),"Error ▲",VLOOKUP(S183,'G-1 All Habitats'!$Z$2:$AA$9,2,FALSE)),"")</f>
        <v/>
      </c>
      <c r="U183" s="145"/>
      <c r="V183" s="507" t="str">
        <f>IF(U183="","",IF(VLOOKUP(U183,'G-3 Multipliers'!$L$3:$N$6,2,FALSE)=0,"Spatial Data Missing ⚠",VLOOKUP(U183,'G-3 Multipliers'!$L$3:$N$6,2,FALSE)))</f>
        <v/>
      </c>
      <c r="W183" s="505"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7"/>
        <v/>
      </c>
      <c r="AD183" s="537" t="str">
        <f>IF(M183="","",VLOOKUP(M183,'G-6 Hedgerow Data'!$B$3:$AG$15,31,FALSE))</f>
        <v/>
      </c>
      <c r="AE183" s="520" t="str">
        <f t="shared" si="21"/>
        <v/>
      </c>
      <c r="AF183" s="520" t="str">
        <f t="shared" si="22"/>
        <v/>
      </c>
      <c r="AG183" s="524" t="str">
        <f>IFERROR(IF(O183="","",VLOOKUP(AD183,'G-3 Multipliers'!$P$3:$Q$6,2,FALSE)),"")</f>
        <v/>
      </c>
      <c r="AH183" s="197"/>
      <c r="AI183" s="499" t="str">
        <f>IF(AH183="","",IF(VLOOKUP(AH183,'G-3 Multipliers'!$S$3:$T$6,2,FALSE)=0,"Spatial Data Missing ⚠",VLOOKUP(AH183,'G-3 Multipliers'!$S$3:$T$6,2,FALSE)))</f>
        <v/>
      </c>
      <c r="AJ183" s="545" t="str">
        <f t="shared" si="23"/>
        <v/>
      </c>
      <c r="AK183" s="149"/>
      <c r="AL183" s="150"/>
      <c r="AP183" s="31" t="str">
        <f>IFERROR(INDEX('G-6 Hedgerow Data'!$BJ$3:$BJ$15,MATCH(M183,'G-6 Hedgerow Data'!$B$3:$B$15,0)),"")</f>
        <v/>
      </c>
    </row>
    <row r="184" spans="2:42" ht="13.8" x14ac:dyDescent="0.25">
      <c r="B184" s="531" t="str">
        <f>'E-1 Off Site Hedge Baseline'!AK182</f>
        <v/>
      </c>
      <c r="C184" s="520" t="str">
        <f>IF(B184="","",IF(ISNA(VLOOKUP($B184,'E-1 Off Site Hedge Baseline'!$B$1:$L$257,3,FALSE)),"",(VLOOKUP($B184,'E-1 Off Site Hedge Baseline'!$B$1:$L$257,3,FALSE))))</f>
        <v/>
      </c>
      <c r="D184" s="520" t="str">
        <f>IF(B184="","",IF(ISNA(VLOOKUP($B184,'E-1 Off Site Hedge Baseline'!$B$1:$L$258,4,FALSE)),"",(VLOOKUP($B184,'E-1 Off Site Hedge Baseline'!$B$1:$L$258,4,FALSE))))</f>
        <v/>
      </c>
      <c r="E184" s="520" t="str">
        <f>IF(B184="","",IF(ISNA(VLOOKUP($B184,'E-1 Off Site Hedge Baseline'!$B$1:$L$257,5,FALSE)),"",(VLOOKUP($B184,'E-1 Off Site Hedge Baseline'!$B$1:$L$257,5,FALSE))))</f>
        <v/>
      </c>
      <c r="F184" s="520" t="str">
        <f>IF(B184="","",IF(ISNA(VLOOKUP($B184,'E-1 Off Site Hedge Baseline'!$B$1:$L$257,6,FALSE)),"",(VLOOKUP($B184,'E-1 Off Site Hedge Baseline'!$B$1:$L$257,6,FALSE))))</f>
        <v/>
      </c>
      <c r="G184" s="520" t="str">
        <f>IF(B184="","",IF(ISNA(VLOOKUP($B184,'E-1 Off Site Hedge Baseline'!$B$1:$L$257,7,FALSE)),"",(VLOOKUP($B184,'E-1 Off Site Hedge Baseline'!$B$1:$L$257,7,FALSE))))</f>
        <v/>
      </c>
      <c r="H184" s="520" t="str">
        <f>IF(B184="","",IF(ISNA(VLOOKUP($B184,'E-1 Off Site Hedge Baseline'!$B$1:$L$257,8,FALSE)),"",(VLOOKUP($B184,'E-1 Off Site Hedge Baseline'!$B$1:$L$257,8,FALSE))))</f>
        <v/>
      </c>
      <c r="I184" s="520" t="str">
        <f>IF(B184="","",IF(ISNA(VLOOKUP($B184,'E-1 Off Site Hedge Baseline'!$B$1:$L$257,10,FALSE)),"",(VLOOKUP($B184,'E-1 Off Site Hedge Baseline'!$B$1:$L$257,10,FALSE))))</f>
        <v/>
      </c>
      <c r="J184" s="520" t="str">
        <f>IF(B184="","",IF(ISNA(VLOOKUP($B184,'E-1 Off Site Hedge Baseline'!$B$1:$L$257,11,FALSE)),"",(VLOOKUP($B184,'E-1 Off Site Hedge Baseline'!$B$1:$L$257,11,FALSE))))</f>
        <v/>
      </c>
      <c r="K184" s="520" t="str">
        <f>IF(B184="","",IF(ISNA(VLOOKUP($B184,'E-1 Off Site Hedge Baseline'!$B$1:$U$257,113,FALSE)),"",(VLOOKUP($B184,'E-1 Off Site Hedge Baseline'!$B$1:$U$257,13,FALSE))))</f>
        <v/>
      </c>
      <c r="L184" s="507" t="str">
        <f>IF(B184="","",IF(ISNA(VLOOKUP($B184,'E-1 Off Site Hedge Baseline'!$B$1:$U$257,12,FALSE)),"",(VLOOKUP($B184,'E-1 Off Site Hedge Baseline'!$B$1:$U$257,12,FALSE))))</f>
        <v/>
      </c>
      <c r="M184" s="418" t="str">
        <f t="shared" si="24"/>
        <v/>
      </c>
      <c r="N184" s="498" t="str">
        <f>IFERROR(IF(B184="","",INDEX('G-6 Hedgerow Data'!$AN$3:$AZ$15,MATCH(C184,'G-6 Hedgerow Data'!$AM$3:$AM$15,0),MATCH(M184,'G-6 Hedgerow Data'!$AN$2:$AZ$2,0))),"")</f>
        <v/>
      </c>
      <c r="O184" s="499" t="str">
        <f t="shared" si="18"/>
        <v/>
      </c>
      <c r="P184" s="505" t="str">
        <f>IF(B184="","",VLOOKUP(B184,'E-1 Off Site Hedge Baseline'!$B$10:T429,16,FALSE))</f>
        <v/>
      </c>
      <c r="Q184" s="498" t="str">
        <f>IF(M184="","",VLOOKUP(M184,'G-6 Hedgerow Data'!$B$2:$AG$15,2,FALSE))</f>
        <v/>
      </c>
      <c r="R184" s="499" t="str">
        <f>IF(M184="","",VLOOKUP(M184,'G-6 Hedgerow Data'!$B$2:$AG$15,3,FALSE))</f>
        <v/>
      </c>
      <c r="S184" s="145"/>
      <c r="T184" s="499" t="str">
        <f>IFERROR(IF(AND(Q184="V.Low",OR(S184="Good",S184="Moderate")),"Error ▲",VLOOKUP(S184,'G-1 All Habitats'!$Z$2:$AA$9,2,FALSE)),"")</f>
        <v/>
      </c>
      <c r="U184" s="145"/>
      <c r="V184" s="507" t="str">
        <f>IF(U184="","",IF(VLOOKUP(U184,'G-3 Multipliers'!$L$3:$N$6,2,FALSE)=0,"Spatial Data Missing ⚠",VLOOKUP(U184,'G-3 Multipliers'!$L$3:$N$6,2,FALSE)))</f>
        <v/>
      </c>
      <c r="W184" s="505"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7"/>
        <v/>
      </c>
      <c r="AD184" s="537" t="str">
        <f>IF(M184="","",VLOOKUP(M184,'G-6 Hedgerow Data'!$B$3:$AG$15,31,FALSE))</f>
        <v/>
      </c>
      <c r="AE184" s="520" t="str">
        <f t="shared" si="21"/>
        <v/>
      </c>
      <c r="AF184" s="520" t="str">
        <f t="shared" si="22"/>
        <v/>
      </c>
      <c r="AG184" s="524" t="str">
        <f>IFERROR(IF(O184="","",VLOOKUP(AD184,'G-3 Multipliers'!$P$3:$Q$6,2,FALSE)),"")</f>
        <v/>
      </c>
      <c r="AH184" s="197"/>
      <c r="AI184" s="499" t="str">
        <f>IF(AH184="","",IF(VLOOKUP(AH184,'G-3 Multipliers'!$S$3:$T$6,2,FALSE)=0,"Spatial Data Missing ⚠",VLOOKUP(AH184,'G-3 Multipliers'!$S$3:$T$6,2,FALSE)))</f>
        <v/>
      </c>
      <c r="AJ184" s="545" t="str">
        <f t="shared" si="23"/>
        <v/>
      </c>
      <c r="AK184" s="149"/>
      <c r="AL184" s="150"/>
      <c r="AP184" s="31" t="str">
        <f>IFERROR(INDEX('G-6 Hedgerow Data'!$BJ$3:$BJ$15,MATCH(M184,'G-6 Hedgerow Data'!$B$3:$B$15,0)),"")</f>
        <v/>
      </c>
    </row>
    <row r="185" spans="2:42" ht="13.8" x14ac:dyDescent="0.25">
      <c r="B185" s="531" t="str">
        <f>'E-1 Off Site Hedge Baseline'!AK183</f>
        <v/>
      </c>
      <c r="C185" s="520" t="str">
        <f>IF(B185="","",IF(ISNA(VLOOKUP($B185,'E-1 Off Site Hedge Baseline'!$B$1:$L$257,3,FALSE)),"",(VLOOKUP($B185,'E-1 Off Site Hedge Baseline'!$B$1:$L$257,3,FALSE))))</f>
        <v/>
      </c>
      <c r="D185" s="520" t="str">
        <f>IF(B185="","",IF(ISNA(VLOOKUP($B185,'E-1 Off Site Hedge Baseline'!$B$1:$L$258,4,FALSE)),"",(VLOOKUP($B185,'E-1 Off Site Hedge Baseline'!$B$1:$L$258,4,FALSE))))</f>
        <v/>
      </c>
      <c r="E185" s="520" t="str">
        <f>IF(B185="","",IF(ISNA(VLOOKUP($B185,'E-1 Off Site Hedge Baseline'!$B$1:$L$257,5,FALSE)),"",(VLOOKUP($B185,'E-1 Off Site Hedge Baseline'!$B$1:$L$257,5,FALSE))))</f>
        <v/>
      </c>
      <c r="F185" s="520" t="str">
        <f>IF(B185="","",IF(ISNA(VLOOKUP($B185,'E-1 Off Site Hedge Baseline'!$B$1:$L$257,6,FALSE)),"",(VLOOKUP($B185,'E-1 Off Site Hedge Baseline'!$B$1:$L$257,6,FALSE))))</f>
        <v/>
      </c>
      <c r="G185" s="520" t="str">
        <f>IF(B185="","",IF(ISNA(VLOOKUP($B185,'E-1 Off Site Hedge Baseline'!$B$1:$L$257,7,FALSE)),"",(VLOOKUP($B185,'E-1 Off Site Hedge Baseline'!$B$1:$L$257,7,FALSE))))</f>
        <v/>
      </c>
      <c r="H185" s="520" t="str">
        <f>IF(B185="","",IF(ISNA(VLOOKUP($B185,'E-1 Off Site Hedge Baseline'!$B$1:$L$257,8,FALSE)),"",(VLOOKUP($B185,'E-1 Off Site Hedge Baseline'!$B$1:$L$257,8,FALSE))))</f>
        <v/>
      </c>
      <c r="I185" s="520" t="str">
        <f>IF(B185="","",IF(ISNA(VLOOKUP($B185,'E-1 Off Site Hedge Baseline'!$B$1:$L$257,10,FALSE)),"",(VLOOKUP($B185,'E-1 Off Site Hedge Baseline'!$B$1:$L$257,10,FALSE))))</f>
        <v/>
      </c>
      <c r="J185" s="520" t="str">
        <f>IF(B185="","",IF(ISNA(VLOOKUP($B185,'E-1 Off Site Hedge Baseline'!$B$1:$L$257,11,FALSE)),"",(VLOOKUP($B185,'E-1 Off Site Hedge Baseline'!$B$1:$L$257,11,FALSE))))</f>
        <v/>
      </c>
      <c r="K185" s="520" t="str">
        <f>IF(B185="","",IF(ISNA(VLOOKUP($B185,'E-1 Off Site Hedge Baseline'!$B$1:$U$257,113,FALSE)),"",(VLOOKUP($B185,'E-1 Off Site Hedge Baseline'!$B$1:$U$257,13,FALSE))))</f>
        <v/>
      </c>
      <c r="L185" s="507" t="str">
        <f>IF(B185="","",IF(ISNA(VLOOKUP($B185,'E-1 Off Site Hedge Baseline'!$B$1:$U$257,12,FALSE)),"",(VLOOKUP($B185,'E-1 Off Site Hedge Baseline'!$B$1:$U$257,12,FALSE))))</f>
        <v/>
      </c>
      <c r="M185" s="418" t="str">
        <f t="shared" si="24"/>
        <v/>
      </c>
      <c r="N185" s="498" t="str">
        <f>IFERROR(IF(B185="","",INDEX('G-6 Hedgerow Data'!$AN$3:$AZ$15,MATCH(C185,'G-6 Hedgerow Data'!$AM$3:$AM$15,0),MATCH(M185,'G-6 Hedgerow Data'!$AN$2:$AZ$2,0))),"")</f>
        <v/>
      </c>
      <c r="O185" s="499" t="str">
        <f t="shared" si="18"/>
        <v/>
      </c>
      <c r="P185" s="505" t="str">
        <f>IF(B185="","",VLOOKUP(B185,'E-1 Off Site Hedge Baseline'!$B$10:T430,16,FALSE))</f>
        <v/>
      </c>
      <c r="Q185" s="498" t="str">
        <f>IF(M185="","",VLOOKUP(M185,'G-6 Hedgerow Data'!$B$2:$AG$15,2,FALSE))</f>
        <v/>
      </c>
      <c r="R185" s="499" t="str">
        <f>IF(M185="","",VLOOKUP(M185,'G-6 Hedgerow Data'!$B$2:$AG$15,3,FALSE))</f>
        <v/>
      </c>
      <c r="S185" s="145"/>
      <c r="T185" s="499" t="str">
        <f>IFERROR(IF(AND(Q185="V.Low",OR(S185="Good",S185="Moderate")),"Error ▲",VLOOKUP(S185,'G-1 All Habitats'!$Z$2:$AA$9,2,FALSE)),"")</f>
        <v/>
      </c>
      <c r="U185" s="145"/>
      <c r="V185" s="507" t="str">
        <f>IF(U185="","",IF(VLOOKUP(U185,'G-3 Multipliers'!$L$3:$N$6,2,FALSE)=0,"Spatial Data Missing ⚠",VLOOKUP(U185,'G-3 Multipliers'!$L$3:$N$6,2,FALSE)))</f>
        <v/>
      </c>
      <c r="W185" s="505"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7"/>
        <v/>
      </c>
      <c r="AD185" s="537" t="str">
        <f>IF(M185="","",VLOOKUP(M185,'G-6 Hedgerow Data'!$B$3:$AG$15,31,FALSE))</f>
        <v/>
      </c>
      <c r="AE185" s="520" t="str">
        <f t="shared" si="21"/>
        <v/>
      </c>
      <c r="AF185" s="520" t="str">
        <f t="shared" si="22"/>
        <v/>
      </c>
      <c r="AG185" s="524" t="str">
        <f>IFERROR(IF(O185="","",VLOOKUP(AD185,'G-3 Multipliers'!$P$3:$Q$6,2,FALSE)),"")</f>
        <v/>
      </c>
      <c r="AH185" s="197"/>
      <c r="AI185" s="499" t="str">
        <f>IF(AH185="","",IF(VLOOKUP(AH185,'G-3 Multipliers'!$S$3:$T$6,2,FALSE)=0,"Spatial Data Missing ⚠",VLOOKUP(AH185,'G-3 Multipliers'!$S$3:$T$6,2,FALSE)))</f>
        <v/>
      </c>
      <c r="AJ185" s="545" t="str">
        <f t="shared" si="23"/>
        <v/>
      </c>
      <c r="AK185" s="149"/>
      <c r="AL185" s="150"/>
      <c r="AP185" s="31" t="str">
        <f>IFERROR(INDEX('G-6 Hedgerow Data'!$BJ$3:$BJ$15,MATCH(M185,'G-6 Hedgerow Data'!$B$3:$B$15,0)),"")</f>
        <v/>
      </c>
    </row>
    <row r="186" spans="2:42" ht="13.8" x14ac:dyDescent="0.25">
      <c r="B186" s="531" t="str">
        <f>'E-1 Off Site Hedge Baseline'!AK184</f>
        <v/>
      </c>
      <c r="C186" s="520" t="str">
        <f>IF(B186="","",IF(ISNA(VLOOKUP($B186,'E-1 Off Site Hedge Baseline'!$B$1:$L$257,3,FALSE)),"",(VLOOKUP($B186,'E-1 Off Site Hedge Baseline'!$B$1:$L$257,3,FALSE))))</f>
        <v/>
      </c>
      <c r="D186" s="520" t="str">
        <f>IF(B186="","",IF(ISNA(VLOOKUP($B186,'E-1 Off Site Hedge Baseline'!$B$1:$L$258,4,FALSE)),"",(VLOOKUP($B186,'E-1 Off Site Hedge Baseline'!$B$1:$L$258,4,FALSE))))</f>
        <v/>
      </c>
      <c r="E186" s="520" t="str">
        <f>IF(B186="","",IF(ISNA(VLOOKUP($B186,'E-1 Off Site Hedge Baseline'!$B$1:$L$257,5,FALSE)),"",(VLOOKUP($B186,'E-1 Off Site Hedge Baseline'!$B$1:$L$257,5,FALSE))))</f>
        <v/>
      </c>
      <c r="F186" s="520" t="str">
        <f>IF(B186="","",IF(ISNA(VLOOKUP($B186,'E-1 Off Site Hedge Baseline'!$B$1:$L$257,6,FALSE)),"",(VLOOKUP($B186,'E-1 Off Site Hedge Baseline'!$B$1:$L$257,6,FALSE))))</f>
        <v/>
      </c>
      <c r="G186" s="520" t="str">
        <f>IF(B186="","",IF(ISNA(VLOOKUP($B186,'E-1 Off Site Hedge Baseline'!$B$1:$L$257,7,FALSE)),"",(VLOOKUP($B186,'E-1 Off Site Hedge Baseline'!$B$1:$L$257,7,FALSE))))</f>
        <v/>
      </c>
      <c r="H186" s="520" t="str">
        <f>IF(B186="","",IF(ISNA(VLOOKUP($B186,'E-1 Off Site Hedge Baseline'!$B$1:$L$257,8,FALSE)),"",(VLOOKUP($B186,'E-1 Off Site Hedge Baseline'!$B$1:$L$257,8,FALSE))))</f>
        <v/>
      </c>
      <c r="I186" s="520" t="str">
        <f>IF(B186="","",IF(ISNA(VLOOKUP($B186,'E-1 Off Site Hedge Baseline'!$B$1:$L$257,10,FALSE)),"",(VLOOKUP($B186,'E-1 Off Site Hedge Baseline'!$B$1:$L$257,10,FALSE))))</f>
        <v/>
      </c>
      <c r="J186" s="520" t="str">
        <f>IF(B186="","",IF(ISNA(VLOOKUP($B186,'E-1 Off Site Hedge Baseline'!$B$1:$L$257,11,FALSE)),"",(VLOOKUP($B186,'E-1 Off Site Hedge Baseline'!$B$1:$L$257,11,FALSE))))</f>
        <v/>
      </c>
      <c r="K186" s="520" t="str">
        <f>IF(B186="","",IF(ISNA(VLOOKUP($B186,'E-1 Off Site Hedge Baseline'!$B$1:$U$257,113,FALSE)),"",(VLOOKUP($B186,'E-1 Off Site Hedge Baseline'!$B$1:$U$257,13,FALSE))))</f>
        <v/>
      </c>
      <c r="L186" s="507" t="str">
        <f>IF(B186="","",IF(ISNA(VLOOKUP($B186,'E-1 Off Site Hedge Baseline'!$B$1:$U$257,12,FALSE)),"",(VLOOKUP($B186,'E-1 Off Site Hedge Baseline'!$B$1:$U$257,12,FALSE))))</f>
        <v/>
      </c>
      <c r="M186" s="418" t="str">
        <f t="shared" si="24"/>
        <v/>
      </c>
      <c r="N186" s="498" t="str">
        <f>IFERROR(IF(B186="","",INDEX('G-6 Hedgerow Data'!$AN$3:$AZ$15,MATCH(C186,'G-6 Hedgerow Data'!$AM$3:$AM$15,0),MATCH(M186,'G-6 Hedgerow Data'!$AN$2:$AZ$2,0))),"")</f>
        <v/>
      </c>
      <c r="O186" s="499" t="str">
        <f t="shared" si="18"/>
        <v/>
      </c>
      <c r="P186" s="505" t="str">
        <f>IF(B186="","",VLOOKUP(B186,'E-1 Off Site Hedge Baseline'!$B$10:T431,16,FALSE))</f>
        <v/>
      </c>
      <c r="Q186" s="498" t="str">
        <f>IF(M186="","",VLOOKUP(M186,'G-6 Hedgerow Data'!$B$2:$AG$15,2,FALSE))</f>
        <v/>
      </c>
      <c r="R186" s="499" t="str">
        <f>IF(M186="","",VLOOKUP(M186,'G-6 Hedgerow Data'!$B$2:$AG$15,3,FALSE))</f>
        <v/>
      </c>
      <c r="S186" s="145"/>
      <c r="T186" s="499" t="str">
        <f>IFERROR(IF(AND(Q186="V.Low",OR(S186="Good",S186="Moderate")),"Error ▲",VLOOKUP(S186,'G-1 All Habitats'!$Z$2:$AA$9,2,FALSE)),"")</f>
        <v/>
      </c>
      <c r="U186" s="145"/>
      <c r="V186" s="507" t="str">
        <f>IF(U186="","",IF(VLOOKUP(U186,'G-3 Multipliers'!$L$3:$N$6,2,FALSE)=0,"Spatial Data Missing ⚠",VLOOKUP(U186,'G-3 Multipliers'!$L$3:$N$6,2,FALSE)))</f>
        <v/>
      </c>
      <c r="W186" s="505"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7"/>
        <v/>
      </c>
      <c r="AD186" s="537" t="str">
        <f>IF(M186="","",VLOOKUP(M186,'G-6 Hedgerow Data'!$B$3:$AG$15,31,FALSE))</f>
        <v/>
      </c>
      <c r="AE186" s="520" t="str">
        <f t="shared" si="21"/>
        <v/>
      </c>
      <c r="AF186" s="520" t="str">
        <f t="shared" si="22"/>
        <v/>
      </c>
      <c r="AG186" s="524" t="str">
        <f>IFERROR(IF(O186="","",VLOOKUP(AD186,'G-3 Multipliers'!$P$3:$Q$6,2,FALSE)),"")</f>
        <v/>
      </c>
      <c r="AH186" s="197"/>
      <c r="AI186" s="499" t="str">
        <f>IF(AH186="","",IF(VLOOKUP(AH186,'G-3 Multipliers'!$S$3:$T$6,2,FALSE)=0,"Spatial Data Missing ⚠",VLOOKUP(AH186,'G-3 Multipliers'!$S$3:$T$6,2,FALSE)))</f>
        <v/>
      </c>
      <c r="AJ186" s="545" t="str">
        <f t="shared" si="23"/>
        <v/>
      </c>
      <c r="AK186" s="149"/>
      <c r="AL186" s="150"/>
      <c r="AP186" s="31" t="str">
        <f>IFERROR(INDEX('G-6 Hedgerow Data'!$BJ$3:$BJ$15,MATCH(M186,'G-6 Hedgerow Data'!$B$3:$B$15,0)),"")</f>
        <v/>
      </c>
    </row>
    <row r="187" spans="2:42" ht="13.8" x14ac:dyDescent="0.25">
      <c r="B187" s="531" t="str">
        <f>'E-1 Off Site Hedge Baseline'!AK185</f>
        <v/>
      </c>
      <c r="C187" s="520" t="str">
        <f>IF(B187="","",IF(ISNA(VLOOKUP($B187,'E-1 Off Site Hedge Baseline'!$B$1:$L$257,3,FALSE)),"",(VLOOKUP($B187,'E-1 Off Site Hedge Baseline'!$B$1:$L$257,3,FALSE))))</f>
        <v/>
      </c>
      <c r="D187" s="520" t="str">
        <f>IF(B187="","",IF(ISNA(VLOOKUP($B187,'E-1 Off Site Hedge Baseline'!$B$1:$L$258,4,FALSE)),"",(VLOOKUP($B187,'E-1 Off Site Hedge Baseline'!$B$1:$L$258,4,FALSE))))</f>
        <v/>
      </c>
      <c r="E187" s="520" t="str">
        <f>IF(B187="","",IF(ISNA(VLOOKUP($B187,'E-1 Off Site Hedge Baseline'!$B$1:$L$257,5,FALSE)),"",(VLOOKUP($B187,'E-1 Off Site Hedge Baseline'!$B$1:$L$257,5,FALSE))))</f>
        <v/>
      </c>
      <c r="F187" s="520" t="str">
        <f>IF(B187="","",IF(ISNA(VLOOKUP($B187,'E-1 Off Site Hedge Baseline'!$B$1:$L$257,6,FALSE)),"",(VLOOKUP($B187,'E-1 Off Site Hedge Baseline'!$B$1:$L$257,6,FALSE))))</f>
        <v/>
      </c>
      <c r="G187" s="520" t="str">
        <f>IF(B187="","",IF(ISNA(VLOOKUP($B187,'E-1 Off Site Hedge Baseline'!$B$1:$L$257,7,FALSE)),"",(VLOOKUP($B187,'E-1 Off Site Hedge Baseline'!$B$1:$L$257,7,FALSE))))</f>
        <v/>
      </c>
      <c r="H187" s="520" t="str">
        <f>IF(B187="","",IF(ISNA(VLOOKUP($B187,'E-1 Off Site Hedge Baseline'!$B$1:$L$257,8,FALSE)),"",(VLOOKUP($B187,'E-1 Off Site Hedge Baseline'!$B$1:$L$257,8,FALSE))))</f>
        <v/>
      </c>
      <c r="I187" s="520" t="str">
        <f>IF(B187="","",IF(ISNA(VLOOKUP($B187,'E-1 Off Site Hedge Baseline'!$B$1:$L$257,10,FALSE)),"",(VLOOKUP($B187,'E-1 Off Site Hedge Baseline'!$B$1:$L$257,10,FALSE))))</f>
        <v/>
      </c>
      <c r="J187" s="520" t="str">
        <f>IF(B187="","",IF(ISNA(VLOOKUP($B187,'E-1 Off Site Hedge Baseline'!$B$1:$L$257,11,FALSE)),"",(VLOOKUP($B187,'E-1 Off Site Hedge Baseline'!$B$1:$L$257,11,FALSE))))</f>
        <v/>
      </c>
      <c r="K187" s="520" t="str">
        <f>IF(B187="","",IF(ISNA(VLOOKUP($B187,'E-1 Off Site Hedge Baseline'!$B$1:$U$257,113,FALSE)),"",(VLOOKUP($B187,'E-1 Off Site Hedge Baseline'!$B$1:$U$257,13,FALSE))))</f>
        <v/>
      </c>
      <c r="L187" s="507" t="str">
        <f>IF(B187="","",IF(ISNA(VLOOKUP($B187,'E-1 Off Site Hedge Baseline'!$B$1:$U$257,12,FALSE)),"",(VLOOKUP($B187,'E-1 Off Site Hedge Baseline'!$B$1:$U$257,12,FALSE))))</f>
        <v/>
      </c>
      <c r="M187" s="418" t="str">
        <f t="shared" si="24"/>
        <v/>
      </c>
      <c r="N187" s="498" t="str">
        <f>IFERROR(IF(B187="","",INDEX('G-6 Hedgerow Data'!$AN$3:$AZ$15,MATCH(C187,'G-6 Hedgerow Data'!$AM$3:$AM$15,0),MATCH(M187,'G-6 Hedgerow Data'!$AN$2:$AZ$2,0))),"")</f>
        <v/>
      </c>
      <c r="O187" s="499" t="str">
        <f t="shared" si="18"/>
        <v/>
      </c>
      <c r="P187" s="505" t="str">
        <f>IF(B187="","",VLOOKUP(B187,'E-1 Off Site Hedge Baseline'!$B$10:T432,16,FALSE))</f>
        <v/>
      </c>
      <c r="Q187" s="498" t="str">
        <f>IF(M187="","",VLOOKUP(M187,'G-6 Hedgerow Data'!$B$2:$AG$15,2,FALSE))</f>
        <v/>
      </c>
      <c r="R187" s="499" t="str">
        <f>IF(M187="","",VLOOKUP(M187,'G-6 Hedgerow Data'!$B$2:$AG$15,3,FALSE))</f>
        <v/>
      </c>
      <c r="S187" s="145"/>
      <c r="T187" s="499" t="str">
        <f>IFERROR(IF(AND(Q187="V.Low",OR(S187="Good",S187="Moderate")),"Error ▲",VLOOKUP(S187,'G-1 All Habitats'!$Z$2:$AA$9,2,FALSE)),"")</f>
        <v/>
      </c>
      <c r="U187" s="145"/>
      <c r="V187" s="507" t="str">
        <f>IF(U187="","",IF(VLOOKUP(U187,'G-3 Multipliers'!$L$3:$N$6,2,FALSE)=0,"Spatial Data Missing ⚠",VLOOKUP(U187,'G-3 Multipliers'!$L$3:$N$6,2,FALSE)))</f>
        <v/>
      </c>
      <c r="W187" s="505"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7"/>
        <v/>
      </c>
      <c r="AD187" s="537" t="str">
        <f>IF(M187="","",VLOOKUP(M187,'G-6 Hedgerow Data'!$B$3:$AG$15,31,FALSE))</f>
        <v/>
      </c>
      <c r="AE187" s="520" t="str">
        <f t="shared" si="21"/>
        <v/>
      </c>
      <c r="AF187" s="520" t="str">
        <f t="shared" si="22"/>
        <v/>
      </c>
      <c r="AG187" s="524" t="str">
        <f>IFERROR(IF(O187="","",VLOOKUP(AD187,'G-3 Multipliers'!$P$3:$Q$6,2,FALSE)),"")</f>
        <v/>
      </c>
      <c r="AH187" s="197"/>
      <c r="AI187" s="499" t="str">
        <f>IF(AH187="","",IF(VLOOKUP(AH187,'G-3 Multipliers'!$S$3:$T$6,2,FALSE)=0,"Spatial Data Missing ⚠",VLOOKUP(AH187,'G-3 Multipliers'!$S$3:$T$6,2,FALSE)))</f>
        <v/>
      </c>
      <c r="AJ187" s="545" t="str">
        <f t="shared" si="23"/>
        <v/>
      </c>
      <c r="AK187" s="149"/>
      <c r="AL187" s="150"/>
      <c r="AP187" s="31" t="str">
        <f>IFERROR(INDEX('G-6 Hedgerow Data'!$BJ$3:$BJ$15,MATCH(M187,'G-6 Hedgerow Data'!$B$3:$B$15,0)),"")</f>
        <v/>
      </c>
    </row>
    <row r="188" spans="2:42" ht="13.8" x14ac:dyDescent="0.25">
      <c r="B188" s="531" t="str">
        <f>'E-1 Off Site Hedge Baseline'!AK186</f>
        <v/>
      </c>
      <c r="C188" s="520" t="str">
        <f>IF(B188="","",IF(ISNA(VLOOKUP($B188,'E-1 Off Site Hedge Baseline'!$B$1:$L$257,3,FALSE)),"",(VLOOKUP($B188,'E-1 Off Site Hedge Baseline'!$B$1:$L$257,3,FALSE))))</f>
        <v/>
      </c>
      <c r="D188" s="520" t="str">
        <f>IF(B188="","",IF(ISNA(VLOOKUP($B188,'E-1 Off Site Hedge Baseline'!$B$1:$L$258,4,FALSE)),"",(VLOOKUP($B188,'E-1 Off Site Hedge Baseline'!$B$1:$L$258,4,FALSE))))</f>
        <v/>
      </c>
      <c r="E188" s="520" t="str">
        <f>IF(B188="","",IF(ISNA(VLOOKUP($B188,'E-1 Off Site Hedge Baseline'!$B$1:$L$257,5,FALSE)),"",(VLOOKUP($B188,'E-1 Off Site Hedge Baseline'!$B$1:$L$257,5,FALSE))))</f>
        <v/>
      </c>
      <c r="F188" s="520" t="str">
        <f>IF(B188="","",IF(ISNA(VLOOKUP($B188,'E-1 Off Site Hedge Baseline'!$B$1:$L$257,6,FALSE)),"",(VLOOKUP($B188,'E-1 Off Site Hedge Baseline'!$B$1:$L$257,6,FALSE))))</f>
        <v/>
      </c>
      <c r="G188" s="520" t="str">
        <f>IF(B188="","",IF(ISNA(VLOOKUP($B188,'E-1 Off Site Hedge Baseline'!$B$1:$L$257,7,FALSE)),"",(VLOOKUP($B188,'E-1 Off Site Hedge Baseline'!$B$1:$L$257,7,FALSE))))</f>
        <v/>
      </c>
      <c r="H188" s="520" t="str">
        <f>IF(B188="","",IF(ISNA(VLOOKUP($B188,'E-1 Off Site Hedge Baseline'!$B$1:$L$257,8,FALSE)),"",(VLOOKUP($B188,'E-1 Off Site Hedge Baseline'!$B$1:$L$257,8,FALSE))))</f>
        <v/>
      </c>
      <c r="I188" s="520" t="str">
        <f>IF(B188="","",IF(ISNA(VLOOKUP($B188,'E-1 Off Site Hedge Baseline'!$B$1:$L$257,10,FALSE)),"",(VLOOKUP($B188,'E-1 Off Site Hedge Baseline'!$B$1:$L$257,10,FALSE))))</f>
        <v/>
      </c>
      <c r="J188" s="520" t="str">
        <f>IF(B188="","",IF(ISNA(VLOOKUP($B188,'E-1 Off Site Hedge Baseline'!$B$1:$L$257,11,FALSE)),"",(VLOOKUP($B188,'E-1 Off Site Hedge Baseline'!$B$1:$L$257,11,FALSE))))</f>
        <v/>
      </c>
      <c r="K188" s="520" t="str">
        <f>IF(B188="","",IF(ISNA(VLOOKUP($B188,'E-1 Off Site Hedge Baseline'!$B$1:$U$257,113,FALSE)),"",(VLOOKUP($B188,'E-1 Off Site Hedge Baseline'!$B$1:$U$257,13,FALSE))))</f>
        <v/>
      </c>
      <c r="L188" s="507" t="str">
        <f>IF(B188="","",IF(ISNA(VLOOKUP($B188,'E-1 Off Site Hedge Baseline'!$B$1:$U$257,12,FALSE)),"",(VLOOKUP($B188,'E-1 Off Site Hedge Baseline'!$B$1:$U$257,12,FALSE))))</f>
        <v/>
      </c>
      <c r="M188" s="418" t="str">
        <f t="shared" si="24"/>
        <v/>
      </c>
      <c r="N188" s="498" t="str">
        <f>IFERROR(IF(B188="","",INDEX('G-6 Hedgerow Data'!$AN$3:$AZ$15,MATCH(C188,'G-6 Hedgerow Data'!$AM$3:$AM$15,0),MATCH(M188,'G-6 Hedgerow Data'!$AN$2:$AZ$2,0))),"")</f>
        <v/>
      </c>
      <c r="O188" s="499" t="str">
        <f t="shared" si="18"/>
        <v/>
      </c>
      <c r="P188" s="505" t="str">
        <f>IF(B188="","",VLOOKUP(B188,'E-1 Off Site Hedge Baseline'!$B$10:T433,16,FALSE))</f>
        <v/>
      </c>
      <c r="Q188" s="498" t="str">
        <f>IF(M188="","",VLOOKUP(M188,'G-6 Hedgerow Data'!$B$2:$AG$15,2,FALSE))</f>
        <v/>
      </c>
      <c r="R188" s="499" t="str">
        <f>IF(M188="","",VLOOKUP(M188,'G-6 Hedgerow Data'!$B$2:$AG$15,3,FALSE))</f>
        <v/>
      </c>
      <c r="S188" s="145"/>
      <c r="T188" s="499" t="str">
        <f>IFERROR(IF(AND(Q188="V.Low",OR(S188="Good",S188="Moderate")),"Error ▲",VLOOKUP(S188,'G-1 All Habitats'!$Z$2:$AA$9,2,FALSE)),"")</f>
        <v/>
      </c>
      <c r="U188" s="145"/>
      <c r="V188" s="507" t="str">
        <f>IF(U188="","",IF(VLOOKUP(U188,'G-3 Multipliers'!$L$3:$N$6,2,FALSE)=0,"Spatial Data Missing ⚠",VLOOKUP(U188,'G-3 Multipliers'!$L$3:$N$6,2,FALSE)))</f>
        <v/>
      </c>
      <c r="W188" s="505"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7"/>
        <v/>
      </c>
      <c r="AD188" s="537" t="str">
        <f>IF(M188="","",VLOOKUP(M188,'G-6 Hedgerow Data'!$B$3:$AG$15,31,FALSE))</f>
        <v/>
      </c>
      <c r="AE188" s="520" t="str">
        <f t="shared" si="21"/>
        <v/>
      </c>
      <c r="AF188" s="520" t="str">
        <f t="shared" si="22"/>
        <v/>
      </c>
      <c r="AG188" s="524" t="str">
        <f>IFERROR(IF(O188="","",VLOOKUP(AD188,'G-3 Multipliers'!$P$3:$Q$6,2,FALSE)),"")</f>
        <v/>
      </c>
      <c r="AH188" s="197"/>
      <c r="AI188" s="499" t="str">
        <f>IF(AH188="","",IF(VLOOKUP(AH188,'G-3 Multipliers'!$S$3:$T$6,2,FALSE)=0,"Spatial Data Missing ⚠",VLOOKUP(AH188,'G-3 Multipliers'!$S$3:$T$6,2,FALSE)))</f>
        <v/>
      </c>
      <c r="AJ188" s="545" t="str">
        <f t="shared" si="23"/>
        <v/>
      </c>
      <c r="AK188" s="149"/>
      <c r="AL188" s="150"/>
      <c r="AP188" s="31" t="str">
        <f>IFERROR(INDEX('G-6 Hedgerow Data'!$BJ$3:$BJ$15,MATCH(M188,'G-6 Hedgerow Data'!$B$3:$B$15,0)),"")</f>
        <v/>
      </c>
    </row>
    <row r="189" spans="2:42" ht="13.8" x14ac:dyDescent="0.25">
      <c r="B189" s="531" t="str">
        <f>'E-1 Off Site Hedge Baseline'!AK187</f>
        <v/>
      </c>
      <c r="C189" s="520" t="str">
        <f>IF(B189="","",IF(ISNA(VLOOKUP($B189,'E-1 Off Site Hedge Baseline'!$B$1:$L$257,3,FALSE)),"",(VLOOKUP($B189,'E-1 Off Site Hedge Baseline'!$B$1:$L$257,3,FALSE))))</f>
        <v/>
      </c>
      <c r="D189" s="520" t="str">
        <f>IF(B189="","",IF(ISNA(VLOOKUP($B189,'E-1 Off Site Hedge Baseline'!$B$1:$L$258,4,FALSE)),"",(VLOOKUP($B189,'E-1 Off Site Hedge Baseline'!$B$1:$L$258,4,FALSE))))</f>
        <v/>
      </c>
      <c r="E189" s="520" t="str">
        <f>IF(B189="","",IF(ISNA(VLOOKUP($B189,'E-1 Off Site Hedge Baseline'!$B$1:$L$257,5,FALSE)),"",(VLOOKUP($B189,'E-1 Off Site Hedge Baseline'!$B$1:$L$257,5,FALSE))))</f>
        <v/>
      </c>
      <c r="F189" s="520" t="str">
        <f>IF(B189="","",IF(ISNA(VLOOKUP($B189,'E-1 Off Site Hedge Baseline'!$B$1:$L$257,6,FALSE)),"",(VLOOKUP($B189,'E-1 Off Site Hedge Baseline'!$B$1:$L$257,6,FALSE))))</f>
        <v/>
      </c>
      <c r="G189" s="520" t="str">
        <f>IF(B189="","",IF(ISNA(VLOOKUP($B189,'E-1 Off Site Hedge Baseline'!$B$1:$L$257,7,FALSE)),"",(VLOOKUP($B189,'E-1 Off Site Hedge Baseline'!$B$1:$L$257,7,FALSE))))</f>
        <v/>
      </c>
      <c r="H189" s="520" t="str">
        <f>IF(B189="","",IF(ISNA(VLOOKUP($B189,'E-1 Off Site Hedge Baseline'!$B$1:$L$257,8,FALSE)),"",(VLOOKUP($B189,'E-1 Off Site Hedge Baseline'!$B$1:$L$257,8,FALSE))))</f>
        <v/>
      </c>
      <c r="I189" s="520" t="str">
        <f>IF(B189="","",IF(ISNA(VLOOKUP($B189,'E-1 Off Site Hedge Baseline'!$B$1:$L$257,10,FALSE)),"",(VLOOKUP($B189,'E-1 Off Site Hedge Baseline'!$B$1:$L$257,10,FALSE))))</f>
        <v/>
      </c>
      <c r="J189" s="520" t="str">
        <f>IF(B189="","",IF(ISNA(VLOOKUP($B189,'E-1 Off Site Hedge Baseline'!$B$1:$L$257,11,FALSE)),"",(VLOOKUP($B189,'E-1 Off Site Hedge Baseline'!$B$1:$L$257,11,FALSE))))</f>
        <v/>
      </c>
      <c r="K189" s="520" t="str">
        <f>IF(B189="","",IF(ISNA(VLOOKUP($B189,'E-1 Off Site Hedge Baseline'!$B$1:$U$257,113,FALSE)),"",(VLOOKUP($B189,'E-1 Off Site Hedge Baseline'!$B$1:$U$257,13,FALSE))))</f>
        <v/>
      </c>
      <c r="L189" s="507" t="str">
        <f>IF(B189="","",IF(ISNA(VLOOKUP($B189,'E-1 Off Site Hedge Baseline'!$B$1:$U$257,12,FALSE)),"",(VLOOKUP($B189,'E-1 Off Site Hedge Baseline'!$B$1:$U$257,12,FALSE))))</f>
        <v/>
      </c>
      <c r="M189" s="418" t="str">
        <f t="shared" si="24"/>
        <v/>
      </c>
      <c r="N189" s="498" t="str">
        <f>IFERROR(IF(B189="","",INDEX('G-6 Hedgerow Data'!$AN$3:$AZ$15,MATCH(C189,'G-6 Hedgerow Data'!$AM$3:$AM$15,0),MATCH(M189,'G-6 Hedgerow Data'!$AN$2:$AZ$2,0))),"")</f>
        <v/>
      </c>
      <c r="O189" s="499" t="str">
        <f t="shared" si="18"/>
        <v/>
      </c>
      <c r="P189" s="505" t="str">
        <f>IF(B189="","",VLOOKUP(B189,'E-1 Off Site Hedge Baseline'!$B$10:T434,16,FALSE))</f>
        <v/>
      </c>
      <c r="Q189" s="498" t="str">
        <f>IF(M189="","",VLOOKUP(M189,'G-6 Hedgerow Data'!$B$2:$AG$15,2,FALSE))</f>
        <v/>
      </c>
      <c r="R189" s="499" t="str">
        <f>IF(M189="","",VLOOKUP(M189,'G-6 Hedgerow Data'!$B$2:$AG$15,3,FALSE))</f>
        <v/>
      </c>
      <c r="S189" s="145"/>
      <c r="T189" s="499" t="str">
        <f>IFERROR(IF(AND(Q189="V.Low",OR(S189="Good",S189="Moderate")),"Error ▲",VLOOKUP(S189,'G-1 All Habitats'!$Z$2:$AA$9,2,FALSE)),"")</f>
        <v/>
      </c>
      <c r="U189" s="145"/>
      <c r="V189" s="507" t="str">
        <f>IF(U189="","",IF(VLOOKUP(U189,'G-3 Multipliers'!$L$3:$N$6,2,FALSE)=0,"Spatial Data Missing ⚠",VLOOKUP(U189,'G-3 Multipliers'!$L$3:$N$6,2,FALSE)))</f>
        <v/>
      </c>
      <c r="W189" s="505"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7"/>
        <v/>
      </c>
      <c r="AD189" s="537" t="str">
        <f>IF(M189="","",VLOOKUP(M189,'G-6 Hedgerow Data'!$B$3:$AG$15,31,FALSE))</f>
        <v/>
      </c>
      <c r="AE189" s="520" t="str">
        <f t="shared" si="21"/>
        <v/>
      </c>
      <c r="AF189" s="520" t="str">
        <f t="shared" si="22"/>
        <v/>
      </c>
      <c r="AG189" s="524" t="str">
        <f>IFERROR(IF(O189="","",VLOOKUP(AD189,'G-3 Multipliers'!$P$3:$Q$6,2,FALSE)),"")</f>
        <v/>
      </c>
      <c r="AH189" s="197"/>
      <c r="AI189" s="499" t="str">
        <f>IF(AH189="","",IF(VLOOKUP(AH189,'G-3 Multipliers'!$S$3:$T$6,2,FALSE)=0,"Spatial Data Missing ⚠",VLOOKUP(AH189,'G-3 Multipliers'!$S$3:$T$6,2,FALSE)))</f>
        <v/>
      </c>
      <c r="AJ189" s="545" t="str">
        <f t="shared" si="23"/>
        <v/>
      </c>
      <c r="AK189" s="149"/>
      <c r="AL189" s="150"/>
      <c r="AP189" s="31" t="str">
        <f>IFERROR(INDEX('G-6 Hedgerow Data'!$BJ$3:$BJ$15,MATCH(M189,'G-6 Hedgerow Data'!$B$3:$B$15,0)),"")</f>
        <v/>
      </c>
    </row>
    <row r="190" spans="2:42" ht="13.8" x14ac:dyDescent="0.25">
      <c r="B190" s="531" t="str">
        <f>'E-1 Off Site Hedge Baseline'!AK188</f>
        <v/>
      </c>
      <c r="C190" s="520" t="str">
        <f>IF(B190="","",IF(ISNA(VLOOKUP($B190,'E-1 Off Site Hedge Baseline'!$B$1:$L$257,3,FALSE)),"",(VLOOKUP($B190,'E-1 Off Site Hedge Baseline'!$B$1:$L$257,3,FALSE))))</f>
        <v/>
      </c>
      <c r="D190" s="520" t="str">
        <f>IF(B190="","",IF(ISNA(VLOOKUP($B190,'E-1 Off Site Hedge Baseline'!$B$1:$L$258,4,FALSE)),"",(VLOOKUP($B190,'E-1 Off Site Hedge Baseline'!$B$1:$L$258,4,FALSE))))</f>
        <v/>
      </c>
      <c r="E190" s="520" t="str">
        <f>IF(B190="","",IF(ISNA(VLOOKUP($B190,'E-1 Off Site Hedge Baseline'!$B$1:$L$257,5,FALSE)),"",(VLOOKUP($B190,'E-1 Off Site Hedge Baseline'!$B$1:$L$257,5,FALSE))))</f>
        <v/>
      </c>
      <c r="F190" s="520" t="str">
        <f>IF(B190="","",IF(ISNA(VLOOKUP($B190,'E-1 Off Site Hedge Baseline'!$B$1:$L$257,6,FALSE)),"",(VLOOKUP($B190,'E-1 Off Site Hedge Baseline'!$B$1:$L$257,6,FALSE))))</f>
        <v/>
      </c>
      <c r="G190" s="520" t="str">
        <f>IF(B190="","",IF(ISNA(VLOOKUP($B190,'E-1 Off Site Hedge Baseline'!$B$1:$L$257,7,FALSE)),"",(VLOOKUP($B190,'E-1 Off Site Hedge Baseline'!$B$1:$L$257,7,FALSE))))</f>
        <v/>
      </c>
      <c r="H190" s="520" t="str">
        <f>IF(B190="","",IF(ISNA(VLOOKUP($B190,'E-1 Off Site Hedge Baseline'!$B$1:$L$257,8,FALSE)),"",(VLOOKUP($B190,'E-1 Off Site Hedge Baseline'!$B$1:$L$257,8,FALSE))))</f>
        <v/>
      </c>
      <c r="I190" s="520" t="str">
        <f>IF(B190="","",IF(ISNA(VLOOKUP($B190,'E-1 Off Site Hedge Baseline'!$B$1:$L$257,10,FALSE)),"",(VLOOKUP($B190,'E-1 Off Site Hedge Baseline'!$B$1:$L$257,10,FALSE))))</f>
        <v/>
      </c>
      <c r="J190" s="520" t="str">
        <f>IF(B190="","",IF(ISNA(VLOOKUP($B190,'E-1 Off Site Hedge Baseline'!$B$1:$L$257,11,FALSE)),"",(VLOOKUP($B190,'E-1 Off Site Hedge Baseline'!$B$1:$L$257,11,FALSE))))</f>
        <v/>
      </c>
      <c r="K190" s="520" t="str">
        <f>IF(B190="","",IF(ISNA(VLOOKUP($B190,'E-1 Off Site Hedge Baseline'!$B$1:$U$257,113,FALSE)),"",(VLOOKUP($B190,'E-1 Off Site Hedge Baseline'!$B$1:$U$257,13,FALSE))))</f>
        <v/>
      </c>
      <c r="L190" s="507" t="str">
        <f>IF(B190="","",IF(ISNA(VLOOKUP($B190,'E-1 Off Site Hedge Baseline'!$B$1:$U$257,12,FALSE)),"",(VLOOKUP($B190,'E-1 Off Site Hedge Baseline'!$B$1:$U$257,12,FALSE))))</f>
        <v/>
      </c>
      <c r="M190" s="418" t="str">
        <f t="shared" si="24"/>
        <v/>
      </c>
      <c r="N190" s="498" t="str">
        <f>IFERROR(IF(B190="","",INDEX('G-6 Hedgerow Data'!$AN$3:$AZ$15,MATCH(C190,'G-6 Hedgerow Data'!$AM$3:$AM$15,0),MATCH(M190,'G-6 Hedgerow Data'!$AN$2:$AZ$2,0))),"")</f>
        <v/>
      </c>
      <c r="O190" s="499" t="str">
        <f t="shared" si="18"/>
        <v/>
      </c>
      <c r="P190" s="505" t="str">
        <f>IF(B190="","",VLOOKUP(B190,'E-1 Off Site Hedge Baseline'!$B$10:T435,16,FALSE))</f>
        <v/>
      </c>
      <c r="Q190" s="498" t="str">
        <f>IF(M190="","",VLOOKUP(M190,'G-6 Hedgerow Data'!$B$2:$AG$15,2,FALSE))</f>
        <v/>
      </c>
      <c r="R190" s="499" t="str">
        <f>IF(M190="","",VLOOKUP(M190,'G-6 Hedgerow Data'!$B$2:$AG$15,3,FALSE))</f>
        <v/>
      </c>
      <c r="S190" s="145"/>
      <c r="T190" s="499" t="str">
        <f>IFERROR(IF(AND(Q190="V.Low",OR(S190="Good",S190="Moderate")),"Error ▲",VLOOKUP(S190,'G-1 All Habitats'!$Z$2:$AA$9,2,FALSE)),"")</f>
        <v/>
      </c>
      <c r="U190" s="145"/>
      <c r="V190" s="507" t="str">
        <f>IF(U190="","",IF(VLOOKUP(U190,'G-3 Multipliers'!$L$3:$N$6,2,FALSE)=0,"Spatial Data Missing ⚠",VLOOKUP(U190,'G-3 Multipliers'!$L$3:$N$6,2,FALSE)))</f>
        <v/>
      </c>
      <c r="W190" s="505"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7"/>
        <v/>
      </c>
      <c r="AD190" s="537" t="str">
        <f>IF(M190="","",VLOOKUP(M190,'G-6 Hedgerow Data'!$B$3:$AG$15,31,FALSE))</f>
        <v/>
      </c>
      <c r="AE190" s="520" t="str">
        <f t="shared" si="21"/>
        <v/>
      </c>
      <c r="AF190" s="520" t="str">
        <f t="shared" si="22"/>
        <v/>
      </c>
      <c r="AG190" s="524" t="str">
        <f>IFERROR(IF(O190="","",VLOOKUP(AD190,'G-3 Multipliers'!$P$3:$Q$6,2,FALSE)),"")</f>
        <v/>
      </c>
      <c r="AH190" s="197"/>
      <c r="AI190" s="499" t="str">
        <f>IF(AH190="","",IF(VLOOKUP(AH190,'G-3 Multipliers'!$S$3:$T$6,2,FALSE)=0,"Spatial Data Missing ⚠",VLOOKUP(AH190,'G-3 Multipliers'!$S$3:$T$6,2,FALSE)))</f>
        <v/>
      </c>
      <c r="AJ190" s="545" t="str">
        <f t="shared" si="23"/>
        <v/>
      </c>
      <c r="AK190" s="149"/>
      <c r="AL190" s="150"/>
      <c r="AP190" s="31" t="str">
        <f>IFERROR(INDEX('G-6 Hedgerow Data'!$BJ$3:$BJ$15,MATCH(M190,'G-6 Hedgerow Data'!$B$3:$B$15,0)),"")</f>
        <v/>
      </c>
    </row>
    <row r="191" spans="2:42" ht="13.8" x14ac:dyDescent="0.25">
      <c r="B191" s="531" t="str">
        <f>'E-1 Off Site Hedge Baseline'!AK189</f>
        <v/>
      </c>
      <c r="C191" s="520" t="str">
        <f>IF(B191="","",IF(ISNA(VLOOKUP($B191,'E-1 Off Site Hedge Baseline'!$B$1:$L$257,3,FALSE)),"",(VLOOKUP($B191,'E-1 Off Site Hedge Baseline'!$B$1:$L$257,3,FALSE))))</f>
        <v/>
      </c>
      <c r="D191" s="520" t="str">
        <f>IF(B191="","",IF(ISNA(VLOOKUP($B191,'E-1 Off Site Hedge Baseline'!$B$1:$L$258,4,FALSE)),"",(VLOOKUP($B191,'E-1 Off Site Hedge Baseline'!$B$1:$L$258,4,FALSE))))</f>
        <v/>
      </c>
      <c r="E191" s="520" t="str">
        <f>IF(B191="","",IF(ISNA(VLOOKUP($B191,'E-1 Off Site Hedge Baseline'!$B$1:$L$257,5,FALSE)),"",(VLOOKUP($B191,'E-1 Off Site Hedge Baseline'!$B$1:$L$257,5,FALSE))))</f>
        <v/>
      </c>
      <c r="F191" s="520" t="str">
        <f>IF(B191="","",IF(ISNA(VLOOKUP($B191,'E-1 Off Site Hedge Baseline'!$B$1:$L$257,6,FALSE)),"",(VLOOKUP($B191,'E-1 Off Site Hedge Baseline'!$B$1:$L$257,6,FALSE))))</f>
        <v/>
      </c>
      <c r="G191" s="520" t="str">
        <f>IF(B191="","",IF(ISNA(VLOOKUP($B191,'E-1 Off Site Hedge Baseline'!$B$1:$L$257,7,FALSE)),"",(VLOOKUP($B191,'E-1 Off Site Hedge Baseline'!$B$1:$L$257,7,FALSE))))</f>
        <v/>
      </c>
      <c r="H191" s="520" t="str">
        <f>IF(B191="","",IF(ISNA(VLOOKUP($B191,'E-1 Off Site Hedge Baseline'!$B$1:$L$257,8,FALSE)),"",(VLOOKUP($B191,'E-1 Off Site Hedge Baseline'!$B$1:$L$257,8,FALSE))))</f>
        <v/>
      </c>
      <c r="I191" s="520" t="str">
        <f>IF(B191="","",IF(ISNA(VLOOKUP($B191,'E-1 Off Site Hedge Baseline'!$B$1:$L$257,10,FALSE)),"",(VLOOKUP($B191,'E-1 Off Site Hedge Baseline'!$B$1:$L$257,10,FALSE))))</f>
        <v/>
      </c>
      <c r="J191" s="520" t="str">
        <f>IF(B191="","",IF(ISNA(VLOOKUP($B191,'E-1 Off Site Hedge Baseline'!$B$1:$L$257,11,FALSE)),"",(VLOOKUP($B191,'E-1 Off Site Hedge Baseline'!$B$1:$L$257,11,FALSE))))</f>
        <v/>
      </c>
      <c r="K191" s="520" t="str">
        <f>IF(B191="","",IF(ISNA(VLOOKUP($B191,'E-1 Off Site Hedge Baseline'!$B$1:$U$257,113,FALSE)),"",(VLOOKUP($B191,'E-1 Off Site Hedge Baseline'!$B$1:$U$257,13,FALSE))))</f>
        <v/>
      </c>
      <c r="L191" s="507" t="str">
        <f>IF(B191="","",IF(ISNA(VLOOKUP($B191,'E-1 Off Site Hedge Baseline'!$B$1:$U$257,12,FALSE)),"",(VLOOKUP($B191,'E-1 Off Site Hedge Baseline'!$B$1:$U$257,12,FALSE))))</f>
        <v/>
      </c>
      <c r="M191" s="418" t="str">
        <f t="shared" si="24"/>
        <v/>
      </c>
      <c r="N191" s="498" t="str">
        <f>IFERROR(IF(B191="","",INDEX('G-6 Hedgerow Data'!$AN$3:$AZ$15,MATCH(C191,'G-6 Hedgerow Data'!$AM$3:$AM$15,0),MATCH(M191,'G-6 Hedgerow Data'!$AN$2:$AZ$2,0))),"")</f>
        <v/>
      </c>
      <c r="O191" s="499" t="str">
        <f t="shared" si="18"/>
        <v/>
      </c>
      <c r="P191" s="505" t="str">
        <f>IF(B191="","",VLOOKUP(B191,'E-1 Off Site Hedge Baseline'!$B$10:T436,16,FALSE))</f>
        <v/>
      </c>
      <c r="Q191" s="498" t="str">
        <f>IF(M191="","",VLOOKUP(M191,'G-6 Hedgerow Data'!$B$2:$AG$15,2,FALSE))</f>
        <v/>
      </c>
      <c r="R191" s="499" t="str">
        <f>IF(M191="","",VLOOKUP(M191,'G-6 Hedgerow Data'!$B$2:$AG$15,3,FALSE))</f>
        <v/>
      </c>
      <c r="S191" s="145"/>
      <c r="T191" s="499" t="str">
        <f>IFERROR(IF(AND(Q191="V.Low",OR(S191="Good",S191="Moderate")),"Error ▲",VLOOKUP(S191,'G-1 All Habitats'!$Z$2:$AA$9,2,FALSE)),"")</f>
        <v/>
      </c>
      <c r="U191" s="145"/>
      <c r="V191" s="507" t="str">
        <f>IF(U191="","",IF(VLOOKUP(U191,'G-3 Multipliers'!$L$3:$N$6,2,FALSE)=0,"Spatial Data Missing ⚠",VLOOKUP(U191,'G-3 Multipliers'!$L$3:$N$6,2,FALSE)))</f>
        <v/>
      </c>
      <c r="W191" s="505"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7"/>
        <v/>
      </c>
      <c r="AD191" s="537" t="str">
        <f>IF(M191="","",VLOOKUP(M191,'G-6 Hedgerow Data'!$B$3:$AG$15,31,FALSE))</f>
        <v/>
      </c>
      <c r="AE191" s="520" t="str">
        <f t="shared" si="21"/>
        <v/>
      </c>
      <c r="AF191" s="520" t="str">
        <f t="shared" si="22"/>
        <v/>
      </c>
      <c r="AG191" s="524" t="str">
        <f>IFERROR(IF(O191="","",VLOOKUP(AD191,'G-3 Multipliers'!$P$3:$Q$6,2,FALSE)),"")</f>
        <v/>
      </c>
      <c r="AH191" s="197"/>
      <c r="AI191" s="499" t="str">
        <f>IF(AH191="","",IF(VLOOKUP(AH191,'G-3 Multipliers'!$S$3:$T$6,2,FALSE)=0,"Spatial Data Missing ⚠",VLOOKUP(AH191,'G-3 Multipliers'!$S$3:$T$6,2,FALSE)))</f>
        <v/>
      </c>
      <c r="AJ191" s="545" t="str">
        <f t="shared" si="23"/>
        <v/>
      </c>
      <c r="AK191" s="149"/>
      <c r="AL191" s="150"/>
      <c r="AP191" s="31" t="str">
        <f>IFERROR(INDEX('G-6 Hedgerow Data'!$BJ$3:$BJ$15,MATCH(M191,'G-6 Hedgerow Data'!$B$3:$B$15,0)),"")</f>
        <v/>
      </c>
    </row>
    <row r="192" spans="2:42" ht="13.8" x14ac:dyDescent="0.25">
      <c r="B192" s="531" t="str">
        <f>'E-1 Off Site Hedge Baseline'!AK190</f>
        <v/>
      </c>
      <c r="C192" s="520" t="str">
        <f>IF(B192="","",IF(ISNA(VLOOKUP($B192,'E-1 Off Site Hedge Baseline'!$B$1:$L$257,3,FALSE)),"",(VLOOKUP($B192,'E-1 Off Site Hedge Baseline'!$B$1:$L$257,3,FALSE))))</f>
        <v/>
      </c>
      <c r="D192" s="520" t="str">
        <f>IF(B192="","",IF(ISNA(VLOOKUP($B192,'E-1 Off Site Hedge Baseline'!$B$1:$L$258,4,FALSE)),"",(VLOOKUP($B192,'E-1 Off Site Hedge Baseline'!$B$1:$L$258,4,FALSE))))</f>
        <v/>
      </c>
      <c r="E192" s="520" t="str">
        <f>IF(B192="","",IF(ISNA(VLOOKUP($B192,'E-1 Off Site Hedge Baseline'!$B$1:$L$257,5,FALSE)),"",(VLOOKUP($B192,'E-1 Off Site Hedge Baseline'!$B$1:$L$257,5,FALSE))))</f>
        <v/>
      </c>
      <c r="F192" s="520" t="str">
        <f>IF(B192="","",IF(ISNA(VLOOKUP($B192,'E-1 Off Site Hedge Baseline'!$B$1:$L$257,6,FALSE)),"",(VLOOKUP($B192,'E-1 Off Site Hedge Baseline'!$B$1:$L$257,6,FALSE))))</f>
        <v/>
      </c>
      <c r="G192" s="520" t="str">
        <f>IF(B192="","",IF(ISNA(VLOOKUP($B192,'E-1 Off Site Hedge Baseline'!$B$1:$L$257,7,FALSE)),"",(VLOOKUP($B192,'E-1 Off Site Hedge Baseline'!$B$1:$L$257,7,FALSE))))</f>
        <v/>
      </c>
      <c r="H192" s="520" t="str">
        <f>IF(B192="","",IF(ISNA(VLOOKUP($B192,'E-1 Off Site Hedge Baseline'!$B$1:$L$257,8,FALSE)),"",(VLOOKUP($B192,'E-1 Off Site Hedge Baseline'!$B$1:$L$257,8,FALSE))))</f>
        <v/>
      </c>
      <c r="I192" s="520" t="str">
        <f>IF(B192="","",IF(ISNA(VLOOKUP($B192,'E-1 Off Site Hedge Baseline'!$B$1:$L$257,10,FALSE)),"",(VLOOKUP($B192,'E-1 Off Site Hedge Baseline'!$B$1:$L$257,10,FALSE))))</f>
        <v/>
      </c>
      <c r="J192" s="520" t="str">
        <f>IF(B192="","",IF(ISNA(VLOOKUP($B192,'E-1 Off Site Hedge Baseline'!$B$1:$L$257,11,FALSE)),"",(VLOOKUP($B192,'E-1 Off Site Hedge Baseline'!$B$1:$L$257,11,FALSE))))</f>
        <v/>
      </c>
      <c r="K192" s="520" t="str">
        <f>IF(B192="","",IF(ISNA(VLOOKUP($B192,'E-1 Off Site Hedge Baseline'!$B$1:$U$257,113,FALSE)),"",(VLOOKUP($B192,'E-1 Off Site Hedge Baseline'!$B$1:$U$257,13,FALSE))))</f>
        <v/>
      </c>
      <c r="L192" s="507" t="str">
        <f>IF(B192="","",IF(ISNA(VLOOKUP($B192,'E-1 Off Site Hedge Baseline'!$B$1:$U$257,12,FALSE)),"",(VLOOKUP($B192,'E-1 Off Site Hedge Baseline'!$B$1:$U$257,12,FALSE))))</f>
        <v/>
      </c>
      <c r="M192" s="418" t="str">
        <f t="shared" si="24"/>
        <v/>
      </c>
      <c r="N192" s="498" t="str">
        <f>IFERROR(IF(B192="","",INDEX('G-6 Hedgerow Data'!$AN$3:$AZ$15,MATCH(C192,'G-6 Hedgerow Data'!$AM$3:$AM$15,0),MATCH(M192,'G-6 Hedgerow Data'!$AN$2:$AZ$2,0))),"")</f>
        <v/>
      </c>
      <c r="O192" s="499" t="str">
        <f t="shared" si="18"/>
        <v/>
      </c>
      <c r="P192" s="505" t="str">
        <f>IF(B192="","",VLOOKUP(B192,'E-1 Off Site Hedge Baseline'!$B$10:T437,16,FALSE))</f>
        <v/>
      </c>
      <c r="Q192" s="498" t="str">
        <f>IF(M192="","",VLOOKUP(M192,'G-6 Hedgerow Data'!$B$2:$AG$15,2,FALSE))</f>
        <v/>
      </c>
      <c r="R192" s="499" t="str">
        <f>IF(M192="","",VLOOKUP(M192,'G-6 Hedgerow Data'!$B$2:$AG$15,3,FALSE))</f>
        <v/>
      </c>
      <c r="S192" s="145"/>
      <c r="T192" s="499" t="str">
        <f>IFERROR(IF(AND(Q192="V.Low",OR(S192="Good",S192="Moderate")),"Error ▲",VLOOKUP(S192,'G-1 All Habitats'!$Z$2:$AA$9,2,FALSE)),"")</f>
        <v/>
      </c>
      <c r="U192" s="145"/>
      <c r="V192" s="507" t="str">
        <f>IF(U192="","",IF(VLOOKUP(U192,'G-3 Multipliers'!$L$3:$N$6,2,FALSE)=0,"Spatial Data Missing ⚠",VLOOKUP(U192,'G-3 Multipliers'!$L$3:$N$6,2,FALSE)))</f>
        <v/>
      </c>
      <c r="W192" s="505"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7"/>
        <v/>
      </c>
      <c r="AD192" s="537" t="str">
        <f>IF(M192="","",VLOOKUP(M192,'G-6 Hedgerow Data'!$B$3:$AG$15,31,FALSE))</f>
        <v/>
      </c>
      <c r="AE192" s="520" t="str">
        <f t="shared" si="21"/>
        <v/>
      </c>
      <c r="AF192" s="520" t="str">
        <f t="shared" si="22"/>
        <v/>
      </c>
      <c r="AG192" s="524" t="str">
        <f>IFERROR(IF(O192="","",VLOOKUP(AD192,'G-3 Multipliers'!$P$3:$Q$6,2,FALSE)),"")</f>
        <v/>
      </c>
      <c r="AH192" s="197"/>
      <c r="AI192" s="499" t="str">
        <f>IF(AH192="","",IF(VLOOKUP(AH192,'G-3 Multipliers'!$S$3:$T$6,2,FALSE)=0,"Spatial Data Missing ⚠",VLOOKUP(AH192,'G-3 Multipliers'!$S$3:$T$6,2,FALSE)))</f>
        <v/>
      </c>
      <c r="AJ192" s="545" t="str">
        <f t="shared" si="23"/>
        <v/>
      </c>
      <c r="AK192" s="149"/>
      <c r="AL192" s="150"/>
      <c r="AP192" s="31" t="str">
        <f>IFERROR(INDEX('G-6 Hedgerow Data'!$BJ$3:$BJ$15,MATCH(M192,'G-6 Hedgerow Data'!$B$3:$B$15,0)),"")</f>
        <v/>
      </c>
    </row>
    <row r="193" spans="2:42" ht="13.8" x14ac:dyDescent="0.25">
      <c r="B193" s="531" t="str">
        <f>'E-1 Off Site Hedge Baseline'!AK191</f>
        <v/>
      </c>
      <c r="C193" s="520" t="str">
        <f>IF(B193="","",IF(ISNA(VLOOKUP($B193,'E-1 Off Site Hedge Baseline'!$B$1:$L$257,3,FALSE)),"",(VLOOKUP($B193,'E-1 Off Site Hedge Baseline'!$B$1:$L$257,3,FALSE))))</f>
        <v/>
      </c>
      <c r="D193" s="520" t="str">
        <f>IF(B193="","",IF(ISNA(VLOOKUP($B193,'E-1 Off Site Hedge Baseline'!$B$1:$L$258,4,FALSE)),"",(VLOOKUP($B193,'E-1 Off Site Hedge Baseline'!$B$1:$L$258,4,FALSE))))</f>
        <v/>
      </c>
      <c r="E193" s="520" t="str">
        <f>IF(B193="","",IF(ISNA(VLOOKUP($B193,'E-1 Off Site Hedge Baseline'!$B$1:$L$257,5,FALSE)),"",(VLOOKUP($B193,'E-1 Off Site Hedge Baseline'!$B$1:$L$257,5,FALSE))))</f>
        <v/>
      </c>
      <c r="F193" s="520" t="str">
        <f>IF(B193="","",IF(ISNA(VLOOKUP($B193,'E-1 Off Site Hedge Baseline'!$B$1:$L$257,6,FALSE)),"",(VLOOKUP($B193,'E-1 Off Site Hedge Baseline'!$B$1:$L$257,6,FALSE))))</f>
        <v/>
      </c>
      <c r="G193" s="520" t="str">
        <f>IF(B193="","",IF(ISNA(VLOOKUP($B193,'E-1 Off Site Hedge Baseline'!$B$1:$L$257,7,FALSE)),"",(VLOOKUP($B193,'E-1 Off Site Hedge Baseline'!$B$1:$L$257,7,FALSE))))</f>
        <v/>
      </c>
      <c r="H193" s="520" t="str">
        <f>IF(B193="","",IF(ISNA(VLOOKUP($B193,'E-1 Off Site Hedge Baseline'!$B$1:$L$257,8,FALSE)),"",(VLOOKUP($B193,'E-1 Off Site Hedge Baseline'!$B$1:$L$257,8,FALSE))))</f>
        <v/>
      </c>
      <c r="I193" s="520" t="str">
        <f>IF(B193="","",IF(ISNA(VLOOKUP($B193,'E-1 Off Site Hedge Baseline'!$B$1:$L$257,10,FALSE)),"",(VLOOKUP($B193,'E-1 Off Site Hedge Baseline'!$B$1:$L$257,10,FALSE))))</f>
        <v/>
      </c>
      <c r="J193" s="520" t="str">
        <f>IF(B193="","",IF(ISNA(VLOOKUP($B193,'E-1 Off Site Hedge Baseline'!$B$1:$L$257,11,FALSE)),"",(VLOOKUP($B193,'E-1 Off Site Hedge Baseline'!$B$1:$L$257,11,FALSE))))</f>
        <v/>
      </c>
      <c r="K193" s="520" t="str">
        <f>IF(B193="","",IF(ISNA(VLOOKUP($B193,'E-1 Off Site Hedge Baseline'!$B$1:$U$257,113,FALSE)),"",(VLOOKUP($B193,'E-1 Off Site Hedge Baseline'!$B$1:$U$257,13,FALSE))))</f>
        <v/>
      </c>
      <c r="L193" s="507" t="str">
        <f>IF(B193="","",IF(ISNA(VLOOKUP($B193,'E-1 Off Site Hedge Baseline'!$B$1:$U$257,12,FALSE)),"",(VLOOKUP($B193,'E-1 Off Site Hedge Baseline'!$B$1:$U$257,12,FALSE))))</f>
        <v/>
      </c>
      <c r="M193" s="418" t="str">
        <f t="shared" si="24"/>
        <v/>
      </c>
      <c r="N193" s="498" t="str">
        <f>IFERROR(IF(B193="","",INDEX('G-6 Hedgerow Data'!$AN$3:$AZ$15,MATCH(C193,'G-6 Hedgerow Data'!$AM$3:$AM$15,0),MATCH(M193,'G-6 Hedgerow Data'!$AN$2:$AZ$2,0))),"")</f>
        <v/>
      </c>
      <c r="O193" s="499" t="str">
        <f t="shared" si="18"/>
        <v/>
      </c>
      <c r="P193" s="505" t="str">
        <f>IF(B193="","",VLOOKUP(B193,'E-1 Off Site Hedge Baseline'!$B$10:T438,16,FALSE))</f>
        <v/>
      </c>
      <c r="Q193" s="498" t="str">
        <f>IF(M193="","",VLOOKUP(M193,'G-6 Hedgerow Data'!$B$2:$AG$15,2,FALSE))</f>
        <v/>
      </c>
      <c r="R193" s="499" t="str">
        <f>IF(M193="","",VLOOKUP(M193,'G-6 Hedgerow Data'!$B$2:$AG$15,3,FALSE))</f>
        <v/>
      </c>
      <c r="S193" s="145"/>
      <c r="T193" s="499" t="str">
        <f>IFERROR(IF(AND(Q193="V.Low",OR(S193="Good",S193="Moderate")),"Error ▲",VLOOKUP(S193,'G-1 All Habitats'!$Z$2:$AA$9,2,FALSE)),"")</f>
        <v/>
      </c>
      <c r="U193" s="145"/>
      <c r="V193" s="507" t="str">
        <f>IF(U193="","",IF(VLOOKUP(U193,'G-3 Multipliers'!$L$3:$N$6,2,FALSE)=0,"Spatial Data Missing ⚠",VLOOKUP(U193,'G-3 Multipliers'!$L$3:$N$6,2,FALSE)))</f>
        <v/>
      </c>
      <c r="W193" s="505"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7"/>
        <v/>
      </c>
      <c r="AD193" s="537" t="str">
        <f>IF(M193="","",VLOOKUP(M193,'G-6 Hedgerow Data'!$B$3:$AG$15,31,FALSE))</f>
        <v/>
      </c>
      <c r="AE193" s="520" t="str">
        <f t="shared" si="21"/>
        <v/>
      </c>
      <c r="AF193" s="520" t="str">
        <f t="shared" si="22"/>
        <v/>
      </c>
      <c r="AG193" s="524" t="str">
        <f>IFERROR(IF(O193="","",VLOOKUP(AD193,'G-3 Multipliers'!$P$3:$Q$6,2,FALSE)),"")</f>
        <v/>
      </c>
      <c r="AH193" s="197"/>
      <c r="AI193" s="499" t="str">
        <f>IF(AH193="","",IF(VLOOKUP(AH193,'G-3 Multipliers'!$S$3:$T$6,2,FALSE)=0,"Spatial Data Missing ⚠",VLOOKUP(AH193,'G-3 Multipliers'!$S$3:$T$6,2,FALSE)))</f>
        <v/>
      </c>
      <c r="AJ193" s="545" t="str">
        <f t="shared" si="23"/>
        <v/>
      </c>
      <c r="AK193" s="149"/>
      <c r="AL193" s="150"/>
      <c r="AP193" s="31" t="str">
        <f>IFERROR(INDEX('G-6 Hedgerow Data'!$BJ$3:$BJ$15,MATCH(M193,'G-6 Hedgerow Data'!$B$3:$B$15,0)),"")</f>
        <v/>
      </c>
    </row>
    <row r="194" spans="2:42" ht="13.8" x14ac:dyDescent="0.25">
      <c r="B194" s="531" t="str">
        <f>'E-1 Off Site Hedge Baseline'!AK192</f>
        <v/>
      </c>
      <c r="C194" s="520" t="str">
        <f>IF(B194="","",IF(ISNA(VLOOKUP($B194,'E-1 Off Site Hedge Baseline'!$B$1:$L$257,3,FALSE)),"",(VLOOKUP($B194,'E-1 Off Site Hedge Baseline'!$B$1:$L$257,3,FALSE))))</f>
        <v/>
      </c>
      <c r="D194" s="520" t="str">
        <f>IF(B194="","",IF(ISNA(VLOOKUP($B194,'E-1 Off Site Hedge Baseline'!$B$1:$L$258,4,FALSE)),"",(VLOOKUP($B194,'E-1 Off Site Hedge Baseline'!$B$1:$L$258,4,FALSE))))</f>
        <v/>
      </c>
      <c r="E194" s="520" t="str">
        <f>IF(B194="","",IF(ISNA(VLOOKUP($B194,'E-1 Off Site Hedge Baseline'!$B$1:$L$257,5,FALSE)),"",(VLOOKUP($B194,'E-1 Off Site Hedge Baseline'!$B$1:$L$257,5,FALSE))))</f>
        <v/>
      </c>
      <c r="F194" s="520" t="str">
        <f>IF(B194="","",IF(ISNA(VLOOKUP($B194,'E-1 Off Site Hedge Baseline'!$B$1:$L$257,6,FALSE)),"",(VLOOKUP($B194,'E-1 Off Site Hedge Baseline'!$B$1:$L$257,6,FALSE))))</f>
        <v/>
      </c>
      <c r="G194" s="520" t="str">
        <f>IF(B194="","",IF(ISNA(VLOOKUP($B194,'E-1 Off Site Hedge Baseline'!$B$1:$L$257,7,FALSE)),"",(VLOOKUP($B194,'E-1 Off Site Hedge Baseline'!$B$1:$L$257,7,FALSE))))</f>
        <v/>
      </c>
      <c r="H194" s="520" t="str">
        <f>IF(B194="","",IF(ISNA(VLOOKUP($B194,'E-1 Off Site Hedge Baseline'!$B$1:$L$257,8,FALSE)),"",(VLOOKUP($B194,'E-1 Off Site Hedge Baseline'!$B$1:$L$257,8,FALSE))))</f>
        <v/>
      </c>
      <c r="I194" s="520" t="str">
        <f>IF(B194="","",IF(ISNA(VLOOKUP($B194,'E-1 Off Site Hedge Baseline'!$B$1:$L$257,10,FALSE)),"",(VLOOKUP($B194,'E-1 Off Site Hedge Baseline'!$B$1:$L$257,10,FALSE))))</f>
        <v/>
      </c>
      <c r="J194" s="520" t="str">
        <f>IF(B194="","",IF(ISNA(VLOOKUP($B194,'E-1 Off Site Hedge Baseline'!$B$1:$L$257,11,FALSE)),"",(VLOOKUP($B194,'E-1 Off Site Hedge Baseline'!$B$1:$L$257,11,FALSE))))</f>
        <v/>
      </c>
      <c r="K194" s="520" t="str">
        <f>IF(B194="","",IF(ISNA(VLOOKUP($B194,'E-1 Off Site Hedge Baseline'!$B$1:$U$257,113,FALSE)),"",(VLOOKUP($B194,'E-1 Off Site Hedge Baseline'!$B$1:$U$257,13,FALSE))))</f>
        <v/>
      </c>
      <c r="L194" s="507" t="str">
        <f>IF(B194="","",IF(ISNA(VLOOKUP($B194,'E-1 Off Site Hedge Baseline'!$B$1:$U$257,12,FALSE)),"",(VLOOKUP($B194,'E-1 Off Site Hedge Baseline'!$B$1:$U$257,12,FALSE))))</f>
        <v/>
      </c>
      <c r="M194" s="418" t="str">
        <f t="shared" si="24"/>
        <v/>
      </c>
      <c r="N194" s="498" t="str">
        <f>IFERROR(IF(B194="","",INDEX('G-6 Hedgerow Data'!$AN$3:$AZ$15,MATCH(C194,'G-6 Hedgerow Data'!$AM$3:$AM$15,0),MATCH(M194,'G-6 Hedgerow Data'!$AN$2:$AZ$2,0))),"")</f>
        <v/>
      </c>
      <c r="O194" s="499" t="str">
        <f t="shared" si="18"/>
        <v/>
      </c>
      <c r="P194" s="505" t="str">
        <f>IF(B194="","",VLOOKUP(B194,'E-1 Off Site Hedge Baseline'!$B$10:T439,16,FALSE))</f>
        <v/>
      </c>
      <c r="Q194" s="498" t="str">
        <f>IF(M194="","",VLOOKUP(M194,'G-6 Hedgerow Data'!$B$2:$AG$15,2,FALSE))</f>
        <v/>
      </c>
      <c r="R194" s="499" t="str">
        <f>IF(M194="","",VLOOKUP(M194,'G-6 Hedgerow Data'!$B$2:$AG$15,3,FALSE))</f>
        <v/>
      </c>
      <c r="S194" s="145"/>
      <c r="T194" s="499" t="str">
        <f>IFERROR(IF(AND(Q194="V.Low",OR(S194="Good",S194="Moderate")),"Error ▲",VLOOKUP(S194,'G-1 All Habitats'!$Z$2:$AA$9,2,FALSE)),"")</f>
        <v/>
      </c>
      <c r="U194" s="145"/>
      <c r="V194" s="507" t="str">
        <f>IF(U194="","",IF(VLOOKUP(U194,'G-3 Multipliers'!$L$3:$N$6,2,FALSE)=0,"Spatial Data Missing ⚠",VLOOKUP(U194,'G-3 Multipliers'!$L$3:$N$6,2,FALSE)))</f>
        <v/>
      </c>
      <c r="W194" s="505"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7"/>
        <v/>
      </c>
      <c r="AD194" s="537" t="str">
        <f>IF(M194="","",VLOOKUP(M194,'G-6 Hedgerow Data'!$B$3:$AG$15,31,FALSE))</f>
        <v/>
      </c>
      <c r="AE194" s="520" t="str">
        <f t="shared" si="21"/>
        <v/>
      </c>
      <c r="AF194" s="520" t="str">
        <f t="shared" si="22"/>
        <v/>
      </c>
      <c r="AG194" s="524" t="str">
        <f>IFERROR(IF(O194="","",VLOOKUP(AD194,'G-3 Multipliers'!$P$3:$Q$6,2,FALSE)),"")</f>
        <v/>
      </c>
      <c r="AH194" s="197"/>
      <c r="AI194" s="499" t="str">
        <f>IF(AH194="","",IF(VLOOKUP(AH194,'G-3 Multipliers'!$S$3:$T$6,2,FALSE)=0,"Spatial Data Missing ⚠",VLOOKUP(AH194,'G-3 Multipliers'!$S$3:$T$6,2,FALSE)))</f>
        <v/>
      </c>
      <c r="AJ194" s="545" t="str">
        <f t="shared" si="23"/>
        <v/>
      </c>
      <c r="AK194" s="149"/>
      <c r="AL194" s="150"/>
      <c r="AP194" s="31" t="str">
        <f>IFERROR(INDEX('G-6 Hedgerow Data'!$BJ$3:$BJ$15,MATCH(M194,'G-6 Hedgerow Data'!$B$3:$B$15,0)),"")</f>
        <v/>
      </c>
    </row>
    <row r="195" spans="2:42" ht="13.8" x14ac:dyDescent="0.25">
      <c r="B195" s="531" t="str">
        <f>'E-1 Off Site Hedge Baseline'!AK193</f>
        <v/>
      </c>
      <c r="C195" s="520" t="str">
        <f>IF(B195="","",IF(ISNA(VLOOKUP($B195,'E-1 Off Site Hedge Baseline'!$B$1:$L$257,3,FALSE)),"",(VLOOKUP($B195,'E-1 Off Site Hedge Baseline'!$B$1:$L$257,3,FALSE))))</f>
        <v/>
      </c>
      <c r="D195" s="520" t="str">
        <f>IF(B195="","",IF(ISNA(VLOOKUP($B195,'E-1 Off Site Hedge Baseline'!$B$1:$L$258,4,FALSE)),"",(VLOOKUP($B195,'E-1 Off Site Hedge Baseline'!$B$1:$L$258,4,FALSE))))</f>
        <v/>
      </c>
      <c r="E195" s="520" t="str">
        <f>IF(B195="","",IF(ISNA(VLOOKUP($B195,'E-1 Off Site Hedge Baseline'!$B$1:$L$257,5,FALSE)),"",(VLOOKUP($B195,'E-1 Off Site Hedge Baseline'!$B$1:$L$257,5,FALSE))))</f>
        <v/>
      </c>
      <c r="F195" s="520" t="str">
        <f>IF(B195="","",IF(ISNA(VLOOKUP($B195,'E-1 Off Site Hedge Baseline'!$B$1:$L$257,6,FALSE)),"",(VLOOKUP($B195,'E-1 Off Site Hedge Baseline'!$B$1:$L$257,6,FALSE))))</f>
        <v/>
      </c>
      <c r="G195" s="520" t="str">
        <f>IF(B195="","",IF(ISNA(VLOOKUP($B195,'E-1 Off Site Hedge Baseline'!$B$1:$L$257,7,FALSE)),"",(VLOOKUP($B195,'E-1 Off Site Hedge Baseline'!$B$1:$L$257,7,FALSE))))</f>
        <v/>
      </c>
      <c r="H195" s="520" t="str">
        <f>IF(B195="","",IF(ISNA(VLOOKUP($B195,'E-1 Off Site Hedge Baseline'!$B$1:$L$257,8,FALSE)),"",(VLOOKUP($B195,'E-1 Off Site Hedge Baseline'!$B$1:$L$257,8,FALSE))))</f>
        <v/>
      </c>
      <c r="I195" s="520" t="str">
        <f>IF(B195="","",IF(ISNA(VLOOKUP($B195,'E-1 Off Site Hedge Baseline'!$B$1:$L$257,10,FALSE)),"",(VLOOKUP($B195,'E-1 Off Site Hedge Baseline'!$B$1:$L$257,10,FALSE))))</f>
        <v/>
      </c>
      <c r="J195" s="520" t="str">
        <f>IF(B195="","",IF(ISNA(VLOOKUP($B195,'E-1 Off Site Hedge Baseline'!$B$1:$L$257,11,FALSE)),"",(VLOOKUP($B195,'E-1 Off Site Hedge Baseline'!$B$1:$L$257,11,FALSE))))</f>
        <v/>
      </c>
      <c r="K195" s="520" t="str">
        <f>IF(B195="","",IF(ISNA(VLOOKUP($B195,'E-1 Off Site Hedge Baseline'!$B$1:$U$257,113,FALSE)),"",(VLOOKUP($B195,'E-1 Off Site Hedge Baseline'!$B$1:$U$257,13,FALSE))))</f>
        <v/>
      </c>
      <c r="L195" s="507" t="str">
        <f>IF(B195="","",IF(ISNA(VLOOKUP($B195,'E-1 Off Site Hedge Baseline'!$B$1:$U$257,12,FALSE)),"",(VLOOKUP($B195,'E-1 Off Site Hedge Baseline'!$B$1:$U$257,12,FALSE))))</f>
        <v/>
      </c>
      <c r="M195" s="418" t="str">
        <f t="shared" si="24"/>
        <v/>
      </c>
      <c r="N195" s="498" t="str">
        <f>IFERROR(IF(B195="","",INDEX('G-6 Hedgerow Data'!$AN$3:$AZ$15,MATCH(C195,'G-6 Hedgerow Data'!$AM$3:$AM$15,0),MATCH(M195,'G-6 Hedgerow Data'!$AN$2:$AZ$2,0))),"")</f>
        <v/>
      </c>
      <c r="O195" s="499" t="str">
        <f t="shared" si="18"/>
        <v/>
      </c>
      <c r="P195" s="505" t="str">
        <f>IF(B195="","",VLOOKUP(B195,'E-1 Off Site Hedge Baseline'!$B$10:T440,16,FALSE))</f>
        <v/>
      </c>
      <c r="Q195" s="498" t="str">
        <f>IF(M195="","",VLOOKUP(M195,'G-6 Hedgerow Data'!$B$2:$AG$15,2,FALSE))</f>
        <v/>
      </c>
      <c r="R195" s="499" t="str">
        <f>IF(M195="","",VLOOKUP(M195,'G-6 Hedgerow Data'!$B$2:$AG$15,3,FALSE))</f>
        <v/>
      </c>
      <c r="S195" s="145"/>
      <c r="T195" s="499" t="str">
        <f>IFERROR(IF(AND(Q195="V.Low",OR(S195="Good",S195="Moderate")),"Error ▲",VLOOKUP(S195,'G-1 All Habitats'!$Z$2:$AA$9,2,FALSE)),"")</f>
        <v/>
      </c>
      <c r="U195" s="145"/>
      <c r="V195" s="507" t="str">
        <f>IF(U195="","",IF(VLOOKUP(U195,'G-3 Multipliers'!$L$3:$N$6,2,FALSE)=0,"Spatial Data Missing ⚠",VLOOKUP(U195,'G-3 Multipliers'!$L$3:$N$6,2,FALSE)))</f>
        <v/>
      </c>
      <c r="W195" s="505"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7"/>
        <v/>
      </c>
      <c r="AD195" s="537" t="str">
        <f>IF(M195="","",VLOOKUP(M195,'G-6 Hedgerow Data'!$B$3:$AG$15,31,FALSE))</f>
        <v/>
      </c>
      <c r="AE195" s="520" t="str">
        <f t="shared" si="21"/>
        <v/>
      </c>
      <c r="AF195" s="520" t="str">
        <f t="shared" si="22"/>
        <v/>
      </c>
      <c r="AG195" s="524" t="str">
        <f>IFERROR(IF(O195="","",VLOOKUP(AD195,'G-3 Multipliers'!$P$3:$Q$6,2,FALSE)),"")</f>
        <v/>
      </c>
      <c r="AH195" s="197"/>
      <c r="AI195" s="499" t="str">
        <f>IF(AH195="","",IF(VLOOKUP(AH195,'G-3 Multipliers'!$S$3:$T$6,2,FALSE)=0,"Spatial Data Missing ⚠",VLOOKUP(AH195,'G-3 Multipliers'!$S$3:$T$6,2,FALSE)))</f>
        <v/>
      </c>
      <c r="AJ195" s="545" t="str">
        <f t="shared" si="23"/>
        <v/>
      </c>
      <c r="AK195" s="149"/>
      <c r="AL195" s="150"/>
      <c r="AP195" s="31" t="str">
        <f>IFERROR(INDEX('G-6 Hedgerow Data'!$BJ$3:$BJ$15,MATCH(M195,'G-6 Hedgerow Data'!$B$3:$B$15,0)),"")</f>
        <v/>
      </c>
    </row>
    <row r="196" spans="2:42" ht="13.8" x14ac:dyDescent="0.25">
      <c r="B196" s="531" t="str">
        <f>'E-1 Off Site Hedge Baseline'!AK194</f>
        <v/>
      </c>
      <c r="C196" s="520" t="str">
        <f>IF(B196="","",IF(ISNA(VLOOKUP($B196,'E-1 Off Site Hedge Baseline'!$B$1:$L$257,3,FALSE)),"",(VLOOKUP($B196,'E-1 Off Site Hedge Baseline'!$B$1:$L$257,3,FALSE))))</f>
        <v/>
      </c>
      <c r="D196" s="520" t="str">
        <f>IF(B196="","",IF(ISNA(VLOOKUP($B196,'E-1 Off Site Hedge Baseline'!$B$1:$L$258,4,FALSE)),"",(VLOOKUP($B196,'E-1 Off Site Hedge Baseline'!$B$1:$L$258,4,FALSE))))</f>
        <v/>
      </c>
      <c r="E196" s="520" t="str">
        <f>IF(B196="","",IF(ISNA(VLOOKUP($B196,'E-1 Off Site Hedge Baseline'!$B$1:$L$257,5,FALSE)),"",(VLOOKUP($B196,'E-1 Off Site Hedge Baseline'!$B$1:$L$257,5,FALSE))))</f>
        <v/>
      </c>
      <c r="F196" s="520" t="str">
        <f>IF(B196="","",IF(ISNA(VLOOKUP($B196,'E-1 Off Site Hedge Baseline'!$B$1:$L$257,6,FALSE)),"",(VLOOKUP($B196,'E-1 Off Site Hedge Baseline'!$B$1:$L$257,6,FALSE))))</f>
        <v/>
      </c>
      <c r="G196" s="520" t="str">
        <f>IF(B196="","",IF(ISNA(VLOOKUP($B196,'E-1 Off Site Hedge Baseline'!$B$1:$L$257,7,FALSE)),"",(VLOOKUP($B196,'E-1 Off Site Hedge Baseline'!$B$1:$L$257,7,FALSE))))</f>
        <v/>
      </c>
      <c r="H196" s="520" t="str">
        <f>IF(B196="","",IF(ISNA(VLOOKUP($B196,'E-1 Off Site Hedge Baseline'!$B$1:$L$257,8,FALSE)),"",(VLOOKUP($B196,'E-1 Off Site Hedge Baseline'!$B$1:$L$257,8,FALSE))))</f>
        <v/>
      </c>
      <c r="I196" s="520" t="str">
        <f>IF(B196="","",IF(ISNA(VLOOKUP($B196,'E-1 Off Site Hedge Baseline'!$B$1:$L$257,10,FALSE)),"",(VLOOKUP($B196,'E-1 Off Site Hedge Baseline'!$B$1:$L$257,10,FALSE))))</f>
        <v/>
      </c>
      <c r="J196" s="520" t="str">
        <f>IF(B196="","",IF(ISNA(VLOOKUP($B196,'E-1 Off Site Hedge Baseline'!$B$1:$L$257,11,FALSE)),"",(VLOOKUP($B196,'E-1 Off Site Hedge Baseline'!$B$1:$L$257,11,FALSE))))</f>
        <v/>
      </c>
      <c r="K196" s="520" t="str">
        <f>IF(B196="","",IF(ISNA(VLOOKUP($B196,'E-1 Off Site Hedge Baseline'!$B$1:$U$257,113,FALSE)),"",(VLOOKUP($B196,'E-1 Off Site Hedge Baseline'!$B$1:$U$257,13,FALSE))))</f>
        <v/>
      </c>
      <c r="L196" s="507" t="str">
        <f>IF(B196="","",IF(ISNA(VLOOKUP($B196,'E-1 Off Site Hedge Baseline'!$B$1:$U$257,12,FALSE)),"",(VLOOKUP($B196,'E-1 Off Site Hedge Baseline'!$B$1:$U$257,12,FALSE))))</f>
        <v/>
      </c>
      <c r="M196" s="418" t="str">
        <f t="shared" si="24"/>
        <v/>
      </c>
      <c r="N196" s="498" t="str">
        <f>IFERROR(IF(B196="","",INDEX('G-6 Hedgerow Data'!$AN$3:$AZ$15,MATCH(C196,'G-6 Hedgerow Data'!$AM$3:$AM$15,0),MATCH(M196,'G-6 Hedgerow Data'!$AN$2:$AZ$2,0))),"")</f>
        <v/>
      </c>
      <c r="O196" s="499" t="str">
        <f t="shared" si="18"/>
        <v/>
      </c>
      <c r="P196" s="505" t="str">
        <f>IF(B196="","",VLOOKUP(B196,'E-1 Off Site Hedge Baseline'!$B$10:T441,16,FALSE))</f>
        <v/>
      </c>
      <c r="Q196" s="498" t="str">
        <f>IF(M196="","",VLOOKUP(M196,'G-6 Hedgerow Data'!$B$2:$AG$15,2,FALSE))</f>
        <v/>
      </c>
      <c r="R196" s="499" t="str">
        <f>IF(M196="","",VLOOKUP(M196,'G-6 Hedgerow Data'!$B$2:$AG$15,3,FALSE))</f>
        <v/>
      </c>
      <c r="S196" s="145"/>
      <c r="T196" s="499" t="str">
        <f>IFERROR(IF(AND(Q196="V.Low",OR(S196="Good",S196="Moderate")),"Error ▲",VLOOKUP(S196,'G-1 All Habitats'!$Z$2:$AA$9,2,FALSE)),"")</f>
        <v/>
      </c>
      <c r="U196" s="145"/>
      <c r="V196" s="507" t="str">
        <f>IF(U196="","",IF(VLOOKUP(U196,'G-3 Multipliers'!$L$3:$N$6,2,FALSE)=0,"Spatial Data Missing ⚠",VLOOKUP(U196,'G-3 Multipliers'!$L$3:$N$6,2,FALSE)))</f>
        <v/>
      </c>
      <c r="W196" s="505"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7"/>
        <v/>
      </c>
      <c r="AD196" s="537" t="str">
        <f>IF(M196="","",VLOOKUP(M196,'G-6 Hedgerow Data'!$B$3:$AG$15,31,FALSE))</f>
        <v/>
      </c>
      <c r="AE196" s="520" t="str">
        <f t="shared" si="21"/>
        <v/>
      </c>
      <c r="AF196" s="520" t="str">
        <f t="shared" si="22"/>
        <v/>
      </c>
      <c r="AG196" s="524" t="str">
        <f>IFERROR(IF(O196="","",VLOOKUP(AD196,'G-3 Multipliers'!$P$3:$Q$6,2,FALSE)),"")</f>
        <v/>
      </c>
      <c r="AH196" s="197"/>
      <c r="AI196" s="499" t="str">
        <f>IF(AH196="","",IF(VLOOKUP(AH196,'G-3 Multipliers'!$S$3:$T$6,2,FALSE)=0,"Spatial Data Missing ⚠",VLOOKUP(AH196,'G-3 Multipliers'!$S$3:$T$6,2,FALSE)))</f>
        <v/>
      </c>
      <c r="AJ196" s="545" t="str">
        <f t="shared" si="23"/>
        <v/>
      </c>
      <c r="AK196" s="149"/>
      <c r="AL196" s="150"/>
      <c r="AP196" s="31" t="str">
        <f>IFERROR(INDEX('G-6 Hedgerow Data'!$BJ$3:$BJ$15,MATCH(M196,'G-6 Hedgerow Data'!$B$3:$B$15,0)),"")</f>
        <v/>
      </c>
    </row>
    <row r="197" spans="2:42" ht="13.8" x14ac:dyDescent="0.25">
      <c r="B197" s="531" t="str">
        <f>'E-1 Off Site Hedge Baseline'!AK195</f>
        <v/>
      </c>
      <c r="C197" s="520" t="str">
        <f>IF(B197="","",IF(ISNA(VLOOKUP($B197,'E-1 Off Site Hedge Baseline'!$B$1:$L$257,3,FALSE)),"",(VLOOKUP($B197,'E-1 Off Site Hedge Baseline'!$B$1:$L$257,3,FALSE))))</f>
        <v/>
      </c>
      <c r="D197" s="520" t="str">
        <f>IF(B197="","",IF(ISNA(VLOOKUP($B197,'E-1 Off Site Hedge Baseline'!$B$1:$L$258,4,FALSE)),"",(VLOOKUP($B197,'E-1 Off Site Hedge Baseline'!$B$1:$L$258,4,FALSE))))</f>
        <v/>
      </c>
      <c r="E197" s="520" t="str">
        <f>IF(B197="","",IF(ISNA(VLOOKUP($B197,'E-1 Off Site Hedge Baseline'!$B$1:$L$257,5,FALSE)),"",(VLOOKUP($B197,'E-1 Off Site Hedge Baseline'!$B$1:$L$257,5,FALSE))))</f>
        <v/>
      </c>
      <c r="F197" s="520" t="str">
        <f>IF(B197="","",IF(ISNA(VLOOKUP($B197,'E-1 Off Site Hedge Baseline'!$B$1:$L$257,6,FALSE)),"",(VLOOKUP($B197,'E-1 Off Site Hedge Baseline'!$B$1:$L$257,6,FALSE))))</f>
        <v/>
      </c>
      <c r="G197" s="520" t="str">
        <f>IF(B197="","",IF(ISNA(VLOOKUP($B197,'E-1 Off Site Hedge Baseline'!$B$1:$L$257,7,FALSE)),"",(VLOOKUP($B197,'E-1 Off Site Hedge Baseline'!$B$1:$L$257,7,FALSE))))</f>
        <v/>
      </c>
      <c r="H197" s="520" t="str">
        <f>IF(B197="","",IF(ISNA(VLOOKUP($B197,'E-1 Off Site Hedge Baseline'!$B$1:$L$257,8,FALSE)),"",(VLOOKUP($B197,'E-1 Off Site Hedge Baseline'!$B$1:$L$257,8,FALSE))))</f>
        <v/>
      </c>
      <c r="I197" s="520" t="str">
        <f>IF(B197="","",IF(ISNA(VLOOKUP($B197,'E-1 Off Site Hedge Baseline'!$B$1:$L$257,10,FALSE)),"",(VLOOKUP($B197,'E-1 Off Site Hedge Baseline'!$B$1:$L$257,10,FALSE))))</f>
        <v/>
      </c>
      <c r="J197" s="520" t="str">
        <f>IF(B197="","",IF(ISNA(VLOOKUP($B197,'E-1 Off Site Hedge Baseline'!$B$1:$L$257,11,FALSE)),"",(VLOOKUP($B197,'E-1 Off Site Hedge Baseline'!$B$1:$L$257,11,FALSE))))</f>
        <v/>
      </c>
      <c r="K197" s="520" t="str">
        <f>IF(B197="","",IF(ISNA(VLOOKUP($B197,'E-1 Off Site Hedge Baseline'!$B$1:$U$257,113,FALSE)),"",(VLOOKUP($B197,'E-1 Off Site Hedge Baseline'!$B$1:$U$257,13,FALSE))))</f>
        <v/>
      </c>
      <c r="L197" s="507" t="str">
        <f>IF(B197="","",IF(ISNA(VLOOKUP($B197,'E-1 Off Site Hedge Baseline'!$B$1:$U$257,12,FALSE)),"",(VLOOKUP($B197,'E-1 Off Site Hedge Baseline'!$B$1:$U$257,12,FALSE))))</f>
        <v/>
      </c>
      <c r="M197" s="418" t="str">
        <f t="shared" si="24"/>
        <v/>
      </c>
      <c r="N197" s="498" t="str">
        <f>IFERROR(IF(B197="","",INDEX('G-6 Hedgerow Data'!$AN$3:$AZ$15,MATCH(C197,'G-6 Hedgerow Data'!$AM$3:$AM$15,0),MATCH(M197,'G-6 Hedgerow Data'!$AN$2:$AZ$2,0))),"")</f>
        <v/>
      </c>
      <c r="O197" s="499" t="str">
        <f t="shared" si="18"/>
        <v/>
      </c>
      <c r="P197" s="505" t="str">
        <f>IF(B197="","",VLOOKUP(B197,'E-1 Off Site Hedge Baseline'!$B$10:T442,16,FALSE))</f>
        <v/>
      </c>
      <c r="Q197" s="498" t="str">
        <f>IF(M197="","",VLOOKUP(M197,'G-6 Hedgerow Data'!$B$2:$AG$15,2,FALSE))</f>
        <v/>
      </c>
      <c r="R197" s="499" t="str">
        <f>IF(M197="","",VLOOKUP(M197,'G-6 Hedgerow Data'!$B$2:$AG$15,3,FALSE))</f>
        <v/>
      </c>
      <c r="S197" s="145"/>
      <c r="T197" s="499" t="str">
        <f>IFERROR(IF(AND(Q197="V.Low",OR(S197="Good",S197="Moderate")),"Error ▲",VLOOKUP(S197,'G-1 All Habitats'!$Z$2:$AA$9,2,FALSE)),"")</f>
        <v/>
      </c>
      <c r="U197" s="145"/>
      <c r="V197" s="507" t="str">
        <f>IF(U197="","",IF(VLOOKUP(U197,'G-3 Multipliers'!$L$3:$N$6,2,FALSE)=0,"Spatial Data Missing ⚠",VLOOKUP(U197,'G-3 Multipliers'!$L$3:$N$6,2,FALSE)))</f>
        <v/>
      </c>
      <c r="W197" s="505"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7"/>
        <v/>
      </c>
      <c r="AD197" s="537" t="str">
        <f>IF(M197="","",VLOOKUP(M197,'G-6 Hedgerow Data'!$B$3:$AG$15,31,FALSE))</f>
        <v/>
      </c>
      <c r="AE197" s="520" t="str">
        <f t="shared" si="21"/>
        <v/>
      </c>
      <c r="AF197" s="520" t="str">
        <f t="shared" si="22"/>
        <v/>
      </c>
      <c r="AG197" s="524" t="str">
        <f>IFERROR(IF(O197="","",VLOOKUP(AD197,'G-3 Multipliers'!$P$3:$Q$6,2,FALSE)),"")</f>
        <v/>
      </c>
      <c r="AH197" s="197"/>
      <c r="AI197" s="499" t="str">
        <f>IF(AH197="","",IF(VLOOKUP(AH197,'G-3 Multipliers'!$S$3:$T$6,2,FALSE)=0,"Spatial Data Missing ⚠",VLOOKUP(AH197,'G-3 Multipliers'!$S$3:$T$6,2,FALSE)))</f>
        <v/>
      </c>
      <c r="AJ197" s="545" t="str">
        <f t="shared" si="23"/>
        <v/>
      </c>
      <c r="AK197" s="149"/>
      <c r="AL197" s="150"/>
      <c r="AP197" s="31" t="str">
        <f>IFERROR(INDEX('G-6 Hedgerow Data'!$BJ$3:$BJ$15,MATCH(M197,'G-6 Hedgerow Data'!$B$3:$B$15,0)),"")</f>
        <v/>
      </c>
    </row>
    <row r="198" spans="2:42" ht="13.8" x14ac:dyDescent="0.25">
      <c r="B198" s="531" t="str">
        <f>'E-1 Off Site Hedge Baseline'!AK196</f>
        <v/>
      </c>
      <c r="C198" s="520" t="str">
        <f>IF(B198="","",IF(ISNA(VLOOKUP($B198,'E-1 Off Site Hedge Baseline'!$B$1:$L$257,3,FALSE)),"",(VLOOKUP($B198,'E-1 Off Site Hedge Baseline'!$B$1:$L$257,3,FALSE))))</f>
        <v/>
      </c>
      <c r="D198" s="520" t="str">
        <f>IF(B198="","",IF(ISNA(VLOOKUP($B198,'E-1 Off Site Hedge Baseline'!$B$1:$L$258,4,FALSE)),"",(VLOOKUP($B198,'E-1 Off Site Hedge Baseline'!$B$1:$L$258,4,FALSE))))</f>
        <v/>
      </c>
      <c r="E198" s="520" t="str">
        <f>IF(B198="","",IF(ISNA(VLOOKUP($B198,'E-1 Off Site Hedge Baseline'!$B$1:$L$257,5,FALSE)),"",(VLOOKUP($B198,'E-1 Off Site Hedge Baseline'!$B$1:$L$257,5,FALSE))))</f>
        <v/>
      </c>
      <c r="F198" s="520" t="str">
        <f>IF(B198="","",IF(ISNA(VLOOKUP($B198,'E-1 Off Site Hedge Baseline'!$B$1:$L$257,6,FALSE)),"",(VLOOKUP($B198,'E-1 Off Site Hedge Baseline'!$B$1:$L$257,6,FALSE))))</f>
        <v/>
      </c>
      <c r="G198" s="520" t="str">
        <f>IF(B198="","",IF(ISNA(VLOOKUP($B198,'E-1 Off Site Hedge Baseline'!$B$1:$L$257,7,FALSE)),"",(VLOOKUP($B198,'E-1 Off Site Hedge Baseline'!$B$1:$L$257,7,FALSE))))</f>
        <v/>
      </c>
      <c r="H198" s="520" t="str">
        <f>IF(B198="","",IF(ISNA(VLOOKUP($B198,'E-1 Off Site Hedge Baseline'!$B$1:$L$257,8,FALSE)),"",(VLOOKUP($B198,'E-1 Off Site Hedge Baseline'!$B$1:$L$257,8,FALSE))))</f>
        <v/>
      </c>
      <c r="I198" s="520" t="str">
        <f>IF(B198="","",IF(ISNA(VLOOKUP($B198,'E-1 Off Site Hedge Baseline'!$B$1:$L$257,10,FALSE)),"",(VLOOKUP($B198,'E-1 Off Site Hedge Baseline'!$B$1:$L$257,10,FALSE))))</f>
        <v/>
      </c>
      <c r="J198" s="520" t="str">
        <f>IF(B198="","",IF(ISNA(VLOOKUP($B198,'E-1 Off Site Hedge Baseline'!$B$1:$L$257,11,FALSE)),"",(VLOOKUP($B198,'E-1 Off Site Hedge Baseline'!$B$1:$L$257,11,FALSE))))</f>
        <v/>
      </c>
      <c r="K198" s="520" t="str">
        <f>IF(B198="","",IF(ISNA(VLOOKUP($B198,'E-1 Off Site Hedge Baseline'!$B$1:$U$257,113,FALSE)),"",(VLOOKUP($B198,'E-1 Off Site Hedge Baseline'!$B$1:$U$257,13,FALSE))))</f>
        <v/>
      </c>
      <c r="L198" s="507" t="str">
        <f>IF(B198="","",IF(ISNA(VLOOKUP($B198,'E-1 Off Site Hedge Baseline'!$B$1:$U$257,12,FALSE)),"",(VLOOKUP($B198,'E-1 Off Site Hedge Baseline'!$B$1:$U$257,12,FALSE))))</f>
        <v/>
      </c>
      <c r="M198" s="418" t="str">
        <f t="shared" si="24"/>
        <v/>
      </c>
      <c r="N198" s="498" t="str">
        <f>IFERROR(IF(B198="","",INDEX('G-6 Hedgerow Data'!$AN$3:$AZ$15,MATCH(C198,'G-6 Hedgerow Data'!$AM$3:$AM$15,0),MATCH(M198,'G-6 Hedgerow Data'!$AN$2:$AZ$2,0))),"")</f>
        <v/>
      </c>
      <c r="O198" s="499" t="str">
        <f t="shared" si="18"/>
        <v/>
      </c>
      <c r="P198" s="505" t="str">
        <f>IF(B198="","",VLOOKUP(B198,'E-1 Off Site Hedge Baseline'!$B$10:T443,16,FALSE))</f>
        <v/>
      </c>
      <c r="Q198" s="498" t="str">
        <f>IF(M198="","",VLOOKUP(M198,'G-6 Hedgerow Data'!$B$2:$AG$15,2,FALSE))</f>
        <v/>
      </c>
      <c r="R198" s="499" t="str">
        <f>IF(M198="","",VLOOKUP(M198,'G-6 Hedgerow Data'!$B$2:$AG$15,3,FALSE))</f>
        <v/>
      </c>
      <c r="S198" s="145"/>
      <c r="T198" s="499" t="str">
        <f>IFERROR(IF(AND(Q198="V.Low",OR(S198="Good",S198="Moderate")),"Error ▲",VLOOKUP(S198,'G-1 All Habitats'!$Z$2:$AA$9,2,FALSE)),"")</f>
        <v/>
      </c>
      <c r="U198" s="145"/>
      <c r="V198" s="507" t="str">
        <f>IF(U198="","",IF(VLOOKUP(U198,'G-3 Multipliers'!$L$3:$N$6,2,FALSE)=0,"Spatial Data Missing ⚠",VLOOKUP(U198,'G-3 Multipliers'!$L$3:$N$6,2,FALSE)))</f>
        <v/>
      </c>
      <c r="W198" s="505"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7"/>
        <v/>
      </c>
      <c r="AD198" s="537" t="str">
        <f>IF(M198="","",VLOOKUP(M198,'G-6 Hedgerow Data'!$B$3:$AG$15,31,FALSE))</f>
        <v/>
      </c>
      <c r="AE198" s="520" t="str">
        <f t="shared" si="21"/>
        <v/>
      </c>
      <c r="AF198" s="520" t="str">
        <f t="shared" si="22"/>
        <v/>
      </c>
      <c r="AG198" s="524" t="str">
        <f>IFERROR(IF(O198="","",VLOOKUP(AD198,'G-3 Multipliers'!$P$3:$Q$6,2,FALSE)),"")</f>
        <v/>
      </c>
      <c r="AH198" s="197"/>
      <c r="AI198" s="499" t="str">
        <f>IF(AH198="","",IF(VLOOKUP(AH198,'G-3 Multipliers'!$S$3:$T$6,2,FALSE)=0,"Spatial Data Missing ⚠",VLOOKUP(AH198,'G-3 Multipliers'!$S$3:$T$6,2,FALSE)))</f>
        <v/>
      </c>
      <c r="AJ198" s="545" t="str">
        <f t="shared" si="23"/>
        <v/>
      </c>
      <c r="AK198" s="149"/>
      <c r="AL198" s="150"/>
      <c r="AP198" s="31" t="str">
        <f>IFERROR(INDEX('G-6 Hedgerow Data'!$BJ$3:$BJ$15,MATCH(M198,'G-6 Hedgerow Data'!$B$3:$B$15,0)),"")</f>
        <v/>
      </c>
    </row>
    <row r="199" spans="2:42" ht="13.8" x14ac:dyDescent="0.25">
      <c r="B199" s="531" t="str">
        <f>'E-1 Off Site Hedge Baseline'!AK197</f>
        <v/>
      </c>
      <c r="C199" s="520" t="str">
        <f>IF(B199="","",IF(ISNA(VLOOKUP($B199,'E-1 Off Site Hedge Baseline'!$B$1:$L$257,3,FALSE)),"",(VLOOKUP($B199,'E-1 Off Site Hedge Baseline'!$B$1:$L$257,3,FALSE))))</f>
        <v/>
      </c>
      <c r="D199" s="520" t="str">
        <f>IF(B199="","",IF(ISNA(VLOOKUP($B199,'E-1 Off Site Hedge Baseline'!$B$1:$L$258,4,FALSE)),"",(VLOOKUP($B199,'E-1 Off Site Hedge Baseline'!$B$1:$L$258,4,FALSE))))</f>
        <v/>
      </c>
      <c r="E199" s="520" t="str">
        <f>IF(B199="","",IF(ISNA(VLOOKUP($B199,'E-1 Off Site Hedge Baseline'!$B$1:$L$257,5,FALSE)),"",(VLOOKUP($B199,'E-1 Off Site Hedge Baseline'!$B$1:$L$257,5,FALSE))))</f>
        <v/>
      </c>
      <c r="F199" s="520" t="str">
        <f>IF(B199="","",IF(ISNA(VLOOKUP($B199,'E-1 Off Site Hedge Baseline'!$B$1:$L$257,6,FALSE)),"",(VLOOKUP($B199,'E-1 Off Site Hedge Baseline'!$B$1:$L$257,6,FALSE))))</f>
        <v/>
      </c>
      <c r="G199" s="520" t="str">
        <f>IF(B199="","",IF(ISNA(VLOOKUP($B199,'E-1 Off Site Hedge Baseline'!$B$1:$L$257,7,FALSE)),"",(VLOOKUP($B199,'E-1 Off Site Hedge Baseline'!$B$1:$L$257,7,FALSE))))</f>
        <v/>
      </c>
      <c r="H199" s="520" t="str">
        <f>IF(B199="","",IF(ISNA(VLOOKUP($B199,'E-1 Off Site Hedge Baseline'!$B$1:$L$257,8,FALSE)),"",(VLOOKUP($B199,'E-1 Off Site Hedge Baseline'!$B$1:$L$257,8,FALSE))))</f>
        <v/>
      </c>
      <c r="I199" s="520" t="str">
        <f>IF(B199="","",IF(ISNA(VLOOKUP($B199,'E-1 Off Site Hedge Baseline'!$B$1:$L$257,10,FALSE)),"",(VLOOKUP($B199,'E-1 Off Site Hedge Baseline'!$B$1:$L$257,10,FALSE))))</f>
        <v/>
      </c>
      <c r="J199" s="520" t="str">
        <f>IF(B199="","",IF(ISNA(VLOOKUP($B199,'E-1 Off Site Hedge Baseline'!$B$1:$L$257,11,FALSE)),"",(VLOOKUP($B199,'E-1 Off Site Hedge Baseline'!$B$1:$L$257,11,FALSE))))</f>
        <v/>
      </c>
      <c r="K199" s="520" t="str">
        <f>IF(B199="","",IF(ISNA(VLOOKUP($B199,'E-1 Off Site Hedge Baseline'!$B$1:$U$257,113,FALSE)),"",(VLOOKUP($B199,'E-1 Off Site Hedge Baseline'!$B$1:$U$257,13,FALSE))))</f>
        <v/>
      </c>
      <c r="L199" s="507" t="str">
        <f>IF(B199="","",IF(ISNA(VLOOKUP($B199,'E-1 Off Site Hedge Baseline'!$B$1:$U$257,12,FALSE)),"",(VLOOKUP($B199,'E-1 Off Site Hedge Baseline'!$B$1:$U$257,12,FALSE))))</f>
        <v/>
      </c>
      <c r="M199" s="418" t="str">
        <f t="shared" si="24"/>
        <v/>
      </c>
      <c r="N199" s="498" t="str">
        <f>IFERROR(IF(B199="","",INDEX('G-6 Hedgerow Data'!$AN$3:$AZ$15,MATCH(C199,'G-6 Hedgerow Data'!$AM$3:$AM$15,0),MATCH(M199,'G-6 Hedgerow Data'!$AN$2:$AZ$2,0))),"")</f>
        <v/>
      </c>
      <c r="O199" s="499" t="str">
        <f t="shared" si="18"/>
        <v/>
      </c>
      <c r="P199" s="505" t="str">
        <f>IF(B199="","",VLOOKUP(B199,'E-1 Off Site Hedge Baseline'!$B$10:T444,16,FALSE))</f>
        <v/>
      </c>
      <c r="Q199" s="498" t="str">
        <f>IF(M199="","",VLOOKUP(M199,'G-6 Hedgerow Data'!$B$2:$AG$15,2,FALSE))</f>
        <v/>
      </c>
      <c r="R199" s="499" t="str">
        <f>IF(M199="","",VLOOKUP(M199,'G-6 Hedgerow Data'!$B$2:$AG$15,3,FALSE))</f>
        <v/>
      </c>
      <c r="S199" s="145"/>
      <c r="T199" s="499" t="str">
        <f>IFERROR(IF(AND(Q199="V.Low",OR(S199="Good",S199="Moderate")),"Error ▲",VLOOKUP(S199,'G-1 All Habitats'!$Z$2:$AA$9,2,FALSE)),"")</f>
        <v/>
      </c>
      <c r="U199" s="145"/>
      <c r="V199" s="507" t="str">
        <f>IF(U199="","",IF(VLOOKUP(U199,'G-3 Multipliers'!$L$3:$N$6,2,FALSE)=0,"Spatial Data Missing ⚠",VLOOKUP(U199,'G-3 Multipliers'!$L$3:$N$6,2,FALSE)))</f>
        <v/>
      </c>
      <c r="W199" s="505"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7"/>
        <v/>
      </c>
      <c r="AD199" s="537" t="str">
        <f>IF(M199="","",VLOOKUP(M199,'G-6 Hedgerow Data'!$B$3:$AG$15,31,FALSE))</f>
        <v/>
      </c>
      <c r="AE199" s="520" t="str">
        <f t="shared" si="21"/>
        <v/>
      </c>
      <c r="AF199" s="520" t="str">
        <f t="shared" si="22"/>
        <v/>
      </c>
      <c r="AG199" s="524" t="str">
        <f>IFERROR(IF(O199="","",VLOOKUP(AD199,'G-3 Multipliers'!$P$3:$Q$6,2,FALSE)),"")</f>
        <v/>
      </c>
      <c r="AH199" s="197"/>
      <c r="AI199" s="499" t="str">
        <f>IF(AH199="","",IF(VLOOKUP(AH199,'G-3 Multipliers'!$S$3:$T$6,2,FALSE)=0,"Spatial Data Missing ⚠",VLOOKUP(AH199,'G-3 Multipliers'!$S$3:$T$6,2,FALSE)))</f>
        <v/>
      </c>
      <c r="AJ199" s="545" t="str">
        <f t="shared" si="23"/>
        <v/>
      </c>
      <c r="AK199" s="149"/>
      <c r="AL199" s="150"/>
      <c r="AP199" s="31" t="str">
        <f>IFERROR(INDEX('G-6 Hedgerow Data'!$BJ$3:$BJ$15,MATCH(M199,'G-6 Hedgerow Data'!$B$3:$B$15,0)),"")</f>
        <v/>
      </c>
    </row>
    <row r="200" spans="2:42" ht="13.8" x14ac:dyDescent="0.25">
      <c r="B200" s="531" t="str">
        <f>'E-1 Off Site Hedge Baseline'!AK198</f>
        <v/>
      </c>
      <c r="C200" s="520" t="str">
        <f>IF(B200="","",IF(ISNA(VLOOKUP($B200,'E-1 Off Site Hedge Baseline'!$B$1:$L$257,3,FALSE)),"",(VLOOKUP($B200,'E-1 Off Site Hedge Baseline'!$B$1:$L$257,3,FALSE))))</f>
        <v/>
      </c>
      <c r="D200" s="520" t="str">
        <f>IF(B200="","",IF(ISNA(VLOOKUP($B200,'E-1 Off Site Hedge Baseline'!$B$1:$L$258,4,FALSE)),"",(VLOOKUP($B200,'E-1 Off Site Hedge Baseline'!$B$1:$L$258,4,FALSE))))</f>
        <v/>
      </c>
      <c r="E200" s="520" t="str">
        <f>IF(B200="","",IF(ISNA(VLOOKUP($B200,'E-1 Off Site Hedge Baseline'!$B$1:$L$257,5,FALSE)),"",(VLOOKUP($B200,'E-1 Off Site Hedge Baseline'!$B$1:$L$257,5,FALSE))))</f>
        <v/>
      </c>
      <c r="F200" s="520" t="str">
        <f>IF(B200="","",IF(ISNA(VLOOKUP($B200,'E-1 Off Site Hedge Baseline'!$B$1:$L$257,6,FALSE)),"",(VLOOKUP($B200,'E-1 Off Site Hedge Baseline'!$B$1:$L$257,6,FALSE))))</f>
        <v/>
      </c>
      <c r="G200" s="520" t="str">
        <f>IF(B200="","",IF(ISNA(VLOOKUP($B200,'E-1 Off Site Hedge Baseline'!$B$1:$L$257,7,FALSE)),"",(VLOOKUP($B200,'E-1 Off Site Hedge Baseline'!$B$1:$L$257,7,FALSE))))</f>
        <v/>
      </c>
      <c r="H200" s="520" t="str">
        <f>IF(B200="","",IF(ISNA(VLOOKUP($B200,'E-1 Off Site Hedge Baseline'!$B$1:$L$257,8,FALSE)),"",(VLOOKUP($B200,'E-1 Off Site Hedge Baseline'!$B$1:$L$257,8,FALSE))))</f>
        <v/>
      </c>
      <c r="I200" s="520" t="str">
        <f>IF(B200="","",IF(ISNA(VLOOKUP($B200,'E-1 Off Site Hedge Baseline'!$B$1:$L$257,10,FALSE)),"",(VLOOKUP($B200,'E-1 Off Site Hedge Baseline'!$B$1:$L$257,10,FALSE))))</f>
        <v/>
      </c>
      <c r="J200" s="520" t="str">
        <f>IF(B200="","",IF(ISNA(VLOOKUP($B200,'E-1 Off Site Hedge Baseline'!$B$1:$L$257,11,FALSE)),"",(VLOOKUP($B200,'E-1 Off Site Hedge Baseline'!$B$1:$L$257,11,FALSE))))</f>
        <v/>
      </c>
      <c r="K200" s="520" t="str">
        <f>IF(B200="","",IF(ISNA(VLOOKUP($B200,'E-1 Off Site Hedge Baseline'!$B$1:$U$257,113,FALSE)),"",(VLOOKUP($B200,'E-1 Off Site Hedge Baseline'!$B$1:$U$257,13,FALSE))))</f>
        <v/>
      </c>
      <c r="L200" s="507" t="str">
        <f>IF(B200="","",IF(ISNA(VLOOKUP($B200,'E-1 Off Site Hedge Baseline'!$B$1:$U$257,12,FALSE)),"",(VLOOKUP($B200,'E-1 Off Site Hedge Baseline'!$B$1:$U$257,12,FALSE))))</f>
        <v/>
      </c>
      <c r="M200" s="418" t="str">
        <f t="shared" si="24"/>
        <v/>
      </c>
      <c r="N200" s="498" t="str">
        <f>IFERROR(IF(B200="","",INDEX('G-6 Hedgerow Data'!$AN$3:$AZ$15,MATCH(C200,'G-6 Hedgerow Data'!$AM$3:$AM$15,0),MATCH(M200,'G-6 Hedgerow Data'!$AN$2:$AZ$2,0))),"")</f>
        <v/>
      </c>
      <c r="O200" s="499" t="str">
        <f t="shared" si="18"/>
        <v/>
      </c>
      <c r="P200" s="505" t="str">
        <f>IF(B200="","",VLOOKUP(B200,'E-1 Off Site Hedge Baseline'!$B$10:T445,16,FALSE))</f>
        <v/>
      </c>
      <c r="Q200" s="498" t="str">
        <f>IF(M200="","",VLOOKUP(M200,'G-6 Hedgerow Data'!$B$2:$AG$15,2,FALSE))</f>
        <v/>
      </c>
      <c r="R200" s="499" t="str">
        <f>IF(M200="","",VLOOKUP(M200,'G-6 Hedgerow Data'!$B$2:$AG$15,3,FALSE))</f>
        <v/>
      </c>
      <c r="S200" s="145"/>
      <c r="T200" s="499" t="str">
        <f>IFERROR(IF(AND(Q200="V.Low",OR(S200="Good",S200="Moderate")),"Error ▲",VLOOKUP(S200,'G-1 All Habitats'!$Z$2:$AA$9,2,FALSE)),"")</f>
        <v/>
      </c>
      <c r="U200" s="145"/>
      <c r="V200" s="507" t="str">
        <f>IF(U200="","",IF(VLOOKUP(U200,'G-3 Multipliers'!$L$3:$N$6,2,FALSE)=0,"Spatial Data Missing ⚠",VLOOKUP(U200,'G-3 Multipliers'!$L$3:$N$6,2,FALSE)))</f>
        <v/>
      </c>
      <c r="W200" s="505"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7"/>
        <v/>
      </c>
      <c r="AD200" s="537" t="str">
        <f>IF(M200="","",VLOOKUP(M200,'G-6 Hedgerow Data'!$B$3:$AG$15,31,FALSE))</f>
        <v/>
      </c>
      <c r="AE200" s="520" t="str">
        <f t="shared" si="21"/>
        <v/>
      </c>
      <c r="AF200" s="520" t="str">
        <f t="shared" si="22"/>
        <v/>
      </c>
      <c r="AG200" s="524" t="str">
        <f>IFERROR(IF(O200="","",VLOOKUP(AD200,'G-3 Multipliers'!$P$3:$Q$6,2,FALSE)),"")</f>
        <v/>
      </c>
      <c r="AH200" s="197"/>
      <c r="AI200" s="499" t="str">
        <f>IF(AH200="","",IF(VLOOKUP(AH200,'G-3 Multipliers'!$S$3:$T$6,2,FALSE)=0,"Spatial Data Missing ⚠",VLOOKUP(AH200,'G-3 Multipliers'!$S$3:$T$6,2,FALSE)))</f>
        <v/>
      </c>
      <c r="AJ200" s="545" t="str">
        <f t="shared" si="23"/>
        <v/>
      </c>
      <c r="AK200" s="149"/>
      <c r="AL200" s="150"/>
      <c r="AP200" s="31" t="str">
        <f>IFERROR(INDEX('G-6 Hedgerow Data'!$BJ$3:$BJ$15,MATCH(M200,'G-6 Hedgerow Data'!$B$3:$B$15,0)),"")</f>
        <v/>
      </c>
    </row>
    <row r="201" spans="2:42" ht="13.8" x14ac:dyDescent="0.25">
      <c r="B201" s="531" t="str">
        <f>'E-1 Off Site Hedge Baseline'!AK199</f>
        <v/>
      </c>
      <c r="C201" s="520" t="str">
        <f>IF(B201="","",IF(ISNA(VLOOKUP($B201,'E-1 Off Site Hedge Baseline'!$B$1:$L$257,3,FALSE)),"",(VLOOKUP($B201,'E-1 Off Site Hedge Baseline'!$B$1:$L$257,3,FALSE))))</f>
        <v/>
      </c>
      <c r="D201" s="520" t="str">
        <f>IF(B201="","",IF(ISNA(VLOOKUP($B201,'E-1 Off Site Hedge Baseline'!$B$1:$L$258,4,FALSE)),"",(VLOOKUP($B201,'E-1 Off Site Hedge Baseline'!$B$1:$L$258,4,FALSE))))</f>
        <v/>
      </c>
      <c r="E201" s="520" t="str">
        <f>IF(B201="","",IF(ISNA(VLOOKUP($B201,'E-1 Off Site Hedge Baseline'!$B$1:$L$257,5,FALSE)),"",(VLOOKUP($B201,'E-1 Off Site Hedge Baseline'!$B$1:$L$257,5,FALSE))))</f>
        <v/>
      </c>
      <c r="F201" s="520" t="str">
        <f>IF(B201="","",IF(ISNA(VLOOKUP($B201,'E-1 Off Site Hedge Baseline'!$B$1:$L$257,6,FALSE)),"",(VLOOKUP($B201,'E-1 Off Site Hedge Baseline'!$B$1:$L$257,6,FALSE))))</f>
        <v/>
      </c>
      <c r="G201" s="520" t="str">
        <f>IF(B201="","",IF(ISNA(VLOOKUP($B201,'E-1 Off Site Hedge Baseline'!$B$1:$L$257,7,FALSE)),"",(VLOOKUP($B201,'E-1 Off Site Hedge Baseline'!$B$1:$L$257,7,FALSE))))</f>
        <v/>
      </c>
      <c r="H201" s="520" t="str">
        <f>IF(B201="","",IF(ISNA(VLOOKUP($B201,'E-1 Off Site Hedge Baseline'!$B$1:$L$257,8,FALSE)),"",(VLOOKUP($B201,'E-1 Off Site Hedge Baseline'!$B$1:$L$257,8,FALSE))))</f>
        <v/>
      </c>
      <c r="I201" s="520" t="str">
        <f>IF(B201="","",IF(ISNA(VLOOKUP($B201,'E-1 Off Site Hedge Baseline'!$B$1:$L$257,10,FALSE)),"",(VLOOKUP($B201,'E-1 Off Site Hedge Baseline'!$B$1:$L$257,10,FALSE))))</f>
        <v/>
      </c>
      <c r="J201" s="520" t="str">
        <f>IF(B201="","",IF(ISNA(VLOOKUP($B201,'E-1 Off Site Hedge Baseline'!$B$1:$L$257,11,FALSE)),"",(VLOOKUP($B201,'E-1 Off Site Hedge Baseline'!$B$1:$L$257,11,FALSE))))</f>
        <v/>
      </c>
      <c r="K201" s="520" t="str">
        <f>IF(B201="","",IF(ISNA(VLOOKUP($B201,'E-1 Off Site Hedge Baseline'!$B$1:$U$257,113,FALSE)),"",(VLOOKUP($B201,'E-1 Off Site Hedge Baseline'!$B$1:$U$257,13,FALSE))))</f>
        <v/>
      </c>
      <c r="L201" s="507" t="str">
        <f>IF(B201="","",IF(ISNA(VLOOKUP($B201,'E-1 Off Site Hedge Baseline'!$B$1:$U$257,12,FALSE)),"",(VLOOKUP($B201,'E-1 Off Site Hedge Baseline'!$B$1:$U$257,12,FALSE))))</f>
        <v/>
      </c>
      <c r="M201" s="418" t="str">
        <f t="shared" si="24"/>
        <v/>
      </c>
      <c r="N201" s="498" t="str">
        <f>IFERROR(IF(B201="","",INDEX('G-6 Hedgerow Data'!$AN$3:$AZ$15,MATCH(C201,'G-6 Hedgerow Data'!$AM$3:$AM$15,0),MATCH(M201,'G-6 Hedgerow Data'!$AN$2:$AZ$2,0))),"")</f>
        <v/>
      </c>
      <c r="O201" s="499" t="str">
        <f t="shared" si="18"/>
        <v/>
      </c>
      <c r="P201" s="505" t="str">
        <f>IF(B201="","",VLOOKUP(B201,'E-1 Off Site Hedge Baseline'!$B$10:T446,16,FALSE))</f>
        <v/>
      </c>
      <c r="Q201" s="498" t="str">
        <f>IF(M201="","",VLOOKUP(M201,'G-6 Hedgerow Data'!$B$2:$AG$15,2,FALSE))</f>
        <v/>
      </c>
      <c r="R201" s="499" t="str">
        <f>IF(M201="","",VLOOKUP(M201,'G-6 Hedgerow Data'!$B$2:$AG$15,3,FALSE))</f>
        <v/>
      </c>
      <c r="S201" s="145"/>
      <c r="T201" s="499" t="str">
        <f>IFERROR(IF(AND(Q201="V.Low",OR(S201="Good",S201="Moderate")),"Error ▲",VLOOKUP(S201,'G-1 All Habitats'!$Z$2:$AA$9,2,FALSE)),"")</f>
        <v/>
      </c>
      <c r="U201" s="145"/>
      <c r="V201" s="507" t="str">
        <f>IF(U201="","",IF(VLOOKUP(U201,'G-3 Multipliers'!$L$3:$N$6,2,FALSE)=0,"Spatial Data Missing ⚠",VLOOKUP(U201,'G-3 Multipliers'!$L$3:$N$6,2,FALSE)))</f>
        <v/>
      </c>
      <c r="W201" s="505"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7"/>
        <v/>
      </c>
      <c r="AD201" s="537" t="str">
        <f>IF(M201="","",VLOOKUP(M201,'G-6 Hedgerow Data'!$B$3:$AG$15,31,FALSE))</f>
        <v/>
      </c>
      <c r="AE201" s="520" t="str">
        <f t="shared" si="21"/>
        <v/>
      </c>
      <c r="AF201" s="520" t="str">
        <f t="shared" si="22"/>
        <v/>
      </c>
      <c r="AG201" s="524" t="str">
        <f>IFERROR(IF(O201="","",VLOOKUP(AD201,'G-3 Multipliers'!$P$3:$Q$6,2,FALSE)),"")</f>
        <v/>
      </c>
      <c r="AH201" s="197"/>
      <c r="AI201" s="499" t="str">
        <f>IF(AH201="","",IF(VLOOKUP(AH201,'G-3 Multipliers'!$S$3:$T$6,2,FALSE)=0,"Spatial Data Missing ⚠",VLOOKUP(AH201,'G-3 Multipliers'!$S$3:$T$6,2,FALSE)))</f>
        <v/>
      </c>
      <c r="AJ201" s="545" t="str">
        <f t="shared" si="23"/>
        <v/>
      </c>
      <c r="AK201" s="149"/>
      <c r="AL201" s="150"/>
      <c r="AP201" s="31" t="str">
        <f>IFERROR(INDEX('G-6 Hedgerow Data'!$BJ$3:$BJ$15,MATCH(M201,'G-6 Hedgerow Data'!$B$3:$B$15,0)),"")</f>
        <v/>
      </c>
    </row>
    <row r="202" spans="2:42" ht="13.8" x14ac:dyDescent="0.25">
      <c r="B202" s="531" t="str">
        <f>'E-1 Off Site Hedge Baseline'!AK200</f>
        <v/>
      </c>
      <c r="C202" s="520" t="str">
        <f>IF(B202="","",IF(ISNA(VLOOKUP($B202,'E-1 Off Site Hedge Baseline'!$B$1:$L$257,3,FALSE)),"",(VLOOKUP($B202,'E-1 Off Site Hedge Baseline'!$B$1:$L$257,3,FALSE))))</f>
        <v/>
      </c>
      <c r="D202" s="520" t="str">
        <f>IF(B202="","",IF(ISNA(VLOOKUP($B202,'E-1 Off Site Hedge Baseline'!$B$1:$L$258,4,FALSE)),"",(VLOOKUP($B202,'E-1 Off Site Hedge Baseline'!$B$1:$L$258,4,FALSE))))</f>
        <v/>
      </c>
      <c r="E202" s="520" t="str">
        <f>IF(B202="","",IF(ISNA(VLOOKUP($B202,'E-1 Off Site Hedge Baseline'!$B$1:$L$257,5,FALSE)),"",(VLOOKUP($B202,'E-1 Off Site Hedge Baseline'!$B$1:$L$257,5,FALSE))))</f>
        <v/>
      </c>
      <c r="F202" s="520" t="str">
        <f>IF(B202="","",IF(ISNA(VLOOKUP($B202,'E-1 Off Site Hedge Baseline'!$B$1:$L$257,6,FALSE)),"",(VLOOKUP($B202,'E-1 Off Site Hedge Baseline'!$B$1:$L$257,6,FALSE))))</f>
        <v/>
      </c>
      <c r="G202" s="520" t="str">
        <f>IF(B202="","",IF(ISNA(VLOOKUP($B202,'E-1 Off Site Hedge Baseline'!$B$1:$L$257,7,FALSE)),"",(VLOOKUP($B202,'E-1 Off Site Hedge Baseline'!$B$1:$L$257,7,FALSE))))</f>
        <v/>
      </c>
      <c r="H202" s="520" t="str">
        <f>IF(B202="","",IF(ISNA(VLOOKUP($B202,'E-1 Off Site Hedge Baseline'!$B$1:$L$257,8,FALSE)),"",(VLOOKUP($B202,'E-1 Off Site Hedge Baseline'!$B$1:$L$257,8,FALSE))))</f>
        <v/>
      </c>
      <c r="I202" s="520" t="str">
        <f>IF(B202="","",IF(ISNA(VLOOKUP($B202,'E-1 Off Site Hedge Baseline'!$B$1:$L$257,10,FALSE)),"",(VLOOKUP($B202,'E-1 Off Site Hedge Baseline'!$B$1:$L$257,10,FALSE))))</f>
        <v/>
      </c>
      <c r="J202" s="520" t="str">
        <f>IF(B202="","",IF(ISNA(VLOOKUP($B202,'E-1 Off Site Hedge Baseline'!$B$1:$L$257,11,FALSE)),"",(VLOOKUP($B202,'E-1 Off Site Hedge Baseline'!$B$1:$L$257,11,FALSE))))</f>
        <v/>
      </c>
      <c r="K202" s="520" t="str">
        <f>IF(B202="","",IF(ISNA(VLOOKUP($B202,'E-1 Off Site Hedge Baseline'!$B$1:$U$257,113,FALSE)),"",(VLOOKUP($B202,'E-1 Off Site Hedge Baseline'!$B$1:$U$257,13,FALSE))))</f>
        <v/>
      </c>
      <c r="L202" s="507" t="str">
        <f>IF(B202="","",IF(ISNA(VLOOKUP($B202,'E-1 Off Site Hedge Baseline'!$B$1:$U$257,12,FALSE)),"",(VLOOKUP($B202,'E-1 Off Site Hedge Baseline'!$B$1:$U$257,12,FALSE))))</f>
        <v/>
      </c>
      <c r="M202" s="418" t="str">
        <f t="shared" si="24"/>
        <v/>
      </c>
      <c r="N202" s="498" t="str">
        <f>IFERROR(IF(B202="","",INDEX('G-6 Hedgerow Data'!$AN$3:$AZ$15,MATCH(C202,'G-6 Hedgerow Data'!$AM$3:$AM$15,0),MATCH(M202,'G-6 Hedgerow Data'!$AN$2:$AZ$2,0))),"")</f>
        <v/>
      </c>
      <c r="O202" s="499" t="str">
        <f t="shared" si="18"/>
        <v/>
      </c>
      <c r="P202" s="505" t="str">
        <f>IF(B202="","",VLOOKUP(B202,'E-1 Off Site Hedge Baseline'!$B$10:T447,16,FALSE))</f>
        <v/>
      </c>
      <c r="Q202" s="498" t="str">
        <f>IF(M202="","",VLOOKUP(M202,'G-6 Hedgerow Data'!$B$2:$AG$15,2,FALSE))</f>
        <v/>
      </c>
      <c r="R202" s="499" t="str">
        <f>IF(M202="","",VLOOKUP(M202,'G-6 Hedgerow Data'!$B$2:$AG$15,3,FALSE))</f>
        <v/>
      </c>
      <c r="S202" s="145"/>
      <c r="T202" s="499" t="str">
        <f>IFERROR(IF(AND(Q202="V.Low",OR(S202="Good",S202="Moderate")),"Error ▲",VLOOKUP(S202,'G-1 All Habitats'!$Z$2:$AA$9,2,FALSE)),"")</f>
        <v/>
      </c>
      <c r="U202" s="145"/>
      <c r="V202" s="507" t="str">
        <f>IF(U202="","",IF(VLOOKUP(U202,'G-3 Multipliers'!$L$3:$N$6,2,FALSE)=0,"Spatial Data Missing ⚠",VLOOKUP(U202,'G-3 Multipliers'!$L$3:$N$6,2,FALSE)))</f>
        <v/>
      </c>
      <c r="W202" s="505"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7"/>
        <v/>
      </c>
      <c r="AD202" s="537" t="str">
        <f>IF(M202="","",VLOOKUP(M202,'G-6 Hedgerow Data'!$B$3:$AG$15,31,FALSE))</f>
        <v/>
      </c>
      <c r="AE202" s="520" t="str">
        <f t="shared" si="21"/>
        <v/>
      </c>
      <c r="AF202" s="520" t="str">
        <f t="shared" si="22"/>
        <v/>
      </c>
      <c r="AG202" s="524" t="str">
        <f>IFERROR(IF(O202="","",VLOOKUP(AD202,'G-3 Multipliers'!$P$3:$Q$6,2,FALSE)),"")</f>
        <v/>
      </c>
      <c r="AH202" s="197"/>
      <c r="AI202" s="499" t="str">
        <f>IF(AH202="","",IF(VLOOKUP(AH202,'G-3 Multipliers'!$S$3:$T$6,2,FALSE)=0,"Spatial Data Missing ⚠",VLOOKUP(AH202,'G-3 Multipliers'!$S$3:$T$6,2,FALSE)))</f>
        <v/>
      </c>
      <c r="AJ202" s="545" t="str">
        <f t="shared" si="23"/>
        <v/>
      </c>
      <c r="AK202" s="149"/>
      <c r="AL202" s="150"/>
      <c r="AP202" s="31" t="str">
        <f>IFERROR(INDEX('G-6 Hedgerow Data'!$BJ$3:$BJ$15,MATCH(M202,'G-6 Hedgerow Data'!$B$3:$B$15,0)),"")</f>
        <v/>
      </c>
    </row>
    <row r="203" spans="2:42" ht="13.8" x14ac:dyDescent="0.25">
      <c r="B203" s="531" t="str">
        <f>'E-1 Off Site Hedge Baseline'!AK201</f>
        <v/>
      </c>
      <c r="C203" s="520" t="str">
        <f>IF(B203="","",IF(ISNA(VLOOKUP($B203,'E-1 Off Site Hedge Baseline'!$B$1:$L$257,3,FALSE)),"",(VLOOKUP($B203,'E-1 Off Site Hedge Baseline'!$B$1:$L$257,3,FALSE))))</f>
        <v/>
      </c>
      <c r="D203" s="520" t="str">
        <f>IF(B203="","",IF(ISNA(VLOOKUP($B203,'E-1 Off Site Hedge Baseline'!$B$1:$L$258,4,FALSE)),"",(VLOOKUP($B203,'E-1 Off Site Hedge Baseline'!$B$1:$L$258,4,FALSE))))</f>
        <v/>
      </c>
      <c r="E203" s="520" t="str">
        <f>IF(B203="","",IF(ISNA(VLOOKUP($B203,'E-1 Off Site Hedge Baseline'!$B$1:$L$257,5,FALSE)),"",(VLOOKUP($B203,'E-1 Off Site Hedge Baseline'!$B$1:$L$257,5,FALSE))))</f>
        <v/>
      </c>
      <c r="F203" s="520" t="str">
        <f>IF(B203="","",IF(ISNA(VLOOKUP($B203,'E-1 Off Site Hedge Baseline'!$B$1:$L$257,6,FALSE)),"",(VLOOKUP($B203,'E-1 Off Site Hedge Baseline'!$B$1:$L$257,6,FALSE))))</f>
        <v/>
      </c>
      <c r="G203" s="520" t="str">
        <f>IF(B203="","",IF(ISNA(VLOOKUP($B203,'E-1 Off Site Hedge Baseline'!$B$1:$L$257,7,FALSE)),"",(VLOOKUP($B203,'E-1 Off Site Hedge Baseline'!$B$1:$L$257,7,FALSE))))</f>
        <v/>
      </c>
      <c r="H203" s="520" t="str">
        <f>IF(B203="","",IF(ISNA(VLOOKUP($B203,'E-1 Off Site Hedge Baseline'!$B$1:$L$257,8,FALSE)),"",(VLOOKUP($B203,'E-1 Off Site Hedge Baseline'!$B$1:$L$257,8,FALSE))))</f>
        <v/>
      </c>
      <c r="I203" s="520" t="str">
        <f>IF(B203="","",IF(ISNA(VLOOKUP($B203,'E-1 Off Site Hedge Baseline'!$B$1:$L$257,10,FALSE)),"",(VLOOKUP($B203,'E-1 Off Site Hedge Baseline'!$B$1:$L$257,10,FALSE))))</f>
        <v/>
      </c>
      <c r="J203" s="520" t="str">
        <f>IF(B203="","",IF(ISNA(VLOOKUP($B203,'E-1 Off Site Hedge Baseline'!$B$1:$L$257,11,FALSE)),"",(VLOOKUP($B203,'E-1 Off Site Hedge Baseline'!$B$1:$L$257,11,FALSE))))</f>
        <v/>
      </c>
      <c r="K203" s="520" t="str">
        <f>IF(B203="","",IF(ISNA(VLOOKUP($B203,'E-1 Off Site Hedge Baseline'!$B$1:$U$257,113,FALSE)),"",(VLOOKUP($B203,'E-1 Off Site Hedge Baseline'!$B$1:$U$257,13,FALSE))))</f>
        <v/>
      </c>
      <c r="L203" s="507" t="str">
        <f>IF(B203="","",IF(ISNA(VLOOKUP($B203,'E-1 Off Site Hedge Baseline'!$B$1:$U$257,12,FALSE)),"",(VLOOKUP($B203,'E-1 Off Site Hedge Baseline'!$B$1:$U$257,12,FALSE))))</f>
        <v/>
      </c>
      <c r="M203" s="418" t="str">
        <f t="shared" si="24"/>
        <v/>
      </c>
      <c r="N203" s="498" t="str">
        <f>IFERROR(IF(B203="","",INDEX('G-6 Hedgerow Data'!$AN$3:$AZ$15,MATCH(C203,'G-6 Hedgerow Data'!$AM$3:$AM$15,0),MATCH(M203,'G-6 Hedgerow Data'!$AN$2:$AZ$2,0))),"")</f>
        <v/>
      </c>
      <c r="O203" s="499" t="str">
        <f t="shared" si="18"/>
        <v/>
      </c>
      <c r="P203" s="505" t="str">
        <f>IF(B203="","",VLOOKUP(B203,'E-1 Off Site Hedge Baseline'!$B$10:T448,16,FALSE))</f>
        <v/>
      </c>
      <c r="Q203" s="498" t="str">
        <f>IF(M203="","",VLOOKUP(M203,'G-6 Hedgerow Data'!$B$2:$AG$15,2,FALSE))</f>
        <v/>
      </c>
      <c r="R203" s="499" t="str">
        <f>IF(M203="","",VLOOKUP(M203,'G-6 Hedgerow Data'!$B$2:$AG$15,3,FALSE))</f>
        <v/>
      </c>
      <c r="S203" s="145"/>
      <c r="T203" s="499" t="str">
        <f>IFERROR(IF(AND(Q203="V.Low",OR(S203="Good",S203="Moderate")),"Error ▲",VLOOKUP(S203,'G-1 All Habitats'!$Z$2:$AA$9,2,FALSE)),"")</f>
        <v/>
      </c>
      <c r="U203" s="145"/>
      <c r="V203" s="507" t="str">
        <f>IF(U203="","",IF(VLOOKUP(U203,'G-3 Multipliers'!$L$3:$N$6,2,FALSE)=0,"Spatial Data Missing ⚠",VLOOKUP(U203,'G-3 Multipliers'!$L$3:$N$6,2,FALSE)))</f>
        <v/>
      </c>
      <c r="W203" s="505"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7"/>
        <v/>
      </c>
      <c r="AD203" s="537" t="str">
        <f>IF(M203="","",VLOOKUP(M203,'G-6 Hedgerow Data'!$B$3:$AG$15,31,FALSE))</f>
        <v/>
      </c>
      <c r="AE203" s="520" t="str">
        <f t="shared" si="21"/>
        <v/>
      </c>
      <c r="AF203" s="520" t="str">
        <f t="shared" si="22"/>
        <v/>
      </c>
      <c r="AG203" s="524" t="str">
        <f>IFERROR(IF(O203="","",VLOOKUP(AD203,'G-3 Multipliers'!$P$3:$Q$6,2,FALSE)),"")</f>
        <v/>
      </c>
      <c r="AH203" s="197"/>
      <c r="AI203" s="499" t="str">
        <f>IF(AH203="","",IF(VLOOKUP(AH203,'G-3 Multipliers'!$S$3:$T$6,2,FALSE)=0,"Spatial Data Missing ⚠",VLOOKUP(AH203,'G-3 Multipliers'!$S$3:$T$6,2,FALSE)))</f>
        <v/>
      </c>
      <c r="AJ203" s="545" t="str">
        <f t="shared" si="23"/>
        <v/>
      </c>
      <c r="AK203" s="149"/>
      <c r="AL203" s="150"/>
      <c r="AP203" s="31" t="str">
        <f>IFERROR(INDEX('G-6 Hedgerow Data'!$BJ$3:$BJ$15,MATCH(M203,'G-6 Hedgerow Data'!$B$3:$B$15,0)),"")</f>
        <v/>
      </c>
    </row>
    <row r="204" spans="2:42" ht="13.8" x14ac:dyDescent="0.25">
      <c r="B204" s="531" t="str">
        <f>'E-1 Off Site Hedge Baseline'!AK202</f>
        <v/>
      </c>
      <c r="C204" s="520" t="str">
        <f>IF(B204="","",IF(ISNA(VLOOKUP($B204,'E-1 Off Site Hedge Baseline'!$B$1:$L$257,3,FALSE)),"",(VLOOKUP($B204,'E-1 Off Site Hedge Baseline'!$B$1:$L$257,3,FALSE))))</f>
        <v/>
      </c>
      <c r="D204" s="520" t="str">
        <f>IF(B204="","",IF(ISNA(VLOOKUP($B204,'E-1 Off Site Hedge Baseline'!$B$1:$L$258,4,FALSE)),"",(VLOOKUP($B204,'E-1 Off Site Hedge Baseline'!$B$1:$L$258,4,FALSE))))</f>
        <v/>
      </c>
      <c r="E204" s="520" t="str">
        <f>IF(B204="","",IF(ISNA(VLOOKUP($B204,'E-1 Off Site Hedge Baseline'!$B$1:$L$257,5,FALSE)),"",(VLOOKUP($B204,'E-1 Off Site Hedge Baseline'!$B$1:$L$257,5,FALSE))))</f>
        <v/>
      </c>
      <c r="F204" s="520" t="str">
        <f>IF(B204="","",IF(ISNA(VLOOKUP($B204,'E-1 Off Site Hedge Baseline'!$B$1:$L$257,6,FALSE)),"",(VLOOKUP($B204,'E-1 Off Site Hedge Baseline'!$B$1:$L$257,6,FALSE))))</f>
        <v/>
      </c>
      <c r="G204" s="520" t="str">
        <f>IF(B204="","",IF(ISNA(VLOOKUP($B204,'E-1 Off Site Hedge Baseline'!$B$1:$L$257,7,FALSE)),"",(VLOOKUP($B204,'E-1 Off Site Hedge Baseline'!$B$1:$L$257,7,FALSE))))</f>
        <v/>
      </c>
      <c r="H204" s="520" t="str">
        <f>IF(B204="","",IF(ISNA(VLOOKUP($B204,'E-1 Off Site Hedge Baseline'!$B$1:$L$257,8,FALSE)),"",(VLOOKUP($B204,'E-1 Off Site Hedge Baseline'!$B$1:$L$257,8,FALSE))))</f>
        <v/>
      </c>
      <c r="I204" s="520" t="str">
        <f>IF(B204="","",IF(ISNA(VLOOKUP($B204,'E-1 Off Site Hedge Baseline'!$B$1:$L$257,10,FALSE)),"",(VLOOKUP($B204,'E-1 Off Site Hedge Baseline'!$B$1:$L$257,10,FALSE))))</f>
        <v/>
      </c>
      <c r="J204" s="520" t="str">
        <f>IF(B204="","",IF(ISNA(VLOOKUP($B204,'E-1 Off Site Hedge Baseline'!$B$1:$L$257,11,FALSE)),"",(VLOOKUP($B204,'E-1 Off Site Hedge Baseline'!$B$1:$L$257,11,FALSE))))</f>
        <v/>
      </c>
      <c r="K204" s="520" t="str">
        <f>IF(B204="","",IF(ISNA(VLOOKUP($B204,'E-1 Off Site Hedge Baseline'!$B$1:$U$257,113,FALSE)),"",(VLOOKUP($B204,'E-1 Off Site Hedge Baseline'!$B$1:$U$257,13,FALSE))))</f>
        <v/>
      </c>
      <c r="L204" s="507" t="str">
        <f>IF(B204="","",IF(ISNA(VLOOKUP($B204,'E-1 Off Site Hedge Baseline'!$B$1:$U$257,12,FALSE)),"",(VLOOKUP($B204,'E-1 Off Site Hedge Baseline'!$B$1:$U$257,12,FALSE))))</f>
        <v/>
      </c>
      <c r="M204" s="418" t="str">
        <f t="shared" si="24"/>
        <v/>
      </c>
      <c r="N204" s="498" t="str">
        <f>IFERROR(IF(B204="","",INDEX('G-6 Hedgerow Data'!$AN$3:$AZ$15,MATCH(C204,'G-6 Hedgerow Data'!$AM$3:$AM$15,0),MATCH(M204,'G-6 Hedgerow Data'!$AN$2:$AZ$2,0))),"")</f>
        <v/>
      </c>
      <c r="O204" s="499" t="str">
        <f t="shared" si="18"/>
        <v/>
      </c>
      <c r="P204" s="505" t="str">
        <f>IF(B204="","",VLOOKUP(B204,'E-1 Off Site Hedge Baseline'!$B$10:T449,16,FALSE))</f>
        <v/>
      </c>
      <c r="Q204" s="498" t="str">
        <f>IF(M204="","",VLOOKUP(M204,'G-6 Hedgerow Data'!$B$2:$AG$15,2,FALSE))</f>
        <v/>
      </c>
      <c r="R204" s="499" t="str">
        <f>IF(M204="","",VLOOKUP(M204,'G-6 Hedgerow Data'!$B$2:$AG$15,3,FALSE))</f>
        <v/>
      </c>
      <c r="S204" s="145"/>
      <c r="T204" s="499" t="str">
        <f>IFERROR(IF(AND(Q204="V.Low",OR(S204="Good",S204="Moderate")),"Error ▲",VLOOKUP(S204,'G-1 All Habitats'!$Z$2:$AA$9,2,FALSE)),"")</f>
        <v/>
      </c>
      <c r="U204" s="145"/>
      <c r="V204" s="507" t="str">
        <f>IF(U204="","",IF(VLOOKUP(U204,'G-3 Multipliers'!$L$3:$N$6,2,FALSE)=0,"Spatial Data Missing ⚠",VLOOKUP(U204,'G-3 Multipliers'!$L$3:$N$6,2,FALSE)))</f>
        <v/>
      </c>
      <c r="W204" s="505"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5">IF(OR(S204="",M204=""),"",IF(LEFT(AB204,5)="Error ▲","Check Data ⚠",IF(AB204="Check Data ⚠","Check Data ⚠",VLOOKUP(AB204,TemporalMultipliers,3,FALSE))))</f>
        <v/>
      </c>
      <c r="AD204" s="537" t="str">
        <f>IF(M204="","",VLOOKUP(M204,'G-6 Hedgerow Data'!$B$3:$AG$15,31,FALSE))</f>
        <v/>
      </c>
      <c r="AE204" s="520" t="str">
        <f t="shared" si="21"/>
        <v/>
      </c>
      <c r="AF204" s="520" t="str">
        <f t="shared" si="22"/>
        <v/>
      </c>
      <c r="AG204" s="524" t="str">
        <f>IFERROR(IF(O204="","",VLOOKUP(AD204,'G-3 Multipliers'!$P$3:$Q$6,2,FALSE)),"")</f>
        <v/>
      </c>
      <c r="AH204" s="197"/>
      <c r="AI204" s="499" t="str">
        <f>IF(AH204="","",IF(VLOOKUP(AH204,'G-3 Multipliers'!$S$3:$T$6,2,FALSE)=0,"Spatial Data Missing ⚠",VLOOKUP(AH204,'G-3 Multipliers'!$S$3:$T$6,2,FALSE)))</f>
        <v/>
      </c>
      <c r="AJ204" s="545" t="str">
        <f t="shared" si="23"/>
        <v/>
      </c>
      <c r="AK204" s="149"/>
      <c r="AL204" s="150"/>
      <c r="AP204" s="31" t="str">
        <f>IFERROR(INDEX('G-6 Hedgerow Data'!$BJ$3:$BJ$15,MATCH(M204,'G-6 Hedgerow Data'!$B$3:$B$15,0)),"")</f>
        <v/>
      </c>
    </row>
    <row r="205" spans="2:42" ht="13.8" x14ac:dyDescent="0.25">
      <c r="B205" s="531" t="str">
        <f>'E-1 Off Site Hedge Baseline'!AK203</f>
        <v/>
      </c>
      <c r="C205" s="520" t="str">
        <f>IF(B205="","",IF(ISNA(VLOOKUP($B205,'E-1 Off Site Hedge Baseline'!$B$1:$L$257,3,FALSE)),"",(VLOOKUP($B205,'E-1 Off Site Hedge Baseline'!$B$1:$L$257,3,FALSE))))</f>
        <v/>
      </c>
      <c r="D205" s="520" t="str">
        <f>IF(B205="","",IF(ISNA(VLOOKUP($B205,'E-1 Off Site Hedge Baseline'!$B$1:$L$258,4,FALSE)),"",(VLOOKUP($B205,'E-1 Off Site Hedge Baseline'!$B$1:$L$258,4,FALSE))))</f>
        <v/>
      </c>
      <c r="E205" s="520" t="str">
        <f>IF(B205="","",IF(ISNA(VLOOKUP($B205,'E-1 Off Site Hedge Baseline'!$B$1:$L$257,5,FALSE)),"",(VLOOKUP($B205,'E-1 Off Site Hedge Baseline'!$B$1:$L$257,5,FALSE))))</f>
        <v/>
      </c>
      <c r="F205" s="520" t="str">
        <f>IF(B205="","",IF(ISNA(VLOOKUP($B205,'E-1 Off Site Hedge Baseline'!$B$1:$L$257,6,FALSE)),"",(VLOOKUP($B205,'E-1 Off Site Hedge Baseline'!$B$1:$L$257,6,FALSE))))</f>
        <v/>
      </c>
      <c r="G205" s="520" t="str">
        <f>IF(B205="","",IF(ISNA(VLOOKUP($B205,'E-1 Off Site Hedge Baseline'!$B$1:$L$257,7,FALSE)),"",(VLOOKUP($B205,'E-1 Off Site Hedge Baseline'!$B$1:$L$257,7,FALSE))))</f>
        <v/>
      </c>
      <c r="H205" s="520" t="str">
        <f>IF(B205="","",IF(ISNA(VLOOKUP($B205,'E-1 Off Site Hedge Baseline'!$B$1:$L$257,8,FALSE)),"",(VLOOKUP($B205,'E-1 Off Site Hedge Baseline'!$B$1:$L$257,8,FALSE))))</f>
        <v/>
      </c>
      <c r="I205" s="520" t="str">
        <f>IF(B205="","",IF(ISNA(VLOOKUP($B205,'E-1 Off Site Hedge Baseline'!$B$1:$L$257,10,FALSE)),"",(VLOOKUP($B205,'E-1 Off Site Hedge Baseline'!$B$1:$L$257,10,FALSE))))</f>
        <v/>
      </c>
      <c r="J205" s="520" t="str">
        <f>IF(B205="","",IF(ISNA(VLOOKUP($B205,'E-1 Off Site Hedge Baseline'!$B$1:$L$257,11,FALSE)),"",(VLOOKUP($B205,'E-1 Off Site Hedge Baseline'!$B$1:$L$257,11,FALSE))))</f>
        <v/>
      </c>
      <c r="K205" s="520" t="str">
        <f>IF(B205="","",IF(ISNA(VLOOKUP($B205,'E-1 Off Site Hedge Baseline'!$B$1:$U$257,113,FALSE)),"",(VLOOKUP($B205,'E-1 Off Site Hedge Baseline'!$B$1:$U$257,13,FALSE))))</f>
        <v/>
      </c>
      <c r="L205" s="507" t="str">
        <f>IF(B205="","",IF(ISNA(VLOOKUP($B205,'E-1 Off Site Hedge Baseline'!$B$1:$U$257,12,FALSE)),"",(VLOOKUP($B205,'E-1 Off Site Hedge Baseline'!$B$1:$U$257,12,FALSE))))</f>
        <v/>
      </c>
      <c r="M205" s="418" t="str">
        <f t="shared" si="24"/>
        <v/>
      </c>
      <c r="N205" s="498" t="str">
        <f>IFERROR(IF(B205="","",INDEX('G-6 Hedgerow Data'!$AN$3:$AZ$15,MATCH(C205,'G-6 Hedgerow Data'!$AM$3:$AM$15,0),MATCH(M205,'G-6 Hedgerow Data'!$AN$2:$AZ$2,0))),"")</f>
        <v/>
      </c>
      <c r="O205" s="499"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5" t="str">
        <f>IF(B205="","",VLOOKUP(B205,'E-1 Off Site Hedge Baseline'!$B$10:T450,16,FALSE))</f>
        <v/>
      </c>
      <c r="Q205" s="498" t="str">
        <f>IF(M205="","",VLOOKUP(M205,'G-6 Hedgerow Data'!$B$2:$AG$15,2,FALSE))</f>
        <v/>
      </c>
      <c r="R205" s="499" t="str">
        <f>IF(M205="","",VLOOKUP(M205,'G-6 Hedgerow Data'!$B$2:$AG$15,3,FALSE))</f>
        <v/>
      </c>
      <c r="S205" s="145"/>
      <c r="T205" s="499" t="str">
        <f>IFERROR(IF(AND(Q205="V.Low",OR(S205="Good",S205="Moderate")),"Error ▲",VLOOKUP(S205,'G-1 All Habitats'!$Z$2:$AA$9,2,FALSE)),"")</f>
        <v/>
      </c>
      <c r="U205" s="145"/>
      <c r="V205" s="507" t="str">
        <f>IF(U205="","",IF(VLOOKUP(U205,'G-3 Multipliers'!$L$3:$N$6,2,FALSE)=0,"Spatial Data Missing ⚠",VLOOKUP(U205,'G-3 Multipliers'!$L$3:$N$6,2,FALSE)))</f>
        <v/>
      </c>
      <c r="W205" s="505"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7" si="28">IF(X205="","",IF(AA205="Check Data ⚠","Check Data ⚠",IF(Y205="30+ ⚠",0,IF(Z205="30+","30+ ⚠",IF(X205+Z205&gt;30,"30+ ⚠",IF(LEFT(AA205,5)="Error ▲","Check Data ⚠",IF(X205+Z205-Y205&gt;0,X205+Z205-Y205,IF(X205-Y205&lt;=0,0,))))))))</f>
        <v/>
      </c>
      <c r="AC205" s="522" t="str">
        <f t="shared" si="25"/>
        <v/>
      </c>
      <c r="AD205" s="537" t="str">
        <f>IF(M205="","",VLOOKUP(M205,'G-6 Hedgerow Data'!$B$3:$AG$15,31,FALSE))</f>
        <v/>
      </c>
      <c r="AE205" s="52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20" t="str">
        <f t="shared" ref="AF205:AF257" si="30">(IF(AND(AE205="Yes",X205&gt;Y205),AD205,IF(AND(AE205="Low Difficulty - only applicable if all habitat created before losses ⚠",Y205&gt;=X205),"Low",AD205)))</f>
        <v/>
      </c>
      <c r="AG205" s="524" t="str">
        <f>IFERROR(IF(O205="","",VLOOKUP(AD205,'G-3 Multipliers'!$P$3:$Q$6,2,FALSE)),"")</f>
        <v/>
      </c>
      <c r="AH205" s="197"/>
      <c r="AI205" s="499" t="str">
        <f>IF(AH205="","",IF(VLOOKUP(AH205,'G-3 Multipliers'!$S$3:$T$6,2,FALSE)=0,"Spatial Data Missing ⚠",VLOOKUP(AH205,'G-3 Multipliers'!$S$3:$T$6,2,FALSE)))</f>
        <v/>
      </c>
      <c r="AJ205" s="545" t="str">
        <f t="shared" ref="AJ205:AJ257" si="31">IFERROR(IF(OR(M205="",S205="",U205="",AH205=""),"",(((((P205*R205*T205)-(P205*F205*H205))*(AG205*AC205))+(P205*F205*H205))*(W205)*AI205)),"")</f>
        <v/>
      </c>
      <c r="AK205" s="149"/>
      <c r="AL205" s="150"/>
      <c r="AP205" s="31" t="str">
        <f>IFERROR(INDEX('G-6 Hedgerow Data'!$BJ$3:$BJ$15,MATCH(M205,'G-6 Hedgerow Data'!$B$3:$B$15,0)),"")</f>
        <v/>
      </c>
    </row>
    <row r="206" spans="2:42" ht="13.8" x14ac:dyDescent="0.25">
      <c r="B206" s="531" t="str">
        <f>'E-1 Off Site Hedge Baseline'!AK204</f>
        <v/>
      </c>
      <c r="C206" s="520" t="str">
        <f>IF(B206="","",IF(ISNA(VLOOKUP($B206,'E-1 Off Site Hedge Baseline'!$B$1:$L$257,3,FALSE)),"",(VLOOKUP($B206,'E-1 Off Site Hedge Baseline'!$B$1:$L$257,3,FALSE))))</f>
        <v/>
      </c>
      <c r="D206" s="520" t="str">
        <f>IF(B206="","",IF(ISNA(VLOOKUP($B206,'E-1 Off Site Hedge Baseline'!$B$1:$L$258,4,FALSE)),"",(VLOOKUP($B206,'E-1 Off Site Hedge Baseline'!$B$1:$L$258,4,FALSE))))</f>
        <v/>
      </c>
      <c r="E206" s="520" t="str">
        <f>IF(B206="","",IF(ISNA(VLOOKUP($B206,'E-1 Off Site Hedge Baseline'!$B$1:$L$257,5,FALSE)),"",(VLOOKUP($B206,'E-1 Off Site Hedge Baseline'!$B$1:$L$257,5,FALSE))))</f>
        <v/>
      </c>
      <c r="F206" s="520" t="str">
        <f>IF(B206="","",IF(ISNA(VLOOKUP($B206,'E-1 Off Site Hedge Baseline'!$B$1:$L$257,6,FALSE)),"",(VLOOKUP($B206,'E-1 Off Site Hedge Baseline'!$B$1:$L$257,6,FALSE))))</f>
        <v/>
      </c>
      <c r="G206" s="520" t="str">
        <f>IF(B206="","",IF(ISNA(VLOOKUP($B206,'E-1 Off Site Hedge Baseline'!$B$1:$L$257,7,FALSE)),"",(VLOOKUP($B206,'E-1 Off Site Hedge Baseline'!$B$1:$L$257,7,FALSE))))</f>
        <v/>
      </c>
      <c r="H206" s="520" t="str">
        <f>IF(B206="","",IF(ISNA(VLOOKUP($B206,'E-1 Off Site Hedge Baseline'!$B$1:$L$257,8,FALSE)),"",(VLOOKUP($B206,'E-1 Off Site Hedge Baseline'!$B$1:$L$257,8,FALSE))))</f>
        <v/>
      </c>
      <c r="I206" s="520" t="str">
        <f>IF(B206="","",IF(ISNA(VLOOKUP($B206,'E-1 Off Site Hedge Baseline'!$B$1:$L$257,10,FALSE)),"",(VLOOKUP($B206,'E-1 Off Site Hedge Baseline'!$B$1:$L$257,10,FALSE))))</f>
        <v/>
      </c>
      <c r="J206" s="520" t="str">
        <f>IF(B206="","",IF(ISNA(VLOOKUP($B206,'E-1 Off Site Hedge Baseline'!$B$1:$L$257,11,FALSE)),"",(VLOOKUP($B206,'E-1 Off Site Hedge Baseline'!$B$1:$L$257,11,FALSE))))</f>
        <v/>
      </c>
      <c r="K206" s="520" t="str">
        <f>IF(B206="","",IF(ISNA(VLOOKUP($B206,'E-1 Off Site Hedge Baseline'!$B$1:$U$257,113,FALSE)),"",(VLOOKUP($B206,'E-1 Off Site Hedge Baseline'!$B$1:$U$257,13,FALSE))))</f>
        <v/>
      </c>
      <c r="L206" s="507" t="str">
        <f>IF(B206="","",IF(ISNA(VLOOKUP($B206,'E-1 Off Site Hedge Baseline'!$B$1:$U$257,12,FALSE)),"",(VLOOKUP($B206,'E-1 Off Site Hedge Baseline'!$B$1:$U$257,12,FALSE))))</f>
        <v/>
      </c>
      <c r="M206" s="418" t="str">
        <f t="shared" ref="M206:M257" si="32">C206</f>
        <v/>
      </c>
      <c r="N206" s="498" t="str">
        <f>IFERROR(IF(B206="","",INDEX('G-6 Hedgerow Data'!$AN$3:$AZ$15,MATCH(C206,'G-6 Hedgerow Data'!$AM$3:$AM$15,0),MATCH(M206,'G-6 Hedgerow Data'!$AN$2:$AZ$2,0))),"")</f>
        <v/>
      </c>
      <c r="O206" s="499" t="str">
        <f t="shared" si="26"/>
        <v/>
      </c>
      <c r="P206" s="505" t="str">
        <f>IF(B206="","",VLOOKUP(B206,'E-1 Off Site Hedge Baseline'!$B$10:T451,16,FALSE))</f>
        <v/>
      </c>
      <c r="Q206" s="498" t="str">
        <f>IF(M206="","",VLOOKUP(M206,'G-6 Hedgerow Data'!$B$2:$AG$15,2,FALSE))</f>
        <v/>
      </c>
      <c r="R206" s="499" t="str">
        <f>IF(M206="","",VLOOKUP(M206,'G-6 Hedgerow Data'!$B$2:$AG$15,3,FALSE))</f>
        <v/>
      </c>
      <c r="S206" s="145"/>
      <c r="T206" s="499" t="str">
        <f>IFERROR(IF(AND(Q206="V.Low",OR(S206="Good",S206="Moderate")),"Error ▲",VLOOKUP(S206,'G-1 All Habitats'!$Z$2:$AA$9,2,FALSE)),"")</f>
        <v/>
      </c>
      <c r="U206" s="145"/>
      <c r="V206" s="507" t="str">
        <f>IF(U206="","",IF(VLOOKUP(U206,'G-3 Multipliers'!$L$3:$N$6,2,FALSE)=0,"Spatial Data Missing ⚠",VLOOKUP(U206,'G-3 Multipliers'!$L$3:$N$6,2,FALSE)))</f>
        <v/>
      </c>
      <c r="W206" s="505"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5"/>
        <v/>
      </c>
      <c r="AD206" s="537" t="str">
        <f>IF(M206="","",VLOOKUP(M206,'G-6 Hedgerow Data'!$B$3:$AG$15,31,FALSE))</f>
        <v/>
      </c>
      <c r="AE206" s="520" t="str">
        <f t="shared" si="29"/>
        <v/>
      </c>
      <c r="AF206" s="520" t="str">
        <f t="shared" si="30"/>
        <v/>
      </c>
      <c r="AG206" s="524" t="str">
        <f>IFERROR(IF(O206="","",VLOOKUP(AD206,'G-3 Multipliers'!$P$3:$Q$6,2,FALSE)),"")</f>
        <v/>
      </c>
      <c r="AH206" s="197"/>
      <c r="AI206" s="499" t="str">
        <f>IF(AH206="","",IF(VLOOKUP(AH206,'G-3 Multipliers'!$S$3:$T$6,2,FALSE)=0,"Spatial Data Missing ⚠",VLOOKUP(AH206,'G-3 Multipliers'!$S$3:$T$6,2,FALSE)))</f>
        <v/>
      </c>
      <c r="AJ206" s="545" t="str">
        <f t="shared" si="31"/>
        <v/>
      </c>
      <c r="AK206" s="149"/>
      <c r="AL206" s="150"/>
      <c r="AP206" s="31" t="str">
        <f>IFERROR(INDEX('G-6 Hedgerow Data'!$BJ$3:$BJ$15,MATCH(M206,'G-6 Hedgerow Data'!$B$3:$B$15,0)),"")</f>
        <v/>
      </c>
    </row>
    <row r="207" spans="2:42" ht="13.8" x14ac:dyDescent="0.25">
      <c r="B207" s="531" t="str">
        <f>'E-1 Off Site Hedge Baseline'!AK205</f>
        <v/>
      </c>
      <c r="C207" s="520" t="str">
        <f>IF(B207="","",IF(ISNA(VLOOKUP($B207,'E-1 Off Site Hedge Baseline'!$B$1:$L$257,3,FALSE)),"",(VLOOKUP($B207,'E-1 Off Site Hedge Baseline'!$B$1:$L$257,3,FALSE))))</f>
        <v/>
      </c>
      <c r="D207" s="520" t="str">
        <f>IF(B207="","",IF(ISNA(VLOOKUP($B207,'E-1 Off Site Hedge Baseline'!$B$1:$L$258,4,FALSE)),"",(VLOOKUP($B207,'E-1 Off Site Hedge Baseline'!$B$1:$L$258,4,FALSE))))</f>
        <v/>
      </c>
      <c r="E207" s="520" t="str">
        <f>IF(B207="","",IF(ISNA(VLOOKUP($B207,'E-1 Off Site Hedge Baseline'!$B$1:$L$257,5,FALSE)),"",(VLOOKUP($B207,'E-1 Off Site Hedge Baseline'!$B$1:$L$257,5,FALSE))))</f>
        <v/>
      </c>
      <c r="F207" s="520" t="str">
        <f>IF(B207="","",IF(ISNA(VLOOKUP($B207,'E-1 Off Site Hedge Baseline'!$B$1:$L$257,6,FALSE)),"",(VLOOKUP($B207,'E-1 Off Site Hedge Baseline'!$B$1:$L$257,6,FALSE))))</f>
        <v/>
      </c>
      <c r="G207" s="520" t="str">
        <f>IF(B207="","",IF(ISNA(VLOOKUP($B207,'E-1 Off Site Hedge Baseline'!$B$1:$L$257,7,FALSE)),"",(VLOOKUP($B207,'E-1 Off Site Hedge Baseline'!$B$1:$L$257,7,FALSE))))</f>
        <v/>
      </c>
      <c r="H207" s="520" t="str">
        <f>IF(B207="","",IF(ISNA(VLOOKUP($B207,'E-1 Off Site Hedge Baseline'!$B$1:$L$257,8,FALSE)),"",(VLOOKUP($B207,'E-1 Off Site Hedge Baseline'!$B$1:$L$257,8,FALSE))))</f>
        <v/>
      </c>
      <c r="I207" s="520" t="str">
        <f>IF(B207="","",IF(ISNA(VLOOKUP($B207,'E-1 Off Site Hedge Baseline'!$B$1:$L$257,10,FALSE)),"",(VLOOKUP($B207,'E-1 Off Site Hedge Baseline'!$B$1:$L$257,10,FALSE))))</f>
        <v/>
      </c>
      <c r="J207" s="520" t="str">
        <f>IF(B207="","",IF(ISNA(VLOOKUP($B207,'E-1 Off Site Hedge Baseline'!$B$1:$L$257,11,FALSE)),"",(VLOOKUP($B207,'E-1 Off Site Hedge Baseline'!$B$1:$L$257,11,FALSE))))</f>
        <v/>
      </c>
      <c r="K207" s="520" t="str">
        <f>IF(B207="","",IF(ISNA(VLOOKUP($B207,'E-1 Off Site Hedge Baseline'!$B$1:$U$257,113,FALSE)),"",(VLOOKUP($B207,'E-1 Off Site Hedge Baseline'!$B$1:$U$257,13,FALSE))))</f>
        <v/>
      </c>
      <c r="L207" s="507" t="str">
        <f>IF(B207="","",IF(ISNA(VLOOKUP($B207,'E-1 Off Site Hedge Baseline'!$B$1:$U$257,12,FALSE)),"",(VLOOKUP($B207,'E-1 Off Site Hedge Baseline'!$B$1:$U$257,12,FALSE))))</f>
        <v/>
      </c>
      <c r="M207" s="418" t="str">
        <f t="shared" si="32"/>
        <v/>
      </c>
      <c r="N207" s="498" t="str">
        <f>IFERROR(IF(B207="","",INDEX('G-6 Hedgerow Data'!$AN$3:$AZ$15,MATCH(C207,'G-6 Hedgerow Data'!$AM$3:$AM$15,0),MATCH(M207,'G-6 Hedgerow Data'!$AN$2:$AZ$2,0))),"")</f>
        <v/>
      </c>
      <c r="O207" s="499" t="str">
        <f t="shared" si="26"/>
        <v/>
      </c>
      <c r="P207" s="505" t="str">
        <f>IF(B207="","",VLOOKUP(B207,'E-1 Off Site Hedge Baseline'!$B$10:T452,16,FALSE))</f>
        <v/>
      </c>
      <c r="Q207" s="498" t="str">
        <f>IF(M207="","",VLOOKUP(M207,'G-6 Hedgerow Data'!$B$2:$AG$15,2,FALSE))</f>
        <v/>
      </c>
      <c r="R207" s="499" t="str">
        <f>IF(M207="","",VLOOKUP(M207,'G-6 Hedgerow Data'!$B$2:$AG$15,3,FALSE))</f>
        <v/>
      </c>
      <c r="S207" s="145"/>
      <c r="T207" s="499" t="str">
        <f>IFERROR(IF(AND(Q207="V.Low",OR(S207="Good",S207="Moderate")),"Error ▲",VLOOKUP(S207,'G-1 All Habitats'!$Z$2:$AA$9,2,FALSE)),"")</f>
        <v/>
      </c>
      <c r="U207" s="145"/>
      <c r="V207" s="507" t="str">
        <f>IF(U207="","",IF(VLOOKUP(U207,'G-3 Multipliers'!$L$3:$N$6,2,FALSE)=0,"Spatial Data Missing ⚠",VLOOKUP(U207,'G-3 Multipliers'!$L$3:$N$6,2,FALSE)))</f>
        <v/>
      </c>
      <c r="W207" s="505"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5"/>
        <v/>
      </c>
      <c r="AD207" s="537" t="str">
        <f>IF(M207="","",VLOOKUP(M207,'G-6 Hedgerow Data'!$B$3:$AG$15,31,FALSE))</f>
        <v/>
      </c>
      <c r="AE207" s="520" t="str">
        <f t="shared" si="29"/>
        <v/>
      </c>
      <c r="AF207" s="520" t="str">
        <f t="shared" si="30"/>
        <v/>
      </c>
      <c r="AG207" s="524" t="str">
        <f>IFERROR(IF(O207="","",VLOOKUP(AD207,'G-3 Multipliers'!$P$3:$Q$6,2,FALSE)),"")</f>
        <v/>
      </c>
      <c r="AH207" s="197"/>
      <c r="AI207" s="499" t="str">
        <f>IF(AH207="","",IF(VLOOKUP(AH207,'G-3 Multipliers'!$S$3:$T$6,2,FALSE)=0,"Spatial Data Missing ⚠",VLOOKUP(AH207,'G-3 Multipliers'!$S$3:$T$6,2,FALSE)))</f>
        <v/>
      </c>
      <c r="AJ207" s="545" t="str">
        <f t="shared" si="31"/>
        <v/>
      </c>
      <c r="AK207" s="149"/>
      <c r="AL207" s="150"/>
      <c r="AP207" s="31" t="str">
        <f>IFERROR(INDEX('G-6 Hedgerow Data'!$BJ$3:$BJ$15,MATCH(M207,'G-6 Hedgerow Data'!$B$3:$B$15,0)),"")</f>
        <v/>
      </c>
    </row>
    <row r="208" spans="2:42" ht="13.8" x14ac:dyDescent="0.25">
      <c r="B208" s="531" t="str">
        <f>'E-1 Off Site Hedge Baseline'!AK206</f>
        <v/>
      </c>
      <c r="C208" s="520" t="str">
        <f>IF(B208="","",IF(ISNA(VLOOKUP($B208,'E-1 Off Site Hedge Baseline'!$B$1:$L$257,3,FALSE)),"",(VLOOKUP($B208,'E-1 Off Site Hedge Baseline'!$B$1:$L$257,3,FALSE))))</f>
        <v/>
      </c>
      <c r="D208" s="520" t="str">
        <f>IF(B208="","",IF(ISNA(VLOOKUP($B208,'E-1 Off Site Hedge Baseline'!$B$1:$L$258,4,FALSE)),"",(VLOOKUP($B208,'E-1 Off Site Hedge Baseline'!$B$1:$L$258,4,FALSE))))</f>
        <v/>
      </c>
      <c r="E208" s="520" t="str">
        <f>IF(B208="","",IF(ISNA(VLOOKUP($B208,'E-1 Off Site Hedge Baseline'!$B$1:$L$257,5,FALSE)),"",(VLOOKUP($B208,'E-1 Off Site Hedge Baseline'!$B$1:$L$257,5,FALSE))))</f>
        <v/>
      </c>
      <c r="F208" s="520" t="str">
        <f>IF(B208="","",IF(ISNA(VLOOKUP($B208,'E-1 Off Site Hedge Baseline'!$B$1:$L$257,6,FALSE)),"",(VLOOKUP($B208,'E-1 Off Site Hedge Baseline'!$B$1:$L$257,6,FALSE))))</f>
        <v/>
      </c>
      <c r="G208" s="520" t="str">
        <f>IF(B208="","",IF(ISNA(VLOOKUP($B208,'E-1 Off Site Hedge Baseline'!$B$1:$L$257,7,FALSE)),"",(VLOOKUP($B208,'E-1 Off Site Hedge Baseline'!$B$1:$L$257,7,FALSE))))</f>
        <v/>
      </c>
      <c r="H208" s="520" t="str">
        <f>IF(B208="","",IF(ISNA(VLOOKUP($B208,'E-1 Off Site Hedge Baseline'!$B$1:$L$257,8,FALSE)),"",(VLOOKUP($B208,'E-1 Off Site Hedge Baseline'!$B$1:$L$257,8,FALSE))))</f>
        <v/>
      </c>
      <c r="I208" s="520" t="str">
        <f>IF(B208="","",IF(ISNA(VLOOKUP($B208,'E-1 Off Site Hedge Baseline'!$B$1:$L$257,10,FALSE)),"",(VLOOKUP($B208,'E-1 Off Site Hedge Baseline'!$B$1:$L$257,10,FALSE))))</f>
        <v/>
      </c>
      <c r="J208" s="520" t="str">
        <f>IF(B208="","",IF(ISNA(VLOOKUP($B208,'E-1 Off Site Hedge Baseline'!$B$1:$L$257,11,FALSE)),"",(VLOOKUP($B208,'E-1 Off Site Hedge Baseline'!$B$1:$L$257,11,FALSE))))</f>
        <v/>
      </c>
      <c r="K208" s="520" t="str">
        <f>IF(B208="","",IF(ISNA(VLOOKUP($B208,'E-1 Off Site Hedge Baseline'!$B$1:$U$257,113,FALSE)),"",(VLOOKUP($B208,'E-1 Off Site Hedge Baseline'!$B$1:$U$257,13,FALSE))))</f>
        <v/>
      </c>
      <c r="L208" s="507" t="str">
        <f>IF(B208="","",IF(ISNA(VLOOKUP($B208,'E-1 Off Site Hedge Baseline'!$B$1:$U$257,12,FALSE)),"",(VLOOKUP($B208,'E-1 Off Site Hedge Baseline'!$B$1:$U$257,12,FALSE))))</f>
        <v/>
      </c>
      <c r="M208" s="418" t="str">
        <f t="shared" si="32"/>
        <v/>
      </c>
      <c r="N208" s="498" t="str">
        <f>IFERROR(IF(B208="","",INDEX('G-6 Hedgerow Data'!$AN$3:$AZ$15,MATCH(C208,'G-6 Hedgerow Data'!$AM$3:$AM$15,0),MATCH(M208,'G-6 Hedgerow Data'!$AN$2:$AZ$2,0))),"")</f>
        <v/>
      </c>
      <c r="O208" s="499" t="str">
        <f t="shared" si="26"/>
        <v/>
      </c>
      <c r="P208" s="505" t="str">
        <f>IF(B208="","",VLOOKUP(B208,'E-1 Off Site Hedge Baseline'!$B$10:T453,16,FALSE))</f>
        <v/>
      </c>
      <c r="Q208" s="498" t="str">
        <f>IF(M208="","",VLOOKUP(M208,'G-6 Hedgerow Data'!$B$2:$AG$15,2,FALSE))</f>
        <v/>
      </c>
      <c r="R208" s="499" t="str">
        <f>IF(M208="","",VLOOKUP(M208,'G-6 Hedgerow Data'!$B$2:$AG$15,3,FALSE))</f>
        <v/>
      </c>
      <c r="S208" s="145"/>
      <c r="T208" s="499" t="str">
        <f>IFERROR(IF(AND(Q208="V.Low",OR(S208="Good",S208="Moderate")),"Error ▲",VLOOKUP(S208,'G-1 All Habitats'!$Z$2:$AA$9,2,FALSE)),"")</f>
        <v/>
      </c>
      <c r="U208" s="145"/>
      <c r="V208" s="507" t="str">
        <f>IF(U208="","",IF(VLOOKUP(U208,'G-3 Multipliers'!$L$3:$N$6,2,FALSE)=0,"Spatial Data Missing ⚠",VLOOKUP(U208,'G-3 Multipliers'!$L$3:$N$6,2,FALSE)))</f>
        <v/>
      </c>
      <c r="W208" s="505"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5"/>
        <v/>
      </c>
      <c r="AD208" s="537" t="str">
        <f>IF(M208="","",VLOOKUP(M208,'G-6 Hedgerow Data'!$B$3:$AG$15,31,FALSE))</f>
        <v/>
      </c>
      <c r="AE208" s="520" t="str">
        <f t="shared" si="29"/>
        <v/>
      </c>
      <c r="AF208" s="520" t="str">
        <f t="shared" si="30"/>
        <v/>
      </c>
      <c r="AG208" s="524" t="str">
        <f>IFERROR(IF(O208="","",VLOOKUP(AD208,'G-3 Multipliers'!$P$3:$Q$6,2,FALSE)),"")</f>
        <v/>
      </c>
      <c r="AH208" s="197"/>
      <c r="AI208" s="499" t="str">
        <f>IF(AH208="","",IF(VLOOKUP(AH208,'G-3 Multipliers'!$S$3:$T$6,2,FALSE)=0,"Spatial Data Missing ⚠",VLOOKUP(AH208,'G-3 Multipliers'!$S$3:$T$6,2,FALSE)))</f>
        <v/>
      </c>
      <c r="AJ208" s="545" t="str">
        <f t="shared" si="31"/>
        <v/>
      </c>
      <c r="AK208" s="149"/>
      <c r="AL208" s="150"/>
      <c r="AP208" s="31" t="str">
        <f>IFERROR(INDEX('G-6 Hedgerow Data'!$BJ$3:$BJ$15,MATCH(M208,'G-6 Hedgerow Data'!$B$3:$B$15,0)),"")</f>
        <v/>
      </c>
    </row>
    <row r="209" spans="2:42" ht="13.8" x14ac:dyDescent="0.25">
      <c r="B209" s="531" t="str">
        <f>'E-1 Off Site Hedge Baseline'!AK207</f>
        <v/>
      </c>
      <c r="C209" s="520" t="str">
        <f>IF(B209="","",IF(ISNA(VLOOKUP($B209,'E-1 Off Site Hedge Baseline'!$B$1:$L$257,3,FALSE)),"",(VLOOKUP($B209,'E-1 Off Site Hedge Baseline'!$B$1:$L$257,3,FALSE))))</f>
        <v/>
      </c>
      <c r="D209" s="520" t="str">
        <f>IF(B209="","",IF(ISNA(VLOOKUP($B209,'E-1 Off Site Hedge Baseline'!$B$1:$L$258,4,FALSE)),"",(VLOOKUP($B209,'E-1 Off Site Hedge Baseline'!$B$1:$L$258,4,FALSE))))</f>
        <v/>
      </c>
      <c r="E209" s="520" t="str">
        <f>IF(B209="","",IF(ISNA(VLOOKUP($B209,'E-1 Off Site Hedge Baseline'!$B$1:$L$257,5,FALSE)),"",(VLOOKUP($B209,'E-1 Off Site Hedge Baseline'!$B$1:$L$257,5,FALSE))))</f>
        <v/>
      </c>
      <c r="F209" s="520" t="str">
        <f>IF(B209="","",IF(ISNA(VLOOKUP($B209,'E-1 Off Site Hedge Baseline'!$B$1:$L$257,6,FALSE)),"",(VLOOKUP($B209,'E-1 Off Site Hedge Baseline'!$B$1:$L$257,6,FALSE))))</f>
        <v/>
      </c>
      <c r="G209" s="520" t="str">
        <f>IF(B209="","",IF(ISNA(VLOOKUP($B209,'E-1 Off Site Hedge Baseline'!$B$1:$L$257,7,FALSE)),"",(VLOOKUP($B209,'E-1 Off Site Hedge Baseline'!$B$1:$L$257,7,FALSE))))</f>
        <v/>
      </c>
      <c r="H209" s="520" t="str">
        <f>IF(B209="","",IF(ISNA(VLOOKUP($B209,'E-1 Off Site Hedge Baseline'!$B$1:$L$257,8,FALSE)),"",(VLOOKUP($B209,'E-1 Off Site Hedge Baseline'!$B$1:$L$257,8,FALSE))))</f>
        <v/>
      </c>
      <c r="I209" s="520" t="str">
        <f>IF(B209="","",IF(ISNA(VLOOKUP($B209,'E-1 Off Site Hedge Baseline'!$B$1:$L$257,10,FALSE)),"",(VLOOKUP($B209,'E-1 Off Site Hedge Baseline'!$B$1:$L$257,10,FALSE))))</f>
        <v/>
      </c>
      <c r="J209" s="520" t="str">
        <f>IF(B209="","",IF(ISNA(VLOOKUP($B209,'E-1 Off Site Hedge Baseline'!$B$1:$L$257,11,FALSE)),"",(VLOOKUP($B209,'E-1 Off Site Hedge Baseline'!$B$1:$L$257,11,FALSE))))</f>
        <v/>
      </c>
      <c r="K209" s="520" t="str">
        <f>IF(B209="","",IF(ISNA(VLOOKUP($B209,'E-1 Off Site Hedge Baseline'!$B$1:$U$257,113,FALSE)),"",(VLOOKUP($B209,'E-1 Off Site Hedge Baseline'!$B$1:$U$257,13,FALSE))))</f>
        <v/>
      </c>
      <c r="L209" s="507" t="str">
        <f>IF(B209="","",IF(ISNA(VLOOKUP($B209,'E-1 Off Site Hedge Baseline'!$B$1:$U$257,12,FALSE)),"",(VLOOKUP($B209,'E-1 Off Site Hedge Baseline'!$B$1:$U$257,12,FALSE))))</f>
        <v/>
      </c>
      <c r="M209" s="418" t="str">
        <f t="shared" si="32"/>
        <v/>
      </c>
      <c r="N209" s="498" t="str">
        <f>IFERROR(IF(B209="","",INDEX('G-6 Hedgerow Data'!$AN$3:$AZ$15,MATCH(C209,'G-6 Hedgerow Data'!$AM$3:$AM$15,0),MATCH(M209,'G-6 Hedgerow Data'!$AN$2:$AZ$2,0))),"")</f>
        <v/>
      </c>
      <c r="O209" s="499" t="str">
        <f t="shared" si="26"/>
        <v/>
      </c>
      <c r="P209" s="505" t="str">
        <f>IF(B209="","",VLOOKUP(B209,'E-1 Off Site Hedge Baseline'!$B$10:T454,16,FALSE))</f>
        <v/>
      </c>
      <c r="Q209" s="498" t="str">
        <f>IF(M209="","",VLOOKUP(M209,'G-6 Hedgerow Data'!$B$2:$AG$15,2,FALSE))</f>
        <v/>
      </c>
      <c r="R209" s="499" t="str">
        <f>IF(M209="","",VLOOKUP(M209,'G-6 Hedgerow Data'!$B$2:$AG$15,3,FALSE))</f>
        <v/>
      </c>
      <c r="S209" s="145"/>
      <c r="T209" s="499" t="str">
        <f>IFERROR(IF(AND(Q209="V.Low",OR(S209="Good",S209="Moderate")),"Error ▲",VLOOKUP(S209,'G-1 All Habitats'!$Z$2:$AA$9,2,FALSE)),"")</f>
        <v/>
      </c>
      <c r="U209" s="145"/>
      <c r="V209" s="507" t="str">
        <f>IF(U209="","",IF(VLOOKUP(U209,'G-3 Multipliers'!$L$3:$N$6,2,FALSE)=0,"Spatial Data Missing ⚠",VLOOKUP(U209,'G-3 Multipliers'!$L$3:$N$6,2,FALSE)))</f>
        <v/>
      </c>
      <c r="W209" s="505"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5"/>
        <v/>
      </c>
      <c r="AD209" s="537" t="str">
        <f>IF(M209="","",VLOOKUP(M209,'G-6 Hedgerow Data'!$B$3:$AG$15,31,FALSE))</f>
        <v/>
      </c>
      <c r="AE209" s="520" t="str">
        <f t="shared" si="29"/>
        <v/>
      </c>
      <c r="AF209" s="520" t="str">
        <f t="shared" si="30"/>
        <v/>
      </c>
      <c r="AG209" s="524" t="str">
        <f>IFERROR(IF(O209="","",VLOOKUP(AD209,'G-3 Multipliers'!$P$3:$Q$6,2,FALSE)),"")</f>
        <v/>
      </c>
      <c r="AH209" s="197"/>
      <c r="AI209" s="499" t="str">
        <f>IF(AH209="","",IF(VLOOKUP(AH209,'G-3 Multipliers'!$S$3:$T$6,2,FALSE)=0,"Spatial Data Missing ⚠",VLOOKUP(AH209,'G-3 Multipliers'!$S$3:$T$6,2,FALSE)))</f>
        <v/>
      </c>
      <c r="AJ209" s="545" t="str">
        <f t="shared" si="31"/>
        <v/>
      </c>
      <c r="AK209" s="149"/>
      <c r="AL209" s="150"/>
      <c r="AP209" s="31" t="str">
        <f>IFERROR(INDEX('G-6 Hedgerow Data'!$BJ$3:$BJ$15,MATCH(M209,'G-6 Hedgerow Data'!$B$3:$B$15,0)),"")</f>
        <v/>
      </c>
    </row>
    <row r="210" spans="2:42" ht="13.8" x14ac:dyDescent="0.25">
      <c r="B210" s="531" t="str">
        <f>'E-1 Off Site Hedge Baseline'!AK208</f>
        <v/>
      </c>
      <c r="C210" s="520" t="str">
        <f>IF(B210="","",IF(ISNA(VLOOKUP($B210,'E-1 Off Site Hedge Baseline'!$B$1:$L$257,3,FALSE)),"",(VLOOKUP($B210,'E-1 Off Site Hedge Baseline'!$B$1:$L$257,3,FALSE))))</f>
        <v/>
      </c>
      <c r="D210" s="520" t="str">
        <f>IF(B210="","",IF(ISNA(VLOOKUP($B210,'E-1 Off Site Hedge Baseline'!$B$1:$L$258,4,FALSE)),"",(VLOOKUP($B210,'E-1 Off Site Hedge Baseline'!$B$1:$L$258,4,FALSE))))</f>
        <v/>
      </c>
      <c r="E210" s="520" t="str">
        <f>IF(B210="","",IF(ISNA(VLOOKUP($B210,'E-1 Off Site Hedge Baseline'!$B$1:$L$257,5,FALSE)),"",(VLOOKUP($B210,'E-1 Off Site Hedge Baseline'!$B$1:$L$257,5,FALSE))))</f>
        <v/>
      </c>
      <c r="F210" s="520" t="str">
        <f>IF(B210="","",IF(ISNA(VLOOKUP($B210,'E-1 Off Site Hedge Baseline'!$B$1:$L$257,6,FALSE)),"",(VLOOKUP($B210,'E-1 Off Site Hedge Baseline'!$B$1:$L$257,6,FALSE))))</f>
        <v/>
      </c>
      <c r="G210" s="520" t="str">
        <f>IF(B210="","",IF(ISNA(VLOOKUP($B210,'E-1 Off Site Hedge Baseline'!$B$1:$L$257,7,FALSE)),"",(VLOOKUP($B210,'E-1 Off Site Hedge Baseline'!$B$1:$L$257,7,FALSE))))</f>
        <v/>
      </c>
      <c r="H210" s="520" t="str">
        <f>IF(B210="","",IF(ISNA(VLOOKUP($B210,'E-1 Off Site Hedge Baseline'!$B$1:$L$257,8,FALSE)),"",(VLOOKUP($B210,'E-1 Off Site Hedge Baseline'!$B$1:$L$257,8,FALSE))))</f>
        <v/>
      </c>
      <c r="I210" s="520" t="str">
        <f>IF(B210="","",IF(ISNA(VLOOKUP($B210,'E-1 Off Site Hedge Baseline'!$B$1:$L$257,10,FALSE)),"",(VLOOKUP($B210,'E-1 Off Site Hedge Baseline'!$B$1:$L$257,10,FALSE))))</f>
        <v/>
      </c>
      <c r="J210" s="520" t="str">
        <f>IF(B210="","",IF(ISNA(VLOOKUP($B210,'E-1 Off Site Hedge Baseline'!$B$1:$L$257,11,FALSE)),"",(VLOOKUP($B210,'E-1 Off Site Hedge Baseline'!$B$1:$L$257,11,FALSE))))</f>
        <v/>
      </c>
      <c r="K210" s="520" t="str">
        <f>IF(B210="","",IF(ISNA(VLOOKUP($B210,'E-1 Off Site Hedge Baseline'!$B$1:$U$257,113,FALSE)),"",(VLOOKUP($B210,'E-1 Off Site Hedge Baseline'!$B$1:$U$257,13,FALSE))))</f>
        <v/>
      </c>
      <c r="L210" s="507" t="str">
        <f>IF(B210="","",IF(ISNA(VLOOKUP($B210,'E-1 Off Site Hedge Baseline'!$B$1:$U$257,12,FALSE)),"",(VLOOKUP($B210,'E-1 Off Site Hedge Baseline'!$B$1:$U$257,12,FALSE))))</f>
        <v/>
      </c>
      <c r="M210" s="418" t="str">
        <f t="shared" si="32"/>
        <v/>
      </c>
      <c r="N210" s="498" t="str">
        <f>IFERROR(IF(B210="","",INDEX('G-6 Hedgerow Data'!$AN$3:$AZ$15,MATCH(C210,'G-6 Hedgerow Data'!$AM$3:$AM$15,0),MATCH(M210,'G-6 Hedgerow Data'!$AN$2:$AZ$2,0))),"")</f>
        <v/>
      </c>
      <c r="O210" s="499" t="str">
        <f t="shared" si="26"/>
        <v/>
      </c>
      <c r="P210" s="505" t="str">
        <f>IF(B210="","",VLOOKUP(B210,'E-1 Off Site Hedge Baseline'!$B$10:T455,16,FALSE))</f>
        <v/>
      </c>
      <c r="Q210" s="498" t="str">
        <f>IF(M210="","",VLOOKUP(M210,'G-6 Hedgerow Data'!$B$2:$AG$15,2,FALSE))</f>
        <v/>
      </c>
      <c r="R210" s="499" t="str">
        <f>IF(M210="","",VLOOKUP(M210,'G-6 Hedgerow Data'!$B$2:$AG$15,3,FALSE))</f>
        <v/>
      </c>
      <c r="S210" s="145"/>
      <c r="T210" s="499" t="str">
        <f>IFERROR(IF(AND(Q210="V.Low",OR(S210="Good",S210="Moderate")),"Error ▲",VLOOKUP(S210,'G-1 All Habitats'!$Z$2:$AA$9,2,FALSE)),"")</f>
        <v/>
      </c>
      <c r="U210" s="145"/>
      <c r="V210" s="507" t="str">
        <f>IF(U210="","",IF(VLOOKUP(U210,'G-3 Multipliers'!$L$3:$N$6,2,FALSE)=0,"Spatial Data Missing ⚠",VLOOKUP(U210,'G-3 Multipliers'!$L$3:$N$6,2,FALSE)))</f>
        <v/>
      </c>
      <c r="W210" s="505"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5"/>
        <v/>
      </c>
      <c r="AD210" s="537" t="str">
        <f>IF(M210="","",VLOOKUP(M210,'G-6 Hedgerow Data'!$B$3:$AG$15,31,FALSE))</f>
        <v/>
      </c>
      <c r="AE210" s="520" t="str">
        <f t="shared" si="29"/>
        <v/>
      </c>
      <c r="AF210" s="520" t="str">
        <f t="shared" si="30"/>
        <v/>
      </c>
      <c r="AG210" s="524" t="str">
        <f>IFERROR(IF(O210="","",VLOOKUP(AD210,'G-3 Multipliers'!$P$3:$Q$6,2,FALSE)),"")</f>
        <v/>
      </c>
      <c r="AH210" s="197"/>
      <c r="AI210" s="499" t="str">
        <f>IF(AH210="","",IF(VLOOKUP(AH210,'G-3 Multipliers'!$S$3:$T$6,2,FALSE)=0,"Spatial Data Missing ⚠",VLOOKUP(AH210,'G-3 Multipliers'!$S$3:$T$6,2,FALSE)))</f>
        <v/>
      </c>
      <c r="AJ210" s="545" t="str">
        <f t="shared" si="31"/>
        <v/>
      </c>
      <c r="AK210" s="149"/>
      <c r="AL210" s="150"/>
      <c r="AP210" s="31" t="str">
        <f>IFERROR(INDEX('G-6 Hedgerow Data'!$BJ$3:$BJ$15,MATCH(M210,'G-6 Hedgerow Data'!$B$3:$B$15,0)),"")</f>
        <v/>
      </c>
    </row>
    <row r="211" spans="2:42" ht="13.8" x14ac:dyDescent="0.25">
      <c r="B211" s="531" t="str">
        <f>'E-1 Off Site Hedge Baseline'!AK209</f>
        <v/>
      </c>
      <c r="C211" s="520" t="str">
        <f>IF(B211="","",IF(ISNA(VLOOKUP($B211,'E-1 Off Site Hedge Baseline'!$B$1:$L$257,3,FALSE)),"",(VLOOKUP($B211,'E-1 Off Site Hedge Baseline'!$B$1:$L$257,3,FALSE))))</f>
        <v/>
      </c>
      <c r="D211" s="520" t="str">
        <f>IF(B211="","",IF(ISNA(VLOOKUP($B211,'E-1 Off Site Hedge Baseline'!$B$1:$L$258,4,FALSE)),"",(VLOOKUP($B211,'E-1 Off Site Hedge Baseline'!$B$1:$L$258,4,FALSE))))</f>
        <v/>
      </c>
      <c r="E211" s="520" t="str">
        <f>IF(B211="","",IF(ISNA(VLOOKUP($B211,'E-1 Off Site Hedge Baseline'!$B$1:$L$257,5,FALSE)),"",(VLOOKUP($B211,'E-1 Off Site Hedge Baseline'!$B$1:$L$257,5,FALSE))))</f>
        <v/>
      </c>
      <c r="F211" s="520" t="str">
        <f>IF(B211="","",IF(ISNA(VLOOKUP($B211,'E-1 Off Site Hedge Baseline'!$B$1:$L$257,6,FALSE)),"",(VLOOKUP($B211,'E-1 Off Site Hedge Baseline'!$B$1:$L$257,6,FALSE))))</f>
        <v/>
      </c>
      <c r="G211" s="520" t="str">
        <f>IF(B211="","",IF(ISNA(VLOOKUP($B211,'E-1 Off Site Hedge Baseline'!$B$1:$L$257,7,FALSE)),"",(VLOOKUP($B211,'E-1 Off Site Hedge Baseline'!$B$1:$L$257,7,FALSE))))</f>
        <v/>
      </c>
      <c r="H211" s="520" t="str">
        <f>IF(B211="","",IF(ISNA(VLOOKUP($B211,'E-1 Off Site Hedge Baseline'!$B$1:$L$257,8,FALSE)),"",(VLOOKUP($B211,'E-1 Off Site Hedge Baseline'!$B$1:$L$257,8,FALSE))))</f>
        <v/>
      </c>
      <c r="I211" s="520" t="str">
        <f>IF(B211="","",IF(ISNA(VLOOKUP($B211,'E-1 Off Site Hedge Baseline'!$B$1:$L$257,10,FALSE)),"",(VLOOKUP($B211,'E-1 Off Site Hedge Baseline'!$B$1:$L$257,10,FALSE))))</f>
        <v/>
      </c>
      <c r="J211" s="520" t="str">
        <f>IF(B211="","",IF(ISNA(VLOOKUP($B211,'E-1 Off Site Hedge Baseline'!$B$1:$L$257,11,FALSE)),"",(VLOOKUP($B211,'E-1 Off Site Hedge Baseline'!$B$1:$L$257,11,FALSE))))</f>
        <v/>
      </c>
      <c r="K211" s="520" t="str">
        <f>IF(B211="","",IF(ISNA(VLOOKUP($B211,'E-1 Off Site Hedge Baseline'!$B$1:$U$257,113,FALSE)),"",(VLOOKUP($B211,'E-1 Off Site Hedge Baseline'!$B$1:$U$257,13,FALSE))))</f>
        <v/>
      </c>
      <c r="L211" s="507" t="str">
        <f>IF(B211="","",IF(ISNA(VLOOKUP($B211,'E-1 Off Site Hedge Baseline'!$B$1:$U$257,12,FALSE)),"",(VLOOKUP($B211,'E-1 Off Site Hedge Baseline'!$B$1:$U$257,12,FALSE))))</f>
        <v/>
      </c>
      <c r="M211" s="418" t="str">
        <f t="shared" si="32"/>
        <v/>
      </c>
      <c r="N211" s="498" t="str">
        <f>IFERROR(IF(B211="","",INDEX('G-6 Hedgerow Data'!$AN$3:$AZ$15,MATCH(C211,'G-6 Hedgerow Data'!$AM$3:$AM$15,0),MATCH(M211,'G-6 Hedgerow Data'!$AN$2:$AZ$2,0))),"")</f>
        <v/>
      </c>
      <c r="O211" s="499" t="str">
        <f t="shared" si="26"/>
        <v/>
      </c>
      <c r="P211" s="505" t="str">
        <f>IF(B211="","",VLOOKUP(B211,'E-1 Off Site Hedge Baseline'!$B$10:T456,16,FALSE))</f>
        <v/>
      </c>
      <c r="Q211" s="498" t="str">
        <f>IF(M211="","",VLOOKUP(M211,'G-6 Hedgerow Data'!$B$2:$AG$15,2,FALSE))</f>
        <v/>
      </c>
      <c r="R211" s="499" t="str">
        <f>IF(M211="","",VLOOKUP(M211,'G-6 Hedgerow Data'!$B$2:$AG$15,3,FALSE))</f>
        <v/>
      </c>
      <c r="S211" s="145"/>
      <c r="T211" s="499" t="str">
        <f>IFERROR(IF(AND(Q211="V.Low",OR(S211="Good",S211="Moderate")),"Error ▲",VLOOKUP(S211,'G-1 All Habitats'!$Z$2:$AA$9,2,FALSE)),"")</f>
        <v/>
      </c>
      <c r="U211" s="145"/>
      <c r="V211" s="507" t="str">
        <f>IF(U211="","",IF(VLOOKUP(U211,'G-3 Multipliers'!$L$3:$N$6,2,FALSE)=0,"Spatial Data Missing ⚠",VLOOKUP(U211,'G-3 Multipliers'!$L$3:$N$6,2,FALSE)))</f>
        <v/>
      </c>
      <c r="W211" s="505"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5"/>
        <v/>
      </c>
      <c r="AD211" s="537" t="str">
        <f>IF(M211="","",VLOOKUP(M211,'G-6 Hedgerow Data'!$B$3:$AG$15,31,FALSE))</f>
        <v/>
      </c>
      <c r="AE211" s="520" t="str">
        <f t="shared" si="29"/>
        <v/>
      </c>
      <c r="AF211" s="520" t="str">
        <f t="shared" si="30"/>
        <v/>
      </c>
      <c r="AG211" s="524" t="str">
        <f>IFERROR(IF(O211="","",VLOOKUP(AD211,'G-3 Multipliers'!$P$3:$Q$6,2,FALSE)),"")</f>
        <v/>
      </c>
      <c r="AH211" s="197"/>
      <c r="AI211" s="499" t="str">
        <f>IF(AH211="","",IF(VLOOKUP(AH211,'G-3 Multipliers'!$S$3:$T$6,2,FALSE)=0,"Spatial Data Missing ⚠",VLOOKUP(AH211,'G-3 Multipliers'!$S$3:$T$6,2,FALSE)))</f>
        <v/>
      </c>
      <c r="AJ211" s="545" t="str">
        <f t="shared" si="31"/>
        <v/>
      </c>
      <c r="AK211" s="149"/>
      <c r="AL211" s="150"/>
      <c r="AP211" s="31" t="str">
        <f>IFERROR(INDEX('G-6 Hedgerow Data'!$BJ$3:$BJ$15,MATCH(M211,'G-6 Hedgerow Data'!$B$3:$B$15,0)),"")</f>
        <v/>
      </c>
    </row>
    <row r="212" spans="2:42" ht="13.8" x14ac:dyDescent="0.25">
      <c r="B212" s="531" t="str">
        <f>'E-1 Off Site Hedge Baseline'!AK210</f>
        <v/>
      </c>
      <c r="C212" s="520" t="str">
        <f>IF(B212="","",IF(ISNA(VLOOKUP($B212,'E-1 Off Site Hedge Baseline'!$B$1:$L$257,3,FALSE)),"",(VLOOKUP($B212,'E-1 Off Site Hedge Baseline'!$B$1:$L$257,3,FALSE))))</f>
        <v/>
      </c>
      <c r="D212" s="520" t="str">
        <f>IF(B212="","",IF(ISNA(VLOOKUP($B212,'E-1 Off Site Hedge Baseline'!$B$1:$L$258,4,FALSE)),"",(VLOOKUP($B212,'E-1 Off Site Hedge Baseline'!$B$1:$L$258,4,FALSE))))</f>
        <v/>
      </c>
      <c r="E212" s="520" t="str">
        <f>IF(B212="","",IF(ISNA(VLOOKUP($B212,'E-1 Off Site Hedge Baseline'!$B$1:$L$257,5,FALSE)),"",(VLOOKUP($B212,'E-1 Off Site Hedge Baseline'!$B$1:$L$257,5,FALSE))))</f>
        <v/>
      </c>
      <c r="F212" s="520" t="str">
        <f>IF(B212="","",IF(ISNA(VLOOKUP($B212,'E-1 Off Site Hedge Baseline'!$B$1:$L$257,6,FALSE)),"",(VLOOKUP($B212,'E-1 Off Site Hedge Baseline'!$B$1:$L$257,6,FALSE))))</f>
        <v/>
      </c>
      <c r="G212" s="520" t="str">
        <f>IF(B212="","",IF(ISNA(VLOOKUP($B212,'E-1 Off Site Hedge Baseline'!$B$1:$L$257,7,FALSE)),"",(VLOOKUP($B212,'E-1 Off Site Hedge Baseline'!$B$1:$L$257,7,FALSE))))</f>
        <v/>
      </c>
      <c r="H212" s="520" t="str">
        <f>IF(B212="","",IF(ISNA(VLOOKUP($B212,'E-1 Off Site Hedge Baseline'!$B$1:$L$257,8,FALSE)),"",(VLOOKUP($B212,'E-1 Off Site Hedge Baseline'!$B$1:$L$257,8,FALSE))))</f>
        <v/>
      </c>
      <c r="I212" s="520" t="str">
        <f>IF(B212="","",IF(ISNA(VLOOKUP($B212,'E-1 Off Site Hedge Baseline'!$B$1:$L$257,10,FALSE)),"",(VLOOKUP($B212,'E-1 Off Site Hedge Baseline'!$B$1:$L$257,10,FALSE))))</f>
        <v/>
      </c>
      <c r="J212" s="520" t="str">
        <f>IF(B212="","",IF(ISNA(VLOOKUP($B212,'E-1 Off Site Hedge Baseline'!$B$1:$L$257,11,FALSE)),"",(VLOOKUP($B212,'E-1 Off Site Hedge Baseline'!$B$1:$L$257,11,FALSE))))</f>
        <v/>
      </c>
      <c r="K212" s="520" t="str">
        <f>IF(B212="","",IF(ISNA(VLOOKUP($B212,'E-1 Off Site Hedge Baseline'!$B$1:$U$257,113,FALSE)),"",(VLOOKUP($B212,'E-1 Off Site Hedge Baseline'!$B$1:$U$257,13,FALSE))))</f>
        <v/>
      </c>
      <c r="L212" s="507" t="str">
        <f>IF(B212="","",IF(ISNA(VLOOKUP($B212,'E-1 Off Site Hedge Baseline'!$B$1:$U$257,12,FALSE)),"",(VLOOKUP($B212,'E-1 Off Site Hedge Baseline'!$B$1:$U$257,12,FALSE))))</f>
        <v/>
      </c>
      <c r="M212" s="418" t="str">
        <f t="shared" si="32"/>
        <v/>
      </c>
      <c r="N212" s="498" t="str">
        <f>IFERROR(IF(B212="","",INDEX('G-6 Hedgerow Data'!$AN$3:$AZ$15,MATCH(C212,'G-6 Hedgerow Data'!$AM$3:$AM$15,0),MATCH(M212,'G-6 Hedgerow Data'!$AN$2:$AZ$2,0))),"")</f>
        <v/>
      </c>
      <c r="O212" s="499" t="str">
        <f t="shared" si="26"/>
        <v/>
      </c>
      <c r="P212" s="505" t="str">
        <f>IF(B212="","",VLOOKUP(B212,'E-1 Off Site Hedge Baseline'!$B$10:T457,16,FALSE))</f>
        <v/>
      </c>
      <c r="Q212" s="498" t="str">
        <f>IF(M212="","",VLOOKUP(M212,'G-6 Hedgerow Data'!$B$2:$AG$15,2,FALSE))</f>
        <v/>
      </c>
      <c r="R212" s="499" t="str">
        <f>IF(M212="","",VLOOKUP(M212,'G-6 Hedgerow Data'!$B$2:$AG$15,3,FALSE))</f>
        <v/>
      </c>
      <c r="S212" s="145"/>
      <c r="T212" s="499" t="str">
        <f>IFERROR(IF(AND(Q212="V.Low",OR(S212="Good",S212="Moderate")),"Error ▲",VLOOKUP(S212,'G-1 All Habitats'!$Z$2:$AA$9,2,FALSE)),"")</f>
        <v/>
      </c>
      <c r="U212" s="145"/>
      <c r="V212" s="507" t="str">
        <f>IF(U212="","",IF(VLOOKUP(U212,'G-3 Multipliers'!$L$3:$N$6,2,FALSE)=0,"Spatial Data Missing ⚠",VLOOKUP(U212,'G-3 Multipliers'!$L$3:$N$6,2,FALSE)))</f>
        <v/>
      </c>
      <c r="W212" s="505"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5"/>
        <v/>
      </c>
      <c r="AD212" s="537" t="str">
        <f>IF(M212="","",VLOOKUP(M212,'G-6 Hedgerow Data'!$B$3:$AG$15,31,FALSE))</f>
        <v/>
      </c>
      <c r="AE212" s="520" t="str">
        <f t="shared" si="29"/>
        <v/>
      </c>
      <c r="AF212" s="520" t="str">
        <f t="shared" si="30"/>
        <v/>
      </c>
      <c r="AG212" s="524" t="str">
        <f>IFERROR(IF(O212="","",VLOOKUP(AD212,'G-3 Multipliers'!$P$3:$Q$6,2,FALSE)),"")</f>
        <v/>
      </c>
      <c r="AH212" s="197"/>
      <c r="AI212" s="499" t="str">
        <f>IF(AH212="","",IF(VLOOKUP(AH212,'G-3 Multipliers'!$S$3:$T$6,2,FALSE)=0,"Spatial Data Missing ⚠",VLOOKUP(AH212,'G-3 Multipliers'!$S$3:$T$6,2,FALSE)))</f>
        <v/>
      </c>
      <c r="AJ212" s="545" t="str">
        <f t="shared" si="31"/>
        <v/>
      </c>
      <c r="AK212" s="149"/>
      <c r="AL212" s="150"/>
      <c r="AP212" s="31" t="str">
        <f>IFERROR(INDEX('G-6 Hedgerow Data'!$BJ$3:$BJ$15,MATCH(M212,'G-6 Hedgerow Data'!$B$3:$B$15,0)),"")</f>
        <v/>
      </c>
    </row>
    <row r="213" spans="2:42" ht="13.8" x14ac:dyDescent="0.25">
      <c r="B213" s="531" t="str">
        <f>'E-1 Off Site Hedge Baseline'!AK211</f>
        <v/>
      </c>
      <c r="C213" s="520" t="str">
        <f>IF(B213="","",IF(ISNA(VLOOKUP($B213,'E-1 Off Site Hedge Baseline'!$B$1:$L$257,3,FALSE)),"",(VLOOKUP($B213,'E-1 Off Site Hedge Baseline'!$B$1:$L$257,3,FALSE))))</f>
        <v/>
      </c>
      <c r="D213" s="520" t="str">
        <f>IF(B213="","",IF(ISNA(VLOOKUP($B213,'E-1 Off Site Hedge Baseline'!$B$1:$L$258,4,FALSE)),"",(VLOOKUP($B213,'E-1 Off Site Hedge Baseline'!$B$1:$L$258,4,FALSE))))</f>
        <v/>
      </c>
      <c r="E213" s="520" t="str">
        <f>IF(B213="","",IF(ISNA(VLOOKUP($B213,'E-1 Off Site Hedge Baseline'!$B$1:$L$257,5,FALSE)),"",(VLOOKUP($B213,'E-1 Off Site Hedge Baseline'!$B$1:$L$257,5,FALSE))))</f>
        <v/>
      </c>
      <c r="F213" s="520" t="str">
        <f>IF(B213="","",IF(ISNA(VLOOKUP($B213,'E-1 Off Site Hedge Baseline'!$B$1:$L$257,6,FALSE)),"",(VLOOKUP($B213,'E-1 Off Site Hedge Baseline'!$B$1:$L$257,6,FALSE))))</f>
        <v/>
      </c>
      <c r="G213" s="520" t="str">
        <f>IF(B213="","",IF(ISNA(VLOOKUP($B213,'E-1 Off Site Hedge Baseline'!$B$1:$L$257,7,FALSE)),"",(VLOOKUP($B213,'E-1 Off Site Hedge Baseline'!$B$1:$L$257,7,FALSE))))</f>
        <v/>
      </c>
      <c r="H213" s="520" t="str">
        <f>IF(B213="","",IF(ISNA(VLOOKUP($B213,'E-1 Off Site Hedge Baseline'!$B$1:$L$257,8,FALSE)),"",(VLOOKUP($B213,'E-1 Off Site Hedge Baseline'!$B$1:$L$257,8,FALSE))))</f>
        <v/>
      </c>
      <c r="I213" s="520" t="str">
        <f>IF(B213="","",IF(ISNA(VLOOKUP($B213,'E-1 Off Site Hedge Baseline'!$B$1:$L$257,10,FALSE)),"",(VLOOKUP($B213,'E-1 Off Site Hedge Baseline'!$B$1:$L$257,10,FALSE))))</f>
        <v/>
      </c>
      <c r="J213" s="520" t="str">
        <f>IF(B213="","",IF(ISNA(VLOOKUP($B213,'E-1 Off Site Hedge Baseline'!$B$1:$L$257,11,FALSE)),"",(VLOOKUP($B213,'E-1 Off Site Hedge Baseline'!$B$1:$L$257,11,FALSE))))</f>
        <v/>
      </c>
      <c r="K213" s="520" t="str">
        <f>IF(B213="","",IF(ISNA(VLOOKUP($B213,'E-1 Off Site Hedge Baseline'!$B$1:$U$257,113,FALSE)),"",(VLOOKUP($B213,'E-1 Off Site Hedge Baseline'!$B$1:$U$257,13,FALSE))))</f>
        <v/>
      </c>
      <c r="L213" s="507" t="str">
        <f>IF(B213="","",IF(ISNA(VLOOKUP($B213,'E-1 Off Site Hedge Baseline'!$B$1:$U$257,12,FALSE)),"",(VLOOKUP($B213,'E-1 Off Site Hedge Baseline'!$B$1:$U$257,12,FALSE))))</f>
        <v/>
      </c>
      <c r="M213" s="418" t="str">
        <f t="shared" si="32"/>
        <v/>
      </c>
      <c r="N213" s="498" t="str">
        <f>IFERROR(IF(B213="","",INDEX('G-6 Hedgerow Data'!$AN$3:$AZ$15,MATCH(C213,'G-6 Hedgerow Data'!$AM$3:$AM$15,0),MATCH(M213,'G-6 Hedgerow Data'!$AN$2:$AZ$2,0))),"")</f>
        <v/>
      </c>
      <c r="O213" s="499" t="str">
        <f t="shared" si="26"/>
        <v/>
      </c>
      <c r="P213" s="505" t="str">
        <f>IF(B213="","",VLOOKUP(B213,'E-1 Off Site Hedge Baseline'!$B$10:T458,16,FALSE))</f>
        <v/>
      </c>
      <c r="Q213" s="498" t="str">
        <f>IF(M213="","",VLOOKUP(M213,'G-6 Hedgerow Data'!$B$2:$AG$15,2,FALSE))</f>
        <v/>
      </c>
      <c r="R213" s="499" t="str">
        <f>IF(M213="","",VLOOKUP(M213,'G-6 Hedgerow Data'!$B$2:$AG$15,3,FALSE))</f>
        <v/>
      </c>
      <c r="S213" s="145"/>
      <c r="T213" s="499" t="str">
        <f>IFERROR(IF(AND(Q213="V.Low",OR(S213="Good",S213="Moderate")),"Error ▲",VLOOKUP(S213,'G-1 All Habitats'!$Z$2:$AA$9,2,FALSE)),"")</f>
        <v/>
      </c>
      <c r="U213" s="145"/>
      <c r="V213" s="507" t="str">
        <f>IF(U213="","",IF(VLOOKUP(U213,'G-3 Multipliers'!$L$3:$N$6,2,FALSE)=0,"Spatial Data Missing ⚠",VLOOKUP(U213,'G-3 Multipliers'!$L$3:$N$6,2,FALSE)))</f>
        <v/>
      </c>
      <c r="W213" s="505"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5"/>
        <v/>
      </c>
      <c r="AD213" s="537" t="str">
        <f>IF(M213="","",VLOOKUP(M213,'G-6 Hedgerow Data'!$B$3:$AG$15,31,FALSE))</f>
        <v/>
      </c>
      <c r="AE213" s="520" t="str">
        <f t="shared" si="29"/>
        <v/>
      </c>
      <c r="AF213" s="520" t="str">
        <f t="shared" si="30"/>
        <v/>
      </c>
      <c r="AG213" s="524" t="str">
        <f>IFERROR(IF(O213="","",VLOOKUP(AD213,'G-3 Multipliers'!$P$3:$Q$6,2,FALSE)),"")</f>
        <v/>
      </c>
      <c r="AH213" s="197"/>
      <c r="AI213" s="499" t="str">
        <f>IF(AH213="","",IF(VLOOKUP(AH213,'G-3 Multipliers'!$S$3:$T$6,2,FALSE)=0,"Spatial Data Missing ⚠",VLOOKUP(AH213,'G-3 Multipliers'!$S$3:$T$6,2,FALSE)))</f>
        <v/>
      </c>
      <c r="AJ213" s="545" t="str">
        <f t="shared" si="31"/>
        <v/>
      </c>
      <c r="AK213" s="149"/>
      <c r="AL213" s="150"/>
      <c r="AP213" s="31" t="str">
        <f>IFERROR(INDEX('G-6 Hedgerow Data'!$BJ$3:$BJ$15,MATCH(M213,'G-6 Hedgerow Data'!$B$3:$B$15,0)),"")</f>
        <v/>
      </c>
    </row>
    <row r="214" spans="2:42" ht="13.8" x14ac:dyDescent="0.25">
      <c r="B214" s="531" t="str">
        <f>'E-1 Off Site Hedge Baseline'!AK212</f>
        <v/>
      </c>
      <c r="C214" s="520" t="str">
        <f>IF(B214="","",IF(ISNA(VLOOKUP($B214,'E-1 Off Site Hedge Baseline'!$B$1:$L$257,3,FALSE)),"",(VLOOKUP($B214,'E-1 Off Site Hedge Baseline'!$B$1:$L$257,3,FALSE))))</f>
        <v/>
      </c>
      <c r="D214" s="520" t="str">
        <f>IF(B214="","",IF(ISNA(VLOOKUP($B214,'E-1 Off Site Hedge Baseline'!$B$1:$L$258,4,FALSE)),"",(VLOOKUP($B214,'E-1 Off Site Hedge Baseline'!$B$1:$L$258,4,FALSE))))</f>
        <v/>
      </c>
      <c r="E214" s="520" t="str">
        <f>IF(B214="","",IF(ISNA(VLOOKUP($B214,'E-1 Off Site Hedge Baseline'!$B$1:$L$257,5,FALSE)),"",(VLOOKUP($B214,'E-1 Off Site Hedge Baseline'!$B$1:$L$257,5,FALSE))))</f>
        <v/>
      </c>
      <c r="F214" s="520" t="str">
        <f>IF(B214="","",IF(ISNA(VLOOKUP($B214,'E-1 Off Site Hedge Baseline'!$B$1:$L$257,6,FALSE)),"",(VLOOKUP($B214,'E-1 Off Site Hedge Baseline'!$B$1:$L$257,6,FALSE))))</f>
        <v/>
      </c>
      <c r="G214" s="520" t="str">
        <f>IF(B214="","",IF(ISNA(VLOOKUP($B214,'E-1 Off Site Hedge Baseline'!$B$1:$L$257,7,FALSE)),"",(VLOOKUP($B214,'E-1 Off Site Hedge Baseline'!$B$1:$L$257,7,FALSE))))</f>
        <v/>
      </c>
      <c r="H214" s="520" t="str">
        <f>IF(B214="","",IF(ISNA(VLOOKUP($B214,'E-1 Off Site Hedge Baseline'!$B$1:$L$257,8,FALSE)),"",(VLOOKUP($B214,'E-1 Off Site Hedge Baseline'!$B$1:$L$257,8,FALSE))))</f>
        <v/>
      </c>
      <c r="I214" s="520" t="str">
        <f>IF(B214="","",IF(ISNA(VLOOKUP($B214,'E-1 Off Site Hedge Baseline'!$B$1:$L$257,10,FALSE)),"",(VLOOKUP($B214,'E-1 Off Site Hedge Baseline'!$B$1:$L$257,10,FALSE))))</f>
        <v/>
      </c>
      <c r="J214" s="520" t="str">
        <f>IF(B214="","",IF(ISNA(VLOOKUP($B214,'E-1 Off Site Hedge Baseline'!$B$1:$L$257,11,FALSE)),"",(VLOOKUP($B214,'E-1 Off Site Hedge Baseline'!$B$1:$L$257,11,FALSE))))</f>
        <v/>
      </c>
      <c r="K214" s="520" t="str">
        <f>IF(B214="","",IF(ISNA(VLOOKUP($B214,'E-1 Off Site Hedge Baseline'!$B$1:$U$257,113,FALSE)),"",(VLOOKUP($B214,'E-1 Off Site Hedge Baseline'!$B$1:$U$257,13,FALSE))))</f>
        <v/>
      </c>
      <c r="L214" s="507" t="str">
        <f>IF(B214="","",IF(ISNA(VLOOKUP($B214,'E-1 Off Site Hedge Baseline'!$B$1:$U$257,12,FALSE)),"",(VLOOKUP($B214,'E-1 Off Site Hedge Baseline'!$B$1:$U$257,12,FALSE))))</f>
        <v/>
      </c>
      <c r="M214" s="418" t="str">
        <f t="shared" si="32"/>
        <v/>
      </c>
      <c r="N214" s="498" t="str">
        <f>IFERROR(IF(B214="","",INDEX('G-6 Hedgerow Data'!$AN$3:$AZ$15,MATCH(C214,'G-6 Hedgerow Data'!$AM$3:$AM$15,0),MATCH(M214,'G-6 Hedgerow Data'!$AN$2:$AZ$2,0))),"")</f>
        <v/>
      </c>
      <c r="O214" s="499" t="str">
        <f t="shared" si="26"/>
        <v/>
      </c>
      <c r="P214" s="505" t="str">
        <f>IF(B214="","",VLOOKUP(B214,'E-1 Off Site Hedge Baseline'!$B$10:T459,16,FALSE))</f>
        <v/>
      </c>
      <c r="Q214" s="498" t="str">
        <f>IF(M214="","",VLOOKUP(M214,'G-6 Hedgerow Data'!$B$2:$AG$15,2,FALSE))</f>
        <v/>
      </c>
      <c r="R214" s="499" t="str">
        <f>IF(M214="","",VLOOKUP(M214,'G-6 Hedgerow Data'!$B$2:$AG$15,3,FALSE))</f>
        <v/>
      </c>
      <c r="S214" s="145"/>
      <c r="T214" s="499" t="str">
        <f>IFERROR(IF(AND(Q214="V.Low",OR(S214="Good",S214="Moderate")),"Error ▲",VLOOKUP(S214,'G-1 All Habitats'!$Z$2:$AA$9,2,FALSE)),"")</f>
        <v/>
      </c>
      <c r="U214" s="145"/>
      <c r="V214" s="507" t="str">
        <f>IF(U214="","",IF(VLOOKUP(U214,'G-3 Multipliers'!$L$3:$N$6,2,FALSE)=0,"Spatial Data Missing ⚠",VLOOKUP(U214,'G-3 Multipliers'!$L$3:$N$6,2,FALSE)))</f>
        <v/>
      </c>
      <c r="W214" s="505"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5"/>
        <v/>
      </c>
      <c r="AD214" s="537" t="str">
        <f>IF(M214="","",VLOOKUP(M214,'G-6 Hedgerow Data'!$B$3:$AG$15,31,FALSE))</f>
        <v/>
      </c>
      <c r="AE214" s="520" t="str">
        <f t="shared" si="29"/>
        <v/>
      </c>
      <c r="AF214" s="520" t="str">
        <f t="shared" si="30"/>
        <v/>
      </c>
      <c r="AG214" s="524" t="str">
        <f>IFERROR(IF(O214="","",VLOOKUP(AD214,'G-3 Multipliers'!$P$3:$Q$6,2,FALSE)),"")</f>
        <v/>
      </c>
      <c r="AH214" s="197"/>
      <c r="AI214" s="499" t="str">
        <f>IF(AH214="","",IF(VLOOKUP(AH214,'G-3 Multipliers'!$S$3:$T$6,2,FALSE)=0,"Spatial Data Missing ⚠",VLOOKUP(AH214,'G-3 Multipliers'!$S$3:$T$6,2,FALSE)))</f>
        <v/>
      </c>
      <c r="AJ214" s="545" t="str">
        <f t="shared" si="31"/>
        <v/>
      </c>
      <c r="AK214" s="149"/>
      <c r="AL214" s="150"/>
      <c r="AP214" s="31" t="str">
        <f>IFERROR(INDEX('G-6 Hedgerow Data'!$BJ$3:$BJ$15,MATCH(M214,'G-6 Hedgerow Data'!$B$3:$B$15,0)),"")</f>
        <v/>
      </c>
    </row>
    <row r="215" spans="2:42" ht="13.8" x14ac:dyDescent="0.25">
      <c r="B215" s="531" t="str">
        <f>'E-1 Off Site Hedge Baseline'!AK213</f>
        <v/>
      </c>
      <c r="C215" s="520" t="str">
        <f>IF(B215="","",IF(ISNA(VLOOKUP($B215,'E-1 Off Site Hedge Baseline'!$B$1:$L$257,3,FALSE)),"",(VLOOKUP($B215,'E-1 Off Site Hedge Baseline'!$B$1:$L$257,3,FALSE))))</f>
        <v/>
      </c>
      <c r="D215" s="520" t="str">
        <f>IF(B215="","",IF(ISNA(VLOOKUP($B215,'E-1 Off Site Hedge Baseline'!$B$1:$L$258,4,FALSE)),"",(VLOOKUP($B215,'E-1 Off Site Hedge Baseline'!$B$1:$L$258,4,FALSE))))</f>
        <v/>
      </c>
      <c r="E215" s="520" t="str">
        <f>IF(B215="","",IF(ISNA(VLOOKUP($B215,'E-1 Off Site Hedge Baseline'!$B$1:$L$257,5,FALSE)),"",(VLOOKUP($B215,'E-1 Off Site Hedge Baseline'!$B$1:$L$257,5,FALSE))))</f>
        <v/>
      </c>
      <c r="F215" s="520" t="str">
        <f>IF(B215="","",IF(ISNA(VLOOKUP($B215,'E-1 Off Site Hedge Baseline'!$B$1:$L$257,6,FALSE)),"",(VLOOKUP($B215,'E-1 Off Site Hedge Baseline'!$B$1:$L$257,6,FALSE))))</f>
        <v/>
      </c>
      <c r="G215" s="520" t="str">
        <f>IF(B215="","",IF(ISNA(VLOOKUP($B215,'E-1 Off Site Hedge Baseline'!$B$1:$L$257,7,FALSE)),"",(VLOOKUP($B215,'E-1 Off Site Hedge Baseline'!$B$1:$L$257,7,FALSE))))</f>
        <v/>
      </c>
      <c r="H215" s="520" t="str">
        <f>IF(B215="","",IF(ISNA(VLOOKUP($B215,'E-1 Off Site Hedge Baseline'!$B$1:$L$257,8,FALSE)),"",(VLOOKUP($B215,'E-1 Off Site Hedge Baseline'!$B$1:$L$257,8,FALSE))))</f>
        <v/>
      </c>
      <c r="I215" s="520" t="str">
        <f>IF(B215="","",IF(ISNA(VLOOKUP($B215,'E-1 Off Site Hedge Baseline'!$B$1:$L$257,10,FALSE)),"",(VLOOKUP($B215,'E-1 Off Site Hedge Baseline'!$B$1:$L$257,10,FALSE))))</f>
        <v/>
      </c>
      <c r="J215" s="520" t="str">
        <f>IF(B215="","",IF(ISNA(VLOOKUP($B215,'E-1 Off Site Hedge Baseline'!$B$1:$L$257,11,FALSE)),"",(VLOOKUP($B215,'E-1 Off Site Hedge Baseline'!$B$1:$L$257,11,FALSE))))</f>
        <v/>
      </c>
      <c r="K215" s="520" t="str">
        <f>IF(B215="","",IF(ISNA(VLOOKUP($B215,'E-1 Off Site Hedge Baseline'!$B$1:$U$257,113,FALSE)),"",(VLOOKUP($B215,'E-1 Off Site Hedge Baseline'!$B$1:$U$257,13,FALSE))))</f>
        <v/>
      </c>
      <c r="L215" s="507" t="str">
        <f>IF(B215="","",IF(ISNA(VLOOKUP($B215,'E-1 Off Site Hedge Baseline'!$B$1:$U$257,12,FALSE)),"",(VLOOKUP($B215,'E-1 Off Site Hedge Baseline'!$B$1:$U$257,12,FALSE))))</f>
        <v/>
      </c>
      <c r="M215" s="418" t="str">
        <f t="shared" si="32"/>
        <v/>
      </c>
      <c r="N215" s="498" t="str">
        <f>IFERROR(IF(B215="","",INDEX('G-6 Hedgerow Data'!$AN$3:$AZ$15,MATCH(C215,'G-6 Hedgerow Data'!$AM$3:$AM$15,0),MATCH(M215,'G-6 Hedgerow Data'!$AN$2:$AZ$2,0))),"")</f>
        <v/>
      </c>
      <c r="O215" s="499" t="str">
        <f t="shared" si="26"/>
        <v/>
      </c>
      <c r="P215" s="505" t="str">
        <f>IF(B215="","",VLOOKUP(B215,'E-1 Off Site Hedge Baseline'!$B$10:T460,16,FALSE))</f>
        <v/>
      </c>
      <c r="Q215" s="498" t="str">
        <f>IF(M215="","",VLOOKUP(M215,'G-6 Hedgerow Data'!$B$2:$AG$15,2,FALSE))</f>
        <v/>
      </c>
      <c r="R215" s="499" t="str">
        <f>IF(M215="","",VLOOKUP(M215,'G-6 Hedgerow Data'!$B$2:$AG$15,3,FALSE))</f>
        <v/>
      </c>
      <c r="S215" s="145"/>
      <c r="T215" s="499" t="str">
        <f>IFERROR(IF(AND(Q215="V.Low",OR(S215="Good",S215="Moderate")),"Error ▲",VLOOKUP(S215,'G-1 All Habitats'!$Z$2:$AA$9,2,FALSE)),"")</f>
        <v/>
      </c>
      <c r="U215" s="145"/>
      <c r="V215" s="507" t="str">
        <f>IF(U215="","",IF(VLOOKUP(U215,'G-3 Multipliers'!$L$3:$N$6,2,FALSE)=0,"Spatial Data Missing ⚠",VLOOKUP(U215,'G-3 Multipliers'!$L$3:$N$6,2,FALSE)))</f>
        <v/>
      </c>
      <c r="W215" s="505"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5"/>
        <v/>
      </c>
      <c r="AD215" s="537" t="str">
        <f>IF(M215="","",VLOOKUP(M215,'G-6 Hedgerow Data'!$B$3:$AG$15,31,FALSE))</f>
        <v/>
      </c>
      <c r="AE215" s="520" t="str">
        <f t="shared" si="29"/>
        <v/>
      </c>
      <c r="AF215" s="520" t="str">
        <f t="shared" si="30"/>
        <v/>
      </c>
      <c r="AG215" s="524" t="str">
        <f>IFERROR(IF(O215="","",VLOOKUP(AD215,'G-3 Multipliers'!$P$3:$Q$6,2,FALSE)),"")</f>
        <v/>
      </c>
      <c r="AH215" s="197"/>
      <c r="AI215" s="499" t="str">
        <f>IF(AH215="","",IF(VLOOKUP(AH215,'G-3 Multipliers'!$S$3:$T$6,2,FALSE)=0,"Spatial Data Missing ⚠",VLOOKUP(AH215,'G-3 Multipliers'!$S$3:$T$6,2,FALSE)))</f>
        <v/>
      </c>
      <c r="AJ215" s="545" t="str">
        <f t="shared" si="31"/>
        <v/>
      </c>
      <c r="AK215" s="149"/>
      <c r="AL215" s="150"/>
      <c r="AP215" s="31" t="str">
        <f>IFERROR(INDEX('G-6 Hedgerow Data'!$BJ$3:$BJ$15,MATCH(M215,'G-6 Hedgerow Data'!$B$3:$B$15,0)),"")</f>
        <v/>
      </c>
    </row>
    <row r="216" spans="2:42" ht="13.8" x14ac:dyDescent="0.25">
      <c r="B216" s="531" t="str">
        <f>'E-1 Off Site Hedge Baseline'!AK214</f>
        <v/>
      </c>
      <c r="C216" s="520" t="str">
        <f>IF(B216="","",IF(ISNA(VLOOKUP($B216,'E-1 Off Site Hedge Baseline'!$B$1:$L$257,3,FALSE)),"",(VLOOKUP($B216,'E-1 Off Site Hedge Baseline'!$B$1:$L$257,3,FALSE))))</f>
        <v/>
      </c>
      <c r="D216" s="520" t="str">
        <f>IF(B216="","",IF(ISNA(VLOOKUP($B216,'E-1 Off Site Hedge Baseline'!$B$1:$L$258,4,FALSE)),"",(VLOOKUP($B216,'E-1 Off Site Hedge Baseline'!$B$1:$L$258,4,FALSE))))</f>
        <v/>
      </c>
      <c r="E216" s="520" t="str">
        <f>IF(B216="","",IF(ISNA(VLOOKUP($B216,'E-1 Off Site Hedge Baseline'!$B$1:$L$257,5,FALSE)),"",(VLOOKUP($B216,'E-1 Off Site Hedge Baseline'!$B$1:$L$257,5,FALSE))))</f>
        <v/>
      </c>
      <c r="F216" s="520" t="str">
        <f>IF(B216="","",IF(ISNA(VLOOKUP($B216,'E-1 Off Site Hedge Baseline'!$B$1:$L$257,6,FALSE)),"",(VLOOKUP($B216,'E-1 Off Site Hedge Baseline'!$B$1:$L$257,6,FALSE))))</f>
        <v/>
      </c>
      <c r="G216" s="520" t="str">
        <f>IF(B216="","",IF(ISNA(VLOOKUP($B216,'E-1 Off Site Hedge Baseline'!$B$1:$L$257,7,FALSE)),"",(VLOOKUP($B216,'E-1 Off Site Hedge Baseline'!$B$1:$L$257,7,FALSE))))</f>
        <v/>
      </c>
      <c r="H216" s="520" t="str">
        <f>IF(B216="","",IF(ISNA(VLOOKUP($B216,'E-1 Off Site Hedge Baseline'!$B$1:$L$257,8,FALSE)),"",(VLOOKUP($B216,'E-1 Off Site Hedge Baseline'!$B$1:$L$257,8,FALSE))))</f>
        <v/>
      </c>
      <c r="I216" s="520" t="str">
        <f>IF(B216="","",IF(ISNA(VLOOKUP($B216,'E-1 Off Site Hedge Baseline'!$B$1:$L$257,10,FALSE)),"",(VLOOKUP($B216,'E-1 Off Site Hedge Baseline'!$B$1:$L$257,10,FALSE))))</f>
        <v/>
      </c>
      <c r="J216" s="520" t="str">
        <f>IF(B216="","",IF(ISNA(VLOOKUP($B216,'E-1 Off Site Hedge Baseline'!$B$1:$L$257,11,FALSE)),"",(VLOOKUP($B216,'E-1 Off Site Hedge Baseline'!$B$1:$L$257,11,FALSE))))</f>
        <v/>
      </c>
      <c r="K216" s="520" t="str">
        <f>IF(B216="","",IF(ISNA(VLOOKUP($B216,'E-1 Off Site Hedge Baseline'!$B$1:$U$257,113,FALSE)),"",(VLOOKUP($B216,'E-1 Off Site Hedge Baseline'!$B$1:$U$257,13,FALSE))))</f>
        <v/>
      </c>
      <c r="L216" s="507" t="str">
        <f>IF(B216="","",IF(ISNA(VLOOKUP($B216,'E-1 Off Site Hedge Baseline'!$B$1:$U$257,12,FALSE)),"",(VLOOKUP($B216,'E-1 Off Site Hedge Baseline'!$B$1:$U$257,12,FALSE))))</f>
        <v/>
      </c>
      <c r="M216" s="418" t="str">
        <f t="shared" si="32"/>
        <v/>
      </c>
      <c r="N216" s="498" t="str">
        <f>IFERROR(IF(B216="","",INDEX('G-6 Hedgerow Data'!$AN$3:$AZ$15,MATCH(C216,'G-6 Hedgerow Data'!$AM$3:$AM$15,0),MATCH(M216,'G-6 Hedgerow Data'!$AN$2:$AZ$2,0))),"")</f>
        <v/>
      </c>
      <c r="O216" s="499" t="str">
        <f t="shared" si="26"/>
        <v/>
      </c>
      <c r="P216" s="505" t="str">
        <f>IF(B216="","",VLOOKUP(B216,'E-1 Off Site Hedge Baseline'!$B$10:T461,16,FALSE))</f>
        <v/>
      </c>
      <c r="Q216" s="498" t="str">
        <f>IF(M216="","",VLOOKUP(M216,'G-6 Hedgerow Data'!$B$2:$AG$15,2,FALSE))</f>
        <v/>
      </c>
      <c r="R216" s="499" t="str">
        <f>IF(M216="","",VLOOKUP(M216,'G-6 Hedgerow Data'!$B$2:$AG$15,3,FALSE))</f>
        <v/>
      </c>
      <c r="S216" s="145"/>
      <c r="T216" s="499" t="str">
        <f>IFERROR(IF(AND(Q216="V.Low",OR(S216="Good",S216="Moderate")),"Error ▲",VLOOKUP(S216,'G-1 All Habitats'!$Z$2:$AA$9,2,FALSE)),"")</f>
        <v/>
      </c>
      <c r="U216" s="145"/>
      <c r="V216" s="507" t="str">
        <f>IF(U216="","",IF(VLOOKUP(U216,'G-3 Multipliers'!$L$3:$N$6,2,FALSE)=0,"Spatial Data Missing ⚠",VLOOKUP(U216,'G-3 Multipliers'!$L$3:$N$6,2,FALSE)))</f>
        <v/>
      </c>
      <c r="W216" s="505"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5"/>
        <v/>
      </c>
      <c r="AD216" s="537" t="str">
        <f>IF(M216="","",VLOOKUP(M216,'G-6 Hedgerow Data'!$B$3:$AG$15,31,FALSE))</f>
        <v/>
      </c>
      <c r="AE216" s="520" t="str">
        <f t="shared" si="29"/>
        <v/>
      </c>
      <c r="AF216" s="520" t="str">
        <f t="shared" si="30"/>
        <v/>
      </c>
      <c r="AG216" s="524" t="str">
        <f>IFERROR(IF(O216="","",VLOOKUP(AD216,'G-3 Multipliers'!$P$3:$Q$6,2,FALSE)),"")</f>
        <v/>
      </c>
      <c r="AH216" s="197"/>
      <c r="AI216" s="499" t="str">
        <f>IF(AH216="","",IF(VLOOKUP(AH216,'G-3 Multipliers'!$S$3:$T$6,2,FALSE)=0,"Spatial Data Missing ⚠",VLOOKUP(AH216,'G-3 Multipliers'!$S$3:$T$6,2,FALSE)))</f>
        <v/>
      </c>
      <c r="AJ216" s="545" t="str">
        <f t="shared" si="31"/>
        <v/>
      </c>
      <c r="AK216" s="149"/>
      <c r="AL216" s="150"/>
      <c r="AP216" s="31" t="str">
        <f>IFERROR(INDEX('G-6 Hedgerow Data'!$BJ$3:$BJ$15,MATCH(M216,'G-6 Hedgerow Data'!$B$3:$B$15,0)),"")</f>
        <v/>
      </c>
    </row>
    <row r="217" spans="2:42" ht="13.8" x14ac:dyDescent="0.25">
      <c r="B217" s="531" t="str">
        <f>'E-1 Off Site Hedge Baseline'!AK215</f>
        <v/>
      </c>
      <c r="C217" s="520" t="str">
        <f>IF(B217="","",IF(ISNA(VLOOKUP($B217,'E-1 Off Site Hedge Baseline'!$B$1:$L$257,3,FALSE)),"",(VLOOKUP($B217,'E-1 Off Site Hedge Baseline'!$B$1:$L$257,3,FALSE))))</f>
        <v/>
      </c>
      <c r="D217" s="520" t="str">
        <f>IF(B217="","",IF(ISNA(VLOOKUP($B217,'E-1 Off Site Hedge Baseline'!$B$1:$L$258,4,FALSE)),"",(VLOOKUP($B217,'E-1 Off Site Hedge Baseline'!$B$1:$L$258,4,FALSE))))</f>
        <v/>
      </c>
      <c r="E217" s="520" t="str">
        <f>IF(B217="","",IF(ISNA(VLOOKUP($B217,'E-1 Off Site Hedge Baseline'!$B$1:$L$257,5,FALSE)),"",(VLOOKUP($B217,'E-1 Off Site Hedge Baseline'!$B$1:$L$257,5,FALSE))))</f>
        <v/>
      </c>
      <c r="F217" s="520" t="str">
        <f>IF(B217="","",IF(ISNA(VLOOKUP($B217,'E-1 Off Site Hedge Baseline'!$B$1:$L$257,6,FALSE)),"",(VLOOKUP($B217,'E-1 Off Site Hedge Baseline'!$B$1:$L$257,6,FALSE))))</f>
        <v/>
      </c>
      <c r="G217" s="520" t="str">
        <f>IF(B217="","",IF(ISNA(VLOOKUP($B217,'E-1 Off Site Hedge Baseline'!$B$1:$L$257,7,FALSE)),"",(VLOOKUP($B217,'E-1 Off Site Hedge Baseline'!$B$1:$L$257,7,FALSE))))</f>
        <v/>
      </c>
      <c r="H217" s="520" t="str">
        <f>IF(B217="","",IF(ISNA(VLOOKUP($B217,'E-1 Off Site Hedge Baseline'!$B$1:$L$257,8,FALSE)),"",(VLOOKUP($B217,'E-1 Off Site Hedge Baseline'!$B$1:$L$257,8,FALSE))))</f>
        <v/>
      </c>
      <c r="I217" s="520" t="str">
        <f>IF(B217="","",IF(ISNA(VLOOKUP($B217,'E-1 Off Site Hedge Baseline'!$B$1:$L$257,10,FALSE)),"",(VLOOKUP($B217,'E-1 Off Site Hedge Baseline'!$B$1:$L$257,10,FALSE))))</f>
        <v/>
      </c>
      <c r="J217" s="520" t="str">
        <f>IF(B217="","",IF(ISNA(VLOOKUP($B217,'E-1 Off Site Hedge Baseline'!$B$1:$L$257,11,FALSE)),"",(VLOOKUP($B217,'E-1 Off Site Hedge Baseline'!$B$1:$L$257,11,FALSE))))</f>
        <v/>
      </c>
      <c r="K217" s="520" t="str">
        <f>IF(B217="","",IF(ISNA(VLOOKUP($B217,'E-1 Off Site Hedge Baseline'!$B$1:$U$257,113,FALSE)),"",(VLOOKUP($B217,'E-1 Off Site Hedge Baseline'!$B$1:$U$257,13,FALSE))))</f>
        <v/>
      </c>
      <c r="L217" s="507" t="str">
        <f>IF(B217="","",IF(ISNA(VLOOKUP($B217,'E-1 Off Site Hedge Baseline'!$B$1:$U$257,12,FALSE)),"",(VLOOKUP($B217,'E-1 Off Site Hedge Baseline'!$B$1:$U$257,12,FALSE))))</f>
        <v/>
      </c>
      <c r="M217" s="418" t="str">
        <f t="shared" si="32"/>
        <v/>
      </c>
      <c r="N217" s="498" t="str">
        <f>IFERROR(IF(B217="","",INDEX('G-6 Hedgerow Data'!$AN$3:$AZ$15,MATCH(C217,'G-6 Hedgerow Data'!$AM$3:$AM$15,0),MATCH(M217,'G-6 Hedgerow Data'!$AN$2:$AZ$2,0))),"")</f>
        <v/>
      </c>
      <c r="O217" s="499" t="str">
        <f t="shared" si="26"/>
        <v/>
      </c>
      <c r="P217" s="505" t="str">
        <f>IF(B217="","",VLOOKUP(B217,'E-1 Off Site Hedge Baseline'!$B$10:T462,16,FALSE))</f>
        <v/>
      </c>
      <c r="Q217" s="498" t="str">
        <f>IF(M217="","",VLOOKUP(M217,'G-6 Hedgerow Data'!$B$2:$AG$15,2,FALSE))</f>
        <v/>
      </c>
      <c r="R217" s="499" t="str">
        <f>IF(M217="","",VLOOKUP(M217,'G-6 Hedgerow Data'!$B$2:$AG$15,3,FALSE))</f>
        <v/>
      </c>
      <c r="S217" s="145"/>
      <c r="T217" s="499" t="str">
        <f>IFERROR(IF(AND(Q217="V.Low",OR(S217="Good",S217="Moderate")),"Error ▲",VLOOKUP(S217,'G-1 All Habitats'!$Z$2:$AA$9,2,FALSE)),"")</f>
        <v/>
      </c>
      <c r="U217" s="145"/>
      <c r="V217" s="507" t="str">
        <f>IF(U217="","",IF(VLOOKUP(U217,'G-3 Multipliers'!$L$3:$N$6,2,FALSE)=0,"Spatial Data Missing ⚠",VLOOKUP(U217,'G-3 Multipliers'!$L$3:$N$6,2,FALSE)))</f>
        <v/>
      </c>
      <c r="W217" s="505"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5"/>
        <v/>
      </c>
      <c r="AD217" s="537" t="str">
        <f>IF(M217="","",VLOOKUP(M217,'G-6 Hedgerow Data'!$B$3:$AG$15,31,FALSE))</f>
        <v/>
      </c>
      <c r="AE217" s="520" t="str">
        <f t="shared" si="29"/>
        <v/>
      </c>
      <c r="AF217" s="520" t="str">
        <f t="shared" si="30"/>
        <v/>
      </c>
      <c r="AG217" s="524" t="str">
        <f>IFERROR(IF(O217="","",VLOOKUP(AD217,'G-3 Multipliers'!$P$3:$Q$6,2,FALSE)),"")</f>
        <v/>
      </c>
      <c r="AH217" s="197"/>
      <c r="AI217" s="499" t="str">
        <f>IF(AH217="","",IF(VLOOKUP(AH217,'G-3 Multipliers'!$S$3:$T$6,2,FALSE)=0,"Spatial Data Missing ⚠",VLOOKUP(AH217,'G-3 Multipliers'!$S$3:$T$6,2,FALSE)))</f>
        <v/>
      </c>
      <c r="AJ217" s="545" t="str">
        <f t="shared" si="31"/>
        <v/>
      </c>
      <c r="AK217" s="149"/>
      <c r="AL217" s="150"/>
      <c r="AP217" s="31" t="str">
        <f>IFERROR(INDEX('G-6 Hedgerow Data'!$BJ$3:$BJ$15,MATCH(M217,'G-6 Hedgerow Data'!$B$3:$B$15,0)),"")</f>
        <v/>
      </c>
    </row>
    <row r="218" spans="2:42" ht="13.8" x14ac:dyDescent="0.25">
      <c r="B218" s="531" t="str">
        <f>'E-1 Off Site Hedge Baseline'!AK216</f>
        <v/>
      </c>
      <c r="C218" s="520" t="str">
        <f>IF(B218="","",IF(ISNA(VLOOKUP($B218,'E-1 Off Site Hedge Baseline'!$B$1:$L$257,3,FALSE)),"",(VLOOKUP($B218,'E-1 Off Site Hedge Baseline'!$B$1:$L$257,3,FALSE))))</f>
        <v/>
      </c>
      <c r="D218" s="520" t="str">
        <f>IF(B218="","",IF(ISNA(VLOOKUP($B218,'E-1 Off Site Hedge Baseline'!$B$1:$L$258,4,FALSE)),"",(VLOOKUP($B218,'E-1 Off Site Hedge Baseline'!$B$1:$L$258,4,FALSE))))</f>
        <v/>
      </c>
      <c r="E218" s="520" t="str">
        <f>IF(B218="","",IF(ISNA(VLOOKUP($B218,'E-1 Off Site Hedge Baseline'!$B$1:$L$257,5,FALSE)),"",(VLOOKUP($B218,'E-1 Off Site Hedge Baseline'!$B$1:$L$257,5,FALSE))))</f>
        <v/>
      </c>
      <c r="F218" s="520" t="str">
        <f>IF(B218="","",IF(ISNA(VLOOKUP($B218,'E-1 Off Site Hedge Baseline'!$B$1:$L$257,6,FALSE)),"",(VLOOKUP($B218,'E-1 Off Site Hedge Baseline'!$B$1:$L$257,6,FALSE))))</f>
        <v/>
      </c>
      <c r="G218" s="520" t="str">
        <f>IF(B218="","",IF(ISNA(VLOOKUP($B218,'E-1 Off Site Hedge Baseline'!$B$1:$L$257,7,FALSE)),"",(VLOOKUP($B218,'E-1 Off Site Hedge Baseline'!$B$1:$L$257,7,FALSE))))</f>
        <v/>
      </c>
      <c r="H218" s="520" t="str">
        <f>IF(B218="","",IF(ISNA(VLOOKUP($B218,'E-1 Off Site Hedge Baseline'!$B$1:$L$257,8,FALSE)),"",(VLOOKUP($B218,'E-1 Off Site Hedge Baseline'!$B$1:$L$257,8,FALSE))))</f>
        <v/>
      </c>
      <c r="I218" s="520" t="str">
        <f>IF(B218="","",IF(ISNA(VLOOKUP($B218,'E-1 Off Site Hedge Baseline'!$B$1:$L$257,10,FALSE)),"",(VLOOKUP($B218,'E-1 Off Site Hedge Baseline'!$B$1:$L$257,10,FALSE))))</f>
        <v/>
      </c>
      <c r="J218" s="520" t="str">
        <f>IF(B218="","",IF(ISNA(VLOOKUP($B218,'E-1 Off Site Hedge Baseline'!$B$1:$L$257,11,FALSE)),"",(VLOOKUP($B218,'E-1 Off Site Hedge Baseline'!$B$1:$L$257,11,FALSE))))</f>
        <v/>
      </c>
      <c r="K218" s="520" t="str">
        <f>IF(B218="","",IF(ISNA(VLOOKUP($B218,'E-1 Off Site Hedge Baseline'!$B$1:$U$257,113,FALSE)),"",(VLOOKUP($B218,'E-1 Off Site Hedge Baseline'!$B$1:$U$257,13,FALSE))))</f>
        <v/>
      </c>
      <c r="L218" s="507" t="str">
        <f>IF(B218="","",IF(ISNA(VLOOKUP($B218,'E-1 Off Site Hedge Baseline'!$B$1:$U$257,12,FALSE)),"",(VLOOKUP($B218,'E-1 Off Site Hedge Baseline'!$B$1:$U$257,12,FALSE))))</f>
        <v/>
      </c>
      <c r="M218" s="418" t="str">
        <f t="shared" si="32"/>
        <v/>
      </c>
      <c r="N218" s="498" t="str">
        <f>IFERROR(IF(B218="","",INDEX('G-6 Hedgerow Data'!$AN$3:$AZ$15,MATCH(C218,'G-6 Hedgerow Data'!$AM$3:$AM$15,0),MATCH(M218,'G-6 Hedgerow Data'!$AN$2:$AZ$2,0))),"")</f>
        <v/>
      </c>
      <c r="O218" s="499" t="str">
        <f t="shared" si="26"/>
        <v/>
      </c>
      <c r="P218" s="505" t="str">
        <f>IF(B218="","",VLOOKUP(B218,'E-1 Off Site Hedge Baseline'!$B$10:T463,16,FALSE))</f>
        <v/>
      </c>
      <c r="Q218" s="498" t="str">
        <f>IF(M218="","",VLOOKUP(M218,'G-6 Hedgerow Data'!$B$2:$AG$15,2,FALSE))</f>
        <v/>
      </c>
      <c r="R218" s="499" t="str">
        <f>IF(M218="","",VLOOKUP(M218,'G-6 Hedgerow Data'!$B$2:$AG$15,3,FALSE))</f>
        <v/>
      </c>
      <c r="S218" s="145"/>
      <c r="T218" s="499" t="str">
        <f>IFERROR(IF(AND(Q218="V.Low",OR(S218="Good",S218="Moderate")),"Error ▲",VLOOKUP(S218,'G-1 All Habitats'!$Z$2:$AA$9,2,FALSE)),"")</f>
        <v/>
      </c>
      <c r="U218" s="145"/>
      <c r="V218" s="507" t="str">
        <f>IF(U218="","",IF(VLOOKUP(U218,'G-3 Multipliers'!$L$3:$N$6,2,FALSE)=0,"Spatial Data Missing ⚠",VLOOKUP(U218,'G-3 Multipliers'!$L$3:$N$6,2,FALSE)))</f>
        <v/>
      </c>
      <c r="W218" s="505"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5"/>
        <v/>
      </c>
      <c r="AD218" s="537" t="str">
        <f>IF(M218="","",VLOOKUP(M218,'G-6 Hedgerow Data'!$B$3:$AG$15,31,FALSE))</f>
        <v/>
      </c>
      <c r="AE218" s="520" t="str">
        <f t="shared" si="29"/>
        <v/>
      </c>
      <c r="AF218" s="520" t="str">
        <f t="shared" si="30"/>
        <v/>
      </c>
      <c r="AG218" s="524" t="str">
        <f>IFERROR(IF(O218="","",VLOOKUP(AD218,'G-3 Multipliers'!$P$3:$Q$6,2,FALSE)),"")</f>
        <v/>
      </c>
      <c r="AH218" s="197"/>
      <c r="AI218" s="499" t="str">
        <f>IF(AH218="","",IF(VLOOKUP(AH218,'G-3 Multipliers'!$S$3:$T$6,2,FALSE)=0,"Spatial Data Missing ⚠",VLOOKUP(AH218,'G-3 Multipliers'!$S$3:$T$6,2,FALSE)))</f>
        <v/>
      </c>
      <c r="AJ218" s="545" t="str">
        <f t="shared" si="31"/>
        <v/>
      </c>
      <c r="AK218" s="149"/>
      <c r="AL218" s="150"/>
      <c r="AP218" s="31" t="str">
        <f>IFERROR(INDEX('G-6 Hedgerow Data'!$BJ$3:$BJ$15,MATCH(M218,'G-6 Hedgerow Data'!$B$3:$B$15,0)),"")</f>
        <v/>
      </c>
    </row>
    <row r="219" spans="2:42" ht="13.8" x14ac:dyDescent="0.25">
      <c r="B219" s="531" t="str">
        <f>'E-1 Off Site Hedge Baseline'!AK217</f>
        <v/>
      </c>
      <c r="C219" s="520" t="str">
        <f>IF(B219="","",IF(ISNA(VLOOKUP($B219,'E-1 Off Site Hedge Baseline'!$B$1:$L$257,3,FALSE)),"",(VLOOKUP($B219,'E-1 Off Site Hedge Baseline'!$B$1:$L$257,3,FALSE))))</f>
        <v/>
      </c>
      <c r="D219" s="520" t="str">
        <f>IF(B219="","",IF(ISNA(VLOOKUP($B219,'E-1 Off Site Hedge Baseline'!$B$1:$L$258,4,FALSE)),"",(VLOOKUP($B219,'E-1 Off Site Hedge Baseline'!$B$1:$L$258,4,FALSE))))</f>
        <v/>
      </c>
      <c r="E219" s="520" t="str">
        <f>IF(B219="","",IF(ISNA(VLOOKUP($B219,'E-1 Off Site Hedge Baseline'!$B$1:$L$257,5,FALSE)),"",(VLOOKUP($B219,'E-1 Off Site Hedge Baseline'!$B$1:$L$257,5,FALSE))))</f>
        <v/>
      </c>
      <c r="F219" s="520" t="str">
        <f>IF(B219="","",IF(ISNA(VLOOKUP($B219,'E-1 Off Site Hedge Baseline'!$B$1:$L$257,6,FALSE)),"",(VLOOKUP($B219,'E-1 Off Site Hedge Baseline'!$B$1:$L$257,6,FALSE))))</f>
        <v/>
      </c>
      <c r="G219" s="520" t="str">
        <f>IF(B219="","",IF(ISNA(VLOOKUP($B219,'E-1 Off Site Hedge Baseline'!$B$1:$L$257,7,FALSE)),"",(VLOOKUP($B219,'E-1 Off Site Hedge Baseline'!$B$1:$L$257,7,FALSE))))</f>
        <v/>
      </c>
      <c r="H219" s="520" t="str">
        <f>IF(B219="","",IF(ISNA(VLOOKUP($B219,'E-1 Off Site Hedge Baseline'!$B$1:$L$257,8,FALSE)),"",(VLOOKUP($B219,'E-1 Off Site Hedge Baseline'!$B$1:$L$257,8,FALSE))))</f>
        <v/>
      </c>
      <c r="I219" s="520" t="str">
        <f>IF(B219="","",IF(ISNA(VLOOKUP($B219,'E-1 Off Site Hedge Baseline'!$B$1:$L$257,10,FALSE)),"",(VLOOKUP($B219,'E-1 Off Site Hedge Baseline'!$B$1:$L$257,10,FALSE))))</f>
        <v/>
      </c>
      <c r="J219" s="520" t="str">
        <f>IF(B219="","",IF(ISNA(VLOOKUP($B219,'E-1 Off Site Hedge Baseline'!$B$1:$L$257,11,FALSE)),"",(VLOOKUP($B219,'E-1 Off Site Hedge Baseline'!$B$1:$L$257,11,FALSE))))</f>
        <v/>
      </c>
      <c r="K219" s="520" t="str">
        <f>IF(B219="","",IF(ISNA(VLOOKUP($B219,'E-1 Off Site Hedge Baseline'!$B$1:$U$257,113,FALSE)),"",(VLOOKUP($B219,'E-1 Off Site Hedge Baseline'!$B$1:$U$257,13,FALSE))))</f>
        <v/>
      </c>
      <c r="L219" s="507" t="str">
        <f>IF(B219="","",IF(ISNA(VLOOKUP($B219,'E-1 Off Site Hedge Baseline'!$B$1:$U$257,12,FALSE)),"",(VLOOKUP($B219,'E-1 Off Site Hedge Baseline'!$B$1:$U$257,12,FALSE))))</f>
        <v/>
      </c>
      <c r="M219" s="418" t="str">
        <f t="shared" si="32"/>
        <v/>
      </c>
      <c r="N219" s="498" t="str">
        <f>IFERROR(IF(B219="","",INDEX('G-6 Hedgerow Data'!$AN$3:$AZ$15,MATCH(C219,'G-6 Hedgerow Data'!$AM$3:$AM$15,0),MATCH(M219,'G-6 Hedgerow Data'!$AN$2:$AZ$2,0))),"")</f>
        <v/>
      </c>
      <c r="O219" s="499" t="str">
        <f t="shared" si="26"/>
        <v/>
      </c>
      <c r="P219" s="505" t="str">
        <f>IF(B219="","",VLOOKUP(B219,'E-1 Off Site Hedge Baseline'!$B$10:T464,16,FALSE))</f>
        <v/>
      </c>
      <c r="Q219" s="498" t="str">
        <f>IF(M219="","",VLOOKUP(M219,'G-6 Hedgerow Data'!$B$2:$AG$15,2,FALSE))</f>
        <v/>
      </c>
      <c r="R219" s="499" t="str">
        <f>IF(M219="","",VLOOKUP(M219,'G-6 Hedgerow Data'!$B$2:$AG$15,3,FALSE))</f>
        <v/>
      </c>
      <c r="S219" s="145"/>
      <c r="T219" s="499" t="str">
        <f>IFERROR(IF(AND(Q219="V.Low",OR(S219="Good",S219="Moderate")),"Error ▲",VLOOKUP(S219,'G-1 All Habitats'!$Z$2:$AA$9,2,FALSE)),"")</f>
        <v/>
      </c>
      <c r="U219" s="145"/>
      <c r="V219" s="507" t="str">
        <f>IF(U219="","",IF(VLOOKUP(U219,'G-3 Multipliers'!$L$3:$N$6,2,FALSE)=0,"Spatial Data Missing ⚠",VLOOKUP(U219,'G-3 Multipliers'!$L$3:$N$6,2,FALSE)))</f>
        <v/>
      </c>
      <c r="W219" s="505"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5"/>
        <v/>
      </c>
      <c r="AD219" s="537" t="str">
        <f>IF(M219="","",VLOOKUP(M219,'G-6 Hedgerow Data'!$B$3:$AG$15,31,FALSE))</f>
        <v/>
      </c>
      <c r="AE219" s="520" t="str">
        <f t="shared" si="29"/>
        <v/>
      </c>
      <c r="AF219" s="520" t="str">
        <f t="shared" si="30"/>
        <v/>
      </c>
      <c r="AG219" s="524" t="str">
        <f>IFERROR(IF(O219="","",VLOOKUP(AD219,'G-3 Multipliers'!$P$3:$Q$6,2,FALSE)),"")</f>
        <v/>
      </c>
      <c r="AH219" s="197"/>
      <c r="AI219" s="499" t="str">
        <f>IF(AH219="","",IF(VLOOKUP(AH219,'G-3 Multipliers'!$S$3:$T$6,2,FALSE)=0,"Spatial Data Missing ⚠",VLOOKUP(AH219,'G-3 Multipliers'!$S$3:$T$6,2,FALSE)))</f>
        <v/>
      </c>
      <c r="AJ219" s="545" t="str">
        <f t="shared" si="31"/>
        <v/>
      </c>
      <c r="AK219" s="149"/>
      <c r="AL219" s="150"/>
      <c r="AP219" s="31" t="str">
        <f>IFERROR(INDEX('G-6 Hedgerow Data'!$BJ$3:$BJ$15,MATCH(M219,'G-6 Hedgerow Data'!$B$3:$B$15,0)),"")</f>
        <v/>
      </c>
    </row>
    <row r="220" spans="2:42" ht="13.8" x14ac:dyDescent="0.25">
      <c r="B220" s="531" t="str">
        <f>'E-1 Off Site Hedge Baseline'!AK218</f>
        <v/>
      </c>
      <c r="C220" s="520" t="str">
        <f>IF(B220="","",IF(ISNA(VLOOKUP($B220,'E-1 Off Site Hedge Baseline'!$B$1:$L$257,3,FALSE)),"",(VLOOKUP($B220,'E-1 Off Site Hedge Baseline'!$B$1:$L$257,3,FALSE))))</f>
        <v/>
      </c>
      <c r="D220" s="520" t="str">
        <f>IF(B220="","",IF(ISNA(VLOOKUP($B220,'E-1 Off Site Hedge Baseline'!$B$1:$L$258,4,FALSE)),"",(VLOOKUP($B220,'E-1 Off Site Hedge Baseline'!$B$1:$L$258,4,FALSE))))</f>
        <v/>
      </c>
      <c r="E220" s="520" t="str">
        <f>IF(B220="","",IF(ISNA(VLOOKUP($B220,'E-1 Off Site Hedge Baseline'!$B$1:$L$257,5,FALSE)),"",(VLOOKUP($B220,'E-1 Off Site Hedge Baseline'!$B$1:$L$257,5,FALSE))))</f>
        <v/>
      </c>
      <c r="F220" s="520" t="str">
        <f>IF(B220="","",IF(ISNA(VLOOKUP($B220,'E-1 Off Site Hedge Baseline'!$B$1:$L$257,6,FALSE)),"",(VLOOKUP($B220,'E-1 Off Site Hedge Baseline'!$B$1:$L$257,6,FALSE))))</f>
        <v/>
      </c>
      <c r="G220" s="520" t="str">
        <f>IF(B220="","",IF(ISNA(VLOOKUP($B220,'E-1 Off Site Hedge Baseline'!$B$1:$L$257,7,FALSE)),"",(VLOOKUP($B220,'E-1 Off Site Hedge Baseline'!$B$1:$L$257,7,FALSE))))</f>
        <v/>
      </c>
      <c r="H220" s="520" t="str">
        <f>IF(B220="","",IF(ISNA(VLOOKUP($B220,'E-1 Off Site Hedge Baseline'!$B$1:$L$257,8,FALSE)),"",(VLOOKUP($B220,'E-1 Off Site Hedge Baseline'!$B$1:$L$257,8,FALSE))))</f>
        <v/>
      </c>
      <c r="I220" s="520" t="str">
        <f>IF(B220="","",IF(ISNA(VLOOKUP($B220,'E-1 Off Site Hedge Baseline'!$B$1:$L$257,10,FALSE)),"",(VLOOKUP($B220,'E-1 Off Site Hedge Baseline'!$B$1:$L$257,10,FALSE))))</f>
        <v/>
      </c>
      <c r="J220" s="520" t="str">
        <f>IF(B220="","",IF(ISNA(VLOOKUP($B220,'E-1 Off Site Hedge Baseline'!$B$1:$L$257,11,FALSE)),"",(VLOOKUP($B220,'E-1 Off Site Hedge Baseline'!$B$1:$L$257,11,FALSE))))</f>
        <v/>
      </c>
      <c r="K220" s="520" t="str">
        <f>IF(B220="","",IF(ISNA(VLOOKUP($B220,'E-1 Off Site Hedge Baseline'!$B$1:$U$257,113,FALSE)),"",(VLOOKUP($B220,'E-1 Off Site Hedge Baseline'!$B$1:$U$257,13,FALSE))))</f>
        <v/>
      </c>
      <c r="L220" s="507" t="str">
        <f>IF(B220="","",IF(ISNA(VLOOKUP($B220,'E-1 Off Site Hedge Baseline'!$B$1:$U$257,12,FALSE)),"",(VLOOKUP($B220,'E-1 Off Site Hedge Baseline'!$B$1:$U$257,12,FALSE))))</f>
        <v/>
      </c>
      <c r="M220" s="418" t="str">
        <f t="shared" si="32"/>
        <v/>
      </c>
      <c r="N220" s="498" t="str">
        <f>IFERROR(IF(B220="","",INDEX('G-6 Hedgerow Data'!$AN$3:$AZ$15,MATCH(C220,'G-6 Hedgerow Data'!$AM$3:$AM$15,0),MATCH(M220,'G-6 Hedgerow Data'!$AN$2:$AZ$2,0))),"")</f>
        <v/>
      </c>
      <c r="O220" s="499" t="str">
        <f t="shared" si="26"/>
        <v/>
      </c>
      <c r="P220" s="505" t="str">
        <f>IF(B220="","",VLOOKUP(B220,'E-1 Off Site Hedge Baseline'!$B$10:T465,16,FALSE))</f>
        <v/>
      </c>
      <c r="Q220" s="498" t="str">
        <f>IF(M220="","",VLOOKUP(M220,'G-6 Hedgerow Data'!$B$2:$AG$15,2,FALSE))</f>
        <v/>
      </c>
      <c r="R220" s="499" t="str">
        <f>IF(M220="","",VLOOKUP(M220,'G-6 Hedgerow Data'!$B$2:$AG$15,3,FALSE))</f>
        <v/>
      </c>
      <c r="S220" s="145"/>
      <c r="T220" s="499" t="str">
        <f>IFERROR(IF(AND(Q220="V.Low",OR(S220="Good",S220="Moderate")),"Error ▲",VLOOKUP(S220,'G-1 All Habitats'!$Z$2:$AA$9,2,FALSE)),"")</f>
        <v/>
      </c>
      <c r="U220" s="145"/>
      <c r="V220" s="507" t="str">
        <f>IF(U220="","",IF(VLOOKUP(U220,'G-3 Multipliers'!$L$3:$N$6,2,FALSE)=0,"Spatial Data Missing ⚠",VLOOKUP(U220,'G-3 Multipliers'!$L$3:$N$6,2,FALSE)))</f>
        <v/>
      </c>
      <c r="W220" s="505"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5"/>
        <v/>
      </c>
      <c r="AD220" s="537" t="str">
        <f>IF(M220="","",VLOOKUP(M220,'G-6 Hedgerow Data'!$B$3:$AG$15,31,FALSE))</f>
        <v/>
      </c>
      <c r="AE220" s="520" t="str">
        <f t="shared" si="29"/>
        <v/>
      </c>
      <c r="AF220" s="520" t="str">
        <f t="shared" si="30"/>
        <v/>
      </c>
      <c r="AG220" s="524" t="str">
        <f>IFERROR(IF(O220="","",VLOOKUP(AD220,'G-3 Multipliers'!$P$3:$Q$6,2,FALSE)),"")</f>
        <v/>
      </c>
      <c r="AH220" s="197"/>
      <c r="AI220" s="499" t="str">
        <f>IF(AH220="","",IF(VLOOKUP(AH220,'G-3 Multipliers'!$S$3:$T$6,2,FALSE)=0,"Spatial Data Missing ⚠",VLOOKUP(AH220,'G-3 Multipliers'!$S$3:$T$6,2,FALSE)))</f>
        <v/>
      </c>
      <c r="AJ220" s="545" t="str">
        <f t="shared" si="31"/>
        <v/>
      </c>
      <c r="AK220" s="149"/>
      <c r="AL220" s="150"/>
      <c r="AP220" s="31" t="str">
        <f>IFERROR(INDEX('G-6 Hedgerow Data'!$BJ$3:$BJ$15,MATCH(M220,'G-6 Hedgerow Data'!$B$3:$B$15,0)),"")</f>
        <v/>
      </c>
    </row>
    <row r="221" spans="2:42" ht="13.8" x14ac:dyDescent="0.25">
      <c r="B221" s="531" t="str">
        <f>'E-1 Off Site Hedge Baseline'!AK219</f>
        <v/>
      </c>
      <c r="C221" s="520" t="str">
        <f>IF(B221="","",IF(ISNA(VLOOKUP($B221,'E-1 Off Site Hedge Baseline'!$B$1:$L$257,3,FALSE)),"",(VLOOKUP($B221,'E-1 Off Site Hedge Baseline'!$B$1:$L$257,3,FALSE))))</f>
        <v/>
      </c>
      <c r="D221" s="520" t="str">
        <f>IF(B221="","",IF(ISNA(VLOOKUP($B221,'E-1 Off Site Hedge Baseline'!$B$1:$L$258,4,FALSE)),"",(VLOOKUP($B221,'E-1 Off Site Hedge Baseline'!$B$1:$L$258,4,FALSE))))</f>
        <v/>
      </c>
      <c r="E221" s="520" t="str">
        <f>IF(B221="","",IF(ISNA(VLOOKUP($B221,'E-1 Off Site Hedge Baseline'!$B$1:$L$257,5,FALSE)),"",(VLOOKUP($B221,'E-1 Off Site Hedge Baseline'!$B$1:$L$257,5,FALSE))))</f>
        <v/>
      </c>
      <c r="F221" s="520" t="str">
        <f>IF(B221="","",IF(ISNA(VLOOKUP($B221,'E-1 Off Site Hedge Baseline'!$B$1:$L$257,6,FALSE)),"",(VLOOKUP($B221,'E-1 Off Site Hedge Baseline'!$B$1:$L$257,6,FALSE))))</f>
        <v/>
      </c>
      <c r="G221" s="520" t="str">
        <f>IF(B221="","",IF(ISNA(VLOOKUP($B221,'E-1 Off Site Hedge Baseline'!$B$1:$L$257,7,FALSE)),"",(VLOOKUP($B221,'E-1 Off Site Hedge Baseline'!$B$1:$L$257,7,FALSE))))</f>
        <v/>
      </c>
      <c r="H221" s="520" t="str">
        <f>IF(B221="","",IF(ISNA(VLOOKUP($B221,'E-1 Off Site Hedge Baseline'!$B$1:$L$257,8,FALSE)),"",(VLOOKUP($B221,'E-1 Off Site Hedge Baseline'!$B$1:$L$257,8,FALSE))))</f>
        <v/>
      </c>
      <c r="I221" s="520" t="str">
        <f>IF(B221="","",IF(ISNA(VLOOKUP($B221,'E-1 Off Site Hedge Baseline'!$B$1:$L$257,10,FALSE)),"",(VLOOKUP($B221,'E-1 Off Site Hedge Baseline'!$B$1:$L$257,10,FALSE))))</f>
        <v/>
      </c>
      <c r="J221" s="520" t="str">
        <f>IF(B221="","",IF(ISNA(VLOOKUP($B221,'E-1 Off Site Hedge Baseline'!$B$1:$L$257,11,FALSE)),"",(VLOOKUP($B221,'E-1 Off Site Hedge Baseline'!$B$1:$L$257,11,FALSE))))</f>
        <v/>
      </c>
      <c r="K221" s="520" t="str">
        <f>IF(B221="","",IF(ISNA(VLOOKUP($B221,'E-1 Off Site Hedge Baseline'!$B$1:$U$257,113,FALSE)),"",(VLOOKUP($B221,'E-1 Off Site Hedge Baseline'!$B$1:$U$257,13,FALSE))))</f>
        <v/>
      </c>
      <c r="L221" s="507" t="str">
        <f>IF(B221="","",IF(ISNA(VLOOKUP($B221,'E-1 Off Site Hedge Baseline'!$B$1:$U$257,12,FALSE)),"",(VLOOKUP($B221,'E-1 Off Site Hedge Baseline'!$B$1:$U$257,12,FALSE))))</f>
        <v/>
      </c>
      <c r="M221" s="418" t="str">
        <f t="shared" si="32"/>
        <v/>
      </c>
      <c r="N221" s="498" t="str">
        <f>IFERROR(IF(B221="","",INDEX('G-6 Hedgerow Data'!$AN$3:$AZ$15,MATCH(C221,'G-6 Hedgerow Data'!$AM$3:$AM$15,0),MATCH(M221,'G-6 Hedgerow Data'!$AN$2:$AZ$2,0))),"")</f>
        <v/>
      </c>
      <c r="O221" s="499" t="str">
        <f t="shared" si="26"/>
        <v/>
      </c>
      <c r="P221" s="505" t="str">
        <f>IF(B221="","",VLOOKUP(B221,'E-1 Off Site Hedge Baseline'!$B$10:T466,16,FALSE))</f>
        <v/>
      </c>
      <c r="Q221" s="498" t="str">
        <f>IF(M221="","",VLOOKUP(M221,'G-6 Hedgerow Data'!$B$2:$AG$15,2,FALSE))</f>
        <v/>
      </c>
      <c r="R221" s="499" t="str">
        <f>IF(M221="","",VLOOKUP(M221,'G-6 Hedgerow Data'!$B$2:$AG$15,3,FALSE))</f>
        <v/>
      </c>
      <c r="S221" s="145"/>
      <c r="T221" s="499" t="str">
        <f>IFERROR(IF(AND(Q221="V.Low",OR(S221="Good",S221="Moderate")),"Error ▲",VLOOKUP(S221,'G-1 All Habitats'!$Z$2:$AA$9,2,FALSE)),"")</f>
        <v/>
      </c>
      <c r="U221" s="145"/>
      <c r="V221" s="507" t="str">
        <f>IF(U221="","",IF(VLOOKUP(U221,'G-3 Multipliers'!$L$3:$N$6,2,FALSE)=0,"Spatial Data Missing ⚠",VLOOKUP(U221,'G-3 Multipliers'!$L$3:$N$6,2,FALSE)))</f>
        <v/>
      </c>
      <c r="W221" s="505"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5"/>
        <v/>
      </c>
      <c r="AD221" s="537" t="str">
        <f>IF(M221="","",VLOOKUP(M221,'G-6 Hedgerow Data'!$B$3:$AG$15,31,FALSE))</f>
        <v/>
      </c>
      <c r="AE221" s="520" t="str">
        <f t="shared" si="29"/>
        <v/>
      </c>
      <c r="AF221" s="520" t="str">
        <f t="shared" si="30"/>
        <v/>
      </c>
      <c r="AG221" s="524" t="str">
        <f>IFERROR(IF(O221="","",VLOOKUP(AD221,'G-3 Multipliers'!$P$3:$Q$6,2,FALSE)),"")</f>
        <v/>
      </c>
      <c r="AH221" s="197"/>
      <c r="AI221" s="499" t="str">
        <f>IF(AH221="","",IF(VLOOKUP(AH221,'G-3 Multipliers'!$S$3:$T$6,2,FALSE)=0,"Spatial Data Missing ⚠",VLOOKUP(AH221,'G-3 Multipliers'!$S$3:$T$6,2,FALSE)))</f>
        <v/>
      </c>
      <c r="AJ221" s="545" t="str">
        <f t="shared" si="31"/>
        <v/>
      </c>
      <c r="AK221" s="149"/>
      <c r="AL221" s="150"/>
      <c r="AP221" s="31" t="str">
        <f>IFERROR(INDEX('G-6 Hedgerow Data'!$BJ$3:$BJ$15,MATCH(M221,'G-6 Hedgerow Data'!$B$3:$B$15,0)),"")</f>
        <v/>
      </c>
    </row>
    <row r="222" spans="2:42" ht="13.8" x14ac:dyDescent="0.25">
      <c r="B222" s="531" t="str">
        <f>'E-1 Off Site Hedge Baseline'!AK220</f>
        <v/>
      </c>
      <c r="C222" s="520" t="str">
        <f>IF(B222="","",IF(ISNA(VLOOKUP($B222,'E-1 Off Site Hedge Baseline'!$B$1:$L$257,3,FALSE)),"",(VLOOKUP($B222,'E-1 Off Site Hedge Baseline'!$B$1:$L$257,3,FALSE))))</f>
        <v/>
      </c>
      <c r="D222" s="520" t="str">
        <f>IF(B222="","",IF(ISNA(VLOOKUP($B222,'E-1 Off Site Hedge Baseline'!$B$1:$L$258,4,FALSE)),"",(VLOOKUP($B222,'E-1 Off Site Hedge Baseline'!$B$1:$L$258,4,FALSE))))</f>
        <v/>
      </c>
      <c r="E222" s="520" t="str">
        <f>IF(B222="","",IF(ISNA(VLOOKUP($B222,'E-1 Off Site Hedge Baseline'!$B$1:$L$257,5,FALSE)),"",(VLOOKUP($B222,'E-1 Off Site Hedge Baseline'!$B$1:$L$257,5,FALSE))))</f>
        <v/>
      </c>
      <c r="F222" s="520" t="str">
        <f>IF(B222="","",IF(ISNA(VLOOKUP($B222,'E-1 Off Site Hedge Baseline'!$B$1:$L$257,6,FALSE)),"",(VLOOKUP($B222,'E-1 Off Site Hedge Baseline'!$B$1:$L$257,6,FALSE))))</f>
        <v/>
      </c>
      <c r="G222" s="520" t="str">
        <f>IF(B222="","",IF(ISNA(VLOOKUP($B222,'E-1 Off Site Hedge Baseline'!$B$1:$L$257,7,FALSE)),"",(VLOOKUP($B222,'E-1 Off Site Hedge Baseline'!$B$1:$L$257,7,FALSE))))</f>
        <v/>
      </c>
      <c r="H222" s="520" t="str">
        <f>IF(B222="","",IF(ISNA(VLOOKUP($B222,'E-1 Off Site Hedge Baseline'!$B$1:$L$257,8,FALSE)),"",(VLOOKUP($B222,'E-1 Off Site Hedge Baseline'!$B$1:$L$257,8,FALSE))))</f>
        <v/>
      </c>
      <c r="I222" s="520" t="str">
        <f>IF(B222="","",IF(ISNA(VLOOKUP($B222,'E-1 Off Site Hedge Baseline'!$B$1:$L$257,10,FALSE)),"",(VLOOKUP($B222,'E-1 Off Site Hedge Baseline'!$B$1:$L$257,10,FALSE))))</f>
        <v/>
      </c>
      <c r="J222" s="520" t="str">
        <f>IF(B222="","",IF(ISNA(VLOOKUP($B222,'E-1 Off Site Hedge Baseline'!$B$1:$L$257,11,FALSE)),"",(VLOOKUP($B222,'E-1 Off Site Hedge Baseline'!$B$1:$L$257,11,FALSE))))</f>
        <v/>
      </c>
      <c r="K222" s="520" t="str">
        <f>IF(B222="","",IF(ISNA(VLOOKUP($B222,'E-1 Off Site Hedge Baseline'!$B$1:$U$257,113,FALSE)),"",(VLOOKUP($B222,'E-1 Off Site Hedge Baseline'!$B$1:$U$257,13,FALSE))))</f>
        <v/>
      </c>
      <c r="L222" s="507" t="str">
        <f>IF(B222="","",IF(ISNA(VLOOKUP($B222,'E-1 Off Site Hedge Baseline'!$B$1:$U$257,12,FALSE)),"",(VLOOKUP($B222,'E-1 Off Site Hedge Baseline'!$B$1:$U$257,12,FALSE))))</f>
        <v/>
      </c>
      <c r="M222" s="418" t="str">
        <f t="shared" si="32"/>
        <v/>
      </c>
      <c r="N222" s="498" t="str">
        <f>IFERROR(IF(B222="","",INDEX('G-6 Hedgerow Data'!$AN$3:$AZ$15,MATCH(C222,'G-6 Hedgerow Data'!$AM$3:$AM$15,0),MATCH(M222,'G-6 Hedgerow Data'!$AN$2:$AZ$2,0))),"")</f>
        <v/>
      </c>
      <c r="O222" s="499" t="str">
        <f t="shared" si="26"/>
        <v/>
      </c>
      <c r="P222" s="505" t="str">
        <f>IF(B222="","",VLOOKUP(B222,'E-1 Off Site Hedge Baseline'!$B$10:T467,16,FALSE))</f>
        <v/>
      </c>
      <c r="Q222" s="498" t="str">
        <f>IF(M222="","",VLOOKUP(M222,'G-6 Hedgerow Data'!$B$2:$AG$15,2,FALSE))</f>
        <v/>
      </c>
      <c r="R222" s="499" t="str">
        <f>IF(M222="","",VLOOKUP(M222,'G-6 Hedgerow Data'!$B$2:$AG$15,3,FALSE))</f>
        <v/>
      </c>
      <c r="S222" s="145"/>
      <c r="T222" s="499" t="str">
        <f>IFERROR(IF(AND(Q222="V.Low",OR(S222="Good",S222="Moderate")),"Error ▲",VLOOKUP(S222,'G-1 All Habitats'!$Z$2:$AA$9,2,FALSE)),"")</f>
        <v/>
      </c>
      <c r="U222" s="145"/>
      <c r="V222" s="507" t="str">
        <f>IF(U222="","",IF(VLOOKUP(U222,'G-3 Multipliers'!$L$3:$N$6,2,FALSE)=0,"Spatial Data Missing ⚠",VLOOKUP(U222,'G-3 Multipliers'!$L$3:$N$6,2,FALSE)))</f>
        <v/>
      </c>
      <c r="W222" s="505"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5"/>
        <v/>
      </c>
      <c r="AD222" s="537" t="str">
        <f>IF(M222="","",VLOOKUP(M222,'G-6 Hedgerow Data'!$B$3:$AG$15,31,FALSE))</f>
        <v/>
      </c>
      <c r="AE222" s="520" t="str">
        <f t="shared" si="29"/>
        <v/>
      </c>
      <c r="AF222" s="520" t="str">
        <f t="shared" si="30"/>
        <v/>
      </c>
      <c r="AG222" s="524" t="str">
        <f>IFERROR(IF(O222="","",VLOOKUP(AD222,'G-3 Multipliers'!$P$3:$Q$6,2,FALSE)),"")</f>
        <v/>
      </c>
      <c r="AH222" s="197"/>
      <c r="AI222" s="499" t="str">
        <f>IF(AH222="","",IF(VLOOKUP(AH222,'G-3 Multipliers'!$S$3:$T$6,2,FALSE)=0,"Spatial Data Missing ⚠",VLOOKUP(AH222,'G-3 Multipliers'!$S$3:$T$6,2,FALSE)))</f>
        <v/>
      </c>
      <c r="AJ222" s="545" t="str">
        <f t="shared" si="31"/>
        <v/>
      </c>
      <c r="AK222" s="149"/>
      <c r="AL222" s="150"/>
      <c r="AP222" s="31" t="str">
        <f>IFERROR(INDEX('G-6 Hedgerow Data'!$BJ$3:$BJ$15,MATCH(M222,'G-6 Hedgerow Data'!$B$3:$B$15,0)),"")</f>
        <v/>
      </c>
    </row>
    <row r="223" spans="2:42" ht="13.8" x14ac:dyDescent="0.25">
      <c r="B223" s="531" t="str">
        <f>'E-1 Off Site Hedge Baseline'!AK221</f>
        <v/>
      </c>
      <c r="C223" s="520" t="str">
        <f>IF(B223="","",IF(ISNA(VLOOKUP($B223,'E-1 Off Site Hedge Baseline'!$B$1:$L$257,3,FALSE)),"",(VLOOKUP($B223,'E-1 Off Site Hedge Baseline'!$B$1:$L$257,3,FALSE))))</f>
        <v/>
      </c>
      <c r="D223" s="520" t="str">
        <f>IF(B223="","",IF(ISNA(VLOOKUP($B223,'E-1 Off Site Hedge Baseline'!$B$1:$L$258,4,FALSE)),"",(VLOOKUP($B223,'E-1 Off Site Hedge Baseline'!$B$1:$L$258,4,FALSE))))</f>
        <v/>
      </c>
      <c r="E223" s="520" t="str">
        <f>IF(B223="","",IF(ISNA(VLOOKUP($B223,'E-1 Off Site Hedge Baseline'!$B$1:$L$257,5,FALSE)),"",(VLOOKUP($B223,'E-1 Off Site Hedge Baseline'!$B$1:$L$257,5,FALSE))))</f>
        <v/>
      </c>
      <c r="F223" s="520" t="str">
        <f>IF(B223="","",IF(ISNA(VLOOKUP($B223,'E-1 Off Site Hedge Baseline'!$B$1:$L$257,6,FALSE)),"",(VLOOKUP($B223,'E-1 Off Site Hedge Baseline'!$B$1:$L$257,6,FALSE))))</f>
        <v/>
      </c>
      <c r="G223" s="520" t="str">
        <f>IF(B223="","",IF(ISNA(VLOOKUP($B223,'E-1 Off Site Hedge Baseline'!$B$1:$L$257,7,FALSE)),"",(VLOOKUP($B223,'E-1 Off Site Hedge Baseline'!$B$1:$L$257,7,FALSE))))</f>
        <v/>
      </c>
      <c r="H223" s="520" t="str">
        <f>IF(B223="","",IF(ISNA(VLOOKUP($B223,'E-1 Off Site Hedge Baseline'!$B$1:$L$257,8,FALSE)),"",(VLOOKUP($B223,'E-1 Off Site Hedge Baseline'!$B$1:$L$257,8,FALSE))))</f>
        <v/>
      </c>
      <c r="I223" s="520" t="str">
        <f>IF(B223="","",IF(ISNA(VLOOKUP($B223,'E-1 Off Site Hedge Baseline'!$B$1:$L$257,10,FALSE)),"",(VLOOKUP($B223,'E-1 Off Site Hedge Baseline'!$B$1:$L$257,10,FALSE))))</f>
        <v/>
      </c>
      <c r="J223" s="520" t="str">
        <f>IF(B223="","",IF(ISNA(VLOOKUP($B223,'E-1 Off Site Hedge Baseline'!$B$1:$L$257,11,FALSE)),"",(VLOOKUP($B223,'E-1 Off Site Hedge Baseline'!$B$1:$L$257,11,FALSE))))</f>
        <v/>
      </c>
      <c r="K223" s="520" t="str">
        <f>IF(B223="","",IF(ISNA(VLOOKUP($B223,'E-1 Off Site Hedge Baseline'!$B$1:$U$257,113,FALSE)),"",(VLOOKUP($B223,'E-1 Off Site Hedge Baseline'!$B$1:$U$257,13,FALSE))))</f>
        <v/>
      </c>
      <c r="L223" s="507" t="str">
        <f>IF(B223="","",IF(ISNA(VLOOKUP($B223,'E-1 Off Site Hedge Baseline'!$B$1:$U$257,12,FALSE)),"",(VLOOKUP($B223,'E-1 Off Site Hedge Baseline'!$B$1:$U$257,12,FALSE))))</f>
        <v/>
      </c>
      <c r="M223" s="418" t="str">
        <f t="shared" si="32"/>
        <v/>
      </c>
      <c r="N223" s="498" t="str">
        <f>IFERROR(IF(B223="","",INDEX('G-6 Hedgerow Data'!$AN$3:$AZ$15,MATCH(C223,'G-6 Hedgerow Data'!$AM$3:$AM$15,0),MATCH(M223,'G-6 Hedgerow Data'!$AN$2:$AZ$2,0))),"")</f>
        <v/>
      </c>
      <c r="O223" s="499" t="str">
        <f t="shared" si="26"/>
        <v/>
      </c>
      <c r="P223" s="505" t="str">
        <f>IF(B223="","",VLOOKUP(B223,'E-1 Off Site Hedge Baseline'!$B$10:T468,16,FALSE))</f>
        <v/>
      </c>
      <c r="Q223" s="498" t="str">
        <f>IF(M223="","",VLOOKUP(M223,'G-6 Hedgerow Data'!$B$2:$AG$15,2,FALSE))</f>
        <v/>
      </c>
      <c r="R223" s="499" t="str">
        <f>IF(M223="","",VLOOKUP(M223,'G-6 Hedgerow Data'!$B$2:$AG$15,3,FALSE))</f>
        <v/>
      </c>
      <c r="S223" s="145"/>
      <c r="T223" s="499" t="str">
        <f>IFERROR(IF(AND(Q223="V.Low",OR(S223="Good",S223="Moderate")),"Error ▲",VLOOKUP(S223,'G-1 All Habitats'!$Z$2:$AA$9,2,FALSE)),"")</f>
        <v/>
      </c>
      <c r="U223" s="145"/>
      <c r="V223" s="507" t="str">
        <f>IF(U223="","",IF(VLOOKUP(U223,'G-3 Multipliers'!$L$3:$N$6,2,FALSE)=0,"Spatial Data Missing ⚠",VLOOKUP(U223,'G-3 Multipliers'!$L$3:$N$6,2,FALSE)))</f>
        <v/>
      </c>
      <c r="W223" s="505"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5"/>
        <v/>
      </c>
      <c r="AD223" s="537" t="str">
        <f>IF(M223="","",VLOOKUP(M223,'G-6 Hedgerow Data'!$B$3:$AG$15,31,FALSE))</f>
        <v/>
      </c>
      <c r="AE223" s="520" t="str">
        <f t="shared" si="29"/>
        <v/>
      </c>
      <c r="AF223" s="520" t="str">
        <f t="shared" si="30"/>
        <v/>
      </c>
      <c r="AG223" s="524" t="str">
        <f>IFERROR(IF(O223="","",VLOOKUP(AD223,'G-3 Multipliers'!$P$3:$Q$6,2,FALSE)),"")</f>
        <v/>
      </c>
      <c r="AH223" s="197"/>
      <c r="AI223" s="499" t="str">
        <f>IF(AH223="","",IF(VLOOKUP(AH223,'G-3 Multipliers'!$S$3:$T$6,2,FALSE)=0,"Spatial Data Missing ⚠",VLOOKUP(AH223,'G-3 Multipliers'!$S$3:$T$6,2,FALSE)))</f>
        <v/>
      </c>
      <c r="AJ223" s="545" t="str">
        <f t="shared" si="31"/>
        <v/>
      </c>
      <c r="AK223" s="149"/>
      <c r="AL223" s="150"/>
      <c r="AP223" s="31" t="str">
        <f>IFERROR(INDEX('G-6 Hedgerow Data'!$BJ$3:$BJ$15,MATCH(M223,'G-6 Hedgerow Data'!$B$3:$B$15,0)),"")</f>
        <v/>
      </c>
    </row>
    <row r="224" spans="2:42" ht="13.8" x14ac:dyDescent="0.25">
      <c r="B224" s="531" t="str">
        <f>'E-1 Off Site Hedge Baseline'!AK222</f>
        <v/>
      </c>
      <c r="C224" s="520" t="str">
        <f>IF(B224="","",IF(ISNA(VLOOKUP($B224,'E-1 Off Site Hedge Baseline'!$B$1:$L$257,3,FALSE)),"",(VLOOKUP($B224,'E-1 Off Site Hedge Baseline'!$B$1:$L$257,3,FALSE))))</f>
        <v/>
      </c>
      <c r="D224" s="520" t="str">
        <f>IF(B224="","",IF(ISNA(VLOOKUP($B224,'E-1 Off Site Hedge Baseline'!$B$1:$L$258,4,FALSE)),"",(VLOOKUP($B224,'E-1 Off Site Hedge Baseline'!$B$1:$L$258,4,FALSE))))</f>
        <v/>
      </c>
      <c r="E224" s="520" t="str">
        <f>IF(B224="","",IF(ISNA(VLOOKUP($B224,'E-1 Off Site Hedge Baseline'!$B$1:$L$257,5,FALSE)),"",(VLOOKUP($B224,'E-1 Off Site Hedge Baseline'!$B$1:$L$257,5,FALSE))))</f>
        <v/>
      </c>
      <c r="F224" s="520" t="str">
        <f>IF(B224="","",IF(ISNA(VLOOKUP($B224,'E-1 Off Site Hedge Baseline'!$B$1:$L$257,6,FALSE)),"",(VLOOKUP($B224,'E-1 Off Site Hedge Baseline'!$B$1:$L$257,6,FALSE))))</f>
        <v/>
      </c>
      <c r="G224" s="520" t="str">
        <f>IF(B224="","",IF(ISNA(VLOOKUP($B224,'E-1 Off Site Hedge Baseline'!$B$1:$L$257,7,FALSE)),"",(VLOOKUP($B224,'E-1 Off Site Hedge Baseline'!$B$1:$L$257,7,FALSE))))</f>
        <v/>
      </c>
      <c r="H224" s="520" t="str">
        <f>IF(B224="","",IF(ISNA(VLOOKUP($B224,'E-1 Off Site Hedge Baseline'!$B$1:$L$257,8,FALSE)),"",(VLOOKUP($B224,'E-1 Off Site Hedge Baseline'!$B$1:$L$257,8,FALSE))))</f>
        <v/>
      </c>
      <c r="I224" s="520" t="str">
        <f>IF(B224="","",IF(ISNA(VLOOKUP($B224,'E-1 Off Site Hedge Baseline'!$B$1:$L$257,10,FALSE)),"",(VLOOKUP($B224,'E-1 Off Site Hedge Baseline'!$B$1:$L$257,10,FALSE))))</f>
        <v/>
      </c>
      <c r="J224" s="520" t="str">
        <f>IF(B224="","",IF(ISNA(VLOOKUP($B224,'E-1 Off Site Hedge Baseline'!$B$1:$L$257,11,FALSE)),"",(VLOOKUP($B224,'E-1 Off Site Hedge Baseline'!$B$1:$L$257,11,FALSE))))</f>
        <v/>
      </c>
      <c r="K224" s="520" t="str">
        <f>IF(B224="","",IF(ISNA(VLOOKUP($B224,'E-1 Off Site Hedge Baseline'!$B$1:$U$257,113,FALSE)),"",(VLOOKUP($B224,'E-1 Off Site Hedge Baseline'!$B$1:$U$257,13,FALSE))))</f>
        <v/>
      </c>
      <c r="L224" s="507" t="str">
        <f>IF(B224="","",IF(ISNA(VLOOKUP($B224,'E-1 Off Site Hedge Baseline'!$B$1:$U$257,12,FALSE)),"",(VLOOKUP($B224,'E-1 Off Site Hedge Baseline'!$B$1:$U$257,12,FALSE))))</f>
        <v/>
      </c>
      <c r="M224" s="418" t="str">
        <f t="shared" si="32"/>
        <v/>
      </c>
      <c r="N224" s="498" t="str">
        <f>IFERROR(IF(B224="","",INDEX('G-6 Hedgerow Data'!$AN$3:$AZ$15,MATCH(C224,'G-6 Hedgerow Data'!$AM$3:$AM$15,0),MATCH(M224,'G-6 Hedgerow Data'!$AN$2:$AZ$2,0))),"")</f>
        <v/>
      </c>
      <c r="O224" s="499" t="str">
        <f t="shared" si="26"/>
        <v/>
      </c>
      <c r="P224" s="505" t="str">
        <f>IF(B224="","",VLOOKUP(B224,'E-1 Off Site Hedge Baseline'!$B$10:T469,16,FALSE))</f>
        <v/>
      </c>
      <c r="Q224" s="498" t="str">
        <f>IF(M224="","",VLOOKUP(M224,'G-6 Hedgerow Data'!$B$2:$AG$15,2,FALSE))</f>
        <v/>
      </c>
      <c r="R224" s="499" t="str">
        <f>IF(M224="","",VLOOKUP(M224,'G-6 Hedgerow Data'!$B$2:$AG$15,3,FALSE))</f>
        <v/>
      </c>
      <c r="S224" s="145"/>
      <c r="T224" s="499" t="str">
        <f>IFERROR(IF(AND(Q224="V.Low",OR(S224="Good",S224="Moderate")),"Error ▲",VLOOKUP(S224,'G-1 All Habitats'!$Z$2:$AA$9,2,FALSE)),"")</f>
        <v/>
      </c>
      <c r="U224" s="145"/>
      <c r="V224" s="507" t="str">
        <f>IF(U224="","",IF(VLOOKUP(U224,'G-3 Multipliers'!$L$3:$N$6,2,FALSE)=0,"Spatial Data Missing ⚠",VLOOKUP(U224,'G-3 Multipliers'!$L$3:$N$6,2,FALSE)))</f>
        <v/>
      </c>
      <c r="W224" s="505"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5"/>
        <v/>
      </c>
      <c r="AD224" s="537" t="str">
        <f>IF(M224="","",VLOOKUP(M224,'G-6 Hedgerow Data'!$B$3:$AG$15,31,FALSE))</f>
        <v/>
      </c>
      <c r="AE224" s="520" t="str">
        <f t="shared" si="29"/>
        <v/>
      </c>
      <c r="AF224" s="520" t="str">
        <f t="shared" si="30"/>
        <v/>
      </c>
      <c r="AG224" s="524" t="str">
        <f>IFERROR(IF(O224="","",VLOOKUP(AD224,'G-3 Multipliers'!$P$3:$Q$6,2,FALSE)),"")</f>
        <v/>
      </c>
      <c r="AH224" s="197"/>
      <c r="AI224" s="499" t="str">
        <f>IF(AH224="","",IF(VLOOKUP(AH224,'G-3 Multipliers'!$S$3:$T$6,2,FALSE)=0,"Spatial Data Missing ⚠",VLOOKUP(AH224,'G-3 Multipliers'!$S$3:$T$6,2,FALSE)))</f>
        <v/>
      </c>
      <c r="AJ224" s="545" t="str">
        <f t="shared" si="31"/>
        <v/>
      </c>
      <c r="AK224" s="149"/>
      <c r="AL224" s="150"/>
      <c r="AP224" s="31" t="str">
        <f>IFERROR(INDEX('G-6 Hedgerow Data'!$BJ$3:$BJ$15,MATCH(M224,'G-6 Hedgerow Data'!$B$3:$B$15,0)),"")</f>
        <v/>
      </c>
    </row>
    <row r="225" spans="2:42" ht="13.8" x14ac:dyDescent="0.25">
      <c r="B225" s="531" t="str">
        <f>'E-1 Off Site Hedge Baseline'!AK223</f>
        <v/>
      </c>
      <c r="C225" s="520" t="str">
        <f>IF(B225="","",IF(ISNA(VLOOKUP($B225,'E-1 Off Site Hedge Baseline'!$B$1:$L$257,3,FALSE)),"",(VLOOKUP($B225,'E-1 Off Site Hedge Baseline'!$B$1:$L$257,3,FALSE))))</f>
        <v/>
      </c>
      <c r="D225" s="520" t="str">
        <f>IF(B225="","",IF(ISNA(VLOOKUP($B225,'E-1 Off Site Hedge Baseline'!$B$1:$L$258,4,FALSE)),"",(VLOOKUP($B225,'E-1 Off Site Hedge Baseline'!$B$1:$L$258,4,FALSE))))</f>
        <v/>
      </c>
      <c r="E225" s="520" t="str">
        <f>IF(B225="","",IF(ISNA(VLOOKUP($B225,'E-1 Off Site Hedge Baseline'!$B$1:$L$257,5,FALSE)),"",(VLOOKUP($B225,'E-1 Off Site Hedge Baseline'!$B$1:$L$257,5,FALSE))))</f>
        <v/>
      </c>
      <c r="F225" s="520" t="str">
        <f>IF(B225="","",IF(ISNA(VLOOKUP($B225,'E-1 Off Site Hedge Baseline'!$B$1:$L$257,6,FALSE)),"",(VLOOKUP($B225,'E-1 Off Site Hedge Baseline'!$B$1:$L$257,6,FALSE))))</f>
        <v/>
      </c>
      <c r="G225" s="520" t="str">
        <f>IF(B225="","",IF(ISNA(VLOOKUP($B225,'E-1 Off Site Hedge Baseline'!$B$1:$L$257,7,FALSE)),"",(VLOOKUP($B225,'E-1 Off Site Hedge Baseline'!$B$1:$L$257,7,FALSE))))</f>
        <v/>
      </c>
      <c r="H225" s="520" t="str">
        <f>IF(B225="","",IF(ISNA(VLOOKUP($B225,'E-1 Off Site Hedge Baseline'!$B$1:$L$257,8,FALSE)),"",(VLOOKUP($B225,'E-1 Off Site Hedge Baseline'!$B$1:$L$257,8,FALSE))))</f>
        <v/>
      </c>
      <c r="I225" s="520" t="str">
        <f>IF(B225="","",IF(ISNA(VLOOKUP($B225,'E-1 Off Site Hedge Baseline'!$B$1:$L$257,10,FALSE)),"",(VLOOKUP($B225,'E-1 Off Site Hedge Baseline'!$B$1:$L$257,10,FALSE))))</f>
        <v/>
      </c>
      <c r="J225" s="520" t="str">
        <f>IF(B225="","",IF(ISNA(VLOOKUP($B225,'E-1 Off Site Hedge Baseline'!$B$1:$L$257,11,FALSE)),"",(VLOOKUP($B225,'E-1 Off Site Hedge Baseline'!$B$1:$L$257,11,FALSE))))</f>
        <v/>
      </c>
      <c r="K225" s="520" t="str">
        <f>IF(B225="","",IF(ISNA(VLOOKUP($B225,'E-1 Off Site Hedge Baseline'!$B$1:$U$257,113,FALSE)),"",(VLOOKUP($B225,'E-1 Off Site Hedge Baseline'!$B$1:$U$257,13,FALSE))))</f>
        <v/>
      </c>
      <c r="L225" s="507" t="str">
        <f>IF(B225="","",IF(ISNA(VLOOKUP($B225,'E-1 Off Site Hedge Baseline'!$B$1:$U$257,12,FALSE)),"",(VLOOKUP($B225,'E-1 Off Site Hedge Baseline'!$B$1:$U$257,12,FALSE))))</f>
        <v/>
      </c>
      <c r="M225" s="418" t="str">
        <f t="shared" si="32"/>
        <v/>
      </c>
      <c r="N225" s="498" t="str">
        <f>IFERROR(IF(B225="","",INDEX('G-6 Hedgerow Data'!$AN$3:$AZ$15,MATCH(C225,'G-6 Hedgerow Data'!$AM$3:$AM$15,0),MATCH(M225,'G-6 Hedgerow Data'!$AN$2:$AZ$2,0))),"")</f>
        <v/>
      </c>
      <c r="O225" s="499" t="str">
        <f t="shared" si="26"/>
        <v/>
      </c>
      <c r="P225" s="505" t="str">
        <f>IF(B225="","",VLOOKUP(B225,'E-1 Off Site Hedge Baseline'!$B$10:T470,16,FALSE))</f>
        <v/>
      </c>
      <c r="Q225" s="498" t="str">
        <f>IF(M225="","",VLOOKUP(M225,'G-6 Hedgerow Data'!$B$2:$AG$15,2,FALSE))</f>
        <v/>
      </c>
      <c r="R225" s="499" t="str">
        <f>IF(M225="","",VLOOKUP(M225,'G-6 Hedgerow Data'!$B$2:$AG$15,3,FALSE))</f>
        <v/>
      </c>
      <c r="S225" s="145"/>
      <c r="T225" s="499" t="str">
        <f>IFERROR(IF(AND(Q225="V.Low",OR(S225="Good",S225="Moderate")),"Error ▲",VLOOKUP(S225,'G-1 All Habitats'!$Z$2:$AA$9,2,FALSE)),"")</f>
        <v/>
      </c>
      <c r="U225" s="145"/>
      <c r="V225" s="507" t="str">
        <f>IF(U225="","",IF(VLOOKUP(U225,'G-3 Multipliers'!$L$3:$N$6,2,FALSE)=0,"Spatial Data Missing ⚠",VLOOKUP(U225,'G-3 Multipliers'!$L$3:$N$6,2,FALSE)))</f>
        <v/>
      </c>
      <c r="W225" s="505"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5"/>
        <v/>
      </c>
      <c r="AD225" s="537" t="str">
        <f>IF(M225="","",VLOOKUP(M225,'G-6 Hedgerow Data'!$B$3:$AG$15,31,FALSE))</f>
        <v/>
      </c>
      <c r="AE225" s="520" t="str">
        <f t="shared" si="29"/>
        <v/>
      </c>
      <c r="AF225" s="520" t="str">
        <f t="shared" si="30"/>
        <v/>
      </c>
      <c r="AG225" s="524" t="str">
        <f>IFERROR(IF(O225="","",VLOOKUP(AD225,'G-3 Multipliers'!$P$3:$Q$6,2,FALSE)),"")</f>
        <v/>
      </c>
      <c r="AH225" s="197"/>
      <c r="AI225" s="499" t="str">
        <f>IF(AH225="","",IF(VLOOKUP(AH225,'G-3 Multipliers'!$S$3:$T$6,2,FALSE)=0,"Spatial Data Missing ⚠",VLOOKUP(AH225,'G-3 Multipliers'!$S$3:$T$6,2,FALSE)))</f>
        <v/>
      </c>
      <c r="AJ225" s="545" t="str">
        <f t="shared" si="31"/>
        <v/>
      </c>
      <c r="AK225" s="149"/>
      <c r="AL225" s="150"/>
      <c r="AP225" s="31" t="str">
        <f>IFERROR(INDEX('G-6 Hedgerow Data'!$BJ$3:$BJ$15,MATCH(M225,'G-6 Hedgerow Data'!$B$3:$B$15,0)),"")</f>
        <v/>
      </c>
    </row>
    <row r="226" spans="2:42" ht="13.8" x14ac:dyDescent="0.25">
      <c r="B226" s="531" t="str">
        <f>'E-1 Off Site Hedge Baseline'!AK224</f>
        <v/>
      </c>
      <c r="C226" s="520" t="str">
        <f>IF(B226="","",IF(ISNA(VLOOKUP($B226,'E-1 Off Site Hedge Baseline'!$B$1:$L$257,3,FALSE)),"",(VLOOKUP($B226,'E-1 Off Site Hedge Baseline'!$B$1:$L$257,3,FALSE))))</f>
        <v/>
      </c>
      <c r="D226" s="520" t="str">
        <f>IF(B226="","",IF(ISNA(VLOOKUP($B226,'E-1 Off Site Hedge Baseline'!$B$1:$L$258,4,FALSE)),"",(VLOOKUP($B226,'E-1 Off Site Hedge Baseline'!$B$1:$L$258,4,FALSE))))</f>
        <v/>
      </c>
      <c r="E226" s="520" t="str">
        <f>IF(B226="","",IF(ISNA(VLOOKUP($B226,'E-1 Off Site Hedge Baseline'!$B$1:$L$257,5,FALSE)),"",(VLOOKUP($B226,'E-1 Off Site Hedge Baseline'!$B$1:$L$257,5,FALSE))))</f>
        <v/>
      </c>
      <c r="F226" s="520" t="str">
        <f>IF(B226="","",IF(ISNA(VLOOKUP($B226,'E-1 Off Site Hedge Baseline'!$B$1:$L$257,6,FALSE)),"",(VLOOKUP($B226,'E-1 Off Site Hedge Baseline'!$B$1:$L$257,6,FALSE))))</f>
        <v/>
      </c>
      <c r="G226" s="520" t="str">
        <f>IF(B226="","",IF(ISNA(VLOOKUP($B226,'E-1 Off Site Hedge Baseline'!$B$1:$L$257,7,FALSE)),"",(VLOOKUP($B226,'E-1 Off Site Hedge Baseline'!$B$1:$L$257,7,FALSE))))</f>
        <v/>
      </c>
      <c r="H226" s="520" t="str">
        <f>IF(B226="","",IF(ISNA(VLOOKUP($B226,'E-1 Off Site Hedge Baseline'!$B$1:$L$257,8,FALSE)),"",(VLOOKUP($B226,'E-1 Off Site Hedge Baseline'!$B$1:$L$257,8,FALSE))))</f>
        <v/>
      </c>
      <c r="I226" s="520" t="str">
        <f>IF(B226="","",IF(ISNA(VLOOKUP($B226,'E-1 Off Site Hedge Baseline'!$B$1:$L$257,10,FALSE)),"",(VLOOKUP($B226,'E-1 Off Site Hedge Baseline'!$B$1:$L$257,10,FALSE))))</f>
        <v/>
      </c>
      <c r="J226" s="520" t="str">
        <f>IF(B226="","",IF(ISNA(VLOOKUP($B226,'E-1 Off Site Hedge Baseline'!$B$1:$L$257,11,FALSE)),"",(VLOOKUP($B226,'E-1 Off Site Hedge Baseline'!$B$1:$L$257,11,FALSE))))</f>
        <v/>
      </c>
      <c r="K226" s="520" t="str">
        <f>IF(B226="","",IF(ISNA(VLOOKUP($B226,'E-1 Off Site Hedge Baseline'!$B$1:$U$257,113,FALSE)),"",(VLOOKUP($B226,'E-1 Off Site Hedge Baseline'!$B$1:$U$257,13,FALSE))))</f>
        <v/>
      </c>
      <c r="L226" s="507" t="str">
        <f>IF(B226="","",IF(ISNA(VLOOKUP($B226,'E-1 Off Site Hedge Baseline'!$B$1:$U$257,12,FALSE)),"",(VLOOKUP($B226,'E-1 Off Site Hedge Baseline'!$B$1:$U$257,12,FALSE))))</f>
        <v/>
      </c>
      <c r="M226" s="418" t="str">
        <f t="shared" si="32"/>
        <v/>
      </c>
      <c r="N226" s="498" t="str">
        <f>IFERROR(IF(B226="","",INDEX('G-6 Hedgerow Data'!$AN$3:$AZ$15,MATCH(C226,'G-6 Hedgerow Data'!$AM$3:$AM$15,0),MATCH(M226,'G-6 Hedgerow Data'!$AN$2:$AZ$2,0))),"")</f>
        <v/>
      </c>
      <c r="O226" s="499" t="str">
        <f t="shared" si="26"/>
        <v/>
      </c>
      <c r="P226" s="505" t="str">
        <f>IF(B226="","",VLOOKUP(B226,'E-1 Off Site Hedge Baseline'!$B$10:T471,16,FALSE))</f>
        <v/>
      </c>
      <c r="Q226" s="498" t="str">
        <f>IF(M226="","",VLOOKUP(M226,'G-6 Hedgerow Data'!$B$2:$AG$15,2,FALSE))</f>
        <v/>
      </c>
      <c r="R226" s="499" t="str">
        <f>IF(M226="","",VLOOKUP(M226,'G-6 Hedgerow Data'!$B$2:$AG$15,3,FALSE))</f>
        <v/>
      </c>
      <c r="S226" s="145"/>
      <c r="T226" s="499" t="str">
        <f>IFERROR(IF(AND(Q226="V.Low",OR(S226="Good",S226="Moderate")),"Error ▲",VLOOKUP(S226,'G-1 All Habitats'!$Z$2:$AA$9,2,FALSE)),"")</f>
        <v/>
      </c>
      <c r="U226" s="145"/>
      <c r="V226" s="507" t="str">
        <f>IF(U226="","",IF(VLOOKUP(U226,'G-3 Multipliers'!$L$3:$N$6,2,FALSE)=0,"Spatial Data Missing ⚠",VLOOKUP(U226,'G-3 Multipliers'!$L$3:$N$6,2,FALSE)))</f>
        <v/>
      </c>
      <c r="W226" s="505"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5"/>
        <v/>
      </c>
      <c r="AD226" s="537" t="str">
        <f>IF(M226="","",VLOOKUP(M226,'G-6 Hedgerow Data'!$B$3:$AG$15,31,FALSE))</f>
        <v/>
      </c>
      <c r="AE226" s="520" t="str">
        <f t="shared" si="29"/>
        <v/>
      </c>
      <c r="AF226" s="520" t="str">
        <f t="shared" si="30"/>
        <v/>
      </c>
      <c r="AG226" s="524" t="str">
        <f>IFERROR(IF(O226="","",VLOOKUP(AD226,'G-3 Multipliers'!$P$3:$Q$6,2,FALSE)),"")</f>
        <v/>
      </c>
      <c r="AH226" s="197"/>
      <c r="AI226" s="499" t="str">
        <f>IF(AH226="","",IF(VLOOKUP(AH226,'G-3 Multipliers'!$S$3:$T$6,2,FALSE)=0,"Spatial Data Missing ⚠",VLOOKUP(AH226,'G-3 Multipliers'!$S$3:$T$6,2,FALSE)))</f>
        <v/>
      </c>
      <c r="AJ226" s="545" t="str">
        <f t="shared" si="31"/>
        <v/>
      </c>
      <c r="AK226" s="149"/>
      <c r="AL226" s="150"/>
      <c r="AP226" s="31" t="str">
        <f>IFERROR(INDEX('G-6 Hedgerow Data'!$BJ$3:$BJ$15,MATCH(M226,'G-6 Hedgerow Data'!$B$3:$B$15,0)),"")</f>
        <v/>
      </c>
    </row>
    <row r="227" spans="2:42" ht="13.8" x14ac:dyDescent="0.25">
      <c r="B227" s="531" t="str">
        <f>'E-1 Off Site Hedge Baseline'!AK225</f>
        <v/>
      </c>
      <c r="C227" s="520" t="str">
        <f>IF(B227="","",IF(ISNA(VLOOKUP($B227,'E-1 Off Site Hedge Baseline'!$B$1:$L$257,3,FALSE)),"",(VLOOKUP($B227,'E-1 Off Site Hedge Baseline'!$B$1:$L$257,3,FALSE))))</f>
        <v/>
      </c>
      <c r="D227" s="520" t="str">
        <f>IF(B227="","",IF(ISNA(VLOOKUP($B227,'E-1 Off Site Hedge Baseline'!$B$1:$L$258,4,FALSE)),"",(VLOOKUP($B227,'E-1 Off Site Hedge Baseline'!$B$1:$L$258,4,FALSE))))</f>
        <v/>
      </c>
      <c r="E227" s="520" t="str">
        <f>IF(B227="","",IF(ISNA(VLOOKUP($B227,'E-1 Off Site Hedge Baseline'!$B$1:$L$257,5,FALSE)),"",(VLOOKUP($B227,'E-1 Off Site Hedge Baseline'!$B$1:$L$257,5,FALSE))))</f>
        <v/>
      </c>
      <c r="F227" s="520" t="str">
        <f>IF(B227="","",IF(ISNA(VLOOKUP($B227,'E-1 Off Site Hedge Baseline'!$B$1:$L$257,6,FALSE)),"",(VLOOKUP($B227,'E-1 Off Site Hedge Baseline'!$B$1:$L$257,6,FALSE))))</f>
        <v/>
      </c>
      <c r="G227" s="520" t="str">
        <f>IF(B227="","",IF(ISNA(VLOOKUP($B227,'E-1 Off Site Hedge Baseline'!$B$1:$L$257,7,FALSE)),"",(VLOOKUP($B227,'E-1 Off Site Hedge Baseline'!$B$1:$L$257,7,FALSE))))</f>
        <v/>
      </c>
      <c r="H227" s="520" t="str">
        <f>IF(B227="","",IF(ISNA(VLOOKUP($B227,'E-1 Off Site Hedge Baseline'!$B$1:$L$257,8,FALSE)),"",(VLOOKUP($B227,'E-1 Off Site Hedge Baseline'!$B$1:$L$257,8,FALSE))))</f>
        <v/>
      </c>
      <c r="I227" s="520" t="str">
        <f>IF(B227="","",IF(ISNA(VLOOKUP($B227,'E-1 Off Site Hedge Baseline'!$B$1:$L$257,10,FALSE)),"",(VLOOKUP($B227,'E-1 Off Site Hedge Baseline'!$B$1:$L$257,10,FALSE))))</f>
        <v/>
      </c>
      <c r="J227" s="520" t="str">
        <f>IF(B227="","",IF(ISNA(VLOOKUP($B227,'E-1 Off Site Hedge Baseline'!$B$1:$L$257,11,FALSE)),"",(VLOOKUP($B227,'E-1 Off Site Hedge Baseline'!$B$1:$L$257,11,FALSE))))</f>
        <v/>
      </c>
      <c r="K227" s="520" t="str">
        <f>IF(B227="","",IF(ISNA(VLOOKUP($B227,'E-1 Off Site Hedge Baseline'!$B$1:$U$257,113,FALSE)),"",(VLOOKUP($B227,'E-1 Off Site Hedge Baseline'!$B$1:$U$257,13,FALSE))))</f>
        <v/>
      </c>
      <c r="L227" s="507" t="str">
        <f>IF(B227="","",IF(ISNA(VLOOKUP($B227,'E-1 Off Site Hedge Baseline'!$B$1:$U$257,12,FALSE)),"",(VLOOKUP($B227,'E-1 Off Site Hedge Baseline'!$B$1:$U$257,12,FALSE))))</f>
        <v/>
      </c>
      <c r="M227" s="418" t="str">
        <f t="shared" si="32"/>
        <v/>
      </c>
      <c r="N227" s="498" t="str">
        <f>IFERROR(IF(B227="","",INDEX('G-6 Hedgerow Data'!$AN$3:$AZ$15,MATCH(C227,'G-6 Hedgerow Data'!$AM$3:$AM$15,0),MATCH(M227,'G-6 Hedgerow Data'!$AN$2:$AZ$2,0))),"")</f>
        <v/>
      </c>
      <c r="O227" s="499" t="str">
        <f t="shared" si="26"/>
        <v/>
      </c>
      <c r="P227" s="505" t="str">
        <f>IF(B227="","",VLOOKUP(B227,'E-1 Off Site Hedge Baseline'!$B$10:T472,16,FALSE))</f>
        <v/>
      </c>
      <c r="Q227" s="498" t="str">
        <f>IF(M227="","",VLOOKUP(M227,'G-6 Hedgerow Data'!$B$2:$AG$15,2,FALSE))</f>
        <v/>
      </c>
      <c r="R227" s="499" t="str">
        <f>IF(M227="","",VLOOKUP(M227,'G-6 Hedgerow Data'!$B$2:$AG$15,3,FALSE))</f>
        <v/>
      </c>
      <c r="S227" s="145"/>
      <c r="T227" s="499" t="str">
        <f>IFERROR(IF(AND(Q227="V.Low",OR(S227="Good",S227="Moderate")),"Error ▲",VLOOKUP(S227,'G-1 All Habitats'!$Z$2:$AA$9,2,FALSE)),"")</f>
        <v/>
      </c>
      <c r="U227" s="145"/>
      <c r="V227" s="507" t="str">
        <f>IF(U227="","",IF(VLOOKUP(U227,'G-3 Multipliers'!$L$3:$N$6,2,FALSE)=0,"Spatial Data Missing ⚠",VLOOKUP(U227,'G-3 Multipliers'!$L$3:$N$6,2,FALSE)))</f>
        <v/>
      </c>
      <c r="W227" s="505"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5"/>
        <v/>
      </c>
      <c r="AD227" s="537" t="str">
        <f>IF(M227="","",VLOOKUP(M227,'G-6 Hedgerow Data'!$B$3:$AG$15,31,FALSE))</f>
        <v/>
      </c>
      <c r="AE227" s="520" t="str">
        <f t="shared" si="29"/>
        <v/>
      </c>
      <c r="AF227" s="520" t="str">
        <f t="shared" si="30"/>
        <v/>
      </c>
      <c r="AG227" s="524" t="str">
        <f>IFERROR(IF(O227="","",VLOOKUP(AD227,'G-3 Multipliers'!$P$3:$Q$6,2,FALSE)),"")</f>
        <v/>
      </c>
      <c r="AH227" s="197"/>
      <c r="AI227" s="499" t="str">
        <f>IF(AH227="","",IF(VLOOKUP(AH227,'G-3 Multipliers'!$S$3:$T$6,2,FALSE)=0,"Spatial Data Missing ⚠",VLOOKUP(AH227,'G-3 Multipliers'!$S$3:$T$6,2,FALSE)))</f>
        <v/>
      </c>
      <c r="AJ227" s="545" t="str">
        <f t="shared" si="31"/>
        <v/>
      </c>
      <c r="AK227" s="149"/>
      <c r="AL227" s="150"/>
      <c r="AP227" s="31" t="str">
        <f>IFERROR(INDEX('G-6 Hedgerow Data'!$BJ$3:$BJ$15,MATCH(M227,'G-6 Hedgerow Data'!$B$3:$B$15,0)),"")</f>
        <v/>
      </c>
    </row>
    <row r="228" spans="2:42" ht="13.8" x14ac:dyDescent="0.25">
      <c r="B228" s="531" t="str">
        <f>'E-1 Off Site Hedge Baseline'!AK226</f>
        <v/>
      </c>
      <c r="C228" s="520" t="str">
        <f>IF(B228="","",IF(ISNA(VLOOKUP($B228,'E-1 Off Site Hedge Baseline'!$B$1:$L$257,3,FALSE)),"",(VLOOKUP($B228,'E-1 Off Site Hedge Baseline'!$B$1:$L$257,3,FALSE))))</f>
        <v/>
      </c>
      <c r="D228" s="520" t="str">
        <f>IF(B228="","",IF(ISNA(VLOOKUP($B228,'E-1 Off Site Hedge Baseline'!$B$1:$L$258,4,FALSE)),"",(VLOOKUP($B228,'E-1 Off Site Hedge Baseline'!$B$1:$L$258,4,FALSE))))</f>
        <v/>
      </c>
      <c r="E228" s="520" t="str">
        <f>IF(B228="","",IF(ISNA(VLOOKUP($B228,'E-1 Off Site Hedge Baseline'!$B$1:$L$257,5,FALSE)),"",(VLOOKUP($B228,'E-1 Off Site Hedge Baseline'!$B$1:$L$257,5,FALSE))))</f>
        <v/>
      </c>
      <c r="F228" s="520" t="str">
        <f>IF(B228="","",IF(ISNA(VLOOKUP($B228,'E-1 Off Site Hedge Baseline'!$B$1:$L$257,6,FALSE)),"",(VLOOKUP($B228,'E-1 Off Site Hedge Baseline'!$B$1:$L$257,6,FALSE))))</f>
        <v/>
      </c>
      <c r="G228" s="520" t="str">
        <f>IF(B228="","",IF(ISNA(VLOOKUP($B228,'E-1 Off Site Hedge Baseline'!$B$1:$L$257,7,FALSE)),"",(VLOOKUP($B228,'E-1 Off Site Hedge Baseline'!$B$1:$L$257,7,FALSE))))</f>
        <v/>
      </c>
      <c r="H228" s="520" t="str">
        <f>IF(B228="","",IF(ISNA(VLOOKUP($B228,'E-1 Off Site Hedge Baseline'!$B$1:$L$257,8,FALSE)),"",(VLOOKUP($B228,'E-1 Off Site Hedge Baseline'!$B$1:$L$257,8,FALSE))))</f>
        <v/>
      </c>
      <c r="I228" s="520" t="str">
        <f>IF(B228="","",IF(ISNA(VLOOKUP($B228,'E-1 Off Site Hedge Baseline'!$B$1:$L$257,10,FALSE)),"",(VLOOKUP($B228,'E-1 Off Site Hedge Baseline'!$B$1:$L$257,10,FALSE))))</f>
        <v/>
      </c>
      <c r="J228" s="520" t="str">
        <f>IF(B228="","",IF(ISNA(VLOOKUP($B228,'E-1 Off Site Hedge Baseline'!$B$1:$L$257,11,FALSE)),"",(VLOOKUP($B228,'E-1 Off Site Hedge Baseline'!$B$1:$L$257,11,FALSE))))</f>
        <v/>
      </c>
      <c r="K228" s="520" t="str">
        <f>IF(B228="","",IF(ISNA(VLOOKUP($B228,'E-1 Off Site Hedge Baseline'!$B$1:$U$257,113,FALSE)),"",(VLOOKUP($B228,'E-1 Off Site Hedge Baseline'!$B$1:$U$257,13,FALSE))))</f>
        <v/>
      </c>
      <c r="L228" s="507" t="str">
        <f>IF(B228="","",IF(ISNA(VLOOKUP($B228,'E-1 Off Site Hedge Baseline'!$B$1:$U$257,12,FALSE)),"",(VLOOKUP($B228,'E-1 Off Site Hedge Baseline'!$B$1:$U$257,12,FALSE))))</f>
        <v/>
      </c>
      <c r="M228" s="418" t="str">
        <f t="shared" si="32"/>
        <v/>
      </c>
      <c r="N228" s="498" t="str">
        <f>IFERROR(IF(B228="","",INDEX('G-6 Hedgerow Data'!$AN$3:$AZ$15,MATCH(C228,'G-6 Hedgerow Data'!$AM$3:$AM$15,0),MATCH(M228,'G-6 Hedgerow Data'!$AN$2:$AZ$2,0))),"")</f>
        <v/>
      </c>
      <c r="O228" s="499" t="str">
        <f t="shared" si="26"/>
        <v/>
      </c>
      <c r="P228" s="505" t="str">
        <f>IF(B228="","",VLOOKUP(B228,'E-1 Off Site Hedge Baseline'!$B$10:T473,16,FALSE))</f>
        <v/>
      </c>
      <c r="Q228" s="498" t="str">
        <f>IF(M228="","",VLOOKUP(M228,'G-6 Hedgerow Data'!$B$2:$AG$15,2,FALSE))</f>
        <v/>
      </c>
      <c r="R228" s="499" t="str">
        <f>IF(M228="","",VLOOKUP(M228,'G-6 Hedgerow Data'!$B$2:$AG$15,3,FALSE))</f>
        <v/>
      </c>
      <c r="S228" s="145"/>
      <c r="T228" s="499" t="str">
        <f>IFERROR(IF(AND(Q228="V.Low",OR(S228="Good",S228="Moderate")),"Error ▲",VLOOKUP(S228,'G-1 All Habitats'!$Z$2:$AA$9,2,FALSE)),"")</f>
        <v/>
      </c>
      <c r="U228" s="145"/>
      <c r="V228" s="507" t="str">
        <f>IF(U228="","",IF(VLOOKUP(U228,'G-3 Multipliers'!$L$3:$N$6,2,FALSE)=0,"Spatial Data Missing ⚠",VLOOKUP(U228,'G-3 Multipliers'!$L$3:$N$6,2,FALSE)))</f>
        <v/>
      </c>
      <c r="W228" s="505"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5"/>
        <v/>
      </c>
      <c r="AD228" s="537" t="str">
        <f>IF(M228="","",VLOOKUP(M228,'G-6 Hedgerow Data'!$B$3:$AG$15,31,FALSE))</f>
        <v/>
      </c>
      <c r="AE228" s="520" t="str">
        <f t="shared" si="29"/>
        <v/>
      </c>
      <c r="AF228" s="520" t="str">
        <f t="shared" si="30"/>
        <v/>
      </c>
      <c r="AG228" s="524" t="str">
        <f>IFERROR(IF(O228="","",VLOOKUP(AD228,'G-3 Multipliers'!$P$3:$Q$6,2,FALSE)),"")</f>
        <v/>
      </c>
      <c r="AH228" s="197"/>
      <c r="AI228" s="499" t="str">
        <f>IF(AH228="","",IF(VLOOKUP(AH228,'G-3 Multipliers'!$S$3:$T$6,2,FALSE)=0,"Spatial Data Missing ⚠",VLOOKUP(AH228,'G-3 Multipliers'!$S$3:$T$6,2,FALSE)))</f>
        <v/>
      </c>
      <c r="AJ228" s="545" t="str">
        <f t="shared" si="31"/>
        <v/>
      </c>
      <c r="AK228" s="149"/>
      <c r="AL228" s="150"/>
      <c r="AP228" s="31" t="str">
        <f>IFERROR(INDEX('G-6 Hedgerow Data'!$BJ$3:$BJ$15,MATCH(M228,'G-6 Hedgerow Data'!$B$3:$B$15,0)),"")</f>
        <v/>
      </c>
    </row>
    <row r="229" spans="2:42" ht="13.8" x14ac:dyDescent="0.25">
      <c r="B229" s="531" t="str">
        <f>'E-1 Off Site Hedge Baseline'!AK227</f>
        <v/>
      </c>
      <c r="C229" s="520" t="str">
        <f>IF(B229="","",IF(ISNA(VLOOKUP($B229,'E-1 Off Site Hedge Baseline'!$B$1:$L$257,3,FALSE)),"",(VLOOKUP($B229,'E-1 Off Site Hedge Baseline'!$B$1:$L$257,3,FALSE))))</f>
        <v/>
      </c>
      <c r="D229" s="520" t="str">
        <f>IF(B229="","",IF(ISNA(VLOOKUP($B229,'E-1 Off Site Hedge Baseline'!$B$1:$L$258,4,FALSE)),"",(VLOOKUP($B229,'E-1 Off Site Hedge Baseline'!$B$1:$L$258,4,FALSE))))</f>
        <v/>
      </c>
      <c r="E229" s="520" t="str">
        <f>IF(B229="","",IF(ISNA(VLOOKUP($B229,'E-1 Off Site Hedge Baseline'!$B$1:$L$257,5,FALSE)),"",(VLOOKUP($B229,'E-1 Off Site Hedge Baseline'!$B$1:$L$257,5,FALSE))))</f>
        <v/>
      </c>
      <c r="F229" s="520" t="str">
        <f>IF(B229="","",IF(ISNA(VLOOKUP($B229,'E-1 Off Site Hedge Baseline'!$B$1:$L$257,6,FALSE)),"",(VLOOKUP($B229,'E-1 Off Site Hedge Baseline'!$B$1:$L$257,6,FALSE))))</f>
        <v/>
      </c>
      <c r="G229" s="520" t="str">
        <f>IF(B229="","",IF(ISNA(VLOOKUP($B229,'E-1 Off Site Hedge Baseline'!$B$1:$L$257,7,FALSE)),"",(VLOOKUP($B229,'E-1 Off Site Hedge Baseline'!$B$1:$L$257,7,FALSE))))</f>
        <v/>
      </c>
      <c r="H229" s="520" t="str">
        <f>IF(B229="","",IF(ISNA(VLOOKUP($B229,'E-1 Off Site Hedge Baseline'!$B$1:$L$257,8,FALSE)),"",(VLOOKUP($B229,'E-1 Off Site Hedge Baseline'!$B$1:$L$257,8,FALSE))))</f>
        <v/>
      </c>
      <c r="I229" s="520" t="str">
        <f>IF(B229="","",IF(ISNA(VLOOKUP($B229,'E-1 Off Site Hedge Baseline'!$B$1:$L$257,10,FALSE)),"",(VLOOKUP($B229,'E-1 Off Site Hedge Baseline'!$B$1:$L$257,10,FALSE))))</f>
        <v/>
      </c>
      <c r="J229" s="520" t="str">
        <f>IF(B229="","",IF(ISNA(VLOOKUP($B229,'E-1 Off Site Hedge Baseline'!$B$1:$L$257,11,FALSE)),"",(VLOOKUP($B229,'E-1 Off Site Hedge Baseline'!$B$1:$L$257,11,FALSE))))</f>
        <v/>
      </c>
      <c r="K229" s="520" t="str">
        <f>IF(B229="","",IF(ISNA(VLOOKUP($B229,'E-1 Off Site Hedge Baseline'!$B$1:$U$257,113,FALSE)),"",(VLOOKUP($B229,'E-1 Off Site Hedge Baseline'!$B$1:$U$257,13,FALSE))))</f>
        <v/>
      </c>
      <c r="L229" s="507" t="str">
        <f>IF(B229="","",IF(ISNA(VLOOKUP($B229,'E-1 Off Site Hedge Baseline'!$B$1:$U$257,12,FALSE)),"",(VLOOKUP($B229,'E-1 Off Site Hedge Baseline'!$B$1:$U$257,12,FALSE))))</f>
        <v/>
      </c>
      <c r="M229" s="418" t="str">
        <f t="shared" si="32"/>
        <v/>
      </c>
      <c r="N229" s="498" t="str">
        <f>IFERROR(IF(B229="","",INDEX('G-6 Hedgerow Data'!$AN$3:$AZ$15,MATCH(C229,'G-6 Hedgerow Data'!$AM$3:$AM$15,0),MATCH(M229,'G-6 Hedgerow Data'!$AN$2:$AZ$2,0))),"")</f>
        <v/>
      </c>
      <c r="O229" s="499" t="str">
        <f t="shared" si="26"/>
        <v/>
      </c>
      <c r="P229" s="505" t="str">
        <f>IF(B229="","",VLOOKUP(B229,'E-1 Off Site Hedge Baseline'!$B$10:T474,16,FALSE))</f>
        <v/>
      </c>
      <c r="Q229" s="498" t="str">
        <f>IF(M229="","",VLOOKUP(M229,'G-6 Hedgerow Data'!$B$2:$AG$15,2,FALSE))</f>
        <v/>
      </c>
      <c r="R229" s="499" t="str">
        <f>IF(M229="","",VLOOKUP(M229,'G-6 Hedgerow Data'!$B$2:$AG$15,3,FALSE))</f>
        <v/>
      </c>
      <c r="S229" s="145"/>
      <c r="T229" s="499" t="str">
        <f>IFERROR(IF(AND(Q229="V.Low",OR(S229="Good",S229="Moderate")),"Error ▲",VLOOKUP(S229,'G-1 All Habitats'!$Z$2:$AA$9,2,FALSE)),"")</f>
        <v/>
      </c>
      <c r="U229" s="145"/>
      <c r="V229" s="507" t="str">
        <f>IF(U229="","",IF(VLOOKUP(U229,'G-3 Multipliers'!$L$3:$N$6,2,FALSE)=0,"Spatial Data Missing ⚠",VLOOKUP(U229,'G-3 Multipliers'!$L$3:$N$6,2,FALSE)))</f>
        <v/>
      </c>
      <c r="W229" s="505"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5"/>
        <v/>
      </c>
      <c r="AD229" s="537" t="str">
        <f>IF(M229="","",VLOOKUP(M229,'G-6 Hedgerow Data'!$B$3:$AG$15,31,FALSE))</f>
        <v/>
      </c>
      <c r="AE229" s="520" t="str">
        <f t="shared" si="29"/>
        <v/>
      </c>
      <c r="AF229" s="520" t="str">
        <f t="shared" si="30"/>
        <v/>
      </c>
      <c r="AG229" s="524" t="str">
        <f>IFERROR(IF(O229="","",VLOOKUP(AD229,'G-3 Multipliers'!$P$3:$Q$6,2,FALSE)),"")</f>
        <v/>
      </c>
      <c r="AH229" s="197"/>
      <c r="AI229" s="499" t="str">
        <f>IF(AH229="","",IF(VLOOKUP(AH229,'G-3 Multipliers'!$S$3:$T$6,2,FALSE)=0,"Spatial Data Missing ⚠",VLOOKUP(AH229,'G-3 Multipliers'!$S$3:$T$6,2,FALSE)))</f>
        <v/>
      </c>
      <c r="AJ229" s="545" t="str">
        <f t="shared" si="31"/>
        <v/>
      </c>
      <c r="AK229" s="149"/>
      <c r="AL229" s="150"/>
      <c r="AP229" s="31" t="str">
        <f>IFERROR(INDEX('G-6 Hedgerow Data'!$BJ$3:$BJ$15,MATCH(M229,'G-6 Hedgerow Data'!$B$3:$B$15,0)),"")</f>
        <v/>
      </c>
    </row>
    <row r="230" spans="2:42" ht="13.8" x14ac:dyDescent="0.25">
      <c r="B230" s="531" t="str">
        <f>'E-1 Off Site Hedge Baseline'!AK228</f>
        <v/>
      </c>
      <c r="C230" s="520" t="str">
        <f>IF(B230="","",IF(ISNA(VLOOKUP($B230,'E-1 Off Site Hedge Baseline'!$B$1:$L$257,3,FALSE)),"",(VLOOKUP($B230,'E-1 Off Site Hedge Baseline'!$B$1:$L$257,3,FALSE))))</f>
        <v/>
      </c>
      <c r="D230" s="520" t="str">
        <f>IF(B230="","",IF(ISNA(VLOOKUP($B230,'E-1 Off Site Hedge Baseline'!$B$1:$L$258,4,FALSE)),"",(VLOOKUP($B230,'E-1 Off Site Hedge Baseline'!$B$1:$L$258,4,FALSE))))</f>
        <v/>
      </c>
      <c r="E230" s="520" t="str">
        <f>IF(B230="","",IF(ISNA(VLOOKUP($B230,'E-1 Off Site Hedge Baseline'!$B$1:$L$257,5,FALSE)),"",(VLOOKUP($B230,'E-1 Off Site Hedge Baseline'!$B$1:$L$257,5,FALSE))))</f>
        <v/>
      </c>
      <c r="F230" s="520" t="str">
        <f>IF(B230="","",IF(ISNA(VLOOKUP($B230,'E-1 Off Site Hedge Baseline'!$B$1:$L$257,6,FALSE)),"",(VLOOKUP($B230,'E-1 Off Site Hedge Baseline'!$B$1:$L$257,6,FALSE))))</f>
        <v/>
      </c>
      <c r="G230" s="520" t="str">
        <f>IF(B230="","",IF(ISNA(VLOOKUP($B230,'E-1 Off Site Hedge Baseline'!$B$1:$L$257,7,FALSE)),"",(VLOOKUP($B230,'E-1 Off Site Hedge Baseline'!$B$1:$L$257,7,FALSE))))</f>
        <v/>
      </c>
      <c r="H230" s="520" t="str">
        <f>IF(B230="","",IF(ISNA(VLOOKUP($B230,'E-1 Off Site Hedge Baseline'!$B$1:$L$257,8,FALSE)),"",(VLOOKUP($B230,'E-1 Off Site Hedge Baseline'!$B$1:$L$257,8,FALSE))))</f>
        <v/>
      </c>
      <c r="I230" s="520" t="str">
        <f>IF(B230="","",IF(ISNA(VLOOKUP($B230,'E-1 Off Site Hedge Baseline'!$B$1:$L$257,10,FALSE)),"",(VLOOKUP($B230,'E-1 Off Site Hedge Baseline'!$B$1:$L$257,10,FALSE))))</f>
        <v/>
      </c>
      <c r="J230" s="520" t="str">
        <f>IF(B230="","",IF(ISNA(VLOOKUP($B230,'E-1 Off Site Hedge Baseline'!$B$1:$L$257,11,FALSE)),"",(VLOOKUP($B230,'E-1 Off Site Hedge Baseline'!$B$1:$L$257,11,FALSE))))</f>
        <v/>
      </c>
      <c r="K230" s="520" t="str">
        <f>IF(B230="","",IF(ISNA(VLOOKUP($B230,'E-1 Off Site Hedge Baseline'!$B$1:$U$257,113,FALSE)),"",(VLOOKUP($B230,'E-1 Off Site Hedge Baseline'!$B$1:$U$257,13,FALSE))))</f>
        <v/>
      </c>
      <c r="L230" s="507" t="str">
        <f>IF(B230="","",IF(ISNA(VLOOKUP($B230,'E-1 Off Site Hedge Baseline'!$B$1:$U$257,12,FALSE)),"",(VLOOKUP($B230,'E-1 Off Site Hedge Baseline'!$B$1:$U$257,12,FALSE))))</f>
        <v/>
      </c>
      <c r="M230" s="418" t="str">
        <f t="shared" si="32"/>
        <v/>
      </c>
      <c r="N230" s="498" t="str">
        <f>IFERROR(IF(B230="","",INDEX('G-6 Hedgerow Data'!$AN$3:$AZ$15,MATCH(C230,'G-6 Hedgerow Data'!$AM$3:$AM$15,0),MATCH(M230,'G-6 Hedgerow Data'!$AN$2:$AZ$2,0))),"")</f>
        <v/>
      </c>
      <c r="O230" s="499" t="str">
        <f t="shared" si="26"/>
        <v/>
      </c>
      <c r="P230" s="505" t="str">
        <f>IF(B230="","",VLOOKUP(B230,'E-1 Off Site Hedge Baseline'!$B$10:T475,16,FALSE))</f>
        <v/>
      </c>
      <c r="Q230" s="498" t="str">
        <f>IF(M230="","",VLOOKUP(M230,'G-6 Hedgerow Data'!$B$2:$AG$15,2,FALSE))</f>
        <v/>
      </c>
      <c r="R230" s="499" t="str">
        <f>IF(M230="","",VLOOKUP(M230,'G-6 Hedgerow Data'!$B$2:$AG$15,3,FALSE))</f>
        <v/>
      </c>
      <c r="S230" s="145"/>
      <c r="T230" s="499" t="str">
        <f>IFERROR(IF(AND(Q230="V.Low",OR(S230="Good",S230="Moderate")),"Error ▲",VLOOKUP(S230,'G-1 All Habitats'!$Z$2:$AA$9,2,FALSE)),"")</f>
        <v/>
      </c>
      <c r="U230" s="145"/>
      <c r="V230" s="507" t="str">
        <f>IF(U230="","",IF(VLOOKUP(U230,'G-3 Multipliers'!$L$3:$N$6,2,FALSE)=0,"Spatial Data Missing ⚠",VLOOKUP(U230,'G-3 Multipliers'!$L$3:$N$6,2,FALSE)))</f>
        <v/>
      </c>
      <c r="W230" s="505"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5"/>
        <v/>
      </c>
      <c r="AD230" s="537" t="str">
        <f>IF(M230="","",VLOOKUP(M230,'G-6 Hedgerow Data'!$B$3:$AG$15,31,FALSE))</f>
        <v/>
      </c>
      <c r="AE230" s="520" t="str">
        <f t="shared" si="29"/>
        <v/>
      </c>
      <c r="AF230" s="520" t="str">
        <f t="shared" si="30"/>
        <v/>
      </c>
      <c r="AG230" s="524" t="str">
        <f>IFERROR(IF(O230="","",VLOOKUP(AD230,'G-3 Multipliers'!$P$3:$Q$6,2,FALSE)),"")</f>
        <v/>
      </c>
      <c r="AH230" s="197"/>
      <c r="AI230" s="499" t="str">
        <f>IF(AH230="","",IF(VLOOKUP(AH230,'G-3 Multipliers'!$S$3:$T$6,2,FALSE)=0,"Spatial Data Missing ⚠",VLOOKUP(AH230,'G-3 Multipliers'!$S$3:$T$6,2,FALSE)))</f>
        <v/>
      </c>
      <c r="AJ230" s="545" t="str">
        <f t="shared" si="31"/>
        <v/>
      </c>
      <c r="AK230" s="149"/>
      <c r="AL230" s="150"/>
      <c r="AP230" s="31" t="str">
        <f>IFERROR(INDEX('G-6 Hedgerow Data'!$BJ$3:$BJ$15,MATCH(M230,'G-6 Hedgerow Data'!$B$3:$B$15,0)),"")</f>
        <v/>
      </c>
    </row>
    <row r="231" spans="2:42" ht="13.8" x14ac:dyDescent="0.25">
      <c r="B231" s="531" t="str">
        <f>'E-1 Off Site Hedge Baseline'!AK229</f>
        <v/>
      </c>
      <c r="C231" s="520" t="str">
        <f>IF(B231="","",IF(ISNA(VLOOKUP($B231,'E-1 Off Site Hedge Baseline'!$B$1:$L$257,3,FALSE)),"",(VLOOKUP($B231,'E-1 Off Site Hedge Baseline'!$B$1:$L$257,3,FALSE))))</f>
        <v/>
      </c>
      <c r="D231" s="520" t="str">
        <f>IF(B231="","",IF(ISNA(VLOOKUP($B231,'E-1 Off Site Hedge Baseline'!$B$1:$L$258,4,FALSE)),"",(VLOOKUP($B231,'E-1 Off Site Hedge Baseline'!$B$1:$L$258,4,FALSE))))</f>
        <v/>
      </c>
      <c r="E231" s="520" t="str">
        <f>IF(B231="","",IF(ISNA(VLOOKUP($B231,'E-1 Off Site Hedge Baseline'!$B$1:$L$257,5,FALSE)),"",(VLOOKUP($B231,'E-1 Off Site Hedge Baseline'!$B$1:$L$257,5,FALSE))))</f>
        <v/>
      </c>
      <c r="F231" s="520" t="str">
        <f>IF(B231="","",IF(ISNA(VLOOKUP($B231,'E-1 Off Site Hedge Baseline'!$B$1:$L$257,6,FALSE)),"",(VLOOKUP($B231,'E-1 Off Site Hedge Baseline'!$B$1:$L$257,6,FALSE))))</f>
        <v/>
      </c>
      <c r="G231" s="520" t="str">
        <f>IF(B231="","",IF(ISNA(VLOOKUP($B231,'E-1 Off Site Hedge Baseline'!$B$1:$L$257,7,FALSE)),"",(VLOOKUP($B231,'E-1 Off Site Hedge Baseline'!$B$1:$L$257,7,FALSE))))</f>
        <v/>
      </c>
      <c r="H231" s="520" t="str">
        <f>IF(B231="","",IF(ISNA(VLOOKUP($B231,'E-1 Off Site Hedge Baseline'!$B$1:$L$257,8,FALSE)),"",(VLOOKUP($B231,'E-1 Off Site Hedge Baseline'!$B$1:$L$257,8,FALSE))))</f>
        <v/>
      </c>
      <c r="I231" s="520" t="str">
        <f>IF(B231="","",IF(ISNA(VLOOKUP($B231,'E-1 Off Site Hedge Baseline'!$B$1:$L$257,10,FALSE)),"",(VLOOKUP($B231,'E-1 Off Site Hedge Baseline'!$B$1:$L$257,10,FALSE))))</f>
        <v/>
      </c>
      <c r="J231" s="520" t="str">
        <f>IF(B231="","",IF(ISNA(VLOOKUP($B231,'E-1 Off Site Hedge Baseline'!$B$1:$L$257,11,FALSE)),"",(VLOOKUP($B231,'E-1 Off Site Hedge Baseline'!$B$1:$L$257,11,FALSE))))</f>
        <v/>
      </c>
      <c r="K231" s="520" t="str">
        <f>IF(B231="","",IF(ISNA(VLOOKUP($B231,'E-1 Off Site Hedge Baseline'!$B$1:$U$257,113,FALSE)),"",(VLOOKUP($B231,'E-1 Off Site Hedge Baseline'!$B$1:$U$257,13,FALSE))))</f>
        <v/>
      </c>
      <c r="L231" s="507" t="str">
        <f>IF(B231="","",IF(ISNA(VLOOKUP($B231,'E-1 Off Site Hedge Baseline'!$B$1:$U$257,12,FALSE)),"",(VLOOKUP($B231,'E-1 Off Site Hedge Baseline'!$B$1:$U$257,12,FALSE))))</f>
        <v/>
      </c>
      <c r="M231" s="418" t="str">
        <f t="shared" si="32"/>
        <v/>
      </c>
      <c r="N231" s="498" t="str">
        <f>IFERROR(IF(B231="","",INDEX('G-6 Hedgerow Data'!$AN$3:$AZ$15,MATCH(C231,'G-6 Hedgerow Data'!$AM$3:$AM$15,0),MATCH(M231,'G-6 Hedgerow Data'!$AN$2:$AZ$2,0))),"")</f>
        <v/>
      </c>
      <c r="O231" s="499" t="str">
        <f t="shared" si="26"/>
        <v/>
      </c>
      <c r="P231" s="505" t="str">
        <f>IF(B231="","",VLOOKUP(B231,'E-1 Off Site Hedge Baseline'!$B$10:T476,16,FALSE))</f>
        <v/>
      </c>
      <c r="Q231" s="498" t="str">
        <f>IF(M231="","",VLOOKUP(M231,'G-6 Hedgerow Data'!$B$2:$AG$15,2,FALSE))</f>
        <v/>
      </c>
      <c r="R231" s="499" t="str">
        <f>IF(M231="","",VLOOKUP(M231,'G-6 Hedgerow Data'!$B$2:$AG$15,3,FALSE))</f>
        <v/>
      </c>
      <c r="S231" s="145"/>
      <c r="T231" s="499" t="str">
        <f>IFERROR(IF(AND(Q231="V.Low",OR(S231="Good",S231="Moderate")),"Error ▲",VLOOKUP(S231,'G-1 All Habitats'!$Z$2:$AA$9,2,FALSE)),"")</f>
        <v/>
      </c>
      <c r="U231" s="145"/>
      <c r="V231" s="507" t="str">
        <f>IF(U231="","",IF(VLOOKUP(U231,'G-3 Multipliers'!$L$3:$N$6,2,FALSE)=0,"Spatial Data Missing ⚠",VLOOKUP(U231,'G-3 Multipliers'!$L$3:$N$6,2,FALSE)))</f>
        <v/>
      </c>
      <c r="W231" s="505"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5"/>
        <v/>
      </c>
      <c r="AD231" s="537" t="str">
        <f>IF(M231="","",VLOOKUP(M231,'G-6 Hedgerow Data'!$B$3:$AG$15,31,FALSE))</f>
        <v/>
      </c>
      <c r="AE231" s="520" t="str">
        <f t="shared" si="29"/>
        <v/>
      </c>
      <c r="AF231" s="520" t="str">
        <f t="shared" si="30"/>
        <v/>
      </c>
      <c r="AG231" s="524" t="str">
        <f>IFERROR(IF(O231="","",VLOOKUP(AD231,'G-3 Multipliers'!$P$3:$Q$6,2,FALSE)),"")</f>
        <v/>
      </c>
      <c r="AH231" s="197"/>
      <c r="AI231" s="499" t="str">
        <f>IF(AH231="","",IF(VLOOKUP(AH231,'G-3 Multipliers'!$S$3:$T$6,2,FALSE)=0,"Spatial Data Missing ⚠",VLOOKUP(AH231,'G-3 Multipliers'!$S$3:$T$6,2,FALSE)))</f>
        <v/>
      </c>
      <c r="AJ231" s="545" t="str">
        <f t="shared" si="31"/>
        <v/>
      </c>
      <c r="AK231" s="149"/>
      <c r="AL231" s="150"/>
      <c r="AP231" s="31" t="str">
        <f>IFERROR(INDEX('G-6 Hedgerow Data'!$BJ$3:$BJ$15,MATCH(M231,'G-6 Hedgerow Data'!$B$3:$B$15,0)),"")</f>
        <v/>
      </c>
    </row>
    <row r="232" spans="2:42" ht="13.8" x14ac:dyDescent="0.25">
      <c r="B232" s="531" t="str">
        <f>'E-1 Off Site Hedge Baseline'!AK230</f>
        <v/>
      </c>
      <c r="C232" s="520" t="str">
        <f>IF(B232="","",IF(ISNA(VLOOKUP($B232,'E-1 Off Site Hedge Baseline'!$B$1:$L$257,3,FALSE)),"",(VLOOKUP($B232,'E-1 Off Site Hedge Baseline'!$B$1:$L$257,3,FALSE))))</f>
        <v/>
      </c>
      <c r="D232" s="520" t="str">
        <f>IF(B232="","",IF(ISNA(VLOOKUP($B232,'E-1 Off Site Hedge Baseline'!$B$1:$L$258,4,FALSE)),"",(VLOOKUP($B232,'E-1 Off Site Hedge Baseline'!$B$1:$L$258,4,FALSE))))</f>
        <v/>
      </c>
      <c r="E232" s="520" t="str">
        <f>IF(B232="","",IF(ISNA(VLOOKUP($B232,'E-1 Off Site Hedge Baseline'!$B$1:$L$257,5,FALSE)),"",(VLOOKUP($B232,'E-1 Off Site Hedge Baseline'!$B$1:$L$257,5,FALSE))))</f>
        <v/>
      </c>
      <c r="F232" s="520" t="str">
        <f>IF(B232="","",IF(ISNA(VLOOKUP($B232,'E-1 Off Site Hedge Baseline'!$B$1:$L$257,6,FALSE)),"",(VLOOKUP($B232,'E-1 Off Site Hedge Baseline'!$B$1:$L$257,6,FALSE))))</f>
        <v/>
      </c>
      <c r="G232" s="520" t="str">
        <f>IF(B232="","",IF(ISNA(VLOOKUP($B232,'E-1 Off Site Hedge Baseline'!$B$1:$L$257,7,FALSE)),"",(VLOOKUP($B232,'E-1 Off Site Hedge Baseline'!$B$1:$L$257,7,FALSE))))</f>
        <v/>
      </c>
      <c r="H232" s="520" t="str">
        <f>IF(B232="","",IF(ISNA(VLOOKUP($B232,'E-1 Off Site Hedge Baseline'!$B$1:$L$257,8,FALSE)),"",(VLOOKUP($B232,'E-1 Off Site Hedge Baseline'!$B$1:$L$257,8,FALSE))))</f>
        <v/>
      </c>
      <c r="I232" s="520" t="str">
        <f>IF(B232="","",IF(ISNA(VLOOKUP($B232,'E-1 Off Site Hedge Baseline'!$B$1:$L$257,10,FALSE)),"",(VLOOKUP($B232,'E-1 Off Site Hedge Baseline'!$B$1:$L$257,10,FALSE))))</f>
        <v/>
      </c>
      <c r="J232" s="520" t="str">
        <f>IF(B232="","",IF(ISNA(VLOOKUP($B232,'E-1 Off Site Hedge Baseline'!$B$1:$L$257,11,FALSE)),"",(VLOOKUP($B232,'E-1 Off Site Hedge Baseline'!$B$1:$L$257,11,FALSE))))</f>
        <v/>
      </c>
      <c r="K232" s="520" t="str">
        <f>IF(B232="","",IF(ISNA(VLOOKUP($B232,'E-1 Off Site Hedge Baseline'!$B$1:$U$257,113,FALSE)),"",(VLOOKUP($B232,'E-1 Off Site Hedge Baseline'!$B$1:$U$257,13,FALSE))))</f>
        <v/>
      </c>
      <c r="L232" s="507" t="str">
        <f>IF(B232="","",IF(ISNA(VLOOKUP($B232,'E-1 Off Site Hedge Baseline'!$B$1:$U$257,12,FALSE)),"",(VLOOKUP($B232,'E-1 Off Site Hedge Baseline'!$B$1:$U$257,12,FALSE))))</f>
        <v/>
      </c>
      <c r="M232" s="418" t="str">
        <f t="shared" si="32"/>
        <v/>
      </c>
      <c r="N232" s="498" t="str">
        <f>IFERROR(IF(B232="","",INDEX('G-6 Hedgerow Data'!$AN$3:$AZ$15,MATCH(C232,'G-6 Hedgerow Data'!$AM$3:$AM$15,0),MATCH(M232,'G-6 Hedgerow Data'!$AN$2:$AZ$2,0))),"")</f>
        <v/>
      </c>
      <c r="O232" s="499" t="str">
        <f t="shared" si="26"/>
        <v/>
      </c>
      <c r="P232" s="505" t="str">
        <f>IF(B232="","",VLOOKUP(B232,'E-1 Off Site Hedge Baseline'!$B$10:T477,16,FALSE))</f>
        <v/>
      </c>
      <c r="Q232" s="498" t="str">
        <f>IF(M232="","",VLOOKUP(M232,'G-6 Hedgerow Data'!$B$2:$AG$15,2,FALSE))</f>
        <v/>
      </c>
      <c r="R232" s="499" t="str">
        <f>IF(M232="","",VLOOKUP(M232,'G-6 Hedgerow Data'!$B$2:$AG$15,3,FALSE))</f>
        <v/>
      </c>
      <c r="S232" s="145"/>
      <c r="T232" s="499" t="str">
        <f>IFERROR(IF(AND(Q232="V.Low",OR(S232="Good",S232="Moderate")),"Error ▲",VLOOKUP(S232,'G-1 All Habitats'!$Z$2:$AA$9,2,FALSE)),"")</f>
        <v/>
      </c>
      <c r="U232" s="145"/>
      <c r="V232" s="507" t="str">
        <f>IF(U232="","",IF(VLOOKUP(U232,'G-3 Multipliers'!$L$3:$N$6,2,FALSE)=0,"Spatial Data Missing ⚠",VLOOKUP(U232,'G-3 Multipliers'!$L$3:$N$6,2,FALSE)))</f>
        <v/>
      </c>
      <c r="W232" s="505"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5"/>
        <v/>
      </c>
      <c r="AD232" s="537" t="str">
        <f>IF(M232="","",VLOOKUP(M232,'G-6 Hedgerow Data'!$B$3:$AG$15,31,FALSE))</f>
        <v/>
      </c>
      <c r="AE232" s="520" t="str">
        <f t="shared" si="29"/>
        <v/>
      </c>
      <c r="AF232" s="520" t="str">
        <f t="shared" si="30"/>
        <v/>
      </c>
      <c r="AG232" s="524" t="str">
        <f>IFERROR(IF(O232="","",VLOOKUP(AD232,'G-3 Multipliers'!$P$3:$Q$6,2,FALSE)),"")</f>
        <v/>
      </c>
      <c r="AH232" s="197"/>
      <c r="AI232" s="499" t="str">
        <f>IF(AH232="","",IF(VLOOKUP(AH232,'G-3 Multipliers'!$S$3:$T$6,2,FALSE)=0,"Spatial Data Missing ⚠",VLOOKUP(AH232,'G-3 Multipliers'!$S$3:$T$6,2,FALSE)))</f>
        <v/>
      </c>
      <c r="AJ232" s="545" t="str">
        <f t="shared" si="31"/>
        <v/>
      </c>
      <c r="AK232" s="149"/>
      <c r="AL232" s="150"/>
      <c r="AP232" s="31" t="str">
        <f>IFERROR(INDEX('G-6 Hedgerow Data'!$BJ$3:$BJ$15,MATCH(M232,'G-6 Hedgerow Data'!$B$3:$B$15,0)),"")</f>
        <v/>
      </c>
    </row>
    <row r="233" spans="2:42" ht="13.8" x14ac:dyDescent="0.25">
      <c r="B233" s="531" t="str">
        <f>'E-1 Off Site Hedge Baseline'!AK231</f>
        <v/>
      </c>
      <c r="C233" s="520" t="str">
        <f>IF(B233="","",IF(ISNA(VLOOKUP($B233,'E-1 Off Site Hedge Baseline'!$B$1:$L$257,3,FALSE)),"",(VLOOKUP($B233,'E-1 Off Site Hedge Baseline'!$B$1:$L$257,3,FALSE))))</f>
        <v/>
      </c>
      <c r="D233" s="520" t="str">
        <f>IF(B233="","",IF(ISNA(VLOOKUP($B233,'E-1 Off Site Hedge Baseline'!$B$1:$L$258,4,FALSE)),"",(VLOOKUP($B233,'E-1 Off Site Hedge Baseline'!$B$1:$L$258,4,FALSE))))</f>
        <v/>
      </c>
      <c r="E233" s="520" t="str">
        <f>IF(B233="","",IF(ISNA(VLOOKUP($B233,'E-1 Off Site Hedge Baseline'!$B$1:$L$257,5,FALSE)),"",(VLOOKUP($B233,'E-1 Off Site Hedge Baseline'!$B$1:$L$257,5,FALSE))))</f>
        <v/>
      </c>
      <c r="F233" s="520" t="str">
        <f>IF(B233="","",IF(ISNA(VLOOKUP($B233,'E-1 Off Site Hedge Baseline'!$B$1:$L$257,6,FALSE)),"",(VLOOKUP($B233,'E-1 Off Site Hedge Baseline'!$B$1:$L$257,6,FALSE))))</f>
        <v/>
      </c>
      <c r="G233" s="520" t="str">
        <f>IF(B233="","",IF(ISNA(VLOOKUP($B233,'E-1 Off Site Hedge Baseline'!$B$1:$L$257,7,FALSE)),"",(VLOOKUP($B233,'E-1 Off Site Hedge Baseline'!$B$1:$L$257,7,FALSE))))</f>
        <v/>
      </c>
      <c r="H233" s="520" t="str">
        <f>IF(B233="","",IF(ISNA(VLOOKUP($B233,'E-1 Off Site Hedge Baseline'!$B$1:$L$257,8,FALSE)),"",(VLOOKUP($B233,'E-1 Off Site Hedge Baseline'!$B$1:$L$257,8,FALSE))))</f>
        <v/>
      </c>
      <c r="I233" s="520" t="str">
        <f>IF(B233="","",IF(ISNA(VLOOKUP($B233,'E-1 Off Site Hedge Baseline'!$B$1:$L$257,10,FALSE)),"",(VLOOKUP($B233,'E-1 Off Site Hedge Baseline'!$B$1:$L$257,10,FALSE))))</f>
        <v/>
      </c>
      <c r="J233" s="520" t="str">
        <f>IF(B233="","",IF(ISNA(VLOOKUP($B233,'E-1 Off Site Hedge Baseline'!$B$1:$L$257,11,FALSE)),"",(VLOOKUP($B233,'E-1 Off Site Hedge Baseline'!$B$1:$L$257,11,FALSE))))</f>
        <v/>
      </c>
      <c r="K233" s="520" t="str">
        <f>IF(B233="","",IF(ISNA(VLOOKUP($B233,'E-1 Off Site Hedge Baseline'!$B$1:$U$257,113,FALSE)),"",(VLOOKUP($B233,'E-1 Off Site Hedge Baseline'!$B$1:$U$257,13,FALSE))))</f>
        <v/>
      </c>
      <c r="L233" s="507" t="str">
        <f>IF(B233="","",IF(ISNA(VLOOKUP($B233,'E-1 Off Site Hedge Baseline'!$B$1:$U$257,12,FALSE)),"",(VLOOKUP($B233,'E-1 Off Site Hedge Baseline'!$B$1:$U$257,12,FALSE))))</f>
        <v/>
      </c>
      <c r="M233" s="418" t="str">
        <f t="shared" si="32"/>
        <v/>
      </c>
      <c r="N233" s="498" t="str">
        <f>IFERROR(IF(B233="","",INDEX('G-6 Hedgerow Data'!$AN$3:$AZ$15,MATCH(C233,'G-6 Hedgerow Data'!$AM$3:$AM$15,0),MATCH(M233,'G-6 Hedgerow Data'!$AN$2:$AZ$2,0))),"")</f>
        <v/>
      </c>
      <c r="O233" s="499" t="str">
        <f t="shared" si="26"/>
        <v/>
      </c>
      <c r="P233" s="505" t="str">
        <f>IF(B233="","",VLOOKUP(B233,'E-1 Off Site Hedge Baseline'!$B$10:T478,16,FALSE))</f>
        <v/>
      </c>
      <c r="Q233" s="498" t="str">
        <f>IF(M233="","",VLOOKUP(M233,'G-6 Hedgerow Data'!$B$2:$AG$15,2,FALSE))</f>
        <v/>
      </c>
      <c r="R233" s="499" t="str">
        <f>IF(M233="","",VLOOKUP(M233,'G-6 Hedgerow Data'!$B$2:$AG$15,3,FALSE))</f>
        <v/>
      </c>
      <c r="S233" s="145"/>
      <c r="T233" s="499" t="str">
        <f>IFERROR(IF(AND(Q233="V.Low",OR(S233="Good",S233="Moderate")),"Error ▲",VLOOKUP(S233,'G-1 All Habitats'!$Z$2:$AA$9,2,FALSE)),"")</f>
        <v/>
      </c>
      <c r="U233" s="145"/>
      <c r="V233" s="507" t="str">
        <f>IF(U233="","",IF(VLOOKUP(U233,'G-3 Multipliers'!$L$3:$N$6,2,FALSE)=0,"Spatial Data Missing ⚠",VLOOKUP(U233,'G-3 Multipliers'!$L$3:$N$6,2,FALSE)))</f>
        <v/>
      </c>
      <c r="W233" s="505"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5"/>
        <v/>
      </c>
      <c r="AD233" s="537" t="str">
        <f>IF(M233="","",VLOOKUP(M233,'G-6 Hedgerow Data'!$B$3:$AG$15,31,FALSE))</f>
        <v/>
      </c>
      <c r="AE233" s="520" t="str">
        <f t="shared" si="29"/>
        <v/>
      </c>
      <c r="AF233" s="520" t="str">
        <f t="shared" si="30"/>
        <v/>
      </c>
      <c r="AG233" s="524" t="str">
        <f>IFERROR(IF(O233="","",VLOOKUP(AD233,'G-3 Multipliers'!$P$3:$Q$6,2,FALSE)),"")</f>
        <v/>
      </c>
      <c r="AH233" s="197"/>
      <c r="AI233" s="499" t="str">
        <f>IF(AH233="","",IF(VLOOKUP(AH233,'G-3 Multipliers'!$S$3:$T$6,2,FALSE)=0,"Spatial Data Missing ⚠",VLOOKUP(AH233,'G-3 Multipliers'!$S$3:$T$6,2,FALSE)))</f>
        <v/>
      </c>
      <c r="AJ233" s="545" t="str">
        <f t="shared" si="31"/>
        <v/>
      </c>
      <c r="AK233" s="149"/>
      <c r="AL233" s="150"/>
      <c r="AP233" s="31" t="str">
        <f>IFERROR(INDEX('G-6 Hedgerow Data'!$BJ$3:$BJ$15,MATCH(M233,'G-6 Hedgerow Data'!$B$3:$B$15,0)),"")</f>
        <v/>
      </c>
    </row>
    <row r="234" spans="2:42" ht="13.8" x14ac:dyDescent="0.25">
      <c r="B234" s="531" t="str">
        <f>'E-1 Off Site Hedge Baseline'!AK232</f>
        <v/>
      </c>
      <c r="C234" s="520" t="str">
        <f>IF(B234="","",IF(ISNA(VLOOKUP($B234,'E-1 Off Site Hedge Baseline'!$B$1:$L$257,3,FALSE)),"",(VLOOKUP($B234,'E-1 Off Site Hedge Baseline'!$B$1:$L$257,3,FALSE))))</f>
        <v/>
      </c>
      <c r="D234" s="520" t="str">
        <f>IF(B234="","",IF(ISNA(VLOOKUP($B234,'E-1 Off Site Hedge Baseline'!$B$1:$L$258,4,FALSE)),"",(VLOOKUP($B234,'E-1 Off Site Hedge Baseline'!$B$1:$L$258,4,FALSE))))</f>
        <v/>
      </c>
      <c r="E234" s="520" t="str">
        <f>IF(B234="","",IF(ISNA(VLOOKUP($B234,'E-1 Off Site Hedge Baseline'!$B$1:$L$257,5,FALSE)),"",(VLOOKUP($B234,'E-1 Off Site Hedge Baseline'!$B$1:$L$257,5,FALSE))))</f>
        <v/>
      </c>
      <c r="F234" s="520" t="str">
        <f>IF(B234="","",IF(ISNA(VLOOKUP($B234,'E-1 Off Site Hedge Baseline'!$B$1:$L$257,6,FALSE)),"",(VLOOKUP($B234,'E-1 Off Site Hedge Baseline'!$B$1:$L$257,6,FALSE))))</f>
        <v/>
      </c>
      <c r="G234" s="520" t="str">
        <f>IF(B234="","",IF(ISNA(VLOOKUP($B234,'E-1 Off Site Hedge Baseline'!$B$1:$L$257,7,FALSE)),"",(VLOOKUP($B234,'E-1 Off Site Hedge Baseline'!$B$1:$L$257,7,FALSE))))</f>
        <v/>
      </c>
      <c r="H234" s="520" t="str">
        <f>IF(B234="","",IF(ISNA(VLOOKUP($B234,'E-1 Off Site Hedge Baseline'!$B$1:$L$257,8,FALSE)),"",(VLOOKUP($B234,'E-1 Off Site Hedge Baseline'!$B$1:$L$257,8,FALSE))))</f>
        <v/>
      </c>
      <c r="I234" s="520" t="str">
        <f>IF(B234="","",IF(ISNA(VLOOKUP($B234,'E-1 Off Site Hedge Baseline'!$B$1:$L$257,10,FALSE)),"",(VLOOKUP($B234,'E-1 Off Site Hedge Baseline'!$B$1:$L$257,10,FALSE))))</f>
        <v/>
      </c>
      <c r="J234" s="520" t="str">
        <f>IF(B234="","",IF(ISNA(VLOOKUP($B234,'E-1 Off Site Hedge Baseline'!$B$1:$L$257,11,FALSE)),"",(VLOOKUP($B234,'E-1 Off Site Hedge Baseline'!$B$1:$L$257,11,FALSE))))</f>
        <v/>
      </c>
      <c r="K234" s="520" t="str">
        <f>IF(B234="","",IF(ISNA(VLOOKUP($B234,'E-1 Off Site Hedge Baseline'!$B$1:$U$257,113,FALSE)),"",(VLOOKUP($B234,'E-1 Off Site Hedge Baseline'!$B$1:$U$257,13,FALSE))))</f>
        <v/>
      </c>
      <c r="L234" s="507" t="str">
        <f>IF(B234="","",IF(ISNA(VLOOKUP($B234,'E-1 Off Site Hedge Baseline'!$B$1:$U$257,12,FALSE)),"",(VLOOKUP($B234,'E-1 Off Site Hedge Baseline'!$B$1:$U$257,12,FALSE))))</f>
        <v/>
      </c>
      <c r="M234" s="418" t="str">
        <f t="shared" si="32"/>
        <v/>
      </c>
      <c r="N234" s="498" t="str">
        <f>IFERROR(IF(B234="","",INDEX('G-6 Hedgerow Data'!$AN$3:$AZ$15,MATCH(C234,'G-6 Hedgerow Data'!$AM$3:$AM$15,0),MATCH(M234,'G-6 Hedgerow Data'!$AN$2:$AZ$2,0))),"")</f>
        <v/>
      </c>
      <c r="O234" s="499" t="str">
        <f t="shared" si="26"/>
        <v/>
      </c>
      <c r="P234" s="505" t="str">
        <f>IF(B234="","",VLOOKUP(B234,'E-1 Off Site Hedge Baseline'!$B$10:T479,16,FALSE))</f>
        <v/>
      </c>
      <c r="Q234" s="498" t="str">
        <f>IF(M234="","",VLOOKUP(M234,'G-6 Hedgerow Data'!$B$2:$AG$15,2,FALSE))</f>
        <v/>
      </c>
      <c r="R234" s="499" t="str">
        <f>IF(M234="","",VLOOKUP(M234,'G-6 Hedgerow Data'!$B$2:$AG$15,3,FALSE))</f>
        <v/>
      </c>
      <c r="S234" s="145"/>
      <c r="T234" s="499" t="str">
        <f>IFERROR(IF(AND(Q234="V.Low",OR(S234="Good",S234="Moderate")),"Error ▲",VLOOKUP(S234,'G-1 All Habitats'!$Z$2:$AA$9,2,FALSE)),"")</f>
        <v/>
      </c>
      <c r="U234" s="145"/>
      <c r="V234" s="507" t="str">
        <f>IF(U234="","",IF(VLOOKUP(U234,'G-3 Multipliers'!$L$3:$N$6,2,FALSE)=0,"Spatial Data Missing ⚠",VLOOKUP(U234,'G-3 Multipliers'!$L$3:$N$6,2,FALSE)))</f>
        <v/>
      </c>
      <c r="W234" s="505"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5"/>
        <v/>
      </c>
      <c r="AD234" s="537" t="str">
        <f>IF(M234="","",VLOOKUP(M234,'G-6 Hedgerow Data'!$B$3:$AG$15,31,FALSE))</f>
        <v/>
      </c>
      <c r="AE234" s="520" t="str">
        <f t="shared" si="29"/>
        <v/>
      </c>
      <c r="AF234" s="520" t="str">
        <f t="shared" si="30"/>
        <v/>
      </c>
      <c r="AG234" s="524" t="str">
        <f>IFERROR(IF(O234="","",VLOOKUP(AD234,'G-3 Multipliers'!$P$3:$Q$6,2,FALSE)),"")</f>
        <v/>
      </c>
      <c r="AH234" s="197"/>
      <c r="AI234" s="499" t="str">
        <f>IF(AH234="","",IF(VLOOKUP(AH234,'G-3 Multipliers'!$S$3:$T$6,2,FALSE)=0,"Spatial Data Missing ⚠",VLOOKUP(AH234,'G-3 Multipliers'!$S$3:$T$6,2,FALSE)))</f>
        <v/>
      </c>
      <c r="AJ234" s="545" t="str">
        <f t="shared" si="31"/>
        <v/>
      </c>
      <c r="AK234" s="149"/>
      <c r="AL234" s="150"/>
      <c r="AP234" s="31" t="str">
        <f>IFERROR(INDEX('G-6 Hedgerow Data'!$BJ$3:$BJ$15,MATCH(M234,'G-6 Hedgerow Data'!$B$3:$B$15,0)),"")</f>
        <v/>
      </c>
    </row>
    <row r="235" spans="2:42" ht="13.8" x14ac:dyDescent="0.25">
      <c r="B235" s="531" t="str">
        <f>'E-1 Off Site Hedge Baseline'!AK233</f>
        <v/>
      </c>
      <c r="C235" s="520" t="str">
        <f>IF(B235="","",IF(ISNA(VLOOKUP($B235,'E-1 Off Site Hedge Baseline'!$B$1:$L$257,3,FALSE)),"",(VLOOKUP($B235,'E-1 Off Site Hedge Baseline'!$B$1:$L$257,3,FALSE))))</f>
        <v/>
      </c>
      <c r="D235" s="520" t="str">
        <f>IF(B235="","",IF(ISNA(VLOOKUP($B235,'E-1 Off Site Hedge Baseline'!$B$1:$L$258,4,FALSE)),"",(VLOOKUP($B235,'E-1 Off Site Hedge Baseline'!$B$1:$L$258,4,FALSE))))</f>
        <v/>
      </c>
      <c r="E235" s="520" t="str">
        <f>IF(B235="","",IF(ISNA(VLOOKUP($B235,'E-1 Off Site Hedge Baseline'!$B$1:$L$257,5,FALSE)),"",(VLOOKUP($B235,'E-1 Off Site Hedge Baseline'!$B$1:$L$257,5,FALSE))))</f>
        <v/>
      </c>
      <c r="F235" s="520" t="str">
        <f>IF(B235="","",IF(ISNA(VLOOKUP($B235,'E-1 Off Site Hedge Baseline'!$B$1:$L$257,6,FALSE)),"",(VLOOKUP($B235,'E-1 Off Site Hedge Baseline'!$B$1:$L$257,6,FALSE))))</f>
        <v/>
      </c>
      <c r="G235" s="520" t="str">
        <f>IF(B235="","",IF(ISNA(VLOOKUP($B235,'E-1 Off Site Hedge Baseline'!$B$1:$L$257,7,FALSE)),"",(VLOOKUP($B235,'E-1 Off Site Hedge Baseline'!$B$1:$L$257,7,FALSE))))</f>
        <v/>
      </c>
      <c r="H235" s="520" t="str">
        <f>IF(B235="","",IF(ISNA(VLOOKUP($B235,'E-1 Off Site Hedge Baseline'!$B$1:$L$257,8,FALSE)),"",(VLOOKUP($B235,'E-1 Off Site Hedge Baseline'!$B$1:$L$257,8,FALSE))))</f>
        <v/>
      </c>
      <c r="I235" s="520" t="str">
        <f>IF(B235="","",IF(ISNA(VLOOKUP($B235,'E-1 Off Site Hedge Baseline'!$B$1:$L$257,10,FALSE)),"",(VLOOKUP($B235,'E-1 Off Site Hedge Baseline'!$B$1:$L$257,10,FALSE))))</f>
        <v/>
      </c>
      <c r="J235" s="520" t="str">
        <f>IF(B235="","",IF(ISNA(VLOOKUP($B235,'E-1 Off Site Hedge Baseline'!$B$1:$L$257,11,FALSE)),"",(VLOOKUP($B235,'E-1 Off Site Hedge Baseline'!$B$1:$L$257,11,FALSE))))</f>
        <v/>
      </c>
      <c r="K235" s="520" t="str">
        <f>IF(B235="","",IF(ISNA(VLOOKUP($B235,'E-1 Off Site Hedge Baseline'!$B$1:$U$257,113,FALSE)),"",(VLOOKUP($B235,'E-1 Off Site Hedge Baseline'!$B$1:$U$257,13,FALSE))))</f>
        <v/>
      </c>
      <c r="L235" s="507" t="str">
        <f>IF(B235="","",IF(ISNA(VLOOKUP($B235,'E-1 Off Site Hedge Baseline'!$B$1:$U$257,12,FALSE)),"",(VLOOKUP($B235,'E-1 Off Site Hedge Baseline'!$B$1:$U$257,12,FALSE))))</f>
        <v/>
      </c>
      <c r="M235" s="418" t="str">
        <f t="shared" si="32"/>
        <v/>
      </c>
      <c r="N235" s="498" t="str">
        <f>IFERROR(IF(B235="","",INDEX('G-6 Hedgerow Data'!$AN$3:$AZ$15,MATCH(C235,'G-6 Hedgerow Data'!$AM$3:$AM$15,0),MATCH(M235,'G-6 Hedgerow Data'!$AN$2:$AZ$2,0))),"")</f>
        <v/>
      </c>
      <c r="O235" s="499" t="str">
        <f t="shared" si="26"/>
        <v/>
      </c>
      <c r="P235" s="505" t="str">
        <f>IF(B235="","",VLOOKUP(B235,'E-1 Off Site Hedge Baseline'!$B$10:T480,16,FALSE))</f>
        <v/>
      </c>
      <c r="Q235" s="498" t="str">
        <f>IF(M235="","",VLOOKUP(M235,'G-6 Hedgerow Data'!$B$2:$AG$15,2,FALSE))</f>
        <v/>
      </c>
      <c r="R235" s="499" t="str">
        <f>IF(M235="","",VLOOKUP(M235,'G-6 Hedgerow Data'!$B$2:$AG$15,3,FALSE))</f>
        <v/>
      </c>
      <c r="S235" s="145"/>
      <c r="T235" s="499" t="str">
        <f>IFERROR(IF(AND(Q235="V.Low",OR(S235="Good",S235="Moderate")),"Error ▲",VLOOKUP(S235,'G-1 All Habitats'!$Z$2:$AA$9,2,FALSE)),"")</f>
        <v/>
      </c>
      <c r="U235" s="145"/>
      <c r="V235" s="507" t="str">
        <f>IF(U235="","",IF(VLOOKUP(U235,'G-3 Multipliers'!$L$3:$N$6,2,FALSE)=0,"Spatial Data Missing ⚠",VLOOKUP(U235,'G-3 Multipliers'!$L$3:$N$6,2,FALSE)))</f>
        <v/>
      </c>
      <c r="W235" s="505"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5"/>
        <v/>
      </c>
      <c r="AD235" s="537" t="str">
        <f>IF(M235="","",VLOOKUP(M235,'G-6 Hedgerow Data'!$B$3:$AG$15,31,FALSE))</f>
        <v/>
      </c>
      <c r="AE235" s="520" t="str">
        <f t="shared" si="29"/>
        <v/>
      </c>
      <c r="AF235" s="520" t="str">
        <f t="shared" si="30"/>
        <v/>
      </c>
      <c r="AG235" s="524" t="str">
        <f>IFERROR(IF(O235="","",VLOOKUP(AD235,'G-3 Multipliers'!$P$3:$Q$6,2,FALSE)),"")</f>
        <v/>
      </c>
      <c r="AH235" s="197"/>
      <c r="AI235" s="499" t="str">
        <f>IF(AH235="","",IF(VLOOKUP(AH235,'G-3 Multipliers'!$S$3:$T$6,2,FALSE)=0,"Spatial Data Missing ⚠",VLOOKUP(AH235,'G-3 Multipliers'!$S$3:$T$6,2,FALSE)))</f>
        <v/>
      </c>
      <c r="AJ235" s="545" t="str">
        <f t="shared" si="31"/>
        <v/>
      </c>
      <c r="AK235" s="149"/>
      <c r="AL235" s="150"/>
      <c r="AP235" s="31" t="str">
        <f>IFERROR(INDEX('G-6 Hedgerow Data'!$BJ$3:$BJ$15,MATCH(M235,'G-6 Hedgerow Data'!$B$3:$B$15,0)),"")</f>
        <v/>
      </c>
    </row>
    <row r="236" spans="2:42" ht="13.8" x14ac:dyDescent="0.25">
      <c r="B236" s="531" t="str">
        <f>'E-1 Off Site Hedge Baseline'!AK234</f>
        <v/>
      </c>
      <c r="C236" s="520" t="str">
        <f>IF(B236="","",IF(ISNA(VLOOKUP($B236,'E-1 Off Site Hedge Baseline'!$B$1:$L$257,3,FALSE)),"",(VLOOKUP($B236,'E-1 Off Site Hedge Baseline'!$B$1:$L$257,3,FALSE))))</f>
        <v/>
      </c>
      <c r="D236" s="520" t="str">
        <f>IF(B236="","",IF(ISNA(VLOOKUP($B236,'E-1 Off Site Hedge Baseline'!$B$1:$L$258,4,FALSE)),"",(VLOOKUP($B236,'E-1 Off Site Hedge Baseline'!$B$1:$L$258,4,FALSE))))</f>
        <v/>
      </c>
      <c r="E236" s="520" t="str">
        <f>IF(B236="","",IF(ISNA(VLOOKUP($B236,'E-1 Off Site Hedge Baseline'!$B$1:$L$257,5,FALSE)),"",(VLOOKUP($B236,'E-1 Off Site Hedge Baseline'!$B$1:$L$257,5,FALSE))))</f>
        <v/>
      </c>
      <c r="F236" s="520" t="str">
        <f>IF(B236="","",IF(ISNA(VLOOKUP($B236,'E-1 Off Site Hedge Baseline'!$B$1:$L$257,6,FALSE)),"",(VLOOKUP($B236,'E-1 Off Site Hedge Baseline'!$B$1:$L$257,6,FALSE))))</f>
        <v/>
      </c>
      <c r="G236" s="520" t="str">
        <f>IF(B236="","",IF(ISNA(VLOOKUP($B236,'E-1 Off Site Hedge Baseline'!$B$1:$L$257,7,FALSE)),"",(VLOOKUP($B236,'E-1 Off Site Hedge Baseline'!$B$1:$L$257,7,FALSE))))</f>
        <v/>
      </c>
      <c r="H236" s="520" t="str">
        <f>IF(B236="","",IF(ISNA(VLOOKUP($B236,'E-1 Off Site Hedge Baseline'!$B$1:$L$257,8,FALSE)),"",(VLOOKUP($B236,'E-1 Off Site Hedge Baseline'!$B$1:$L$257,8,FALSE))))</f>
        <v/>
      </c>
      <c r="I236" s="520" t="str">
        <f>IF(B236="","",IF(ISNA(VLOOKUP($B236,'E-1 Off Site Hedge Baseline'!$B$1:$L$257,10,FALSE)),"",(VLOOKUP($B236,'E-1 Off Site Hedge Baseline'!$B$1:$L$257,10,FALSE))))</f>
        <v/>
      </c>
      <c r="J236" s="520" t="str">
        <f>IF(B236="","",IF(ISNA(VLOOKUP($B236,'E-1 Off Site Hedge Baseline'!$B$1:$L$257,11,FALSE)),"",(VLOOKUP($B236,'E-1 Off Site Hedge Baseline'!$B$1:$L$257,11,FALSE))))</f>
        <v/>
      </c>
      <c r="K236" s="520" t="str">
        <f>IF(B236="","",IF(ISNA(VLOOKUP($B236,'E-1 Off Site Hedge Baseline'!$B$1:$U$257,113,FALSE)),"",(VLOOKUP($B236,'E-1 Off Site Hedge Baseline'!$B$1:$U$257,13,FALSE))))</f>
        <v/>
      </c>
      <c r="L236" s="507" t="str">
        <f>IF(B236="","",IF(ISNA(VLOOKUP($B236,'E-1 Off Site Hedge Baseline'!$B$1:$U$257,12,FALSE)),"",(VLOOKUP($B236,'E-1 Off Site Hedge Baseline'!$B$1:$U$257,12,FALSE))))</f>
        <v/>
      </c>
      <c r="M236" s="418" t="str">
        <f t="shared" si="32"/>
        <v/>
      </c>
      <c r="N236" s="498" t="str">
        <f>IFERROR(IF(B236="","",INDEX('G-6 Hedgerow Data'!$AN$3:$AZ$15,MATCH(C236,'G-6 Hedgerow Data'!$AM$3:$AM$15,0),MATCH(M236,'G-6 Hedgerow Data'!$AN$2:$AZ$2,0))),"")</f>
        <v/>
      </c>
      <c r="O236" s="499" t="str">
        <f t="shared" si="26"/>
        <v/>
      </c>
      <c r="P236" s="505" t="str">
        <f>IF(B236="","",VLOOKUP(B236,'E-1 Off Site Hedge Baseline'!$B$10:T481,16,FALSE))</f>
        <v/>
      </c>
      <c r="Q236" s="498" t="str">
        <f>IF(M236="","",VLOOKUP(M236,'G-6 Hedgerow Data'!$B$2:$AG$15,2,FALSE))</f>
        <v/>
      </c>
      <c r="R236" s="499" t="str">
        <f>IF(M236="","",VLOOKUP(M236,'G-6 Hedgerow Data'!$B$2:$AG$15,3,FALSE))</f>
        <v/>
      </c>
      <c r="S236" s="145"/>
      <c r="T236" s="499" t="str">
        <f>IFERROR(IF(AND(Q236="V.Low",OR(S236="Good",S236="Moderate")),"Error ▲",VLOOKUP(S236,'G-1 All Habitats'!$Z$2:$AA$9,2,FALSE)),"")</f>
        <v/>
      </c>
      <c r="U236" s="145"/>
      <c r="V236" s="507" t="str">
        <f>IF(U236="","",IF(VLOOKUP(U236,'G-3 Multipliers'!$L$3:$N$6,2,FALSE)=0,"Spatial Data Missing ⚠",VLOOKUP(U236,'G-3 Multipliers'!$L$3:$N$6,2,FALSE)))</f>
        <v/>
      </c>
      <c r="W236" s="505"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5"/>
        <v/>
      </c>
      <c r="AD236" s="537" t="str">
        <f>IF(M236="","",VLOOKUP(M236,'G-6 Hedgerow Data'!$B$3:$AG$15,31,FALSE))</f>
        <v/>
      </c>
      <c r="AE236" s="520" t="str">
        <f t="shared" si="29"/>
        <v/>
      </c>
      <c r="AF236" s="520" t="str">
        <f t="shared" si="30"/>
        <v/>
      </c>
      <c r="AG236" s="524" t="str">
        <f>IFERROR(IF(O236="","",VLOOKUP(AD236,'G-3 Multipliers'!$P$3:$Q$6,2,FALSE)),"")</f>
        <v/>
      </c>
      <c r="AH236" s="197"/>
      <c r="AI236" s="499" t="str">
        <f>IF(AH236="","",IF(VLOOKUP(AH236,'G-3 Multipliers'!$S$3:$T$6,2,FALSE)=0,"Spatial Data Missing ⚠",VLOOKUP(AH236,'G-3 Multipliers'!$S$3:$T$6,2,FALSE)))</f>
        <v/>
      </c>
      <c r="AJ236" s="545" t="str">
        <f t="shared" si="31"/>
        <v/>
      </c>
      <c r="AK236" s="149"/>
      <c r="AL236" s="150"/>
      <c r="AP236" s="31" t="str">
        <f>IFERROR(INDEX('G-6 Hedgerow Data'!$BJ$3:$BJ$15,MATCH(M236,'G-6 Hedgerow Data'!$B$3:$B$15,0)),"")</f>
        <v/>
      </c>
    </row>
    <row r="237" spans="2:42" ht="13.8" x14ac:dyDescent="0.25">
      <c r="B237" s="531" t="str">
        <f>'E-1 Off Site Hedge Baseline'!AK235</f>
        <v/>
      </c>
      <c r="C237" s="520" t="str">
        <f>IF(B237="","",IF(ISNA(VLOOKUP($B237,'E-1 Off Site Hedge Baseline'!$B$1:$L$257,3,FALSE)),"",(VLOOKUP($B237,'E-1 Off Site Hedge Baseline'!$B$1:$L$257,3,FALSE))))</f>
        <v/>
      </c>
      <c r="D237" s="520" t="str">
        <f>IF(B237="","",IF(ISNA(VLOOKUP($B237,'E-1 Off Site Hedge Baseline'!$B$1:$L$258,4,FALSE)),"",(VLOOKUP($B237,'E-1 Off Site Hedge Baseline'!$B$1:$L$258,4,FALSE))))</f>
        <v/>
      </c>
      <c r="E237" s="520" t="str">
        <f>IF(B237="","",IF(ISNA(VLOOKUP($B237,'E-1 Off Site Hedge Baseline'!$B$1:$L$257,5,FALSE)),"",(VLOOKUP($B237,'E-1 Off Site Hedge Baseline'!$B$1:$L$257,5,FALSE))))</f>
        <v/>
      </c>
      <c r="F237" s="520" t="str">
        <f>IF(B237="","",IF(ISNA(VLOOKUP($B237,'E-1 Off Site Hedge Baseline'!$B$1:$L$257,6,FALSE)),"",(VLOOKUP($B237,'E-1 Off Site Hedge Baseline'!$B$1:$L$257,6,FALSE))))</f>
        <v/>
      </c>
      <c r="G237" s="520" t="str">
        <f>IF(B237="","",IF(ISNA(VLOOKUP($B237,'E-1 Off Site Hedge Baseline'!$B$1:$L$257,7,FALSE)),"",(VLOOKUP($B237,'E-1 Off Site Hedge Baseline'!$B$1:$L$257,7,FALSE))))</f>
        <v/>
      </c>
      <c r="H237" s="520" t="str">
        <f>IF(B237="","",IF(ISNA(VLOOKUP($B237,'E-1 Off Site Hedge Baseline'!$B$1:$L$257,8,FALSE)),"",(VLOOKUP($B237,'E-1 Off Site Hedge Baseline'!$B$1:$L$257,8,FALSE))))</f>
        <v/>
      </c>
      <c r="I237" s="520" t="str">
        <f>IF(B237="","",IF(ISNA(VLOOKUP($B237,'E-1 Off Site Hedge Baseline'!$B$1:$L$257,10,FALSE)),"",(VLOOKUP($B237,'E-1 Off Site Hedge Baseline'!$B$1:$L$257,10,FALSE))))</f>
        <v/>
      </c>
      <c r="J237" s="520" t="str">
        <f>IF(B237="","",IF(ISNA(VLOOKUP($B237,'E-1 Off Site Hedge Baseline'!$B$1:$L$257,11,FALSE)),"",(VLOOKUP($B237,'E-1 Off Site Hedge Baseline'!$B$1:$L$257,11,FALSE))))</f>
        <v/>
      </c>
      <c r="K237" s="520" t="str">
        <f>IF(B237="","",IF(ISNA(VLOOKUP($B237,'E-1 Off Site Hedge Baseline'!$B$1:$U$257,113,FALSE)),"",(VLOOKUP($B237,'E-1 Off Site Hedge Baseline'!$B$1:$U$257,13,FALSE))))</f>
        <v/>
      </c>
      <c r="L237" s="507" t="str">
        <f>IF(B237="","",IF(ISNA(VLOOKUP($B237,'E-1 Off Site Hedge Baseline'!$B$1:$U$257,12,FALSE)),"",(VLOOKUP($B237,'E-1 Off Site Hedge Baseline'!$B$1:$U$257,12,FALSE))))</f>
        <v/>
      </c>
      <c r="M237" s="418" t="str">
        <f t="shared" si="32"/>
        <v/>
      </c>
      <c r="N237" s="498" t="str">
        <f>IFERROR(IF(B237="","",INDEX('G-6 Hedgerow Data'!$AN$3:$AZ$15,MATCH(C237,'G-6 Hedgerow Data'!$AM$3:$AM$15,0),MATCH(M237,'G-6 Hedgerow Data'!$AN$2:$AZ$2,0))),"")</f>
        <v/>
      </c>
      <c r="O237" s="499" t="str">
        <f t="shared" si="26"/>
        <v/>
      </c>
      <c r="P237" s="505" t="str">
        <f>IF(B237="","",VLOOKUP(B237,'E-1 Off Site Hedge Baseline'!$B$10:T482,16,FALSE))</f>
        <v/>
      </c>
      <c r="Q237" s="498" t="str">
        <f>IF(M237="","",VLOOKUP(M237,'G-6 Hedgerow Data'!$B$2:$AG$15,2,FALSE))</f>
        <v/>
      </c>
      <c r="R237" s="499" t="str">
        <f>IF(M237="","",VLOOKUP(M237,'G-6 Hedgerow Data'!$B$2:$AG$15,3,FALSE))</f>
        <v/>
      </c>
      <c r="S237" s="145"/>
      <c r="T237" s="499" t="str">
        <f>IFERROR(IF(AND(Q237="V.Low",OR(S237="Good",S237="Moderate")),"Error ▲",VLOOKUP(S237,'G-1 All Habitats'!$Z$2:$AA$9,2,FALSE)),"")</f>
        <v/>
      </c>
      <c r="U237" s="145"/>
      <c r="V237" s="507" t="str">
        <f>IF(U237="","",IF(VLOOKUP(U237,'G-3 Multipliers'!$L$3:$N$6,2,FALSE)=0,"Spatial Data Missing ⚠",VLOOKUP(U237,'G-3 Multipliers'!$L$3:$N$6,2,FALSE)))</f>
        <v/>
      </c>
      <c r="W237" s="505"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5"/>
        <v/>
      </c>
      <c r="AD237" s="537" t="str">
        <f>IF(M237="","",VLOOKUP(M237,'G-6 Hedgerow Data'!$B$3:$AG$15,31,FALSE))</f>
        <v/>
      </c>
      <c r="AE237" s="520" t="str">
        <f t="shared" si="29"/>
        <v/>
      </c>
      <c r="AF237" s="520" t="str">
        <f t="shared" si="30"/>
        <v/>
      </c>
      <c r="AG237" s="524" t="str">
        <f>IFERROR(IF(O237="","",VLOOKUP(AD237,'G-3 Multipliers'!$P$3:$Q$6,2,FALSE)),"")</f>
        <v/>
      </c>
      <c r="AH237" s="197"/>
      <c r="AI237" s="499" t="str">
        <f>IF(AH237="","",IF(VLOOKUP(AH237,'G-3 Multipliers'!$S$3:$T$6,2,FALSE)=0,"Spatial Data Missing ⚠",VLOOKUP(AH237,'G-3 Multipliers'!$S$3:$T$6,2,FALSE)))</f>
        <v/>
      </c>
      <c r="AJ237" s="545" t="str">
        <f t="shared" si="31"/>
        <v/>
      </c>
      <c r="AK237" s="149"/>
      <c r="AL237" s="150"/>
      <c r="AP237" s="31" t="str">
        <f>IFERROR(INDEX('G-6 Hedgerow Data'!$BJ$3:$BJ$15,MATCH(M237,'G-6 Hedgerow Data'!$B$3:$B$15,0)),"")</f>
        <v/>
      </c>
    </row>
    <row r="238" spans="2:42" ht="13.8" x14ac:dyDescent="0.25">
      <c r="B238" s="531" t="str">
        <f>'E-1 Off Site Hedge Baseline'!AK236</f>
        <v/>
      </c>
      <c r="C238" s="520" t="str">
        <f>IF(B238="","",IF(ISNA(VLOOKUP($B238,'E-1 Off Site Hedge Baseline'!$B$1:$L$257,3,FALSE)),"",(VLOOKUP($B238,'E-1 Off Site Hedge Baseline'!$B$1:$L$257,3,FALSE))))</f>
        <v/>
      </c>
      <c r="D238" s="520" t="str">
        <f>IF(B238="","",IF(ISNA(VLOOKUP($B238,'E-1 Off Site Hedge Baseline'!$B$1:$L$258,4,FALSE)),"",(VLOOKUP($B238,'E-1 Off Site Hedge Baseline'!$B$1:$L$258,4,FALSE))))</f>
        <v/>
      </c>
      <c r="E238" s="520" t="str">
        <f>IF(B238="","",IF(ISNA(VLOOKUP($B238,'E-1 Off Site Hedge Baseline'!$B$1:$L$257,5,FALSE)),"",(VLOOKUP($B238,'E-1 Off Site Hedge Baseline'!$B$1:$L$257,5,FALSE))))</f>
        <v/>
      </c>
      <c r="F238" s="520" t="str">
        <f>IF(B238="","",IF(ISNA(VLOOKUP($B238,'E-1 Off Site Hedge Baseline'!$B$1:$L$257,6,FALSE)),"",(VLOOKUP($B238,'E-1 Off Site Hedge Baseline'!$B$1:$L$257,6,FALSE))))</f>
        <v/>
      </c>
      <c r="G238" s="520" t="str">
        <f>IF(B238="","",IF(ISNA(VLOOKUP($B238,'E-1 Off Site Hedge Baseline'!$B$1:$L$257,7,FALSE)),"",(VLOOKUP($B238,'E-1 Off Site Hedge Baseline'!$B$1:$L$257,7,FALSE))))</f>
        <v/>
      </c>
      <c r="H238" s="520" t="str">
        <f>IF(B238="","",IF(ISNA(VLOOKUP($B238,'E-1 Off Site Hedge Baseline'!$B$1:$L$257,8,FALSE)),"",(VLOOKUP($B238,'E-1 Off Site Hedge Baseline'!$B$1:$L$257,8,FALSE))))</f>
        <v/>
      </c>
      <c r="I238" s="520" t="str">
        <f>IF(B238="","",IF(ISNA(VLOOKUP($B238,'E-1 Off Site Hedge Baseline'!$B$1:$L$257,10,FALSE)),"",(VLOOKUP($B238,'E-1 Off Site Hedge Baseline'!$B$1:$L$257,10,FALSE))))</f>
        <v/>
      </c>
      <c r="J238" s="520" t="str">
        <f>IF(B238="","",IF(ISNA(VLOOKUP($B238,'E-1 Off Site Hedge Baseline'!$B$1:$L$257,11,FALSE)),"",(VLOOKUP($B238,'E-1 Off Site Hedge Baseline'!$B$1:$L$257,11,FALSE))))</f>
        <v/>
      </c>
      <c r="K238" s="520" t="str">
        <f>IF(B238="","",IF(ISNA(VLOOKUP($B238,'E-1 Off Site Hedge Baseline'!$B$1:$U$257,113,FALSE)),"",(VLOOKUP($B238,'E-1 Off Site Hedge Baseline'!$B$1:$U$257,13,FALSE))))</f>
        <v/>
      </c>
      <c r="L238" s="507" t="str">
        <f>IF(B238="","",IF(ISNA(VLOOKUP($B238,'E-1 Off Site Hedge Baseline'!$B$1:$U$257,12,FALSE)),"",(VLOOKUP($B238,'E-1 Off Site Hedge Baseline'!$B$1:$U$257,12,FALSE))))</f>
        <v/>
      </c>
      <c r="M238" s="418" t="str">
        <f t="shared" si="32"/>
        <v/>
      </c>
      <c r="N238" s="498" t="str">
        <f>IFERROR(IF(B238="","",INDEX('G-6 Hedgerow Data'!$AN$3:$AZ$15,MATCH(C238,'G-6 Hedgerow Data'!$AM$3:$AM$15,0),MATCH(M238,'G-6 Hedgerow Data'!$AN$2:$AZ$2,0))),"")</f>
        <v/>
      </c>
      <c r="O238" s="499" t="str">
        <f t="shared" si="26"/>
        <v/>
      </c>
      <c r="P238" s="505" t="str">
        <f>IF(B238="","",VLOOKUP(B238,'E-1 Off Site Hedge Baseline'!$B$10:T483,16,FALSE))</f>
        <v/>
      </c>
      <c r="Q238" s="498" t="str">
        <f>IF(M238="","",VLOOKUP(M238,'G-6 Hedgerow Data'!$B$2:$AG$15,2,FALSE))</f>
        <v/>
      </c>
      <c r="R238" s="499" t="str">
        <f>IF(M238="","",VLOOKUP(M238,'G-6 Hedgerow Data'!$B$2:$AG$15,3,FALSE))</f>
        <v/>
      </c>
      <c r="S238" s="145"/>
      <c r="T238" s="499" t="str">
        <f>IFERROR(IF(AND(Q238="V.Low",OR(S238="Good",S238="Moderate")),"Error ▲",VLOOKUP(S238,'G-1 All Habitats'!$Z$2:$AA$9,2,FALSE)),"")</f>
        <v/>
      </c>
      <c r="U238" s="145"/>
      <c r="V238" s="507" t="str">
        <f>IF(U238="","",IF(VLOOKUP(U238,'G-3 Multipliers'!$L$3:$N$6,2,FALSE)=0,"Spatial Data Missing ⚠",VLOOKUP(U238,'G-3 Multipliers'!$L$3:$N$6,2,FALSE)))</f>
        <v/>
      </c>
      <c r="W238" s="505"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5"/>
        <v/>
      </c>
      <c r="AD238" s="537" t="str">
        <f>IF(M238="","",VLOOKUP(M238,'G-6 Hedgerow Data'!$B$3:$AG$15,31,FALSE))</f>
        <v/>
      </c>
      <c r="AE238" s="520" t="str">
        <f t="shared" si="29"/>
        <v/>
      </c>
      <c r="AF238" s="520" t="str">
        <f t="shared" si="30"/>
        <v/>
      </c>
      <c r="AG238" s="524" t="str">
        <f>IFERROR(IF(O238="","",VLOOKUP(AD238,'G-3 Multipliers'!$P$3:$Q$6,2,FALSE)),"")</f>
        <v/>
      </c>
      <c r="AH238" s="197"/>
      <c r="AI238" s="499" t="str">
        <f>IF(AH238="","",IF(VLOOKUP(AH238,'G-3 Multipliers'!$S$3:$T$6,2,FALSE)=0,"Spatial Data Missing ⚠",VLOOKUP(AH238,'G-3 Multipliers'!$S$3:$T$6,2,FALSE)))</f>
        <v/>
      </c>
      <c r="AJ238" s="545" t="str">
        <f t="shared" si="31"/>
        <v/>
      </c>
      <c r="AK238" s="149"/>
      <c r="AL238" s="150"/>
      <c r="AP238" s="31" t="str">
        <f>IFERROR(INDEX('G-6 Hedgerow Data'!$BJ$3:$BJ$15,MATCH(M238,'G-6 Hedgerow Data'!$B$3:$B$15,0)),"")</f>
        <v/>
      </c>
    </row>
    <row r="239" spans="2:42" ht="13.8" x14ac:dyDescent="0.25">
      <c r="B239" s="531" t="str">
        <f>'E-1 Off Site Hedge Baseline'!AK237</f>
        <v/>
      </c>
      <c r="C239" s="520" t="str">
        <f>IF(B239="","",IF(ISNA(VLOOKUP($B239,'E-1 Off Site Hedge Baseline'!$B$1:$L$257,3,FALSE)),"",(VLOOKUP($B239,'E-1 Off Site Hedge Baseline'!$B$1:$L$257,3,FALSE))))</f>
        <v/>
      </c>
      <c r="D239" s="520" t="str">
        <f>IF(B239="","",IF(ISNA(VLOOKUP($B239,'E-1 Off Site Hedge Baseline'!$B$1:$L$258,4,FALSE)),"",(VLOOKUP($B239,'E-1 Off Site Hedge Baseline'!$B$1:$L$258,4,FALSE))))</f>
        <v/>
      </c>
      <c r="E239" s="520" t="str">
        <f>IF(B239="","",IF(ISNA(VLOOKUP($B239,'E-1 Off Site Hedge Baseline'!$B$1:$L$257,5,FALSE)),"",(VLOOKUP($B239,'E-1 Off Site Hedge Baseline'!$B$1:$L$257,5,FALSE))))</f>
        <v/>
      </c>
      <c r="F239" s="520" t="str">
        <f>IF(B239="","",IF(ISNA(VLOOKUP($B239,'E-1 Off Site Hedge Baseline'!$B$1:$L$257,6,FALSE)),"",(VLOOKUP($B239,'E-1 Off Site Hedge Baseline'!$B$1:$L$257,6,FALSE))))</f>
        <v/>
      </c>
      <c r="G239" s="520" t="str">
        <f>IF(B239="","",IF(ISNA(VLOOKUP($B239,'E-1 Off Site Hedge Baseline'!$B$1:$L$257,7,FALSE)),"",(VLOOKUP($B239,'E-1 Off Site Hedge Baseline'!$B$1:$L$257,7,FALSE))))</f>
        <v/>
      </c>
      <c r="H239" s="520" t="str">
        <f>IF(B239="","",IF(ISNA(VLOOKUP($B239,'E-1 Off Site Hedge Baseline'!$B$1:$L$257,8,FALSE)),"",(VLOOKUP($B239,'E-1 Off Site Hedge Baseline'!$B$1:$L$257,8,FALSE))))</f>
        <v/>
      </c>
      <c r="I239" s="520" t="str">
        <f>IF(B239="","",IF(ISNA(VLOOKUP($B239,'E-1 Off Site Hedge Baseline'!$B$1:$L$257,10,FALSE)),"",(VLOOKUP($B239,'E-1 Off Site Hedge Baseline'!$B$1:$L$257,10,FALSE))))</f>
        <v/>
      </c>
      <c r="J239" s="520" t="str">
        <f>IF(B239="","",IF(ISNA(VLOOKUP($B239,'E-1 Off Site Hedge Baseline'!$B$1:$L$257,11,FALSE)),"",(VLOOKUP($B239,'E-1 Off Site Hedge Baseline'!$B$1:$L$257,11,FALSE))))</f>
        <v/>
      </c>
      <c r="K239" s="520" t="str">
        <f>IF(B239="","",IF(ISNA(VLOOKUP($B239,'E-1 Off Site Hedge Baseline'!$B$1:$U$257,113,FALSE)),"",(VLOOKUP($B239,'E-1 Off Site Hedge Baseline'!$B$1:$U$257,13,FALSE))))</f>
        <v/>
      </c>
      <c r="L239" s="507" t="str">
        <f>IF(B239="","",IF(ISNA(VLOOKUP($B239,'E-1 Off Site Hedge Baseline'!$B$1:$U$257,12,FALSE)),"",(VLOOKUP($B239,'E-1 Off Site Hedge Baseline'!$B$1:$U$257,12,FALSE))))</f>
        <v/>
      </c>
      <c r="M239" s="418" t="str">
        <f t="shared" si="32"/>
        <v/>
      </c>
      <c r="N239" s="498" t="str">
        <f>IFERROR(IF(B239="","",INDEX('G-6 Hedgerow Data'!$AN$3:$AZ$15,MATCH(C239,'G-6 Hedgerow Data'!$AM$3:$AM$15,0),MATCH(M239,'G-6 Hedgerow Data'!$AN$2:$AZ$2,0))),"")</f>
        <v/>
      </c>
      <c r="O239" s="499" t="str">
        <f t="shared" si="26"/>
        <v/>
      </c>
      <c r="P239" s="505" t="str">
        <f>IF(B239="","",VLOOKUP(B239,'E-1 Off Site Hedge Baseline'!$B$10:T484,16,FALSE))</f>
        <v/>
      </c>
      <c r="Q239" s="498" t="str">
        <f>IF(M239="","",VLOOKUP(M239,'G-6 Hedgerow Data'!$B$2:$AG$15,2,FALSE))</f>
        <v/>
      </c>
      <c r="R239" s="499" t="str">
        <f>IF(M239="","",VLOOKUP(M239,'G-6 Hedgerow Data'!$B$2:$AG$15,3,FALSE))</f>
        <v/>
      </c>
      <c r="S239" s="145"/>
      <c r="T239" s="499" t="str">
        <f>IFERROR(IF(AND(Q239="V.Low",OR(S239="Good",S239="Moderate")),"Error ▲",VLOOKUP(S239,'G-1 All Habitats'!$Z$2:$AA$9,2,FALSE)),"")</f>
        <v/>
      </c>
      <c r="U239" s="145"/>
      <c r="V239" s="507" t="str">
        <f>IF(U239="","",IF(VLOOKUP(U239,'G-3 Multipliers'!$L$3:$N$6,2,FALSE)=0,"Spatial Data Missing ⚠",VLOOKUP(U239,'G-3 Multipliers'!$L$3:$N$6,2,FALSE)))</f>
        <v/>
      </c>
      <c r="W239" s="505"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5"/>
        <v/>
      </c>
      <c r="AD239" s="537" t="str">
        <f>IF(M239="","",VLOOKUP(M239,'G-6 Hedgerow Data'!$B$3:$AG$15,31,FALSE))</f>
        <v/>
      </c>
      <c r="AE239" s="520" t="str">
        <f t="shared" si="29"/>
        <v/>
      </c>
      <c r="AF239" s="520" t="str">
        <f t="shared" si="30"/>
        <v/>
      </c>
      <c r="AG239" s="524" t="str">
        <f>IFERROR(IF(O239="","",VLOOKUP(AD239,'G-3 Multipliers'!$P$3:$Q$6,2,FALSE)),"")</f>
        <v/>
      </c>
      <c r="AH239" s="197"/>
      <c r="AI239" s="499" t="str">
        <f>IF(AH239="","",IF(VLOOKUP(AH239,'G-3 Multipliers'!$S$3:$T$6,2,FALSE)=0,"Spatial Data Missing ⚠",VLOOKUP(AH239,'G-3 Multipliers'!$S$3:$T$6,2,FALSE)))</f>
        <v/>
      </c>
      <c r="AJ239" s="545" t="str">
        <f t="shared" si="31"/>
        <v/>
      </c>
      <c r="AK239" s="149"/>
      <c r="AL239" s="150"/>
      <c r="AP239" s="31" t="str">
        <f>IFERROR(INDEX('G-6 Hedgerow Data'!$BJ$3:$BJ$15,MATCH(M239,'G-6 Hedgerow Data'!$B$3:$B$15,0)),"")</f>
        <v/>
      </c>
    </row>
    <row r="240" spans="2:42" ht="13.8" x14ac:dyDescent="0.25">
      <c r="B240" s="531" t="str">
        <f>'E-1 Off Site Hedge Baseline'!AK238</f>
        <v/>
      </c>
      <c r="C240" s="520" t="str">
        <f>IF(B240="","",IF(ISNA(VLOOKUP($B240,'E-1 Off Site Hedge Baseline'!$B$1:$L$257,3,FALSE)),"",(VLOOKUP($B240,'E-1 Off Site Hedge Baseline'!$B$1:$L$257,3,FALSE))))</f>
        <v/>
      </c>
      <c r="D240" s="520" t="str">
        <f>IF(B240="","",IF(ISNA(VLOOKUP($B240,'E-1 Off Site Hedge Baseline'!$B$1:$L$258,4,FALSE)),"",(VLOOKUP($B240,'E-1 Off Site Hedge Baseline'!$B$1:$L$258,4,FALSE))))</f>
        <v/>
      </c>
      <c r="E240" s="520" t="str">
        <f>IF(B240="","",IF(ISNA(VLOOKUP($B240,'E-1 Off Site Hedge Baseline'!$B$1:$L$257,5,FALSE)),"",(VLOOKUP($B240,'E-1 Off Site Hedge Baseline'!$B$1:$L$257,5,FALSE))))</f>
        <v/>
      </c>
      <c r="F240" s="520" t="str">
        <f>IF(B240="","",IF(ISNA(VLOOKUP($B240,'E-1 Off Site Hedge Baseline'!$B$1:$L$257,6,FALSE)),"",(VLOOKUP($B240,'E-1 Off Site Hedge Baseline'!$B$1:$L$257,6,FALSE))))</f>
        <v/>
      </c>
      <c r="G240" s="520" t="str">
        <f>IF(B240="","",IF(ISNA(VLOOKUP($B240,'E-1 Off Site Hedge Baseline'!$B$1:$L$257,7,FALSE)),"",(VLOOKUP($B240,'E-1 Off Site Hedge Baseline'!$B$1:$L$257,7,FALSE))))</f>
        <v/>
      </c>
      <c r="H240" s="520" t="str">
        <f>IF(B240="","",IF(ISNA(VLOOKUP($B240,'E-1 Off Site Hedge Baseline'!$B$1:$L$257,8,FALSE)),"",(VLOOKUP($B240,'E-1 Off Site Hedge Baseline'!$B$1:$L$257,8,FALSE))))</f>
        <v/>
      </c>
      <c r="I240" s="520" t="str">
        <f>IF(B240="","",IF(ISNA(VLOOKUP($B240,'E-1 Off Site Hedge Baseline'!$B$1:$L$257,10,FALSE)),"",(VLOOKUP($B240,'E-1 Off Site Hedge Baseline'!$B$1:$L$257,10,FALSE))))</f>
        <v/>
      </c>
      <c r="J240" s="520" t="str">
        <f>IF(B240="","",IF(ISNA(VLOOKUP($B240,'E-1 Off Site Hedge Baseline'!$B$1:$L$257,11,FALSE)),"",(VLOOKUP($B240,'E-1 Off Site Hedge Baseline'!$B$1:$L$257,11,FALSE))))</f>
        <v/>
      </c>
      <c r="K240" s="520" t="str">
        <f>IF(B240="","",IF(ISNA(VLOOKUP($B240,'E-1 Off Site Hedge Baseline'!$B$1:$U$257,113,FALSE)),"",(VLOOKUP($B240,'E-1 Off Site Hedge Baseline'!$B$1:$U$257,13,FALSE))))</f>
        <v/>
      </c>
      <c r="L240" s="507" t="str">
        <f>IF(B240="","",IF(ISNA(VLOOKUP($B240,'E-1 Off Site Hedge Baseline'!$B$1:$U$257,12,FALSE)),"",(VLOOKUP($B240,'E-1 Off Site Hedge Baseline'!$B$1:$U$257,12,FALSE))))</f>
        <v/>
      </c>
      <c r="M240" s="418" t="str">
        <f t="shared" si="32"/>
        <v/>
      </c>
      <c r="N240" s="498" t="str">
        <f>IFERROR(IF(B240="","",INDEX('G-6 Hedgerow Data'!$AN$3:$AZ$15,MATCH(C240,'G-6 Hedgerow Data'!$AM$3:$AM$15,0),MATCH(M240,'G-6 Hedgerow Data'!$AN$2:$AZ$2,0))),"")</f>
        <v/>
      </c>
      <c r="O240" s="499" t="str">
        <f t="shared" si="26"/>
        <v/>
      </c>
      <c r="P240" s="505" t="str">
        <f>IF(B240="","",VLOOKUP(B240,'E-1 Off Site Hedge Baseline'!$B$10:T485,16,FALSE))</f>
        <v/>
      </c>
      <c r="Q240" s="498" t="str">
        <f>IF(M240="","",VLOOKUP(M240,'G-6 Hedgerow Data'!$B$2:$AG$15,2,FALSE))</f>
        <v/>
      </c>
      <c r="R240" s="499" t="str">
        <f>IF(M240="","",VLOOKUP(M240,'G-6 Hedgerow Data'!$B$2:$AG$15,3,FALSE))</f>
        <v/>
      </c>
      <c r="S240" s="145"/>
      <c r="T240" s="499" t="str">
        <f>IFERROR(IF(AND(Q240="V.Low",OR(S240="Good",S240="Moderate")),"Error ▲",VLOOKUP(S240,'G-1 All Habitats'!$Z$2:$AA$9,2,FALSE)),"")</f>
        <v/>
      </c>
      <c r="U240" s="145"/>
      <c r="V240" s="507" t="str">
        <f>IF(U240="","",IF(VLOOKUP(U240,'G-3 Multipliers'!$L$3:$N$6,2,FALSE)=0,"Spatial Data Missing ⚠",VLOOKUP(U240,'G-3 Multipliers'!$L$3:$N$6,2,FALSE)))</f>
        <v/>
      </c>
      <c r="W240" s="505"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5"/>
        <v/>
      </c>
      <c r="AD240" s="537" t="str">
        <f>IF(M240="","",VLOOKUP(M240,'G-6 Hedgerow Data'!$B$3:$AG$15,31,FALSE))</f>
        <v/>
      </c>
      <c r="AE240" s="520" t="str">
        <f t="shared" si="29"/>
        <v/>
      </c>
      <c r="AF240" s="520" t="str">
        <f t="shared" si="30"/>
        <v/>
      </c>
      <c r="AG240" s="524" t="str">
        <f>IFERROR(IF(O240="","",VLOOKUP(AD240,'G-3 Multipliers'!$P$3:$Q$6,2,FALSE)),"")</f>
        <v/>
      </c>
      <c r="AH240" s="197"/>
      <c r="AI240" s="499" t="str">
        <f>IF(AH240="","",IF(VLOOKUP(AH240,'G-3 Multipliers'!$S$3:$T$6,2,FALSE)=0,"Spatial Data Missing ⚠",VLOOKUP(AH240,'G-3 Multipliers'!$S$3:$T$6,2,FALSE)))</f>
        <v/>
      </c>
      <c r="AJ240" s="545" t="str">
        <f t="shared" si="31"/>
        <v/>
      </c>
      <c r="AK240" s="149"/>
      <c r="AL240" s="150"/>
      <c r="AP240" s="31" t="str">
        <f>IFERROR(INDEX('G-6 Hedgerow Data'!$BJ$3:$BJ$15,MATCH(M240,'G-6 Hedgerow Data'!$B$3:$B$15,0)),"")</f>
        <v/>
      </c>
    </row>
    <row r="241" spans="2:42" ht="13.8" x14ac:dyDescent="0.25">
      <c r="B241" s="531" t="str">
        <f>'E-1 Off Site Hedge Baseline'!AK239</f>
        <v/>
      </c>
      <c r="C241" s="520" t="str">
        <f>IF(B241="","",IF(ISNA(VLOOKUP($B241,'E-1 Off Site Hedge Baseline'!$B$1:$L$257,3,FALSE)),"",(VLOOKUP($B241,'E-1 Off Site Hedge Baseline'!$B$1:$L$257,3,FALSE))))</f>
        <v/>
      </c>
      <c r="D241" s="520" t="str">
        <f>IF(B241="","",IF(ISNA(VLOOKUP($B241,'E-1 Off Site Hedge Baseline'!$B$1:$L$258,4,FALSE)),"",(VLOOKUP($B241,'E-1 Off Site Hedge Baseline'!$B$1:$L$258,4,FALSE))))</f>
        <v/>
      </c>
      <c r="E241" s="520" t="str">
        <f>IF(B241="","",IF(ISNA(VLOOKUP($B241,'E-1 Off Site Hedge Baseline'!$B$1:$L$257,5,FALSE)),"",(VLOOKUP($B241,'E-1 Off Site Hedge Baseline'!$B$1:$L$257,5,FALSE))))</f>
        <v/>
      </c>
      <c r="F241" s="520" t="str">
        <f>IF(B241="","",IF(ISNA(VLOOKUP($B241,'E-1 Off Site Hedge Baseline'!$B$1:$L$257,6,FALSE)),"",(VLOOKUP($B241,'E-1 Off Site Hedge Baseline'!$B$1:$L$257,6,FALSE))))</f>
        <v/>
      </c>
      <c r="G241" s="520" t="str">
        <f>IF(B241="","",IF(ISNA(VLOOKUP($B241,'E-1 Off Site Hedge Baseline'!$B$1:$L$257,7,FALSE)),"",(VLOOKUP($B241,'E-1 Off Site Hedge Baseline'!$B$1:$L$257,7,FALSE))))</f>
        <v/>
      </c>
      <c r="H241" s="520" t="str">
        <f>IF(B241="","",IF(ISNA(VLOOKUP($B241,'E-1 Off Site Hedge Baseline'!$B$1:$L$257,8,FALSE)),"",(VLOOKUP($B241,'E-1 Off Site Hedge Baseline'!$B$1:$L$257,8,FALSE))))</f>
        <v/>
      </c>
      <c r="I241" s="520" t="str">
        <f>IF(B241="","",IF(ISNA(VLOOKUP($B241,'E-1 Off Site Hedge Baseline'!$B$1:$L$257,10,FALSE)),"",(VLOOKUP($B241,'E-1 Off Site Hedge Baseline'!$B$1:$L$257,10,FALSE))))</f>
        <v/>
      </c>
      <c r="J241" s="520" t="str">
        <f>IF(B241="","",IF(ISNA(VLOOKUP($B241,'E-1 Off Site Hedge Baseline'!$B$1:$L$257,11,FALSE)),"",(VLOOKUP($B241,'E-1 Off Site Hedge Baseline'!$B$1:$L$257,11,FALSE))))</f>
        <v/>
      </c>
      <c r="K241" s="520" t="str">
        <f>IF(B241="","",IF(ISNA(VLOOKUP($B241,'E-1 Off Site Hedge Baseline'!$B$1:$U$257,113,FALSE)),"",(VLOOKUP($B241,'E-1 Off Site Hedge Baseline'!$B$1:$U$257,13,FALSE))))</f>
        <v/>
      </c>
      <c r="L241" s="507" t="str">
        <f>IF(B241="","",IF(ISNA(VLOOKUP($B241,'E-1 Off Site Hedge Baseline'!$B$1:$U$257,12,FALSE)),"",(VLOOKUP($B241,'E-1 Off Site Hedge Baseline'!$B$1:$U$257,12,FALSE))))</f>
        <v/>
      </c>
      <c r="M241" s="418" t="str">
        <f t="shared" si="32"/>
        <v/>
      </c>
      <c r="N241" s="498" t="str">
        <f>IFERROR(IF(B241="","",INDEX('G-6 Hedgerow Data'!$AN$3:$AZ$15,MATCH(C241,'G-6 Hedgerow Data'!$AM$3:$AM$15,0),MATCH(M241,'G-6 Hedgerow Data'!$AN$2:$AZ$2,0))),"")</f>
        <v/>
      </c>
      <c r="O241" s="499" t="str">
        <f t="shared" si="26"/>
        <v/>
      </c>
      <c r="P241" s="505" t="str">
        <f>IF(B241="","",VLOOKUP(B241,'E-1 Off Site Hedge Baseline'!$B$10:T486,16,FALSE))</f>
        <v/>
      </c>
      <c r="Q241" s="498" t="str">
        <f>IF(M241="","",VLOOKUP(M241,'G-6 Hedgerow Data'!$B$2:$AG$15,2,FALSE))</f>
        <v/>
      </c>
      <c r="R241" s="499" t="str">
        <f>IF(M241="","",VLOOKUP(M241,'G-6 Hedgerow Data'!$B$2:$AG$15,3,FALSE))</f>
        <v/>
      </c>
      <c r="S241" s="145"/>
      <c r="T241" s="499" t="str">
        <f>IFERROR(IF(AND(Q241="V.Low",OR(S241="Good",S241="Moderate")),"Error ▲",VLOOKUP(S241,'G-1 All Habitats'!$Z$2:$AA$9,2,FALSE)),"")</f>
        <v/>
      </c>
      <c r="U241" s="145"/>
      <c r="V241" s="507" t="str">
        <f>IF(U241="","",IF(VLOOKUP(U241,'G-3 Multipliers'!$L$3:$N$6,2,FALSE)=0,"Spatial Data Missing ⚠",VLOOKUP(U241,'G-3 Multipliers'!$L$3:$N$6,2,FALSE)))</f>
        <v/>
      </c>
      <c r="W241" s="505"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5"/>
        <v/>
      </c>
      <c r="AD241" s="537" t="str">
        <f>IF(M241="","",VLOOKUP(M241,'G-6 Hedgerow Data'!$B$3:$AG$15,31,FALSE))</f>
        <v/>
      </c>
      <c r="AE241" s="520" t="str">
        <f t="shared" si="29"/>
        <v/>
      </c>
      <c r="AF241" s="520" t="str">
        <f t="shared" si="30"/>
        <v/>
      </c>
      <c r="AG241" s="524" t="str">
        <f>IFERROR(IF(O241="","",VLOOKUP(AD241,'G-3 Multipliers'!$P$3:$Q$6,2,FALSE)),"")</f>
        <v/>
      </c>
      <c r="AH241" s="197"/>
      <c r="AI241" s="499" t="str">
        <f>IF(AH241="","",IF(VLOOKUP(AH241,'G-3 Multipliers'!$S$3:$T$6,2,FALSE)=0,"Spatial Data Missing ⚠",VLOOKUP(AH241,'G-3 Multipliers'!$S$3:$T$6,2,FALSE)))</f>
        <v/>
      </c>
      <c r="AJ241" s="545" t="str">
        <f t="shared" si="31"/>
        <v/>
      </c>
      <c r="AK241" s="149"/>
      <c r="AL241" s="150"/>
      <c r="AP241" s="31" t="str">
        <f>IFERROR(INDEX('G-6 Hedgerow Data'!$BJ$3:$BJ$15,MATCH(M241,'G-6 Hedgerow Data'!$B$3:$B$15,0)),"")</f>
        <v/>
      </c>
    </row>
    <row r="242" spans="2:42" ht="13.8" x14ac:dyDescent="0.25">
      <c r="B242" s="531" t="str">
        <f>'E-1 Off Site Hedge Baseline'!AK240</f>
        <v/>
      </c>
      <c r="C242" s="520" t="str">
        <f>IF(B242="","",IF(ISNA(VLOOKUP($B242,'E-1 Off Site Hedge Baseline'!$B$1:$L$257,3,FALSE)),"",(VLOOKUP($B242,'E-1 Off Site Hedge Baseline'!$B$1:$L$257,3,FALSE))))</f>
        <v/>
      </c>
      <c r="D242" s="520" t="str">
        <f>IF(B242="","",IF(ISNA(VLOOKUP($B242,'E-1 Off Site Hedge Baseline'!$B$1:$L$258,4,FALSE)),"",(VLOOKUP($B242,'E-1 Off Site Hedge Baseline'!$B$1:$L$258,4,FALSE))))</f>
        <v/>
      </c>
      <c r="E242" s="520" t="str">
        <f>IF(B242="","",IF(ISNA(VLOOKUP($B242,'E-1 Off Site Hedge Baseline'!$B$1:$L$257,5,FALSE)),"",(VLOOKUP($B242,'E-1 Off Site Hedge Baseline'!$B$1:$L$257,5,FALSE))))</f>
        <v/>
      </c>
      <c r="F242" s="520" t="str">
        <f>IF(B242="","",IF(ISNA(VLOOKUP($B242,'E-1 Off Site Hedge Baseline'!$B$1:$L$257,6,FALSE)),"",(VLOOKUP($B242,'E-1 Off Site Hedge Baseline'!$B$1:$L$257,6,FALSE))))</f>
        <v/>
      </c>
      <c r="G242" s="520" t="str">
        <f>IF(B242="","",IF(ISNA(VLOOKUP($B242,'E-1 Off Site Hedge Baseline'!$B$1:$L$257,7,FALSE)),"",(VLOOKUP($B242,'E-1 Off Site Hedge Baseline'!$B$1:$L$257,7,FALSE))))</f>
        <v/>
      </c>
      <c r="H242" s="520" t="str">
        <f>IF(B242="","",IF(ISNA(VLOOKUP($B242,'E-1 Off Site Hedge Baseline'!$B$1:$L$257,8,FALSE)),"",(VLOOKUP($B242,'E-1 Off Site Hedge Baseline'!$B$1:$L$257,8,FALSE))))</f>
        <v/>
      </c>
      <c r="I242" s="520" t="str">
        <f>IF(B242="","",IF(ISNA(VLOOKUP($B242,'E-1 Off Site Hedge Baseline'!$B$1:$L$257,10,FALSE)),"",(VLOOKUP($B242,'E-1 Off Site Hedge Baseline'!$B$1:$L$257,10,FALSE))))</f>
        <v/>
      </c>
      <c r="J242" s="520" t="str">
        <f>IF(B242="","",IF(ISNA(VLOOKUP($B242,'E-1 Off Site Hedge Baseline'!$B$1:$L$257,11,FALSE)),"",(VLOOKUP($B242,'E-1 Off Site Hedge Baseline'!$B$1:$L$257,11,FALSE))))</f>
        <v/>
      </c>
      <c r="K242" s="520" t="str">
        <f>IF(B242="","",IF(ISNA(VLOOKUP($B242,'E-1 Off Site Hedge Baseline'!$B$1:$U$257,113,FALSE)),"",(VLOOKUP($B242,'E-1 Off Site Hedge Baseline'!$B$1:$U$257,13,FALSE))))</f>
        <v/>
      </c>
      <c r="L242" s="507" t="str">
        <f>IF(B242="","",IF(ISNA(VLOOKUP($B242,'E-1 Off Site Hedge Baseline'!$B$1:$U$257,12,FALSE)),"",(VLOOKUP($B242,'E-1 Off Site Hedge Baseline'!$B$1:$U$257,12,FALSE))))</f>
        <v/>
      </c>
      <c r="M242" s="418" t="str">
        <f t="shared" si="32"/>
        <v/>
      </c>
      <c r="N242" s="498" t="str">
        <f>IFERROR(IF(B242="","",INDEX('G-6 Hedgerow Data'!$AN$3:$AZ$15,MATCH(C242,'G-6 Hedgerow Data'!$AM$3:$AM$15,0),MATCH(M242,'G-6 Hedgerow Data'!$AN$2:$AZ$2,0))),"")</f>
        <v/>
      </c>
      <c r="O242" s="499" t="str">
        <f t="shared" si="26"/>
        <v/>
      </c>
      <c r="P242" s="505" t="str">
        <f>IF(B242="","",VLOOKUP(B242,'E-1 Off Site Hedge Baseline'!$B$10:T487,16,FALSE))</f>
        <v/>
      </c>
      <c r="Q242" s="498" t="str">
        <f>IF(M242="","",VLOOKUP(M242,'G-6 Hedgerow Data'!$B$2:$AG$15,2,FALSE))</f>
        <v/>
      </c>
      <c r="R242" s="499" t="str">
        <f>IF(M242="","",VLOOKUP(M242,'G-6 Hedgerow Data'!$B$2:$AG$15,3,FALSE))</f>
        <v/>
      </c>
      <c r="S242" s="145"/>
      <c r="T242" s="499" t="str">
        <f>IFERROR(IF(AND(Q242="V.Low",OR(S242="Good",S242="Moderate")),"Error ▲",VLOOKUP(S242,'G-1 All Habitats'!$Z$2:$AA$9,2,FALSE)),"")</f>
        <v/>
      </c>
      <c r="U242" s="145"/>
      <c r="V242" s="507" t="str">
        <f>IF(U242="","",IF(VLOOKUP(U242,'G-3 Multipliers'!$L$3:$N$6,2,FALSE)=0,"Spatial Data Missing ⚠",VLOOKUP(U242,'G-3 Multipliers'!$L$3:$N$6,2,FALSE)))</f>
        <v/>
      </c>
      <c r="W242" s="505"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5"/>
        <v/>
      </c>
      <c r="AD242" s="537" t="str">
        <f>IF(M242="","",VLOOKUP(M242,'G-6 Hedgerow Data'!$B$3:$AG$15,31,FALSE))</f>
        <v/>
      </c>
      <c r="AE242" s="520" t="str">
        <f t="shared" si="29"/>
        <v/>
      </c>
      <c r="AF242" s="520" t="str">
        <f t="shared" si="30"/>
        <v/>
      </c>
      <c r="AG242" s="524" t="str">
        <f>IFERROR(IF(O242="","",VLOOKUP(AD242,'G-3 Multipliers'!$P$3:$Q$6,2,FALSE)),"")</f>
        <v/>
      </c>
      <c r="AH242" s="197"/>
      <c r="AI242" s="499" t="str">
        <f>IF(AH242="","",IF(VLOOKUP(AH242,'G-3 Multipliers'!$S$3:$T$6,2,FALSE)=0,"Spatial Data Missing ⚠",VLOOKUP(AH242,'G-3 Multipliers'!$S$3:$T$6,2,FALSE)))</f>
        <v/>
      </c>
      <c r="AJ242" s="545" t="str">
        <f t="shared" si="31"/>
        <v/>
      </c>
      <c r="AK242" s="149"/>
      <c r="AL242" s="150"/>
      <c r="AP242" s="31" t="str">
        <f>IFERROR(INDEX('G-6 Hedgerow Data'!$BJ$3:$BJ$15,MATCH(M242,'G-6 Hedgerow Data'!$B$3:$B$15,0)),"")</f>
        <v/>
      </c>
    </row>
    <row r="243" spans="2:42" ht="13.8" x14ac:dyDescent="0.25">
      <c r="B243" s="531" t="str">
        <f>'E-1 Off Site Hedge Baseline'!AK241</f>
        <v/>
      </c>
      <c r="C243" s="520" t="str">
        <f>IF(B243="","",IF(ISNA(VLOOKUP($B243,'E-1 Off Site Hedge Baseline'!$B$1:$L$257,3,FALSE)),"",(VLOOKUP($B243,'E-1 Off Site Hedge Baseline'!$B$1:$L$257,3,FALSE))))</f>
        <v/>
      </c>
      <c r="D243" s="520" t="str">
        <f>IF(B243="","",IF(ISNA(VLOOKUP($B243,'E-1 Off Site Hedge Baseline'!$B$1:$L$258,4,FALSE)),"",(VLOOKUP($B243,'E-1 Off Site Hedge Baseline'!$B$1:$L$258,4,FALSE))))</f>
        <v/>
      </c>
      <c r="E243" s="520" t="str">
        <f>IF(B243="","",IF(ISNA(VLOOKUP($B243,'E-1 Off Site Hedge Baseline'!$B$1:$L$257,5,FALSE)),"",(VLOOKUP($B243,'E-1 Off Site Hedge Baseline'!$B$1:$L$257,5,FALSE))))</f>
        <v/>
      </c>
      <c r="F243" s="520" t="str">
        <f>IF(B243="","",IF(ISNA(VLOOKUP($B243,'E-1 Off Site Hedge Baseline'!$B$1:$L$257,6,FALSE)),"",(VLOOKUP($B243,'E-1 Off Site Hedge Baseline'!$B$1:$L$257,6,FALSE))))</f>
        <v/>
      </c>
      <c r="G243" s="520" t="str">
        <f>IF(B243="","",IF(ISNA(VLOOKUP($B243,'E-1 Off Site Hedge Baseline'!$B$1:$L$257,7,FALSE)),"",(VLOOKUP($B243,'E-1 Off Site Hedge Baseline'!$B$1:$L$257,7,FALSE))))</f>
        <v/>
      </c>
      <c r="H243" s="520" t="str">
        <f>IF(B243="","",IF(ISNA(VLOOKUP($B243,'E-1 Off Site Hedge Baseline'!$B$1:$L$257,8,FALSE)),"",(VLOOKUP($B243,'E-1 Off Site Hedge Baseline'!$B$1:$L$257,8,FALSE))))</f>
        <v/>
      </c>
      <c r="I243" s="520" t="str">
        <f>IF(B243="","",IF(ISNA(VLOOKUP($B243,'E-1 Off Site Hedge Baseline'!$B$1:$L$257,10,FALSE)),"",(VLOOKUP($B243,'E-1 Off Site Hedge Baseline'!$B$1:$L$257,10,FALSE))))</f>
        <v/>
      </c>
      <c r="J243" s="520" t="str">
        <f>IF(B243="","",IF(ISNA(VLOOKUP($B243,'E-1 Off Site Hedge Baseline'!$B$1:$L$257,11,FALSE)),"",(VLOOKUP($B243,'E-1 Off Site Hedge Baseline'!$B$1:$L$257,11,FALSE))))</f>
        <v/>
      </c>
      <c r="K243" s="520" t="str">
        <f>IF(B243="","",IF(ISNA(VLOOKUP($B243,'E-1 Off Site Hedge Baseline'!$B$1:$U$257,113,FALSE)),"",(VLOOKUP($B243,'E-1 Off Site Hedge Baseline'!$B$1:$U$257,13,FALSE))))</f>
        <v/>
      </c>
      <c r="L243" s="507" t="str">
        <f>IF(B243="","",IF(ISNA(VLOOKUP($B243,'E-1 Off Site Hedge Baseline'!$B$1:$U$257,12,FALSE)),"",(VLOOKUP($B243,'E-1 Off Site Hedge Baseline'!$B$1:$U$257,12,FALSE))))</f>
        <v/>
      </c>
      <c r="M243" s="418" t="str">
        <f t="shared" si="32"/>
        <v/>
      </c>
      <c r="N243" s="498" t="str">
        <f>IFERROR(IF(B243="","",INDEX('G-6 Hedgerow Data'!$AN$3:$AZ$15,MATCH(C243,'G-6 Hedgerow Data'!$AM$3:$AM$15,0),MATCH(M243,'G-6 Hedgerow Data'!$AN$2:$AZ$2,0))),"")</f>
        <v/>
      </c>
      <c r="O243" s="499" t="str">
        <f t="shared" si="26"/>
        <v/>
      </c>
      <c r="P243" s="505" t="str">
        <f>IF(B243="","",VLOOKUP(B243,'E-1 Off Site Hedge Baseline'!$B$10:T488,16,FALSE))</f>
        <v/>
      </c>
      <c r="Q243" s="498" t="str">
        <f>IF(M243="","",VLOOKUP(M243,'G-6 Hedgerow Data'!$B$2:$AG$15,2,FALSE))</f>
        <v/>
      </c>
      <c r="R243" s="499" t="str">
        <f>IF(M243="","",VLOOKUP(M243,'G-6 Hedgerow Data'!$B$2:$AG$15,3,FALSE))</f>
        <v/>
      </c>
      <c r="S243" s="145"/>
      <c r="T243" s="499" t="str">
        <f>IFERROR(IF(AND(Q243="V.Low",OR(S243="Good",S243="Moderate")),"Error ▲",VLOOKUP(S243,'G-1 All Habitats'!$Z$2:$AA$9,2,FALSE)),"")</f>
        <v/>
      </c>
      <c r="U243" s="145"/>
      <c r="V243" s="507" t="str">
        <f>IF(U243="","",IF(VLOOKUP(U243,'G-3 Multipliers'!$L$3:$N$6,2,FALSE)=0,"Spatial Data Missing ⚠",VLOOKUP(U243,'G-3 Multipliers'!$L$3:$N$6,2,FALSE)))</f>
        <v/>
      </c>
      <c r="W243" s="505"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5"/>
        <v/>
      </c>
      <c r="AD243" s="537" t="str">
        <f>IF(M243="","",VLOOKUP(M243,'G-6 Hedgerow Data'!$B$3:$AG$15,31,FALSE))</f>
        <v/>
      </c>
      <c r="AE243" s="520" t="str">
        <f t="shared" si="29"/>
        <v/>
      </c>
      <c r="AF243" s="520" t="str">
        <f t="shared" si="30"/>
        <v/>
      </c>
      <c r="AG243" s="524" t="str">
        <f>IFERROR(IF(O243="","",VLOOKUP(AD243,'G-3 Multipliers'!$P$3:$Q$6,2,FALSE)),"")</f>
        <v/>
      </c>
      <c r="AH243" s="197"/>
      <c r="AI243" s="499" t="str">
        <f>IF(AH243="","",IF(VLOOKUP(AH243,'G-3 Multipliers'!$S$3:$T$6,2,FALSE)=0,"Spatial Data Missing ⚠",VLOOKUP(AH243,'G-3 Multipliers'!$S$3:$T$6,2,FALSE)))</f>
        <v/>
      </c>
      <c r="AJ243" s="545" t="str">
        <f t="shared" si="31"/>
        <v/>
      </c>
      <c r="AK243" s="149"/>
      <c r="AL243" s="150"/>
      <c r="AP243" s="31" t="str">
        <f>IFERROR(INDEX('G-6 Hedgerow Data'!$BJ$3:$BJ$15,MATCH(M243,'G-6 Hedgerow Data'!$B$3:$B$15,0)),"")</f>
        <v/>
      </c>
    </row>
    <row r="244" spans="2:42" ht="13.8" x14ac:dyDescent="0.25">
      <c r="B244" s="531" t="str">
        <f>'E-1 Off Site Hedge Baseline'!AK242</f>
        <v/>
      </c>
      <c r="C244" s="520" t="str">
        <f>IF(B244="","",IF(ISNA(VLOOKUP($B244,'E-1 Off Site Hedge Baseline'!$B$1:$L$257,3,FALSE)),"",(VLOOKUP($B244,'E-1 Off Site Hedge Baseline'!$B$1:$L$257,3,FALSE))))</f>
        <v/>
      </c>
      <c r="D244" s="520" t="str">
        <f>IF(B244="","",IF(ISNA(VLOOKUP($B244,'E-1 Off Site Hedge Baseline'!$B$1:$L$258,4,FALSE)),"",(VLOOKUP($B244,'E-1 Off Site Hedge Baseline'!$B$1:$L$258,4,FALSE))))</f>
        <v/>
      </c>
      <c r="E244" s="520" t="str">
        <f>IF(B244="","",IF(ISNA(VLOOKUP($B244,'E-1 Off Site Hedge Baseline'!$B$1:$L$257,5,FALSE)),"",(VLOOKUP($B244,'E-1 Off Site Hedge Baseline'!$B$1:$L$257,5,FALSE))))</f>
        <v/>
      </c>
      <c r="F244" s="520" t="str">
        <f>IF(B244="","",IF(ISNA(VLOOKUP($B244,'E-1 Off Site Hedge Baseline'!$B$1:$L$257,6,FALSE)),"",(VLOOKUP($B244,'E-1 Off Site Hedge Baseline'!$B$1:$L$257,6,FALSE))))</f>
        <v/>
      </c>
      <c r="G244" s="520" t="str">
        <f>IF(B244="","",IF(ISNA(VLOOKUP($B244,'E-1 Off Site Hedge Baseline'!$B$1:$L$257,7,FALSE)),"",(VLOOKUP($B244,'E-1 Off Site Hedge Baseline'!$B$1:$L$257,7,FALSE))))</f>
        <v/>
      </c>
      <c r="H244" s="520" t="str">
        <f>IF(B244="","",IF(ISNA(VLOOKUP($B244,'E-1 Off Site Hedge Baseline'!$B$1:$L$257,8,FALSE)),"",(VLOOKUP($B244,'E-1 Off Site Hedge Baseline'!$B$1:$L$257,8,FALSE))))</f>
        <v/>
      </c>
      <c r="I244" s="520" t="str">
        <f>IF(B244="","",IF(ISNA(VLOOKUP($B244,'E-1 Off Site Hedge Baseline'!$B$1:$L$257,10,FALSE)),"",(VLOOKUP($B244,'E-1 Off Site Hedge Baseline'!$B$1:$L$257,10,FALSE))))</f>
        <v/>
      </c>
      <c r="J244" s="520" t="str">
        <f>IF(B244="","",IF(ISNA(VLOOKUP($B244,'E-1 Off Site Hedge Baseline'!$B$1:$L$257,11,FALSE)),"",(VLOOKUP($B244,'E-1 Off Site Hedge Baseline'!$B$1:$L$257,11,FALSE))))</f>
        <v/>
      </c>
      <c r="K244" s="520" t="str">
        <f>IF(B244="","",IF(ISNA(VLOOKUP($B244,'E-1 Off Site Hedge Baseline'!$B$1:$U$257,113,FALSE)),"",(VLOOKUP($B244,'E-1 Off Site Hedge Baseline'!$B$1:$U$257,13,FALSE))))</f>
        <v/>
      </c>
      <c r="L244" s="507" t="str">
        <f>IF(B244="","",IF(ISNA(VLOOKUP($B244,'E-1 Off Site Hedge Baseline'!$B$1:$U$257,12,FALSE)),"",(VLOOKUP($B244,'E-1 Off Site Hedge Baseline'!$B$1:$U$257,12,FALSE))))</f>
        <v/>
      </c>
      <c r="M244" s="418" t="str">
        <f t="shared" si="32"/>
        <v/>
      </c>
      <c r="N244" s="498" t="str">
        <f>IFERROR(IF(B244="","",INDEX('G-6 Hedgerow Data'!$AN$3:$AZ$15,MATCH(C244,'G-6 Hedgerow Data'!$AM$3:$AM$15,0),MATCH(M244,'G-6 Hedgerow Data'!$AN$2:$AZ$2,0))),"")</f>
        <v/>
      </c>
      <c r="O244" s="499" t="str">
        <f t="shared" si="26"/>
        <v/>
      </c>
      <c r="P244" s="505" t="str">
        <f>IF(B244="","",VLOOKUP(B244,'E-1 Off Site Hedge Baseline'!$B$10:T489,16,FALSE))</f>
        <v/>
      </c>
      <c r="Q244" s="498" t="str">
        <f>IF(M244="","",VLOOKUP(M244,'G-6 Hedgerow Data'!$B$2:$AG$15,2,FALSE))</f>
        <v/>
      </c>
      <c r="R244" s="499" t="str">
        <f>IF(M244="","",VLOOKUP(M244,'G-6 Hedgerow Data'!$B$2:$AG$15,3,FALSE))</f>
        <v/>
      </c>
      <c r="S244" s="145"/>
      <c r="T244" s="499" t="str">
        <f>IFERROR(IF(AND(Q244="V.Low",OR(S244="Good",S244="Moderate")),"Error ▲",VLOOKUP(S244,'G-1 All Habitats'!$Z$2:$AA$9,2,FALSE)),"")</f>
        <v/>
      </c>
      <c r="U244" s="145"/>
      <c r="V244" s="507" t="str">
        <f>IF(U244="","",IF(VLOOKUP(U244,'G-3 Multipliers'!$L$3:$N$6,2,FALSE)=0,"Spatial Data Missing ⚠",VLOOKUP(U244,'G-3 Multipliers'!$L$3:$N$6,2,FALSE)))</f>
        <v/>
      </c>
      <c r="W244" s="505"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5"/>
        <v/>
      </c>
      <c r="AD244" s="537" t="str">
        <f>IF(M244="","",VLOOKUP(M244,'G-6 Hedgerow Data'!$B$3:$AG$15,31,FALSE))</f>
        <v/>
      </c>
      <c r="AE244" s="520" t="str">
        <f t="shared" si="29"/>
        <v/>
      </c>
      <c r="AF244" s="520" t="str">
        <f t="shared" si="30"/>
        <v/>
      </c>
      <c r="AG244" s="524" t="str">
        <f>IFERROR(IF(O244="","",VLOOKUP(AD244,'G-3 Multipliers'!$P$3:$Q$6,2,FALSE)),"")</f>
        <v/>
      </c>
      <c r="AH244" s="197"/>
      <c r="AI244" s="499" t="str">
        <f>IF(AH244="","",IF(VLOOKUP(AH244,'G-3 Multipliers'!$S$3:$T$6,2,FALSE)=0,"Spatial Data Missing ⚠",VLOOKUP(AH244,'G-3 Multipliers'!$S$3:$T$6,2,FALSE)))</f>
        <v/>
      </c>
      <c r="AJ244" s="545" t="str">
        <f t="shared" si="31"/>
        <v/>
      </c>
      <c r="AK244" s="149"/>
      <c r="AL244" s="150"/>
      <c r="AP244" s="31" t="str">
        <f>IFERROR(INDEX('G-6 Hedgerow Data'!$BJ$3:$BJ$15,MATCH(M244,'G-6 Hedgerow Data'!$B$3:$B$15,0)),"")</f>
        <v/>
      </c>
    </row>
    <row r="245" spans="2:42" ht="13.8" x14ac:dyDescent="0.25">
      <c r="B245" s="531" t="str">
        <f>'E-1 Off Site Hedge Baseline'!AK243</f>
        <v/>
      </c>
      <c r="C245" s="520" t="str">
        <f>IF(B245="","",IF(ISNA(VLOOKUP($B245,'E-1 Off Site Hedge Baseline'!$B$1:$L$257,3,FALSE)),"",(VLOOKUP($B245,'E-1 Off Site Hedge Baseline'!$B$1:$L$257,3,FALSE))))</f>
        <v/>
      </c>
      <c r="D245" s="520" t="str">
        <f>IF(B245="","",IF(ISNA(VLOOKUP($B245,'E-1 Off Site Hedge Baseline'!$B$1:$L$258,4,FALSE)),"",(VLOOKUP($B245,'E-1 Off Site Hedge Baseline'!$B$1:$L$258,4,FALSE))))</f>
        <v/>
      </c>
      <c r="E245" s="520" t="str">
        <f>IF(B245="","",IF(ISNA(VLOOKUP($B245,'E-1 Off Site Hedge Baseline'!$B$1:$L$257,5,FALSE)),"",(VLOOKUP($B245,'E-1 Off Site Hedge Baseline'!$B$1:$L$257,5,FALSE))))</f>
        <v/>
      </c>
      <c r="F245" s="520" t="str">
        <f>IF(B245="","",IF(ISNA(VLOOKUP($B245,'E-1 Off Site Hedge Baseline'!$B$1:$L$257,6,FALSE)),"",(VLOOKUP($B245,'E-1 Off Site Hedge Baseline'!$B$1:$L$257,6,FALSE))))</f>
        <v/>
      </c>
      <c r="G245" s="520" t="str">
        <f>IF(B245="","",IF(ISNA(VLOOKUP($B245,'E-1 Off Site Hedge Baseline'!$B$1:$L$257,7,FALSE)),"",(VLOOKUP($B245,'E-1 Off Site Hedge Baseline'!$B$1:$L$257,7,FALSE))))</f>
        <v/>
      </c>
      <c r="H245" s="520" t="str">
        <f>IF(B245="","",IF(ISNA(VLOOKUP($B245,'E-1 Off Site Hedge Baseline'!$B$1:$L$257,8,FALSE)),"",(VLOOKUP($B245,'E-1 Off Site Hedge Baseline'!$B$1:$L$257,8,FALSE))))</f>
        <v/>
      </c>
      <c r="I245" s="520" t="str">
        <f>IF(B245="","",IF(ISNA(VLOOKUP($B245,'E-1 Off Site Hedge Baseline'!$B$1:$L$257,10,FALSE)),"",(VLOOKUP($B245,'E-1 Off Site Hedge Baseline'!$B$1:$L$257,10,FALSE))))</f>
        <v/>
      </c>
      <c r="J245" s="520" t="str">
        <f>IF(B245="","",IF(ISNA(VLOOKUP($B245,'E-1 Off Site Hedge Baseline'!$B$1:$L$257,11,FALSE)),"",(VLOOKUP($B245,'E-1 Off Site Hedge Baseline'!$B$1:$L$257,11,FALSE))))</f>
        <v/>
      </c>
      <c r="K245" s="520" t="str">
        <f>IF(B245="","",IF(ISNA(VLOOKUP($B245,'E-1 Off Site Hedge Baseline'!$B$1:$U$257,113,FALSE)),"",(VLOOKUP($B245,'E-1 Off Site Hedge Baseline'!$B$1:$U$257,13,FALSE))))</f>
        <v/>
      </c>
      <c r="L245" s="507" t="str">
        <f>IF(B245="","",IF(ISNA(VLOOKUP($B245,'E-1 Off Site Hedge Baseline'!$B$1:$U$257,12,FALSE)),"",(VLOOKUP($B245,'E-1 Off Site Hedge Baseline'!$B$1:$U$257,12,FALSE))))</f>
        <v/>
      </c>
      <c r="M245" s="418" t="str">
        <f t="shared" si="32"/>
        <v/>
      </c>
      <c r="N245" s="498" t="str">
        <f>IFERROR(IF(B245="","",INDEX('G-6 Hedgerow Data'!$AN$3:$AZ$15,MATCH(C245,'G-6 Hedgerow Data'!$AM$3:$AM$15,0),MATCH(M245,'G-6 Hedgerow Data'!$AN$2:$AZ$2,0))),"")</f>
        <v/>
      </c>
      <c r="O245" s="499" t="str">
        <f t="shared" si="26"/>
        <v/>
      </c>
      <c r="P245" s="505" t="str">
        <f>IF(B245="","",VLOOKUP(B245,'E-1 Off Site Hedge Baseline'!$B$10:T490,16,FALSE))</f>
        <v/>
      </c>
      <c r="Q245" s="498" t="str">
        <f>IF(M245="","",VLOOKUP(M245,'G-6 Hedgerow Data'!$B$2:$AG$15,2,FALSE))</f>
        <v/>
      </c>
      <c r="R245" s="499" t="str">
        <f>IF(M245="","",VLOOKUP(M245,'G-6 Hedgerow Data'!$B$2:$AG$15,3,FALSE))</f>
        <v/>
      </c>
      <c r="S245" s="145"/>
      <c r="T245" s="499" t="str">
        <f>IFERROR(IF(AND(Q245="V.Low",OR(S245="Good",S245="Moderate")),"Error ▲",VLOOKUP(S245,'G-1 All Habitats'!$Z$2:$AA$9,2,FALSE)),"")</f>
        <v/>
      </c>
      <c r="U245" s="145"/>
      <c r="V245" s="507" t="str">
        <f>IF(U245="","",IF(VLOOKUP(U245,'G-3 Multipliers'!$L$3:$N$6,2,FALSE)=0,"Spatial Data Missing ⚠",VLOOKUP(U245,'G-3 Multipliers'!$L$3:$N$6,2,FALSE)))</f>
        <v/>
      </c>
      <c r="W245" s="505"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5"/>
        <v/>
      </c>
      <c r="AD245" s="537" t="str">
        <f>IF(M245="","",VLOOKUP(M245,'G-6 Hedgerow Data'!$B$3:$AG$15,31,FALSE))</f>
        <v/>
      </c>
      <c r="AE245" s="520" t="str">
        <f t="shared" si="29"/>
        <v/>
      </c>
      <c r="AF245" s="520" t="str">
        <f t="shared" si="30"/>
        <v/>
      </c>
      <c r="AG245" s="524" t="str">
        <f>IFERROR(IF(O245="","",VLOOKUP(AD245,'G-3 Multipliers'!$P$3:$Q$6,2,FALSE)),"")</f>
        <v/>
      </c>
      <c r="AH245" s="197"/>
      <c r="AI245" s="499" t="str">
        <f>IF(AH245="","",IF(VLOOKUP(AH245,'G-3 Multipliers'!$S$3:$T$6,2,FALSE)=0,"Spatial Data Missing ⚠",VLOOKUP(AH245,'G-3 Multipliers'!$S$3:$T$6,2,FALSE)))</f>
        <v/>
      </c>
      <c r="AJ245" s="545" t="str">
        <f t="shared" si="31"/>
        <v/>
      </c>
      <c r="AK245" s="149"/>
      <c r="AL245" s="150"/>
      <c r="AP245" s="31" t="str">
        <f>IFERROR(INDEX('G-6 Hedgerow Data'!$BJ$3:$BJ$15,MATCH(M245,'G-6 Hedgerow Data'!$B$3:$B$15,0)),"")</f>
        <v/>
      </c>
    </row>
    <row r="246" spans="2:42" ht="13.8" x14ac:dyDescent="0.25">
      <c r="B246" s="531" t="str">
        <f>'E-1 Off Site Hedge Baseline'!AK244</f>
        <v/>
      </c>
      <c r="C246" s="520" t="str">
        <f>IF(B246="","",IF(ISNA(VLOOKUP($B246,'E-1 Off Site Hedge Baseline'!$B$1:$L$257,3,FALSE)),"",(VLOOKUP($B246,'E-1 Off Site Hedge Baseline'!$B$1:$L$257,3,FALSE))))</f>
        <v/>
      </c>
      <c r="D246" s="520" t="str">
        <f>IF(B246="","",IF(ISNA(VLOOKUP($B246,'E-1 Off Site Hedge Baseline'!$B$1:$L$258,4,FALSE)),"",(VLOOKUP($B246,'E-1 Off Site Hedge Baseline'!$B$1:$L$258,4,FALSE))))</f>
        <v/>
      </c>
      <c r="E246" s="520" t="str">
        <f>IF(B246="","",IF(ISNA(VLOOKUP($B246,'E-1 Off Site Hedge Baseline'!$B$1:$L$257,5,FALSE)),"",(VLOOKUP($B246,'E-1 Off Site Hedge Baseline'!$B$1:$L$257,5,FALSE))))</f>
        <v/>
      </c>
      <c r="F246" s="520" t="str">
        <f>IF(B246="","",IF(ISNA(VLOOKUP($B246,'E-1 Off Site Hedge Baseline'!$B$1:$L$257,6,FALSE)),"",(VLOOKUP($B246,'E-1 Off Site Hedge Baseline'!$B$1:$L$257,6,FALSE))))</f>
        <v/>
      </c>
      <c r="G246" s="520" t="str">
        <f>IF(B246="","",IF(ISNA(VLOOKUP($B246,'E-1 Off Site Hedge Baseline'!$B$1:$L$257,7,FALSE)),"",(VLOOKUP($B246,'E-1 Off Site Hedge Baseline'!$B$1:$L$257,7,FALSE))))</f>
        <v/>
      </c>
      <c r="H246" s="520" t="str">
        <f>IF(B246="","",IF(ISNA(VLOOKUP($B246,'E-1 Off Site Hedge Baseline'!$B$1:$L$257,8,FALSE)),"",(VLOOKUP($B246,'E-1 Off Site Hedge Baseline'!$B$1:$L$257,8,FALSE))))</f>
        <v/>
      </c>
      <c r="I246" s="520" t="str">
        <f>IF(B246="","",IF(ISNA(VLOOKUP($B246,'E-1 Off Site Hedge Baseline'!$B$1:$L$257,10,FALSE)),"",(VLOOKUP($B246,'E-1 Off Site Hedge Baseline'!$B$1:$L$257,10,FALSE))))</f>
        <v/>
      </c>
      <c r="J246" s="520" t="str">
        <f>IF(B246="","",IF(ISNA(VLOOKUP($B246,'E-1 Off Site Hedge Baseline'!$B$1:$L$257,11,FALSE)),"",(VLOOKUP($B246,'E-1 Off Site Hedge Baseline'!$B$1:$L$257,11,FALSE))))</f>
        <v/>
      </c>
      <c r="K246" s="520" t="str">
        <f>IF(B246="","",IF(ISNA(VLOOKUP($B246,'E-1 Off Site Hedge Baseline'!$B$1:$U$257,113,FALSE)),"",(VLOOKUP($B246,'E-1 Off Site Hedge Baseline'!$B$1:$U$257,13,FALSE))))</f>
        <v/>
      </c>
      <c r="L246" s="507" t="str">
        <f>IF(B246="","",IF(ISNA(VLOOKUP($B246,'E-1 Off Site Hedge Baseline'!$B$1:$U$257,12,FALSE)),"",(VLOOKUP($B246,'E-1 Off Site Hedge Baseline'!$B$1:$U$257,12,FALSE))))</f>
        <v/>
      </c>
      <c r="M246" s="418" t="str">
        <f t="shared" si="32"/>
        <v/>
      </c>
      <c r="N246" s="498" t="str">
        <f>IFERROR(IF(B246="","",INDEX('G-6 Hedgerow Data'!$AN$3:$AZ$15,MATCH(C246,'G-6 Hedgerow Data'!$AM$3:$AM$15,0),MATCH(M246,'G-6 Hedgerow Data'!$AN$2:$AZ$2,0))),"")</f>
        <v/>
      </c>
      <c r="O246" s="499" t="str">
        <f t="shared" si="26"/>
        <v/>
      </c>
      <c r="P246" s="505" t="str">
        <f>IF(B246="","",VLOOKUP(B246,'E-1 Off Site Hedge Baseline'!$B$10:T491,16,FALSE))</f>
        <v/>
      </c>
      <c r="Q246" s="498" t="str">
        <f>IF(M246="","",VLOOKUP(M246,'G-6 Hedgerow Data'!$B$2:$AG$15,2,FALSE))</f>
        <v/>
      </c>
      <c r="R246" s="499" t="str">
        <f>IF(M246="","",VLOOKUP(M246,'G-6 Hedgerow Data'!$B$2:$AG$15,3,FALSE))</f>
        <v/>
      </c>
      <c r="S246" s="145"/>
      <c r="T246" s="499" t="str">
        <f>IFERROR(IF(AND(Q246="V.Low",OR(S246="Good",S246="Moderate")),"Error ▲",VLOOKUP(S246,'G-1 All Habitats'!$Z$2:$AA$9,2,FALSE)),"")</f>
        <v/>
      </c>
      <c r="U246" s="145"/>
      <c r="V246" s="507" t="str">
        <f>IF(U246="","",IF(VLOOKUP(U246,'G-3 Multipliers'!$L$3:$N$6,2,FALSE)=0,"Spatial Data Missing ⚠",VLOOKUP(U246,'G-3 Multipliers'!$L$3:$N$6,2,FALSE)))</f>
        <v/>
      </c>
      <c r="W246" s="505"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5"/>
        <v/>
      </c>
      <c r="AD246" s="537" t="str">
        <f>IF(M246="","",VLOOKUP(M246,'G-6 Hedgerow Data'!$B$3:$AG$15,31,FALSE))</f>
        <v/>
      </c>
      <c r="AE246" s="520" t="str">
        <f t="shared" si="29"/>
        <v/>
      </c>
      <c r="AF246" s="520" t="str">
        <f t="shared" si="30"/>
        <v/>
      </c>
      <c r="AG246" s="524" t="str">
        <f>IFERROR(IF(O246="","",VLOOKUP(AD246,'G-3 Multipliers'!$P$3:$Q$6,2,FALSE)),"")</f>
        <v/>
      </c>
      <c r="AH246" s="197"/>
      <c r="AI246" s="499" t="str">
        <f>IF(AH246="","",IF(VLOOKUP(AH246,'G-3 Multipliers'!$S$3:$T$6,2,FALSE)=0,"Spatial Data Missing ⚠",VLOOKUP(AH246,'G-3 Multipliers'!$S$3:$T$6,2,FALSE)))</f>
        <v/>
      </c>
      <c r="AJ246" s="545" t="str">
        <f t="shared" si="31"/>
        <v/>
      </c>
      <c r="AK246" s="149"/>
      <c r="AL246" s="150"/>
      <c r="AP246" s="31" t="str">
        <f>IFERROR(INDEX('G-6 Hedgerow Data'!$BJ$3:$BJ$15,MATCH(M246,'G-6 Hedgerow Data'!$B$3:$B$15,0)),"")</f>
        <v/>
      </c>
    </row>
    <row r="247" spans="2:42" ht="13.8" x14ac:dyDescent="0.25">
      <c r="B247" s="531" t="str">
        <f>'E-1 Off Site Hedge Baseline'!AK245</f>
        <v/>
      </c>
      <c r="C247" s="520" t="str">
        <f>IF(B247="","",IF(ISNA(VLOOKUP($B247,'E-1 Off Site Hedge Baseline'!$B$1:$L$257,3,FALSE)),"",(VLOOKUP($B247,'E-1 Off Site Hedge Baseline'!$B$1:$L$257,3,FALSE))))</f>
        <v/>
      </c>
      <c r="D247" s="520" t="str">
        <f>IF(B247="","",IF(ISNA(VLOOKUP($B247,'E-1 Off Site Hedge Baseline'!$B$1:$L$258,4,FALSE)),"",(VLOOKUP($B247,'E-1 Off Site Hedge Baseline'!$B$1:$L$258,4,FALSE))))</f>
        <v/>
      </c>
      <c r="E247" s="520" t="str">
        <f>IF(B247="","",IF(ISNA(VLOOKUP($B247,'E-1 Off Site Hedge Baseline'!$B$1:$L$257,5,FALSE)),"",(VLOOKUP($B247,'E-1 Off Site Hedge Baseline'!$B$1:$L$257,5,FALSE))))</f>
        <v/>
      </c>
      <c r="F247" s="520" t="str">
        <f>IF(B247="","",IF(ISNA(VLOOKUP($B247,'E-1 Off Site Hedge Baseline'!$B$1:$L$257,6,FALSE)),"",(VLOOKUP($B247,'E-1 Off Site Hedge Baseline'!$B$1:$L$257,6,FALSE))))</f>
        <v/>
      </c>
      <c r="G247" s="520" t="str">
        <f>IF(B247="","",IF(ISNA(VLOOKUP($B247,'E-1 Off Site Hedge Baseline'!$B$1:$L$257,7,FALSE)),"",(VLOOKUP($B247,'E-1 Off Site Hedge Baseline'!$B$1:$L$257,7,FALSE))))</f>
        <v/>
      </c>
      <c r="H247" s="520" t="str">
        <f>IF(B247="","",IF(ISNA(VLOOKUP($B247,'E-1 Off Site Hedge Baseline'!$B$1:$L$257,8,FALSE)),"",(VLOOKUP($B247,'E-1 Off Site Hedge Baseline'!$B$1:$L$257,8,FALSE))))</f>
        <v/>
      </c>
      <c r="I247" s="520" t="str">
        <f>IF(B247="","",IF(ISNA(VLOOKUP($B247,'E-1 Off Site Hedge Baseline'!$B$1:$L$257,10,FALSE)),"",(VLOOKUP($B247,'E-1 Off Site Hedge Baseline'!$B$1:$L$257,10,FALSE))))</f>
        <v/>
      </c>
      <c r="J247" s="520" t="str">
        <f>IF(B247="","",IF(ISNA(VLOOKUP($B247,'E-1 Off Site Hedge Baseline'!$B$1:$L$257,11,FALSE)),"",(VLOOKUP($B247,'E-1 Off Site Hedge Baseline'!$B$1:$L$257,11,FALSE))))</f>
        <v/>
      </c>
      <c r="K247" s="520" t="str">
        <f>IF(B247="","",IF(ISNA(VLOOKUP($B247,'E-1 Off Site Hedge Baseline'!$B$1:$U$257,113,FALSE)),"",(VLOOKUP($B247,'E-1 Off Site Hedge Baseline'!$B$1:$U$257,13,FALSE))))</f>
        <v/>
      </c>
      <c r="L247" s="507" t="str">
        <f>IF(B247="","",IF(ISNA(VLOOKUP($B247,'E-1 Off Site Hedge Baseline'!$B$1:$U$257,12,FALSE)),"",(VLOOKUP($B247,'E-1 Off Site Hedge Baseline'!$B$1:$U$257,12,FALSE))))</f>
        <v/>
      </c>
      <c r="M247" s="418" t="str">
        <f t="shared" si="32"/>
        <v/>
      </c>
      <c r="N247" s="498" t="str">
        <f>IFERROR(IF(B247="","",INDEX('G-6 Hedgerow Data'!$AN$3:$AZ$15,MATCH(C247,'G-6 Hedgerow Data'!$AM$3:$AM$15,0),MATCH(M247,'G-6 Hedgerow Data'!$AN$2:$AZ$2,0))),"")</f>
        <v/>
      </c>
      <c r="O247" s="499" t="str">
        <f t="shared" si="26"/>
        <v/>
      </c>
      <c r="P247" s="505" t="str">
        <f>IF(B247="","",VLOOKUP(B247,'E-1 Off Site Hedge Baseline'!$B$10:T492,16,FALSE))</f>
        <v/>
      </c>
      <c r="Q247" s="498" t="str">
        <f>IF(M247="","",VLOOKUP(M247,'G-6 Hedgerow Data'!$B$2:$AG$15,2,FALSE))</f>
        <v/>
      </c>
      <c r="R247" s="499" t="str">
        <f>IF(M247="","",VLOOKUP(M247,'G-6 Hedgerow Data'!$B$2:$AG$15,3,FALSE))</f>
        <v/>
      </c>
      <c r="S247" s="145"/>
      <c r="T247" s="499" t="str">
        <f>IFERROR(IF(AND(Q247="V.Low",OR(S247="Good",S247="Moderate")),"Error ▲",VLOOKUP(S247,'G-1 All Habitats'!$Z$2:$AA$9,2,FALSE)),"")</f>
        <v/>
      </c>
      <c r="U247" s="145"/>
      <c r="V247" s="507" t="str">
        <f>IF(U247="","",IF(VLOOKUP(U247,'G-3 Multipliers'!$L$3:$N$6,2,FALSE)=0,"Spatial Data Missing ⚠",VLOOKUP(U247,'G-3 Multipliers'!$L$3:$N$6,2,FALSE)))</f>
        <v/>
      </c>
      <c r="W247" s="505"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5"/>
        <v/>
      </c>
      <c r="AD247" s="537" t="str">
        <f>IF(M247="","",VLOOKUP(M247,'G-6 Hedgerow Data'!$B$3:$AG$15,31,FALSE))</f>
        <v/>
      </c>
      <c r="AE247" s="520" t="str">
        <f t="shared" si="29"/>
        <v/>
      </c>
      <c r="AF247" s="520" t="str">
        <f t="shared" si="30"/>
        <v/>
      </c>
      <c r="AG247" s="524" t="str">
        <f>IFERROR(IF(O247="","",VLOOKUP(AD247,'G-3 Multipliers'!$P$3:$Q$6,2,FALSE)),"")</f>
        <v/>
      </c>
      <c r="AH247" s="197"/>
      <c r="AI247" s="499" t="str">
        <f>IF(AH247="","",IF(VLOOKUP(AH247,'G-3 Multipliers'!$S$3:$T$6,2,FALSE)=0,"Spatial Data Missing ⚠",VLOOKUP(AH247,'G-3 Multipliers'!$S$3:$T$6,2,FALSE)))</f>
        <v/>
      </c>
      <c r="AJ247" s="545" t="str">
        <f t="shared" si="31"/>
        <v/>
      </c>
      <c r="AK247" s="149"/>
      <c r="AL247" s="150"/>
      <c r="AP247" s="31" t="str">
        <f>IFERROR(INDEX('G-6 Hedgerow Data'!$BJ$3:$BJ$15,MATCH(M247,'G-6 Hedgerow Data'!$B$3:$B$15,0)),"")</f>
        <v/>
      </c>
    </row>
    <row r="248" spans="2:42" ht="13.8" x14ac:dyDescent="0.25">
      <c r="B248" s="531" t="str">
        <f>'E-1 Off Site Hedge Baseline'!AK246</f>
        <v/>
      </c>
      <c r="C248" s="520" t="str">
        <f>IF(B248="","",IF(ISNA(VLOOKUP($B248,'E-1 Off Site Hedge Baseline'!$B$1:$L$257,3,FALSE)),"",(VLOOKUP($B248,'E-1 Off Site Hedge Baseline'!$B$1:$L$257,3,FALSE))))</f>
        <v/>
      </c>
      <c r="D248" s="520" t="str">
        <f>IF(B248="","",IF(ISNA(VLOOKUP($B248,'E-1 Off Site Hedge Baseline'!$B$1:$L$258,4,FALSE)),"",(VLOOKUP($B248,'E-1 Off Site Hedge Baseline'!$B$1:$L$258,4,FALSE))))</f>
        <v/>
      </c>
      <c r="E248" s="520" t="str">
        <f>IF(B248="","",IF(ISNA(VLOOKUP($B248,'E-1 Off Site Hedge Baseline'!$B$1:$L$257,5,FALSE)),"",(VLOOKUP($B248,'E-1 Off Site Hedge Baseline'!$B$1:$L$257,5,FALSE))))</f>
        <v/>
      </c>
      <c r="F248" s="520" t="str">
        <f>IF(B248="","",IF(ISNA(VLOOKUP($B248,'E-1 Off Site Hedge Baseline'!$B$1:$L$257,6,FALSE)),"",(VLOOKUP($B248,'E-1 Off Site Hedge Baseline'!$B$1:$L$257,6,FALSE))))</f>
        <v/>
      </c>
      <c r="G248" s="520" t="str">
        <f>IF(B248="","",IF(ISNA(VLOOKUP($B248,'E-1 Off Site Hedge Baseline'!$B$1:$L$257,7,FALSE)),"",(VLOOKUP($B248,'E-1 Off Site Hedge Baseline'!$B$1:$L$257,7,FALSE))))</f>
        <v/>
      </c>
      <c r="H248" s="520" t="str">
        <f>IF(B248="","",IF(ISNA(VLOOKUP($B248,'E-1 Off Site Hedge Baseline'!$B$1:$L$257,8,FALSE)),"",(VLOOKUP($B248,'E-1 Off Site Hedge Baseline'!$B$1:$L$257,8,FALSE))))</f>
        <v/>
      </c>
      <c r="I248" s="520" t="str">
        <f>IF(B248="","",IF(ISNA(VLOOKUP($B248,'E-1 Off Site Hedge Baseline'!$B$1:$L$257,10,FALSE)),"",(VLOOKUP($B248,'E-1 Off Site Hedge Baseline'!$B$1:$L$257,10,FALSE))))</f>
        <v/>
      </c>
      <c r="J248" s="520" t="str">
        <f>IF(B248="","",IF(ISNA(VLOOKUP($B248,'E-1 Off Site Hedge Baseline'!$B$1:$L$257,11,FALSE)),"",(VLOOKUP($B248,'E-1 Off Site Hedge Baseline'!$B$1:$L$257,11,FALSE))))</f>
        <v/>
      </c>
      <c r="K248" s="520" t="str">
        <f>IF(B248="","",IF(ISNA(VLOOKUP($B248,'E-1 Off Site Hedge Baseline'!$B$1:$U$257,113,FALSE)),"",(VLOOKUP($B248,'E-1 Off Site Hedge Baseline'!$B$1:$U$257,13,FALSE))))</f>
        <v/>
      </c>
      <c r="L248" s="507" t="str">
        <f>IF(B248="","",IF(ISNA(VLOOKUP($B248,'E-1 Off Site Hedge Baseline'!$B$1:$U$257,12,FALSE)),"",(VLOOKUP($B248,'E-1 Off Site Hedge Baseline'!$B$1:$U$257,12,FALSE))))</f>
        <v/>
      </c>
      <c r="M248" s="418" t="str">
        <f t="shared" si="32"/>
        <v/>
      </c>
      <c r="N248" s="498" t="str">
        <f>IFERROR(IF(B248="","",INDEX('G-6 Hedgerow Data'!$AN$3:$AZ$15,MATCH(C248,'G-6 Hedgerow Data'!$AM$3:$AM$15,0),MATCH(M248,'G-6 Hedgerow Data'!$AN$2:$AZ$2,0))),"")</f>
        <v/>
      </c>
      <c r="O248" s="499" t="str">
        <f t="shared" si="26"/>
        <v/>
      </c>
      <c r="P248" s="505" t="str">
        <f>IF(B248="","",VLOOKUP(B248,'E-1 Off Site Hedge Baseline'!$B$10:T493,16,FALSE))</f>
        <v/>
      </c>
      <c r="Q248" s="498" t="str">
        <f>IF(M248="","",VLOOKUP(M248,'G-6 Hedgerow Data'!$B$2:$AG$15,2,FALSE))</f>
        <v/>
      </c>
      <c r="R248" s="499" t="str">
        <f>IF(M248="","",VLOOKUP(M248,'G-6 Hedgerow Data'!$B$2:$AG$15,3,FALSE))</f>
        <v/>
      </c>
      <c r="S248" s="145"/>
      <c r="T248" s="499" t="str">
        <f>IFERROR(IF(AND(Q248="V.Low",OR(S248="Good",S248="Moderate")),"Error ▲",VLOOKUP(S248,'G-1 All Habitats'!$Z$2:$AA$9,2,FALSE)),"")</f>
        <v/>
      </c>
      <c r="U248" s="145"/>
      <c r="V248" s="507" t="str">
        <f>IF(U248="","",IF(VLOOKUP(U248,'G-3 Multipliers'!$L$3:$N$6,2,FALSE)=0,"Spatial Data Missing ⚠",VLOOKUP(U248,'G-3 Multipliers'!$L$3:$N$6,2,FALSE)))</f>
        <v/>
      </c>
      <c r="W248" s="505"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5"/>
        <v/>
      </c>
      <c r="AD248" s="537" t="str">
        <f>IF(M248="","",VLOOKUP(M248,'G-6 Hedgerow Data'!$B$3:$AG$15,31,FALSE))</f>
        <v/>
      </c>
      <c r="AE248" s="520" t="str">
        <f t="shared" si="29"/>
        <v/>
      </c>
      <c r="AF248" s="520" t="str">
        <f t="shared" si="30"/>
        <v/>
      </c>
      <c r="AG248" s="524" t="str">
        <f>IFERROR(IF(O248="","",VLOOKUP(AD248,'G-3 Multipliers'!$P$3:$Q$6,2,FALSE)),"")</f>
        <v/>
      </c>
      <c r="AH248" s="197"/>
      <c r="AI248" s="499" t="str">
        <f>IF(AH248="","",IF(VLOOKUP(AH248,'G-3 Multipliers'!$S$3:$T$6,2,FALSE)=0,"Spatial Data Missing ⚠",VLOOKUP(AH248,'G-3 Multipliers'!$S$3:$T$6,2,FALSE)))</f>
        <v/>
      </c>
      <c r="AJ248" s="545" t="str">
        <f t="shared" si="31"/>
        <v/>
      </c>
      <c r="AK248" s="149"/>
      <c r="AL248" s="150"/>
      <c r="AP248" s="31" t="str">
        <f>IFERROR(INDEX('G-6 Hedgerow Data'!$BJ$3:$BJ$15,MATCH(M248,'G-6 Hedgerow Data'!$B$3:$B$15,0)),"")</f>
        <v/>
      </c>
    </row>
    <row r="249" spans="2:42" ht="13.8" x14ac:dyDescent="0.25">
      <c r="B249" s="531" t="str">
        <f>'E-1 Off Site Hedge Baseline'!AK247</f>
        <v/>
      </c>
      <c r="C249" s="520" t="str">
        <f>IF(B249="","",IF(ISNA(VLOOKUP($B249,'E-1 Off Site Hedge Baseline'!$B$1:$L$257,3,FALSE)),"",(VLOOKUP($B249,'E-1 Off Site Hedge Baseline'!$B$1:$L$257,3,FALSE))))</f>
        <v/>
      </c>
      <c r="D249" s="520" t="str">
        <f>IF(B249="","",IF(ISNA(VLOOKUP($B249,'E-1 Off Site Hedge Baseline'!$B$1:$L$258,4,FALSE)),"",(VLOOKUP($B249,'E-1 Off Site Hedge Baseline'!$B$1:$L$258,4,FALSE))))</f>
        <v/>
      </c>
      <c r="E249" s="520" t="str">
        <f>IF(B249="","",IF(ISNA(VLOOKUP($B249,'E-1 Off Site Hedge Baseline'!$B$1:$L$257,5,FALSE)),"",(VLOOKUP($B249,'E-1 Off Site Hedge Baseline'!$B$1:$L$257,5,FALSE))))</f>
        <v/>
      </c>
      <c r="F249" s="520" t="str">
        <f>IF(B249="","",IF(ISNA(VLOOKUP($B249,'E-1 Off Site Hedge Baseline'!$B$1:$L$257,6,FALSE)),"",(VLOOKUP($B249,'E-1 Off Site Hedge Baseline'!$B$1:$L$257,6,FALSE))))</f>
        <v/>
      </c>
      <c r="G249" s="520" t="str">
        <f>IF(B249="","",IF(ISNA(VLOOKUP($B249,'E-1 Off Site Hedge Baseline'!$B$1:$L$257,7,FALSE)),"",(VLOOKUP($B249,'E-1 Off Site Hedge Baseline'!$B$1:$L$257,7,FALSE))))</f>
        <v/>
      </c>
      <c r="H249" s="520" t="str">
        <f>IF(B249="","",IF(ISNA(VLOOKUP($B249,'E-1 Off Site Hedge Baseline'!$B$1:$L$257,8,FALSE)),"",(VLOOKUP($B249,'E-1 Off Site Hedge Baseline'!$B$1:$L$257,8,FALSE))))</f>
        <v/>
      </c>
      <c r="I249" s="520" t="str">
        <f>IF(B249="","",IF(ISNA(VLOOKUP($B249,'E-1 Off Site Hedge Baseline'!$B$1:$L$257,10,FALSE)),"",(VLOOKUP($B249,'E-1 Off Site Hedge Baseline'!$B$1:$L$257,10,FALSE))))</f>
        <v/>
      </c>
      <c r="J249" s="520" t="str">
        <f>IF(B249="","",IF(ISNA(VLOOKUP($B249,'E-1 Off Site Hedge Baseline'!$B$1:$L$257,11,FALSE)),"",(VLOOKUP($B249,'E-1 Off Site Hedge Baseline'!$B$1:$L$257,11,FALSE))))</f>
        <v/>
      </c>
      <c r="K249" s="520" t="str">
        <f>IF(B249="","",IF(ISNA(VLOOKUP($B249,'E-1 Off Site Hedge Baseline'!$B$1:$U$257,113,FALSE)),"",(VLOOKUP($B249,'E-1 Off Site Hedge Baseline'!$B$1:$U$257,13,FALSE))))</f>
        <v/>
      </c>
      <c r="L249" s="507" t="str">
        <f>IF(B249="","",IF(ISNA(VLOOKUP($B249,'E-1 Off Site Hedge Baseline'!$B$1:$U$257,12,FALSE)),"",(VLOOKUP($B249,'E-1 Off Site Hedge Baseline'!$B$1:$U$257,12,FALSE))))</f>
        <v/>
      </c>
      <c r="M249" s="418" t="str">
        <f t="shared" si="32"/>
        <v/>
      </c>
      <c r="N249" s="498" t="str">
        <f>IFERROR(IF(B249="","",INDEX('G-6 Hedgerow Data'!$AN$3:$AZ$15,MATCH(C249,'G-6 Hedgerow Data'!$AM$3:$AM$15,0),MATCH(M249,'G-6 Hedgerow Data'!$AN$2:$AZ$2,0))),"")</f>
        <v/>
      </c>
      <c r="O249" s="499" t="str">
        <f t="shared" si="26"/>
        <v/>
      </c>
      <c r="P249" s="505" t="str">
        <f>IF(B249="","",VLOOKUP(B249,'E-1 Off Site Hedge Baseline'!$B$10:T494,16,FALSE))</f>
        <v/>
      </c>
      <c r="Q249" s="498" t="str">
        <f>IF(M249="","",VLOOKUP(M249,'G-6 Hedgerow Data'!$B$2:$AG$15,2,FALSE))</f>
        <v/>
      </c>
      <c r="R249" s="499" t="str">
        <f>IF(M249="","",VLOOKUP(M249,'G-6 Hedgerow Data'!$B$2:$AG$15,3,FALSE))</f>
        <v/>
      </c>
      <c r="S249" s="145"/>
      <c r="T249" s="499" t="str">
        <f>IFERROR(IF(AND(Q249="V.Low",OR(S249="Good",S249="Moderate")),"Error ▲",VLOOKUP(S249,'G-1 All Habitats'!$Z$2:$AA$9,2,FALSE)),"")</f>
        <v/>
      </c>
      <c r="U249" s="145"/>
      <c r="V249" s="507" t="str">
        <f>IF(U249="","",IF(VLOOKUP(U249,'G-3 Multipliers'!$L$3:$N$6,2,FALSE)=0,"Spatial Data Missing ⚠",VLOOKUP(U249,'G-3 Multipliers'!$L$3:$N$6,2,FALSE)))</f>
        <v/>
      </c>
      <c r="W249" s="505"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5"/>
        <v/>
      </c>
      <c r="AD249" s="537" t="str">
        <f>IF(M249="","",VLOOKUP(M249,'G-6 Hedgerow Data'!$B$3:$AG$15,31,FALSE))</f>
        <v/>
      </c>
      <c r="AE249" s="520" t="str">
        <f t="shared" si="29"/>
        <v/>
      </c>
      <c r="AF249" s="520" t="str">
        <f t="shared" si="30"/>
        <v/>
      </c>
      <c r="AG249" s="524" t="str">
        <f>IFERROR(IF(O249="","",VLOOKUP(AD249,'G-3 Multipliers'!$P$3:$Q$6,2,FALSE)),"")</f>
        <v/>
      </c>
      <c r="AH249" s="197"/>
      <c r="AI249" s="499" t="str">
        <f>IF(AH249="","",IF(VLOOKUP(AH249,'G-3 Multipliers'!$S$3:$T$6,2,FALSE)=0,"Spatial Data Missing ⚠",VLOOKUP(AH249,'G-3 Multipliers'!$S$3:$T$6,2,FALSE)))</f>
        <v/>
      </c>
      <c r="AJ249" s="545" t="str">
        <f t="shared" si="31"/>
        <v/>
      </c>
      <c r="AK249" s="149"/>
      <c r="AL249" s="150"/>
      <c r="AP249" s="31" t="str">
        <f>IFERROR(INDEX('G-6 Hedgerow Data'!$BJ$3:$BJ$15,MATCH(M249,'G-6 Hedgerow Data'!$B$3:$B$15,0)),"")</f>
        <v/>
      </c>
    </row>
    <row r="250" spans="2:42" ht="13.8" x14ac:dyDescent="0.25">
      <c r="B250" s="531" t="str">
        <f>'E-1 Off Site Hedge Baseline'!AK248</f>
        <v/>
      </c>
      <c r="C250" s="520" t="str">
        <f>IF(B250="","",IF(ISNA(VLOOKUP($B250,'E-1 Off Site Hedge Baseline'!$B$1:$L$257,3,FALSE)),"",(VLOOKUP($B250,'E-1 Off Site Hedge Baseline'!$B$1:$L$257,3,FALSE))))</f>
        <v/>
      </c>
      <c r="D250" s="520" t="str">
        <f>IF(B250="","",IF(ISNA(VLOOKUP($B250,'E-1 Off Site Hedge Baseline'!$B$1:$L$258,4,FALSE)),"",(VLOOKUP($B250,'E-1 Off Site Hedge Baseline'!$B$1:$L$258,4,FALSE))))</f>
        <v/>
      </c>
      <c r="E250" s="520" t="str">
        <f>IF(B250="","",IF(ISNA(VLOOKUP($B250,'E-1 Off Site Hedge Baseline'!$B$1:$L$257,5,FALSE)),"",(VLOOKUP($B250,'E-1 Off Site Hedge Baseline'!$B$1:$L$257,5,FALSE))))</f>
        <v/>
      </c>
      <c r="F250" s="520" t="str">
        <f>IF(B250="","",IF(ISNA(VLOOKUP($B250,'E-1 Off Site Hedge Baseline'!$B$1:$L$257,6,FALSE)),"",(VLOOKUP($B250,'E-1 Off Site Hedge Baseline'!$B$1:$L$257,6,FALSE))))</f>
        <v/>
      </c>
      <c r="G250" s="520" t="str">
        <f>IF(B250="","",IF(ISNA(VLOOKUP($B250,'E-1 Off Site Hedge Baseline'!$B$1:$L$257,7,FALSE)),"",(VLOOKUP($B250,'E-1 Off Site Hedge Baseline'!$B$1:$L$257,7,FALSE))))</f>
        <v/>
      </c>
      <c r="H250" s="520" t="str">
        <f>IF(B250="","",IF(ISNA(VLOOKUP($B250,'E-1 Off Site Hedge Baseline'!$B$1:$L$257,8,FALSE)),"",(VLOOKUP($B250,'E-1 Off Site Hedge Baseline'!$B$1:$L$257,8,FALSE))))</f>
        <v/>
      </c>
      <c r="I250" s="520" t="str">
        <f>IF(B250="","",IF(ISNA(VLOOKUP($B250,'E-1 Off Site Hedge Baseline'!$B$1:$L$257,10,FALSE)),"",(VLOOKUP($B250,'E-1 Off Site Hedge Baseline'!$B$1:$L$257,10,FALSE))))</f>
        <v/>
      </c>
      <c r="J250" s="520" t="str">
        <f>IF(B250="","",IF(ISNA(VLOOKUP($B250,'E-1 Off Site Hedge Baseline'!$B$1:$L$257,11,FALSE)),"",(VLOOKUP($B250,'E-1 Off Site Hedge Baseline'!$B$1:$L$257,11,FALSE))))</f>
        <v/>
      </c>
      <c r="K250" s="520" t="str">
        <f>IF(B250="","",IF(ISNA(VLOOKUP($B250,'E-1 Off Site Hedge Baseline'!$B$1:$U$257,113,FALSE)),"",(VLOOKUP($B250,'E-1 Off Site Hedge Baseline'!$B$1:$U$257,13,FALSE))))</f>
        <v/>
      </c>
      <c r="L250" s="507" t="str">
        <f>IF(B250="","",IF(ISNA(VLOOKUP($B250,'E-1 Off Site Hedge Baseline'!$B$1:$U$257,12,FALSE)),"",(VLOOKUP($B250,'E-1 Off Site Hedge Baseline'!$B$1:$U$257,12,FALSE))))</f>
        <v/>
      </c>
      <c r="M250" s="418" t="str">
        <f t="shared" si="32"/>
        <v/>
      </c>
      <c r="N250" s="498" t="str">
        <f>IFERROR(IF(B250="","",INDEX('G-6 Hedgerow Data'!$AN$3:$AZ$15,MATCH(C250,'G-6 Hedgerow Data'!$AM$3:$AM$15,0),MATCH(M250,'G-6 Hedgerow Data'!$AN$2:$AZ$2,0))),"")</f>
        <v/>
      </c>
      <c r="O250" s="499" t="str">
        <f t="shared" si="26"/>
        <v/>
      </c>
      <c r="P250" s="505" t="str">
        <f>IF(B250="","",VLOOKUP(B250,'E-1 Off Site Hedge Baseline'!$B$10:T495,16,FALSE))</f>
        <v/>
      </c>
      <c r="Q250" s="498" t="str">
        <f>IF(M250="","",VLOOKUP(M250,'G-6 Hedgerow Data'!$B$2:$AG$15,2,FALSE))</f>
        <v/>
      </c>
      <c r="R250" s="499" t="str">
        <f>IF(M250="","",VLOOKUP(M250,'G-6 Hedgerow Data'!$B$2:$AG$15,3,FALSE))</f>
        <v/>
      </c>
      <c r="S250" s="145"/>
      <c r="T250" s="499" t="str">
        <f>IFERROR(IF(AND(Q250="V.Low",OR(S250="Good",S250="Moderate")),"Error ▲",VLOOKUP(S250,'G-1 All Habitats'!$Z$2:$AA$9,2,FALSE)),"")</f>
        <v/>
      </c>
      <c r="U250" s="145"/>
      <c r="V250" s="507" t="str">
        <f>IF(U250="","",IF(VLOOKUP(U250,'G-3 Multipliers'!$L$3:$N$6,2,FALSE)=0,"Spatial Data Missing ⚠",VLOOKUP(U250,'G-3 Multipliers'!$L$3:$N$6,2,FALSE)))</f>
        <v/>
      </c>
      <c r="W250" s="505"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5"/>
        <v/>
      </c>
      <c r="AD250" s="537" t="str">
        <f>IF(M250="","",VLOOKUP(M250,'G-6 Hedgerow Data'!$B$3:$AG$15,31,FALSE))</f>
        <v/>
      </c>
      <c r="AE250" s="520" t="str">
        <f t="shared" si="29"/>
        <v/>
      </c>
      <c r="AF250" s="520" t="str">
        <f t="shared" si="30"/>
        <v/>
      </c>
      <c r="AG250" s="524" t="str">
        <f>IFERROR(IF(O250="","",VLOOKUP(AD250,'G-3 Multipliers'!$P$3:$Q$6,2,FALSE)),"")</f>
        <v/>
      </c>
      <c r="AH250" s="197"/>
      <c r="AI250" s="499" t="str">
        <f>IF(AH250="","",IF(VLOOKUP(AH250,'G-3 Multipliers'!$S$3:$T$6,2,FALSE)=0,"Spatial Data Missing ⚠",VLOOKUP(AH250,'G-3 Multipliers'!$S$3:$T$6,2,FALSE)))</f>
        <v/>
      </c>
      <c r="AJ250" s="545" t="str">
        <f t="shared" si="31"/>
        <v/>
      </c>
      <c r="AK250" s="149"/>
      <c r="AL250" s="150"/>
      <c r="AP250" s="31" t="str">
        <f>IFERROR(INDEX('G-6 Hedgerow Data'!$BJ$3:$BJ$15,MATCH(M250,'G-6 Hedgerow Data'!$B$3:$B$15,0)),"")</f>
        <v/>
      </c>
    </row>
    <row r="251" spans="2:42" ht="13.8" x14ac:dyDescent="0.25">
      <c r="B251" s="531" t="str">
        <f>'E-1 Off Site Hedge Baseline'!AK249</f>
        <v/>
      </c>
      <c r="C251" s="520" t="str">
        <f>IF(B251="","",IF(ISNA(VLOOKUP($B251,'E-1 Off Site Hedge Baseline'!$B$1:$L$257,3,FALSE)),"",(VLOOKUP($B251,'E-1 Off Site Hedge Baseline'!$B$1:$L$257,3,FALSE))))</f>
        <v/>
      </c>
      <c r="D251" s="520" t="str">
        <f>IF(B251="","",IF(ISNA(VLOOKUP($B251,'E-1 Off Site Hedge Baseline'!$B$1:$L$258,4,FALSE)),"",(VLOOKUP($B251,'E-1 Off Site Hedge Baseline'!$B$1:$L$258,4,FALSE))))</f>
        <v/>
      </c>
      <c r="E251" s="520" t="str">
        <f>IF(B251="","",IF(ISNA(VLOOKUP($B251,'E-1 Off Site Hedge Baseline'!$B$1:$L$257,5,FALSE)),"",(VLOOKUP($B251,'E-1 Off Site Hedge Baseline'!$B$1:$L$257,5,FALSE))))</f>
        <v/>
      </c>
      <c r="F251" s="520" t="str">
        <f>IF(B251="","",IF(ISNA(VLOOKUP($B251,'E-1 Off Site Hedge Baseline'!$B$1:$L$257,6,FALSE)),"",(VLOOKUP($B251,'E-1 Off Site Hedge Baseline'!$B$1:$L$257,6,FALSE))))</f>
        <v/>
      </c>
      <c r="G251" s="520" t="str">
        <f>IF(B251="","",IF(ISNA(VLOOKUP($B251,'E-1 Off Site Hedge Baseline'!$B$1:$L$257,7,FALSE)),"",(VLOOKUP($B251,'E-1 Off Site Hedge Baseline'!$B$1:$L$257,7,FALSE))))</f>
        <v/>
      </c>
      <c r="H251" s="520" t="str">
        <f>IF(B251="","",IF(ISNA(VLOOKUP($B251,'E-1 Off Site Hedge Baseline'!$B$1:$L$257,8,FALSE)),"",(VLOOKUP($B251,'E-1 Off Site Hedge Baseline'!$B$1:$L$257,8,FALSE))))</f>
        <v/>
      </c>
      <c r="I251" s="520" t="str">
        <f>IF(B251="","",IF(ISNA(VLOOKUP($B251,'E-1 Off Site Hedge Baseline'!$B$1:$L$257,10,FALSE)),"",(VLOOKUP($B251,'E-1 Off Site Hedge Baseline'!$B$1:$L$257,10,FALSE))))</f>
        <v/>
      </c>
      <c r="J251" s="520" t="str">
        <f>IF(B251="","",IF(ISNA(VLOOKUP($B251,'E-1 Off Site Hedge Baseline'!$B$1:$L$257,11,FALSE)),"",(VLOOKUP($B251,'E-1 Off Site Hedge Baseline'!$B$1:$L$257,11,FALSE))))</f>
        <v/>
      </c>
      <c r="K251" s="520" t="str">
        <f>IF(B251="","",IF(ISNA(VLOOKUP($B251,'E-1 Off Site Hedge Baseline'!$B$1:$U$257,113,FALSE)),"",(VLOOKUP($B251,'E-1 Off Site Hedge Baseline'!$B$1:$U$257,13,FALSE))))</f>
        <v/>
      </c>
      <c r="L251" s="507" t="str">
        <f>IF(B251="","",IF(ISNA(VLOOKUP($B251,'E-1 Off Site Hedge Baseline'!$B$1:$U$257,12,FALSE)),"",(VLOOKUP($B251,'E-1 Off Site Hedge Baseline'!$B$1:$U$257,12,FALSE))))</f>
        <v/>
      </c>
      <c r="M251" s="418" t="str">
        <f t="shared" si="32"/>
        <v/>
      </c>
      <c r="N251" s="498" t="str">
        <f>IFERROR(IF(B251="","",INDEX('G-6 Hedgerow Data'!$AN$3:$AZ$15,MATCH(C251,'G-6 Hedgerow Data'!$AM$3:$AM$15,0),MATCH(M251,'G-6 Hedgerow Data'!$AN$2:$AZ$2,0))),"")</f>
        <v/>
      </c>
      <c r="O251" s="499" t="str">
        <f t="shared" si="26"/>
        <v/>
      </c>
      <c r="P251" s="505" t="str">
        <f>IF(B251="","",VLOOKUP(B251,'E-1 Off Site Hedge Baseline'!$B$10:T496,16,FALSE))</f>
        <v/>
      </c>
      <c r="Q251" s="498" t="str">
        <f>IF(M251="","",VLOOKUP(M251,'G-6 Hedgerow Data'!$B$2:$AG$15,2,FALSE))</f>
        <v/>
      </c>
      <c r="R251" s="499" t="str">
        <f>IF(M251="","",VLOOKUP(M251,'G-6 Hedgerow Data'!$B$2:$AG$15,3,FALSE))</f>
        <v/>
      </c>
      <c r="S251" s="145"/>
      <c r="T251" s="499" t="str">
        <f>IFERROR(IF(AND(Q251="V.Low",OR(S251="Good",S251="Moderate")),"Error ▲",VLOOKUP(S251,'G-1 All Habitats'!$Z$2:$AA$9,2,FALSE)),"")</f>
        <v/>
      </c>
      <c r="U251" s="145"/>
      <c r="V251" s="507" t="str">
        <f>IF(U251="","",IF(VLOOKUP(U251,'G-3 Multipliers'!$L$3:$N$6,2,FALSE)=0,"Spatial Data Missing ⚠",VLOOKUP(U251,'G-3 Multipliers'!$L$3:$N$6,2,FALSE)))</f>
        <v/>
      </c>
      <c r="W251" s="505"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5"/>
        <v/>
      </c>
      <c r="AD251" s="537" t="str">
        <f>IF(M251="","",VLOOKUP(M251,'G-6 Hedgerow Data'!$B$3:$AG$15,31,FALSE))</f>
        <v/>
      </c>
      <c r="AE251" s="520" t="str">
        <f t="shared" si="29"/>
        <v/>
      </c>
      <c r="AF251" s="520" t="str">
        <f t="shared" si="30"/>
        <v/>
      </c>
      <c r="AG251" s="524" t="str">
        <f>IFERROR(IF(O251="","",VLOOKUP(AD251,'G-3 Multipliers'!$P$3:$Q$6,2,FALSE)),"")</f>
        <v/>
      </c>
      <c r="AH251" s="197"/>
      <c r="AI251" s="499" t="str">
        <f>IF(AH251="","",IF(VLOOKUP(AH251,'G-3 Multipliers'!$S$3:$T$6,2,FALSE)=0,"Spatial Data Missing ⚠",VLOOKUP(AH251,'G-3 Multipliers'!$S$3:$T$6,2,FALSE)))</f>
        <v/>
      </c>
      <c r="AJ251" s="545" t="str">
        <f t="shared" si="31"/>
        <v/>
      </c>
      <c r="AK251" s="149"/>
      <c r="AL251" s="150"/>
      <c r="AP251" s="31" t="str">
        <f>IFERROR(INDEX('G-6 Hedgerow Data'!$BJ$3:$BJ$15,MATCH(M251,'G-6 Hedgerow Data'!$B$3:$B$15,0)),"")</f>
        <v/>
      </c>
    </row>
    <row r="252" spans="2:42" ht="13.8" x14ac:dyDescent="0.25">
      <c r="B252" s="531" t="str">
        <f>'E-1 Off Site Hedge Baseline'!AK250</f>
        <v/>
      </c>
      <c r="C252" s="520" t="str">
        <f>IF(B252="","",IF(ISNA(VLOOKUP($B252,'E-1 Off Site Hedge Baseline'!$B$1:$L$257,3,FALSE)),"",(VLOOKUP($B252,'E-1 Off Site Hedge Baseline'!$B$1:$L$257,3,FALSE))))</f>
        <v/>
      </c>
      <c r="D252" s="520" t="str">
        <f>IF(B252="","",IF(ISNA(VLOOKUP($B252,'E-1 Off Site Hedge Baseline'!$B$1:$L$258,4,FALSE)),"",(VLOOKUP($B252,'E-1 Off Site Hedge Baseline'!$B$1:$L$258,4,FALSE))))</f>
        <v/>
      </c>
      <c r="E252" s="520" t="str">
        <f>IF(B252="","",IF(ISNA(VLOOKUP($B252,'E-1 Off Site Hedge Baseline'!$B$1:$L$257,5,FALSE)),"",(VLOOKUP($B252,'E-1 Off Site Hedge Baseline'!$B$1:$L$257,5,FALSE))))</f>
        <v/>
      </c>
      <c r="F252" s="520" t="str">
        <f>IF(B252="","",IF(ISNA(VLOOKUP($B252,'E-1 Off Site Hedge Baseline'!$B$1:$L$257,6,FALSE)),"",(VLOOKUP($B252,'E-1 Off Site Hedge Baseline'!$B$1:$L$257,6,FALSE))))</f>
        <v/>
      </c>
      <c r="G252" s="520" t="str">
        <f>IF(B252="","",IF(ISNA(VLOOKUP($B252,'E-1 Off Site Hedge Baseline'!$B$1:$L$257,7,FALSE)),"",(VLOOKUP($B252,'E-1 Off Site Hedge Baseline'!$B$1:$L$257,7,FALSE))))</f>
        <v/>
      </c>
      <c r="H252" s="520" t="str">
        <f>IF(B252="","",IF(ISNA(VLOOKUP($B252,'E-1 Off Site Hedge Baseline'!$B$1:$L$257,8,FALSE)),"",(VLOOKUP($B252,'E-1 Off Site Hedge Baseline'!$B$1:$L$257,8,FALSE))))</f>
        <v/>
      </c>
      <c r="I252" s="520" t="str">
        <f>IF(B252="","",IF(ISNA(VLOOKUP($B252,'E-1 Off Site Hedge Baseline'!$B$1:$L$257,10,FALSE)),"",(VLOOKUP($B252,'E-1 Off Site Hedge Baseline'!$B$1:$L$257,10,FALSE))))</f>
        <v/>
      </c>
      <c r="J252" s="520" t="str">
        <f>IF(B252="","",IF(ISNA(VLOOKUP($B252,'E-1 Off Site Hedge Baseline'!$B$1:$L$257,11,FALSE)),"",(VLOOKUP($B252,'E-1 Off Site Hedge Baseline'!$B$1:$L$257,11,FALSE))))</f>
        <v/>
      </c>
      <c r="K252" s="520" t="str">
        <f>IF(B252="","",IF(ISNA(VLOOKUP($B252,'E-1 Off Site Hedge Baseline'!$B$1:$U$257,113,FALSE)),"",(VLOOKUP($B252,'E-1 Off Site Hedge Baseline'!$B$1:$U$257,13,FALSE))))</f>
        <v/>
      </c>
      <c r="L252" s="507" t="str">
        <f>IF(B252="","",IF(ISNA(VLOOKUP($B252,'E-1 Off Site Hedge Baseline'!$B$1:$U$257,12,FALSE)),"",(VLOOKUP($B252,'E-1 Off Site Hedge Baseline'!$B$1:$U$257,12,FALSE))))</f>
        <v/>
      </c>
      <c r="M252" s="418" t="str">
        <f t="shared" si="32"/>
        <v/>
      </c>
      <c r="N252" s="498" t="str">
        <f>IFERROR(IF(B252="","",INDEX('G-6 Hedgerow Data'!$AN$3:$AZ$15,MATCH(C252,'G-6 Hedgerow Data'!$AM$3:$AM$15,0),MATCH(M252,'G-6 Hedgerow Data'!$AN$2:$AZ$2,0))),"")</f>
        <v/>
      </c>
      <c r="O252" s="499" t="str">
        <f t="shared" si="26"/>
        <v/>
      </c>
      <c r="P252" s="505" t="str">
        <f>IF(B252="","",VLOOKUP(B252,'E-1 Off Site Hedge Baseline'!$B$10:T497,16,FALSE))</f>
        <v/>
      </c>
      <c r="Q252" s="498" t="str">
        <f>IF(M252="","",VLOOKUP(M252,'G-6 Hedgerow Data'!$B$2:$AG$15,2,FALSE))</f>
        <v/>
      </c>
      <c r="R252" s="499" t="str">
        <f>IF(M252="","",VLOOKUP(M252,'G-6 Hedgerow Data'!$B$2:$AG$15,3,FALSE))</f>
        <v/>
      </c>
      <c r="S252" s="145"/>
      <c r="T252" s="499" t="str">
        <f>IFERROR(IF(AND(Q252="V.Low",OR(S252="Good",S252="Moderate")),"Error ▲",VLOOKUP(S252,'G-1 All Habitats'!$Z$2:$AA$9,2,FALSE)),"")</f>
        <v/>
      </c>
      <c r="U252" s="145"/>
      <c r="V252" s="507" t="str">
        <f>IF(U252="","",IF(VLOOKUP(U252,'G-3 Multipliers'!$L$3:$N$6,2,FALSE)=0,"Spatial Data Missing ⚠",VLOOKUP(U252,'G-3 Multipliers'!$L$3:$N$6,2,FALSE)))</f>
        <v/>
      </c>
      <c r="W252" s="505"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5"/>
        <v/>
      </c>
      <c r="AD252" s="537" t="str">
        <f>IF(M252="","",VLOOKUP(M252,'G-6 Hedgerow Data'!$B$3:$AG$15,31,FALSE))</f>
        <v/>
      </c>
      <c r="AE252" s="520" t="str">
        <f t="shared" si="29"/>
        <v/>
      </c>
      <c r="AF252" s="520" t="str">
        <f t="shared" si="30"/>
        <v/>
      </c>
      <c r="AG252" s="524" t="str">
        <f>IFERROR(IF(O252="","",VLOOKUP(AD252,'G-3 Multipliers'!$P$3:$Q$6,2,FALSE)),"")</f>
        <v/>
      </c>
      <c r="AH252" s="197"/>
      <c r="AI252" s="499" t="str">
        <f>IF(AH252="","",IF(VLOOKUP(AH252,'G-3 Multipliers'!$S$3:$T$6,2,FALSE)=0,"Spatial Data Missing ⚠",VLOOKUP(AH252,'G-3 Multipliers'!$S$3:$T$6,2,FALSE)))</f>
        <v/>
      </c>
      <c r="AJ252" s="545" t="str">
        <f t="shared" si="31"/>
        <v/>
      </c>
      <c r="AK252" s="149"/>
      <c r="AL252" s="150"/>
      <c r="AP252" s="31" t="str">
        <f>IFERROR(INDEX('G-6 Hedgerow Data'!$BJ$3:$BJ$15,MATCH(M252,'G-6 Hedgerow Data'!$B$3:$B$15,0)),"")</f>
        <v/>
      </c>
    </row>
    <row r="253" spans="2:42" ht="13.8" x14ac:dyDescent="0.25">
      <c r="B253" s="531" t="str">
        <f>'E-1 Off Site Hedge Baseline'!AK251</f>
        <v/>
      </c>
      <c r="C253" s="520" t="str">
        <f>IF(B253="","",IF(ISNA(VLOOKUP($B253,'E-1 Off Site Hedge Baseline'!$B$1:$L$257,3,FALSE)),"",(VLOOKUP($B253,'E-1 Off Site Hedge Baseline'!$B$1:$L$257,3,FALSE))))</f>
        <v/>
      </c>
      <c r="D253" s="520" t="str">
        <f>IF(B253="","",IF(ISNA(VLOOKUP($B253,'E-1 Off Site Hedge Baseline'!$B$1:$L$258,4,FALSE)),"",(VLOOKUP($B253,'E-1 Off Site Hedge Baseline'!$B$1:$L$258,4,FALSE))))</f>
        <v/>
      </c>
      <c r="E253" s="520" t="str">
        <f>IF(B253="","",IF(ISNA(VLOOKUP($B253,'E-1 Off Site Hedge Baseline'!$B$1:$L$257,5,FALSE)),"",(VLOOKUP($B253,'E-1 Off Site Hedge Baseline'!$B$1:$L$257,5,FALSE))))</f>
        <v/>
      </c>
      <c r="F253" s="520" t="str">
        <f>IF(B253="","",IF(ISNA(VLOOKUP($B253,'E-1 Off Site Hedge Baseline'!$B$1:$L$257,6,FALSE)),"",(VLOOKUP($B253,'E-1 Off Site Hedge Baseline'!$B$1:$L$257,6,FALSE))))</f>
        <v/>
      </c>
      <c r="G253" s="520" t="str">
        <f>IF(B253="","",IF(ISNA(VLOOKUP($B253,'E-1 Off Site Hedge Baseline'!$B$1:$L$257,7,FALSE)),"",(VLOOKUP($B253,'E-1 Off Site Hedge Baseline'!$B$1:$L$257,7,FALSE))))</f>
        <v/>
      </c>
      <c r="H253" s="520" t="str">
        <f>IF(B253="","",IF(ISNA(VLOOKUP($B253,'E-1 Off Site Hedge Baseline'!$B$1:$L$257,8,FALSE)),"",(VLOOKUP($B253,'E-1 Off Site Hedge Baseline'!$B$1:$L$257,8,FALSE))))</f>
        <v/>
      </c>
      <c r="I253" s="520" t="str">
        <f>IF(B253="","",IF(ISNA(VLOOKUP($B253,'E-1 Off Site Hedge Baseline'!$B$1:$L$257,10,FALSE)),"",(VLOOKUP($B253,'E-1 Off Site Hedge Baseline'!$B$1:$L$257,10,FALSE))))</f>
        <v/>
      </c>
      <c r="J253" s="520" t="str">
        <f>IF(B253="","",IF(ISNA(VLOOKUP($B253,'E-1 Off Site Hedge Baseline'!$B$1:$L$257,11,FALSE)),"",(VLOOKUP($B253,'E-1 Off Site Hedge Baseline'!$B$1:$L$257,11,FALSE))))</f>
        <v/>
      </c>
      <c r="K253" s="520" t="str">
        <f>IF(B253="","",IF(ISNA(VLOOKUP($B253,'E-1 Off Site Hedge Baseline'!$B$1:$U$257,113,FALSE)),"",(VLOOKUP($B253,'E-1 Off Site Hedge Baseline'!$B$1:$U$257,13,FALSE))))</f>
        <v/>
      </c>
      <c r="L253" s="507" t="str">
        <f>IF(B253="","",IF(ISNA(VLOOKUP($B253,'E-1 Off Site Hedge Baseline'!$B$1:$U$257,12,FALSE)),"",(VLOOKUP($B253,'E-1 Off Site Hedge Baseline'!$B$1:$U$257,12,FALSE))))</f>
        <v/>
      </c>
      <c r="M253" s="418" t="str">
        <f t="shared" si="32"/>
        <v/>
      </c>
      <c r="N253" s="498" t="str">
        <f>IFERROR(IF(B253="","",INDEX('G-6 Hedgerow Data'!$AN$3:$AZ$15,MATCH(C253,'G-6 Hedgerow Data'!$AM$3:$AM$15,0),MATCH(M253,'G-6 Hedgerow Data'!$AN$2:$AZ$2,0))),"")</f>
        <v/>
      </c>
      <c r="O253" s="499" t="str">
        <f t="shared" si="26"/>
        <v/>
      </c>
      <c r="P253" s="505" t="str">
        <f>IF(B253="","",VLOOKUP(B253,'E-1 Off Site Hedge Baseline'!$B$10:T498,16,FALSE))</f>
        <v/>
      </c>
      <c r="Q253" s="498" t="str">
        <f>IF(M253="","",VLOOKUP(M253,'G-6 Hedgerow Data'!$B$2:$AG$15,2,FALSE))</f>
        <v/>
      </c>
      <c r="R253" s="499" t="str">
        <f>IF(M253="","",VLOOKUP(M253,'G-6 Hedgerow Data'!$B$2:$AG$15,3,FALSE))</f>
        <v/>
      </c>
      <c r="S253" s="145"/>
      <c r="T253" s="499" t="str">
        <f>IFERROR(IF(AND(Q253="V.Low",OR(S253="Good",S253="Moderate")),"Error ▲",VLOOKUP(S253,'G-1 All Habitats'!$Z$2:$AA$9,2,FALSE)),"")</f>
        <v/>
      </c>
      <c r="U253" s="145"/>
      <c r="V253" s="507" t="str">
        <f>IF(U253="","",IF(VLOOKUP(U253,'G-3 Multipliers'!$L$3:$N$6,2,FALSE)=0,"Spatial Data Missing ⚠",VLOOKUP(U253,'G-3 Multipliers'!$L$3:$N$6,2,FALSE)))</f>
        <v/>
      </c>
      <c r="W253" s="505"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5"/>
        <v/>
      </c>
      <c r="AD253" s="537" t="str">
        <f>IF(M253="","",VLOOKUP(M253,'G-6 Hedgerow Data'!$B$3:$AG$15,31,FALSE))</f>
        <v/>
      </c>
      <c r="AE253" s="520" t="str">
        <f t="shared" si="29"/>
        <v/>
      </c>
      <c r="AF253" s="520" t="str">
        <f t="shared" si="30"/>
        <v/>
      </c>
      <c r="AG253" s="524" t="str">
        <f>IFERROR(IF(O253="","",VLOOKUP(AD253,'G-3 Multipliers'!$P$3:$Q$6,2,FALSE)),"")</f>
        <v/>
      </c>
      <c r="AH253" s="197"/>
      <c r="AI253" s="499" t="str">
        <f>IF(AH253="","",IF(VLOOKUP(AH253,'G-3 Multipliers'!$S$3:$T$6,2,FALSE)=0,"Spatial Data Missing ⚠",VLOOKUP(AH253,'G-3 Multipliers'!$S$3:$T$6,2,FALSE)))</f>
        <v/>
      </c>
      <c r="AJ253" s="545" t="str">
        <f t="shared" si="31"/>
        <v/>
      </c>
      <c r="AK253" s="149"/>
      <c r="AL253" s="150"/>
      <c r="AP253" s="31" t="str">
        <f>IFERROR(INDEX('G-6 Hedgerow Data'!$BJ$3:$BJ$15,MATCH(M253,'G-6 Hedgerow Data'!$B$3:$B$15,0)),"")</f>
        <v/>
      </c>
    </row>
    <row r="254" spans="2:42" ht="13.8" x14ac:dyDescent="0.25">
      <c r="B254" s="531" t="str">
        <f>'E-1 Off Site Hedge Baseline'!AK252</f>
        <v/>
      </c>
      <c r="C254" s="520" t="str">
        <f>IF(B254="","",IF(ISNA(VLOOKUP($B254,'E-1 Off Site Hedge Baseline'!$B$1:$L$257,3,FALSE)),"",(VLOOKUP($B254,'E-1 Off Site Hedge Baseline'!$B$1:$L$257,3,FALSE))))</f>
        <v/>
      </c>
      <c r="D254" s="520" t="str">
        <f>IF(B254="","",IF(ISNA(VLOOKUP($B254,'E-1 Off Site Hedge Baseline'!$B$1:$L$258,4,FALSE)),"",(VLOOKUP($B254,'E-1 Off Site Hedge Baseline'!$B$1:$L$258,4,FALSE))))</f>
        <v/>
      </c>
      <c r="E254" s="520" t="str">
        <f>IF(B254="","",IF(ISNA(VLOOKUP($B254,'E-1 Off Site Hedge Baseline'!$B$1:$L$257,5,FALSE)),"",(VLOOKUP($B254,'E-1 Off Site Hedge Baseline'!$B$1:$L$257,5,FALSE))))</f>
        <v/>
      </c>
      <c r="F254" s="520" t="str">
        <f>IF(B254="","",IF(ISNA(VLOOKUP($B254,'E-1 Off Site Hedge Baseline'!$B$1:$L$257,6,FALSE)),"",(VLOOKUP($B254,'E-1 Off Site Hedge Baseline'!$B$1:$L$257,6,FALSE))))</f>
        <v/>
      </c>
      <c r="G254" s="520" t="str">
        <f>IF(B254="","",IF(ISNA(VLOOKUP($B254,'E-1 Off Site Hedge Baseline'!$B$1:$L$257,7,FALSE)),"",(VLOOKUP($B254,'E-1 Off Site Hedge Baseline'!$B$1:$L$257,7,FALSE))))</f>
        <v/>
      </c>
      <c r="H254" s="520" t="str">
        <f>IF(B254="","",IF(ISNA(VLOOKUP($B254,'E-1 Off Site Hedge Baseline'!$B$1:$L$257,8,FALSE)),"",(VLOOKUP($B254,'E-1 Off Site Hedge Baseline'!$B$1:$L$257,8,FALSE))))</f>
        <v/>
      </c>
      <c r="I254" s="520" t="str">
        <f>IF(B254="","",IF(ISNA(VLOOKUP($B254,'E-1 Off Site Hedge Baseline'!$B$1:$L$257,10,FALSE)),"",(VLOOKUP($B254,'E-1 Off Site Hedge Baseline'!$B$1:$L$257,10,FALSE))))</f>
        <v/>
      </c>
      <c r="J254" s="520" t="str">
        <f>IF(B254="","",IF(ISNA(VLOOKUP($B254,'E-1 Off Site Hedge Baseline'!$B$1:$L$257,11,FALSE)),"",(VLOOKUP($B254,'E-1 Off Site Hedge Baseline'!$B$1:$L$257,11,FALSE))))</f>
        <v/>
      </c>
      <c r="K254" s="520" t="str">
        <f>IF(B254="","",IF(ISNA(VLOOKUP($B254,'E-1 Off Site Hedge Baseline'!$B$1:$U$257,113,FALSE)),"",(VLOOKUP($B254,'E-1 Off Site Hedge Baseline'!$B$1:$U$257,13,FALSE))))</f>
        <v/>
      </c>
      <c r="L254" s="507" t="str">
        <f>IF(B254="","",IF(ISNA(VLOOKUP($B254,'E-1 Off Site Hedge Baseline'!$B$1:$U$257,12,FALSE)),"",(VLOOKUP($B254,'E-1 Off Site Hedge Baseline'!$B$1:$U$257,12,FALSE))))</f>
        <v/>
      </c>
      <c r="M254" s="418" t="str">
        <f t="shared" si="32"/>
        <v/>
      </c>
      <c r="N254" s="498" t="str">
        <f>IFERROR(IF(B254="","",INDEX('G-6 Hedgerow Data'!$AN$3:$AZ$15,MATCH(C254,'G-6 Hedgerow Data'!$AM$3:$AM$15,0),MATCH(M254,'G-6 Hedgerow Data'!$AN$2:$AZ$2,0))),"")</f>
        <v/>
      </c>
      <c r="O254" s="499" t="str">
        <f t="shared" si="26"/>
        <v/>
      </c>
      <c r="P254" s="505" t="str">
        <f>IF(B254="","",VLOOKUP(B254,'E-1 Off Site Hedge Baseline'!$B$10:T499,16,FALSE))</f>
        <v/>
      </c>
      <c r="Q254" s="498" t="str">
        <f>IF(M254="","",VLOOKUP(M254,'G-6 Hedgerow Data'!$B$2:$AG$15,2,FALSE))</f>
        <v/>
      </c>
      <c r="R254" s="499" t="str">
        <f>IF(M254="","",VLOOKUP(M254,'G-6 Hedgerow Data'!$B$2:$AG$15,3,FALSE))</f>
        <v/>
      </c>
      <c r="S254" s="145"/>
      <c r="T254" s="499" t="str">
        <f>IFERROR(IF(AND(Q254="V.Low",OR(S254="Good",S254="Moderate")),"Error ▲",VLOOKUP(S254,'G-1 All Habitats'!$Z$2:$AA$9,2,FALSE)),"")</f>
        <v/>
      </c>
      <c r="U254" s="145"/>
      <c r="V254" s="507" t="str">
        <f>IF(U254="","",IF(VLOOKUP(U254,'G-3 Multipliers'!$L$3:$N$6,2,FALSE)=0,"Spatial Data Missing ⚠",VLOOKUP(U254,'G-3 Multipliers'!$L$3:$N$6,2,FALSE)))</f>
        <v/>
      </c>
      <c r="W254" s="505"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5"/>
        <v/>
      </c>
      <c r="AD254" s="537" t="str">
        <f>IF(M254="","",VLOOKUP(M254,'G-6 Hedgerow Data'!$B$3:$AG$15,31,FALSE))</f>
        <v/>
      </c>
      <c r="AE254" s="520" t="str">
        <f t="shared" si="29"/>
        <v/>
      </c>
      <c r="AF254" s="520" t="str">
        <f t="shared" si="30"/>
        <v/>
      </c>
      <c r="AG254" s="524" t="str">
        <f>IFERROR(IF(O254="","",VLOOKUP(AD254,'G-3 Multipliers'!$P$3:$Q$6,2,FALSE)),"")</f>
        <v/>
      </c>
      <c r="AH254" s="197"/>
      <c r="AI254" s="499" t="str">
        <f>IF(AH254="","",IF(VLOOKUP(AH254,'G-3 Multipliers'!$S$3:$T$6,2,FALSE)=0,"Spatial Data Missing ⚠",VLOOKUP(AH254,'G-3 Multipliers'!$S$3:$T$6,2,FALSE)))</f>
        <v/>
      </c>
      <c r="AJ254" s="545" t="str">
        <f t="shared" si="31"/>
        <v/>
      </c>
      <c r="AK254" s="149"/>
      <c r="AL254" s="150"/>
      <c r="AP254" s="31" t="str">
        <f>IFERROR(INDEX('G-6 Hedgerow Data'!$BJ$3:$BJ$15,MATCH(M254,'G-6 Hedgerow Data'!$B$3:$B$15,0)),"")</f>
        <v/>
      </c>
    </row>
    <row r="255" spans="2:42" ht="13.8" x14ac:dyDescent="0.25">
      <c r="B255" s="531" t="str">
        <f>'E-1 Off Site Hedge Baseline'!AK253</f>
        <v/>
      </c>
      <c r="C255" s="520" t="str">
        <f>IF(B255="","",IF(ISNA(VLOOKUP($B255,'E-1 Off Site Hedge Baseline'!$B$1:$L$257,3,FALSE)),"",(VLOOKUP($B255,'E-1 Off Site Hedge Baseline'!$B$1:$L$257,3,FALSE))))</f>
        <v/>
      </c>
      <c r="D255" s="520" t="str">
        <f>IF(B255="","",IF(ISNA(VLOOKUP($B255,'E-1 Off Site Hedge Baseline'!$B$1:$L$258,4,FALSE)),"",(VLOOKUP($B255,'E-1 Off Site Hedge Baseline'!$B$1:$L$258,4,FALSE))))</f>
        <v/>
      </c>
      <c r="E255" s="520" t="str">
        <f>IF(B255="","",IF(ISNA(VLOOKUP($B255,'E-1 Off Site Hedge Baseline'!$B$1:$L$257,5,FALSE)),"",(VLOOKUP($B255,'E-1 Off Site Hedge Baseline'!$B$1:$L$257,5,FALSE))))</f>
        <v/>
      </c>
      <c r="F255" s="520" t="str">
        <f>IF(B255="","",IF(ISNA(VLOOKUP($B255,'E-1 Off Site Hedge Baseline'!$B$1:$L$257,6,FALSE)),"",(VLOOKUP($B255,'E-1 Off Site Hedge Baseline'!$B$1:$L$257,6,FALSE))))</f>
        <v/>
      </c>
      <c r="G255" s="520" t="str">
        <f>IF(B255="","",IF(ISNA(VLOOKUP($B255,'E-1 Off Site Hedge Baseline'!$B$1:$L$257,7,FALSE)),"",(VLOOKUP($B255,'E-1 Off Site Hedge Baseline'!$B$1:$L$257,7,FALSE))))</f>
        <v/>
      </c>
      <c r="H255" s="520" t="str">
        <f>IF(B255="","",IF(ISNA(VLOOKUP($B255,'E-1 Off Site Hedge Baseline'!$B$1:$L$257,8,FALSE)),"",(VLOOKUP($B255,'E-1 Off Site Hedge Baseline'!$B$1:$L$257,8,FALSE))))</f>
        <v/>
      </c>
      <c r="I255" s="520" t="str">
        <f>IF(B255="","",IF(ISNA(VLOOKUP($B255,'E-1 Off Site Hedge Baseline'!$B$1:$L$257,10,FALSE)),"",(VLOOKUP($B255,'E-1 Off Site Hedge Baseline'!$B$1:$L$257,10,FALSE))))</f>
        <v/>
      </c>
      <c r="J255" s="520" t="str">
        <f>IF(B255="","",IF(ISNA(VLOOKUP($B255,'E-1 Off Site Hedge Baseline'!$B$1:$L$257,11,FALSE)),"",(VLOOKUP($B255,'E-1 Off Site Hedge Baseline'!$B$1:$L$257,11,FALSE))))</f>
        <v/>
      </c>
      <c r="K255" s="520" t="str">
        <f>IF(B255="","",IF(ISNA(VLOOKUP($B255,'E-1 Off Site Hedge Baseline'!$B$1:$U$257,113,FALSE)),"",(VLOOKUP($B255,'E-1 Off Site Hedge Baseline'!$B$1:$U$257,13,FALSE))))</f>
        <v/>
      </c>
      <c r="L255" s="507" t="str">
        <f>IF(B255="","",IF(ISNA(VLOOKUP($B255,'E-1 Off Site Hedge Baseline'!$B$1:$U$257,12,FALSE)),"",(VLOOKUP($B255,'E-1 Off Site Hedge Baseline'!$B$1:$U$257,12,FALSE))))</f>
        <v/>
      </c>
      <c r="M255" s="418" t="str">
        <f t="shared" si="32"/>
        <v/>
      </c>
      <c r="N255" s="498" t="str">
        <f>IFERROR(IF(B255="","",INDEX('G-6 Hedgerow Data'!$AN$3:$AZ$15,MATCH(C255,'G-6 Hedgerow Data'!$AM$3:$AM$15,0),MATCH(M255,'G-6 Hedgerow Data'!$AN$2:$AZ$2,0))),"")</f>
        <v/>
      </c>
      <c r="O255" s="499" t="str">
        <f t="shared" si="26"/>
        <v/>
      </c>
      <c r="P255" s="505" t="str">
        <f>IF(B255="","",VLOOKUP(B255,'E-1 Off Site Hedge Baseline'!$B$10:T500,16,FALSE))</f>
        <v/>
      </c>
      <c r="Q255" s="498" t="str">
        <f>IF(M255="","",VLOOKUP(M255,'G-6 Hedgerow Data'!$B$2:$AG$15,2,FALSE))</f>
        <v/>
      </c>
      <c r="R255" s="499" t="str">
        <f>IF(M255="","",VLOOKUP(M255,'G-6 Hedgerow Data'!$B$2:$AG$15,3,FALSE))</f>
        <v/>
      </c>
      <c r="S255" s="145"/>
      <c r="T255" s="499" t="str">
        <f>IFERROR(IF(AND(Q255="V.Low",OR(S255="Good",S255="Moderate")),"Error ▲",VLOOKUP(S255,'G-1 All Habitats'!$Z$2:$AA$9,2,FALSE)),"")</f>
        <v/>
      </c>
      <c r="U255" s="145"/>
      <c r="V255" s="507" t="str">
        <f>IF(U255="","",IF(VLOOKUP(U255,'G-3 Multipliers'!$L$3:$N$6,2,FALSE)=0,"Spatial Data Missing ⚠",VLOOKUP(U255,'G-3 Multipliers'!$L$3:$N$6,2,FALSE)))</f>
        <v/>
      </c>
      <c r="W255" s="505"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5"/>
        <v/>
      </c>
      <c r="AD255" s="537" t="str">
        <f>IF(M255="","",VLOOKUP(M255,'G-6 Hedgerow Data'!$B$3:$AG$15,31,FALSE))</f>
        <v/>
      </c>
      <c r="AE255" s="520" t="str">
        <f t="shared" si="29"/>
        <v/>
      </c>
      <c r="AF255" s="520" t="str">
        <f t="shared" si="30"/>
        <v/>
      </c>
      <c r="AG255" s="524" t="str">
        <f>IFERROR(IF(O255="","",VLOOKUP(AD255,'G-3 Multipliers'!$P$3:$Q$6,2,FALSE)),"")</f>
        <v/>
      </c>
      <c r="AH255" s="197"/>
      <c r="AI255" s="499" t="str">
        <f>IF(AH255="","",IF(VLOOKUP(AH255,'G-3 Multipliers'!$S$3:$T$6,2,FALSE)=0,"Spatial Data Missing ⚠",VLOOKUP(AH255,'G-3 Multipliers'!$S$3:$T$6,2,FALSE)))</f>
        <v/>
      </c>
      <c r="AJ255" s="545" t="str">
        <f t="shared" si="31"/>
        <v/>
      </c>
      <c r="AK255" s="149"/>
      <c r="AL255" s="150"/>
      <c r="AP255" s="31" t="str">
        <f>IFERROR(INDEX('G-6 Hedgerow Data'!$BJ$3:$BJ$15,MATCH(M255,'G-6 Hedgerow Data'!$B$3:$B$15,0)),"")</f>
        <v/>
      </c>
    </row>
    <row r="256" spans="2:42" ht="13.8" x14ac:dyDescent="0.25">
      <c r="B256" s="531" t="str">
        <f>'E-1 Off Site Hedge Baseline'!AK254</f>
        <v/>
      </c>
      <c r="C256" s="520" t="str">
        <f>IF(B256="","",IF(ISNA(VLOOKUP($B256,'E-1 Off Site Hedge Baseline'!$B$1:$L$257,3,FALSE)),"",(VLOOKUP($B256,'E-1 Off Site Hedge Baseline'!$B$1:$L$257,3,FALSE))))</f>
        <v/>
      </c>
      <c r="D256" s="520" t="str">
        <f>IF(B256="","",IF(ISNA(VLOOKUP($B256,'E-1 Off Site Hedge Baseline'!$B$1:$L$258,4,FALSE)),"",(VLOOKUP($B256,'E-1 Off Site Hedge Baseline'!$B$1:$L$258,4,FALSE))))</f>
        <v/>
      </c>
      <c r="E256" s="520" t="str">
        <f>IF(B256="","",IF(ISNA(VLOOKUP($B256,'E-1 Off Site Hedge Baseline'!$B$1:$L$257,5,FALSE)),"",(VLOOKUP($B256,'E-1 Off Site Hedge Baseline'!$B$1:$L$257,5,FALSE))))</f>
        <v/>
      </c>
      <c r="F256" s="520" t="str">
        <f>IF(B256="","",IF(ISNA(VLOOKUP($B256,'E-1 Off Site Hedge Baseline'!$B$1:$L$257,6,FALSE)),"",(VLOOKUP($B256,'E-1 Off Site Hedge Baseline'!$B$1:$L$257,6,FALSE))))</f>
        <v/>
      </c>
      <c r="G256" s="520" t="str">
        <f>IF(B256="","",IF(ISNA(VLOOKUP($B256,'E-1 Off Site Hedge Baseline'!$B$1:$L$257,7,FALSE)),"",(VLOOKUP($B256,'E-1 Off Site Hedge Baseline'!$B$1:$L$257,7,FALSE))))</f>
        <v/>
      </c>
      <c r="H256" s="520" t="str">
        <f>IF(B256="","",IF(ISNA(VLOOKUP($B256,'E-1 Off Site Hedge Baseline'!$B$1:$L$257,8,FALSE)),"",(VLOOKUP($B256,'E-1 Off Site Hedge Baseline'!$B$1:$L$257,8,FALSE))))</f>
        <v/>
      </c>
      <c r="I256" s="520" t="str">
        <f>IF(B256="","",IF(ISNA(VLOOKUP($B256,'E-1 Off Site Hedge Baseline'!$B$1:$L$257,10,FALSE)),"",(VLOOKUP($B256,'E-1 Off Site Hedge Baseline'!$B$1:$L$257,10,FALSE))))</f>
        <v/>
      </c>
      <c r="J256" s="520" t="str">
        <f>IF(B256="","",IF(ISNA(VLOOKUP($B256,'E-1 Off Site Hedge Baseline'!$B$1:$L$257,11,FALSE)),"",(VLOOKUP($B256,'E-1 Off Site Hedge Baseline'!$B$1:$L$257,11,FALSE))))</f>
        <v/>
      </c>
      <c r="K256" s="520" t="str">
        <f>IF(B256="","",IF(ISNA(VLOOKUP($B256,'E-1 Off Site Hedge Baseline'!$B$1:$U$257,113,FALSE)),"",(VLOOKUP($B256,'E-1 Off Site Hedge Baseline'!$B$1:$U$257,13,FALSE))))</f>
        <v/>
      </c>
      <c r="L256" s="507" t="str">
        <f>IF(B256="","",IF(ISNA(VLOOKUP($B256,'E-1 Off Site Hedge Baseline'!$B$1:$U$257,12,FALSE)),"",(VLOOKUP($B256,'E-1 Off Site Hedge Baseline'!$B$1:$U$257,12,FALSE))))</f>
        <v/>
      </c>
      <c r="M256" s="418" t="str">
        <f t="shared" si="32"/>
        <v/>
      </c>
      <c r="N256" s="498" t="str">
        <f>IFERROR(IF(B256="","",INDEX('G-6 Hedgerow Data'!$AN$3:$AZ$15,MATCH(C256,'G-6 Hedgerow Data'!$AM$3:$AM$15,0),MATCH(M256,'G-6 Hedgerow Data'!$AN$2:$AZ$2,0))),"")</f>
        <v/>
      </c>
      <c r="O256" s="499" t="str">
        <f t="shared" si="26"/>
        <v/>
      </c>
      <c r="P256" s="505" t="str">
        <f>IF(B256="","",VLOOKUP(B256,'E-1 Off Site Hedge Baseline'!$B$10:T501,16,FALSE))</f>
        <v/>
      </c>
      <c r="Q256" s="498" t="str">
        <f>IF(M256="","",VLOOKUP(M256,'G-6 Hedgerow Data'!$B$2:$AG$15,2,FALSE))</f>
        <v/>
      </c>
      <c r="R256" s="499" t="str">
        <f>IF(M256="","",VLOOKUP(M256,'G-6 Hedgerow Data'!$B$2:$AG$15,3,FALSE))</f>
        <v/>
      </c>
      <c r="S256" s="145"/>
      <c r="T256" s="499" t="str">
        <f>IFERROR(IF(AND(Q256="V.Low",OR(S256="Good",S256="Moderate")),"Error ▲",VLOOKUP(S256,'G-1 All Habitats'!$Z$2:$AA$9,2,FALSE)),"")</f>
        <v/>
      </c>
      <c r="U256" s="145"/>
      <c r="V256" s="507" t="str">
        <f>IF(U256="","",IF(VLOOKUP(U256,'G-3 Multipliers'!$L$3:$N$6,2,FALSE)=0,"Spatial Data Missing ⚠",VLOOKUP(U256,'G-3 Multipliers'!$L$3:$N$6,2,FALSE)))</f>
        <v/>
      </c>
      <c r="W256" s="505"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5"/>
        <v/>
      </c>
      <c r="AD256" s="537" t="str">
        <f>IF(M256="","",VLOOKUP(M256,'G-6 Hedgerow Data'!$B$3:$AG$15,31,FALSE))</f>
        <v/>
      </c>
      <c r="AE256" s="520" t="str">
        <f t="shared" si="29"/>
        <v/>
      </c>
      <c r="AF256" s="520" t="str">
        <f t="shared" si="30"/>
        <v/>
      </c>
      <c r="AG256" s="524" t="str">
        <f>IFERROR(IF(O256="","",VLOOKUP(AD256,'G-3 Multipliers'!$P$3:$Q$6,2,FALSE)),"")</f>
        <v/>
      </c>
      <c r="AH256" s="197"/>
      <c r="AI256" s="499" t="str">
        <f>IF(AH256="","",IF(VLOOKUP(AH256,'G-3 Multipliers'!$S$3:$T$6,2,FALSE)=0,"Spatial Data Missing ⚠",VLOOKUP(AH256,'G-3 Multipliers'!$S$3:$T$6,2,FALSE)))</f>
        <v/>
      </c>
      <c r="AJ256" s="545" t="str">
        <f t="shared" si="31"/>
        <v/>
      </c>
      <c r="AK256" s="149"/>
      <c r="AL256" s="150"/>
      <c r="AP256" s="31" t="str">
        <f>IFERROR(INDEX('G-6 Hedgerow Data'!$BJ$3:$BJ$15,MATCH(M256,'G-6 Hedgerow Data'!$B$3:$B$15,0)),"")</f>
        <v/>
      </c>
    </row>
    <row r="257" spans="2:42" ht="14.4" thickBot="1" x14ac:dyDescent="0.3">
      <c r="B257" s="558" t="str">
        <f>'E-1 Off Site Hedge Baseline'!AK255</f>
        <v/>
      </c>
      <c r="C257" s="508" t="str">
        <f>IF(B257="","",IF(ISNA(VLOOKUP($B257,'E-1 Off Site Hedge Baseline'!$B$1:$L$257,3,FALSE)),"",(VLOOKUP($B257,'E-1 Off Site Hedge Baseline'!$B$1:$L$257,3,FALSE))))</f>
        <v/>
      </c>
      <c r="D257" s="508" t="str">
        <f>IF(B257="","",IF(ISNA(VLOOKUP($B257,'E-1 Off Site Hedge Baseline'!$B$1:$L$258,4,FALSE)),"",(VLOOKUP($B257,'E-1 Off Site Hedge Baseline'!$B$1:$L$258,4,FALSE))))</f>
        <v/>
      </c>
      <c r="E257" s="508" t="str">
        <f>IF(B257="","",IF(ISNA(VLOOKUP($B257,'E-1 Off Site Hedge Baseline'!$B$1:$L$257,5,FALSE)),"",(VLOOKUP($B257,'E-1 Off Site Hedge Baseline'!$B$1:$L$257,5,FALSE))))</f>
        <v/>
      </c>
      <c r="F257" s="508" t="str">
        <f>IF(B257="","",IF(ISNA(VLOOKUP($B257,'E-1 Off Site Hedge Baseline'!$B$1:$L$257,6,FALSE)),"",(VLOOKUP($B257,'E-1 Off Site Hedge Baseline'!$B$1:$L$257,6,FALSE))))</f>
        <v/>
      </c>
      <c r="G257" s="508" t="str">
        <f>IF(B257="","",IF(ISNA(VLOOKUP($B257,'E-1 Off Site Hedge Baseline'!$B$1:$L$257,7,FALSE)),"",(VLOOKUP($B257,'E-1 Off Site Hedge Baseline'!$B$1:$L$257,7,FALSE))))</f>
        <v/>
      </c>
      <c r="H257" s="508" t="str">
        <f>IF(B257="","",IF(ISNA(VLOOKUP($B257,'E-1 Off Site Hedge Baseline'!$B$1:$L$257,8,FALSE)),"",(VLOOKUP($B257,'E-1 Off Site Hedge Baseline'!$B$1:$L$257,8,FALSE))))</f>
        <v/>
      </c>
      <c r="I257" s="508" t="str">
        <f>IF(B257="","",IF(ISNA(VLOOKUP($B257,'E-1 Off Site Hedge Baseline'!$B$1:$L$257,10,FALSE)),"",(VLOOKUP($B257,'E-1 Off Site Hedge Baseline'!$B$1:$L$257,10,FALSE))))</f>
        <v/>
      </c>
      <c r="J257" s="508" t="str">
        <f>IF(B257="","",IF(ISNA(VLOOKUP($B257,'E-1 Off Site Hedge Baseline'!$B$1:$L$257,11,FALSE)),"",(VLOOKUP($B257,'E-1 Off Site Hedge Baseline'!$B$1:$L$257,11,FALSE))))</f>
        <v/>
      </c>
      <c r="K257" s="508" t="str">
        <f>IF(B257="","",IF(ISNA(VLOOKUP($B257,'E-1 Off Site Hedge Baseline'!$B$1:$U$257,113,FALSE)),"",(VLOOKUP($B257,'E-1 Off Site Hedge Baseline'!$B$1:$U$257,13,FALSE))))</f>
        <v/>
      </c>
      <c r="L257" s="508" t="str">
        <f>IF(B257="","",IF(ISNA(VLOOKUP($B257,'E-1 Off Site Hedge Baseline'!$B$1:$U$257,12,FALSE)),"",(VLOOKUP($B257,'E-1 Off Site Hedge Baseline'!$B$1:$U$257,12,FALSE))))</f>
        <v/>
      </c>
      <c r="M257" s="420" t="str">
        <f t="shared" si="32"/>
        <v/>
      </c>
      <c r="N257" s="500" t="str">
        <f>IFERROR(IF(B257="","",INDEX('G-6 Hedgerow Data'!$AN$3:$AZ$15,MATCH(C257,'G-6 Hedgerow Data'!$AM$3:$AM$15,0),MATCH(M257,'G-6 Hedgerow Data'!$AN$2:$AZ$2,0))),"")</f>
        <v/>
      </c>
      <c r="O257" s="499" t="str">
        <f t="shared" si="26"/>
        <v/>
      </c>
      <c r="P257" s="509" t="str">
        <f>IF(B257="","",VLOOKUP(B257,'E-1 Off Site Hedge Baseline'!$B$10:T502,16,FALSE))</f>
        <v/>
      </c>
      <c r="Q257" s="500" t="str">
        <f>IF(M257="","",VLOOKUP(M257,'G-6 Hedgerow Data'!$B$2:$AG$15,2,FALSE))</f>
        <v/>
      </c>
      <c r="R257" s="499" t="str">
        <f>IF(M257="","",VLOOKUP(M257,'G-6 Hedgerow Data'!$B$2:$AG$15,3,FALSE))</f>
        <v/>
      </c>
      <c r="S257" s="161"/>
      <c r="T257" s="499" t="str">
        <f>IFERROR(IF(AND(Q257="V.Low",OR(S257="Good",S257="Moderate")),"Error ▲",VLOOKUP(S257,'G-1 All Habitats'!$Z$2:$AA$9,2,FALSE)),"")</f>
        <v/>
      </c>
      <c r="U257" s="161"/>
      <c r="V257" s="507" t="str">
        <f>IF(U257="","",IF(VLOOKUP(U257,'G-3 Multipliers'!$L$3:$N$6,2,FALSE)=0,"Spatial Data Missing ⚠",VLOOKUP(U257,'G-3 Multipliers'!$L$3:$N$6,2,FALSE)))</f>
        <v/>
      </c>
      <c r="W257" s="505" t="str">
        <f>IF(U257="","",IF(VLOOKUP(U257,'G-3 Multipliers'!$L$3:$N$6,3,FALSE)=0,"Spatial Data Missing ⚠",VLOOKUP(U257,'G-3 Multipliers'!$L$3:$N$6,3,FALSE)))</f>
        <v/>
      </c>
      <c r="X257" s="498" t="str">
        <f>IFERROR(IF(OR(LEFT(O257,5)="Error ▲",LEFT(N257,5)="Error ▲",T257="Error ▲"),"Check Data ⚠",IF(F257&lt;R257,INDEX('G-6 Hedgerow Data'!$S$3:$AE$14,MATCH(C257,'G-6 Hedgerow Data'!$B$3:$B$14,0),MATCH(M257,'G-6 Hedgerow Data'!$S$2:$AE$2,0)),INDEX('G-6 Hedgerow Data'!$K$3:$Q$14,MATCH(M257,'G-6 Hedgerow Data'!$B$3:$B$14,0),MATCH(O257,'G-6 Hedgerow Data'!$K$2:$Q$2,0)))),"")</f>
        <v/>
      </c>
      <c r="Y257" s="206"/>
      <c r="Z257" s="206"/>
      <c r="AA257" s="507" t="str">
        <f t="shared" si="27"/>
        <v/>
      </c>
      <c r="AB257" s="521" t="str">
        <f t="shared" si="28"/>
        <v/>
      </c>
      <c r="AC257" s="522" t="str">
        <f t="shared" si="25"/>
        <v/>
      </c>
      <c r="AD257" s="500" t="str">
        <f>IF(M257="","",VLOOKUP(M257,'G-6 Hedgerow Data'!$B$3:$AG$15,31,FALSE))</f>
        <v/>
      </c>
      <c r="AE257" s="520" t="str">
        <f t="shared" si="29"/>
        <v/>
      </c>
      <c r="AF257" s="520" t="str">
        <f t="shared" si="30"/>
        <v/>
      </c>
      <c r="AG257" s="501" t="str">
        <f>IFERROR(IF(O257="","",VLOOKUP(AD257,'G-3 Multipliers'!$P$3:$Q$6,2,FALSE)),"")</f>
        <v/>
      </c>
      <c r="AH257" s="271"/>
      <c r="AI257" s="499" t="str">
        <f>IF(AH257="","",IF(VLOOKUP(AH257,'G-3 Multipliers'!$S$3:$T$6,2,FALSE)=0,"Spatial Data Missing ⚠",VLOOKUP(AH257,'G-3 Multipliers'!$S$3:$T$6,2,FALSE)))</f>
        <v/>
      </c>
      <c r="AJ257" s="546" t="str">
        <f t="shared" si="31"/>
        <v/>
      </c>
      <c r="AK257" s="163"/>
      <c r="AL257" s="164"/>
      <c r="AP257" s="31" t="str">
        <f>IFERROR(INDEX('G-6 Hedgerow Data'!$BJ$3:$BJ$15,MATCH(M257,'G-6 Hedgerow Data'!$B$3:$B$15,0)),"")</f>
        <v/>
      </c>
    </row>
    <row r="258" spans="2:42" ht="14.4" thickBot="1" x14ac:dyDescent="0.3">
      <c r="B258" s="46"/>
      <c r="C258" s="46"/>
      <c r="D258" s="46"/>
      <c r="E258" s="46"/>
      <c r="F258" s="46"/>
      <c r="G258" s="46"/>
      <c r="H258" s="46"/>
      <c r="I258" s="46"/>
      <c r="J258" s="46"/>
      <c r="K258" s="46"/>
      <c r="L258" s="46"/>
      <c r="M258" s="46"/>
      <c r="N258" s="46"/>
      <c r="O258" s="277"/>
      <c r="P258" s="503">
        <f>SUM(P12:P257)</f>
        <v>0</v>
      </c>
      <c r="Q258" s="46"/>
      <c r="R258" s="46"/>
      <c r="S258" s="46"/>
      <c r="T258" s="46"/>
      <c r="U258" s="46"/>
      <c r="V258" s="46"/>
      <c r="W258" s="46"/>
      <c r="X258" s="46"/>
      <c r="Y258" s="46"/>
      <c r="Z258" s="46"/>
      <c r="AA258" s="46"/>
      <c r="AB258" s="46"/>
      <c r="AC258" s="46"/>
      <c r="AD258" s="46"/>
      <c r="AE258" s="46"/>
      <c r="AF258" s="46"/>
      <c r="AG258" s="46"/>
      <c r="AH258" s="427"/>
      <c r="AI258" s="427"/>
      <c r="AJ258" s="503">
        <f>SUM(AJ12:AJ257)</f>
        <v>0</v>
      </c>
      <c r="AK258" s="46"/>
      <c r="AL258" s="46"/>
    </row>
    <row r="259" spans="2:42" ht="13.8" x14ac:dyDescent="0.25"/>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K9ytJJdmvB/r742R3tqoOeTykW/UVKEBW06AKVr+qsttA4f6cyUH0wzDnB++LDBrPzEwsG1H3vtYxtE5D/6M/Q==" saltValue="gkk+KHzS0r6y6EiRgNSV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68" priority="7" operator="equal">
      <formula>"Same distinctiveness band or better"</formula>
    </cfRule>
    <cfRule type="cellIs" dxfId="67" priority="8" operator="equal">
      <formula>"Like for like or better"</formula>
    </cfRule>
    <cfRule type="cellIs" dxfId="66" priority="9" operator="equal">
      <formula>"Like for Like"</formula>
    </cfRule>
  </conditionalFormatting>
  <conditionalFormatting sqref="N12:AJ257">
    <cfRule type="containsText" dxfId="65" priority="2" operator="containsText" text="30+">
      <formula>NOT(ISERROR(SEARCH("30+",N12)))</formula>
    </cfRule>
    <cfRule type="beginsWith" dxfId="64" priority="3" operator="beginsWith" text="No">
      <formula>LEFT(N12,LEN("No"))="No"</formula>
    </cfRule>
    <cfRule type="containsText" dxfId="63" priority="4" operator="containsText" text="Spatial">
      <formula>NOT(ISERROR(SEARCH("Spatial",N12)))</formula>
    </cfRule>
    <cfRule type="containsText" dxfId="62" priority="5" operator="containsText" text="Check">
      <formula>NOT(ISERROR(SEARCH("Check",N12)))</formula>
    </cfRule>
    <cfRule type="containsText" dxfId="61" priority="6" operator="containsText" text="Error">
      <formula>NOT(ISERROR(SEARCH("Error",N12)))</formula>
    </cfRule>
  </conditionalFormatting>
  <conditionalFormatting sqref="X2">
    <cfRule type="containsText" dxfId="60" priority="1" operator="containsText" text="Note">
      <formula>NOT(ISERROR(SEARCH("Note",X2)))</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33203125" style="132" customWidth="1"/>
    <col min="3" max="3" width="12.6640625" style="132" customWidth="1"/>
    <col min="4" max="4" width="55" style="31" customWidth="1"/>
    <col min="5" max="5" width="8.5546875" style="31" customWidth="1"/>
    <col min="6" max="6" width="17.6640625" style="31" customWidth="1"/>
    <col min="7" max="7" width="8.6640625" style="31" customWidth="1"/>
    <col min="8" max="8" width="14.33203125" style="31" bestFit="1" customWidth="1"/>
    <col min="9" max="9" width="13.109375" style="31" customWidth="1"/>
    <col min="10" max="10" width="33.6640625" style="31" customWidth="1"/>
    <col min="11" max="11" width="14.88671875" style="31" customWidth="1"/>
    <col min="12" max="12" width="13.109375" style="31" customWidth="1"/>
    <col min="13" max="13" width="17.33203125" style="31" customWidth="1"/>
    <col min="14" max="14" width="13.5546875" style="31" customWidth="1"/>
    <col min="15" max="15" width="16.33203125" style="31" customWidth="1"/>
    <col min="16" max="16" width="14.44140625" style="31" customWidth="1"/>
    <col min="17" max="17" width="14.33203125" style="31" customWidth="1"/>
    <col min="18" max="18" width="15" style="31" customWidth="1"/>
    <col min="19" max="19" width="3.6640625" style="31" customWidth="1"/>
    <col min="20" max="21" width="12.33203125" style="31" customWidth="1"/>
    <col min="22" max="22" width="13.44140625" style="31" customWidth="1"/>
    <col min="23" max="23" width="12.109375" style="31" customWidth="1"/>
    <col min="24" max="24" width="10.44140625" style="31" customWidth="1"/>
    <col min="25" max="25" width="11" style="31" customWidth="1"/>
    <col min="26" max="27" width="50.109375" style="31" customWidth="1"/>
    <col min="28" max="30" width="8.88671875" style="31" customWidth="1"/>
    <col min="31" max="36" width="8.88671875" style="31" hidden="1" customWidth="1"/>
    <col min="37" max="37" width="11.88671875" style="31" hidden="1" customWidth="1"/>
    <col min="38" max="41" width="8.88671875" style="31" hidden="1" customWidth="1"/>
    <col min="42" max="42" width="19.5546875" style="31" hidden="1" customWidth="1"/>
    <col min="43" max="43" width="35" style="31" hidden="1" customWidth="1"/>
    <col min="44" max="16384" width="8.88671875" style="31" hidden="1"/>
  </cols>
  <sheetData>
    <row r="1" spans="2:42" ht="12.75" customHeight="1" thickBot="1" x14ac:dyDescent="0.3">
      <c r="B1" s="31"/>
      <c r="C1" s="31"/>
    </row>
    <row r="2" spans="2:42" ht="19.5" customHeight="1" thickBot="1" x14ac:dyDescent="0.3">
      <c r="B2" s="987" t="str">
        <f>IF([2]Start!F12="","",[2]Start!F12)</f>
        <v/>
      </c>
      <c r="C2" s="988"/>
      <c r="D2" s="989"/>
    </row>
    <row r="3" spans="2:42" ht="15" customHeight="1" x14ac:dyDescent="0.25">
      <c r="B3" s="1016" t="str">
        <f ca="1">MID(CELL("filename",A1),FIND("]",CELL("filename",A1))+1,256)</f>
        <v>C-1 Site River Baseline</v>
      </c>
      <c r="C3" s="1017"/>
      <c r="D3" s="1018"/>
    </row>
    <row r="4" spans="2:42" ht="19.95" customHeight="1" thickBot="1" x14ac:dyDescent="0.3">
      <c r="B4" s="943"/>
      <c r="C4" s="944"/>
      <c r="D4" s="945"/>
    </row>
    <row r="5" spans="2:42" ht="19.2" customHeight="1" x14ac:dyDescent="0.25">
      <c r="B5" s="31"/>
      <c r="C5" s="31"/>
      <c r="F5" s="131"/>
      <c r="T5" s="1019" t="str">
        <f>IF(SUM(AG10:AG257)&gt;0,"Check Lengths ⚠","")</f>
        <v/>
      </c>
      <c r="U5" s="1019"/>
      <c r="V5" s="1019"/>
      <c r="W5" s="1019"/>
      <c r="X5" s="1019"/>
      <c r="Y5" s="1019"/>
    </row>
    <row r="6" spans="2:42" ht="15.75" customHeight="1" x14ac:dyDescent="0.25">
      <c r="B6" s="31"/>
      <c r="C6" s="31"/>
      <c r="T6" s="1019"/>
      <c r="U6" s="1019"/>
      <c r="V6" s="1019"/>
      <c r="W6" s="1019"/>
      <c r="X6" s="1019"/>
      <c r="Y6" s="1019"/>
    </row>
    <row r="7" spans="2:42" ht="46.2" customHeight="1" thickBot="1" x14ac:dyDescent="0.3"/>
    <row r="8" spans="2:42" ht="28.2" thickBot="1" x14ac:dyDescent="0.3">
      <c r="C8" s="957" t="s">
        <v>318</v>
      </c>
      <c r="D8" s="957"/>
      <c r="E8" s="957"/>
      <c r="F8" s="949" t="s">
        <v>272</v>
      </c>
      <c r="G8" s="949"/>
      <c r="H8" s="949" t="s">
        <v>273</v>
      </c>
      <c r="I8" s="949"/>
      <c r="J8" s="957" t="s">
        <v>191</v>
      </c>
      <c r="K8" s="957"/>
      <c r="L8" s="957"/>
      <c r="M8" s="949" t="s">
        <v>319</v>
      </c>
      <c r="N8" s="949"/>
      <c r="O8" s="949" t="s">
        <v>320</v>
      </c>
      <c r="P8" s="949"/>
      <c r="Q8" s="939" t="s">
        <v>309</v>
      </c>
      <c r="R8" s="167" t="s">
        <v>193</v>
      </c>
      <c r="S8" s="134"/>
      <c r="T8" s="957" t="s">
        <v>194</v>
      </c>
      <c r="U8" s="957"/>
      <c r="V8" s="957"/>
      <c r="W8" s="957"/>
      <c r="X8" s="957"/>
      <c r="Y8" s="957"/>
      <c r="Z8" s="986" t="s">
        <v>196</v>
      </c>
      <c r="AA8" s="986"/>
    </row>
    <row r="9" spans="2:42" ht="42" thickBot="1" x14ac:dyDescent="0.3">
      <c r="C9" s="368" t="s">
        <v>254</v>
      </c>
      <c r="D9" s="201" t="s">
        <v>138</v>
      </c>
      <c r="E9" s="202" t="s">
        <v>294</v>
      </c>
      <c r="F9" s="368" t="s">
        <v>189</v>
      </c>
      <c r="G9" s="202" t="s">
        <v>206</v>
      </c>
      <c r="H9" s="368" t="s">
        <v>190</v>
      </c>
      <c r="I9" s="202" t="s">
        <v>206</v>
      </c>
      <c r="J9" s="368" t="s">
        <v>191</v>
      </c>
      <c r="K9" s="201" t="s">
        <v>191</v>
      </c>
      <c r="L9" s="202" t="s">
        <v>321</v>
      </c>
      <c r="M9" s="368" t="s">
        <v>322</v>
      </c>
      <c r="N9" s="202" t="s">
        <v>323</v>
      </c>
      <c r="O9" s="368" t="s">
        <v>322</v>
      </c>
      <c r="P9" s="202" t="s">
        <v>323</v>
      </c>
      <c r="Q9" s="949"/>
      <c r="R9" s="421" t="s">
        <v>324</v>
      </c>
      <c r="S9" s="138"/>
      <c r="T9" s="368" t="s">
        <v>296</v>
      </c>
      <c r="U9" s="201" t="s">
        <v>297</v>
      </c>
      <c r="V9" s="201" t="s">
        <v>298</v>
      </c>
      <c r="W9" s="201" t="s">
        <v>299</v>
      </c>
      <c r="X9" s="201" t="s">
        <v>325</v>
      </c>
      <c r="Y9" s="202" t="s">
        <v>326</v>
      </c>
      <c r="Z9" s="133" t="s">
        <v>327</v>
      </c>
      <c r="AA9" s="133" t="s">
        <v>216</v>
      </c>
      <c r="AG9" s="42" t="s">
        <v>328</v>
      </c>
      <c r="AH9" s="156" t="s">
        <v>219</v>
      </c>
      <c r="AI9" s="156" t="s">
        <v>220</v>
      </c>
      <c r="AK9" s="156" t="s">
        <v>222</v>
      </c>
      <c r="AM9" s="156" t="s">
        <v>219</v>
      </c>
      <c r="AN9" s="156" t="s">
        <v>220</v>
      </c>
      <c r="AP9" s="131" t="s">
        <v>200</v>
      </c>
    </row>
    <row r="10" spans="2:42" ht="13.8" x14ac:dyDescent="0.25">
      <c r="C10" s="141">
        <v>1</v>
      </c>
      <c r="D10" s="459"/>
      <c r="E10" s="70"/>
      <c r="F10" s="498" t="str">
        <f>IF(D10="","",VLOOKUP(D10,'G-7 Rivers Data'!$B$2:$G$8,2,FALSE))</f>
        <v/>
      </c>
      <c r="G10" s="499" t="str">
        <f>IFERROR(VLOOKUP(F10,'G-7 Rivers Data'!$C$4:$D$8,2,FALSE),"")</f>
        <v/>
      </c>
      <c r="H10" s="71"/>
      <c r="I10" s="499" t="str">
        <f>IFERROR(INDEX('G-7 Rivers Data'!$H$4:$L$8,MATCH(D10,'G-7 Rivers Data'!$B$4:$B$8,0),MATCH(H10,'G-7 Rivers Data'!$H$3:$L$3,0)),"")</f>
        <v/>
      </c>
      <c r="J10" s="426"/>
      <c r="K10" s="537" t="str">
        <f>IF(J10="","",IF(VLOOKUP(J10,'G-7 Rivers Data'!$AK$4:$AM$9,2,FALSE)=0,"Spatial Data Missing ⚠",VLOOKUP(J10,'G-7 Rivers Data'!$AK$4:$AM$9,2,FALSE)))</f>
        <v/>
      </c>
      <c r="L10" s="505"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Data'!$B$2:$G$8,6,FALSE))</f>
        <v/>
      </c>
      <c r="R10" s="513" t="str">
        <f>IFERROR(IF(D10="","",E10*G10*I10*L10*N10*P10),"")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8" x14ac:dyDescent="0.25">
      <c r="C11" s="141">
        <v>2</v>
      </c>
      <c r="D11" s="459"/>
      <c r="E11" s="70"/>
      <c r="F11" s="498" t="str">
        <f>IF(D11="","",VLOOKUP(D11,'G-7 Rivers Data'!$B$2:$G$8,2,FALSE))</f>
        <v/>
      </c>
      <c r="G11" s="499" t="str">
        <f>IFERROR(VLOOKUP(F11,'G-7 Rivers Data'!$C$4:$D$8,2,FALSE),"")</f>
        <v/>
      </c>
      <c r="H11" s="71"/>
      <c r="I11" s="499" t="str">
        <f>IFERROR(INDEX('G-7 Rivers Data'!$H$4:$L$8,MATCH(D11,'G-7 Rivers Data'!$B$4:$B$8,0),MATCH(H11,'G-7 Rivers Data'!$H$3:$L$3,0)),"")</f>
        <v/>
      </c>
      <c r="J11" s="426"/>
      <c r="K11" s="498" t="str">
        <f>IF(J11="","",IF(VLOOKUP(J11,'G-7 Rivers Data'!$AK$4:$AM$9,2,FALSE)=0,"Spatial Data Missing ⚠",VLOOKUP(J11,'G-7 Rivers Data'!$AK$4:$AM$9,2,FALSE)))</f>
        <v/>
      </c>
      <c r="L11" s="505"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Data'!$B$2:$G$8,6,FALSE))</f>
        <v/>
      </c>
      <c r="R11" s="513" t="str">
        <f t="shared" ref="R11:R74" si="0">IFERROR(IF(D11="","",E11*G11*I11*L11*N11*P11),"")</f>
        <v/>
      </c>
      <c r="S11" s="40"/>
      <c r="T11" s="71"/>
      <c r="U11" s="157"/>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8" x14ac:dyDescent="0.25">
      <c r="C12" s="141">
        <v>3</v>
      </c>
      <c r="D12" s="459"/>
      <c r="E12" s="70"/>
      <c r="F12" s="498" t="str">
        <f>IF(D12="","",VLOOKUP(D12,'G-7 Rivers Data'!$B$2:$G$8,2,FALSE))</f>
        <v/>
      </c>
      <c r="G12" s="499" t="str">
        <f>IFERROR(VLOOKUP(F12,'G-7 Rivers Data'!$C$4:$D$8,2,FALSE),"")</f>
        <v/>
      </c>
      <c r="H12" s="71"/>
      <c r="I12" s="499" t="str">
        <f>IFERROR(INDEX('G-7 Rivers Data'!$H$4:$L$8,MATCH(D12,'G-7 Rivers Data'!$B$4:$B$8,0),MATCH(H12,'G-7 Rivers Data'!$H$3:$L$3,0)),"")</f>
        <v/>
      </c>
      <c r="J12" s="426"/>
      <c r="K12" s="498" t="str">
        <f>IF(J12="","",IF(VLOOKUP(J12,'G-7 Rivers Data'!$AK$4:$AM$9,2,FALSE)=0,"Spatial Data Missing ⚠",VLOOKUP(J12,'G-7 Rivers Data'!$AK$4:$AM$9,2,FALSE)))</f>
        <v/>
      </c>
      <c r="L12" s="505"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Data'!$B$2:$G$8,6,FALSE))</f>
        <v/>
      </c>
      <c r="R12" s="513" t="str">
        <f t="shared" si="0"/>
        <v/>
      </c>
      <c r="S12" s="40"/>
      <c r="T12" s="71"/>
      <c r="U12" s="157"/>
      <c r="V12" s="511" t="str">
        <f t="shared" si="1"/>
        <v/>
      </c>
      <c r="W12" s="511" t="str">
        <f t="shared" si="2"/>
        <v/>
      </c>
      <c r="X12" s="511" t="str">
        <f t="shared" si="3"/>
        <v/>
      </c>
      <c r="Y12" s="515"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8" x14ac:dyDescent="0.25">
      <c r="C13" s="141">
        <v>4</v>
      </c>
      <c r="D13" s="459"/>
      <c r="E13" s="70"/>
      <c r="F13" s="498" t="str">
        <f>IF(D13="","",VLOOKUP(D13,'G-7 Rivers Data'!$B$2:$G$8,2,FALSE))</f>
        <v/>
      </c>
      <c r="G13" s="499" t="str">
        <f>IFERROR(VLOOKUP(F13,'G-7 Rivers Data'!$C$4:$D$8,2,FALSE),"")</f>
        <v/>
      </c>
      <c r="H13" s="71"/>
      <c r="I13" s="499" t="str">
        <f>IFERROR(INDEX('G-7 Rivers Data'!$H$4:$L$8,MATCH(D13,'G-7 Rivers Data'!$B$4:$B$8,0),MATCH(H13,'G-7 Rivers Data'!$H$3:$L$3,0)),"")</f>
        <v/>
      </c>
      <c r="J13" s="426"/>
      <c r="K13" s="498" t="str">
        <f>IF(J13="","",IF(VLOOKUP(J13,'G-7 Rivers Data'!$AK$4:$AM$9,2,FALSE)=0,"Spatial Data Missing ⚠",VLOOKUP(J13,'G-7 Rivers Data'!$AK$4:$AM$9,2,FALSE)))</f>
        <v/>
      </c>
      <c r="L13" s="505"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Data'!$B$2:$G$8,6,FALSE))</f>
        <v/>
      </c>
      <c r="R13" s="513" t="str">
        <f t="shared" si="0"/>
        <v/>
      </c>
      <c r="S13" s="40"/>
      <c r="T13" s="71"/>
      <c r="U13" s="157"/>
      <c r="V13" s="511" t="str">
        <f t="shared" si="1"/>
        <v/>
      </c>
      <c r="W13" s="511" t="str">
        <f t="shared" si="2"/>
        <v/>
      </c>
      <c r="X13" s="511" t="str">
        <f t="shared" si="3"/>
        <v/>
      </c>
      <c r="Y13" s="515"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8" x14ac:dyDescent="0.25">
      <c r="C14" s="141">
        <v>5</v>
      </c>
      <c r="D14" s="459"/>
      <c r="E14" s="172"/>
      <c r="F14" s="498" t="str">
        <f>IF(D14="","",VLOOKUP(D14,'G-7 Rivers Data'!$B$2:$G$8,2,FALSE))</f>
        <v/>
      </c>
      <c r="G14" s="499" t="str">
        <f>IFERROR(VLOOKUP(F14,'G-7 Rivers Data'!$C$4:$D$8,2,FALSE),"")</f>
        <v/>
      </c>
      <c r="H14" s="145"/>
      <c r="I14" s="499" t="str">
        <f>IFERROR(INDEX('G-7 Rivers Data'!$H$4:$L$8,MATCH(D14,'G-7 Rivers Data'!$B$4:$B$8,0),MATCH(H14,'G-7 Rivers Data'!$H$3:$L$3,0)),"")</f>
        <v/>
      </c>
      <c r="J14" s="426"/>
      <c r="K14" s="498" t="str">
        <f>IF(J14="","",IF(VLOOKUP(J14,'G-7 Rivers Data'!$AK$4:$AM$9,2,FALSE)=0,"Spatial Data Missing ⚠",VLOOKUP(J14,'G-7 Rivers Data'!$AK$4:$AM$9,2,FALSE)))</f>
        <v/>
      </c>
      <c r="L14" s="505"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Data'!$B$2:$G$8,6,FALSE))</f>
        <v/>
      </c>
      <c r="R14" s="513" t="str">
        <f t="shared" si="0"/>
        <v/>
      </c>
      <c r="S14" s="40"/>
      <c r="T14" s="71"/>
      <c r="U14" s="157"/>
      <c r="V14" s="511" t="str">
        <f t="shared" si="1"/>
        <v/>
      </c>
      <c r="W14" s="511" t="str">
        <f t="shared" si="2"/>
        <v/>
      </c>
      <c r="X14" s="511" t="str">
        <f t="shared" si="3"/>
        <v/>
      </c>
      <c r="Y14" s="515"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8" x14ac:dyDescent="0.25">
      <c r="C15" s="141">
        <v>6</v>
      </c>
      <c r="D15" s="459"/>
      <c r="E15" s="172"/>
      <c r="F15" s="498" t="str">
        <f>IF(D15="","",VLOOKUP(D15,'G-7 Rivers Data'!$B$2:$G$8,2,FALSE))</f>
        <v/>
      </c>
      <c r="G15" s="499" t="str">
        <f>IFERROR(VLOOKUP(F15,'G-7 Rivers Data'!$C$4:$D$8,2,FALSE),"")</f>
        <v/>
      </c>
      <c r="H15" s="145"/>
      <c r="I15" s="499" t="str">
        <f>IFERROR(INDEX('G-7 Rivers Data'!$H$4:$L$8,MATCH(D15,'G-7 Rivers Data'!$B$4:$B$8,0),MATCH(H15,'G-7 Rivers Data'!$H$3:$L$3,0)),"")</f>
        <v/>
      </c>
      <c r="J15" s="418"/>
      <c r="K15" s="498" t="str">
        <f>IF(J15="","",IF(VLOOKUP(J15,'G-7 Rivers Data'!$AK$4:$AM$9,2,FALSE)=0,"Spatial Data Missing ⚠",VLOOKUP(J15,'G-7 Rivers Data'!$AK$4:$AM$9,2,FALSE)))</f>
        <v/>
      </c>
      <c r="L15" s="505"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Data'!$B$2:$G$8,6,FALSE))</f>
        <v/>
      </c>
      <c r="R15" s="513" t="str">
        <f t="shared" si="0"/>
        <v/>
      </c>
      <c r="S15" s="40"/>
      <c r="T15" s="145"/>
      <c r="U15" s="157"/>
      <c r="V15" s="511" t="str">
        <f t="shared" si="1"/>
        <v/>
      </c>
      <c r="W15" s="511" t="str">
        <f t="shared" si="2"/>
        <v/>
      </c>
      <c r="X15" s="511" t="str">
        <f t="shared" si="3"/>
        <v/>
      </c>
      <c r="Y15" s="515"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 customHeight="1" x14ac:dyDescent="0.25">
      <c r="C16" s="141">
        <v>7</v>
      </c>
      <c r="D16" s="459"/>
      <c r="E16" s="172"/>
      <c r="F16" s="498" t="str">
        <f>IF(D16="","",VLOOKUP(D16,'G-7 Rivers Data'!$B$2:$G$8,2,FALSE))</f>
        <v/>
      </c>
      <c r="G16" s="499" t="str">
        <f>IFERROR(VLOOKUP(F16,'G-7 Rivers Data'!$C$4:$D$8,2,FALSE),"")</f>
        <v/>
      </c>
      <c r="H16" s="145"/>
      <c r="I16" s="499" t="str">
        <f>IFERROR(INDEX('G-7 Rivers Data'!$H$4:$L$8,MATCH(D16,'G-7 Rivers Data'!$B$4:$B$8,0),MATCH(H16,'G-7 Rivers Data'!$H$3:$L$3,0)),"")</f>
        <v/>
      </c>
      <c r="J16" s="418"/>
      <c r="K16" s="498" t="str">
        <f>IF(J16="","",IF(VLOOKUP(J16,'G-7 Rivers Data'!$AK$4:$AM$9,2,FALSE)=0,"Spatial Data Missing ⚠",VLOOKUP(J16,'G-7 Rivers Data'!$AK$4:$AM$9,2,FALSE)))</f>
        <v/>
      </c>
      <c r="L16" s="505"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Data'!$B$2:$G$8,6,FALSE))</f>
        <v/>
      </c>
      <c r="R16" s="513" t="str">
        <f t="shared" si="0"/>
        <v/>
      </c>
      <c r="S16" s="40"/>
      <c r="T16" s="145"/>
      <c r="U16" s="157"/>
      <c r="V16" s="511" t="str">
        <f t="shared" si="1"/>
        <v/>
      </c>
      <c r="W16" s="511" t="str">
        <f t="shared" si="2"/>
        <v/>
      </c>
      <c r="X16" s="511" t="str">
        <f t="shared" si="3"/>
        <v/>
      </c>
      <c r="Y16" s="515"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8" x14ac:dyDescent="0.25">
      <c r="C17" s="141">
        <v>8</v>
      </c>
      <c r="D17" s="459"/>
      <c r="E17" s="172"/>
      <c r="F17" s="498" t="str">
        <f>IF(D17="","",VLOOKUP(D17,'G-7 Rivers Data'!$B$2:$G$8,2,FALSE))</f>
        <v/>
      </c>
      <c r="G17" s="499" t="str">
        <f>IFERROR(VLOOKUP(F17,'G-7 Rivers Data'!$C$4:$D$8,2,FALSE),"")</f>
        <v/>
      </c>
      <c r="H17" s="145"/>
      <c r="I17" s="499" t="str">
        <f>IFERROR(INDEX('G-7 Rivers Data'!$H$4:$L$8,MATCH(D17,'G-7 Rivers Data'!$B$4:$B$8,0),MATCH(H17,'G-7 Rivers Data'!$H$3:$L$3,0)),"")</f>
        <v/>
      </c>
      <c r="J17" s="418"/>
      <c r="K17" s="498" t="str">
        <f>IF(J17="","",IF(VLOOKUP(J17,'G-7 Rivers Data'!$AK$4:$AM$9,2,FALSE)=0,"Spatial Data Missing ⚠",VLOOKUP(J17,'G-7 Rivers Data'!$AK$4:$AM$9,2,FALSE)))</f>
        <v/>
      </c>
      <c r="L17" s="505"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Data'!$B$2:$G$8,6,FALSE))</f>
        <v/>
      </c>
      <c r="R17" s="513" t="str">
        <f t="shared" si="0"/>
        <v/>
      </c>
      <c r="S17" s="40"/>
      <c r="T17" s="145"/>
      <c r="U17" s="157"/>
      <c r="V17" s="511" t="str">
        <f t="shared" si="1"/>
        <v/>
      </c>
      <c r="W17" s="511" t="str">
        <f t="shared" si="2"/>
        <v/>
      </c>
      <c r="X17" s="511" t="str">
        <f t="shared" si="3"/>
        <v/>
      </c>
      <c r="Y17" s="515"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8" x14ac:dyDescent="0.25">
      <c r="C18" s="141">
        <v>9</v>
      </c>
      <c r="D18" s="459"/>
      <c r="E18" s="172"/>
      <c r="F18" s="498" t="str">
        <f>IF(D18="","",VLOOKUP(D18,'G-7 Rivers Data'!$B$2:$G$8,2,FALSE))</f>
        <v/>
      </c>
      <c r="G18" s="499" t="str">
        <f>IFERROR(VLOOKUP(F18,'G-7 Rivers Data'!$C$4:$D$8,2,FALSE),"")</f>
        <v/>
      </c>
      <c r="H18" s="145"/>
      <c r="I18" s="499" t="str">
        <f>IFERROR(INDEX('G-7 Rivers Data'!$H$4:$L$8,MATCH(D18,'G-7 Rivers Data'!$B$4:$B$8,0),MATCH(H18,'G-7 Rivers Data'!$H$3:$L$3,0)),"")</f>
        <v/>
      </c>
      <c r="J18" s="418"/>
      <c r="K18" s="498" t="str">
        <f>IF(J18="","",IF(VLOOKUP(J18,'G-7 Rivers Data'!$AK$4:$AM$9,2,FALSE)=0,"Spatial Data Missing ⚠",VLOOKUP(J18,'G-7 Rivers Data'!$AK$4:$AM$9,2,FALSE)))</f>
        <v/>
      </c>
      <c r="L18" s="505"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Data'!$B$2:$G$8,6,FALSE))</f>
        <v/>
      </c>
      <c r="R18" s="513" t="str">
        <f t="shared" si="0"/>
        <v/>
      </c>
      <c r="S18" s="40"/>
      <c r="T18" s="145"/>
      <c r="U18" s="157"/>
      <c r="V18" s="511" t="str">
        <f t="shared" si="1"/>
        <v/>
      </c>
      <c r="W18" s="511" t="str">
        <f t="shared" si="2"/>
        <v/>
      </c>
      <c r="X18" s="511" t="str">
        <f t="shared" si="3"/>
        <v/>
      </c>
      <c r="Y18" s="515"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9"/>
      <c r="E19" s="172"/>
      <c r="F19" s="498" t="str">
        <f>IF(D19="","",VLOOKUP(D19,'G-7 Rivers Data'!$B$2:$G$8,2,FALSE))</f>
        <v/>
      </c>
      <c r="G19" s="499" t="str">
        <f>IFERROR(VLOOKUP(F19,'G-7 Rivers Data'!$C$4:$D$8,2,FALSE),"")</f>
        <v/>
      </c>
      <c r="H19" s="145"/>
      <c r="I19" s="499" t="str">
        <f>IFERROR(INDEX('G-7 Rivers Data'!$H$4:$L$8,MATCH(D19,'G-7 Rivers Data'!$B$4:$B$8,0),MATCH(H19,'G-7 Rivers Data'!$H$3:$L$3,0)),"")</f>
        <v/>
      </c>
      <c r="J19" s="418"/>
      <c r="K19" s="498" t="str">
        <f>IF(J19="","",IF(VLOOKUP(J19,'G-7 Rivers Data'!$AK$4:$AM$9,2,FALSE)=0,"Spatial Data Missing ⚠",VLOOKUP(J19,'G-7 Rivers Data'!$AK$4:$AM$9,2,FALSE)))</f>
        <v/>
      </c>
      <c r="L19" s="505"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Data'!$B$2:$G$8,6,FALSE))</f>
        <v/>
      </c>
      <c r="R19" s="513" t="str">
        <f t="shared" si="0"/>
        <v/>
      </c>
      <c r="S19" s="40"/>
      <c r="T19" s="145"/>
      <c r="U19" s="157"/>
      <c r="V19" s="511" t="str">
        <f t="shared" si="1"/>
        <v/>
      </c>
      <c r="W19" s="511" t="str">
        <f t="shared" si="2"/>
        <v/>
      </c>
      <c r="X19" s="511" t="str">
        <f t="shared" si="3"/>
        <v/>
      </c>
      <c r="Y19" s="515"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8" x14ac:dyDescent="0.25">
      <c r="C20" s="141">
        <v>11</v>
      </c>
      <c r="D20" s="459"/>
      <c r="E20" s="172"/>
      <c r="F20" s="498" t="str">
        <f>IF(D20="","",VLOOKUP(D20,'G-7 Rivers Data'!$B$2:$G$8,2,FALSE))</f>
        <v/>
      </c>
      <c r="G20" s="499" t="str">
        <f>IFERROR(VLOOKUP(F20,'G-7 Rivers Data'!$C$4:$D$8,2,FALSE),"")</f>
        <v/>
      </c>
      <c r="H20" s="145"/>
      <c r="I20" s="499" t="str">
        <f>IFERROR(INDEX('G-7 Rivers Data'!$H$4:$L$8,MATCH(D20,'G-7 Rivers Data'!$B$4:$B$8,0),MATCH(H20,'G-7 Rivers Data'!$H$3:$L$3,0)),"")</f>
        <v/>
      </c>
      <c r="J20" s="418"/>
      <c r="K20" s="498" t="str">
        <f>IF(J20="","",IF(VLOOKUP(J20,'G-7 Rivers Data'!$AK$4:$AM$9,2,FALSE)=0,"Spatial Data Missing ⚠",VLOOKUP(J20,'G-7 Rivers Data'!$AK$4:$AM$9,2,FALSE)))</f>
        <v/>
      </c>
      <c r="L20" s="505"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Data'!$B$2:$G$8,6,FALSE))</f>
        <v/>
      </c>
      <c r="R20" s="513" t="str">
        <f t="shared" si="0"/>
        <v/>
      </c>
      <c r="S20" s="40"/>
      <c r="T20" s="145"/>
      <c r="U20" s="157"/>
      <c r="V20" s="511" t="str">
        <f t="shared" si="1"/>
        <v/>
      </c>
      <c r="W20" s="511" t="str">
        <f t="shared" si="2"/>
        <v/>
      </c>
      <c r="X20" s="511" t="str">
        <f t="shared" si="3"/>
        <v/>
      </c>
      <c r="Y20" s="515"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8" x14ac:dyDescent="0.25">
      <c r="C21" s="141">
        <v>12</v>
      </c>
      <c r="D21" s="459"/>
      <c r="E21" s="172"/>
      <c r="F21" s="498" t="str">
        <f>IF(D21="","",VLOOKUP(D21,'G-7 Rivers Data'!$B$2:$G$8,2,FALSE))</f>
        <v/>
      </c>
      <c r="G21" s="499" t="str">
        <f>IFERROR(VLOOKUP(F21,'G-7 Rivers Data'!$C$4:$D$8,2,FALSE),"")</f>
        <v/>
      </c>
      <c r="H21" s="145"/>
      <c r="I21" s="499" t="str">
        <f>IFERROR(INDEX('G-7 Rivers Data'!$H$4:$L$8,MATCH(D21,'G-7 Rivers Data'!$B$4:$B$8,0),MATCH(H21,'G-7 Rivers Data'!$H$3:$L$3,0)),"")</f>
        <v/>
      </c>
      <c r="J21" s="418"/>
      <c r="K21" s="498" t="str">
        <f>IF(J21="","",IF(VLOOKUP(J21,'G-7 Rivers Data'!$AK$4:$AM$9,2,FALSE)=0,"Spatial Data Missing ⚠",VLOOKUP(J21,'G-7 Rivers Data'!$AK$4:$AM$9,2,FALSE)))</f>
        <v/>
      </c>
      <c r="L21" s="505"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Data'!$B$2:$G$8,6,FALSE))</f>
        <v/>
      </c>
      <c r="R21" s="513" t="str">
        <f t="shared" si="0"/>
        <v/>
      </c>
      <c r="S21" s="40"/>
      <c r="T21" s="145"/>
      <c r="U21" s="157"/>
      <c r="V21" s="511" t="str">
        <f t="shared" si="1"/>
        <v/>
      </c>
      <c r="W21" s="511" t="str">
        <f t="shared" si="2"/>
        <v/>
      </c>
      <c r="X21" s="511" t="str">
        <f t="shared" si="3"/>
        <v/>
      </c>
      <c r="Y21" s="515"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8" x14ac:dyDescent="0.25">
      <c r="C22" s="141">
        <v>13</v>
      </c>
      <c r="D22" s="459"/>
      <c r="E22" s="172"/>
      <c r="F22" s="498" t="str">
        <f>IF(D22="","",VLOOKUP(D22,'G-7 Rivers Data'!$B$2:$G$8,2,FALSE))</f>
        <v/>
      </c>
      <c r="G22" s="499" t="str">
        <f>IFERROR(VLOOKUP(F22,'G-7 Rivers Data'!$C$4:$D$8,2,FALSE),"")</f>
        <v/>
      </c>
      <c r="H22" s="145"/>
      <c r="I22" s="499" t="str">
        <f>IFERROR(INDEX('G-7 Rivers Data'!$H$4:$L$8,MATCH(D22,'G-7 Rivers Data'!$B$4:$B$8,0),MATCH(H22,'G-7 Rivers Data'!$H$3:$L$3,0)),"")</f>
        <v/>
      </c>
      <c r="J22" s="418"/>
      <c r="K22" s="498" t="str">
        <f>IF(J22="","",IF(VLOOKUP(J22,'G-7 Rivers Data'!$AK$4:$AM$9,2,FALSE)=0,"Spatial Data Missing ⚠",VLOOKUP(J22,'G-7 Rivers Data'!$AK$4:$AM$9,2,FALSE)))</f>
        <v/>
      </c>
      <c r="L22" s="505"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Data'!$B$2:$G$8,6,FALSE))</f>
        <v/>
      </c>
      <c r="R22" s="513" t="str">
        <f t="shared" si="0"/>
        <v/>
      </c>
      <c r="S22" s="40"/>
      <c r="T22" s="145"/>
      <c r="U22" s="157"/>
      <c r="V22" s="511" t="str">
        <f t="shared" si="1"/>
        <v/>
      </c>
      <c r="W22" s="511" t="str">
        <f t="shared" si="2"/>
        <v/>
      </c>
      <c r="X22" s="511" t="str">
        <f t="shared" si="3"/>
        <v/>
      </c>
      <c r="Y22" s="515"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8" x14ac:dyDescent="0.25">
      <c r="C23" s="141">
        <v>14</v>
      </c>
      <c r="D23" s="459"/>
      <c r="E23" s="172"/>
      <c r="F23" s="498" t="str">
        <f>IF(D23="","",VLOOKUP(D23,'G-7 Rivers Data'!$B$2:$G$8,2,FALSE))</f>
        <v/>
      </c>
      <c r="G23" s="499" t="str">
        <f>IFERROR(VLOOKUP(F23,'G-7 Rivers Data'!$C$4:$D$8,2,FALSE),"")</f>
        <v/>
      </c>
      <c r="H23" s="145"/>
      <c r="I23" s="499" t="str">
        <f>IFERROR(INDEX('G-7 Rivers Data'!$H$4:$L$8,MATCH(D23,'G-7 Rivers Data'!$B$4:$B$8,0),MATCH(H23,'G-7 Rivers Data'!$H$3:$L$3,0)),"")</f>
        <v/>
      </c>
      <c r="J23" s="418"/>
      <c r="K23" s="498" t="str">
        <f>IF(J23="","",IF(VLOOKUP(J23,'G-7 Rivers Data'!$AK$4:$AM$9,2,FALSE)=0,"Spatial Data Missing ⚠",VLOOKUP(J23,'G-7 Rivers Data'!$AK$4:$AM$9,2,FALSE)))</f>
        <v/>
      </c>
      <c r="L23" s="505"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Data'!$B$2:$G$8,6,FALSE))</f>
        <v/>
      </c>
      <c r="R23" s="513" t="str">
        <f t="shared" si="0"/>
        <v/>
      </c>
      <c r="S23" s="40"/>
      <c r="T23" s="145"/>
      <c r="U23" s="157"/>
      <c r="V23" s="511" t="str">
        <f t="shared" si="1"/>
        <v/>
      </c>
      <c r="W23" s="511" t="str">
        <f t="shared" si="2"/>
        <v/>
      </c>
      <c r="X23" s="511" t="str">
        <f t="shared" si="3"/>
        <v/>
      </c>
      <c r="Y23" s="515"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8" x14ac:dyDescent="0.25">
      <c r="C24" s="141">
        <v>15</v>
      </c>
      <c r="D24" s="459"/>
      <c r="E24" s="172"/>
      <c r="F24" s="498" t="str">
        <f>IF(D24="","",VLOOKUP(D24,'G-7 Rivers Data'!$B$2:$G$8,2,FALSE))</f>
        <v/>
      </c>
      <c r="G24" s="499" t="str">
        <f>IFERROR(VLOOKUP(F24,'G-7 Rivers Data'!$C$4:$D$8,2,FALSE),"")</f>
        <v/>
      </c>
      <c r="H24" s="145"/>
      <c r="I24" s="499" t="str">
        <f>IFERROR(INDEX('G-7 Rivers Data'!$H$4:$L$8,MATCH(D24,'G-7 Rivers Data'!$B$4:$B$8,0),MATCH(H24,'G-7 Rivers Data'!$H$3:$L$3,0)),"")</f>
        <v/>
      </c>
      <c r="J24" s="418"/>
      <c r="K24" s="498" t="str">
        <f>IF(J24="","",IF(VLOOKUP(J24,'G-7 Rivers Data'!$AK$4:$AM$9,2,FALSE)=0,"Spatial Data Missing ⚠",VLOOKUP(J24,'G-7 Rivers Data'!$AK$4:$AM$9,2,FALSE)))</f>
        <v/>
      </c>
      <c r="L24" s="505"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Data'!$B$2:$G$8,6,FALSE))</f>
        <v/>
      </c>
      <c r="R24" s="513" t="str">
        <f t="shared" si="0"/>
        <v/>
      </c>
      <c r="S24" s="40"/>
      <c r="T24" s="145"/>
      <c r="U24" s="157"/>
      <c r="V24" s="511" t="str">
        <f t="shared" si="1"/>
        <v/>
      </c>
      <c r="W24" s="511" t="str">
        <f t="shared" si="2"/>
        <v/>
      </c>
      <c r="X24" s="511" t="str">
        <f t="shared" si="3"/>
        <v/>
      </c>
      <c r="Y24" s="515"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8" x14ac:dyDescent="0.25">
      <c r="C25" s="141">
        <v>16</v>
      </c>
      <c r="D25" s="459"/>
      <c r="E25" s="172"/>
      <c r="F25" s="498" t="str">
        <f>IF(D25="","",VLOOKUP(D25,'G-7 Rivers Data'!$B$2:$G$8,2,FALSE))</f>
        <v/>
      </c>
      <c r="G25" s="499" t="str">
        <f>IFERROR(VLOOKUP(F25,'G-7 Rivers Data'!$C$4:$D$8,2,FALSE),"")</f>
        <v/>
      </c>
      <c r="H25" s="145"/>
      <c r="I25" s="499" t="str">
        <f>IFERROR(INDEX('G-7 Rivers Data'!$H$4:$L$8,MATCH(D25,'G-7 Rivers Data'!$B$4:$B$8,0),MATCH(H25,'G-7 Rivers Data'!$H$3:$L$3,0)),"")</f>
        <v/>
      </c>
      <c r="J25" s="418"/>
      <c r="K25" s="498" t="str">
        <f>IF(J25="","",IF(VLOOKUP(J25,'G-7 Rivers Data'!$AK$4:$AM$9,2,FALSE)=0,"Spatial Data Missing ⚠",VLOOKUP(J25,'G-7 Rivers Data'!$AK$4:$AM$9,2,FALSE)))</f>
        <v/>
      </c>
      <c r="L25" s="505"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Data'!$B$2:$G$8,6,FALSE))</f>
        <v/>
      </c>
      <c r="R25" s="513" t="str">
        <f t="shared" si="0"/>
        <v/>
      </c>
      <c r="S25" s="40"/>
      <c r="T25" s="145"/>
      <c r="U25" s="157"/>
      <c r="V25" s="511" t="str">
        <f t="shared" si="1"/>
        <v/>
      </c>
      <c r="W25" s="511" t="str">
        <f t="shared" si="2"/>
        <v/>
      </c>
      <c r="X25" s="511" t="str">
        <f t="shared" si="3"/>
        <v/>
      </c>
      <c r="Y25" s="515"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8" x14ac:dyDescent="0.25">
      <c r="C26" s="141">
        <v>17</v>
      </c>
      <c r="D26" s="459"/>
      <c r="E26" s="172"/>
      <c r="F26" s="498" t="str">
        <f>IF(D26="","",VLOOKUP(D26,'G-7 Rivers Data'!$B$2:$G$8,2,FALSE))</f>
        <v/>
      </c>
      <c r="G26" s="499" t="str">
        <f>IFERROR(VLOOKUP(F26,'G-7 Rivers Data'!$C$4:$D$8,2,FALSE),"")</f>
        <v/>
      </c>
      <c r="H26" s="145"/>
      <c r="I26" s="499" t="str">
        <f>IFERROR(INDEX('G-7 Rivers Data'!$H$4:$L$8,MATCH(D26,'G-7 Rivers Data'!$B$4:$B$8,0),MATCH(H26,'G-7 Rivers Data'!$H$3:$L$3,0)),"")</f>
        <v/>
      </c>
      <c r="J26" s="418"/>
      <c r="K26" s="498" t="str">
        <f>IF(J26="","",IF(VLOOKUP(J26,'G-7 Rivers Data'!$AK$4:$AM$9,2,FALSE)=0,"Spatial Data Missing ⚠",VLOOKUP(J26,'G-7 Rivers Data'!$AK$4:$AM$9,2,FALSE)))</f>
        <v/>
      </c>
      <c r="L26" s="505"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Data'!$B$2:$G$8,6,FALSE))</f>
        <v/>
      </c>
      <c r="R26" s="513" t="str">
        <f t="shared" si="0"/>
        <v/>
      </c>
      <c r="S26" s="40"/>
      <c r="T26" s="145"/>
      <c r="U26" s="157"/>
      <c r="V26" s="511" t="str">
        <f t="shared" si="1"/>
        <v/>
      </c>
      <c r="W26" s="511" t="str">
        <f t="shared" si="2"/>
        <v/>
      </c>
      <c r="X26" s="511" t="str">
        <f t="shared" si="3"/>
        <v/>
      </c>
      <c r="Y26" s="515"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8" x14ac:dyDescent="0.25">
      <c r="C27" s="141">
        <v>18</v>
      </c>
      <c r="D27" s="459"/>
      <c r="E27" s="172"/>
      <c r="F27" s="498" t="str">
        <f>IF(D27="","",VLOOKUP(D27,'G-7 Rivers Data'!$B$2:$G$8,2,FALSE))</f>
        <v/>
      </c>
      <c r="G27" s="499" t="str">
        <f>IFERROR(VLOOKUP(F27,'G-7 Rivers Data'!$C$4:$D$8,2,FALSE),"")</f>
        <v/>
      </c>
      <c r="H27" s="145"/>
      <c r="I27" s="499" t="str">
        <f>IFERROR(INDEX('G-7 Rivers Data'!$H$4:$L$8,MATCH(D27,'G-7 Rivers Data'!$B$4:$B$8,0),MATCH(H27,'G-7 Rivers Data'!$H$3:$L$3,0)),"")</f>
        <v/>
      </c>
      <c r="J27" s="418"/>
      <c r="K27" s="498" t="str">
        <f>IF(J27="","",IF(VLOOKUP(J27,'G-7 Rivers Data'!$AK$4:$AM$9,2,FALSE)=0,"Spatial Data Missing ⚠",VLOOKUP(J27,'G-7 Rivers Data'!$AK$4:$AM$9,2,FALSE)))</f>
        <v/>
      </c>
      <c r="L27" s="505"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Data'!$B$2:$G$8,6,FALSE))</f>
        <v/>
      </c>
      <c r="R27" s="513" t="str">
        <f t="shared" si="0"/>
        <v/>
      </c>
      <c r="S27" s="40"/>
      <c r="T27" s="145"/>
      <c r="U27" s="157"/>
      <c r="V27" s="511" t="str">
        <f t="shared" si="1"/>
        <v/>
      </c>
      <c r="W27" s="511" t="str">
        <f t="shared" si="2"/>
        <v/>
      </c>
      <c r="X27" s="511" t="str">
        <f t="shared" si="3"/>
        <v/>
      </c>
      <c r="Y27" s="515"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8" x14ac:dyDescent="0.25">
      <c r="C28" s="141">
        <v>19</v>
      </c>
      <c r="D28" s="459"/>
      <c r="E28" s="172"/>
      <c r="F28" s="498" t="str">
        <f>IF(D28="","",VLOOKUP(D28,'G-7 Rivers Data'!$B$2:$G$8,2,FALSE))</f>
        <v/>
      </c>
      <c r="G28" s="499" t="str">
        <f>IFERROR(VLOOKUP(F28,'G-7 Rivers Data'!$C$4:$D$8,2,FALSE),"")</f>
        <v/>
      </c>
      <c r="H28" s="145"/>
      <c r="I28" s="499" t="str">
        <f>IFERROR(INDEX('G-7 Rivers Data'!$H$4:$L$8,MATCH(D28,'G-7 Rivers Data'!$B$4:$B$8,0),MATCH(H28,'G-7 Rivers Data'!$H$3:$L$3,0)),"")</f>
        <v/>
      </c>
      <c r="J28" s="418"/>
      <c r="K28" s="498" t="str">
        <f>IF(J28="","",IF(VLOOKUP(J28,'G-7 Rivers Data'!$AK$4:$AM$9,2,FALSE)=0,"Spatial Data Missing ⚠",VLOOKUP(J28,'G-7 Rivers Data'!$AK$4:$AM$9,2,FALSE)))</f>
        <v/>
      </c>
      <c r="L28" s="505"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Data'!$B$2:$G$8,6,FALSE))</f>
        <v/>
      </c>
      <c r="R28" s="513" t="str">
        <f t="shared" si="0"/>
        <v/>
      </c>
      <c r="S28" s="40"/>
      <c r="T28" s="145"/>
      <c r="U28" s="157"/>
      <c r="V28" s="511" t="str">
        <f t="shared" si="1"/>
        <v/>
      </c>
      <c r="W28" s="511" t="str">
        <f t="shared" si="2"/>
        <v/>
      </c>
      <c r="X28" s="511" t="str">
        <f t="shared" si="3"/>
        <v/>
      </c>
      <c r="Y28" s="515"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8" x14ac:dyDescent="0.25">
      <c r="C29" s="141">
        <v>20</v>
      </c>
      <c r="D29" s="459"/>
      <c r="E29" s="172"/>
      <c r="F29" s="498" t="str">
        <f>IF(D29="","",VLOOKUP(D29,'G-7 Rivers Data'!$B$2:$G$8,2,FALSE))</f>
        <v/>
      </c>
      <c r="G29" s="499" t="str">
        <f>IFERROR(VLOOKUP(F29,'G-7 Rivers Data'!$C$4:$D$8,2,FALSE),"")</f>
        <v/>
      </c>
      <c r="H29" s="145"/>
      <c r="I29" s="499" t="str">
        <f>IFERROR(INDEX('G-7 Rivers Data'!$H$4:$L$8,MATCH(D29,'G-7 Rivers Data'!$B$4:$B$8,0),MATCH(H29,'G-7 Rivers Data'!$H$3:$L$3,0)),"")</f>
        <v/>
      </c>
      <c r="J29" s="418"/>
      <c r="K29" s="498" t="str">
        <f>IF(J29="","",IF(VLOOKUP(J29,'G-7 Rivers Data'!$AK$4:$AM$9,2,FALSE)=0,"Spatial Data Missing ⚠",VLOOKUP(J29,'G-7 Rivers Data'!$AK$4:$AM$9,2,FALSE)))</f>
        <v/>
      </c>
      <c r="L29" s="505"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Data'!$B$2:$G$8,6,FALSE))</f>
        <v/>
      </c>
      <c r="R29" s="513" t="str">
        <f t="shared" si="0"/>
        <v/>
      </c>
      <c r="S29" s="40"/>
      <c r="T29" s="145"/>
      <c r="U29" s="157"/>
      <c r="V29" s="511" t="str">
        <f t="shared" si="1"/>
        <v/>
      </c>
      <c r="W29" s="511" t="str">
        <f t="shared" si="2"/>
        <v/>
      </c>
      <c r="X29" s="511" t="str">
        <f t="shared" si="3"/>
        <v/>
      </c>
      <c r="Y29" s="515"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8" x14ac:dyDescent="0.25">
      <c r="C30" s="141">
        <v>21</v>
      </c>
      <c r="D30" s="459"/>
      <c r="E30" s="172"/>
      <c r="F30" s="498" t="str">
        <f>IF(D30="","",VLOOKUP(D30,'G-7 Rivers Data'!$B$2:$G$8,2,FALSE))</f>
        <v/>
      </c>
      <c r="G30" s="499" t="str">
        <f>IFERROR(VLOOKUP(F30,'G-7 Rivers Data'!$C$4:$D$8,2,FALSE),"")</f>
        <v/>
      </c>
      <c r="H30" s="145"/>
      <c r="I30" s="499" t="str">
        <f>IFERROR(INDEX('G-7 Rivers Data'!$H$4:$L$8,MATCH(D30,'G-7 Rivers Data'!$B$4:$B$8,0),MATCH(H30,'G-7 Rivers Data'!$H$3:$L$3,0)),"")</f>
        <v/>
      </c>
      <c r="J30" s="418"/>
      <c r="K30" s="498" t="str">
        <f>IF(J30="","",IF(VLOOKUP(J30,'G-7 Rivers Data'!$AK$4:$AM$9,2,FALSE)=0,"Spatial Data Missing ⚠",VLOOKUP(J30,'G-7 Rivers Data'!$AK$4:$AM$9,2,FALSE)))</f>
        <v/>
      </c>
      <c r="L30" s="505"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Data'!$B$2:$G$8,6,FALSE))</f>
        <v/>
      </c>
      <c r="R30" s="513" t="str">
        <f t="shared" si="0"/>
        <v/>
      </c>
      <c r="S30" s="40"/>
      <c r="T30" s="145"/>
      <c r="U30" s="157"/>
      <c r="V30" s="511" t="str">
        <f t="shared" si="1"/>
        <v/>
      </c>
      <c r="W30" s="511" t="str">
        <f t="shared" si="2"/>
        <v/>
      </c>
      <c r="X30" s="511" t="str">
        <f t="shared" si="3"/>
        <v/>
      </c>
      <c r="Y30" s="515"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8" x14ac:dyDescent="0.25">
      <c r="C31" s="141">
        <v>22</v>
      </c>
      <c r="D31" s="459"/>
      <c r="E31" s="172"/>
      <c r="F31" s="498" t="str">
        <f>IF(D31="","",VLOOKUP(D31,'G-7 Rivers Data'!$B$2:$G$8,2,FALSE))</f>
        <v/>
      </c>
      <c r="G31" s="499" t="str">
        <f>IFERROR(VLOOKUP(F31,'G-7 Rivers Data'!$C$4:$D$8,2,FALSE),"")</f>
        <v/>
      </c>
      <c r="H31" s="145"/>
      <c r="I31" s="499" t="str">
        <f>IFERROR(INDEX('G-7 Rivers Data'!$H$4:$L$8,MATCH(D31,'G-7 Rivers Data'!$B$4:$B$8,0),MATCH(H31,'G-7 Rivers Data'!$H$3:$L$3,0)),"")</f>
        <v/>
      </c>
      <c r="J31" s="418"/>
      <c r="K31" s="498" t="str">
        <f>IF(J31="","",IF(VLOOKUP(J31,'G-7 Rivers Data'!$AK$4:$AM$9,2,FALSE)=0,"Spatial Data Missing ⚠",VLOOKUP(J31,'G-7 Rivers Data'!$AK$4:$AM$9,2,FALSE)))</f>
        <v/>
      </c>
      <c r="L31" s="505"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Data'!$B$2:$G$8,6,FALSE))</f>
        <v/>
      </c>
      <c r="R31" s="513" t="str">
        <f t="shared" si="0"/>
        <v/>
      </c>
      <c r="S31" s="40"/>
      <c r="T31" s="145"/>
      <c r="U31" s="157"/>
      <c r="V31" s="511" t="str">
        <f t="shared" si="1"/>
        <v/>
      </c>
      <c r="W31" s="511" t="str">
        <f t="shared" si="2"/>
        <v/>
      </c>
      <c r="X31" s="511" t="str">
        <f t="shared" si="3"/>
        <v/>
      </c>
      <c r="Y31" s="515"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8" x14ac:dyDescent="0.25">
      <c r="C32" s="141">
        <v>23</v>
      </c>
      <c r="D32" s="459"/>
      <c r="E32" s="172"/>
      <c r="F32" s="498" t="str">
        <f>IF(D32="","",VLOOKUP(D32,'G-7 Rivers Data'!$B$2:$G$8,2,FALSE))</f>
        <v/>
      </c>
      <c r="G32" s="499" t="str">
        <f>IFERROR(VLOOKUP(F32,'G-7 Rivers Data'!$C$4:$D$8,2,FALSE),"")</f>
        <v/>
      </c>
      <c r="H32" s="145"/>
      <c r="I32" s="499" t="str">
        <f>IFERROR(INDEX('G-7 Rivers Data'!$H$4:$L$8,MATCH(D32,'G-7 Rivers Data'!$B$4:$B$8,0),MATCH(H32,'G-7 Rivers Data'!$H$3:$L$3,0)),"")</f>
        <v/>
      </c>
      <c r="J32" s="418"/>
      <c r="K32" s="498" t="str">
        <f>IF(J32="","",IF(VLOOKUP(J32,'G-7 Rivers Data'!$AK$4:$AM$9,2,FALSE)=0,"Spatial Data Missing ⚠",VLOOKUP(J32,'G-7 Rivers Data'!$AK$4:$AM$9,2,FALSE)))</f>
        <v/>
      </c>
      <c r="L32" s="505"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Data'!$B$2:$G$8,6,FALSE))</f>
        <v/>
      </c>
      <c r="R32" s="513" t="str">
        <f t="shared" si="0"/>
        <v/>
      </c>
      <c r="S32" s="40"/>
      <c r="T32" s="145"/>
      <c r="U32" s="157"/>
      <c r="V32" s="511" t="str">
        <f t="shared" si="1"/>
        <v/>
      </c>
      <c r="W32" s="511" t="str">
        <f t="shared" si="2"/>
        <v/>
      </c>
      <c r="X32" s="511" t="str">
        <f t="shared" si="3"/>
        <v/>
      </c>
      <c r="Y32" s="515"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8" x14ac:dyDescent="0.25">
      <c r="C33" s="141">
        <v>24</v>
      </c>
      <c r="D33" s="460"/>
      <c r="E33" s="172"/>
      <c r="F33" s="498" t="str">
        <f>IF(D33="","",VLOOKUP(D33,'G-7 Rivers Data'!$B$2:$G$8,2,FALSE))</f>
        <v/>
      </c>
      <c r="G33" s="499" t="str">
        <f>IFERROR(VLOOKUP(F33,'G-7 Rivers Data'!$C$4:$D$8,2,FALSE),"")</f>
        <v/>
      </c>
      <c r="H33" s="145"/>
      <c r="I33" s="499" t="str">
        <f>IFERROR(INDEX('G-7 Rivers Data'!$H$4:$L$8,MATCH(D33,'G-7 Rivers Data'!$B$4:$B$8,0),MATCH(H33,'G-7 Rivers Data'!$H$3:$L$3,0)),"")</f>
        <v/>
      </c>
      <c r="J33" s="418"/>
      <c r="K33" s="498" t="str">
        <f>IF(J33="","",IF(VLOOKUP(J33,'G-7 Rivers Data'!$AK$4:$AM$9,2,FALSE)=0,"Spatial Data Missing ⚠",VLOOKUP(J33,'G-7 Rivers Data'!$AK$4:$AM$9,2,FALSE)))</f>
        <v/>
      </c>
      <c r="L33" s="505"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Data'!$B$2:$G$8,6,FALSE))</f>
        <v/>
      </c>
      <c r="R33" s="513" t="str">
        <f t="shared" si="0"/>
        <v/>
      </c>
      <c r="S33" s="40"/>
      <c r="T33" s="145"/>
      <c r="U33" s="157"/>
      <c r="V33" s="511" t="str">
        <f t="shared" si="1"/>
        <v/>
      </c>
      <c r="W33" s="511" t="str">
        <f t="shared" si="2"/>
        <v/>
      </c>
      <c r="X33" s="511" t="str">
        <f t="shared" si="3"/>
        <v/>
      </c>
      <c r="Y33" s="515"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8" x14ac:dyDescent="0.25">
      <c r="C34" s="141">
        <v>25</v>
      </c>
      <c r="D34" s="460"/>
      <c r="E34" s="172"/>
      <c r="F34" s="498" t="str">
        <f>IF(D34="","",VLOOKUP(D34,'G-7 Rivers Data'!$B$2:$G$8,2,FALSE))</f>
        <v/>
      </c>
      <c r="G34" s="499" t="str">
        <f>IFERROR(VLOOKUP(F34,'G-7 Rivers Data'!$C$4:$D$8,2,FALSE),"")</f>
        <v/>
      </c>
      <c r="H34" s="145"/>
      <c r="I34" s="499" t="str">
        <f>IFERROR(INDEX('G-7 Rivers Data'!$H$4:$L$8,MATCH(D34,'G-7 Rivers Data'!$B$4:$B$8,0),MATCH(H34,'G-7 Rivers Data'!$H$3:$L$3,0)),"")</f>
        <v/>
      </c>
      <c r="J34" s="418"/>
      <c r="K34" s="498" t="str">
        <f>IF(J34="","",IF(VLOOKUP(J34,'G-7 Rivers Data'!$AK$4:$AM$9,2,FALSE)=0,"Spatial Data Missing ⚠",VLOOKUP(J34,'G-7 Rivers Data'!$AK$4:$AM$9,2,FALSE)))</f>
        <v/>
      </c>
      <c r="L34" s="505"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Data'!$B$2:$G$8,6,FALSE))</f>
        <v/>
      </c>
      <c r="R34" s="513" t="str">
        <f t="shared" si="0"/>
        <v/>
      </c>
      <c r="S34" s="40"/>
      <c r="T34" s="145"/>
      <c r="U34" s="157"/>
      <c r="V34" s="511" t="str">
        <f t="shared" si="1"/>
        <v/>
      </c>
      <c r="W34" s="511" t="str">
        <f t="shared" si="2"/>
        <v/>
      </c>
      <c r="X34" s="511" t="str">
        <f t="shared" si="3"/>
        <v/>
      </c>
      <c r="Y34" s="515"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8" x14ac:dyDescent="0.25">
      <c r="C35" s="141">
        <v>26</v>
      </c>
      <c r="D35" s="460"/>
      <c r="E35" s="172"/>
      <c r="F35" s="498" t="str">
        <f>IF(D35="","",VLOOKUP(D35,'G-7 Rivers Data'!$B$2:$G$8,2,FALSE))</f>
        <v/>
      </c>
      <c r="G35" s="499" t="str">
        <f>IFERROR(VLOOKUP(F35,'G-7 Rivers Data'!$C$4:$D$8,2,FALSE),"")</f>
        <v/>
      </c>
      <c r="H35" s="145"/>
      <c r="I35" s="499" t="str">
        <f>IFERROR(INDEX('G-7 Rivers Data'!$H$4:$L$8,MATCH(D35,'G-7 Rivers Data'!$B$4:$B$8,0),MATCH(H35,'G-7 Rivers Data'!$H$3:$L$3,0)),"")</f>
        <v/>
      </c>
      <c r="J35" s="418"/>
      <c r="K35" s="498" t="str">
        <f>IF(J35="","",IF(VLOOKUP(J35,'G-7 Rivers Data'!$AK$4:$AM$9,2,FALSE)=0,"Spatial Data Missing ⚠",VLOOKUP(J35,'G-7 Rivers Data'!$AK$4:$AM$9,2,FALSE)))</f>
        <v/>
      </c>
      <c r="L35" s="505"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Data'!$B$2:$G$8,6,FALSE))</f>
        <v/>
      </c>
      <c r="R35" s="513" t="str">
        <f t="shared" si="0"/>
        <v/>
      </c>
      <c r="S35" s="40"/>
      <c r="T35" s="145"/>
      <c r="U35" s="157"/>
      <c r="V35" s="511" t="str">
        <f t="shared" si="1"/>
        <v/>
      </c>
      <c r="W35" s="511" t="str">
        <f t="shared" si="2"/>
        <v/>
      </c>
      <c r="X35" s="511" t="str">
        <f t="shared" si="3"/>
        <v/>
      </c>
      <c r="Y35" s="515"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8" x14ac:dyDescent="0.25">
      <c r="C36" s="141">
        <v>27</v>
      </c>
      <c r="D36" s="460"/>
      <c r="E36" s="172"/>
      <c r="F36" s="498" t="str">
        <f>IF(D36="","",VLOOKUP(D36,'G-7 Rivers Data'!$B$2:$G$8,2,FALSE))</f>
        <v/>
      </c>
      <c r="G36" s="499" t="str">
        <f>IFERROR(VLOOKUP(F36,'G-7 Rivers Data'!$C$4:$D$8,2,FALSE),"")</f>
        <v/>
      </c>
      <c r="H36" s="145"/>
      <c r="I36" s="499" t="str">
        <f>IFERROR(INDEX('G-7 Rivers Data'!$H$4:$L$8,MATCH(D36,'G-7 Rivers Data'!$B$4:$B$8,0),MATCH(H36,'G-7 Rivers Data'!$H$3:$L$3,0)),"")</f>
        <v/>
      </c>
      <c r="J36" s="418"/>
      <c r="K36" s="498" t="str">
        <f>IF(J36="","",IF(VLOOKUP(J36,'G-7 Rivers Data'!$AK$4:$AM$9,2,FALSE)=0,"Spatial Data Missing ⚠",VLOOKUP(J36,'G-7 Rivers Data'!$AK$4:$AM$9,2,FALSE)))</f>
        <v/>
      </c>
      <c r="L36" s="505"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Data'!$B$2:$G$8,6,FALSE))</f>
        <v/>
      </c>
      <c r="R36" s="513" t="str">
        <f t="shared" si="0"/>
        <v/>
      </c>
      <c r="S36" s="40"/>
      <c r="T36" s="145"/>
      <c r="U36" s="157"/>
      <c r="V36" s="511" t="str">
        <f t="shared" si="1"/>
        <v/>
      </c>
      <c r="W36" s="511" t="str">
        <f t="shared" si="2"/>
        <v/>
      </c>
      <c r="X36" s="511" t="str">
        <f t="shared" si="3"/>
        <v/>
      </c>
      <c r="Y36" s="515"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8" x14ac:dyDescent="0.25">
      <c r="C37" s="141">
        <v>28</v>
      </c>
      <c r="D37" s="460"/>
      <c r="E37" s="172"/>
      <c r="F37" s="498" t="str">
        <f>IF(D37="","",VLOOKUP(D37,'G-7 Rivers Data'!$B$2:$G$8,2,FALSE))</f>
        <v/>
      </c>
      <c r="G37" s="499" t="str">
        <f>IFERROR(VLOOKUP(F37,'G-7 Rivers Data'!$C$4:$D$8,2,FALSE),"")</f>
        <v/>
      </c>
      <c r="H37" s="145"/>
      <c r="I37" s="499" t="str">
        <f>IFERROR(INDEX('G-7 Rivers Data'!$H$4:$L$8,MATCH(D37,'G-7 Rivers Data'!$B$4:$B$8,0),MATCH(H37,'G-7 Rivers Data'!$H$3:$L$3,0)),"")</f>
        <v/>
      </c>
      <c r="J37" s="418"/>
      <c r="K37" s="498" t="str">
        <f>IF(J37="","",IF(VLOOKUP(J37,'G-7 Rivers Data'!$AK$4:$AM$9,2,FALSE)=0,"Spatial Data Missing ⚠",VLOOKUP(J37,'G-7 Rivers Data'!$AK$4:$AM$9,2,FALSE)))</f>
        <v/>
      </c>
      <c r="L37" s="505"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Data'!$B$2:$G$8,6,FALSE))</f>
        <v/>
      </c>
      <c r="R37" s="513" t="str">
        <f t="shared" si="0"/>
        <v/>
      </c>
      <c r="S37" s="40"/>
      <c r="T37" s="145"/>
      <c r="U37" s="157"/>
      <c r="V37" s="511" t="str">
        <f t="shared" si="1"/>
        <v/>
      </c>
      <c r="W37" s="511" t="str">
        <f t="shared" si="2"/>
        <v/>
      </c>
      <c r="X37" s="511" t="str">
        <f t="shared" si="3"/>
        <v/>
      </c>
      <c r="Y37" s="515"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8" x14ac:dyDescent="0.25">
      <c r="C38" s="141">
        <v>29</v>
      </c>
      <c r="D38" s="460"/>
      <c r="E38" s="172"/>
      <c r="F38" s="498" t="str">
        <f>IF(D38="","",VLOOKUP(D38,'G-7 Rivers Data'!$B$2:$G$8,2,FALSE))</f>
        <v/>
      </c>
      <c r="G38" s="499" t="str">
        <f>IFERROR(VLOOKUP(F38,'G-7 Rivers Data'!$C$4:$D$8,2,FALSE),"")</f>
        <v/>
      </c>
      <c r="H38" s="145"/>
      <c r="I38" s="499" t="str">
        <f>IFERROR(INDEX('G-7 Rivers Data'!$H$4:$L$8,MATCH(D38,'G-7 Rivers Data'!$B$4:$B$8,0),MATCH(H38,'G-7 Rivers Data'!$H$3:$L$3,0)),"")</f>
        <v/>
      </c>
      <c r="J38" s="418"/>
      <c r="K38" s="498" t="str">
        <f>IF(J38="","",IF(VLOOKUP(J38,'G-7 Rivers Data'!$AK$4:$AM$9,2,FALSE)=0,"Spatial Data Missing ⚠",VLOOKUP(J38,'G-7 Rivers Data'!$AK$4:$AM$9,2,FALSE)))</f>
        <v/>
      </c>
      <c r="L38" s="505"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Data'!$B$2:$G$8,6,FALSE))</f>
        <v/>
      </c>
      <c r="R38" s="513" t="str">
        <f t="shared" si="0"/>
        <v/>
      </c>
      <c r="S38" s="40"/>
      <c r="T38" s="145"/>
      <c r="U38" s="157"/>
      <c r="V38" s="511" t="str">
        <f t="shared" si="1"/>
        <v/>
      </c>
      <c r="W38" s="511" t="str">
        <f t="shared" si="2"/>
        <v/>
      </c>
      <c r="X38" s="511" t="str">
        <f t="shared" si="3"/>
        <v/>
      </c>
      <c r="Y38" s="515"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8" x14ac:dyDescent="0.25">
      <c r="C39" s="141">
        <v>30</v>
      </c>
      <c r="D39" s="460"/>
      <c r="E39" s="172"/>
      <c r="F39" s="498" t="str">
        <f>IF(D39="","",VLOOKUP(D39,'G-7 Rivers Data'!$B$2:$G$8,2,FALSE))</f>
        <v/>
      </c>
      <c r="G39" s="499" t="str">
        <f>IFERROR(VLOOKUP(F39,'G-7 Rivers Data'!$C$4:$D$8,2,FALSE),"")</f>
        <v/>
      </c>
      <c r="H39" s="145"/>
      <c r="I39" s="499" t="str">
        <f>IFERROR(INDEX('G-7 Rivers Data'!$H$4:$L$8,MATCH(D39,'G-7 Rivers Data'!$B$4:$B$8,0),MATCH(H39,'G-7 Rivers Data'!$H$3:$L$3,0)),"")</f>
        <v/>
      </c>
      <c r="J39" s="418"/>
      <c r="K39" s="498" t="str">
        <f>IF(J39="","",IF(VLOOKUP(J39,'G-7 Rivers Data'!$AK$4:$AM$9,2,FALSE)=0,"Spatial Data Missing ⚠",VLOOKUP(J39,'G-7 Rivers Data'!$AK$4:$AM$9,2,FALSE)))</f>
        <v/>
      </c>
      <c r="L39" s="505"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Data'!$B$2:$G$8,6,FALSE))</f>
        <v/>
      </c>
      <c r="R39" s="513" t="str">
        <f t="shared" si="0"/>
        <v/>
      </c>
      <c r="S39" s="40"/>
      <c r="T39" s="145"/>
      <c r="U39" s="157"/>
      <c r="V39" s="511" t="str">
        <f t="shared" si="1"/>
        <v/>
      </c>
      <c r="W39" s="511" t="str">
        <f t="shared" si="2"/>
        <v/>
      </c>
      <c r="X39" s="511" t="str">
        <f t="shared" si="3"/>
        <v/>
      </c>
      <c r="Y39" s="515"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8" x14ac:dyDescent="0.25">
      <c r="C40" s="141">
        <v>31</v>
      </c>
      <c r="D40" s="460"/>
      <c r="E40" s="172"/>
      <c r="F40" s="498" t="str">
        <f>IF(D40="","",VLOOKUP(D40,'G-7 Rivers Data'!$B$2:$G$8,2,FALSE))</f>
        <v/>
      </c>
      <c r="G40" s="499" t="str">
        <f>IFERROR(VLOOKUP(F40,'G-7 Rivers Data'!$C$4:$D$8,2,FALSE),"")</f>
        <v/>
      </c>
      <c r="H40" s="145"/>
      <c r="I40" s="499" t="str">
        <f>IFERROR(INDEX('G-7 Rivers Data'!$H$4:$L$8,MATCH(D40,'G-7 Rivers Data'!$B$4:$B$8,0),MATCH(H40,'G-7 Rivers Data'!$H$3:$L$3,0)),"")</f>
        <v/>
      </c>
      <c r="J40" s="418"/>
      <c r="K40" s="498" t="str">
        <f>IF(J40="","",IF(VLOOKUP(J40,'G-7 Rivers Data'!$AK$4:$AM$9,2,FALSE)=0,"Spatial Data Missing ⚠",VLOOKUP(J40,'G-7 Rivers Data'!$AK$4:$AM$9,2,FALSE)))</f>
        <v/>
      </c>
      <c r="L40" s="505"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Data'!$B$2:$G$8,6,FALSE))</f>
        <v/>
      </c>
      <c r="R40" s="513" t="str">
        <f t="shared" si="0"/>
        <v/>
      </c>
      <c r="S40" s="40"/>
      <c r="T40" s="145"/>
      <c r="U40" s="157"/>
      <c r="V40" s="511" t="str">
        <f t="shared" si="1"/>
        <v/>
      </c>
      <c r="W40" s="511" t="str">
        <f t="shared" si="2"/>
        <v/>
      </c>
      <c r="X40" s="511" t="str">
        <f t="shared" si="3"/>
        <v/>
      </c>
      <c r="Y40" s="515"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8" x14ac:dyDescent="0.25">
      <c r="C41" s="141">
        <v>32</v>
      </c>
      <c r="D41" s="460"/>
      <c r="E41" s="172"/>
      <c r="F41" s="498" t="str">
        <f>IF(D41="","",VLOOKUP(D41,'G-7 Rivers Data'!$B$2:$G$8,2,FALSE))</f>
        <v/>
      </c>
      <c r="G41" s="499" t="str">
        <f>IFERROR(VLOOKUP(F41,'G-7 Rivers Data'!$C$4:$D$8,2,FALSE),"")</f>
        <v/>
      </c>
      <c r="H41" s="145"/>
      <c r="I41" s="499" t="str">
        <f>IFERROR(INDEX('G-7 Rivers Data'!$H$4:$L$8,MATCH(D41,'G-7 Rivers Data'!$B$4:$B$8,0),MATCH(H41,'G-7 Rivers Data'!$H$3:$L$3,0)),"")</f>
        <v/>
      </c>
      <c r="J41" s="418"/>
      <c r="K41" s="498" t="str">
        <f>IF(J41="","",IF(VLOOKUP(J41,'G-7 Rivers Data'!$AK$4:$AM$9,2,FALSE)=0,"Spatial Data Missing ⚠",VLOOKUP(J41,'G-7 Rivers Data'!$AK$4:$AM$9,2,FALSE)))</f>
        <v/>
      </c>
      <c r="L41" s="505"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Data'!$B$2:$G$8,6,FALSE))</f>
        <v/>
      </c>
      <c r="R41" s="513" t="str">
        <f t="shared" si="0"/>
        <v/>
      </c>
      <c r="S41" s="40"/>
      <c r="T41" s="145"/>
      <c r="U41" s="157"/>
      <c r="V41" s="511" t="str">
        <f t="shared" si="1"/>
        <v/>
      </c>
      <c r="W41" s="511" t="str">
        <f t="shared" si="2"/>
        <v/>
      </c>
      <c r="X41" s="511" t="str">
        <f t="shared" si="3"/>
        <v/>
      </c>
      <c r="Y41" s="515"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8" x14ac:dyDescent="0.25">
      <c r="C42" s="141">
        <v>33</v>
      </c>
      <c r="D42" s="460"/>
      <c r="E42" s="172"/>
      <c r="F42" s="498" t="str">
        <f>IF(D42="","",VLOOKUP(D42,'G-7 Rivers Data'!$B$2:$G$8,2,FALSE))</f>
        <v/>
      </c>
      <c r="G42" s="499" t="str">
        <f>IFERROR(VLOOKUP(F42,'G-7 Rivers Data'!$C$4:$D$8,2,FALSE),"")</f>
        <v/>
      </c>
      <c r="H42" s="145"/>
      <c r="I42" s="499" t="str">
        <f>IFERROR(INDEX('G-7 Rivers Data'!$H$4:$L$8,MATCH(D42,'G-7 Rivers Data'!$B$4:$B$8,0),MATCH(H42,'G-7 Rivers Data'!$H$3:$L$3,0)),"")</f>
        <v/>
      </c>
      <c r="J42" s="418"/>
      <c r="K42" s="498" t="str">
        <f>IF(J42="","",IF(VLOOKUP(J42,'G-7 Rivers Data'!$AK$4:$AM$9,2,FALSE)=0,"Spatial Data Missing ⚠",VLOOKUP(J42,'G-7 Rivers Data'!$AK$4:$AM$9,2,FALSE)))</f>
        <v/>
      </c>
      <c r="L42" s="505"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Data'!$B$2:$G$8,6,FALSE))</f>
        <v/>
      </c>
      <c r="R42" s="513" t="str">
        <f t="shared" si="0"/>
        <v/>
      </c>
      <c r="S42" s="40"/>
      <c r="T42" s="145"/>
      <c r="U42" s="157"/>
      <c r="V42" s="511" t="str">
        <f t="shared" si="1"/>
        <v/>
      </c>
      <c r="W42" s="511" t="str">
        <f t="shared" si="2"/>
        <v/>
      </c>
      <c r="X42" s="511" t="str">
        <f t="shared" si="3"/>
        <v/>
      </c>
      <c r="Y42" s="515"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8" x14ac:dyDescent="0.25">
      <c r="C43" s="141">
        <v>34</v>
      </c>
      <c r="D43" s="460"/>
      <c r="E43" s="172"/>
      <c r="F43" s="498" t="str">
        <f>IF(D43="","",VLOOKUP(D43,'G-7 Rivers Data'!$B$2:$G$8,2,FALSE))</f>
        <v/>
      </c>
      <c r="G43" s="499" t="str">
        <f>IFERROR(VLOOKUP(F43,'G-7 Rivers Data'!$C$4:$D$8,2,FALSE),"")</f>
        <v/>
      </c>
      <c r="H43" s="145"/>
      <c r="I43" s="499" t="str">
        <f>IFERROR(INDEX('G-7 Rivers Data'!$H$4:$L$8,MATCH(D43,'G-7 Rivers Data'!$B$4:$B$8,0),MATCH(H43,'G-7 Rivers Data'!$H$3:$L$3,0)),"")</f>
        <v/>
      </c>
      <c r="J43" s="418"/>
      <c r="K43" s="498" t="str">
        <f>IF(J43="","",IF(VLOOKUP(J43,'G-7 Rivers Data'!$AK$4:$AM$9,2,FALSE)=0,"Spatial Data Missing ⚠",VLOOKUP(J43,'G-7 Rivers Data'!$AK$4:$AM$9,2,FALSE)))</f>
        <v/>
      </c>
      <c r="L43" s="505"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Data'!$B$2:$G$8,6,FALSE))</f>
        <v/>
      </c>
      <c r="R43" s="513" t="str">
        <f t="shared" si="0"/>
        <v/>
      </c>
      <c r="S43" s="40"/>
      <c r="T43" s="145"/>
      <c r="U43" s="157"/>
      <c r="V43" s="511" t="str">
        <f t="shared" si="1"/>
        <v/>
      </c>
      <c r="W43" s="511" t="str">
        <f t="shared" si="2"/>
        <v/>
      </c>
      <c r="X43" s="511" t="str">
        <f t="shared" si="3"/>
        <v/>
      </c>
      <c r="Y43" s="515"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8" x14ac:dyDescent="0.25">
      <c r="C44" s="141">
        <v>35</v>
      </c>
      <c r="D44" s="460"/>
      <c r="E44" s="172"/>
      <c r="F44" s="498" t="str">
        <f>IF(D44="","",VLOOKUP(D44,'G-7 Rivers Data'!$B$2:$G$8,2,FALSE))</f>
        <v/>
      </c>
      <c r="G44" s="499" t="str">
        <f>IFERROR(VLOOKUP(F44,'G-7 Rivers Data'!$C$4:$D$8,2,FALSE),"")</f>
        <v/>
      </c>
      <c r="H44" s="145"/>
      <c r="I44" s="499" t="str">
        <f>IFERROR(INDEX('G-7 Rivers Data'!$H$4:$L$8,MATCH(D44,'G-7 Rivers Data'!$B$4:$B$8,0),MATCH(H44,'G-7 Rivers Data'!$H$3:$L$3,0)),"")</f>
        <v/>
      </c>
      <c r="J44" s="418"/>
      <c r="K44" s="498" t="str">
        <f>IF(J44="","",IF(VLOOKUP(J44,'G-7 Rivers Data'!$AK$4:$AM$9,2,FALSE)=0,"Spatial Data Missing ⚠",VLOOKUP(J44,'G-7 Rivers Data'!$AK$4:$AM$9,2,FALSE)))</f>
        <v/>
      </c>
      <c r="L44" s="505"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Data'!$B$2:$G$8,6,FALSE))</f>
        <v/>
      </c>
      <c r="R44" s="513" t="str">
        <f t="shared" si="0"/>
        <v/>
      </c>
      <c r="S44" s="40"/>
      <c r="T44" s="145"/>
      <c r="U44" s="157"/>
      <c r="V44" s="511" t="str">
        <f t="shared" si="1"/>
        <v/>
      </c>
      <c r="W44" s="511" t="str">
        <f t="shared" si="2"/>
        <v/>
      </c>
      <c r="X44" s="511" t="str">
        <f t="shared" si="3"/>
        <v/>
      </c>
      <c r="Y44" s="515"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8" x14ac:dyDescent="0.25">
      <c r="C45" s="141">
        <v>36</v>
      </c>
      <c r="D45" s="460"/>
      <c r="E45" s="172"/>
      <c r="F45" s="498" t="str">
        <f>IF(D45="","",VLOOKUP(D45,'G-7 Rivers Data'!$B$2:$G$8,2,FALSE))</f>
        <v/>
      </c>
      <c r="G45" s="499" t="str">
        <f>IFERROR(VLOOKUP(F45,'G-7 Rivers Data'!$C$4:$D$8,2,FALSE),"")</f>
        <v/>
      </c>
      <c r="H45" s="145"/>
      <c r="I45" s="499" t="str">
        <f>IFERROR(INDEX('G-7 Rivers Data'!$H$4:$L$8,MATCH(D45,'G-7 Rivers Data'!$B$4:$B$8,0),MATCH(H45,'G-7 Rivers Data'!$H$3:$L$3,0)),"")</f>
        <v/>
      </c>
      <c r="J45" s="418"/>
      <c r="K45" s="498" t="str">
        <f>IF(J45="","",IF(VLOOKUP(J45,'G-7 Rivers Data'!$AK$4:$AM$9,2,FALSE)=0,"Spatial Data Missing ⚠",VLOOKUP(J45,'G-7 Rivers Data'!$AK$4:$AM$9,2,FALSE)))</f>
        <v/>
      </c>
      <c r="L45" s="505"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Data'!$B$2:$G$8,6,FALSE))</f>
        <v/>
      </c>
      <c r="R45" s="513" t="str">
        <f t="shared" si="0"/>
        <v/>
      </c>
      <c r="S45" s="40"/>
      <c r="T45" s="145"/>
      <c r="U45" s="157"/>
      <c r="V45" s="511" t="str">
        <f t="shared" si="1"/>
        <v/>
      </c>
      <c r="W45" s="511" t="str">
        <f t="shared" si="2"/>
        <v/>
      </c>
      <c r="X45" s="511" t="str">
        <f t="shared" si="3"/>
        <v/>
      </c>
      <c r="Y45" s="515"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8" x14ac:dyDescent="0.25">
      <c r="C46" s="141">
        <v>37</v>
      </c>
      <c r="D46" s="460"/>
      <c r="E46" s="172"/>
      <c r="F46" s="498" t="str">
        <f>IF(D46="","",VLOOKUP(D46,'G-7 Rivers Data'!$B$2:$G$8,2,FALSE))</f>
        <v/>
      </c>
      <c r="G46" s="499" t="str">
        <f>IFERROR(VLOOKUP(F46,'G-7 Rivers Data'!$C$4:$D$8,2,FALSE),"")</f>
        <v/>
      </c>
      <c r="H46" s="145"/>
      <c r="I46" s="499" t="str">
        <f>IFERROR(INDEX('G-7 Rivers Data'!$H$4:$L$8,MATCH(D46,'G-7 Rivers Data'!$B$4:$B$8,0),MATCH(H46,'G-7 Rivers Data'!$H$3:$L$3,0)),"")</f>
        <v/>
      </c>
      <c r="J46" s="418"/>
      <c r="K46" s="498" t="str">
        <f>IF(J46="","",IF(VLOOKUP(J46,'G-7 Rivers Data'!$AK$4:$AM$9,2,FALSE)=0,"Spatial Data Missing ⚠",VLOOKUP(J46,'G-7 Rivers Data'!$AK$4:$AM$9,2,FALSE)))</f>
        <v/>
      </c>
      <c r="L46" s="505"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Data'!$B$2:$G$8,6,FALSE))</f>
        <v/>
      </c>
      <c r="R46" s="513" t="str">
        <f t="shared" si="0"/>
        <v/>
      </c>
      <c r="S46" s="40"/>
      <c r="T46" s="145"/>
      <c r="U46" s="157"/>
      <c r="V46" s="511" t="str">
        <f t="shared" si="1"/>
        <v/>
      </c>
      <c r="W46" s="511" t="str">
        <f t="shared" si="2"/>
        <v/>
      </c>
      <c r="X46" s="511" t="str">
        <f t="shared" si="3"/>
        <v/>
      </c>
      <c r="Y46" s="515"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8" x14ac:dyDescent="0.25">
      <c r="C47" s="141">
        <v>38</v>
      </c>
      <c r="D47" s="460"/>
      <c r="E47" s="172"/>
      <c r="F47" s="498" t="str">
        <f>IF(D47="","",VLOOKUP(D47,'G-7 Rivers Data'!$B$2:$G$8,2,FALSE))</f>
        <v/>
      </c>
      <c r="G47" s="499" t="str">
        <f>IFERROR(VLOOKUP(F47,'G-7 Rivers Data'!$C$4:$D$8,2,FALSE),"")</f>
        <v/>
      </c>
      <c r="H47" s="145"/>
      <c r="I47" s="499" t="str">
        <f>IFERROR(INDEX('G-7 Rivers Data'!$H$4:$L$8,MATCH(D47,'G-7 Rivers Data'!$B$4:$B$8,0),MATCH(H47,'G-7 Rivers Data'!$H$3:$L$3,0)),"")</f>
        <v/>
      </c>
      <c r="J47" s="418"/>
      <c r="K47" s="498" t="str">
        <f>IF(J47="","",IF(VLOOKUP(J47,'G-7 Rivers Data'!$AK$4:$AM$9,2,FALSE)=0,"Spatial Data Missing ⚠",VLOOKUP(J47,'G-7 Rivers Data'!$AK$4:$AM$9,2,FALSE)))</f>
        <v/>
      </c>
      <c r="L47" s="505"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Data'!$B$2:$G$8,6,FALSE))</f>
        <v/>
      </c>
      <c r="R47" s="513" t="str">
        <f t="shared" si="0"/>
        <v/>
      </c>
      <c r="S47" s="40"/>
      <c r="T47" s="145"/>
      <c r="U47" s="157"/>
      <c r="V47" s="511" t="str">
        <f t="shared" si="1"/>
        <v/>
      </c>
      <c r="W47" s="511" t="str">
        <f t="shared" si="2"/>
        <v/>
      </c>
      <c r="X47" s="511" t="str">
        <f t="shared" si="3"/>
        <v/>
      </c>
      <c r="Y47" s="515"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8" x14ac:dyDescent="0.25">
      <c r="C48" s="141">
        <v>39</v>
      </c>
      <c r="D48" s="460"/>
      <c r="E48" s="172"/>
      <c r="F48" s="498" t="str">
        <f>IF(D48="","",VLOOKUP(D48,'G-7 Rivers Data'!$B$2:$G$8,2,FALSE))</f>
        <v/>
      </c>
      <c r="G48" s="499" t="str">
        <f>IFERROR(VLOOKUP(F48,'G-7 Rivers Data'!$C$4:$D$8,2,FALSE),"")</f>
        <v/>
      </c>
      <c r="H48" s="145"/>
      <c r="I48" s="499" t="str">
        <f>IFERROR(INDEX('G-7 Rivers Data'!$H$4:$L$8,MATCH(D48,'G-7 Rivers Data'!$B$4:$B$8,0),MATCH(H48,'G-7 Rivers Data'!$H$3:$L$3,0)),"")</f>
        <v/>
      </c>
      <c r="J48" s="418"/>
      <c r="K48" s="498" t="str">
        <f>IF(J48="","",IF(VLOOKUP(J48,'G-7 Rivers Data'!$AK$4:$AM$9,2,FALSE)=0,"Spatial Data Missing ⚠",VLOOKUP(J48,'G-7 Rivers Data'!$AK$4:$AM$9,2,FALSE)))</f>
        <v/>
      </c>
      <c r="L48" s="505"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Data'!$B$2:$G$8,6,FALSE))</f>
        <v/>
      </c>
      <c r="R48" s="513" t="str">
        <f t="shared" si="0"/>
        <v/>
      </c>
      <c r="S48" s="40"/>
      <c r="T48" s="145"/>
      <c r="U48" s="157"/>
      <c r="V48" s="511" t="str">
        <f t="shared" si="1"/>
        <v/>
      </c>
      <c r="W48" s="511" t="str">
        <f t="shared" si="2"/>
        <v/>
      </c>
      <c r="X48" s="511" t="str">
        <f t="shared" si="3"/>
        <v/>
      </c>
      <c r="Y48" s="515"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8" x14ac:dyDescent="0.25">
      <c r="C49" s="141">
        <v>40</v>
      </c>
      <c r="D49" s="460"/>
      <c r="E49" s="172"/>
      <c r="F49" s="498" t="str">
        <f>IF(D49="","",VLOOKUP(D49,'G-7 Rivers Data'!$B$2:$G$8,2,FALSE))</f>
        <v/>
      </c>
      <c r="G49" s="499" t="str">
        <f>IFERROR(VLOOKUP(F49,'G-7 Rivers Data'!$C$4:$D$8,2,FALSE),"")</f>
        <v/>
      </c>
      <c r="H49" s="145"/>
      <c r="I49" s="499" t="str">
        <f>IFERROR(INDEX('G-7 Rivers Data'!$H$4:$L$8,MATCH(D49,'G-7 Rivers Data'!$B$4:$B$8,0),MATCH(H49,'G-7 Rivers Data'!$H$3:$L$3,0)),"")</f>
        <v/>
      </c>
      <c r="J49" s="418"/>
      <c r="K49" s="498" t="str">
        <f>IF(J49="","",IF(VLOOKUP(J49,'G-7 Rivers Data'!$AK$4:$AM$9,2,FALSE)=0,"Spatial Data Missing ⚠",VLOOKUP(J49,'G-7 Rivers Data'!$AK$4:$AM$9,2,FALSE)))</f>
        <v/>
      </c>
      <c r="L49" s="505"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Data'!$B$2:$G$8,6,FALSE))</f>
        <v/>
      </c>
      <c r="R49" s="513" t="str">
        <f t="shared" si="0"/>
        <v/>
      </c>
      <c r="S49" s="40"/>
      <c r="T49" s="145"/>
      <c r="U49" s="157"/>
      <c r="V49" s="511" t="str">
        <f t="shared" si="1"/>
        <v/>
      </c>
      <c r="W49" s="511" t="str">
        <f t="shared" si="2"/>
        <v/>
      </c>
      <c r="X49" s="511" t="str">
        <f t="shared" si="3"/>
        <v/>
      </c>
      <c r="Y49" s="515"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8" x14ac:dyDescent="0.25">
      <c r="C50" s="141">
        <v>41</v>
      </c>
      <c r="D50" s="460"/>
      <c r="E50" s="172"/>
      <c r="F50" s="498" t="str">
        <f>IF(D50="","",VLOOKUP(D50,'G-7 Rivers Data'!$B$2:$G$8,2,FALSE))</f>
        <v/>
      </c>
      <c r="G50" s="499" t="str">
        <f>IFERROR(VLOOKUP(F50,'G-7 Rivers Data'!$C$4:$D$8,2,FALSE),"")</f>
        <v/>
      </c>
      <c r="H50" s="145"/>
      <c r="I50" s="499" t="str">
        <f>IFERROR(INDEX('G-7 Rivers Data'!$H$4:$L$8,MATCH(D50,'G-7 Rivers Data'!$B$4:$B$8,0),MATCH(H50,'G-7 Rivers Data'!$H$3:$L$3,0)),"")</f>
        <v/>
      </c>
      <c r="J50" s="418"/>
      <c r="K50" s="498" t="str">
        <f>IF(J50="","",IF(VLOOKUP(J50,'G-7 Rivers Data'!$AK$4:$AM$9,2,FALSE)=0,"Spatial Data Missing ⚠",VLOOKUP(J50,'G-7 Rivers Data'!$AK$4:$AM$9,2,FALSE)))</f>
        <v/>
      </c>
      <c r="L50" s="505"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Data'!$B$2:$G$8,6,FALSE))</f>
        <v/>
      </c>
      <c r="R50" s="513" t="str">
        <f t="shared" si="0"/>
        <v/>
      </c>
      <c r="S50" s="40"/>
      <c r="T50" s="145"/>
      <c r="U50" s="157"/>
      <c r="V50" s="511" t="str">
        <f t="shared" si="1"/>
        <v/>
      </c>
      <c r="W50" s="511" t="str">
        <f t="shared" si="2"/>
        <v/>
      </c>
      <c r="X50" s="511" t="str">
        <f t="shared" si="3"/>
        <v/>
      </c>
      <c r="Y50" s="515"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8" x14ac:dyDescent="0.25">
      <c r="C51" s="141">
        <v>42</v>
      </c>
      <c r="D51" s="460"/>
      <c r="E51" s="172"/>
      <c r="F51" s="498" t="str">
        <f>IF(D51="","",VLOOKUP(D51,'G-7 Rivers Data'!$B$2:$G$8,2,FALSE))</f>
        <v/>
      </c>
      <c r="G51" s="499" t="str">
        <f>IFERROR(VLOOKUP(F51,'G-7 Rivers Data'!$C$4:$D$8,2,FALSE),"")</f>
        <v/>
      </c>
      <c r="H51" s="145"/>
      <c r="I51" s="499" t="str">
        <f>IFERROR(INDEX('G-7 Rivers Data'!$H$4:$L$8,MATCH(D51,'G-7 Rivers Data'!$B$4:$B$8,0),MATCH(H51,'G-7 Rivers Data'!$H$3:$L$3,0)),"")</f>
        <v/>
      </c>
      <c r="J51" s="418"/>
      <c r="K51" s="498" t="str">
        <f>IF(J51="","",IF(VLOOKUP(J51,'G-7 Rivers Data'!$AK$4:$AM$9,2,FALSE)=0,"Spatial Data Missing ⚠",VLOOKUP(J51,'G-7 Rivers Data'!$AK$4:$AM$9,2,FALSE)))</f>
        <v/>
      </c>
      <c r="L51" s="505"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Data'!$B$2:$G$8,6,FALSE))</f>
        <v/>
      </c>
      <c r="R51" s="513" t="str">
        <f t="shared" si="0"/>
        <v/>
      </c>
      <c r="S51" s="40"/>
      <c r="T51" s="145"/>
      <c r="U51" s="157"/>
      <c r="V51" s="511" t="str">
        <f t="shared" si="1"/>
        <v/>
      </c>
      <c r="W51" s="511" t="str">
        <f t="shared" si="2"/>
        <v/>
      </c>
      <c r="X51" s="511" t="str">
        <f t="shared" si="3"/>
        <v/>
      </c>
      <c r="Y51" s="515"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8" x14ac:dyDescent="0.25">
      <c r="C52" s="141">
        <v>43</v>
      </c>
      <c r="D52" s="460"/>
      <c r="E52" s="172"/>
      <c r="F52" s="498" t="str">
        <f>IF(D52="","",VLOOKUP(D52,'G-7 Rivers Data'!$B$2:$G$8,2,FALSE))</f>
        <v/>
      </c>
      <c r="G52" s="499" t="str">
        <f>IFERROR(VLOOKUP(F52,'G-7 Rivers Data'!$C$4:$D$8,2,FALSE),"")</f>
        <v/>
      </c>
      <c r="H52" s="145"/>
      <c r="I52" s="499" t="str">
        <f>IFERROR(INDEX('G-7 Rivers Data'!$H$4:$L$8,MATCH(D52,'G-7 Rivers Data'!$B$4:$B$8,0),MATCH(H52,'G-7 Rivers Data'!$H$3:$L$3,0)),"")</f>
        <v/>
      </c>
      <c r="J52" s="418"/>
      <c r="K52" s="498" t="str">
        <f>IF(J52="","",IF(VLOOKUP(J52,'G-7 Rivers Data'!$AK$4:$AM$9,2,FALSE)=0,"Spatial Data Missing ⚠",VLOOKUP(J52,'G-7 Rivers Data'!$AK$4:$AM$9,2,FALSE)))</f>
        <v/>
      </c>
      <c r="L52" s="505"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Data'!$B$2:$G$8,6,FALSE))</f>
        <v/>
      </c>
      <c r="R52" s="513" t="str">
        <f t="shared" si="0"/>
        <v/>
      </c>
      <c r="S52" s="40"/>
      <c r="T52" s="145"/>
      <c r="U52" s="157"/>
      <c r="V52" s="511" t="str">
        <f t="shared" si="1"/>
        <v/>
      </c>
      <c r="W52" s="511" t="str">
        <f t="shared" si="2"/>
        <v/>
      </c>
      <c r="X52" s="511" t="str">
        <f t="shared" si="3"/>
        <v/>
      </c>
      <c r="Y52" s="515"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8" x14ac:dyDescent="0.25">
      <c r="C53" s="141">
        <v>44</v>
      </c>
      <c r="D53" s="460"/>
      <c r="E53" s="172"/>
      <c r="F53" s="498" t="str">
        <f>IF(D53="","",VLOOKUP(D53,'G-7 Rivers Data'!$B$2:$G$8,2,FALSE))</f>
        <v/>
      </c>
      <c r="G53" s="499" t="str">
        <f>IFERROR(VLOOKUP(F53,'G-7 Rivers Data'!$C$4:$D$8,2,FALSE),"")</f>
        <v/>
      </c>
      <c r="H53" s="145"/>
      <c r="I53" s="499" t="str">
        <f>IFERROR(INDEX('G-7 Rivers Data'!$H$4:$L$8,MATCH(D53,'G-7 Rivers Data'!$B$4:$B$8,0),MATCH(H53,'G-7 Rivers Data'!$H$3:$L$3,0)),"")</f>
        <v/>
      </c>
      <c r="J53" s="418"/>
      <c r="K53" s="498" t="str">
        <f>IF(J53="","",IF(VLOOKUP(J53,'G-7 Rivers Data'!$AK$4:$AM$9,2,FALSE)=0,"Spatial Data Missing ⚠",VLOOKUP(J53,'G-7 Rivers Data'!$AK$4:$AM$9,2,FALSE)))</f>
        <v/>
      </c>
      <c r="L53" s="505"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Data'!$B$2:$G$8,6,FALSE))</f>
        <v/>
      </c>
      <c r="R53" s="513" t="str">
        <f t="shared" si="0"/>
        <v/>
      </c>
      <c r="S53" s="40"/>
      <c r="T53" s="145"/>
      <c r="U53" s="157"/>
      <c r="V53" s="511" t="str">
        <f t="shared" si="1"/>
        <v/>
      </c>
      <c r="W53" s="511" t="str">
        <f t="shared" si="2"/>
        <v/>
      </c>
      <c r="X53" s="511" t="str">
        <f t="shared" si="3"/>
        <v/>
      </c>
      <c r="Y53" s="515"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8" x14ac:dyDescent="0.25">
      <c r="C54" s="141">
        <v>45</v>
      </c>
      <c r="D54" s="460"/>
      <c r="E54" s="172"/>
      <c r="F54" s="498" t="str">
        <f>IF(D54="","",VLOOKUP(D54,'G-7 Rivers Data'!$B$2:$G$8,2,FALSE))</f>
        <v/>
      </c>
      <c r="G54" s="499" t="str">
        <f>IFERROR(VLOOKUP(F54,'G-7 Rivers Data'!$C$4:$D$8,2,FALSE),"")</f>
        <v/>
      </c>
      <c r="H54" s="145"/>
      <c r="I54" s="499" t="str">
        <f>IFERROR(INDEX('G-7 Rivers Data'!$H$4:$L$8,MATCH(D54,'G-7 Rivers Data'!$B$4:$B$8,0),MATCH(H54,'G-7 Rivers Data'!$H$3:$L$3,0)),"")</f>
        <v/>
      </c>
      <c r="J54" s="418"/>
      <c r="K54" s="498" t="str">
        <f>IF(J54="","",IF(VLOOKUP(J54,'G-7 Rivers Data'!$AK$4:$AM$9,2,FALSE)=0,"Spatial Data Missing ⚠",VLOOKUP(J54,'G-7 Rivers Data'!$AK$4:$AM$9,2,FALSE)))</f>
        <v/>
      </c>
      <c r="L54" s="505"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Data'!$B$2:$G$8,6,FALSE))</f>
        <v/>
      </c>
      <c r="R54" s="513" t="str">
        <f t="shared" si="0"/>
        <v/>
      </c>
      <c r="S54" s="40"/>
      <c r="T54" s="145"/>
      <c r="U54" s="157"/>
      <c r="V54" s="511" t="str">
        <f t="shared" si="1"/>
        <v/>
      </c>
      <c r="W54" s="511" t="str">
        <f t="shared" si="2"/>
        <v/>
      </c>
      <c r="X54" s="511" t="str">
        <f t="shared" si="3"/>
        <v/>
      </c>
      <c r="Y54" s="515"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8" x14ac:dyDescent="0.25">
      <c r="C55" s="141">
        <v>46</v>
      </c>
      <c r="D55" s="460"/>
      <c r="E55" s="172"/>
      <c r="F55" s="498" t="str">
        <f>IF(D55="","",VLOOKUP(D55,'G-7 Rivers Data'!$B$2:$G$8,2,FALSE))</f>
        <v/>
      </c>
      <c r="G55" s="499" t="str">
        <f>IFERROR(VLOOKUP(F55,'G-7 Rivers Data'!$C$4:$D$8,2,FALSE),"")</f>
        <v/>
      </c>
      <c r="H55" s="145"/>
      <c r="I55" s="499" t="str">
        <f>IFERROR(INDEX('G-7 Rivers Data'!$H$4:$L$8,MATCH(D55,'G-7 Rivers Data'!$B$4:$B$8,0),MATCH(H55,'G-7 Rivers Data'!$H$3:$L$3,0)),"")</f>
        <v/>
      </c>
      <c r="J55" s="418"/>
      <c r="K55" s="498" t="str">
        <f>IF(J55="","",IF(VLOOKUP(J55,'G-7 Rivers Data'!$AK$4:$AM$9,2,FALSE)=0,"Spatial Data Missing ⚠",VLOOKUP(J55,'G-7 Rivers Data'!$AK$4:$AM$9,2,FALSE)))</f>
        <v/>
      </c>
      <c r="L55" s="505"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Data'!$B$2:$G$8,6,FALSE))</f>
        <v/>
      </c>
      <c r="R55" s="513" t="str">
        <f t="shared" si="0"/>
        <v/>
      </c>
      <c r="S55" s="40"/>
      <c r="T55" s="145"/>
      <c r="U55" s="157"/>
      <c r="V55" s="511" t="str">
        <f t="shared" si="1"/>
        <v/>
      </c>
      <c r="W55" s="511" t="str">
        <f t="shared" si="2"/>
        <v/>
      </c>
      <c r="X55" s="511" t="str">
        <f t="shared" si="3"/>
        <v/>
      </c>
      <c r="Y55" s="515"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8" x14ac:dyDescent="0.25">
      <c r="C56" s="141">
        <v>47</v>
      </c>
      <c r="D56" s="460"/>
      <c r="E56" s="172"/>
      <c r="F56" s="498" t="str">
        <f>IF(D56="","",VLOOKUP(D56,'G-7 Rivers Data'!$B$2:$G$8,2,FALSE))</f>
        <v/>
      </c>
      <c r="G56" s="499" t="str">
        <f>IFERROR(VLOOKUP(F56,'G-7 Rivers Data'!$C$4:$D$8,2,FALSE),"")</f>
        <v/>
      </c>
      <c r="H56" s="145"/>
      <c r="I56" s="499" t="str">
        <f>IFERROR(INDEX('G-7 Rivers Data'!$H$4:$L$8,MATCH(D56,'G-7 Rivers Data'!$B$4:$B$8,0),MATCH(H56,'G-7 Rivers Data'!$H$3:$L$3,0)),"")</f>
        <v/>
      </c>
      <c r="J56" s="418"/>
      <c r="K56" s="498" t="str">
        <f>IF(J56="","",IF(VLOOKUP(J56,'G-7 Rivers Data'!$AK$4:$AM$9,2,FALSE)=0,"Spatial Data Missing ⚠",VLOOKUP(J56,'G-7 Rivers Data'!$AK$4:$AM$9,2,FALSE)))</f>
        <v/>
      </c>
      <c r="L56" s="505"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Data'!$B$2:$G$8,6,FALSE))</f>
        <v/>
      </c>
      <c r="R56" s="513" t="str">
        <f t="shared" si="0"/>
        <v/>
      </c>
      <c r="S56" s="40"/>
      <c r="T56" s="145"/>
      <c r="U56" s="157"/>
      <c r="V56" s="511" t="str">
        <f t="shared" si="1"/>
        <v/>
      </c>
      <c r="W56" s="511" t="str">
        <f t="shared" si="2"/>
        <v/>
      </c>
      <c r="X56" s="511" t="str">
        <f t="shared" si="3"/>
        <v/>
      </c>
      <c r="Y56" s="515"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8" x14ac:dyDescent="0.25">
      <c r="C57" s="141">
        <v>48</v>
      </c>
      <c r="D57" s="460"/>
      <c r="E57" s="172"/>
      <c r="F57" s="498" t="str">
        <f>IF(D57="","",VLOOKUP(D57,'G-7 Rivers Data'!$B$2:$G$8,2,FALSE))</f>
        <v/>
      </c>
      <c r="G57" s="499" t="str">
        <f>IFERROR(VLOOKUP(F57,'G-7 Rivers Data'!$C$4:$D$8,2,FALSE),"")</f>
        <v/>
      </c>
      <c r="H57" s="145"/>
      <c r="I57" s="499" t="str">
        <f>IFERROR(INDEX('G-7 Rivers Data'!$H$4:$L$8,MATCH(D57,'G-7 Rivers Data'!$B$4:$B$8,0),MATCH(H57,'G-7 Rivers Data'!$H$3:$L$3,0)),"")</f>
        <v/>
      </c>
      <c r="J57" s="418"/>
      <c r="K57" s="498" t="str">
        <f>IF(J57="","",IF(VLOOKUP(J57,'G-7 Rivers Data'!$AK$4:$AM$9,2,FALSE)=0,"Spatial Data Missing ⚠",VLOOKUP(J57,'G-7 Rivers Data'!$AK$4:$AM$9,2,FALSE)))</f>
        <v/>
      </c>
      <c r="L57" s="505"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Data'!$B$2:$G$8,6,FALSE))</f>
        <v/>
      </c>
      <c r="R57" s="513" t="str">
        <f t="shared" si="0"/>
        <v/>
      </c>
      <c r="S57" s="40"/>
      <c r="T57" s="145"/>
      <c r="U57" s="157"/>
      <c r="V57" s="511" t="str">
        <f t="shared" si="1"/>
        <v/>
      </c>
      <c r="W57" s="511" t="str">
        <f t="shared" si="2"/>
        <v/>
      </c>
      <c r="X57" s="511" t="str">
        <f t="shared" si="3"/>
        <v/>
      </c>
      <c r="Y57" s="515"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8" x14ac:dyDescent="0.25">
      <c r="C58" s="141">
        <v>49</v>
      </c>
      <c r="D58" s="460"/>
      <c r="E58" s="172"/>
      <c r="F58" s="498" t="str">
        <f>IF(D58="","",VLOOKUP(D58,'G-7 Rivers Data'!$B$2:$G$8,2,FALSE))</f>
        <v/>
      </c>
      <c r="G58" s="499" t="str">
        <f>IFERROR(VLOOKUP(F58,'G-7 Rivers Data'!$C$4:$D$8,2,FALSE),"")</f>
        <v/>
      </c>
      <c r="H58" s="145"/>
      <c r="I58" s="499" t="str">
        <f>IFERROR(INDEX('G-7 Rivers Data'!$H$4:$L$8,MATCH(D58,'G-7 Rivers Data'!$B$4:$B$8,0),MATCH(H58,'G-7 Rivers Data'!$H$3:$L$3,0)),"")</f>
        <v/>
      </c>
      <c r="J58" s="418"/>
      <c r="K58" s="498" t="str">
        <f>IF(J58="","",IF(VLOOKUP(J58,'G-7 Rivers Data'!$AK$4:$AM$9,2,FALSE)=0,"Spatial Data Missing ⚠",VLOOKUP(J58,'G-7 Rivers Data'!$AK$4:$AM$9,2,FALSE)))</f>
        <v/>
      </c>
      <c r="L58" s="505"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Data'!$B$2:$G$8,6,FALSE))</f>
        <v/>
      </c>
      <c r="R58" s="513" t="str">
        <f t="shared" si="0"/>
        <v/>
      </c>
      <c r="S58" s="40"/>
      <c r="T58" s="145"/>
      <c r="U58" s="157"/>
      <c r="V58" s="511" t="str">
        <f t="shared" si="1"/>
        <v/>
      </c>
      <c r="W58" s="511" t="str">
        <f t="shared" si="2"/>
        <v/>
      </c>
      <c r="X58" s="511" t="str">
        <f t="shared" si="3"/>
        <v/>
      </c>
      <c r="Y58" s="515"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8" x14ac:dyDescent="0.25">
      <c r="C59" s="141">
        <v>50</v>
      </c>
      <c r="D59" s="460"/>
      <c r="E59" s="172"/>
      <c r="F59" s="498" t="str">
        <f>IF(D59="","",VLOOKUP(D59,'G-7 Rivers Data'!$B$2:$G$8,2,FALSE))</f>
        <v/>
      </c>
      <c r="G59" s="499" t="str">
        <f>IFERROR(VLOOKUP(F59,'G-7 Rivers Data'!$C$4:$D$8,2,FALSE),"")</f>
        <v/>
      </c>
      <c r="H59" s="145"/>
      <c r="I59" s="499" t="str">
        <f>IFERROR(INDEX('G-7 Rivers Data'!$H$4:$L$8,MATCH(D59,'G-7 Rivers Data'!$B$4:$B$8,0),MATCH(H59,'G-7 Rivers Data'!$H$3:$L$3,0)),"")</f>
        <v/>
      </c>
      <c r="J59" s="418"/>
      <c r="K59" s="498" t="str">
        <f>IF(J59="","",IF(VLOOKUP(J59,'G-7 Rivers Data'!$AK$4:$AM$9,2,FALSE)=0,"Spatial Data Missing ⚠",VLOOKUP(J59,'G-7 Rivers Data'!$AK$4:$AM$9,2,FALSE)))</f>
        <v/>
      </c>
      <c r="L59" s="505"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Data'!$B$2:$G$8,6,FALSE))</f>
        <v/>
      </c>
      <c r="R59" s="513" t="str">
        <f t="shared" si="0"/>
        <v/>
      </c>
      <c r="S59" s="40"/>
      <c r="T59" s="145"/>
      <c r="U59" s="157"/>
      <c r="V59" s="511" t="str">
        <f t="shared" si="1"/>
        <v/>
      </c>
      <c r="W59" s="511" t="str">
        <f t="shared" si="2"/>
        <v/>
      </c>
      <c r="X59" s="511" t="str">
        <f t="shared" si="3"/>
        <v/>
      </c>
      <c r="Y59" s="515"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8" x14ac:dyDescent="0.25">
      <c r="C60" s="141">
        <v>51</v>
      </c>
      <c r="D60" s="460"/>
      <c r="E60" s="172"/>
      <c r="F60" s="498" t="str">
        <f>IF(D60="","",VLOOKUP(D60,'G-7 Rivers Data'!$B$2:$G$8,2,FALSE))</f>
        <v/>
      </c>
      <c r="G60" s="499" t="str">
        <f>IFERROR(VLOOKUP(F60,'G-7 Rivers Data'!$C$4:$D$8,2,FALSE),"")</f>
        <v/>
      </c>
      <c r="H60" s="145"/>
      <c r="I60" s="499" t="str">
        <f>IFERROR(INDEX('G-7 Rivers Data'!$H$4:$L$8,MATCH(D60,'G-7 Rivers Data'!$B$4:$B$8,0),MATCH(H60,'G-7 Rivers Data'!$H$3:$L$3,0)),"")</f>
        <v/>
      </c>
      <c r="J60" s="418"/>
      <c r="K60" s="498" t="str">
        <f>IF(J60="","",IF(VLOOKUP(J60,'G-7 Rivers Data'!$AK$4:$AM$9,2,FALSE)=0,"Spatial Data Missing ⚠",VLOOKUP(J60,'G-7 Rivers Data'!$AK$4:$AM$9,2,FALSE)))</f>
        <v/>
      </c>
      <c r="L60" s="505"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Data'!$B$2:$G$8,6,FALSE))</f>
        <v/>
      </c>
      <c r="R60" s="513" t="str">
        <f t="shared" si="0"/>
        <v/>
      </c>
      <c r="S60" s="40"/>
      <c r="T60" s="145"/>
      <c r="U60" s="157"/>
      <c r="V60" s="511" t="str">
        <f t="shared" si="1"/>
        <v/>
      </c>
      <c r="W60" s="511" t="str">
        <f t="shared" si="2"/>
        <v/>
      </c>
      <c r="X60" s="511" t="str">
        <f t="shared" si="3"/>
        <v/>
      </c>
      <c r="Y60" s="515"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8" x14ac:dyDescent="0.25">
      <c r="C61" s="141">
        <v>52</v>
      </c>
      <c r="D61" s="460"/>
      <c r="E61" s="172"/>
      <c r="F61" s="498" t="str">
        <f>IF(D61="","",VLOOKUP(D61,'G-7 Rivers Data'!$B$2:$G$8,2,FALSE))</f>
        <v/>
      </c>
      <c r="G61" s="499" t="str">
        <f>IFERROR(VLOOKUP(F61,'G-7 Rivers Data'!$C$4:$D$8,2,FALSE),"")</f>
        <v/>
      </c>
      <c r="H61" s="145"/>
      <c r="I61" s="499" t="str">
        <f>IFERROR(INDEX('G-7 Rivers Data'!$H$4:$L$8,MATCH(D61,'G-7 Rivers Data'!$B$4:$B$8,0),MATCH(H61,'G-7 Rivers Data'!$H$3:$L$3,0)),"")</f>
        <v/>
      </c>
      <c r="J61" s="418"/>
      <c r="K61" s="498" t="str">
        <f>IF(J61="","",IF(VLOOKUP(J61,'G-7 Rivers Data'!$AK$4:$AM$9,2,FALSE)=0,"Spatial Data Missing ⚠",VLOOKUP(J61,'G-7 Rivers Data'!$AK$4:$AM$9,2,FALSE)))</f>
        <v/>
      </c>
      <c r="L61" s="505"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Data'!$B$2:$G$8,6,FALSE))</f>
        <v/>
      </c>
      <c r="R61" s="513" t="str">
        <f t="shared" si="0"/>
        <v/>
      </c>
      <c r="S61" s="40"/>
      <c r="T61" s="145"/>
      <c r="U61" s="157"/>
      <c r="V61" s="511" t="str">
        <f t="shared" si="1"/>
        <v/>
      </c>
      <c r="W61" s="511" t="str">
        <f t="shared" si="2"/>
        <v/>
      </c>
      <c r="X61" s="511" t="str">
        <f t="shared" si="3"/>
        <v/>
      </c>
      <c r="Y61" s="515"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8" x14ac:dyDescent="0.25">
      <c r="C62" s="141">
        <v>53</v>
      </c>
      <c r="D62" s="460"/>
      <c r="E62" s="172"/>
      <c r="F62" s="498" t="str">
        <f>IF(D62="","",VLOOKUP(D62,'G-7 Rivers Data'!$B$2:$G$8,2,FALSE))</f>
        <v/>
      </c>
      <c r="G62" s="499" t="str">
        <f>IFERROR(VLOOKUP(F62,'G-7 Rivers Data'!$C$4:$D$8,2,FALSE),"")</f>
        <v/>
      </c>
      <c r="H62" s="145"/>
      <c r="I62" s="499" t="str">
        <f>IFERROR(INDEX('G-7 Rivers Data'!$H$4:$L$8,MATCH(D62,'G-7 Rivers Data'!$B$4:$B$8,0),MATCH(H62,'G-7 Rivers Data'!$H$3:$L$3,0)),"")</f>
        <v/>
      </c>
      <c r="J62" s="418"/>
      <c r="K62" s="498" t="str">
        <f>IF(J62="","",IF(VLOOKUP(J62,'G-7 Rivers Data'!$AK$4:$AM$9,2,FALSE)=0,"Spatial Data Missing ⚠",VLOOKUP(J62,'G-7 Rivers Data'!$AK$4:$AM$9,2,FALSE)))</f>
        <v/>
      </c>
      <c r="L62" s="505"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Data'!$B$2:$G$8,6,FALSE))</f>
        <v/>
      </c>
      <c r="R62" s="513" t="str">
        <f t="shared" si="0"/>
        <v/>
      </c>
      <c r="S62" s="40"/>
      <c r="T62" s="145"/>
      <c r="U62" s="157"/>
      <c r="V62" s="511" t="str">
        <f t="shared" si="1"/>
        <v/>
      </c>
      <c r="W62" s="511" t="str">
        <f t="shared" si="2"/>
        <v/>
      </c>
      <c r="X62" s="511" t="str">
        <f t="shared" si="3"/>
        <v/>
      </c>
      <c r="Y62" s="515"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8" x14ac:dyDescent="0.25">
      <c r="C63" s="141">
        <v>54</v>
      </c>
      <c r="D63" s="460"/>
      <c r="E63" s="172"/>
      <c r="F63" s="498" t="str">
        <f>IF(D63="","",VLOOKUP(D63,'G-7 Rivers Data'!$B$2:$G$8,2,FALSE))</f>
        <v/>
      </c>
      <c r="G63" s="499" t="str">
        <f>IFERROR(VLOOKUP(F63,'G-7 Rivers Data'!$C$4:$D$8,2,FALSE),"")</f>
        <v/>
      </c>
      <c r="H63" s="145"/>
      <c r="I63" s="499" t="str">
        <f>IFERROR(INDEX('G-7 Rivers Data'!$H$4:$L$8,MATCH(D63,'G-7 Rivers Data'!$B$4:$B$8,0),MATCH(H63,'G-7 Rivers Data'!$H$3:$L$3,0)),"")</f>
        <v/>
      </c>
      <c r="J63" s="418"/>
      <c r="K63" s="498" t="str">
        <f>IF(J63="","",IF(VLOOKUP(J63,'G-7 Rivers Data'!$AK$4:$AM$9,2,FALSE)=0,"Spatial Data Missing ⚠",VLOOKUP(J63,'G-7 Rivers Data'!$AK$4:$AM$9,2,FALSE)))</f>
        <v/>
      </c>
      <c r="L63" s="505"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Data'!$B$2:$G$8,6,FALSE))</f>
        <v/>
      </c>
      <c r="R63" s="513" t="str">
        <f t="shared" si="0"/>
        <v/>
      </c>
      <c r="S63" s="40"/>
      <c r="T63" s="145"/>
      <c r="U63" s="157"/>
      <c r="V63" s="511" t="str">
        <f t="shared" si="1"/>
        <v/>
      </c>
      <c r="W63" s="511" t="str">
        <f t="shared" si="2"/>
        <v/>
      </c>
      <c r="X63" s="511" t="str">
        <f t="shared" si="3"/>
        <v/>
      </c>
      <c r="Y63" s="515"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8" x14ac:dyDescent="0.25">
      <c r="C64" s="141">
        <v>55</v>
      </c>
      <c r="D64" s="460"/>
      <c r="E64" s="172"/>
      <c r="F64" s="498" t="str">
        <f>IF(D64="","",VLOOKUP(D64,'G-7 Rivers Data'!$B$2:$G$8,2,FALSE))</f>
        <v/>
      </c>
      <c r="G64" s="499" t="str">
        <f>IFERROR(VLOOKUP(F64,'G-7 Rivers Data'!$C$4:$D$8,2,FALSE),"")</f>
        <v/>
      </c>
      <c r="H64" s="145"/>
      <c r="I64" s="499" t="str">
        <f>IFERROR(INDEX('G-7 Rivers Data'!$H$4:$L$8,MATCH(D64,'G-7 Rivers Data'!$B$4:$B$8,0),MATCH(H64,'G-7 Rivers Data'!$H$3:$L$3,0)),"")</f>
        <v/>
      </c>
      <c r="J64" s="418"/>
      <c r="K64" s="498" t="str">
        <f>IF(J64="","",IF(VLOOKUP(J64,'G-7 Rivers Data'!$AK$4:$AM$9,2,FALSE)=0,"Spatial Data Missing ⚠",VLOOKUP(J64,'G-7 Rivers Data'!$AK$4:$AM$9,2,FALSE)))</f>
        <v/>
      </c>
      <c r="L64" s="505"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Data'!$B$2:$G$8,6,FALSE))</f>
        <v/>
      </c>
      <c r="R64" s="513" t="str">
        <f t="shared" si="0"/>
        <v/>
      </c>
      <c r="S64" s="40"/>
      <c r="T64" s="145"/>
      <c r="U64" s="157"/>
      <c r="V64" s="511" t="str">
        <f t="shared" si="1"/>
        <v/>
      </c>
      <c r="W64" s="511" t="str">
        <f t="shared" si="2"/>
        <v/>
      </c>
      <c r="X64" s="511" t="str">
        <f t="shared" si="3"/>
        <v/>
      </c>
      <c r="Y64" s="515"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8" x14ac:dyDescent="0.25">
      <c r="C65" s="141">
        <v>56</v>
      </c>
      <c r="D65" s="460"/>
      <c r="E65" s="172"/>
      <c r="F65" s="498" t="str">
        <f>IF(D65="","",VLOOKUP(D65,'G-7 Rivers Data'!$B$2:$G$8,2,FALSE))</f>
        <v/>
      </c>
      <c r="G65" s="499" t="str">
        <f>IFERROR(VLOOKUP(F65,'G-7 Rivers Data'!$C$4:$D$8,2,FALSE),"")</f>
        <v/>
      </c>
      <c r="H65" s="145"/>
      <c r="I65" s="499" t="str">
        <f>IFERROR(INDEX('G-7 Rivers Data'!$H$4:$L$8,MATCH(D65,'G-7 Rivers Data'!$B$4:$B$8,0),MATCH(H65,'G-7 Rivers Data'!$H$3:$L$3,0)),"")</f>
        <v/>
      </c>
      <c r="J65" s="418"/>
      <c r="K65" s="498" t="str">
        <f>IF(J65="","",IF(VLOOKUP(J65,'G-7 Rivers Data'!$AK$4:$AM$9,2,FALSE)=0,"Spatial Data Missing ⚠",VLOOKUP(J65,'G-7 Rivers Data'!$AK$4:$AM$9,2,FALSE)))</f>
        <v/>
      </c>
      <c r="L65" s="505"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Data'!$B$2:$G$8,6,FALSE))</f>
        <v/>
      </c>
      <c r="R65" s="513" t="str">
        <f t="shared" si="0"/>
        <v/>
      </c>
      <c r="S65" s="40"/>
      <c r="T65" s="145"/>
      <c r="U65" s="157"/>
      <c r="V65" s="511" t="str">
        <f t="shared" si="1"/>
        <v/>
      </c>
      <c r="W65" s="511" t="str">
        <f t="shared" si="2"/>
        <v/>
      </c>
      <c r="X65" s="511" t="str">
        <f t="shared" si="3"/>
        <v/>
      </c>
      <c r="Y65" s="515"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8" x14ac:dyDescent="0.25">
      <c r="C66" s="141">
        <v>57</v>
      </c>
      <c r="D66" s="460"/>
      <c r="E66" s="172"/>
      <c r="F66" s="498" t="str">
        <f>IF(D66="","",VLOOKUP(D66,'G-7 Rivers Data'!$B$2:$G$8,2,FALSE))</f>
        <v/>
      </c>
      <c r="G66" s="499" t="str">
        <f>IFERROR(VLOOKUP(F66,'G-7 Rivers Data'!$C$4:$D$8,2,FALSE),"")</f>
        <v/>
      </c>
      <c r="H66" s="145"/>
      <c r="I66" s="499" t="str">
        <f>IFERROR(INDEX('G-7 Rivers Data'!$H$4:$L$8,MATCH(D66,'G-7 Rivers Data'!$B$4:$B$8,0),MATCH(H66,'G-7 Rivers Data'!$H$3:$L$3,0)),"")</f>
        <v/>
      </c>
      <c r="J66" s="418"/>
      <c r="K66" s="498" t="str">
        <f>IF(J66="","",IF(VLOOKUP(J66,'G-7 Rivers Data'!$AK$4:$AM$9,2,FALSE)=0,"Spatial Data Missing ⚠",VLOOKUP(J66,'G-7 Rivers Data'!$AK$4:$AM$9,2,FALSE)))</f>
        <v/>
      </c>
      <c r="L66" s="505"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Data'!$B$2:$G$8,6,FALSE))</f>
        <v/>
      </c>
      <c r="R66" s="513" t="str">
        <f t="shared" si="0"/>
        <v/>
      </c>
      <c r="S66" s="40"/>
      <c r="T66" s="145"/>
      <c r="U66" s="157"/>
      <c r="V66" s="511" t="str">
        <f t="shared" si="1"/>
        <v/>
      </c>
      <c r="W66" s="511" t="str">
        <f t="shared" si="2"/>
        <v/>
      </c>
      <c r="X66" s="511" t="str">
        <f t="shared" si="3"/>
        <v/>
      </c>
      <c r="Y66" s="515"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8" x14ac:dyDescent="0.25">
      <c r="C67" s="141">
        <v>58</v>
      </c>
      <c r="D67" s="460"/>
      <c r="E67" s="172"/>
      <c r="F67" s="498" t="str">
        <f>IF(D67="","",VLOOKUP(D67,'G-7 Rivers Data'!$B$2:$G$8,2,FALSE))</f>
        <v/>
      </c>
      <c r="G67" s="499" t="str">
        <f>IFERROR(VLOOKUP(F67,'G-7 Rivers Data'!$C$4:$D$8,2,FALSE),"")</f>
        <v/>
      </c>
      <c r="H67" s="145"/>
      <c r="I67" s="499" t="str">
        <f>IFERROR(INDEX('G-7 Rivers Data'!$H$4:$L$8,MATCH(D67,'G-7 Rivers Data'!$B$4:$B$8,0),MATCH(H67,'G-7 Rivers Data'!$H$3:$L$3,0)),"")</f>
        <v/>
      </c>
      <c r="J67" s="418"/>
      <c r="K67" s="498" t="str">
        <f>IF(J67="","",IF(VLOOKUP(J67,'G-7 Rivers Data'!$AK$4:$AM$9,2,FALSE)=0,"Spatial Data Missing ⚠",VLOOKUP(J67,'G-7 Rivers Data'!$AK$4:$AM$9,2,FALSE)))</f>
        <v/>
      </c>
      <c r="L67" s="505"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Data'!$B$2:$G$8,6,FALSE))</f>
        <v/>
      </c>
      <c r="R67" s="513" t="str">
        <f t="shared" si="0"/>
        <v/>
      </c>
      <c r="S67" s="40"/>
      <c r="T67" s="145"/>
      <c r="U67" s="157"/>
      <c r="V67" s="511" t="str">
        <f t="shared" si="1"/>
        <v/>
      </c>
      <c r="W67" s="511" t="str">
        <f t="shared" si="2"/>
        <v/>
      </c>
      <c r="X67" s="511" t="str">
        <f t="shared" si="3"/>
        <v/>
      </c>
      <c r="Y67" s="515"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8" x14ac:dyDescent="0.25">
      <c r="C68" s="141">
        <v>59</v>
      </c>
      <c r="D68" s="460"/>
      <c r="E68" s="172"/>
      <c r="F68" s="498" t="str">
        <f>IF(D68="","",VLOOKUP(D68,'G-7 Rivers Data'!$B$2:$G$8,2,FALSE))</f>
        <v/>
      </c>
      <c r="G68" s="499" t="str">
        <f>IFERROR(VLOOKUP(F68,'G-7 Rivers Data'!$C$4:$D$8,2,FALSE),"")</f>
        <v/>
      </c>
      <c r="H68" s="145"/>
      <c r="I68" s="499" t="str">
        <f>IFERROR(INDEX('G-7 Rivers Data'!$H$4:$L$8,MATCH(D68,'G-7 Rivers Data'!$B$4:$B$8,0),MATCH(H68,'G-7 Rivers Data'!$H$3:$L$3,0)),"")</f>
        <v/>
      </c>
      <c r="J68" s="418"/>
      <c r="K68" s="498" t="str">
        <f>IF(J68="","",IF(VLOOKUP(J68,'G-7 Rivers Data'!$AK$4:$AM$9,2,FALSE)=0,"Spatial Data Missing ⚠",VLOOKUP(J68,'G-7 Rivers Data'!$AK$4:$AM$9,2,FALSE)))</f>
        <v/>
      </c>
      <c r="L68" s="505"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Data'!$B$2:$G$8,6,FALSE))</f>
        <v/>
      </c>
      <c r="R68" s="513" t="str">
        <f t="shared" si="0"/>
        <v/>
      </c>
      <c r="S68" s="40"/>
      <c r="T68" s="145"/>
      <c r="U68" s="157"/>
      <c r="V68" s="511" t="str">
        <f t="shared" si="1"/>
        <v/>
      </c>
      <c r="W68" s="511" t="str">
        <f t="shared" si="2"/>
        <v/>
      </c>
      <c r="X68" s="511" t="str">
        <f t="shared" si="3"/>
        <v/>
      </c>
      <c r="Y68" s="515"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8" x14ac:dyDescent="0.25">
      <c r="C69" s="141">
        <v>60</v>
      </c>
      <c r="D69" s="460"/>
      <c r="E69" s="172"/>
      <c r="F69" s="498" t="str">
        <f>IF(D69="","",VLOOKUP(D69,'G-7 Rivers Data'!$B$2:$G$8,2,FALSE))</f>
        <v/>
      </c>
      <c r="G69" s="499" t="str">
        <f>IFERROR(VLOOKUP(F69,'G-7 Rivers Data'!$C$4:$D$8,2,FALSE),"")</f>
        <v/>
      </c>
      <c r="H69" s="145"/>
      <c r="I69" s="499" t="str">
        <f>IFERROR(INDEX('G-7 Rivers Data'!$H$4:$L$8,MATCH(D69,'G-7 Rivers Data'!$B$4:$B$8,0),MATCH(H69,'G-7 Rivers Data'!$H$3:$L$3,0)),"")</f>
        <v/>
      </c>
      <c r="J69" s="418"/>
      <c r="K69" s="498" t="str">
        <f>IF(J69="","",IF(VLOOKUP(J69,'G-7 Rivers Data'!$AK$4:$AM$9,2,FALSE)=0,"Spatial Data Missing ⚠",VLOOKUP(J69,'G-7 Rivers Data'!$AK$4:$AM$9,2,FALSE)))</f>
        <v/>
      </c>
      <c r="L69" s="505"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Data'!$B$2:$G$8,6,FALSE))</f>
        <v/>
      </c>
      <c r="R69" s="513" t="str">
        <f t="shared" si="0"/>
        <v/>
      </c>
      <c r="S69" s="40"/>
      <c r="T69" s="145"/>
      <c r="U69" s="157"/>
      <c r="V69" s="511" t="str">
        <f t="shared" si="1"/>
        <v/>
      </c>
      <c r="W69" s="511" t="str">
        <f t="shared" si="2"/>
        <v/>
      </c>
      <c r="X69" s="511" t="str">
        <f t="shared" si="3"/>
        <v/>
      </c>
      <c r="Y69" s="515"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8" x14ac:dyDescent="0.25">
      <c r="C70" s="141">
        <v>61</v>
      </c>
      <c r="D70" s="460"/>
      <c r="E70" s="172"/>
      <c r="F70" s="498" t="str">
        <f>IF(D70="","",VLOOKUP(D70,'G-7 Rivers Data'!$B$2:$G$8,2,FALSE))</f>
        <v/>
      </c>
      <c r="G70" s="499" t="str">
        <f>IFERROR(VLOOKUP(F70,'G-7 Rivers Data'!$C$4:$D$8,2,FALSE),"")</f>
        <v/>
      </c>
      <c r="H70" s="145"/>
      <c r="I70" s="499" t="str">
        <f>IFERROR(INDEX('G-7 Rivers Data'!$H$4:$L$8,MATCH(D70,'G-7 Rivers Data'!$B$4:$B$8,0),MATCH(H70,'G-7 Rivers Data'!$H$3:$L$3,0)),"")</f>
        <v/>
      </c>
      <c r="J70" s="418"/>
      <c r="K70" s="498" t="str">
        <f>IF(J70="","",IF(VLOOKUP(J70,'G-7 Rivers Data'!$AK$4:$AM$9,2,FALSE)=0,"Spatial Data Missing ⚠",VLOOKUP(J70,'G-7 Rivers Data'!$AK$4:$AM$9,2,FALSE)))</f>
        <v/>
      </c>
      <c r="L70" s="505"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Data'!$B$2:$G$8,6,FALSE))</f>
        <v/>
      </c>
      <c r="R70" s="513" t="str">
        <f t="shared" si="0"/>
        <v/>
      </c>
      <c r="S70" s="40"/>
      <c r="T70" s="145"/>
      <c r="U70" s="157"/>
      <c r="V70" s="511" t="str">
        <f t="shared" si="1"/>
        <v/>
      </c>
      <c r="W70" s="511" t="str">
        <f t="shared" si="2"/>
        <v/>
      </c>
      <c r="X70" s="511" t="str">
        <f t="shared" si="3"/>
        <v/>
      </c>
      <c r="Y70" s="515"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8" x14ac:dyDescent="0.25">
      <c r="C71" s="141">
        <v>62</v>
      </c>
      <c r="D71" s="460"/>
      <c r="E71" s="172"/>
      <c r="F71" s="498" t="str">
        <f>IF(D71="","",VLOOKUP(D71,'G-7 Rivers Data'!$B$2:$G$8,2,FALSE))</f>
        <v/>
      </c>
      <c r="G71" s="499" t="str">
        <f>IFERROR(VLOOKUP(F71,'G-7 Rivers Data'!$C$4:$D$8,2,FALSE),"")</f>
        <v/>
      </c>
      <c r="H71" s="145"/>
      <c r="I71" s="499" t="str">
        <f>IFERROR(INDEX('G-7 Rivers Data'!$H$4:$L$8,MATCH(D71,'G-7 Rivers Data'!$B$4:$B$8,0),MATCH(H71,'G-7 Rivers Data'!$H$3:$L$3,0)),"")</f>
        <v/>
      </c>
      <c r="J71" s="418"/>
      <c r="K71" s="498" t="str">
        <f>IF(J71="","",IF(VLOOKUP(J71,'G-7 Rivers Data'!$AK$4:$AM$9,2,FALSE)=0,"Spatial Data Missing ⚠",VLOOKUP(J71,'G-7 Rivers Data'!$AK$4:$AM$9,2,FALSE)))</f>
        <v/>
      </c>
      <c r="L71" s="505"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Data'!$B$2:$G$8,6,FALSE))</f>
        <v/>
      </c>
      <c r="R71" s="513" t="str">
        <f t="shared" si="0"/>
        <v/>
      </c>
      <c r="S71" s="40"/>
      <c r="T71" s="145"/>
      <c r="U71" s="157"/>
      <c r="V71" s="511" t="str">
        <f t="shared" si="1"/>
        <v/>
      </c>
      <c r="W71" s="511" t="str">
        <f t="shared" si="2"/>
        <v/>
      </c>
      <c r="X71" s="511" t="str">
        <f t="shared" si="3"/>
        <v/>
      </c>
      <c r="Y71" s="515"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8" x14ac:dyDescent="0.25">
      <c r="C72" s="141">
        <v>63</v>
      </c>
      <c r="D72" s="460"/>
      <c r="E72" s="172"/>
      <c r="F72" s="498" t="str">
        <f>IF(D72="","",VLOOKUP(D72,'G-7 Rivers Data'!$B$2:$G$8,2,FALSE))</f>
        <v/>
      </c>
      <c r="G72" s="499" t="str">
        <f>IFERROR(VLOOKUP(F72,'G-7 Rivers Data'!$C$4:$D$8,2,FALSE),"")</f>
        <v/>
      </c>
      <c r="H72" s="145"/>
      <c r="I72" s="499" t="str">
        <f>IFERROR(INDEX('G-7 Rivers Data'!$H$4:$L$8,MATCH(D72,'G-7 Rivers Data'!$B$4:$B$8,0),MATCH(H72,'G-7 Rivers Data'!$H$3:$L$3,0)),"")</f>
        <v/>
      </c>
      <c r="J72" s="418"/>
      <c r="K72" s="498" t="str">
        <f>IF(J72="","",IF(VLOOKUP(J72,'G-7 Rivers Data'!$AK$4:$AM$9,2,FALSE)=0,"Spatial Data Missing ⚠",VLOOKUP(J72,'G-7 Rivers Data'!$AK$4:$AM$9,2,FALSE)))</f>
        <v/>
      </c>
      <c r="L72" s="505"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Data'!$B$2:$G$8,6,FALSE))</f>
        <v/>
      </c>
      <c r="R72" s="513" t="str">
        <f t="shared" si="0"/>
        <v/>
      </c>
      <c r="S72" s="40"/>
      <c r="T72" s="145"/>
      <c r="U72" s="157"/>
      <c r="V72" s="511" t="str">
        <f t="shared" si="1"/>
        <v/>
      </c>
      <c r="W72" s="511" t="str">
        <f t="shared" si="2"/>
        <v/>
      </c>
      <c r="X72" s="511" t="str">
        <f t="shared" si="3"/>
        <v/>
      </c>
      <c r="Y72" s="515"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8" x14ac:dyDescent="0.25">
      <c r="C73" s="141">
        <v>64</v>
      </c>
      <c r="D73" s="460"/>
      <c r="E73" s="172"/>
      <c r="F73" s="498" t="str">
        <f>IF(D73="","",VLOOKUP(D73,'G-7 Rivers Data'!$B$2:$G$8,2,FALSE))</f>
        <v/>
      </c>
      <c r="G73" s="499" t="str">
        <f>IFERROR(VLOOKUP(F73,'G-7 Rivers Data'!$C$4:$D$8,2,FALSE),"")</f>
        <v/>
      </c>
      <c r="H73" s="145"/>
      <c r="I73" s="499" t="str">
        <f>IFERROR(INDEX('G-7 Rivers Data'!$H$4:$L$8,MATCH(D73,'G-7 Rivers Data'!$B$4:$B$8,0),MATCH(H73,'G-7 Rivers Data'!$H$3:$L$3,0)),"")</f>
        <v/>
      </c>
      <c r="J73" s="418"/>
      <c r="K73" s="498" t="str">
        <f>IF(J73="","",IF(VLOOKUP(J73,'G-7 Rivers Data'!$AK$4:$AM$9,2,FALSE)=0,"Spatial Data Missing ⚠",VLOOKUP(J73,'G-7 Rivers Data'!$AK$4:$AM$9,2,FALSE)))</f>
        <v/>
      </c>
      <c r="L73" s="505"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Data'!$B$2:$G$8,6,FALSE))</f>
        <v/>
      </c>
      <c r="R73" s="513" t="str">
        <f t="shared" si="0"/>
        <v/>
      </c>
      <c r="S73" s="40"/>
      <c r="T73" s="145"/>
      <c r="U73" s="157"/>
      <c r="V73" s="511" t="str">
        <f t="shared" si="1"/>
        <v/>
      </c>
      <c r="W73" s="511" t="str">
        <f t="shared" si="2"/>
        <v/>
      </c>
      <c r="X73" s="511" t="str">
        <f t="shared" si="3"/>
        <v/>
      </c>
      <c r="Y73" s="515"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8" x14ac:dyDescent="0.25">
      <c r="C74" s="141">
        <v>65</v>
      </c>
      <c r="D74" s="460"/>
      <c r="E74" s="172"/>
      <c r="F74" s="498" t="str">
        <f>IF(D74="","",VLOOKUP(D74,'G-7 Rivers Data'!$B$2:$G$8,2,FALSE))</f>
        <v/>
      </c>
      <c r="G74" s="499" t="str">
        <f>IFERROR(VLOOKUP(F74,'G-7 Rivers Data'!$C$4:$D$8,2,FALSE),"")</f>
        <v/>
      </c>
      <c r="H74" s="145"/>
      <c r="I74" s="499" t="str">
        <f>IFERROR(INDEX('G-7 Rivers Data'!$H$4:$L$8,MATCH(D74,'G-7 Rivers Data'!$B$4:$B$8,0),MATCH(H74,'G-7 Rivers Data'!$H$3:$L$3,0)),"")</f>
        <v/>
      </c>
      <c r="J74" s="418"/>
      <c r="K74" s="498" t="str">
        <f>IF(J74="","",IF(VLOOKUP(J74,'G-7 Rivers Data'!$AK$4:$AM$9,2,FALSE)=0,"Spatial Data Missing ⚠",VLOOKUP(J74,'G-7 Rivers Data'!$AK$4:$AM$9,2,FALSE)))</f>
        <v/>
      </c>
      <c r="L74" s="505"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Data'!$B$2:$G$8,6,FALSE))</f>
        <v/>
      </c>
      <c r="R74" s="513" t="str">
        <f t="shared" si="0"/>
        <v/>
      </c>
      <c r="S74" s="40"/>
      <c r="T74" s="145"/>
      <c r="U74" s="157"/>
      <c r="V74" s="511" t="str">
        <f t="shared" si="1"/>
        <v/>
      </c>
      <c r="W74" s="511" t="str">
        <f t="shared" si="2"/>
        <v/>
      </c>
      <c r="X74" s="511" t="str">
        <f t="shared" si="3"/>
        <v/>
      </c>
      <c r="Y74" s="515"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8" x14ac:dyDescent="0.25">
      <c r="C75" s="141">
        <v>66</v>
      </c>
      <c r="D75" s="460"/>
      <c r="E75" s="172"/>
      <c r="F75" s="498" t="str">
        <f>IF(D75="","",VLOOKUP(D75,'G-7 Rivers Data'!$B$2:$G$8,2,FALSE))</f>
        <v/>
      </c>
      <c r="G75" s="499" t="str">
        <f>IFERROR(VLOOKUP(F75,'G-7 Rivers Data'!$C$4:$D$8,2,FALSE),"")</f>
        <v/>
      </c>
      <c r="H75" s="145"/>
      <c r="I75" s="499" t="str">
        <f>IFERROR(INDEX('G-7 Rivers Data'!$H$4:$L$8,MATCH(D75,'G-7 Rivers Data'!$B$4:$B$8,0),MATCH(H75,'G-7 Rivers Data'!$H$3:$L$3,0)),"")</f>
        <v/>
      </c>
      <c r="J75" s="418"/>
      <c r="K75" s="498" t="str">
        <f>IF(J75="","",IF(VLOOKUP(J75,'G-7 Rivers Data'!$AK$4:$AM$9,2,FALSE)=0,"Spatial Data Missing ⚠",VLOOKUP(J75,'G-7 Rivers Data'!$AK$4:$AM$9,2,FALSE)))</f>
        <v/>
      </c>
      <c r="L75" s="505"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Data'!$B$2:$G$8,6,FALSE))</f>
        <v/>
      </c>
      <c r="R75" s="513" t="str">
        <f t="shared" ref="R75:R138" si="8">IFERROR(IF(D75="","",E75*G75*I75*L75*N75*P75),"")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8" x14ac:dyDescent="0.25">
      <c r="C76" s="141">
        <v>67</v>
      </c>
      <c r="D76" s="460"/>
      <c r="E76" s="172"/>
      <c r="F76" s="498" t="str">
        <f>IF(D76="","",VLOOKUP(D76,'G-7 Rivers Data'!$B$2:$G$8,2,FALSE))</f>
        <v/>
      </c>
      <c r="G76" s="499" t="str">
        <f>IFERROR(VLOOKUP(F76,'G-7 Rivers Data'!$C$4:$D$8,2,FALSE),"")</f>
        <v/>
      </c>
      <c r="H76" s="145"/>
      <c r="I76" s="499" t="str">
        <f>IFERROR(INDEX('G-7 Rivers Data'!$H$4:$L$8,MATCH(D76,'G-7 Rivers Data'!$B$4:$B$8,0),MATCH(H76,'G-7 Rivers Data'!$H$3:$L$3,0)),"")</f>
        <v/>
      </c>
      <c r="J76" s="418"/>
      <c r="K76" s="498" t="str">
        <f>IF(J76="","",IF(VLOOKUP(J76,'G-7 Rivers Data'!$AK$4:$AM$9,2,FALSE)=0,"Spatial Data Missing ⚠",VLOOKUP(J76,'G-7 Rivers Data'!$AK$4:$AM$9,2,FALSE)))</f>
        <v/>
      </c>
      <c r="L76" s="505"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Data'!$B$2:$G$8,6,FALSE))</f>
        <v/>
      </c>
      <c r="R76" s="513" t="str">
        <f t="shared" si="8"/>
        <v/>
      </c>
      <c r="S76" s="40"/>
      <c r="T76" s="145"/>
      <c r="U76" s="157"/>
      <c r="V76" s="511" t="str">
        <f t="shared" si="9"/>
        <v/>
      </c>
      <c r="W76" s="511" t="str">
        <f t="shared" si="10"/>
        <v/>
      </c>
      <c r="X76" s="511" t="str">
        <f t="shared" si="11"/>
        <v/>
      </c>
      <c r="Y76" s="515"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8" x14ac:dyDescent="0.25">
      <c r="C77" s="141">
        <v>68</v>
      </c>
      <c r="D77" s="460"/>
      <c r="E77" s="172"/>
      <c r="F77" s="498" t="str">
        <f>IF(D77="","",VLOOKUP(D77,'G-7 Rivers Data'!$B$2:$G$8,2,FALSE))</f>
        <v/>
      </c>
      <c r="G77" s="499" t="str">
        <f>IFERROR(VLOOKUP(F77,'G-7 Rivers Data'!$C$4:$D$8,2,FALSE),"")</f>
        <v/>
      </c>
      <c r="H77" s="145"/>
      <c r="I77" s="499" t="str">
        <f>IFERROR(INDEX('G-7 Rivers Data'!$H$4:$L$8,MATCH(D77,'G-7 Rivers Data'!$B$4:$B$8,0),MATCH(H77,'G-7 Rivers Data'!$H$3:$L$3,0)),"")</f>
        <v/>
      </c>
      <c r="J77" s="418"/>
      <c r="K77" s="498" t="str">
        <f>IF(J77="","",IF(VLOOKUP(J77,'G-7 Rivers Data'!$AK$4:$AM$9,2,FALSE)=0,"Spatial Data Missing ⚠",VLOOKUP(J77,'G-7 Rivers Data'!$AK$4:$AM$9,2,FALSE)))</f>
        <v/>
      </c>
      <c r="L77" s="505"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Data'!$B$2:$G$8,6,FALSE))</f>
        <v/>
      </c>
      <c r="R77" s="513" t="str">
        <f t="shared" si="8"/>
        <v/>
      </c>
      <c r="S77" s="40"/>
      <c r="T77" s="145"/>
      <c r="U77" s="157"/>
      <c r="V77" s="511" t="str">
        <f t="shared" si="9"/>
        <v/>
      </c>
      <c r="W77" s="511" t="str">
        <f t="shared" si="10"/>
        <v/>
      </c>
      <c r="X77" s="511" t="str">
        <f t="shared" si="11"/>
        <v/>
      </c>
      <c r="Y77" s="515"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8" x14ac:dyDescent="0.25">
      <c r="C78" s="141">
        <v>69</v>
      </c>
      <c r="D78" s="460"/>
      <c r="E78" s="172"/>
      <c r="F78" s="498" t="str">
        <f>IF(D78="","",VLOOKUP(D78,'G-7 Rivers Data'!$B$2:$G$8,2,FALSE))</f>
        <v/>
      </c>
      <c r="G78" s="499" t="str">
        <f>IFERROR(VLOOKUP(F78,'G-7 Rivers Data'!$C$4:$D$8,2,FALSE),"")</f>
        <v/>
      </c>
      <c r="H78" s="145"/>
      <c r="I78" s="499" t="str">
        <f>IFERROR(INDEX('G-7 Rivers Data'!$H$4:$L$8,MATCH(D78,'G-7 Rivers Data'!$B$4:$B$8,0),MATCH(H78,'G-7 Rivers Data'!$H$3:$L$3,0)),"")</f>
        <v/>
      </c>
      <c r="J78" s="418"/>
      <c r="K78" s="498" t="str">
        <f>IF(J78="","",IF(VLOOKUP(J78,'G-7 Rivers Data'!$AK$4:$AM$9,2,FALSE)=0,"Spatial Data Missing ⚠",VLOOKUP(J78,'G-7 Rivers Data'!$AK$4:$AM$9,2,FALSE)))</f>
        <v/>
      </c>
      <c r="L78" s="505"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Data'!$B$2:$G$8,6,FALSE))</f>
        <v/>
      </c>
      <c r="R78" s="513" t="str">
        <f t="shared" si="8"/>
        <v/>
      </c>
      <c r="S78" s="40"/>
      <c r="T78" s="145"/>
      <c r="U78" s="157"/>
      <c r="V78" s="511" t="str">
        <f t="shared" si="9"/>
        <v/>
      </c>
      <c r="W78" s="511" t="str">
        <f t="shared" si="10"/>
        <v/>
      </c>
      <c r="X78" s="511" t="str">
        <f t="shared" si="11"/>
        <v/>
      </c>
      <c r="Y78" s="515"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8" x14ac:dyDescent="0.25">
      <c r="C79" s="141">
        <v>70</v>
      </c>
      <c r="D79" s="460"/>
      <c r="E79" s="172"/>
      <c r="F79" s="498" t="str">
        <f>IF(D79="","",VLOOKUP(D79,'G-7 Rivers Data'!$B$2:$G$8,2,FALSE))</f>
        <v/>
      </c>
      <c r="G79" s="499" t="str">
        <f>IFERROR(VLOOKUP(F79,'G-7 Rivers Data'!$C$4:$D$8,2,FALSE),"")</f>
        <v/>
      </c>
      <c r="H79" s="145"/>
      <c r="I79" s="499" t="str">
        <f>IFERROR(INDEX('G-7 Rivers Data'!$H$4:$L$8,MATCH(D79,'G-7 Rivers Data'!$B$4:$B$8,0),MATCH(H79,'G-7 Rivers Data'!$H$3:$L$3,0)),"")</f>
        <v/>
      </c>
      <c r="J79" s="418"/>
      <c r="K79" s="498" t="str">
        <f>IF(J79="","",IF(VLOOKUP(J79,'G-7 Rivers Data'!$AK$4:$AM$9,2,FALSE)=0,"Spatial Data Missing ⚠",VLOOKUP(J79,'G-7 Rivers Data'!$AK$4:$AM$9,2,FALSE)))</f>
        <v/>
      </c>
      <c r="L79" s="505"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Data'!$B$2:$G$8,6,FALSE))</f>
        <v/>
      </c>
      <c r="R79" s="513" t="str">
        <f t="shared" si="8"/>
        <v/>
      </c>
      <c r="S79" s="40"/>
      <c r="T79" s="145"/>
      <c r="U79" s="157"/>
      <c r="V79" s="511" t="str">
        <f t="shared" si="9"/>
        <v/>
      </c>
      <c r="W79" s="511" t="str">
        <f t="shared" si="10"/>
        <v/>
      </c>
      <c r="X79" s="511" t="str">
        <f t="shared" si="11"/>
        <v/>
      </c>
      <c r="Y79" s="515"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8" x14ac:dyDescent="0.25">
      <c r="C80" s="141">
        <v>71</v>
      </c>
      <c r="D80" s="460"/>
      <c r="E80" s="172"/>
      <c r="F80" s="498" t="str">
        <f>IF(D80="","",VLOOKUP(D80,'G-7 Rivers Data'!$B$2:$G$8,2,FALSE))</f>
        <v/>
      </c>
      <c r="G80" s="499" t="str">
        <f>IFERROR(VLOOKUP(F80,'G-7 Rivers Data'!$C$4:$D$8,2,FALSE),"")</f>
        <v/>
      </c>
      <c r="H80" s="145"/>
      <c r="I80" s="499" t="str">
        <f>IFERROR(INDEX('G-7 Rivers Data'!$H$4:$L$8,MATCH(D80,'G-7 Rivers Data'!$B$4:$B$8,0),MATCH(H80,'G-7 Rivers Data'!$H$3:$L$3,0)),"")</f>
        <v/>
      </c>
      <c r="J80" s="418"/>
      <c r="K80" s="498" t="str">
        <f>IF(J80="","",IF(VLOOKUP(J80,'G-7 Rivers Data'!$AK$4:$AM$9,2,FALSE)=0,"Spatial Data Missing ⚠",VLOOKUP(J80,'G-7 Rivers Data'!$AK$4:$AM$9,2,FALSE)))</f>
        <v/>
      </c>
      <c r="L80" s="505"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Data'!$B$2:$G$8,6,FALSE))</f>
        <v/>
      </c>
      <c r="R80" s="513" t="str">
        <f t="shared" si="8"/>
        <v/>
      </c>
      <c r="S80" s="40"/>
      <c r="T80" s="145"/>
      <c r="U80" s="157"/>
      <c r="V80" s="511" t="str">
        <f t="shared" si="9"/>
        <v/>
      </c>
      <c r="W80" s="511" t="str">
        <f t="shared" si="10"/>
        <v/>
      </c>
      <c r="X80" s="511" t="str">
        <f t="shared" si="11"/>
        <v/>
      </c>
      <c r="Y80" s="515"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8" x14ac:dyDescent="0.25">
      <c r="C81" s="141">
        <v>72</v>
      </c>
      <c r="D81" s="460"/>
      <c r="E81" s="172"/>
      <c r="F81" s="498" t="str">
        <f>IF(D81="","",VLOOKUP(D81,'G-7 Rivers Data'!$B$2:$G$8,2,FALSE))</f>
        <v/>
      </c>
      <c r="G81" s="499" t="str">
        <f>IFERROR(VLOOKUP(F81,'G-7 Rivers Data'!$C$4:$D$8,2,FALSE),"")</f>
        <v/>
      </c>
      <c r="H81" s="145"/>
      <c r="I81" s="499" t="str">
        <f>IFERROR(INDEX('G-7 Rivers Data'!$H$4:$L$8,MATCH(D81,'G-7 Rivers Data'!$B$4:$B$8,0),MATCH(H81,'G-7 Rivers Data'!$H$3:$L$3,0)),"")</f>
        <v/>
      </c>
      <c r="J81" s="418"/>
      <c r="K81" s="498" t="str">
        <f>IF(J81="","",IF(VLOOKUP(J81,'G-7 Rivers Data'!$AK$4:$AM$9,2,FALSE)=0,"Spatial Data Missing ⚠",VLOOKUP(J81,'G-7 Rivers Data'!$AK$4:$AM$9,2,FALSE)))</f>
        <v/>
      </c>
      <c r="L81" s="505"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Data'!$B$2:$G$8,6,FALSE))</f>
        <v/>
      </c>
      <c r="R81" s="513" t="str">
        <f t="shared" si="8"/>
        <v/>
      </c>
      <c r="S81" s="40"/>
      <c r="T81" s="145"/>
      <c r="U81" s="157"/>
      <c r="V81" s="511" t="str">
        <f t="shared" si="9"/>
        <v/>
      </c>
      <c r="W81" s="511" t="str">
        <f t="shared" si="10"/>
        <v/>
      </c>
      <c r="X81" s="511" t="str">
        <f t="shared" si="11"/>
        <v/>
      </c>
      <c r="Y81" s="515"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8" x14ac:dyDescent="0.25">
      <c r="C82" s="141">
        <v>73</v>
      </c>
      <c r="D82" s="460"/>
      <c r="E82" s="172"/>
      <c r="F82" s="498" t="str">
        <f>IF(D82="","",VLOOKUP(D82,'G-7 Rivers Data'!$B$2:$G$8,2,FALSE))</f>
        <v/>
      </c>
      <c r="G82" s="499" t="str">
        <f>IFERROR(VLOOKUP(F82,'G-7 Rivers Data'!$C$4:$D$8,2,FALSE),"")</f>
        <v/>
      </c>
      <c r="H82" s="145"/>
      <c r="I82" s="499" t="str">
        <f>IFERROR(INDEX('G-7 Rivers Data'!$H$4:$L$8,MATCH(D82,'G-7 Rivers Data'!$B$4:$B$8,0),MATCH(H82,'G-7 Rivers Data'!$H$3:$L$3,0)),"")</f>
        <v/>
      </c>
      <c r="J82" s="418"/>
      <c r="K82" s="498" t="str">
        <f>IF(J82="","",IF(VLOOKUP(J82,'G-7 Rivers Data'!$AK$4:$AM$9,2,FALSE)=0,"Spatial Data Missing ⚠",VLOOKUP(J82,'G-7 Rivers Data'!$AK$4:$AM$9,2,FALSE)))</f>
        <v/>
      </c>
      <c r="L82" s="505"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Data'!$B$2:$G$8,6,FALSE))</f>
        <v/>
      </c>
      <c r="R82" s="513" t="str">
        <f t="shared" si="8"/>
        <v/>
      </c>
      <c r="S82" s="40"/>
      <c r="T82" s="145"/>
      <c r="U82" s="157"/>
      <c r="V82" s="511" t="str">
        <f t="shared" si="9"/>
        <v/>
      </c>
      <c r="W82" s="511" t="str">
        <f t="shared" si="10"/>
        <v/>
      </c>
      <c r="X82" s="511" t="str">
        <f t="shared" si="11"/>
        <v/>
      </c>
      <c r="Y82" s="515"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8" x14ac:dyDescent="0.25">
      <c r="C83" s="141">
        <v>74</v>
      </c>
      <c r="D83" s="460"/>
      <c r="E83" s="172"/>
      <c r="F83" s="498" t="str">
        <f>IF(D83="","",VLOOKUP(D83,'G-7 Rivers Data'!$B$2:$G$8,2,FALSE))</f>
        <v/>
      </c>
      <c r="G83" s="499" t="str">
        <f>IFERROR(VLOOKUP(F83,'G-7 Rivers Data'!$C$4:$D$8,2,FALSE),"")</f>
        <v/>
      </c>
      <c r="H83" s="145"/>
      <c r="I83" s="499" t="str">
        <f>IFERROR(INDEX('G-7 Rivers Data'!$H$4:$L$8,MATCH(D83,'G-7 Rivers Data'!$B$4:$B$8,0),MATCH(H83,'G-7 Rivers Data'!$H$3:$L$3,0)),"")</f>
        <v/>
      </c>
      <c r="J83" s="418"/>
      <c r="K83" s="498" t="str">
        <f>IF(J83="","",IF(VLOOKUP(J83,'G-7 Rivers Data'!$AK$4:$AM$9,2,FALSE)=0,"Spatial Data Missing ⚠",VLOOKUP(J83,'G-7 Rivers Data'!$AK$4:$AM$9,2,FALSE)))</f>
        <v/>
      </c>
      <c r="L83" s="505"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Data'!$B$2:$G$8,6,FALSE))</f>
        <v/>
      </c>
      <c r="R83" s="513" t="str">
        <f t="shared" si="8"/>
        <v/>
      </c>
      <c r="S83" s="40"/>
      <c r="T83" s="145"/>
      <c r="U83" s="157"/>
      <c r="V83" s="511" t="str">
        <f t="shared" si="9"/>
        <v/>
      </c>
      <c r="W83" s="511" t="str">
        <f t="shared" si="10"/>
        <v/>
      </c>
      <c r="X83" s="511" t="str">
        <f t="shared" si="11"/>
        <v/>
      </c>
      <c r="Y83" s="515"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8" x14ac:dyDescent="0.25">
      <c r="C84" s="141">
        <v>75</v>
      </c>
      <c r="D84" s="460"/>
      <c r="E84" s="172"/>
      <c r="F84" s="498" t="str">
        <f>IF(D84="","",VLOOKUP(D84,'G-7 Rivers Data'!$B$2:$G$8,2,FALSE))</f>
        <v/>
      </c>
      <c r="G84" s="499" t="str">
        <f>IFERROR(VLOOKUP(F84,'G-7 Rivers Data'!$C$4:$D$8,2,FALSE),"")</f>
        <v/>
      </c>
      <c r="H84" s="145"/>
      <c r="I84" s="499" t="str">
        <f>IFERROR(INDEX('G-7 Rivers Data'!$H$4:$L$8,MATCH(D84,'G-7 Rivers Data'!$B$4:$B$8,0),MATCH(H84,'G-7 Rivers Data'!$H$3:$L$3,0)),"")</f>
        <v/>
      </c>
      <c r="J84" s="418"/>
      <c r="K84" s="498" t="str">
        <f>IF(J84="","",IF(VLOOKUP(J84,'G-7 Rivers Data'!$AK$4:$AM$9,2,FALSE)=0,"Spatial Data Missing ⚠",VLOOKUP(J84,'G-7 Rivers Data'!$AK$4:$AM$9,2,FALSE)))</f>
        <v/>
      </c>
      <c r="L84" s="505"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Data'!$B$2:$G$8,6,FALSE))</f>
        <v/>
      </c>
      <c r="R84" s="513" t="str">
        <f t="shared" si="8"/>
        <v/>
      </c>
      <c r="S84" s="40"/>
      <c r="T84" s="145"/>
      <c r="U84" s="157"/>
      <c r="V84" s="511" t="str">
        <f t="shared" si="9"/>
        <v/>
      </c>
      <c r="W84" s="511" t="str">
        <f t="shared" si="10"/>
        <v/>
      </c>
      <c r="X84" s="511" t="str">
        <f t="shared" si="11"/>
        <v/>
      </c>
      <c r="Y84" s="515"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8" x14ac:dyDescent="0.25">
      <c r="C85" s="141">
        <v>76</v>
      </c>
      <c r="D85" s="460"/>
      <c r="E85" s="172"/>
      <c r="F85" s="498" t="str">
        <f>IF(D85="","",VLOOKUP(D85,'G-7 Rivers Data'!$B$2:$G$8,2,FALSE))</f>
        <v/>
      </c>
      <c r="G85" s="499" t="str">
        <f>IFERROR(VLOOKUP(F85,'G-7 Rivers Data'!$C$4:$D$8,2,FALSE),"")</f>
        <v/>
      </c>
      <c r="H85" s="145"/>
      <c r="I85" s="499" t="str">
        <f>IFERROR(INDEX('G-7 Rivers Data'!$H$4:$L$8,MATCH(D85,'G-7 Rivers Data'!$B$4:$B$8,0),MATCH(H85,'G-7 Rivers Data'!$H$3:$L$3,0)),"")</f>
        <v/>
      </c>
      <c r="J85" s="418"/>
      <c r="K85" s="498" t="str">
        <f>IF(J85="","",IF(VLOOKUP(J85,'G-7 Rivers Data'!$AK$4:$AM$9,2,FALSE)=0,"Spatial Data Missing ⚠",VLOOKUP(J85,'G-7 Rivers Data'!$AK$4:$AM$9,2,FALSE)))</f>
        <v/>
      </c>
      <c r="L85" s="505"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Data'!$B$2:$G$8,6,FALSE))</f>
        <v/>
      </c>
      <c r="R85" s="513" t="str">
        <f t="shared" si="8"/>
        <v/>
      </c>
      <c r="S85" s="40"/>
      <c r="T85" s="145"/>
      <c r="U85" s="157"/>
      <c r="V85" s="511" t="str">
        <f t="shared" si="9"/>
        <v/>
      </c>
      <c r="W85" s="511" t="str">
        <f t="shared" si="10"/>
        <v/>
      </c>
      <c r="X85" s="511" t="str">
        <f t="shared" si="11"/>
        <v/>
      </c>
      <c r="Y85" s="515"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8" x14ac:dyDescent="0.25">
      <c r="C86" s="141">
        <v>77</v>
      </c>
      <c r="D86" s="460"/>
      <c r="E86" s="172"/>
      <c r="F86" s="498" t="str">
        <f>IF(D86="","",VLOOKUP(D86,'G-7 Rivers Data'!$B$2:$G$8,2,FALSE))</f>
        <v/>
      </c>
      <c r="G86" s="499" t="str">
        <f>IFERROR(VLOOKUP(F86,'G-7 Rivers Data'!$C$4:$D$8,2,FALSE),"")</f>
        <v/>
      </c>
      <c r="H86" s="145"/>
      <c r="I86" s="499" t="str">
        <f>IFERROR(INDEX('G-7 Rivers Data'!$H$4:$L$8,MATCH(D86,'G-7 Rivers Data'!$B$4:$B$8,0),MATCH(H86,'G-7 Rivers Data'!$H$3:$L$3,0)),"")</f>
        <v/>
      </c>
      <c r="J86" s="418"/>
      <c r="K86" s="498" t="str">
        <f>IF(J86="","",IF(VLOOKUP(J86,'G-7 Rivers Data'!$AK$4:$AM$9,2,FALSE)=0,"Spatial Data Missing ⚠",VLOOKUP(J86,'G-7 Rivers Data'!$AK$4:$AM$9,2,FALSE)))</f>
        <v/>
      </c>
      <c r="L86" s="505"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Data'!$B$2:$G$8,6,FALSE))</f>
        <v/>
      </c>
      <c r="R86" s="513" t="str">
        <f t="shared" si="8"/>
        <v/>
      </c>
      <c r="S86" s="40"/>
      <c r="T86" s="145"/>
      <c r="U86" s="157"/>
      <c r="V86" s="511" t="str">
        <f t="shared" si="9"/>
        <v/>
      </c>
      <c r="W86" s="511" t="str">
        <f t="shared" si="10"/>
        <v/>
      </c>
      <c r="X86" s="511" t="str">
        <f t="shared" si="11"/>
        <v/>
      </c>
      <c r="Y86" s="515"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8" x14ac:dyDescent="0.25">
      <c r="C87" s="141">
        <v>78</v>
      </c>
      <c r="D87" s="460"/>
      <c r="E87" s="172"/>
      <c r="F87" s="498" t="str">
        <f>IF(D87="","",VLOOKUP(D87,'G-7 Rivers Data'!$B$2:$G$8,2,FALSE))</f>
        <v/>
      </c>
      <c r="G87" s="499" t="str">
        <f>IFERROR(VLOOKUP(F87,'G-7 Rivers Data'!$C$4:$D$8,2,FALSE),"")</f>
        <v/>
      </c>
      <c r="H87" s="145"/>
      <c r="I87" s="499" t="str">
        <f>IFERROR(INDEX('G-7 Rivers Data'!$H$4:$L$8,MATCH(D87,'G-7 Rivers Data'!$B$4:$B$8,0),MATCH(H87,'G-7 Rivers Data'!$H$3:$L$3,0)),"")</f>
        <v/>
      </c>
      <c r="J87" s="418"/>
      <c r="K87" s="498" t="str">
        <f>IF(J87="","",IF(VLOOKUP(J87,'G-7 Rivers Data'!$AK$4:$AM$9,2,FALSE)=0,"Spatial Data Missing ⚠",VLOOKUP(J87,'G-7 Rivers Data'!$AK$4:$AM$9,2,FALSE)))</f>
        <v/>
      </c>
      <c r="L87" s="505"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Data'!$B$2:$G$8,6,FALSE))</f>
        <v/>
      </c>
      <c r="R87" s="513" t="str">
        <f t="shared" si="8"/>
        <v/>
      </c>
      <c r="S87" s="40"/>
      <c r="T87" s="145"/>
      <c r="U87" s="157"/>
      <c r="V87" s="511" t="str">
        <f t="shared" si="9"/>
        <v/>
      </c>
      <c r="W87" s="511" t="str">
        <f t="shared" si="10"/>
        <v/>
      </c>
      <c r="X87" s="511" t="str">
        <f t="shared" si="11"/>
        <v/>
      </c>
      <c r="Y87" s="515"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8" x14ac:dyDescent="0.25">
      <c r="C88" s="141">
        <v>79</v>
      </c>
      <c r="D88" s="460"/>
      <c r="E88" s="172"/>
      <c r="F88" s="498" t="str">
        <f>IF(D88="","",VLOOKUP(D88,'G-7 Rivers Data'!$B$2:$G$8,2,FALSE))</f>
        <v/>
      </c>
      <c r="G88" s="499" t="str">
        <f>IFERROR(VLOOKUP(F88,'G-7 Rivers Data'!$C$4:$D$8,2,FALSE),"")</f>
        <v/>
      </c>
      <c r="H88" s="145"/>
      <c r="I88" s="499" t="str">
        <f>IFERROR(INDEX('G-7 Rivers Data'!$H$4:$L$8,MATCH(D88,'G-7 Rivers Data'!$B$4:$B$8,0),MATCH(H88,'G-7 Rivers Data'!$H$3:$L$3,0)),"")</f>
        <v/>
      </c>
      <c r="J88" s="418"/>
      <c r="K88" s="498" t="str">
        <f>IF(J88="","",IF(VLOOKUP(J88,'G-7 Rivers Data'!$AK$4:$AM$9,2,FALSE)=0,"Spatial Data Missing ⚠",VLOOKUP(J88,'G-7 Rivers Data'!$AK$4:$AM$9,2,FALSE)))</f>
        <v/>
      </c>
      <c r="L88" s="505"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Data'!$B$2:$G$8,6,FALSE))</f>
        <v/>
      </c>
      <c r="R88" s="513" t="str">
        <f t="shared" si="8"/>
        <v/>
      </c>
      <c r="S88" s="40"/>
      <c r="T88" s="145"/>
      <c r="U88" s="157"/>
      <c r="V88" s="511" t="str">
        <f t="shared" si="9"/>
        <v/>
      </c>
      <c r="W88" s="511" t="str">
        <f t="shared" si="10"/>
        <v/>
      </c>
      <c r="X88" s="511" t="str">
        <f t="shared" si="11"/>
        <v/>
      </c>
      <c r="Y88" s="515"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8" x14ac:dyDescent="0.25">
      <c r="C89" s="141">
        <v>80</v>
      </c>
      <c r="D89" s="460"/>
      <c r="E89" s="172"/>
      <c r="F89" s="498" t="str">
        <f>IF(D89="","",VLOOKUP(D89,'G-7 Rivers Data'!$B$2:$G$8,2,FALSE))</f>
        <v/>
      </c>
      <c r="G89" s="499" t="str">
        <f>IFERROR(VLOOKUP(F89,'G-7 Rivers Data'!$C$4:$D$8,2,FALSE),"")</f>
        <v/>
      </c>
      <c r="H89" s="145"/>
      <c r="I89" s="499" t="str">
        <f>IFERROR(INDEX('G-7 Rivers Data'!$H$4:$L$8,MATCH(D89,'G-7 Rivers Data'!$B$4:$B$8,0),MATCH(H89,'G-7 Rivers Data'!$H$3:$L$3,0)),"")</f>
        <v/>
      </c>
      <c r="J89" s="418"/>
      <c r="K89" s="498" t="str">
        <f>IF(J89="","",IF(VLOOKUP(J89,'G-7 Rivers Data'!$AK$4:$AM$9,2,FALSE)=0,"Spatial Data Missing ⚠",VLOOKUP(J89,'G-7 Rivers Data'!$AK$4:$AM$9,2,FALSE)))</f>
        <v/>
      </c>
      <c r="L89" s="505"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Data'!$B$2:$G$8,6,FALSE))</f>
        <v/>
      </c>
      <c r="R89" s="513" t="str">
        <f t="shared" si="8"/>
        <v/>
      </c>
      <c r="S89" s="40"/>
      <c r="T89" s="145"/>
      <c r="U89" s="157"/>
      <c r="V89" s="511" t="str">
        <f t="shared" si="9"/>
        <v/>
      </c>
      <c r="W89" s="511" t="str">
        <f t="shared" si="10"/>
        <v/>
      </c>
      <c r="X89" s="511" t="str">
        <f t="shared" si="11"/>
        <v/>
      </c>
      <c r="Y89" s="515"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8" x14ac:dyDescent="0.25">
      <c r="C90" s="141">
        <v>81</v>
      </c>
      <c r="D90" s="460"/>
      <c r="E90" s="172"/>
      <c r="F90" s="498" t="str">
        <f>IF(D90="","",VLOOKUP(D90,'G-7 Rivers Data'!$B$2:$G$8,2,FALSE))</f>
        <v/>
      </c>
      <c r="G90" s="499" t="str">
        <f>IFERROR(VLOOKUP(F90,'G-7 Rivers Data'!$C$4:$D$8,2,FALSE),"")</f>
        <v/>
      </c>
      <c r="H90" s="145"/>
      <c r="I90" s="499" t="str">
        <f>IFERROR(INDEX('G-7 Rivers Data'!$H$4:$L$8,MATCH(D90,'G-7 Rivers Data'!$B$4:$B$8,0),MATCH(H90,'G-7 Rivers Data'!$H$3:$L$3,0)),"")</f>
        <v/>
      </c>
      <c r="J90" s="418"/>
      <c r="K90" s="498" t="str">
        <f>IF(J90="","",IF(VLOOKUP(J90,'G-7 Rivers Data'!$AK$4:$AM$9,2,FALSE)=0,"Spatial Data Missing ⚠",VLOOKUP(J90,'G-7 Rivers Data'!$AK$4:$AM$9,2,FALSE)))</f>
        <v/>
      </c>
      <c r="L90" s="505"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Data'!$B$2:$G$8,6,FALSE))</f>
        <v/>
      </c>
      <c r="R90" s="513" t="str">
        <f t="shared" si="8"/>
        <v/>
      </c>
      <c r="S90" s="40"/>
      <c r="T90" s="145"/>
      <c r="U90" s="157"/>
      <c r="V90" s="511" t="str">
        <f t="shared" si="9"/>
        <v/>
      </c>
      <c r="W90" s="511" t="str">
        <f t="shared" si="10"/>
        <v/>
      </c>
      <c r="X90" s="511" t="str">
        <f t="shared" si="11"/>
        <v/>
      </c>
      <c r="Y90" s="515"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8" x14ac:dyDescent="0.25">
      <c r="C91" s="141">
        <v>82</v>
      </c>
      <c r="D91" s="460"/>
      <c r="E91" s="172"/>
      <c r="F91" s="498" t="str">
        <f>IF(D91="","",VLOOKUP(D91,'G-7 Rivers Data'!$B$2:$G$8,2,FALSE))</f>
        <v/>
      </c>
      <c r="G91" s="499" t="str">
        <f>IFERROR(VLOOKUP(F91,'G-7 Rivers Data'!$C$4:$D$8,2,FALSE),"")</f>
        <v/>
      </c>
      <c r="H91" s="145"/>
      <c r="I91" s="499" t="str">
        <f>IFERROR(INDEX('G-7 Rivers Data'!$H$4:$L$8,MATCH(D91,'G-7 Rivers Data'!$B$4:$B$8,0),MATCH(H91,'G-7 Rivers Data'!$H$3:$L$3,0)),"")</f>
        <v/>
      </c>
      <c r="J91" s="418"/>
      <c r="K91" s="498" t="str">
        <f>IF(J91="","",IF(VLOOKUP(J91,'G-7 Rivers Data'!$AK$4:$AM$9,2,FALSE)=0,"Spatial Data Missing ⚠",VLOOKUP(J91,'G-7 Rivers Data'!$AK$4:$AM$9,2,FALSE)))</f>
        <v/>
      </c>
      <c r="L91" s="505"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Data'!$B$2:$G$8,6,FALSE))</f>
        <v/>
      </c>
      <c r="R91" s="513" t="str">
        <f t="shared" si="8"/>
        <v/>
      </c>
      <c r="S91" s="40"/>
      <c r="T91" s="145"/>
      <c r="U91" s="157"/>
      <c r="V91" s="511" t="str">
        <f t="shared" si="9"/>
        <v/>
      </c>
      <c r="W91" s="511" t="str">
        <f t="shared" si="10"/>
        <v/>
      </c>
      <c r="X91" s="511" t="str">
        <f t="shared" si="11"/>
        <v/>
      </c>
      <c r="Y91" s="515"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8" x14ac:dyDescent="0.25">
      <c r="C92" s="141">
        <v>83</v>
      </c>
      <c r="D92" s="460"/>
      <c r="E92" s="172"/>
      <c r="F92" s="498" t="str">
        <f>IF(D92="","",VLOOKUP(D92,'G-7 Rivers Data'!$B$2:$G$8,2,FALSE))</f>
        <v/>
      </c>
      <c r="G92" s="499" t="str">
        <f>IFERROR(VLOOKUP(F92,'G-7 Rivers Data'!$C$4:$D$8,2,FALSE),"")</f>
        <v/>
      </c>
      <c r="H92" s="145"/>
      <c r="I92" s="499" t="str">
        <f>IFERROR(INDEX('G-7 Rivers Data'!$H$4:$L$8,MATCH(D92,'G-7 Rivers Data'!$B$4:$B$8,0),MATCH(H92,'G-7 Rivers Data'!$H$3:$L$3,0)),"")</f>
        <v/>
      </c>
      <c r="J92" s="418"/>
      <c r="K92" s="498" t="str">
        <f>IF(J92="","",IF(VLOOKUP(J92,'G-7 Rivers Data'!$AK$4:$AM$9,2,FALSE)=0,"Spatial Data Missing ⚠",VLOOKUP(J92,'G-7 Rivers Data'!$AK$4:$AM$9,2,FALSE)))</f>
        <v/>
      </c>
      <c r="L92" s="505"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Data'!$B$2:$G$8,6,FALSE))</f>
        <v/>
      </c>
      <c r="R92" s="513" t="str">
        <f t="shared" si="8"/>
        <v/>
      </c>
      <c r="S92" s="40"/>
      <c r="T92" s="145"/>
      <c r="U92" s="157"/>
      <c r="V92" s="511" t="str">
        <f t="shared" si="9"/>
        <v/>
      </c>
      <c r="W92" s="511" t="str">
        <f t="shared" si="10"/>
        <v/>
      </c>
      <c r="X92" s="511" t="str">
        <f t="shared" si="11"/>
        <v/>
      </c>
      <c r="Y92" s="515"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8" x14ac:dyDescent="0.25">
      <c r="C93" s="141">
        <v>84</v>
      </c>
      <c r="D93" s="460"/>
      <c r="E93" s="172"/>
      <c r="F93" s="498" t="str">
        <f>IF(D93="","",VLOOKUP(D93,'G-7 Rivers Data'!$B$2:$G$8,2,FALSE))</f>
        <v/>
      </c>
      <c r="G93" s="499" t="str">
        <f>IFERROR(VLOOKUP(F93,'G-7 Rivers Data'!$C$4:$D$8,2,FALSE),"")</f>
        <v/>
      </c>
      <c r="H93" s="145"/>
      <c r="I93" s="499" t="str">
        <f>IFERROR(INDEX('G-7 Rivers Data'!$H$4:$L$8,MATCH(D93,'G-7 Rivers Data'!$B$4:$B$8,0),MATCH(H93,'G-7 Rivers Data'!$H$3:$L$3,0)),"")</f>
        <v/>
      </c>
      <c r="J93" s="418"/>
      <c r="K93" s="498" t="str">
        <f>IF(J93="","",IF(VLOOKUP(J93,'G-7 Rivers Data'!$AK$4:$AM$9,2,FALSE)=0,"Spatial Data Missing ⚠",VLOOKUP(J93,'G-7 Rivers Data'!$AK$4:$AM$9,2,FALSE)))</f>
        <v/>
      </c>
      <c r="L93" s="505"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Data'!$B$2:$G$8,6,FALSE))</f>
        <v/>
      </c>
      <c r="R93" s="513" t="str">
        <f t="shared" si="8"/>
        <v/>
      </c>
      <c r="S93" s="40"/>
      <c r="T93" s="145"/>
      <c r="U93" s="157"/>
      <c r="V93" s="511" t="str">
        <f t="shared" si="9"/>
        <v/>
      </c>
      <c r="W93" s="511" t="str">
        <f t="shared" si="10"/>
        <v/>
      </c>
      <c r="X93" s="511" t="str">
        <f t="shared" si="11"/>
        <v/>
      </c>
      <c r="Y93" s="515"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8" x14ac:dyDescent="0.25">
      <c r="C94" s="141">
        <v>85</v>
      </c>
      <c r="D94" s="460"/>
      <c r="E94" s="172"/>
      <c r="F94" s="498" t="str">
        <f>IF(D94="","",VLOOKUP(D94,'G-7 Rivers Data'!$B$2:$G$8,2,FALSE))</f>
        <v/>
      </c>
      <c r="G94" s="499" t="str">
        <f>IFERROR(VLOOKUP(F94,'G-7 Rivers Data'!$C$4:$D$8,2,FALSE),"")</f>
        <v/>
      </c>
      <c r="H94" s="145"/>
      <c r="I94" s="499" t="str">
        <f>IFERROR(INDEX('G-7 Rivers Data'!$H$4:$L$8,MATCH(D94,'G-7 Rivers Data'!$B$4:$B$8,0),MATCH(H94,'G-7 Rivers Data'!$H$3:$L$3,0)),"")</f>
        <v/>
      </c>
      <c r="J94" s="418"/>
      <c r="K94" s="498" t="str">
        <f>IF(J94="","",IF(VLOOKUP(J94,'G-7 Rivers Data'!$AK$4:$AM$9,2,FALSE)=0,"Spatial Data Missing ⚠",VLOOKUP(J94,'G-7 Rivers Data'!$AK$4:$AM$9,2,FALSE)))</f>
        <v/>
      </c>
      <c r="L94" s="505"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Data'!$B$2:$G$8,6,FALSE))</f>
        <v/>
      </c>
      <c r="R94" s="513" t="str">
        <f t="shared" si="8"/>
        <v/>
      </c>
      <c r="S94" s="40"/>
      <c r="T94" s="145"/>
      <c r="U94" s="157"/>
      <c r="V94" s="511" t="str">
        <f t="shared" si="9"/>
        <v/>
      </c>
      <c r="W94" s="511" t="str">
        <f t="shared" si="10"/>
        <v/>
      </c>
      <c r="X94" s="511" t="str">
        <f t="shared" si="11"/>
        <v/>
      </c>
      <c r="Y94" s="515"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8" x14ac:dyDescent="0.25">
      <c r="C95" s="141">
        <v>86</v>
      </c>
      <c r="D95" s="460"/>
      <c r="E95" s="172"/>
      <c r="F95" s="498" t="str">
        <f>IF(D95="","",VLOOKUP(D95,'G-7 Rivers Data'!$B$2:$G$8,2,FALSE))</f>
        <v/>
      </c>
      <c r="G95" s="499" t="str">
        <f>IFERROR(VLOOKUP(F95,'G-7 Rivers Data'!$C$4:$D$8,2,FALSE),"")</f>
        <v/>
      </c>
      <c r="H95" s="145"/>
      <c r="I95" s="499" t="str">
        <f>IFERROR(INDEX('G-7 Rivers Data'!$H$4:$L$8,MATCH(D95,'G-7 Rivers Data'!$B$4:$B$8,0),MATCH(H95,'G-7 Rivers Data'!$H$3:$L$3,0)),"")</f>
        <v/>
      </c>
      <c r="J95" s="418"/>
      <c r="K95" s="498" t="str">
        <f>IF(J95="","",IF(VLOOKUP(J95,'G-7 Rivers Data'!$AK$4:$AM$9,2,FALSE)=0,"Spatial Data Missing ⚠",VLOOKUP(J95,'G-7 Rivers Data'!$AK$4:$AM$9,2,FALSE)))</f>
        <v/>
      </c>
      <c r="L95" s="505"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Data'!$B$2:$G$8,6,FALSE))</f>
        <v/>
      </c>
      <c r="R95" s="513" t="str">
        <f t="shared" si="8"/>
        <v/>
      </c>
      <c r="S95" s="40"/>
      <c r="T95" s="145"/>
      <c r="U95" s="157"/>
      <c r="V95" s="511" t="str">
        <f t="shared" si="9"/>
        <v/>
      </c>
      <c r="W95" s="511" t="str">
        <f t="shared" si="10"/>
        <v/>
      </c>
      <c r="X95" s="511" t="str">
        <f t="shared" si="11"/>
        <v/>
      </c>
      <c r="Y95" s="515"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8" x14ac:dyDescent="0.25">
      <c r="C96" s="141">
        <v>87</v>
      </c>
      <c r="D96" s="460"/>
      <c r="E96" s="172"/>
      <c r="F96" s="498" t="str">
        <f>IF(D96="","",VLOOKUP(D96,'G-7 Rivers Data'!$B$2:$G$8,2,FALSE))</f>
        <v/>
      </c>
      <c r="G96" s="499" t="str">
        <f>IFERROR(VLOOKUP(F96,'G-7 Rivers Data'!$C$4:$D$8,2,FALSE),"")</f>
        <v/>
      </c>
      <c r="H96" s="145"/>
      <c r="I96" s="499" t="str">
        <f>IFERROR(INDEX('G-7 Rivers Data'!$H$4:$L$8,MATCH(D96,'G-7 Rivers Data'!$B$4:$B$8,0),MATCH(H96,'G-7 Rivers Data'!$H$3:$L$3,0)),"")</f>
        <v/>
      </c>
      <c r="J96" s="418"/>
      <c r="K96" s="498" t="str">
        <f>IF(J96="","",IF(VLOOKUP(J96,'G-7 Rivers Data'!$AK$4:$AM$9,2,FALSE)=0,"Spatial Data Missing ⚠",VLOOKUP(J96,'G-7 Rivers Data'!$AK$4:$AM$9,2,FALSE)))</f>
        <v/>
      </c>
      <c r="L96" s="505"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Data'!$B$2:$G$8,6,FALSE))</f>
        <v/>
      </c>
      <c r="R96" s="513" t="str">
        <f t="shared" si="8"/>
        <v/>
      </c>
      <c r="S96" s="40"/>
      <c r="T96" s="145"/>
      <c r="U96" s="157"/>
      <c r="V96" s="511" t="str">
        <f t="shared" si="9"/>
        <v/>
      </c>
      <c r="W96" s="511" t="str">
        <f t="shared" si="10"/>
        <v/>
      </c>
      <c r="X96" s="511" t="str">
        <f t="shared" si="11"/>
        <v/>
      </c>
      <c r="Y96" s="515"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8" x14ac:dyDescent="0.25">
      <c r="C97" s="141">
        <v>88</v>
      </c>
      <c r="D97" s="460"/>
      <c r="E97" s="172"/>
      <c r="F97" s="498" t="str">
        <f>IF(D97="","",VLOOKUP(D97,'G-7 Rivers Data'!$B$2:$G$8,2,FALSE))</f>
        <v/>
      </c>
      <c r="G97" s="499" t="str">
        <f>IFERROR(VLOOKUP(F97,'G-7 Rivers Data'!$C$4:$D$8,2,FALSE),"")</f>
        <v/>
      </c>
      <c r="H97" s="145"/>
      <c r="I97" s="499" t="str">
        <f>IFERROR(INDEX('G-7 Rivers Data'!$H$4:$L$8,MATCH(D97,'G-7 Rivers Data'!$B$4:$B$8,0),MATCH(H97,'G-7 Rivers Data'!$H$3:$L$3,0)),"")</f>
        <v/>
      </c>
      <c r="J97" s="418"/>
      <c r="K97" s="498" t="str">
        <f>IF(J97="","",IF(VLOOKUP(J97,'G-7 Rivers Data'!$AK$4:$AM$9,2,FALSE)=0,"Spatial Data Missing ⚠",VLOOKUP(J97,'G-7 Rivers Data'!$AK$4:$AM$9,2,FALSE)))</f>
        <v/>
      </c>
      <c r="L97" s="505"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Data'!$B$2:$G$8,6,FALSE))</f>
        <v/>
      </c>
      <c r="R97" s="513" t="str">
        <f t="shared" si="8"/>
        <v/>
      </c>
      <c r="S97" s="40"/>
      <c r="T97" s="145"/>
      <c r="U97" s="157"/>
      <c r="V97" s="511" t="str">
        <f t="shared" si="9"/>
        <v/>
      </c>
      <c r="W97" s="511" t="str">
        <f t="shared" si="10"/>
        <v/>
      </c>
      <c r="X97" s="511" t="str">
        <f t="shared" si="11"/>
        <v/>
      </c>
      <c r="Y97" s="515"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8" x14ac:dyDescent="0.25">
      <c r="C98" s="141">
        <v>89</v>
      </c>
      <c r="D98" s="460"/>
      <c r="E98" s="172"/>
      <c r="F98" s="498" t="str">
        <f>IF(D98="","",VLOOKUP(D98,'G-7 Rivers Data'!$B$2:$G$8,2,FALSE))</f>
        <v/>
      </c>
      <c r="G98" s="499" t="str">
        <f>IFERROR(VLOOKUP(F98,'G-7 Rivers Data'!$C$4:$D$8,2,FALSE),"")</f>
        <v/>
      </c>
      <c r="H98" s="145"/>
      <c r="I98" s="499" t="str">
        <f>IFERROR(INDEX('G-7 Rivers Data'!$H$4:$L$8,MATCH(D98,'G-7 Rivers Data'!$B$4:$B$8,0),MATCH(H98,'G-7 Rivers Data'!$H$3:$L$3,0)),"")</f>
        <v/>
      </c>
      <c r="J98" s="418"/>
      <c r="K98" s="498" t="str">
        <f>IF(J98="","",IF(VLOOKUP(J98,'G-7 Rivers Data'!$AK$4:$AM$9,2,FALSE)=0,"Spatial Data Missing ⚠",VLOOKUP(J98,'G-7 Rivers Data'!$AK$4:$AM$9,2,FALSE)))</f>
        <v/>
      </c>
      <c r="L98" s="505"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Data'!$B$2:$G$8,6,FALSE))</f>
        <v/>
      </c>
      <c r="R98" s="513" t="str">
        <f t="shared" si="8"/>
        <v/>
      </c>
      <c r="S98" s="40"/>
      <c r="T98" s="145"/>
      <c r="U98" s="157"/>
      <c r="V98" s="511" t="str">
        <f t="shared" si="9"/>
        <v/>
      </c>
      <c r="W98" s="511" t="str">
        <f t="shared" si="10"/>
        <v/>
      </c>
      <c r="X98" s="511" t="str">
        <f t="shared" si="11"/>
        <v/>
      </c>
      <c r="Y98" s="515"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8" x14ac:dyDescent="0.25">
      <c r="C99" s="141">
        <v>90</v>
      </c>
      <c r="D99" s="460"/>
      <c r="E99" s="172"/>
      <c r="F99" s="498" t="str">
        <f>IF(D99="","",VLOOKUP(D99,'G-7 Rivers Data'!$B$2:$G$8,2,FALSE))</f>
        <v/>
      </c>
      <c r="G99" s="499" t="str">
        <f>IFERROR(VLOOKUP(F99,'G-7 Rivers Data'!$C$4:$D$8,2,FALSE),"")</f>
        <v/>
      </c>
      <c r="H99" s="145"/>
      <c r="I99" s="499" t="str">
        <f>IFERROR(INDEX('G-7 Rivers Data'!$H$4:$L$8,MATCH(D99,'G-7 Rivers Data'!$B$4:$B$8,0),MATCH(H99,'G-7 Rivers Data'!$H$3:$L$3,0)),"")</f>
        <v/>
      </c>
      <c r="J99" s="418"/>
      <c r="K99" s="498" t="str">
        <f>IF(J99="","",IF(VLOOKUP(J99,'G-7 Rivers Data'!$AK$4:$AM$9,2,FALSE)=0,"Spatial Data Missing ⚠",VLOOKUP(J99,'G-7 Rivers Data'!$AK$4:$AM$9,2,FALSE)))</f>
        <v/>
      </c>
      <c r="L99" s="505"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Data'!$B$2:$G$8,6,FALSE))</f>
        <v/>
      </c>
      <c r="R99" s="513" t="str">
        <f t="shared" si="8"/>
        <v/>
      </c>
      <c r="S99" s="40"/>
      <c r="T99" s="145"/>
      <c r="U99" s="157"/>
      <c r="V99" s="511" t="str">
        <f t="shared" si="9"/>
        <v/>
      </c>
      <c r="W99" s="511" t="str">
        <f t="shared" si="10"/>
        <v/>
      </c>
      <c r="X99" s="511" t="str">
        <f t="shared" si="11"/>
        <v/>
      </c>
      <c r="Y99" s="515"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8" x14ac:dyDescent="0.25">
      <c r="C100" s="141">
        <v>91</v>
      </c>
      <c r="D100" s="460"/>
      <c r="E100" s="172"/>
      <c r="F100" s="498" t="str">
        <f>IF(D100="","",VLOOKUP(D100,'G-7 Rivers Data'!$B$2:$G$8,2,FALSE))</f>
        <v/>
      </c>
      <c r="G100" s="499" t="str">
        <f>IFERROR(VLOOKUP(F100,'G-7 Rivers Data'!$C$4:$D$8,2,FALSE),"")</f>
        <v/>
      </c>
      <c r="H100" s="145"/>
      <c r="I100" s="499" t="str">
        <f>IFERROR(INDEX('G-7 Rivers Data'!$H$4:$L$8,MATCH(D100,'G-7 Rivers Data'!$B$4:$B$8,0),MATCH(H100,'G-7 Rivers Data'!$H$3:$L$3,0)),"")</f>
        <v/>
      </c>
      <c r="J100" s="418"/>
      <c r="K100" s="498" t="str">
        <f>IF(J100="","",IF(VLOOKUP(J100,'G-7 Rivers Data'!$AK$4:$AM$9,2,FALSE)=0,"Spatial Data Missing ⚠",VLOOKUP(J100,'G-7 Rivers Data'!$AK$4:$AM$9,2,FALSE)))</f>
        <v/>
      </c>
      <c r="L100" s="505"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Data'!$B$2:$G$8,6,FALSE))</f>
        <v/>
      </c>
      <c r="R100" s="513" t="str">
        <f t="shared" si="8"/>
        <v/>
      </c>
      <c r="S100" s="40"/>
      <c r="T100" s="145"/>
      <c r="U100" s="157"/>
      <c r="V100" s="511" t="str">
        <f t="shared" si="9"/>
        <v/>
      </c>
      <c r="W100" s="511" t="str">
        <f t="shared" si="10"/>
        <v/>
      </c>
      <c r="X100" s="511" t="str">
        <f t="shared" si="11"/>
        <v/>
      </c>
      <c r="Y100" s="515"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8" x14ac:dyDescent="0.25">
      <c r="C101" s="141">
        <v>92</v>
      </c>
      <c r="D101" s="460"/>
      <c r="E101" s="172"/>
      <c r="F101" s="498" t="str">
        <f>IF(D101="","",VLOOKUP(D101,'G-7 Rivers Data'!$B$2:$G$8,2,FALSE))</f>
        <v/>
      </c>
      <c r="G101" s="499" t="str">
        <f>IFERROR(VLOOKUP(F101,'G-7 Rivers Data'!$C$4:$D$8,2,FALSE),"")</f>
        <v/>
      </c>
      <c r="H101" s="145"/>
      <c r="I101" s="499" t="str">
        <f>IFERROR(INDEX('G-7 Rivers Data'!$H$4:$L$8,MATCH(D101,'G-7 Rivers Data'!$B$4:$B$8,0),MATCH(H101,'G-7 Rivers Data'!$H$3:$L$3,0)),"")</f>
        <v/>
      </c>
      <c r="J101" s="418"/>
      <c r="K101" s="498" t="str">
        <f>IF(J101="","",IF(VLOOKUP(J101,'G-7 Rivers Data'!$AK$4:$AM$9,2,FALSE)=0,"Spatial Data Missing ⚠",VLOOKUP(J101,'G-7 Rivers Data'!$AK$4:$AM$9,2,FALSE)))</f>
        <v/>
      </c>
      <c r="L101" s="505"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Data'!$B$2:$G$8,6,FALSE))</f>
        <v/>
      </c>
      <c r="R101" s="513" t="str">
        <f t="shared" si="8"/>
        <v/>
      </c>
      <c r="S101" s="40"/>
      <c r="T101" s="145"/>
      <c r="U101" s="157"/>
      <c r="V101" s="511" t="str">
        <f t="shared" si="9"/>
        <v/>
      </c>
      <c r="W101" s="511" t="str">
        <f t="shared" si="10"/>
        <v/>
      </c>
      <c r="X101" s="511" t="str">
        <f t="shared" si="11"/>
        <v/>
      </c>
      <c r="Y101" s="515"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8" x14ac:dyDescent="0.25">
      <c r="C102" s="141">
        <v>93</v>
      </c>
      <c r="D102" s="460"/>
      <c r="E102" s="172"/>
      <c r="F102" s="498" t="str">
        <f>IF(D102="","",VLOOKUP(D102,'G-7 Rivers Data'!$B$2:$G$8,2,FALSE))</f>
        <v/>
      </c>
      <c r="G102" s="499" t="str">
        <f>IFERROR(VLOOKUP(F102,'G-7 Rivers Data'!$C$4:$D$8,2,FALSE),"")</f>
        <v/>
      </c>
      <c r="H102" s="145"/>
      <c r="I102" s="499" t="str">
        <f>IFERROR(INDEX('G-7 Rivers Data'!$H$4:$L$8,MATCH(D102,'G-7 Rivers Data'!$B$4:$B$8,0),MATCH(H102,'G-7 Rivers Data'!$H$3:$L$3,0)),"")</f>
        <v/>
      </c>
      <c r="J102" s="418"/>
      <c r="K102" s="498" t="str">
        <f>IF(J102="","",IF(VLOOKUP(J102,'G-7 Rivers Data'!$AK$4:$AM$9,2,FALSE)=0,"Spatial Data Missing ⚠",VLOOKUP(J102,'G-7 Rivers Data'!$AK$4:$AM$9,2,FALSE)))</f>
        <v/>
      </c>
      <c r="L102" s="505"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Data'!$B$2:$G$8,6,FALSE))</f>
        <v/>
      </c>
      <c r="R102" s="513" t="str">
        <f t="shared" si="8"/>
        <v/>
      </c>
      <c r="S102" s="40"/>
      <c r="T102" s="145"/>
      <c r="U102" s="157"/>
      <c r="V102" s="511" t="str">
        <f t="shared" si="9"/>
        <v/>
      </c>
      <c r="W102" s="511" t="str">
        <f t="shared" si="10"/>
        <v/>
      </c>
      <c r="X102" s="511" t="str">
        <f t="shared" si="11"/>
        <v/>
      </c>
      <c r="Y102" s="515"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8" x14ac:dyDescent="0.25">
      <c r="C103" s="141">
        <v>94</v>
      </c>
      <c r="D103" s="460"/>
      <c r="E103" s="172"/>
      <c r="F103" s="498" t="str">
        <f>IF(D103="","",VLOOKUP(D103,'G-7 Rivers Data'!$B$2:$G$8,2,FALSE))</f>
        <v/>
      </c>
      <c r="G103" s="499" t="str">
        <f>IFERROR(VLOOKUP(F103,'G-7 Rivers Data'!$C$4:$D$8,2,FALSE),"")</f>
        <v/>
      </c>
      <c r="H103" s="145"/>
      <c r="I103" s="499" t="str">
        <f>IFERROR(INDEX('G-7 Rivers Data'!$H$4:$L$8,MATCH(D103,'G-7 Rivers Data'!$B$4:$B$8,0),MATCH(H103,'G-7 Rivers Data'!$H$3:$L$3,0)),"")</f>
        <v/>
      </c>
      <c r="J103" s="418"/>
      <c r="K103" s="498" t="str">
        <f>IF(J103="","",IF(VLOOKUP(J103,'G-7 Rivers Data'!$AK$4:$AM$9,2,FALSE)=0,"Spatial Data Missing ⚠",VLOOKUP(J103,'G-7 Rivers Data'!$AK$4:$AM$9,2,FALSE)))</f>
        <v/>
      </c>
      <c r="L103" s="505"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Data'!$B$2:$G$8,6,FALSE))</f>
        <v/>
      </c>
      <c r="R103" s="513" t="str">
        <f t="shared" si="8"/>
        <v/>
      </c>
      <c r="S103" s="40"/>
      <c r="T103" s="145"/>
      <c r="U103" s="157"/>
      <c r="V103" s="511" t="str">
        <f t="shared" si="9"/>
        <v/>
      </c>
      <c r="W103" s="511" t="str">
        <f t="shared" si="10"/>
        <v/>
      </c>
      <c r="X103" s="511" t="str">
        <f t="shared" si="11"/>
        <v/>
      </c>
      <c r="Y103" s="515"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8" x14ac:dyDescent="0.25">
      <c r="C104" s="141">
        <v>95</v>
      </c>
      <c r="D104" s="460"/>
      <c r="E104" s="172"/>
      <c r="F104" s="498" t="str">
        <f>IF(D104="","",VLOOKUP(D104,'G-7 Rivers Data'!$B$2:$G$8,2,FALSE))</f>
        <v/>
      </c>
      <c r="G104" s="499" t="str">
        <f>IFERROR(VLOOKUP(F104,'G-7 Rivers Data'!$C$4:$D$8,2,FALSE),"")</f>
        <v/>
      </c>
      <c r="H104" s="145"/>
      <c r="I104" s="499" t="str">
        <f>IFERROR(INDEX('G-7 Rivers Data'!$H$4:$L$8,MATCH(D104,'G-7 Rivers Data'!$B$4:$B$8,0),MATCH(H104,'G-7 Rivers Data'!$H$3:$L$3,0)),"")</f>
        <v/>
      </c>
      <c r="J104" s="418"/>
      <c r="K104" s="498" t="str">
        <f>IF(J104="","",IF(VLOOKUP(J104,'G-7 Rivers Data'!$AK$4:$AM$9,2,FALSE)=0,"Spatial Data Missing ⚠",VLOOKUP(J104,'G-7 Rivers Data'!$AK$4:$AM$9,2,FALSE)))</f>
        <v/>
      </c>
      <c r="L104" s="505"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Data'!$B$2:$G$8,6,FALSE))</f>
        <v/>
      </c>
      <c r="R104" s="513" t="str">
        <f t="shared" si="8"/>
        <v/>
      </c>
      <c r="S104" s="40"/>
      <c r="T104" s="145"/>
      <c r="U104" s="157"/>
      <c r="V104" s="511" t="str">
        <f t="shared" si="9"/>
        <v/>
      </c>
      <c r="W104" s="511" t="str">
        <f t="shared" si="10"/>
        <v/>
      </c>
      <c r="X104" s="511" t="str">
        <f t="shared" si="11"/>
        <v/>
      </c>
      <c r="Y104" s="515"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8" x14ac:dyDescent="0.25">
      <c r="C105" s="141">
        <v>96</v>
      </c>
      <c r="D105" s="460"/>
      <c r="E105" s="172"/>
      <c r="F105" s="498" t="str">
        <f>IF(D105="","",VLOOKUP(D105,'G-7 Rivers Data'!$B$2:$G$8,2,FALSE))</f>
        <v/>
      </c>
      <c r="G105" s="499" t="str">
        <f>IFERROR(VLOOKUP(F105,'G-7 Rivers Data'!$C$4:$D$8,2,FALSE),"")</f>
        <v/>
      </c>
      <c r="H105" s="145"/>
      <c r="I105" s="499" t="str">
        <f>IFERROR(INDEX('G-7 Rivers Data'!$H$4:$L$8,MATCH(D105,'G-7 Rivers Data'!$B$4:$B$8,0),MATCH(H105,'G-7 Rivers Data'!$H$3:$L$3,0)),"")</f>
        <v/>
      </c>
      <c r="J105" s="418"/>
      <c r="K105" s="498" t="str">
        <f>IF(J105="","",IF(VLOOKUP(J105,'G-7 Rivers Data'!$AK$4:$AM$9,2,FALSE)=0,"Spatial Data Missing ⚠",VLOOKUP(J105,'G-7 Rivers Data'!$AK$4:$AM$9,2,FALSE)))</f>
        <v/>
      </c>
      <c r="L105" s="505"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Data'!$B$2:$G$8,6,FALSE))</f>
        <v/>
      </c>
      <c r="R105" s="513" t="str">
        <f t="shared" si="8"/>
        <v/>
      </c>
      <c r="S105" s="40"/>
      <c r="T105" s="145"/>
      <c r="U105" s="157"/>
      <c r="V105" s="511" t="str">
        <f t="shared" si="9"/>
        <v/>
      </c>
      <c r="W105" s="511" t="str">
        <f t="shared" si="10"/>
        <v/>
      </c>
      <c r="X105" s="511" t="str">
        <f t="shared" si="11"/>
        <v/>
      </c>
      <c r="Y105" s="515"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8" x14ac:dyDescent="0.25">
      <c r="C106" s="141">
        <v>97</v>
      </c>
      <c r="D106" s="460"/>
      <c r="E106" s="172"/>
      <c r="F106" s="498" t="str">
        <f>IF(D106="","",VLOOKUP(D106,'G-7 Rivers Data'!$B$2:$G$8,2,FALSE))</f>
        <v/>
      </c>
      <c r="G106" s="499" t="str">
        <f>IFERROR(VLOOKUP(F106,'G-7 Rivers Data'!$C$4:$D$8,2,FALSE),"")</f>
        <v/>
      </c>
      <c r="H106" s="145"/>
      <c r="I106" s="499" t="str">
        <f>IFERROR(INDEX('G-7 Rivers Data'!$H$4:$L$8,MATCH(D106,'G-7 Rivers Data'!$B$4:$B$8,0),MATCH(H106,'G-7 Rivers Data'!$H$3:$L$3,0)),"")</f>
        <v/>
      </c>
      <c r="J106" s="418"/>
      <c r="K106" s="498" t="str">
        <f>IF(J106="","",IF(VLOOKUP(J106,'G-7 Rivers Data'!$AK$4:$AM$9,2,FALSE)=0,"Spatial Data Missing ⚠",VLOOKUP(J106,'G-7 Rivers Data'!$AK$4:$AM$9,2,FALSE)))</f>
        <v/>
      </c>
      <c r="L106" s="505"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Data'!$B$2:$G$8,6,FALSE))</f>
        <v/>
      </c>
      <c r="R106" s="513" t="str">
        <f t="shared" si="8"/>
        <v/>
      </c>
      <c r="S106" s="40"/>
      <c r="T106" s="145"/>
      <c r="U106" s="157"/>
      <c r="V106" s="511" t="str">
        <f t="shared" si="9"/>
        <v/>
      </c>
      <c r="W106" s="511" t="str">
        <f t="shared" si="10"/>
        <v/>
      </c>
      <c r="X106" s="511" t="str">
        <f t="shared" si="11"/>
        <v/>
      </c>
      <c r="Y106" s="515"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8" x14ac:dyDescent="0.25">
      <c r="C107" s="141">
        <v>98</v>
      </c>
      <c r="D107" s="460"/>
      <c r="E107" s="172"/>
      <c r="F107" s="498" t="str">
        <f>IF(D107="","",VLOOKUP(D107,'G-7 Rivers Data'!$B$2:$G$8,2,FALSE))</f>
        <v/>
      </c>
      <c r="G107" s="499" t="str">
        <f>IFERROR(VLOOKUP(F107,'G-7 Rivers Data'!$C$4:$D$8,2,FALSE),"")</f>
        <v/>
      </c>
      <c r="H107" s="145"/>
      <c r="I107" s="499" t="str">
        <f>IFERROR(INDEX('G-7 Rivers Data'!$H$4:$L$8,MATCH(D107,'G-7 Rivers Data'!$B$4:$B$8,0),MATCH(H107,'G-7 Rivers Data'!$H$3:$L$3,0)),"")</f>
        <v/>
      </c>
      <c r="J107" s="418"/>
      <c r="K107" s="498" t="str">
        <f>IF(J107="","",IF(VLOOKUP(J107,'G-7 Rivers Data'!$AK$4:$AM$9,2,FALSE)=0,"Spatial Data Missing ⚠",VLOOKUP(J107,'G-7 Rivers Data'!$AK$4:$AM$9,2,FALSE)))</f>
        <v/>
      </c>
      <c r="L107" s="505"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Data'!$B$2:$G$8,6,FALSE))</f>
        <v/>
      </c>
      <c r="R107" s="513" t="str">
        <f t="shared" si="8"/>
        <v/>
      </c>
      <c r="S107" s="40"/>
      <c r="T107" s="145"/>
      <c r="U107" s="157"/>
      <c r="V107" s="511" t="str">
        <f t="shared" si="9"/>
        <v/>
      </c>
      <c r="W107" s="511" t="str">
        <f t="shared" si="10"/>
        <v/>
      </c>
      <c r="X107" s="511" t="str">
        <f t="shared" si="11"/>
        <v/>
      </c>
      <c r="Y107" s="515"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8" x14ac:dyDescent="0.25">
      <c r="C108" s="141">
        <v>99</v>
      </c>
      <c r="D108" s="460"/>
      <c r="E108" s="172"/>
      <c r="F108" s="498" t="str">
        <f>IF(D108="","",VLOOKUP(D108,'G-7 Rivers Data'!$B$2:$G$8,2,FALSE))</f>
        <v/>
      </c>
      <c r="G108" s="499" t="str">
        <f>IFERROR(VLOOKUP(F108,'G-7 Rivers Data'!$C$4:$D$8,2,FALSE),"")</f>
        <v/>
      </c>
      <c r="H108" s="145"/>
      <c r="I108" s="499" t="str">
        <f>IFERROR(INDEX('G-7 Rivers Data'!$H$4:$L$8,MATCH(D108,'G-7 Rivers Data'!$B$4:$B$8,0),MATCH(H108,'G-7 Rivers Data'!$H$3:$L$3,0)),"")</f>
        <v/>
      </c>
      <c r="J108" s="418"/>
      <c r="K108" s="498" t="str">
        <f>IF(J108="","",IF(VLOOKUP(J108,'G-7 Rivers Data'!$AK$4:$AM$9,2,FALSE)=0,"Spatial Data Missing ⚠",VLOOKUP(J108,'G-7 Rivers Data'!$AK$4:$AM$9,2,FALSE)))</f>
        <v/>
      </c>
      <c r="L108" s="505"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Data'!$B$2:$G$8,6,FALSE))</f>
        <v/>
      </c>
      <c r="R108" s="513" t="str">
        <f t="shared" si="8"/>
        <v/>
      </c>
      <c r="S108" s="40"/>
      <c r="T108" s="145"/>
      <c r="U108" s="157"/>
      <c r="V108" s="511" t="str">
        <f t="shared" si="9"/>
        <v/>
      </c>
      <c r="W108" s="511" t="str">
        <f t="shared" si="10"/>
        <v/>
      </c>
      <c r="X108" s="511" t="str">
        <f t="shared" si="11"/>
        <v/>
      </c>
      <c r="Y108" s="515"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8" x14ac:dyDescent="0.25">
      <c r="C109" s="141">
        <v>100</v>
      </c>
      <c r="D109" s="460"/>
      <c r="E109" s="172"/>
      <c r="F109" s="498" t="str">
        <f>IF(D109="","",VLOOKUP(D109,'G-7 Rivers Data'!$B$2:$G$8,2,FALSE))</f>
        <v/>
      </c>
      <c r="G109" s="499" t="str">
        <f>IFERROR(VLOOKUP(F109,'G-7 Rivers Data'!$C$4:$D$8,2,FALSE),"")</f>
        <v/>
      </c>
      <c r="H109" s="145"/>
      <c r="I109" s="499" t="str">
        <f>IFERROR(INDEX('G-7 Rivers Data'!$H$4:$L$8,MATCH(D109,'G-7 Rivers Data'!$B$4:$B$8,0),MATCH(H109,'G-7 Rivers Data'!$H$3:$L$3,0)),"")</f>
        <v/>
      </c>
      <c r="J109" s="418"/>
      <c r="K109" s="498" t="str">
        <f>IF(J109="","",IF(VLOOKUP(J109,'G-7 Rivers Data'!$AK$4:$AM$9,2,FALSE)=0,"Spatial Data Missing ⚠",VLOOKUP(J109,'G-7 Rivers Data'!$AK$4:$AM$9,2,FALSE)))</f>
        <v/>
      </c>
      <c r="L109" s="505"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Data'!$B$2:$G$8,6,FALSE))</f>
        <v/>
      </c>
      <c r="R109" s="513" t="str">
        <f t="shared" si="8"/>
        <v/>
      </c>
      <c r="S109" s="40"/>
      <c r="T109" s="145"/>
      <c r="U109" s="157"/>
      <c r="V109" s="511" t="str">
        <f t="shared" si="9"/>
        <v/>
      </c>
      <c r="W109" s="511" t="str">
        <f t="shared" si="10"/>
        <v/>
      </c>
      <c r="X109" s="511" t="str">
        <f t="shared" si="11"/>
        <v/>
      </c>
      <c r="Y109" s="515"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8" x14ac:dyDescent="0.25">
      <c r="C110" s="141">
        <v>101</v>
      </c>
      <c r="D110" s="460"/>
      <c r="E110" s="172"/>
      <c r="F110" s="498" t="str">
        <f>IF(D110="","",VLOOKUP(D110,'G-7 Rivers Data'!$B$2:$G$8,2,FALSE))</f>
        <v/>
      </c>
      <c r="G110" s="499" t="str">
        <f>IFERROR(VLOOKUP(F110,'G-7 Rivers Data'!$C$4:$D$8,2,FALSE),"")</f>
        <v/>
      </c>
      <c r="H110" s="145"/>
      <c r="I110" s="499" t="str">
        <f>IFERROR(INDEX('G-7 Rivers Data'!$H$4:$L$8,MATCH(D110,'G-7 Rivers Data'!$B$4:$B$8,0),MATCH(H110,'G-7 Rivers Data'!$H$3:$L$3,0)),"")</f>
        <v/>
      </c>
      <c r="J110" s="418"/>
      <c r="K110" s="498" t="str">
        <f>IF(J110="","",IF(VLOOKUP(J110,'G-7 Rivers Data'!$AK$4:$AM$9,2,FALSE)=0,"Spatial Data Missing ⚠",VLOOKUP(J110,'G-7 Rivers Data'!$AK$4:$AM$9,2,FALSE)))</f>
        <v/>
      </c>
      <c r="L110" s="505"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Data'!$B$2:$G$8,6,FALSE))</f>
        <v/>
      </c>
      <c r="R110" s="513" t="str">
        <f t="shared" si="8"/>
        <v/>
      </c>
      <c r="S110" s="40"/>
      <c r="T110" s="145"/>
      <c r="U110" s="157"/>
      <c r="V110" s="511" t="str">
        <f t="shared" si="9"/>
        <v/>
      </c>
      <c r="W110" s="511" t="str">
        <f t="shared" si="10"/>
        <v/>
      </c>
      <c r="X110" s="511" t="str">
        <f t="shared" si="11"/>
        <v/>
      </c>
      <c r="Y110" s="515"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8" x14ac:dyDescent="0.25">
      <c r="C111" s="141">
        <v>102</v>
      </c>
      <c r="D111" s="460"/>
      <c r="E111" s="172"/>
      <c r="F111" s="498" t="str">
        <f>IF(D111="","",VLOOKUP(D111,'G-7 Rivers Data'!$B$2:$G$8,2,FALSE))</f>
        <v/>
      </c>
      <c r="G111" s="499" t="str">
        <f>IFERROR(VLOOKUP(F111,'G-7 Rivers Data'!$C$4:$D$8,2,FALSE),"")</f>
        <v/>
      </c>
      <c r="H111" s="145"/>
      <c r="I111" s="499" t="str">
        <f>IFERROR(INDEX('G-7 Rivers Data'!$H$4:$L$8,MATCH(D111,'G-7 Rivers Data'!$B$4:$B$8,0),MATCH(H111,'G-7 Rivers Data'!$H$3:$L$3,0)),"")</f>
        <v/>
      </c>
      <c r="J111" s="418"/>
      <c r="K111" s="498" t="str">
        <f>IF(J111="","",IF(VLOOKUP(J111,'G-7 Rivers Data'!$AK$4:$AM$9,2,FALSE)=0,"Spatial Data Missing ⚠",VLOOKUP(J111,'G-7 Rivers Data'!$AK$4:$AM$9,2,FALSE)))</f>
        <v/>
      </c>
      <c r="L111" s="505"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Data'!$B$2:$G$8,6,FALSE))</f>
        <v/>
      </c>
      <c r="R111" s="513" t="str">
        <f t="shared" si="8"/>
        <v/>
      </c>
      <c r="S111" s="40"/>
      <c r="T111" s="145"/>
      <c r="U111" s="157"/>
      <c r="V111" s="511" t="str">
        <f t="shared" si="9"/>
        <v/>
      </c>
      <c r="W111" s="511" t="str">
        <f t="shared" si="10"/>
        <v/>
      </c>
      <c r="X111" s="511" t="str">
        <f t="shared" si="11"/>
        <v/>
      </c>
      <c r="Y111" s="515"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8" x14ac:dyDescent="0.25">
      <c r="C112" s="141">
        <v>103</v>
      </c>
      <c r="D112" s="460"/>
      <c r="E112" s="172"/>
      <c r="F112" s="498" t="str">
        <f>IF(D112="","",VLOOKUP(D112,'G-7 Rivers Data'!$B$2:$G$8,2,FALSE))</f>
        <v/>
      </c>
      <c r="G112" s="499" t="str">
        <f>IFERROR(VLOOKUP(F112,'G-7 Rivers Data'!$C$4:$D$8,2,FALSE),"")</f>
        <v/>
      </c>
      <c r="H112" s="145"/>
      <c r="I112" s="499" t="str">
        <f>IFERROR(INDEX('G-7 Rivers Data'!$H$4:$L$8,MATCH(D112,'G-7 Rivers Data'!$B$4:$B$8,0),MATCH(H112,'G-7 Rivers Data'!$H$3:$L$3,0)),"")</f>
        <v/>
      </c>
      <c r="J112" s="418"/>
      <c r="K112" s="498" t="str">
        <f>IF(J112="","",IF(VLOOKUP(J112,'G-7 Rivers Data'!$AK$4:$AM$9,2,FALSE)=0,"Spatial Data Missing ⚠",VLOOKUP(J112,'G-7 Rivers Data'!$AK$4:$AM$9,2,FALSE)))</f>
        <v/>
      </c>
      <c r="L112" s="505"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Data'!$B$2:$G$8,6,FALSE))</f>
        <v/>
      </c>
      <c r="R112" s="513" t="str">
        <f t="shared" si="8"/>
        <v/>
      </c>
      <c r="S112" s="40"/>
      <c r="T112" s="145"/>
      <c r="U112" s="157"/>
      <c r="V112" s="511" t="str">
        <f t="shared" si="9"/>
        <v/>
      </c>
      <c r="W112" s="511" t="str">
        <f t="shared" si="10"/>
        <v/>
      </c>
      <c r="X112" s="511" t="str">
        <f t="shared" si="11"/>
        <v/>
      </c>
      <c r="Y112" s="515"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8" x14ac:dyDescent="0.25">
      <c r="C113" s="141">
        <v>104</v>
      </c>
      <c r="D113" s="460"/>
      <c r="E113" s="172"/>
      <c r="F113" s="498" t="str">
        <f>IF(D113="","",VLOOKUP(D113,'G-7 Rivers Data'!$B$2:$G$8,2,FALSE))</f>
        <v/>
      </c>
      <c r="G113" s="499" t="str">
        <f>IFERROR(VLOOKUP(F113,'G-7 Rivers Data'!$C$4:$D$8,2,FALSE),"")</f>
        <v/>
      </c>
      <c r="H113" s="145"/>
      <c r="I113" s="499" t="str">
        <f>IFERROR(INDEX('G-7 Rivers Data'!$H$4:$L$8,MATCH(D113,'G-7 Rivers Data'!$B$4:$B$8,0),MATCH(H113,'G-7 Rivers Data'!$H$3:$L$3,0)),"")</f>
        <v/>
      </c>
      <c r="J113" s="418"/>
      <c r="K113" s="498" t="str">
        <f>IF(J113="","",IF(VLOOKUP(J113,'G-7 Rivers Data'!$AK$4:$AM$9,2,FALSE)=0,"Spatial Data Missing ⚠",VLOOKUP(J113,'G-7 Rivers Data'!$AK$4:$AM$9,2,FALSE)))</f>
        <v/>
      </c>
      <c r="L113" s="505"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Data'!$B$2:$G$8,6,FALSE))</f>
        <v/>
      </c>
      <c r="R113" s="513" t="str">
        <f t="shared" si="8"/>
        <v/>
      </c>
      <c r="S113" s="40"/>
      <c r="T113" s="145"/>
      <c r="U113" s="157"/>
      <c r="V113" s="511" t="str">
        <f t="shared" si="9"/>
        <v/>
      </c>
      <c r="W113" s="511" t="str">
        <f t="shared" si="10"/>
        <v/>
      </c>
      <c r="X113" s="511" t="str">
        <f t="shared" si="11"/>
        <v/>
      </c>
      <c r="Y113" s="515"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8" x14ac:dyDescent="0.25">
      <c r="C114" s="141">
        <v>105</v>
      </c>
      <c r="D114" s="460"/>
      <c r="E114" s="172"/>
      <c r="F114" s="498" t="str">
        <f>IF(D114="","",VLOOKUP(D114,'G-7 Rivers Data'!$B$2:$G$8,2,FALSE))</f>
        <v/>
      </c>
      <c r="G114" s="499" t="str">
        <f>IFERROR(VLOOKUP(F114,'G-7 Rivers Data'!$C$4:$D$8,2,FALSE),"")</f>
        <v/>
      </c>
      <c r="H114" s="145"/>
      <c r="I114" s="499" t="str">
        <f>IFERROR(INDEX('G-7 Rivers Data'!$H$4:$L$8,MATCH(D114,'G-7 Rivers Data'!$B$4:$B$8,0),MATCH(H114,'G-7 Rivers Data'!$H$3:$L$3,0)),"")</f>
        <v/>
      </c>
      <c r="J114" s="418"/>
      <c r="K114" s="498" t="str">
        <f>IF(J114="","",IF(VLOOKUP(J114,'G-7 Rivers Data'!$AK$4:$AM$9,2,FALSE)=0,"Spatial Data Missing ⚠",VLOOKUP(J114,'G-7 Rivers Data'!$AK$4:$AM$9,2,FALSE)))</f>
        <v/>
      </c>
      <c r="L114" s="505"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Data'!$B$2:$G$8,6,FALSE))</f>
        <v/>
      </c>
      <c r="R114" s="513" t="str">
        <f t="shared" si="8"/>
        <v/>
      </c>
      <c r="S114" s="40"/>
      <c r="T114" s="145"/>
      <c r="U114" s="157"/>
      <c r="V114" s="511" t="str">
        <f t="shared" si="9"/>
        <v/>
      </c>
      <c r="W114" s="511" t="str">
        <f t="shared" si="10"/>
        <v/>
      </c>
      <c r="X114" s="511" t="str">
        <f t="shared" si="11"/>
        <v/>
      </c>
      <c r="Y114" s="515"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8" x14ac:dyDescent="0.25">
      <c r="C115" s="141">
        <v>106</v>
      </c>
      <c r="D115" s="460"/>
      <c r="E115" s="172"/>
      <c r="F115" s="498" t="str">
        <f>IF(D115="","",VLOOKUP(D115,'G-7 Rivers Data'!$B$2:$G$8,2,FALSE))</f>
        <v/>
      </c>
      <c r="G115" s="499" t="str">
        <f>IFERROR(VLOOKUP(F115,'G-7 Rivers Data'!$C$4:$D$8,2,FALSE),"")</f>
        <v/>
      </c>
      <c r="H115" s="145"/>
      <c r="I115" s="499" t="str">
        <f>IFERROR(INDEX('G-7 Rivers Data'!$H$4:$L$8,MATCH(D115,'G-7 Rivers Data'!$B$4:$B$8,0),MATCH(H115,'G-7 Rivers Data'!$H$3:$L$3,0)),"")</f>
        <v/>
      </c>
      <c r="J115" s="418"/>
      <c r="K115" s="498" t="str">
        <f>IF(J115="","",IF(VLOOKUP(J115,'G-7 Rivers Data'!$AK$4:$AM$9,2,FALSE)=0,"Spatial Data Missing ⚠",VLOOKUP(J115,'G-7 Rivers Data'!$AK$4:$AM$9,2,FALSE)))</f>
        <v/>
      </c>
      <c r="L115" s="505"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Data'!$B$2:$G$8,6,FALSE))</f>
        <v/>
      </c>
      <c r="R115" s="513" t="str">
        <f t="shared" si="8"/>
        <v/>
      </c>
      <c r="S115" s="40"/>
      <c r="T115" s="145"/>
      <c r="U115" s="157"/>
      <c r="V115" s="511" t="str">
        <f t="shared" si="9"/>
        <v/>
      </c>
      <c r="W115" s="511" t="str">
        <f t="shared" si="10"/>
        <v/>
      </c>
      <c r="X115" s="511" t="str">
        <f t="shared" si="11"/>
        <v/>
      </c>
      <c r="Y115" s="515"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8" x14ac:dyDescent="0.25">
      <c r="C116" s="141">
        <v>107</v>
      </c>
      <c r="D116" s="460"/>
      <c r="E116" s="172"/>
      <c r="F116" s="498" t="str">
        <f>IF(D116="","",VLOOKUP(D116,'G-7 Rivers Data'!$B$2:$G$8,2,FALSE))</f>
        <v/>
      </c>
      <c r="G116" s="499" t="str">
        <f>IFERROR(VLOOKUP(F116,'G-7 Rivers Data'!$C$4:$D$8,2,FALSE),"")</f>
        <v/>
      </c>
      <c r="H116" s="145"/>
      <c r="I116" s="499" t="str">
        <f>IFERROR(INDEX('G-7 Rivers Data'!$H$4:$L$8,MATCH(D116,'G-7 Rivers Data'!$B$4:$B$8,0),MATCH(H116,'G-7 Rivers Data'!$H$3:$L$3,0)),"")</f>
        <v/>
      </c>
      <c r="J116" s="418"/>
      <c r="K116" s="498" t="str">
        <f>IF(J116="","",IF(VLOOKUP(J116,'G-7 Rivers Data'!$AK$4:$AM$9,2,FALSE)=0,"Spatial Data Missing ⚠",VLOOKUP(J116,'G-7 Rivers Data'!$AK$4:$AM$9,2,FALSE)))</f>
        <v/>
      </c>
      <c r="L116" s="505"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Data'!$B$2:$G$8,6,FALSE))</f>
        <v/>
      </c>
      <c r="R116" s="513" t="str">
        <f t="shared" si="8"/>
        <v/>
      </c>
      <c r="S116" s="40"/>
      <c r="T116" s="145"/>
      <c r="U116" s="157"/>
      <c r="V116" s="511" t="str">
        <f t="shared" si="9"/>
        <v/>
      </c>
      <c r="W116" s="511" t="str">
        <f t="shared" si="10"/>
        <v/>
      </c>
      <c r="X116" s="511" t="str">
        <f t="shared" si="11"/>
        <v/>
      </c>
      <c r="Y116" s="515"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8" x14ac:dyDescent="0.25">
      <c r="C117" s="141">
        <v>108</v>
      </c>
      <c r="D117" s="460"/>
      <c r="E117" s="172"/>
      <c r="F117" s="498" t="str">
        <f>IF(D117="","",VLOOKUP(D117,'G-7 Rivers Data'!$B$2:$G$8,2,FALSE))</f>
        <v/>
      </c>
      <c r="G117" s="499" t="str">
        <f>IFERROR(VLOOKUP(F117,'G-7 Rivers Data'!$C$4:$D$8,2,FALSE),"")</f>
        <v/>
      </c>
      <c r="H117" s="145"/>
      <c r="I117" s="499" t="str">
        <f>IFERROR(INDEX('G-7 Rivers Data'!$H$4:$L$8,MATCH(D117,'G-7 Rivers Data'!$B$4:$B$8,0),MATCH(H117,'G-7 Rivers Data'!$H$3:$L$3,0)),"")</f>
        <v/>
      </c>
      <c r="J117" s="418"/>
      <c r="K117" s="498" t="str">
        <f>IF(J117="","",IF(VLOOKUP(J117,'G-7 Rivers Data'!$AK$4:$AM$9,2,FALSE)=0,"Spatial Data Missing ⚠",VLOOKUP(J117,'G-7 Rivers Data'!$AK$4:$AM$9,2,FALSE)))</f>
        <v/>
      </c>
      <c r="L117" s="505"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Data'!$B$2:$G$8,6,FALSE))</f>
        <v/>
      </c>
      <c r="R117" s="513" t="str">
        <f t="shared" si="8"/>
        <v/>
      </c>
      <c r="S117" s="40"/>
      <c r="T117" s="145"/>
      <c r="U117" s="157"/>
      <c r="V117" s="511" t="str">
        <f t="shared" si="9"/>
        <v/>
      </c>
      <c r="W117" s="511" t="str">
        <f t="shared" si="10"/>
        <v/>
      </c>
      <c r="X117" s="511" t="str">
        <f t="shared" si="11"/>
        <v/>
      </c>
      <c r="Y117" s="515"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8" x14ac:dyDescent="0.25">
      <c r="C118" s="141">
        <v>109</v>
      </c>
      <c r="D118" s="460"/>
      <c r="E118" s="172"/>
      <c r="F118" s="498" t="str">
        <f>IF(D118="","",VLOOKUP(D118,'G-7 Rivers Data'!$B$2:$G$8,2,FALSE))</f>
        <v/>
      </c>
      <c r="G118" s="499" t="str">
        <f>IFERROR(VLOOKUP(F118,'G-7 Rivers Data'!$C$4:$D$8,2,FALSE),"")</f>
        <v/>
      </c>
      <c r="H118" s="145"/>
      <c r="I118" s="499" t="str">
        <f>IFERROR(INDEX('G-7 Rivers Data'!$H$4:$L$8,MATCH(D118,'G-7 Rivers Data'!$B$4:$B$8,0),MATCH(H118,'G-7 Rivers Data'!$H$3:$L$3,0)),"")</f>
        <v/>
      </c>
      <c r="J118" s="418"/>
      <c r="K118" s="498" t="str">
        <f>IF(J118="","",IF(VLOOKUP(J118,'G-7 Rivers Data'!$AK$4:$AM$9,2,FALSE)=0,"Spatial Data Missing ⚠",VLOOKUP(J118,'G-7 Rivers Data'!$AK$4:$AM$9,2,FALSE)))</f>
        <v/>
      </c>
      <c r="L118" s="505"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Data'!$B$2:$G$8,6,FALSE))</f>
        <v/>
      </c>
      <c r="R118" s="513" t="str">
        <f t="shared" si="8"/>
        <v/>
      </c>
      <c r="S118" s="40"/>
      <c r="T118" s="145"/>
      <c r="U118" s="157"/>
      <c r="V118" s="511" t="str">
        <f t="shared" si="9"/>
        <v/>
      </c>
      <c r="W118" s="511" t="str">
        <f t="shared" si="10"/>
        <v/>
      </c>
      <c r="X118" s="511" t="str">
        <f t="shared" si="11"/>
        <v/>
      </c>
      <c r="Y118" s="515"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8" x14ac:dyDescent="0.25">
      <c r="C119" s="141">
        <v>110</v>
      </c>
      <c r="D119" s="460"/>
      <c r="E119" s="172"/>
      <c r="F119" s="498" t="str">
        <f>IF(D119="","",VLOOKUP(D119,'G-7 Rivers Data'!$B$2:$G$8,2,FALSE))</f>
        <v/>
      </c>
      <c r="G119" s="499" t="str">
        <f>IFERROR(VLOOKUP(F119,'G-7 Rivers Data'!$C$4:$D$8,2,FALSE),"")</f>
        <v/>
      </c>
      <c r="H119" s="145"/>
      <c r="I119" s="499" t="str">
        <f>IFERROR(INDEX('G-7 Rivers Data'!$H$4:$L$8,MATCH(D119,'G-7 Rivers Data'!$B$4:$B$8,0),MATCH(H119,'G-7 Rivers Data'!$H$3:$L$3,0)),"")</f>
        <v/>
      </c>
      <c r="J119" s="418"/>
      <c r="K119" s="498" t="str">
        <f>IF(J119="","",IF(VLOOKUP(J119,'G-7 Rivers Data'!$AK$4:$AM$9,2,FALSE)=0,"Spatial Data Missing ⚠",VLOOKUP(J119,'G-7 Rivers Data'!$AK$4:$AM$9,2,FALSE)))</f>
        <v/>
      </c>
      <c r="L119" s="505"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Data'!$B$2:$G$8,6,FALSE))</f>
        <v/>
      </c>
      <c r="R119" s="513" t="str">
        <f t="shared" si="8"/>
        <v/>
      </c>
      <c r="S119" s="40"/>
      <c r="T119" s="145"/>
      <c r="U119" s="157"/>
      <c r="V119" s="511" t="str">
        <f t="shared" si="9"/>
        <v/>
      </c>
      <c r="W119" s="511" t="str">
        <f t="shared" si="10"/>
        <v/>
      </c>
      <c r="X119" s="511" t="str">
        <f t="shared" si="11"/>
        <v/>
      </c>
      <c r="Y119" s="515"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8" x14ac:dyDescent="0.25">
      <c r="C120" s="141">
        <v>111</v>
      </c>
      <c r="D120" s="460"/>
      <c r="E120" s="172"/>
      <c r="F120" s="498" t="str">
        <f>IF(D120="","",VLOOKUP(D120,'G-7 Rivers Data'!$B$2:$G$8,2,FALSE))</f>
        <v/>
      </c>
      <c r="G120" s="499" t="str">
        <f>IFERROR(VLOOKUP(F120,'G-7 Rivers Data'!$C$4:$D$8,2,FALSE),"")</f>
        <v/>
      </c>
      <c r="H120" s="145"/>
      <c r="I120" s="499" t="str">
        <f>IFERROR(INDEX('G-7 Rivers Data'!$H$4:$L$8,MATCH(D120,'G-7 Rivers Data'!$B$4:$B$8,0),MATCH(H120,'G-7 Rivers Data'!$H$3:$L$3,0)),"")</f>
        <v/>
      </c>
      <c r="J120" s="418"/>
      <c r="K120" s="498" t="str">
        <f>IF(J120="","",IF(VLOOKUP(J120,'G-7 Rivers Data'!$AK$4:$AM$9,2,FALSE)=0,"Spatial Data Missing ⚠",VLOOKUP(J120,'G-7 Rivers Data'!$AK$4:$AM$9,2,FALSE)))</f>
        <v/>
      </c>
      <c r="L120" s="505"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Data'!$B$2:$G$8,6,FALSE))</f>
        <v/>
      </c>
      <c r="R120" s="513" t="str">
        <f t="shared" si="8"/>
        <v/>
      </c>
      <c r="S120" s="40"/>
      <c r="T120" s="145"/>
      <c r="U120" s="157"/>
      <c r="V120" s="511" t="str">
        <f t="shared" si="9"/>
        <v/>
      </c>
      <c r="W120" s="511" t="str">
        <f t="shared" si="10"/>
        <v/>
      </c>
      <c r="X120" s="511" t="str">
        <f t="shared" si="11"/>
        <v/>
      </c>
      <c r="Y120" s="515"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8" x14ac:dyDescent="0.25">
      <c r="C121" s="141">
        <v>112</v>
      </c>
      <c r="D121" s="460"/>
      <c r="E121" s="172"/>
      <c r="F121" s="498" t="str">
        <f>IF(D121="","",VLOOKUP(D121,'G-7 Rivers Data'!$B$2:$G$8,2,FALSE))</f>
        <v/>
      </c>
      <c r="G121" s="499" t="str">
        <f>IFERROR(VLOOKUP(F121,'G-7 Rivers Data'!$C$4:$D$8,2,FALSE),"")</f>
        <v/>
      </c>
      <c r="H121" s="145"/>
      <c r="I121" s="499" t="str">
        <f>IFERROR(INDEX('G-7 Rivers Data'!$H$4:$L$8,MATCH(D121,'G-7 Rivers Data'!$B$4:$B$8,0),MATCH(H121,'G-7 Rivers Data'!$H$3:$L$3,0)),"")</f>
        <v/>
      </c>
      <c r="J121" s="418"/>
      <c r="K121" s="498" t="str">
        <f>IF(J121="","",IF(VLOOKUP(J121,'G-7 Rivers Data'!$AK$4:$AM$9,2,FALSE)=0,"Spatial Data Missing ⚠",VLOOKUP(J121,'G-7 Rivers Data'!$AK$4:$AM$9,2,FALSE)))</f>
        <v/>
      </c>
      <c r="L121" s="505"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Data'!$B$2:$G$8,6,FALSE))</f>
        <v/>
      </c>
      <c r="R121" s="513" t="str">
        <f t="shared" si="8"/>
        <v/>
      </c>
      <c r="S121" s="40"/>
      <c r="T121" s="145"/>
      <c r="U121" s="157"/>
      <c r="V121" s="511" t="str">
        <f t="shared" si="9"/>
        <v/>
      </c>
      <c r="W121" s="511" t="str">
        <f t="shared" si="10"/>
        <v/>
      </c>
      <c r="X121" s="511" t="str">
        <f t="shared" si="11"/>
        <v/>
      </c>
      <c r="Y121" s="515"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8" x14ac:dyDescent="0.25">
      <c r="C122" s="141">
        <v>113</v>
      </c>
      <c r="D122" s="460"/>
      <c r="E122" s="172"/>
      <c r="F122" s="498" t="str">
        <f>IF(D122="","",VLOOKUP(D122,'G-7 Rivers Data'!$B$2:$G$8,2,FALSE))</f>
        <v/>
      </c>
      <c r="G122" s="499" t="str">
        <f>IFERROR(VLOOKUP(F122,'G-7 Rivers Data'!$C$4:$D$8,2,FALSE),"")</f>
        <v/>
      </c>
      <c r="H122" s="145"/>
      <c r="I122" s="499" t="str">
        <f>IFERROR(INDEX('G-7 Rivers Data'!$H$4:$L$8,MATCH(D122,'G-7 Rivers Data'!$B$4:$B$8,0),MATCH(H122,'G-7 Rivers Data'!$H$3:$L$3,0)),"")</f>
        <v/>
      </c>
      <c r="J122" s="418"/>
      <c r="K122" s="498" t="str">
        <f>IF(J122="","",IF(VLOOKUP(J122,'G-7 Rivers Data'!$AK$4:$AM$9,2,FALSE)=0,"Spatial Data Missing ⚠",VLOOKUP(J122,'G-7 Rivers Data'!$AK$4:$AM$9,2,FALSE)))</f>
        <v/>
      </c>
      <c r="L122" s="505"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Data'!$B$2:$G$8,6,FALSE))</f>
        <v/>
      </c>
      <c r="R122" s="513" t="str">
        <f t="shared" si="8"/>
        <v/>
      </c>
      <c r="S122" s="40"/>
      <c r="T122" s="145"/>
      <c r="U122" s="157"/>
      <c r="V122" s="511" t="str">
        <f t="shared" si="9"/>
        <v/>
      </c>
      <c r="W122" s="511" t="str">
        <f t="shared" si="10"/>
        <v/>
      </c>
      <c r="X122" s="511" t="str">
        <f t="shared" si="11"/>
        <v/>
      </c>
      <c r="Y122" s="515"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8" x14ac:dyDescent="0.25">
      <c r="C123" s="141">
        <v>114</v>
      </c>
      <c r="D123" s="460"/>
      <c r="E123" s="172"/>
      <c r="F123" s="498" t="str">
        <f>IF(D123="","",VLOOKUP(D123,'G-7 Rivers Data'!$B$2:$G$8,2,FALSE))</f>
        <v/>
      </c>
      <c r="G123" s="499" t="str">
        <f>IFERROR(VLOOKUP(F123,'G-7 Rivers Data'!$C$4:$D$8,2,FALSE),"")</f>
        <v/>
      </c>
      <c r="H123" s="145"/>
      <c r="I123" s="499" t="str">
        <f>IFERROR(INDEX('G-7 Rivers Data'!$H$4:$L$8,MATCH(D123,'G-7 Rivers Data'!$B$4:$B$8,0),MATCH(H123,'G-7 Rivers Data'!$H$3:$L$3,0)),"")</f>
        <v/>
      </c>
      <c r="J123" s="418"/>
      <c r="K123" s="498" t="str">
        <f>IF(J123="","",IF(VLOOKUP(J123,'G-7 Rivers Data'!$AK$4:$AM$9,2,FALSE)=0,"Spatial Data Missing ⚠",VLOOKUP(J123,'G-7 Rivers Data'!$AK$4:$AM$9,2,FALSE)))</f>
        <v/>
      </c>
      <c r="L123" s="505"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Data'!$B$2:$G$8,6,FALSE))</f>
        <v/>
      </c>
      <c r="R123" s="513" t="str">
        <f t="shared" si="8"/>
        <v/>
      </c>
      <c r="S123" s="40"/>
      <c r="T123" s="145"/>
      <c r="U123" s="157"/>
      <c r="V123" s="511" t="str">
        <f t="shared" si="9"/>
        <v/>
      </c>
      <c r="W123" s="511" t="str">
        <f t="shared" si="10"/>
        <v/>
      </c>
      <c r="X123" s="511" t="str">
        <f t="shared" si="11"/>
        <v/>
      </c>
      <c r="Y123" s="515"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8" x14ac:dyDescent="0.25">
      <c r="C124" s="141">
        <v>115</v>
      </c>
      <c r="D124" s="460"/>
      <c r="E124" s="172"/>
      <c r="F124" s="498" t="str">
        <f>IF(D124="","",VLOOKUP(D124,'G-7 Rivers Data'!$B$2:$G$8,2,FALSE))</f>
        <v/>
      </c>
      <c r="G124" s="499" t="str">
        <f>IFERROR(VLOOKUP(F124,'G-7 Rivers Data'!$C$4:$D$8,2,FALSE),"")</f>
        <v/>
      </c>
      <c r="H124" s="145"/>
      <c r="I124" s="499" t="str">
        <f>IFERROR(INDEX('G-7 Rivers Data'!$H$4:$L$8,MATCH(D124,'G-7 Rivers Data'!$B$4:$B$8,0),MATCH(H124,'G-7 Rivers Data'!$H$3:$L$3,0)),"")</f>
        <v/>
      </c>
      <c r="J124" s="418"/>
      <c r="K124" s="498" t="str">
        <f>IF(J124="","",IF(VLOOKUP(J124,'G-7 Rivers Data'!$AK$4:$AM$9,2,FALSE)=0,"Spatial Data Missing ⚠",VLOOKUP(J124,'G-7 Rivers Data'!$AK$4:$AM$9,2,FALSE)))</f>
        <v/>
      </c>
      <c r="L124" s="505"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Data'!$B$2:$G$8,6,FALSE))</f>
        <v/>
      </c>
      <c r="R124" s="513" t="str">
        <f t="shared" si="8"/>
        <v/>
      </c>
      <c r="S124" s="40"/>
      <c r="T124" s="145"/>
      <c r="U124" s="157"/>
      <c r="V124" s="511" t="str">
        <f t="shared" si="9"/>
        <v/>
      </c>
      <c r="W124" s="511" t="str">
        <f t="shared" si="10"/>
        <v/>
      </c>
      <c r="X124" s="511" t="str">
        <f t="shared" si="11"/>
        <v/>
      </c>
      <c r="Y124" s="515"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8" x14ac:dyDescent="0.25">
      <c r="C125" s="141">
        <v>116</v>
      </c>
      <c r="D125" s="460"/>
      <c r="E125" s="172"/>
      <c r="F125" s="498" t="str">
        <f>IF(D125="","",VLOOKUP(D125,'G-7 Rivers Data'!$B$2:$G$8,2,FALSE))</f>
        <v/>
      </c>
      <c r="G125" s="499" t="str">
        <f>IFERROR(VLOOKUP(F125,'G-7 Rivers Data'!$C$4:$D$8,2,FALSE),"")</f>
        <v/>
      </c>
      <c r="H125" s="145"/>
      <c r="I125" s="499" t="str">
        <f>IFERROR(INDEX('G-7 Rivers Data'!$H$4:$L$8,MATCH(D125,'G-7 Rivers Data'!$B$4:$B$8,0),MATCH(H125,'G-7 Rivers Data'!$H$3:$L$3,0)),"")</f>
        <v/>
      </c>
      <c r="J125" s="418"/>
      <c r="K125" s="498" t="str">
        <f>IF(J125="","",IF(VLOOKUP(J125,'G-7 Rivers Data'!$AK$4:$AM$9,2,FALSE)=0,"Spatial Data Missing ⚠",VLOOKUP(J125,'G-7 Rivers Data'!$AK$4:$AM$9,2,FALSE)))</f>
        <v/>
      </c>
      <c r="L125" s="505"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Data'!$B$2:$G$8,6,FALSE))</f>
        <v/>
      </c>
      <c r="R125" s="513" t="str">
        <f t="shared" si="8"/>
        <v/>
      </c>
      <c r="S125" s="40"/>
      <c r="T125" s="145"/>
      <c r="U125" s="157"/>
      <c r="V125" s="511" t="str">
        <f t="shared" si="9"/>
        <v/>
      </c>
      <c r="W125" s="511" t="str">
        <f t="shared" si="10"/>
        <v/>
      </c>
      <c r="X125" s="511" t="str">
        <f t="shared" si="11"/>
        <v/>
      </c>
      <c r="Y125" s="515"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8" x14ac:dyDescent="0.25">
      <c r="C126" s="141">
        <v>117</v>
      </c>
      <c r="D126" s="460"/>
      <c r="E126" s="172"/>
      <c r="F126" s="498" t="str">
        <f>IF(D126="","",VLOOKUP(D126,'G-7 Rivers Data'!$B$2:$G$8,2,FALSE))</f>
        <v/>
      </c>
      <c r="G126" s="499" t="str">
        <f>IFERROR(VLOOKUP(F126,'G-7 Rivers Data'!$C$4:$D$8,2,FALSE),"")</f>
        <v/>
      </c>
      <c r="H126" s="145"/>
      <c r="I126" s="499" t="str">
        <f>IFERROR(INDEX('G-7 Rivers Data'!$H$4:$L$8,MATCH(D126,'G-7 Rivers Data'!$B$4:$B$8,0),MATCH(H126,'G-7 Rivers Data'!$H$3:$L$3,0)),"")</f>
        <v/>
      </c>
      <c r="J126" s="418"/>
      <c r="K126" s="498" t="str">
        <f>IF(J126="","",IF(VLOOKUP(J126,'G-7 Rivers Data'!$AK$4:$AM$9,2,FALSE)=0,"Spatial Data Missing ⚠",VLOOKUP(J126,'G-7 Rivers Data'!$AK$4:$AM$9,2,FALSE)))</f>
        <v/>
      </c>
      <c r="L126" s="505"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Data'!$B$2:$G$8,6,FALSE))</f>
        <v/>
      </c>
      <c r="R126" s="513" t="str">
        <f t="shared" si="8"/>
        <v/>
      </c>
      <c r="S126" s="40"/>
      <c r="T126" s="145"/>
      <c r="U126" s="157"/>
      <c r="V126" s="511" t="str">
        <f t="shared" si="9"/>
        <v/>
      </c>
      <c r="W126" s="511" t="str">
        <f t="shared" si="10"/>
        <v/>
      </c>
      <c r="X126" s="511" t="str">
        <f t="shared" si="11"/>
        <v/>
      </c>
      <c r="Y126" s="515"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8" x14ac:dyDescent="0.25">
      <c r="C127" s="141">
        <v>118</v>
      </c>
      <c r="D127" s="460"/>
      <c r="E127" s="172"/>
      <c r="F127" s="498" t="str">
        <f>IF(D127="","",VLOOKUP(D127,'G-7 Rivers Data'!$B$2:$G$8,2,FALSE))</f>
        <v/>
      </c>
      <c r="G127" s="499" t="str">
        <f>IFERROR(VLOOKUP(F127,'G-7 Rivers Data'!$C$4:$D$8,2,FALSE),"")</f>
        <v/>
      </c>
      <c r="H127" s="145"/>
      <c r="I127" s="499" t="str">
        <f>IFERROR(INDEX('G-7 Rivers Data'!$H$4:$L$8,MATCH(D127,'G-7 Rivers Data'!$B$4:$B$8,0),MATCH(H127,'G-7 Rivers Data'!$H$3:$L$3,0)),"")</f>
        <v/>
      </c>
      <c r="J127" s="418"/>
      <c r="K127" s="498" t="str">
        <f>IF(J127="","",IF(VLOOKUP(J127,'G-7 Rivers Data'!$AK$4:$AM$9,2,FALSE)=0,"Spatial Data Missing ⚠",VLOOKUP(J127,'G-7 Rivers Data'!$AK$4:$AM$9,2,FALSE)))</f>
        <v/>
      </c>
      <c r="L127" s="505"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Data'!$B$2:$G$8,6,FALSE))</f>
        <v/>
      </c>
      <c r="R127" s="513" t="str">
        <f t="shared" si="8"/>
        <v/>
      </c>
      <c r="S127" s="40"/>
      <c r="T127" s="145"/>
      <c r="U127" s="157"/>
      <c r="V127" s="511" t="str">
        <f t="shared" si="9"/>
        <v/>
      </c>
      <c r="W127" s="511" t="str">
        <f t="shared" si="10"/>
        <v/>
      </c>
      <c r="X127" s="511" t="str">
        <f t="shared" si="11"/>
        <v/>
      </c>
      <c r="Y127" s="515"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8" x14ac:dyDescent="0.25">
      <c r="C128" s="141">
        <v>119</v>
      </c>
      <c r="D128" s="460"/>
      <c r="E128" s="172"/>
      <c r="F128" s="498" t="str">
        <f>IF(D128="","",VLOOKUP(D128,'G-7 Rivers Data'!$B$2:$G$8,2,FALSE))</f>
        <v/>
      </c>
      <c r="G128" s="499" t="str">
        <f>IFERROR(VLOOKUP(F128,'G-7 Rivers Data'!$C$4:$D$8,2,FALSE),"")</f>
        <v/>
      </c>
      <c r="H128" s="145"/>
      <c r="I128" s="499" t="str">
        <f>IFERROR(INDEX('G-7 Rivers Data'!$H$4:$L$8,MATCH(D128,'G-7 Rivers Data'!$B$4:$B$8,0),MATCH(H128,'G-7 Rivers Data'!$H$3:$L$3,0)),"")</f>
        <v/>
      </c>
      <c r="J128" s="418"/>
      <c r="K128" s="498" t="str">
        <f>IF(J128="","",IF(VLOOKUP(J128,'G-7 Rivers Data'!$AK$4:$AM$9,2,FALSE)=0,"Spatial Data Missing ⚠",VLOOKUP(J128,'G-7 Rivers Data'!$AK$4:$AM$9,2,FALSE)))</f>
        <v/>
      </c>
      <c r="L128" s="505"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Data'!$B$2:$G$8,6,FALSE))</f>
        <v/>
      </c>
      <c r="R128" s="513" t="str">
        <f t="shared" si="8"/>
        <v/>
      </c>
      <c r="S128" s="40"/>
      <c r="T128" s="145"/>
      <c r="U128" s="157"/>
      <c r="V128" s="511" t="str">
        <f t="shared" si="9"/>
        <v/>
      </c>
      <c r="W128" s="511" t="str">
        <f t="shared" si="10"/>
        <v/>
      </c>
      <c r="X128" s="511" t="str">
        <f t="shared" si="11"/>
        <v/>
      </c>
      <c r="Y128" s="515"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8" x14ac:dyDescent="0.25">
      <c r="C129" s="141">
        <v>120</v>
      </c>
      <c r="D129" s="460"/>
      <c r="E129" s="172"/>
      <c r="F129" s="498" t="str">
        <f>IF(D129="","",VLOOKUP(D129,'G-7 Rivers Data'!$B$2:$G$8,2,FALSE))</f>
        <v/>
      </c>
      <c r="G129" s="499" t="str">
        <f>IFERROR(VLOOKUP(F129,'G-7 Rivers Data'!$C$4:$D$8,2,FALSE),"")</f>
        <v/>
      </c>
      <c r="H129" s="145"/>
      <c r="I129" s="499" t="str">
        <f>IFERROR(INDEX('G-7 Rivers Data'!$H$4:$L$8,MATCH(D129,'G-7 Rivers Data'!$B$4:$B$8,0),MATCH(H129,'G-7 Rivers Data'!$H$3:$L$3,0)),"")</f>
        <v/>
      </c>
      <c r="J129" s="418"/>
      <c r="K129" s="498" t="str">
        <f>IF(J129="","",IF(VLOOKUP(J129,'G-7 Rivers Data'!$AK$4:$AM$9,2,FALSE)=0,"Spatial Data Missing ⚠",VLOOKUP(J129,'G-7 Rivers Data'!$AK$4:$AM$9,2,FALSE)))</f>
        <v/>
      </c>
      <c r="L129" s="505"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Data'!$B$2:$G$8,6,FALSE))</f>
        <v/>
      </c>
      <c r="R129" s="513" t="str">
        <f t="shared" si="8"/>
        <v/>
      </c>
      <c r="S129" s="40"/>
      <c r="T129" s="145"/>
      <c r="U129" s="157"/>
      <c r="V129" s="511" t="str">
        <f t="shared" si="9"/>
        <v/>
      </c>
      <c r="W129" s="511" t="str">
        <f t="shared" si="10"/>
        <v/>
      </c>
      <c r="X129" s="511" t="str">
        <f t="shared" si="11"/>
        <v/>
      </c>
      <c r="Y129" s="515"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8" x14ac:dyDescent="0.25">
      <c r="C130" s="141">
        <v>121</v>
      </c>
      <c r="D130" s="460"/>
      <c r="E130" s="172"/>
      <c r="F130" s="498" t="str">
        <f>IF(D130="","",VLOOKUP(D130,'G-7 Rivers Data'!$B$2:$G$8,2,FALSE))</f>
        <v/>
      </c>
      <c r="G130" s="499" t="str">
        <f>IFERROR(VLOOKUP(F130,'G-7 Rivers Data'!$C$4:$D$8,2,FALSE),"")</f>
        <v/>
      </c>
      <c r="H130" s="145"/>
      <c r="I130" s="499" t="str">
        <f>IFERROR(INDEX('G-7 Rivers Data'!$H$4:$L$8,MATCH(D130,'G-7 Rivers Data'!$B$4:$B$8,0),MATCH(H130,'G-7 Rivers Data'!$H$3:$L$3,0)),"")</f>
        <v/>
      </c>
      <c r="J130" s="418"/>
      <c r="K130" s="498" t="str">
        <f>IF(J130="","",IF(VLOOKUP(J130,'G-7 Rivers Data'!$AK$4:$AM$9,2,FALSE)=0,"Spatial Data Missing ⚠",VLOOKUP(J130,'G-7 Rivers Data'!$AK$4:$AM$9,2,FALSE)))</f>
        <v/>
      </c>
      <c r="L130" s="505"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Data'!$B$2:$G$8,6,FALSE))</f>
        <v/>
      </c>
      <c r="R130" s="513" t="str">
        <f t="shared" si="8"/>
        <v/>
      </c>
      <c r="S130" s="40"/>
      <c r="T130" s="145"/>
      <c r="U130" s="157"/>
      <c r="V130" s="511" t="str">
        <f t="shared" si="9"/>
        <v/>
      </c>
      <c r="W130" s="511" t="str">
        <f t="shared" si="10"/>
        <v/>
      </c>
      <c r="X130" s="511" t="str">
        <f t="shared" si="11"/>
        <v/>
      </c>
      <c r="Y130" s="515"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8" x14ac:dyDescent="0.25">
      <c r="C131" s="141">
        <v>122</v>
      </c>
      <c r="D131" s="460"/>
      <c r="E131" s="172"/>
      <c r="F131" s="498" t="str">
        <f>IF(D131="","",VLOOKUP(D131,'G-7 Rivers Data'!$B$2:$G$8,2,FALSE))</f>
        <v/>
      </c>
      <c r="G131" s="499" t="str">
        <f>IFERROR(VLOOKUP(F131,'G-7 Rivers Data'!$C$4:$D$8,2,FALSE),"")</f>
        <v/>
      </c>
      <c r="H131" s="145"/>
      <c r="I131" s="499" t="str">
        <f>IFERROR(INDEX('G-7 Rivers Data'!$H$4:$L$8,MATCH(D131,'G-7 Rivers Data'!$B$4:$B$8,0),MATCH(H131,'G-7 Rivers Data'!$H$3:$L$3,0)),"")</f>
        <v/>
      </c>
      <c r="J131" s="418"/>
      <c r="K131" s="498" t="str">
        <f>IF(J131="","",IF(VLOOKUP(J131,'G-7 Rivers Data'!$AK$4:$AM$9,2,FALSE)=0,"Spatial Data Missing ⚠",VLOOKUP(J131,'G-7 Rivers Data'!$AK$4:$AM$9,2,FALSE)))</f>
        <v/>
      </c>
      <c r="L131" s="505"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Data'!$B$2:$G$8,6,FALSE))</f>
        <v/>
      </c>
      <c r="R131" s="513" t="str">
        <f t="shared" si="8"/>
        <v/>
      </c>
      <c r="S131" s="40"/>
      <c r="T131" s="145"/>
      <c r="U131" s="157"/>
      <c r="V131" s="511" t="str">
        <f t="shared" si="9"/>
        <v/>
      </c>
      <c r="W131" s="511" t="str">
        <f t="shared" si="10"/>
        <v/>
      </c>
      <c r="X131" s="511" t="str">
        <f t="shared" si="11"/>
        <v/>
      </c>
      <c r="Y131" s="515"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8" x14ac:dyDescent="0.25">
      <c r="C132" s="141">
        <v>123</v>
      </c>
      <c r="D132" s="460"/>
      <c r="E132" s="172"/>
      <c r="F132" s="498" t="str">
        <f>IF(D132="","",VLOOKUP(D132,'G-7 Rivers Data'!$B$2:$G$8,2,FALSE))</f>
        <v/>
      </c>
      <c r="G132" s="499" t="str">
        <f>IFERROR(VLOOKUP(F132,'G-7 Rivers Data'!$C$4:$D$8,2,FALSE),"")</f>
        <v/>
      </c>
      <c r="H132" s="145"/>
      <c r="I132" s="499" t="str">
        <f>IFERROR(INDEX('G-7 Rivers Data'!$H$4:$L$8,MATCH(D132,'G-7 Rivers Data'!$B$4:$B$8,0),MATCH(H132,'G-7 Rivers Data'!$H$3:$L$3,0)),"")</f>
        <v/>
      </c>
      <c r="J132" s="418"/>
      <c r="K132" s="498" t="str">
        <f>IF(J132="","",IF(VLOOKUP(J132,'G-7 Rivers Data'!$AK$4:$AM$9,2,FALSE)=0,"Spatial Data Missing ⚠",VLOOKUP(J132,'G-7 Rivers Data'!$AK$4:$AM$9,2,FALSE)))</f>
        <v/>
      </c>
      <c r="L132" s="505"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Data'!$B$2:$G$8,6,FALSE))</f>
        <v/>
      </c>
      <c r="R132" s="513" t="str">
        <f t="shared" si="8"/>
        <v/>
      </c>
      <c r="S132" s="40"/>
      <c r="T132" s="145"/>
      <c r="U132" s="157"/>
      <c r="V132" s="511" t="str">
        <f t="shared" si="9"/>
        <v/>
      </c>
      <c r="W132" s="511" t="str">
        <f t="shared" si="10"/>
        <v/>
      </c>
      <c r="X132" s="511" t="str">
        <f t="shared" si="11"/>
        <v/>
      </c>
      <c r="Y132" s="515"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8" x14ac:dyDescent="0.25">
      <c r="C133" s="141">
        <v>124</v>
      </c>
      <c r="D133" s="460"/>
      <c r="E133" s="172"/>
      <c r="F133" s="498" t="str">
        <f>IF(D133="","",VLOOKUP(D133,'G-7 Rivers Data'!$B$2:$G$8,2,FALSE))</f>
        <v/>
      </c>
      <c r="G133" s="499" t="str">
        <f>IFERROR(VLOOKUP(F133,'G-7 Rivers Data'!$C$4:$D$8,2,FALSE),"")</f>
        <v/>
      </c>
      <c r="H133" s="145"/>
      <c r="I133" s="499" t="str">
        <f>IFERROR(INDEX('G-7 Rivers Data'!$H$4:$L$8,MATCH(D133,'G-7 Rivers Data'!$B$4:$B$8,0),MATCH(H133,'G-7 Rivers Data'!$H$3:$L$3,0)),"")</f>
        <v/>
      </c>
      <c r="J133" s="418"/>
      <c r="K133" s="498" t="str">
        <f>IF(J133="","",IF(VLOOKUP(J133,'G-7 Rivers Data'!$AK$4:$AM$9,2,FALSE)=0,"Spatial Data Missing ⚠",VLOOKUP(J133,'G-7 Rivers Data'!$AK$4:$AM$9,2,FALSE)))</f>
        <v/>
      </c>
      <c r="L133" s="505"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Data'!$B$2:$G$8,6,FALSE))</f>
        <v/>
      </c>
      <c r="R133" s="513" t="str">
        <f t="shared" si="8"/>
        <v/>
      </c>
      <c r="S133" s="40"/>
      <c r="T133" s="145"/>
      <c r="U133" s="157"/>
      <c r="V133" s="511" t="str">
        <f t="shared" si="9"/>
        <v/>
      </c>
      <c r="W133" s="511" t="str">
        <f t="shared" si="10"/>
        <v/>
      </c>
      <c r="X133" s="511" t="str">
        <f t="shared" si="11"/>
        <v/>
      </c>
      <c r="Y133" s="515"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8" x14ac:dyDescent="0.25">
      <c r="C134" s="141">
        <v>125</v>
      </c>
      <c r="D134" s="460"/>
      <c r="E134" s="172"/>
      <c r="F134" s="498" t="str">
        <f>IF(D134="","",VLOOKUP(D134,'G-7 Rivers Data'!$B$2:$G$8,2,FALSE))</f>
        <v/>
      </c>
      <c r="G134" s="499" t="str">
        <f>IFERROR(VLOOKUP(F134,'G-7 Rivers Data'!$C$4:$D$8,2,FALSE),"")</f>
        <v/>
      </c>
      <c r="H134" s="145"/>
      <c r="I134" s="499" t="str">
        <f>IFERROR(INDEX('G-7 Rivers Data'!$H$4:$L$8,MATCH(D134,'G-7 Rivers Data'!$B$4:$B$8,0),MATCH(H134,'G-7 Rivers Data'!$H$3:$L$3,0)),"")</f>
        <v/>
      </c>
      <c r="J134" s="418"/>
      <c r="K134" s="498" t="str">
        <f>IF(J134="","",IF(VLOOKUP(J134,'G-7 Rivers Data'!$AK$4:$AM$9,2,FALSE)=0,"Spatial Data Missing ⚠",VLOOKUP(J134,'G-7 Rivers Data'!$AK$4:$AM$9,2,FALSE)))</f>
        <v/>
      </c>
      <c r="L134" s="505"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Data'!$B$2:$G$8,6,FALSE))</f>
        <v/>
      </c>
      <c r="R134" s="513" t="str">
        <f t="shared" si="8"/>
        <v/>
      </c>
      <c r="S134" s="40"/>
      <c r="T134" s="145"/>
      <c r="U134" s="157"/>
      <c r="V134" s="511" t="str">
        <f t="shared" si="9"/>
        <v/>
      </c>
      <c r="W134" s="511" t="str">
        <f t="shared" si="10"/>
        <v/>
      </c>
      <c r="X134" s="511" t="str">
        <f t="shared" si="11"/>
        <v/>
      </c>
      <c r="Y134" s="515"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8" x14ac:dyDescent="0.25">
      <c r="C135" s="141">
        <v>126</v>
      </c>
      <c r="D135" s="460"/>
      <c r="E135" s="172"/>
      <c r="F135" s="498" t="str">
        <f>IF(D135="","",VLOOKUP(D135,'G-7 Rivers Data'!$B$2:$G$8,2,FALSE))</f>
        <v/>
      </c>
      <c r="G135" s="499" t="str">
        <f>IFERROR(VLOOKUP(F135,'G-7 Rivers Data'!$C$4:$D$8,2,FALSE),"")</f>
        <v/>
      </c>
      <c r="H135" s="145"/>
      <c r="I135" s="499" t="str">
        <f>IFERROR(INDEX('G-7 Rivers Data'!$H$4:$L$8,MATCH(D135,'G-7 Rivers Data'!$B$4:$B$8,0),MATCH(H135,'G-7 Rivers Data'!$H$3:$L$3,0)),"")</f>
        <v/>
      </c>
      <c r="J135" s="418"/>
      <c r="K135" s="498" t="str">
        <f>IF(J135="","",IF(VLOOKUP(J135,'G-7 Rivers Data'!$AK$4:$AM$9,2,FALSE)=0,"Spatial Data Missing ⚠",VLOOKUP(J135,'G-7 Rivers Data'!$AK$4:$AM$9,2,FALSE)))</f>
        <v/>
      </c>
      <c r="L135" s="505"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Data'!$B$2:$G$8,6,FALSE))</f>
        <v/>
      </c>
      <c r="R135" s="513" t="str">
        <f t="shared" si="8"/>
        <v/>
      </c>
      <c r="S135" s="40"/>
      <c r="T135" s="145"/>
      <c r="U135" s="157"/>
      <c r="V135" s="511" t="str">
        <f t="shared" si="9"/>
        <v/>
      </c>
      <c r="W135" s="511" t="str">
        <f t="shared" si="10"/>
        <v/>
      </c>
      <c r="X135" s="511" t="str">
        <f t="shared" si="11"/>
        <v/>
      </c>
      <c r="Y135" s="515"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8" x14ac:dyDescent="0.25">
      <c r="C136" s="141">
        <v>127</v>
      </c>
      <c r="D136" s="460"/>
      <c r="E136" s="172"/>
      <c r="F136" s="498" t="str">
        <f>IF(D136="","",VLOOKUP(D136,'G-7 Rivers Data'!$B$2:$G$8,2,FALSE))</f>
        <v/>
      </c>
      <c r="G136" s="499" t="str">
        <f>IFERROR(VLOOKUP(F136,'G-7 Rivers Data'!$C$4:$D$8,2,FALSE),"")</f>
        <v/>
      </c>
      <c r="H136" s="145"/>
      <c r="I136" s="499" t="str">
        <f>IFERROR(INDEX('G-7 Rivers Data'!$H$4:$L$8,MATCH(D136,'G-7 Rivers Data'!$B$4:$B$8,0),MATCH(H136,'G-7 Rivers Data'!$H$3:$L$3,0)),"")</f>
        <v/>
      </c>
      <c r="J136" s="418"/>
      <c r="K136" s="498" t="str">
        <f>IF(J136="","",IF(VLOOKUP(J136,'G-7 Rivers Data'!$AK$4:$AM$9,2,FALSE)=0,"Spatial Data Missing ⚠",VLOOKUP(J136,'G-7 Rivers Data'!$AK$4:$AM$9,2,FALSE)))</f>
        <v/>
      </c>
      <c r="L136" s="505"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Data'!$B$2:$G$8,6,FALSE))</f>
        <v/>
      </c>
      <c r="R136" s="513" t="str">
        <f t="shared" si="8"/>
        <v/>
      </c>
      <c r="S136" s="40"/>
      <c r="T136" s="145"/>
      <c r="U136" s="157"/>
      <c r="V136" s="511" t="str">
        <f t="shared" si="9"/>
        <v/>
      </c>
      <c r="W136" s="511" t="str">
        <f t="shared" si="10"/>
        <v/>
      </c>
      <c r="X136" s="511" t="str">
        <f t="shared" si="11"/>
        <v/>
      </c>
      <c r="Y136" s="515"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8" x14ac:dyDescent="0.25">
      <c r="C137" s="141">
        <v>128</v>
      </c>
      <c r="D137" s="460"/>
      <c r="E137" s="172"/>
      <c r="F137" s="498" t="str">
        <f>IF(D137="","",VLOOKUP(D137,'G-7 Rivers Data'!$B$2:$G$8,2,FALSE))</f>
        <v/>
      </c>
      <c r="G137" s="499" t="str">
        <f>IFERROR(VLOOKUP(F137,'G-7 Rivers Data'!$C$4:$D$8,2,FALSE),"")</f>
        <v/>
      </c>
      <c r="H137" s="145"/>
      <c r="I137" s="499" t="str">
        <f>IFERROR(INDEX('G-7 Rivers Data'!$H$4:$L$8,MATCH(D137,'G-7 Rivers Data'!$B$4:$B$8,0),MATCH(H137,'G-7 Rivers Data'!$H$3:$L$3,0)),"")</f>
        <v/>
      </c>
      <c r="J137" s="418"/>
      <c r="K137" s="498" t="str">
        <f>IF(J137="","",IF(VLOOKUP(J137,'G-7 Rivers Data'!$AK$4:$AM$9,2,FALSE)=0,"Spatial Data Missing ⚠",VLOOKUP(J137,'G-7 Rivers Data'!$AK$4:$AM$9,2,FALSE)))</f>
        <v/>
      </c>
      <c r="L137" s="505"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Data'!$B$2:$G$8,6,FALSE))</f>
        <v/>
      </c>
      <c r="R137" s="513" t="str">
        <f t="shared" si="8"/>
        <v/>
      </c>
      <c r="S137" s="40"/>
      <c r="T137" s="145"/>
      <c r="U137" s="157"/>
      <c r="V137" s="511" t="str">
        <f t="shared" si="9"/>
        <v/>
      </c>
      <c r="W137" s="511" t="str">
        <f t="shared" si="10"/>
        <v/>
      </c>
      <c r="X137" s="511" t="str">
        <f t="shared" si="11"/>
        <v/>
      </c>
      <c r="Y137" s="515"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8" x14ac:dyDescent="0.25">
      <c r="C138" s="141">
        <v>129</v>
      </c>
      <c r="D138" s="460"/>
      <c r="E138" s="172"/>
      <c r="F138" s="498" t="str">
        <f>IF(D138="","",VLOOKUP(D138,'G-7 Rivers Data'!$B$2:$G$8,2,FALSE))</f>
        <v/>
      </c>
      <c r="G138" s="499" t="str">
        <f>IFERROR(VLOOKUP(F138,'G-7 Rivers Data'!$C$4:$D$8,2,FALSE),"")</f>
        <v/>
      </c>
      <c r="H138" s="145"/>
      <c r="I138" s="499" t="str">
        <f>IFERROR(INDEX('G-7 Rivers Data'!$H$4:$L$8,MATCH(D138,'G-7 Rivers Data'!$B$4:$B$8,0),MATCH(H138,'G-7 Rivers Data'!$H$3:$L$3,0)),"")</f>
        <v/>
      </c>
      <c r="J138" s="418"/>
      <c r="K138" s="498" t="str">
        <f>IF(J138="","",IF(VLOOKUP(J138,'G-7 Rivers Data'!$AK$4:$AM$9,2,FALSE)=0,"Spatial Data Missing ⚠",VLOOKUP(J138,'G-7 Rivers Data'!$AK$4:$AM$9,2,FALSE)))</f>
        <v/>
      </c>
      <c r="L138" s="505"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Data'!$B$2:$G$8,6,FALSE))</f>
        <v/>
      </c>
      <c r="R138" s="513" t="str">
        <f t="shared" si="8"/>
        <v/>
      </c>
      <c r="S138" s="40"/>
      <c r="T138" s="145"/>
      <c r="U138" s="157"/>
      <c r="V138" s="511" t="str">
        <f t="shared" si="9"/>
        <v/>
      </c>
      <c r="W138" s="511" t="str">
        <f t="shared" si="10"/>
        <v/>
      </c>
      <c r="X138" s="511" t="str">
        <f t="shared" si="11"/>
        <v/>
      </c>
      <c r="Y138" s="515"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8" x14ac:dyDescent="0.25">
      <c r="C139" s="141">
        <v>130</v>
      </c>
      <c r="D139" s="460"/>
      <c r="E139" s="172"/>
      <c r="F139" s="498" t="str">
        <f>IF(D139="","",VLOOKUP(D139,'G-7 Rivers Data'!$B$2:$G$8,2,FALSE))</f>
        <v/>
      </c>
      <c r="G139" s="499" t="str">
        <f>IFERROR(VLOOKUP(F139,'G-7 Rivers Data'!$C$4:$D$8,2,FALSE),"")</f>
        <v/>
      </c>
      <c r="H139" s="145"/>
      <c r="I139" s="499" t="str">
        <f>IFERROR(INDEX('G-7 Rivers Data'!$H$4:$L$8,MATCH(D139,'G-7 Rivers Data'!$B$4:$B$8,0),MATCH(H139,'G-7 Rivers Data'!$H$3:$L$3,0)),"")</f>
        <v/>
      </c>
      <c r="J139" s="418"/>
      <c r="K139" s="498" t="str">
        <f>IF(J139="","",IF(VLOOKUP(J139,'G-7 Rivers Data'!$AK$4:$AM$9,2,FALSE)=0,"Spatial Data Missing ⚠",VLOOKUP(J139,'G-7 Rivers Data'!$AK$4:$AM$9,2,FALSE)))</f>
        <v/>
      </c>
      <c r="L139" s="505"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Data'!$B$2:$G$8,6,FALSE))</f>
        <v/>
      </c>
      <c r="R139" s="513" t="str">
        <f t="shared" ref="R139:R202" si="16">IFERROR(IF(D139="","",E139*G139*I139*L139*N139*P139),"")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8" x14ac:dyDescent="0.25">
      <c r="C140" s="141">
        <v>131</v>
      </c>
      <c r="D140" s="460"/>
      <c r="E140" s="172"/>
      <c r="F140" s="498" t="str">
        <f>IF(D140="","",VLOOKUP(D140,'G-7 Rivers Data'!$B$2:$G$8,2,FALSE))</f>
        <v/>
      </c>
      <c r="G140" s="499" t="str">
        <f>IFERROR(VLOOKUP(F140,'G-7 Rivers Data'!$C$4:$D$8,2,FALSE),"")</f>
        <v/>
      </c>
      <c r="H140" s="145"/>
      <c r="I140" s="499" t="str">
        <f>IFERROR(INDEX('G-7 Rivers Data'!$H$4:$L$8,MATCH(D140,'G-7 Rivers Data'!$B$4:$B$8,0),MATCH(H140,'G-7 Rivers Data'!$H$3:$L$3,0)),"")</f>
        <v/>
      </c>
      <c r="J140" s="418"/>
      <c r="K140" s="498" t="str">
        <f>IF(J140="","",IF(VLOOKUP(J140,'G-7 Rivers Data'!$AK$4:$AM$9,2,FALSE)=0,"Spatial Data Missing ⚠",VLOOKUP(J140,'G-7 Rivers Data'!$AK$4:$AM$9,2,FALSE)))</f>
        <v/>
      </c>
      <c r="L140" s="505"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Data'!$B$2:$G$8,6,FALSE))</f>
        <v/>
      </c>
      <c r="R140" s="513" t="str">
        <f t="shared" si="16"/>
        <v/>
      </c>
      <c r="S140" s="40"/>
      <c r="T140" s="145"/>
      <c r="U140" s="157"/>
      <c r="V140" s="511" t="str">
        <f t="shared" si="17"/>
        <v/>
      </c>
      <c r="W140" s="511" t="str">
        <f t="shared" si="18"/>
        <v/>
      </c>
      <c r="X140" s="511" t="str">
        <f t="shared" si="19"/>
        <v/>
      </c>
      <c r="Y140" s="515"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8" x14ac:dyDescent="0.25">
      <c r="C141" s="141">
        <v>132</v>
      </c>
      <c r="D141" s="460"/>
      <c r="E141" s="172"/>
      <c r="F141" s="498" t="str">
        <f>IF(D141="","",VLOOKUP(D141,'G-7 Rivers Data'!$B$2:$G$8,2,FALSE))</f>
        <v/>
      </c>
      <c r="G141" s="499" t="str">
        <f>IFERROR(VLOOKUP(F141,'G-7 Rivers Data'!$C$4:$D$8,2,FALSE),"")</f>
        <v/>
      </c>
      <c r="H141" s="145"/>
      <c r="I141" s="499" t="str">
        <f>IFERROR(INDEX('G-7 Rivers Data'!$H$4:$L$8,MATCH(D141,'G-7 Rivers Data'!$B$4:$B$8,0),MATCH(H141,'G-7 Rivers Data'!$H$3:$L$3,0)),"")</f>
        <v/>
      </c>
      <c r="J141" s="418"/>
      <c r="K141" s="498" t="str">
        <f>IF(J141="","",IF(VLOOKUP(J141,'G-7 Rivers Data'!$AK$4:$AM$9,2,FALSE)=0,"Spatial Data Missing ⚠",VLOOKUP(J141,'G-7 Rivers Data'!$AK$4:$AM$9,2,FALSE)))</f>
        <v/>
      </c>
      <c r="L141" s="505"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Data'!$B$2:$G$8,6,FALSE))</f>
        <v/>
      </c>
      <c r="R141" s="513" t="str">
        <f t="shared" si="16"/>
        <v/>
      </c>
      <c r="S141" s="40"/>
      <c r="T141" s="145"/>
      <c r="U141" s="157"/>
      <c r="V141" s="511" t="str">
        <f t="shared" si="17"/>
        <v/>
      </c>
      <c r="W141" s="511" t="str">
        <f t="shared" si="18"/>
        <v/>
      </c>
      <c r="X141" s="511" t="str">
        <f t="shared" si="19"/>
        <v/>
      </c>
      <c r="Y141" s="515"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8" x14ac:dyDescent="0.25">
      <c r="C142" s="141">
        <v>133</v>
      </c>
      <c r="D142" s="460"/>
      <c r="E142" s="172"/>
      <c r="F142" s="498" t="str">
        <f>IF(D142="","",VLOOKUP(D142,'G-7 Rivers Data'!$B$2:$G$8,2,FALSE))</f>
        <v/>
      </c>
      <c r="G142" s="499" t="str">
        <f>IFERROR(VLOOKUP(F142,'G-7 Rivers Data'!$C$4:$D$8,2,FALSE),"")</f>
        <v/>
      </c>
      <c r="H142" s="145"/>
      <c r="I142" s="499" t="str">
        <f>IFERROR(INDEX('G-7 Rivers Data'!$H$4:$L$8,MATCH(D142,'G-7 Rivers Data'!$B$4:$B$8,0),MATCH(H142,'G-7 Rivers Data'!$H$3:$L$3,0)),"")</f>
        <v/>
      </c>
      <c r="J142" s="418"/>
      <c r="K142" s="498" t="str">
        <f>IF(J142="","",IF(VLOOKUP(J142,'G-7 Rivers Data'!$AK$4:$AM$9,2,FALSE)=0,"Spatial Data Missing ⚠",VLOOKUP(J142,'G-7 Rivers Data'!$AK$4:$AM$9,2,FALSE)))</f>
        <v/>
      </c>
      <c r="L142" s="505"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Data'!$B$2:$G$8,6,FALSE))</f>
        <v/>
      </c>
      <c r="R142" s="513" t="str">
        <f t="shared" si="16"/>
        <v/>
      </c>
      <c r="S142" s="40"/>
      <c r="T142" s="145"/>
      <c r="U142" s="157"/>
      <c r="V142" s="511" t="str">
        <f t="shared" si="17"/>
        <v/>
      </c>
      <c r="W142" s="511" t="str">
        <f t="shared" si="18"/>
        <v/>
      </c>
      <c r="X142" s="511" t="str">
        <f t="shared" si="19"/>
        <v/>
      </c>
      <c r="Y142" s="515"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8" x14ac:dyDescent="0.25">
      <c r="C143" s="141">
        <v>134</v>
      </c>
      <c r="D143" s="460"/>
      <c r="E143" s="172"/>
      <c r="F143" s="498" t="str">
        <f>IF(D143="","",VLOOKUP(D143,'G-7 Rivers Data'!$B$2:$G$8,2,FALSE))</f>
        <v/>
      </c>
      <c r="G143" s="499" t="str">
        <f>IFERROR(VLOOKUP(F143,'G-7 Rivers Data'!$C$4:$D$8,2,FALSE),"")</f>
        <v/>
      </c>
      <c r="H143" s="145"/>
      <c r="I143" s="499" t="str">
        <f>IFERROR(INDEX('G-7 Rivers Data'!$H$4:$L$8,MATCH(D143,'G-7 Rivers Data'!$B$4:$B$8,0),MATCH(H143,'G-7 Rivers Data'!$H$3:$L$3,0)),"")</f>
        <v/>
      </c>
      <c r="J143" s="418"/>
      <c r="K143" s="498" t="str">
        <f>IF(J143="","",IF(VLOOKUP(J143,'G-7 Rivers Data'!$AK$4:$AM$9,2,FALSE)=0,"Spatial Data Missing ⚠",VLOOKUP(J143,'G-7 Rivers Data'!$AK$4:$AM$9,2,FALSE)))</f>
        <v/>
      </c>
      <c r="L143" s="505"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Data'!$B$2:$G$8,6,FALSE))</f>
        <v/>
      </c>
      <c r="R143" s="513" t="str">
        <f t="shared" si="16"/>
        <v/>
      </c>
      <c r="S143" s="40"/>
      <c r="T143" s="145"/>
      <c r="U143" s="157"/>
      <c r="V143" s="511" t="str">
        <f t="shared" si="17"/>
        <v/>
      </c>
      <c r="W143" s="511" t="str">
        <f t="shared" si="18"/>
        <v/>
      </c>
      <c r="X143" s="511" t="str">
        <f t="shared" si="19"/>
        <v/>
      </c>
      <c r="Y143" s="515"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8" x14ac:dyDescent="0.25">
      <c r="C144" s="141">
        <v>135</v>
      </c>
      <c r="D144" s="460"/>
      <c r="E144" s="172"/>
      <c r="F144" s="498" t="str">
        <f>IF(D144="","",VLOOKUP(D144,'G-7 Rivers Data'!$B$2:$G$8,2,FALSE))</f>
        <v/>
      </c>
      <c r="G144" s="499" t="str">
        <f>IFERROR(VLOOKUP(F144,'G-7 Rivers Data'!$C$4:$D$8,2,FALSE),"")</f>
        <v/>
      </c>
      <c r="H144" s="145"/>
      <c r="I144" s="499" t="str">
        <f>IFERROR(INDEX('G-7 Rivers Data'!$H$4:$L$8,MATCH(D144,'G-7 Rivers Data'!$B$4:$B$8,0),MATCH(H144,'G-7 Rivers Data'!$H$3:$L$3,0)),"")</f>
        <v/>
      </c>
      <c r="J144" s="418"/>
      <c r="K144" s="498" t="str">
        <f>IF(J144="","",IF(VLOOKUP(J144,'G-7 Rivers Data'!$AK$4:$AM$9,2,FALSE)=0,"Spatial Data Missing ⚠",VLOOKUP(J144,'G-7 Rivers Data'!$AK$4:$AM$9,2,FALSE)))</f>
        <v/>
      </c>
      <c r="L144" s="505"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Data'!$B$2:$G$8,6,FALSE))</f>
        <v/>
      </c>
      <c r="R144" s="513" t="str">
        <f t="shared" si="16"/>
        <v/>
      </c>
      <c r="S144" s="40"/>
      <c r="T144" s="145"/>
      <c r="U144" s="157"/>
      <c r="V144" s="511" t="str">
        <f t="shared" si="17"/>
        <v/>
      </c>
      <c r="W144" s="511" t="str">
        <f t="shared" si="18"/>
        <v/>
      </c>
      <c r="X144" s="511" t="str">
        <f t="shared" si="19"/>
        <v/>
      </c>
      <c r="Y144" s="515"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8" x14ac:dyDescent="0.25">
      <c r="C145" s="141">
        <v>136</v>
      </c>
      <c r="D145" s="460"/>
      <c r="E145" s="172"/>
      <c r="F145" s="498" t="str">
        <f>IF(D145="","",VLOOKUP(D145,'G-7 Rivers Data'!$B$2:$G$8,2,FALSE))</f>
        <v/>
      </c>
      <c r="G145" s="499" t="str">
        <f>IFERROR(VLOOKUP(F145,'G-7 Rivers Data'!$C$4:$D$8,2,FALSE),"")</f>
        <v/>
      </c>
      <c r="H145" s="145"/>
      <c r="I145" s="499" t="str">
        <f>IFERROR(INDEX('G-7 Rivers Data'!$H$4:$L$8,MATCH(D145,'G-7 Rivers Data'!$B$4:$B$8,0),MATCH(H145,'G-7 Rivers Data'!$H$3:$L$3,0)),"")</f>
        <v/>
      </c>
      <c r="J145" s="418"/>
      <c r="K145" s="498" t="str">
        <f>IF(J145="","",IF(VLOOKUP(J145,'G-7 Rivers Data'!$AK$4:$AM$9,2,FALSE)=0,"Spatial Data Missing ⚠",VLOOKUP(J145,'G-7 Rivers Data'!$AK$4:$AM$9,2,FALSE)))</f>
        <v/>
      </c>
      <c r="L145" s="505"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Data'!$B$2:$G$8,6,FALSE))</f>
        <v/>
      </c>
      <c r="R145" s="513" t="str">
        <f t="shared" si="16"/>
        <v/>
      </c>
      <c r="S145" s="40"/>
      <c r="T145" s="145"/>
      <c r="U145" s="157"/>
      <c r="V145" s="511" t="str">
        <f t="shared" si="17"/>
        <v/>
      </c>
      <c r="W145" s="511" t="str">
        <f t="shared" si="18"/>
        <v/>
      </c>
      <c r="X145" s="511" t="str">
        <f t="shared" si="19"/>
        <v/>
      </c>
      <c r="Y145" s="515"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8" x14ac:dyDescent="0.25">
      <c r="C146" s="141">
        <v>137</v>
      </c>
      <c r="D146" s="460"/>
      <c r="E146" s="172"/>
      <c r="F146" s="498" t="str">
        <f>IF(D146="","",VLOOKUP(D146,'G-7 Rivers Data'!$B$2:$G$8,2,FALSE))</f>
        <v/>
      </c>
      <c r="G146" s="499" t="str">
        <f>IFERROR(VLOOKUP(F146,'G-7 Rivers Data'!$C$4:$D$8,2,FALSE),"")</f>
        <v/>
      </c>
      <c r="H146" s="145"/>
      <c r="I146" s="499" t="str">
        <f>IFERROR(INDEX('G-7 Rivers Data'!$H$4:$L$8,MATCH(D146,'G-7 Rivers Data'!$B$4:$B$8,0),MATCH(H146,'G-7 Rivers Data'!$H$3:$L$3,0)),"")</f>
        <v/>
      </c>
      <c r="J146" s="418"/>
      <c r="K146" s="498" t="str">
        <f>IF(J146="","",IF(VLOOKUP(J146,'G-7 Rivers Data'!$AK$4:$AM$9,2,FALSE)=0,"Spatial Data Missing ⚠",VLOOKUP(J146,'G-7 Rivers Data'!$AK$4:$AM$9,2,FALSE)))</f>
        <v/>
      </c>
      <c r="L146" s="505"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Data'!$B$2:$G$8,6,FALSE))</f>
        <v/>
      </c>
      <c r="R146" s="513" t="str">
        <f t="shared" si="16"/>
        <v/>
      </c>
      <c r="S146" s="40"/>
      <c r="T146" s="145"/>
      <c r="U146" s="157"/>
      <c r="V146" s="511" t="str">
        <f t="shared" si="17"/>
        <v/>
      </c>
      <c r="W146" s="511" t="str">
        <f t="shared" si="18"/>
        <v/>
      </c>
      <c r="X146" s="511" t="str">
        <f t="shared" si="19"/>
        <v/>
      </c>
      <c r="Y146" s="515"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8" x14ac:dyDescent="0.25">
      <c r="C147" s="141">
        <v>138</v>
      </c>
      <c r="D147" s="460"/>
      <c r="E147" s="172"/>
      <c r="F147" s="498" t="str">
        <f>IF(D147="","",VLOOKUP(D147,'G-7 Rivers Data'!$B$2:$G$8,2,FALSE))</f>
        <v/>
      </c>
      <c r="G147" s="499" t="str">
        <f>IFERROR(VLOOKUP(F147,'G-7 Rivers Data'!$C$4:$D$8,2,FALSE),"")</f>
        <v/>
      </c>
      <c r="H147" s="145"/>
      <c r="I147" s="499" t="str">
        <f>IFERROR(INDEX('G-7 Rivers Data'!$H$4:$L$8,MATCH(D147,'G-7 Rivers Data'!$B$4:$B$8,0),MATCH(H147,'G-7 Rivers Data'!$H$3:$L$3,0)),"")</f>
        <v/>
      </c>
      <c r="J147" s="418"/>
      <c r="K147" s="498" t="str">
        <f>IF(J147="","",IF(VLOOKUP(J147,'G-7 Rivers Data'!$AK$4:$AM$9,2,FALSE)=0,"Spatial Data Missing ⚠",VLOOKUP(J147,'G-7 Rivers Data'!$AK$4:$AM$9,2,FALSE)))</f>
        <v/>
      </c>
      <c r="L147" s="505"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Data'!$B$2:$G$8,6,FALSE))</f>
        <v/>
      </c>
      <c r="R147" s="513" t="str">
        <f t="shared" si="16"/>
        <v/>
      </c>
      <c r="S147" s="40"/>
      <c r="T147" s="145"/>
      <c r="U147" s="157"/>
      <c r="V147" s="511" t="str">
        <f t="shared" si="17"/>
        <v/>
      </c>
      <c r="W147" s="511" t="str">
        <f t="shared" si="18"/>
        <v/>
      </c>
      <c r="X147" s="511" t="str">
        <f t="shared" si="19"/>
        <v/>
      </c>
      <c r="Y147" s="515"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8" x14ac:dyDescent="0.25">
      <c r="C148" s="141">
        <v>139</v>
      </c>
      <c r="D148" s="460"/>
      <c r="E148" s="172"/>
      <c r="F148" s="498" t="str">
        <f>IF(D148="","",VLOOKUP(D148,'G-7 Rivers Data'!$B$2:$G$8,2,FALSE))</f>
        <v/>
      </c>
      <c r="G148" s="499" t="str">
        <f>IFERROR(VLOOKUP(F148,'G-7 Rivers Data'!$C$4:$D$8,2,FALSE),"")</f>
        <v/>
      </c>
      <c r="H148" s="145"/>
      <c r="I148" s="499" t="str">
        <f>IFERROR(INDEX('G-7 Rivers Data'!$H$4:$L$8,MATCH(D148,'G-7 Rivers Data'!$B$4:$B$8,0),MATCH(H148,'G-7 Rivers Data'!$H$3:$L$3,0)),"")</f>
        <v/>
      </c>
      <c r="J148" s="418"/>
      <c r="K148" s="498" t="str">
        <f>IF(J148="","",IF(VLOOKUP(J148,'G-7 Rivers Data'!$AK$4:$AM$9,2,FALSE)=0,"Spatial Data Missing ⚠",VLOOKUP(J148,'G-7 Rivers Data'!$AK$4:$AM$9,2,FALSE)))</f>
        <v/>
      </c>
      <c r="L148" s="505"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Data'!$B$2:$G$8,6,FALSE))</f>
        <v/>
      </c>
      <c r="R148" s="513" t="str">
        <f t="shared" si="16"/>
        <v/>
      </c>
      <c r="S148" s="40"/>
      <c r="T148" s="145"/>
      <c r="U148" s="157"/>
      <c r="V148" s="511" t="str">
        <f t="shared" si="17"/>
        <v/>
      </c>
      <c r="W148" s="511" t="str">
        <f t="shared" si="18"/>
        <v/>
      </c>
      <c r="X148" s="511" t="str">
        <f t="shared" si="19"/>
        <v/>
      </c>
      <c r="Y148" s="515"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8" x14ac:dyDescent="0.25">
      <c r="C149" s="141">
        <v>140</v>
      </c>
      <c r="D149" s="460"/>
      <c r="E149" s="172"/>
      <c r="F149" s="498" t="str">
        <f>IF(D149="","",VLOOKUP(D149,'G-7 Rivers Data'!$B$2:$G$8,2,FALSE))</f>
        <v/>
      </c>
      <c r="G149" s="499" t="str">
        <f>IFERROR(VLOOKUP(F149,'G-7 Rivers Data'!$C$4:$D$8,2,FALSE),"")</f>
        <v/>
      </c>
      <c r="H149" s="145"/>
      <c r="I149" s="499" t="str">
        <f>IFERROR(INDEX('G-7 Rivers Data'!$H$4:$L$8,MATCH(D149,'G-7 Rivers Data'!$B$4:$B$8,0),MATCH(H149,'G-7 Rivers Data'!$H$3:$L$3,0)),"")</f>
        <v/>
      </c>
      <c r="J149" s="418"/>
      <c r="K149" s="498" t="str">
        <f>IF(J149="","",IF(VLOOKUP(J149,'G-7 Rivers Data'!$AK$4:$AM$9,2,FALSE)=0,"Spatial Data Missing ⚠",VLOOKUP(J149,'G-7 Rivers Data'!$AK$4:$AM$9,2,FALSE)))</f>
        <v/>
      </c>
      <c r="L149" s="505"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Data'!$B$2:$G$8,6,FALSE))</f>
        <v/>
      </c>
      <c r="R149" s="513" t="str">
        <f t="shared" si="16"/>
        <v/>
      </c>
      <c r="S149" s="40"/>
      <c r="T149" s="145"/>
      <c r="U149" s="157"/>
      <c r="V149" s="511" t="str">
        <f t="shared" si="17"/>
        <v/>
      </c>
      <c r="W149" s="511" t="str">
        <f t="shared" si="18"/>
        <v/>
      </c>
      <c r="X149" s="511" t="str">
        <f t="shared" si="19"/>
        <v/>
      </c>
      <c r="Y149" s="515"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8" x14ac:dyDescent="0.25">
      <c r="C150" s="141">
        <v>141</v>
      </c>
      <c r="D150" s="460"/>
      <c r="E150" s="172"/>
      <c r="F150" s="498" t="str">
        <f>IF(D150="","",VLOOKUP(D150,'G-7 Rivers Data'!$B$2:$G$8,2,FALSE))</f>
        <v/>
      </c>
      <c r="G150" s="499" t="str">
        <f>IFERROR(VLOOKUP(F150,'G-7 Rivers Data'!$C$4:$D$8,2,FALSE),"")</f>
        <v/>
      </c>
      <c r="H150" s="145"/>
      <c r="I150" s="499" t="str">
        <f>IFERROR(INDEX('G-7 Rivers Data'!$H$4:$L$8,MATCH(D150,'G-7 Rivers Data'!$B$4:$B$8,0),MATCH(H150,'G-7 Rivers Data'!$H$3:$L$3,0)),"")</f>
        <v/>
      </c>
      <c r="J150" s="418"/>
      <c r="K150" s="498" t="str">
        <f>IF(J150="","",IF(VLOOKUP(J150,'G-7 Rivers Data'!$AK$4:$AM$9,2,FALSE)=0,"Spatial Data Missing ⚠",VLOOKUP(J150,'G-7 Rivers Data'!$AK$4:$AM$9,2,FALSE)))</f>
        <v/>
      </c>
      <c r="L150" s="505"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Data'!$B$2:$G$8,6,FALSE))</f>
        <v/>
      </c>
      <c r="R150" s="513" t="str">
        <f t="shared" si="16"/>
        <v/>
      </c>
      <c r="S150" s="40"/>
      <c r="T150" s="145"/>
      <c r="U150" s="157"/>
      <c r="V150" s="511" t="str">
        <f t="shared" si="17"/>
        <v/>
      </c>
      <c r="W150" s="511" t="str">
        <f t="shared" si="18"/>
        <v/>
      </c>
      <c r="X150" s="511" t="str">
        <f t="shared" si="19"/>
        <v/>
      </c>
      <c r="Y150" s="515"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8" x14ac:dyDescent="0.25">
      <c r="C151" s="141">
        <v>142</v>
      </c>
      <c r="D151" s="460"/>
      <c r="E151" s="172"/>
      <c r="F151" s="498" t="str">
        <f>IF(D151="","",VLOOKUP(D151,'G-7 Rivers Data'!$B$2:$G$8,2,FALSE))</f>
        <v/>
      </c>
      <c r="G151" s="499" t="str">
        <f>IFERROR(VLOOKUP(F151,'G-7 Rivers Data'!$C$4:$D$8,2,FALSE),"")</f>
        <v/>
      </c>
      <c r="H151" s="145"/>
      <c r="I151" s="499" t="str">
        <f>IFERROR(INDEX('G-7 Rivers Data'!$H$4:$L$8,MATCH(D151,'G-7 Rivers Data'!$B$4:$B$8,0),MATCH(H151,'G-7 Rivers Data'!$H$3:$L$3,0)),"")</f>
        <v/>
      </c>
      <c r="J151" s="418"/>
      <c r="K151" s="498" t="str">
        <f>IF(J151="","",IF(VLOOKUP(J151,'G-7 Rivers Data'!$AK$4:$AM$9,2,FALSE)=0,"Spatial Data Missing ⚠",VLOOKUP(J151,'G-7 Rivers Data'!$AK$4:$AM$9,2,FALSE)))</f>
        <v/>
      </c>
      <c r="L151" s="505"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Data'!$B$2:$G$8,6,FALSE))</f>
        <v/>
      </c>
      <c r="R151" s="513" t="str">
        <f t="shared" si="16"/>
        <v/>
      </c>
      <c r="S151" s="40"/>
      <c r="T151" s="145"/>
      <c r="U151" s="157"/>
      <c r="V151" s="511" t="str">
        <f t="shared" si="17"/>
        <v/>
      </c>
      <c r="W151" s="511" t="str">
        <f t="shared" si="18"/>
        <v/>
      </c>
      <c r="X151" s="511" t="str">
        <f t="shared" si="19"/>
        <v/>
      </c>
      <c r="Y151" s="515"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8" x14ac:dyDescent="0.25">
      <c r="C152" s="141">
        <v>143</v>
      </c>
      <c r="D152" s="460"/>
      <c r="E152" s="172"/>
      <c r="F152" s="498" t="str">
        <f>IF(D152="","",VLOOKUP(D152,'G-7 Rivers Data'!$B$2:$G$8,2,FALSE))</f>
        <v/>
      </c>
      <c r="G152" s="499" t="str">
        <f>IFERROR(VLOOKUP(F152,'G-7 Rivers Data'!$C$4:$D$8,2,FALSE),"")</f>
        <v/>
      </c>
      <c r="H152" s="145"/>
      <c r="I152" s="499" t="str">
        <f>IFERROR(INDEX('G-7 Rivers Data'!$H$4:$L$8,MATCH(D152,'G-7 Rivers Data'!$B$4:$B$8,0),MATCH(H152,'G-7 Rivers Data'!$H$3:$L$3,0)),"")</f>
        <v/>
      </c>
      <c r="J152" s="418"/>
      <c r="K152" s="498" t="str">
        <f>IF(J152="","",IF(VLOOKUP(J152,'G-7 Rivers Data'!$AK$4:$AM$9,2,FALSE)=0,"Spatial Data Missing ⚠",VLOOKUP(J152,'G-7 Rivers Data'!$AK$4:$AM$9,2,FALSE)))</f>
        <v/>
      </c>
      <c r="L152" s="505"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Data'!$B$2:$G$8,6,FALSE))</f>
        <v/>
      </c>
      <c r="R152" s="513" t="str">
        <f t="shared" si="16"/>
        <v/>
      </c>
      <c r="S152" s="40"/>
      <c r="T152" s="145"/>
      <c r="U152" s="157"/>
      <c r="V152" s="511" t="str">
        <f t="shared" si="17"/>
        <v/>
      </c>
      <c r="W152" s="511" t="str">
        <f t="shared" si="18"/>
        <v/>
      </c>
      <c r="X152" s="511" t="str">
        <f t="shared" si="19"/>
        <v/>
      </c>
      <c r="Y152" s="515"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8" x14ac:dyDescent="0.25">
      <c r="C153" s="141">
        <v>144</v>
      </c>
      <c r="D153" s="460"/>
      <c r="E153" s="172"/>
      <c r="F153" s="498" t="str">
        <f>IF(D153="","",VLOOKUP(D153,'G-7 Rivers Data'!$B$2:$G$8,2,FALSE))</f>
        <v/>
      </c>
      <c r="G153" s="499" t="str">
        <f>IFERROR(VLOOKUP(F153,'G-7 Rivers Data'!$C$4:$D$8,2,FALSE),"")</f>
        <v/>
      </c>
      <c r="H153" s="145"/>
      <c r="I153" s="499" t="str">
        <f>IFERROR(INDEX('G-7 Rivers Data'!$H$4:$L$8,MATCH(D153,'G-7 Rivers Data'!$B$4:$B$8,0),MATCH(H153,'G-7 Rivers Data'!$H$3:$L$3,0)),"")</f>
        <v/>
      </c>
      <c r="J153" s="418"/>
      <c r="K153" s="498" t="str">
        <f>IF(J153="","",IF(VLOOKUP(J153,'G-7 Rivers Data'!$AK$4:$AM$9,2,FALSE)=0,"Spatial Data Missing ⚠",VLOOKUP(J153,'G-7 Rivers Data'!$AK$4:$AM$9,2,FALSE)))</f>
        <v/>
      </c>
      <c r="L153" s="505"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Data'!$B$2:$G$8,6,FALSE))</f>
        <v/>
      </c>
      <c r="R153" s="513" t="str">
        <f t="shared" si="16"/>
        <v/>
      </c>
      <c r="S153" s="40"/>
      <c r="T153" s="145"/>
      <c r="U153" s="157"/>
      <c r="V153" s="511" t="str">
        <f t="shared" si="17"/>
        <v/>
      </c>
      <c r="W153" s="511" t="str">
        <f t="shared" si="18"/>
        <v/>
      </c>
      <c r="X153" s="511" t="str">
        <f t="shared" si="19"/>
        <v/>
      </c>
      <c r="Y153" s="515"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8" x14ac:dyDescent="0.25">
      <c r="C154" s="141">
        <v>145</v>
      </c>
      <c r="D154" s="460"/>
      <c r="E154" s="172"/>
      <c r="F154" s="498" t="str">
        <f>IF(D154="","",VLOOKUP(D154,'G-7 Rivers Data'!$B$2:$G$8,2,FALSE))</f>
        <v/>
      </c>
      <c r="G154" s="499" t="str">
        <f>IFERROR(VLOOKUP(F154,'G-7 Rivers Data'!$C$4:$D$8,2,FALSE),"")</f>
        <v/>
      </c>
      <c r="H154" s="145"/>
      <c r="I154" s="499" t="str">
        <f>IFERROR(INDEX('G-7 Rivers Data'!$H$4:$L$8,MATCH(D154,'G-7 Rivers Data'!$B$4:$B$8,0),MATCH(H154,'G-7 Rivers Data'!$H$3:$L$3,0)),"")</f>
        <v/>
      </c>
      <c r="J154" s="418"/>
      <c r="K154" s="498" t="str">
        <f>IF(J154="","",IF(VLOOKUP(J154,'G-7 Rivers Data'!$AK$4:$AM$9,2,FALSE)=0,"Spatial Data Missing ⚠",VLOOKUP(J154,'G-7 Rivers Data'!$AK$4:$AM$9,2,FALSE)))</f>
        <v/>
      </c>
      <c r="L154" s="505"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Data'!$B$2:$G$8,6,FALSE))</f>
        <v/>
      </c>
      <c r="R154" s="513" t="str">
        <f t="shared" si="16"/>
        <v/>
      </c>
      <c r="S154" s="40"/>
      <c r="T154" s="145"/>
      <c r="U154" s="157"/>
      <c r="V154" s="511" t="str">
        <f t="shared" si="17"/>
        <v/>
      </c>
      <c r="W154" s="511" t="str">
        <f t="shared" si="18"/>
        <v/>
      </c>
      <c r="X154" s="511" t="str">
        <f t="shared" si="19"/>
        <v/>
      </c>
      <c r="Y154" s="515"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8" x14ac:dyDescent="0.25">
      <c r="C155" s="141">
        <v>146</v>
      </c>
      <c r="D155" s="460"/>
      <c r="E155" s="172"/>
      <c r="F155" s="498" t="str">
        <f>IF(D155="","",VLOOKUP(D155,'G-7 Rivers Data'!$B$2:$G$8,2,FALSE))</f>
        <v/>
      </c>
      <c r="G155" s="499" t="str">
        <f>IFERROR(VLOOKUP(F155,'G-7 Rivers Data'!$C$4:$D$8,2,FALSE),"")</f>
        <v/>
      </c>
      <c r="H155" s="145"/>
      <c r="I155" s="499" t="str">
        <f>IFERROR(INDEX('G-7 Rivers Data'!$H$4:$L$8,MATCH(D155,'G-7 Rivers Data'!$B$4:$B$8,0),MATCH(H155,'G-7 Rivers Data'!$H$3:$L$3,0)),"")</f>
        <v/>
      </c>
      <c r="J155" s="418"/>
      <c r="K155" s="498" t="str">
        <f>IF(J155="","",IF(VLOOKUP(J155,'G-7 Rivers Data'!$AK$4:$AM$9,2,FALSE)=0,"Spatial Data Missing ⚠",VLOOKUP(J155,'G-7 Rivers Data'!$AK$4:$AM$9,2,FALSE)))</f>
        <v/>
      </c>
      <c r="L155" s="505"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Data'!$B$2:$G$8,6,FALSE))</f>
        <v/>
      </c>
      <c r="R155" s="513" t="str">
        <f t="shared" si="16"/>
        <v/>
      </c>
      <c r="S155" s="40"/>
      <c r="T155" s="145"/>
      <c r="U155" s="157"/>
      <c r="V155" s="511" t="str">
        <f t="shared" si="17"/>
        <v/>
      </c>
      <c r="W155" s="511" t="str">
        <f t="shared" si="18"/>
        <v/>
      </c>
      <c r="X155" s="511" t="str">
        <f t="shared" si="19"/>
        <v/>
      </c>
      <c r="Y155" s="515"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8" x14ac:dyDescent="0.25">
      <c r="C156" s="141">
        <v>147</v>
      </c>
      <c r="D156" s="460"/>
      <c r="E156" s="172"/>
      <c r="F156" s="498" t="str">
        <f>IF(D156="","",VLOOKUP(D156,'G-7 Rivers Data'!$B$2:$G$8,2,FALSE))</f>
        <v/>
      </c>
      <c r="G156" s="499" t="str">
        <f>IFERROR(VLOOKUP(F156,'G-7 Rivers Data'!$C$4:$D$8,2,FALSE),"")</f>
        <v/>
      </c>
      <c r="H156" s="145"/>
      <c r="I156" s="499" t="str">
        <f>IFERROR(INDEX('G-7 Rivers Data'!$H$4:$L$8,MATCH(D156,'G-7 Rivers Data'!$B$4:$B$8,0),MATCH(H156,'G-7 Rivers Data'!$H$3:$L$3,0)),"")</f>
        <v/>
      </c>
      <c r="J156" s="418"/>
      <c r="K156" s="498" t="str">
        <f>IF(J156="","",IF(VLOOKUP(J156,'G-7 Rivers Data'!$AK$4:$AM$9,2,FALSE)=0,"Spatial Data Missing ⚠",VLOOKUP(J156,'G-7 Rivers Data'!$AK$4:$AM$9,2,FALSE)))</f>
        <v/>
      </c>
      <c r="L156" s="505"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Data'!$B$2:$G$8,6,FALSE))</f>
        <v/>
      </c>
      <c r="R156" s="513" t="str">
        <f t="shared" si="16"/>
        <v/>
      </c>
      <c r="S156" s="40"/>
      <c r="T156" s="145"/>
      <c r="U156" s="157"/>
      <c r="V156" s="511" t="str">
        <f t="shared" si="17"/>
        <v/>
      </c>
      <c r="W156" s="511" t="str">
        <f t="shared" si="18"/>
        <v/>
      </c>
      <c r="X156" s="511" t="str">
        <f t="shared" si="19"/>
        <v/>
      </c>
      <c r="Y156" s="515"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8" x14ac:dyDescent="0.25">
      <c r="C157" s="141">
        <v>148</v>
      </c>
      <c r="D157" s="460"/>
      <c r="E157" s="172"/>
      <c r="F157" s="498" t="str">
        <f>IF(D157="","",VLOOKUP(D157,'G-7 Rivers Data'!$B$2:$G$8,2,FALSE))</f>
        <v/>
      </c>
      <c r="G157" s="499" t="str">
        <f>IFERROR(VLOOKUP(F157,'G-7 Rivers Data'!$C$4:$D$8,2,FALSE),"")</f>
        <v/>
      </c>
      <c r="H157" s="145"/>
      <c r="I157" s="499" t="str">
        <f>IFERROR(INDEX('G-7 Rivers Data'!$H$4:$L$8,MATCH(D157,'G-7 Rivers Data'!$B$4:$B$8,0),MATCH(H157,'G-7 Rivers Data'!$H$3:$L$3,0)),"")</f>
        <v/>
      </c>
      <c r="J157" s="418"/>
      <c r="K157" s="498" t="str">
        <f>IF(J157="","",IF(VLOOKUP(J157,'G-7 Rivers Data'!$AK$4:$AM$9,2,FALSE)=0,"Spatial Data Missing ⚠",VLOOKUP(J157,'G-7 Rivers Data'!$AK$4:$AM$9,2,FALSE)))</f>
        <v/>
      </c>
      <c r="L157" s="505"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Data'!$B$2:$G$8,6,FALSE))</f>
        <v/>
      </c>
      <c r="R157" s="513" t="str">
        <f t="shared" si="16"/>
        <v/>
      </c>
      <c r="S157" s="40"/>
      <c r="T157" s="145"/>
      <c r="U157" s="157"/>
      <c r="V157" s="511" t="str">
        <f t="shared" si="17"/>
        <v/>
      </c>
      <c r="W157" s="511" t="str">
        <f t="shared" si="18"/>
        <v/>
      </c>
      <c r="X157" s="511" t="str">
        <f t="shared" si="19"/>
        <v/>
      </c>
      <c r="Y157" s="515"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8" x14ac:dyDescent="0.25">
      <c r="C158" s="141">
        <v>149</v>
      </c>
      <c r="D158" s="460"/>
      <c r="E158" s="172"/>
      <c r="F158" s="498" t="str">
        <f>IF(D158="","",VLOOKUP(D158,'G-7 Rivers Data'!$B$2:$G$8,2,FALSE))</f>
        <v/>
      </c>
      <c r="G158" s="499" t="str">
        <f>IFERROR(VLOOKUP(F158,'G-7 Rivers Data'!$C$4:$D$8,2,FALSE),"")</f>
        <v/>
      </c>
      <c r="H158" s="145"/>
      <c r="I158" s="499" t="str">
        <f>IFERROR(INDEX('G-7 Rivers Data'!$H$4:$L$8,MATCH(D158,'G-7 Rivers Data'!$B$4:$B$8,0),MATCH(H158,'G-7 Rivers Data'!$H$3:$L$3,0)),"")</f>
        <v/>
      </c>
      <c r="J158" s="418"/>
      <c r="K158" s="498" t="str">
        <f>IF(J158="","",IF(VLOOKUP(J158,'G-7 Rivers Data'!$AK$4:$AM$9,2,FALSE)=0,"Spatial Data Missing ⚠",VLOOKUP(J158,'G-7 Rivers Data'!$AK$4:$AM$9,2,FALSE)))</f>
        <v/>
      </c>
      <c r="L158" s="505"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Data'!$B$2:$G$8,6,FALSE))</f>
        <v/>
      </c>
      <c r="R158" s="513" t="str">
        <f t="shared" si="16"/>
        <v/>
      </c>
      <c r="S158" s="40"/>
      <c r="T158" s="145"/>
      <c r="U158" s="157"/>
      <c r="V158" s="511" t="str">
        <f t="shared" si="17"/>
        <v/>
      </c>
      <c r="W158" s="511" t="str">
        <f t="shared" si="18"/>
        <v/>
      </c>
      <c r="X158" s="511" t="str">
        <f t="shared" si="19"/>
        <v/>
      </c>
      <c r="Y158" s="515"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8" x14ac:dyDescent="0.25">
      <c r="C159" s="141">
        <v>150</v>
      </c>
      <c r="D159" s="460"/>
      <c r="E159" s="172"/>
      <c r="F159" s="498" t="str">
        <f>IF(D159="","",VLOOKUP(D159,'G-7 Rivers Data'!$B$2:$G$8,2,FALSE))</f>
        <v/>
      </c>
      <c r="G159" s="499" t="str">
        <f>IFERROR(VLOOKUP(F159,'G-7 Rivers Data'!$C$4:$D$8,2,FALSE),"")</f>
        <v/>
      </c>
      <c r="H159" s="145"/>
      <c r="I159" s="499" t="str">
        <f>IFERROR(INDEX('G-7 Rivers Data'!$H$4:$L$8,MATCH(D159,'G-7 Rivers Data'!$B$4:$B$8,0),MATCH(H159,'G-7 Rivers Data'!$H$3:$L$3,0)),"")</f>
        <v/>
      </c>
      <c r="J159" s="418"/>
      <c r="K159" s="498" t="str">
        <f>IF(J159="","",IF(VLOOKUP(J159,'G-7 Rivers Data'!$AK$4:$AM$9,2,FALSE)=0,"Spatial Data Missing ⚠",VLOOKUP(J159,'G-7 Rivers Data'!$AK$4:$AM$9,2,FALSE)))</f>
        <v/>
      </c>
      <c r="L159" s="505"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Data'!$B$2:$G$8,6,FALSE))</f>
        <v/>
      </c>
      <c r="R159" s="513" t="str">
        <f t="shared" si="16"/>
        <v/>
      </c>
      <c r="S159" s="40"/>
      <c r="T159" s="145"/>
      <c r="U159" s="157"/>
      <c r="V159" s="511" t="str">
        <f t="shared" si="17"/>
        <v/>
      </c>
      <c r="W159" s="511" t="str">
        <f t="shared" si="18"/>
        <v/>
      </c>
      <c r="X159" s="511" t="str">
        <f t="shared" si="19"/>
        <v/>
      </c>
      <c r="Y159" s="515"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8" x14ac:dyDescent="0.25">
      <c r="C160" s="141">
        <v>151</v>
      </c>
      <c r="D160" s="460"/>
      <c r="E160" s="172"/>
      <c r="F160" s="498" t="str">
        <f>IF(D160="","",VLOOKUP(D160,'G-7 Rivers Data'!$B$2:$G$8,2,FALSE))</f>
        <v/>
      </c>
      <c r="G160" s="499" t="str">
        <f>IFERROR(VLOOKUP(F160,'G-7 Rivers Data'!$C$4:$D$8,2,FALSE),"")</f>
        <v/>
      </c>
      <c r="H160" s="145"/>
      <c r="I160" s="499" t="str">
        <f>IFERROR(INDEX('G-7 Rivers Data'!$H$4:$L$8,MATCH(D160,'G-7 Rivers Data'!$B$4:$B$8,0),MATCH(H160,'G-7 Rivers Data'!$H$3:$L$3,0)),"")</f>
        <v/>
      </c>
      <c r="J160" s="418"/>
      <c r="K160" s="498" t="str">
        <f>IF(J160="","",IF(VLOOKUP(J160,'G-7 Rivers Data'!$AK$4:$AM$9,2,FALSE)=0,"Spatial Data Missing ⚠",VLOOKUP(J160,'G-7 Rivers Data'!$AK$4:$AM$9,2,FALSE)))</f>
        <v/>
      </c>
      <c r="L160" s="505"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Data'!$B$2:$G$8,6,FALSE))</f>
        <v/>
      </c>
      <c r="R160" s="513" t="str">
        <f t="shared" si="16"/>
        <v/>
      </c>
      <c r="S160" s="40"/>
      <c r="T160" s="145"/>
      <c r="U160" s="157"/>
      <c r="V160" s="511" t="str">
        <f t="shared" si="17"/>
        <v/>
      </c>
      <c r="W160" s="511" t="str">
        <f t="shared" si="18"/>
        <v/>
      </c>
      <c r="X160" s="511" t="str">
        <f t="shared" si="19"/>
        <v/>
      </c>
      <c r="Y160" s="515"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8" x14ac:dyDescent="0.25">
      <c r="C161" s="141">
        <v>152</v>
      </c>
      <c r="D161" s="460"/>
      <c r="E161" s="172"/>
      <c r="F161" s="498" t="str">
        <f>IF(D161="","",VLOOKUP(D161,'G-7 Rivers Data'!$B$2:$G$8,2,FALSE))</f>
        <v/>
      </c>
      <c r="G161" s="499" t="str">
        <f>IFERROR(VLOOKUP(F161,'G-7 Rivers Data'!$C$4:$D$8,2,FALSE),"")</f>
        <v/>
      </c>
      <c r="H161" s="145"/>
      <c r="I161" s="499" t="str">
        <f>IFERROR(INDEX('G-7 Rivers Data'!$H$4:$L$8,MATCH(D161,'G-7 Rivers Data'!$B$4:$B$8,0),MATCH(H161,'G-7 Rivers Data'!$H$3:$L$3,0)),"")</f>
        <v/>
      </c>
      <c r="J161" s="418"/>
      <c r="K161" s="498" t="str">
        <f>IF(J161="","",IF(VLOOKUP(J161,'G-7 Rivers Data'!$AK$4:$AM$9,2,FALSE)=0,"Spatial Data Missing ⚠",VLOOKUP(J161,'G-7 Rivers Data'!$AK$4:$AM$9,2,FALSE)))</f>
        <v/>
      </c>
      <c r="L161" s="505"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Data'!$B$2:$G$8,6,FALSE))</f>
        <v/>
      </c>
      <c r="R161" s="513" t="str">
        <f t="shared" si="16"/>
        <v/>
      </c>
      <c r="S161" s="40"/>
      <c r="T161" s="145"/>
      <c r="U161" s="157"/>
      <c r="V161" s="511" t="str">
        <f t="shared" si="17"/>
        <v/>
      </c>
      <c r="W161" s="511" t="str">
        <f t="shared" si="18"/>
        <v/>
      </c>
      <c r="X161" s="511" t="str">
        <f t="shared" si="19"/>
        <v/>
      </c>
      <c r="Y161" s="515"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8" x14ac:dyDescent="0.25">
      <c r="C162" s="141">
        <v>153</v>
      </c>
      <c r="D162" s="460"/>
      <c r="E162" s="172"/>
      <c r="F162" s="498" t="str">
        <f>IF(D162="","",VLOOKUP(D162,'G-7 Rivers Data'!$B$2:$G$8,2,FALSE))</f>
        <v/>
      </c>
      <c r="G162" s="499" t="str">
        <f>IFERROR(VLOOKUP(F162,'G-7 Rivers Data'!$C$4:$D$8,2,FALSE),"")</f>
        <v/>
      </c>
      <c r="H162" s="145"/>
      <c r="I162" s="499" t="str">
        <f>IFERROR(INDEX('G-7 Rivers Data'!$H$4:$L$8,MATCH(D162,'G-7 Rivers Data'!$B$4:$B$8,0),MATCH(H162,'G-7 Rivers Data'!$H$3:$L$3,0)),"")</f>
        <v/>
      </c>
      <c r="J162" s="418"/>
      <c r="K162" s="498" t="str">
        <f>IF(J162="","",IF(VLOOKUP(J162,'G-7 Rivers Data'!$AK$4:$AM$9,2,FALSE)=0,"Spatial Data Missing ⚠",VLOOKUP(J162,'G-7 Rivers Data'!$AK$4:$AM$9,2,FALSE)))</f>
        <v/>
      </c>
      <c r="L162" s="505"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Data'!$B$2:$G$8,6,FALSE))</f>
        <v/>
      </c>
      <c r="R162" s="513" t="str">
        <f t="shared" si="16"/>
        <v/>
      </c>
      <c r="S162" s="40"/>
      <c r="T162" s="145"/>
      <c r="U162" s="157"/>
      <c r="V162" s="511" t="str">
        <f t="shared" si="17"/>
        <v/>
      </c>
      <c r="W162" s="511" t="str">
        <f t="shared" si="18"/>
        <v/>
      </c>
      <c r="X162" s="511" t="str">
        <f t="shared" si="19"/>
        <v/>
      </c>
      <c r="Y162" s="515"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8" x14ac:dyDescent="0.25">
      <c r="C163" s="141">
        <v>154</v>
      </c>
      <c r="D163" s="460"/>
      <c r="E163" s="172"/>
      <c r="F163" s="498" t="str">
        <f>IF(D163="","",VLOOKUP(D163,'G-7 Rivers Data'!$B$2:$G$8,2,FALSE))</f>
        <v/>
      </c>
      <c r="G163" s="499" t="str">
        <f>IFERROR(VLOOKUP(F163,'G-7 Rivers Data'!$C$4:$D$8,2,FALSE),"")</f>
        <v/>
      </c>
      <c r="H163" s="145"/>
      <c r="I163" s="499" t="str">
        <f>IFERROR(INDEX('G-7 Rivers Data'!$H$4:$L$8,MATCH(D163,'G-7 Rivers Data'!$B$4:$B$8,0),MATCH(H163,'G-7 Rivers Data'!$H$3:$L$3,0)),"")</f>
        <v/>
      </c>
      <c r="J163" s="418"/>
      <c r="K163" s="498" t="str">
        <f>IF(J163="","",IF(VLOOKUP(J163,'G-7 Rivers Data'!$AK$4:$AM$9,2,FALSE)=0,"Spatial Data Missing ⚠",VLOOKUP(J163,'G-7 Rivers Data'!$AK$4:$AM$9,2,FALSE)))</f>
        <v/>
      </c>
      <c r="L163" s="505"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Data'!$B$2:$G$8,6,FALSE))</f>
        <v/>
      </c>
      <c r="R163" s="513" t="str">
        <f t="shared" si="16"/>
        <v/>
      </c>
      <c r="S163" s="40"/>
      <c r="T163" s="145"/>
      <c r="U163" s="157"/>
      <c r="V163" s="511" t="str">
        <f t="shared" si="17"/>
        <v/>
      </c>
      <c r="W163" s="511" t="str">
        <f t="shared" si="18"/>
        <v/>
      </c>
      <c r="X163" s="511" t="str">
        <f t="shared" si="19"/>
        <v/>
      </c>
      <c r="Y163" s="515"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8" x14ac:dyDescent="0.25">
      <c r="C164" s="141">
        <v>155</v>
      </c>
      <c r="D164" s="460"/>
      <c r="E164" s="172"/>
      <c r="F164" s="498" t="str">
        <f>IF(D164="","",VLOOKUP(D164,'G-7 Rivers Data'!$B$2:$G$8,2,FALSE))</f>
        <v/>
      </c>
      <c r="G164" s="499" t="str">
        <f>IFERROR(VLOOKUP(F164,'G-7 Rivers Data'!$C$4:$D$8,2,FALSE),"")</f>
        <v/>
      </c>
      <c r="H164" s="145"/>
      <c r="I164" s="499" t="str">
        <f>IFERROR(INDEX('G-7 Rivers Data'!$H$4:$L$8,MATCH(D164,'G-7 Rivers Data'!$B$4:$B$8,0),MATCH(H164,'G-7 Rivers Data'!$H$3:$L$3,0)),"")</f>
        <v/>
      </c>
      <c r="J164" s="418"/>
      <c r="K164" s="498" t="str">
        <f>IF(J164="","",IF(VLOOKUP(J164,'G-7 Rivers Data'!$AK$4:$AM$9,2,FALSE)=0,"Spatial Data Missing ⚠",VLOOKUP(J164,'G-7 Rivers Data'!$AK$4:$AM$9,2,FALSE)))</f>
        <v/>
      </c>
      <c r="L164" s="505"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Data'!$B$2:$G$8,6,FALSE))</f>
        <v/>
      </c>
      <c r="R164" s="513" t="str">
        <f t="shared" si="16"/>
        <v/>
      </c>
      <c r="S164" s="40"/>
      <c r="T164" s="145"/>
      <c r="U164" s="157"/>
      <c r="V164" s="511" t="str">
        <f t="shared" si="17"/>
        <v/>
      </c>
      <c r="W164" s="511" t="str">
        <f t="shared" si="18"/>
        <v/>
      </c>
      <c r="X164" s="511" t="str">
        <f t="shared" si="19"/>
        <v/>
      </c>
      <c r="Y164" s="515"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8" x14ac:dyDescent="0.25">
      <c r="C165" s="141">
        <v>156</v>
      </c>
      <c r="D165" s="460"/>
      <c r="E165" s="172"/>
      <c r="F165" s="498" t="str">
        <f>IF(D165="","",VLOOKUP(D165,'G-7 Rivers Data'!$B$2:$G$8,2,FALSE))</f>
        <v/>
      </c>
      <c r="G165" s="499" t="str">
        <f>IFERROR(VLOOKUP(F165,'G-7 Rivers Data'!$C$4:$D$8,2,FALSE),"")</f>
        <v/>
      </c>
      <c r="H165" s="145"/>
      <c r="I165" s="499" t="str">
        <f>IFERROR(INDEX('G-7 Rivers Data'!$H$4:$L$8,MATCH(D165,'G-7 Rivers Data'!$B$4:$B$8,0),MATCH(H165,'G-7 Rivers Data'!$H$3:$L$3,0)),"")</f>
        <v/>
      </c>
      <c r="J165" s="418"/>
      <c r="K165" s="498" t="str">
        <f>IF(J165="","",IF(VLOOKUP(J165,'G-7 Rivers Data'!$AK$4:$AM$9,2,FALSE)=0,"Spatial Data Missing ⚠",VLOOKUP(J165,'G-7 Rivers Data'!$AK$4:$AM$9,2,FALSE)))</f>
        <v/>
      </c>
      <c r="L165" s="505"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Data'!$B$2:$G$8,6,FALSE))</f>
        <v/>
      </c>
      <c r="R165" s="513" t="str">
        <f t="shared" si="16"/>
        <v/>
      </c>
      <c r="S165" s="40"/>
      <c r="T165" s="145"/>
      <c r="U165" s="157"/>
      <c r="V165" s="511" t="str">
        <f t="shared" si="17"/>
        <v/>
      </c>
      <c r="W165" s="511" t="str">
        <f t="shared" si="18"/>
        <v/>
      </c>
      <c r="X165" s="511" t="str">
        <f t="shared" si="19"/>
        <v/>
      </c>
      <c r="Y165" s="515"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8" x14ac:dyDescent="0.25">
      <c r="C166" s="141">
        <v>157</v>
      </c>
      <c r="D166" s="460"/>
      <c r="E166" s="172"/>
      <c r="F166" s="498" t="str">
        <f>IF(D166="","",VLOOKUP(D166,'G-7 Rivers Data'!$B$2:$G$8,2,FALSE))</f>
        <v/>
      </c>
      <c r="G166" s="499" t="str">
        <f>IFERROR(VLOOKUP(F166,'G-7 Rivers Data'!$C$4:$D$8,2,FALSE),"")</f>
        <v/>
      </c>
      <c r="H166" s="145"/>
      <c r="I166" s="499" t="str">
        <f>IFERROR(INDEX('G-7 Rivers Data'!$H$4:$L$8,MATCH(D166,'G-7 Rivers Data'!$B$4:$B$8,0),MATCH(H166,'G-7 Rivers Data'!$H$3:$L$3,0)),"")</f>
        <v/>
      </c>
      <c r="J166" s="418"/>
      <c r="K166" s="498" t="str">
        <f>IF(J166="","",IF(VLOOKUP(J166,'G-7 Rivers Data'!$AK$4:$AM$9,2,FALSE)=0,"Spatial Data Missing ⚠",VLOOKUP(J166,'G-7 Rivers Data'!$AK$4:$AM$9,2,FALSE)))</f>
        <v/>
      </c>
      <c r="L166" s="505"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Data'!$B$2:$G$8,6,FALSE))</f>
        <v/>
      </c>
      <c r="R166" s="513" t="str">
        <f t="shared" si="16"/>
        <v/>
      </c>
      <c r="S166" s="40"/>
      <c r="T166" s="145"/>
      <c r="U166" s="157"/>
      <c r="V166" s="511" t="str">
        <f t="shared" si="17"/>
        <v/>
      </c>
      <c r="W166" s="511" t="str">
        <f t="shared" si="18"/>
        <v/>
      </c>
      <c r="X166" s="511" t="str">
        <f t="shared" si="19"/>
        <v/>
      </c>
      <c r="Y166" s="515"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8" x14ac:dyDescent="0.25">
      <c r="C167" s="141">
        <v>158</v>
      </c>
      <c r="D167" s="460"/>
      <c r="E167" s="172"/>
      <c r="F167" s="498" t="str">
        <f>IF(D167="","",VLOOKUP(D167,'G-7 Rivers Data'!$B$2:$G$8,2,FALSE))</f>
        <v/>
      </c>
      <c r="G167" s="499" t="str">
        <f>IFERROR(VLOOKUP(F167,'G-7 Rivers Data'!$C$4:$D$8,2,FALSE),"")</f>
        <v/>
      </c>
      <c r="H167" s="145"/>
      <c r="I167" s="499" t="str">
        <f>IFERROR(INDEX('G-7 Rivers Data'!$H$4:$L$8,MATCH(D167,'G-7 Rivers Data'!$B$4:$B$8,0),MATCH(H167,'G-7 Rivers Data'!$H$3:$L$3,0)),"")</f>
        <v/>
      </c>
      <c r="J167" s="418"/>
      <c r="K167" s="498" t="str">
        <f>IF(J167="","",IF(VLOOKUP(J167,'G-7 Rivers Data'!$AK$4:$AM$9,2,FALSE)=0,"Spatial Data Missing ⚠",VLOOKUP(J167,'G-7 Rivers Data'!$AK$4:$AM$9,2,FALSE)))</f>
        <v/>
      </c>
      <c r="L167" s="505"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Data'!$B$2:$G$8,6,FALSE))</f>
        <v/>
      </c>
      <c r="R167" s="513" t="str">
        <f t="shared" si="16"/>
        <v/>
      </c>
      <c r="S167" s="40"/>
      <c r="T167" s="145"/>
      <c r="U167" s="157"/>
      <c r="V167" s="511" t="str">
        <f t="shared" si="17"/>
        <v/>
      </c>
      <c r="W167" s="511" t="str">
        <f t="shared" si="18"/>
        <v/>
      </c>
      <c r="X167" s="511" t="str">
        <f t="shared" si="19"/>
        <v/>
      </c>
      <c r="Y167" s="515"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8" x14ac:dyDescent="0.25">
      <c r="C168" s="141">
        <v>159</v>
      </c>
      <c r="D168" s="460"/>
      <c r="E168" s="172"/>
      <c r="F168" s="498" t="str">
        <f>IF(D168="","",VLOOKUP(D168,'G-7 Rivers Data'!$B$2:$G$8,2,FALSE))</f>
        <v/>
      </c>
      <c r="G168" s="499" t="str">
        <f>IFERROR(VLOOKUP(F168,'G-7 Rivers Data'!$C$4:$D$8,2,FALSE),"")</f>
        <v/>
      </c>
      <c r="H168" s="145"/>
      <c r="I168" s="499" t="str">
        <f>IFERROR(INDEX('G-7 Rivers Data'!$H$4:$L$8,MATCH(D168,'G-7 Rivers Data'!$B$4:$B$8,0),MATCH(H168,'G-7 Rivers Data'!$H$3:$L$3,0)),"")</f>
        <v/>
      </c>
      <c r="J168" s="418"/>
      <c r="K168" s="498" t="str">
        <f>IF(J168="","",IF(VLOOKUP(J168,'G-7 Rivers Data'!$AK$4:$AM$9,2,FALSE)=0,"Spatial Data Missing ⚠",VLOOKUP(J168,'G-7 Rivers Data'!$AK$4:$AM$9,2,FALSE)))</f>
        <v/>
      </c>
      <c r="L168" s="505"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Data'!$B$2:$G$8,6,FALSE))</f>
        <v/>
      </c>
      <c r="R168" s="513" t="str">
        <f t="shared" si="16"/>
        <v/>
      </c>
      <c r="S168" s="40"/>
      <c r="T168" s="145"/>
      <c r="U168" s="157"/>
      <c r="V168" s="511" t="str">
        <f t="shared" si="17"/>
        <v/>
      </c>
      <c r="W168" s="511" t="str">
        <f t="shared" si="18"/>
        <v/>
      </c>
      <c r="X168" s="511" t="str">
        <f t="shared" si="19"/>
        <v/>
      </c>
      <c r="Y168" s="515"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8" x14ac:dyDescent="0.25">
      <c r="C169" s="141">
        <v>160</v>
      </c>
      <c r="D169" s="460"/>
      <c r="E169" s="172"/>
      <c r="F169" s="498" t="str">
        <f>IF(D169="","",VLOOKUP(D169,'G-7 Rivers Data'!$B$2:$G$8,2,FALSE))</f>
        <v/>
      </c>
      <c r="G169" s="499" t="str">
        <f>IFERROR(VLOOKUP(F169,'G-7 Rivers Data'!$C$4:$D$8,2,FALSE),"")</f>
        <v/>
      </c>
      <c r="H169" s="145"/>
      <c r="I169" s="499" t="str">
        <f>IFERROR(INDEX('G-7 Rivers Data'!$H$4:$L$8,MATCH(D169,'G-7 Rivers Data'!$B$4:$B$8,0),MATCH(H169,'G-7 Rivers Data'!$H$3:$L$3,0)),"")</f>
        <v/>
      </c>
      <c r="J169" s="418"/>
      <c r="K169" s="498" t="str">
        <f>IF(J169="","",IF(VLOOKUP(J169,'G-7 Rivers Data'!$AK$4:$AM$9,2,FALSE)=0,"Spatial Data Missing ⚠",VLOOKUP(J169,'G-7 Rivers Data'!$AK$4:$AM$9,2,FALSE)))</f>
        <v/>
      </c>
      <c r="L169" s="505"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Data'!$B$2:$G$8,6,FALSE))</f>
        <v/>
      </c>
      <c r="R169" s="513" t="str">
        <f t="shared" si="16"/>
        <v/>
      </c>
      <c r="S169" s="40"/>
      <c r="T169" s="145"/>
      <c r="U169" s="157"/>
      <c r="V169" s="511" t="str">
        <f t="shared" si="17"/>
        <v/>
      </c>
      <c r="W169" s="511" t="str">
        <f t="shared" si="18"/>
        <v/>
      </c>
      <c r="X169" s="511" t="str">
        <f t="shared" si="19"/>
        <v/>
      </c>
      <c r="Y169" s="515"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8" x14ac:dyDescent="0.25">
      <c r="C170" s="141">
        <v>161</v>
      </c>
      <c r="D170" s="460"/>
      <c r="E170" s="172"/>
      <c r="F170" s="498" t="str">
        <f>IF(D170="","",VLOOKUP(D170,'G-7 Rivers Data'!$B$2:$G$8,2,FALSE))</f>
        <v/>
      </c>
      <c r="G170" s="499" t="str">
        <f>IFERROR(VLOOKUP(F170,'G-7 Rivers Data'!$C$4:$D$8,2,FALSE),"")</f>
        <v/>
      </c>
      <c r="H170" s="145"/>
      <c r="I170" s="499" t="str">
        <f>IFERROR(INDEX('G-7 Rivers Data'!$H$4:$L$8,MATCH(D170,'G-7 Rivers Data'!$B$4:$B$8,0),MATCH(H170,'G-7 Rivers Data'!$H$3:$L$3,0)),"")</f>
        <v/>
      </c>
      <c r="J170" s="418"/>
      <c r="K170" s="498" t="str">
        <f>IF(J170="","",IF(VLOOKUP(J170,'G-7 Rivers Data'!$AK$4:$AM$9,2,FALSE)=0,"Spatial Data Missing ⚠",VLOOKUP(J170,'G-7 Rivers Data'!$AK$4:$AM$9,2,FALSE)))</f>
        <v/>
      </c>
      <c r="L170" s="505"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Data'!$B$2:$G$8,6,FALSE))</f>
        <v/>
      </c>
      <c r="R170" s="513" t="str">
        <f t="shared" si="16"/>
        <v/>
      </c>
      <c r="S170" s="40"/>
      <c r="T170" s="145"/>
      <c r="U170" s="157"/>
      <c r="V170" s="511" t="str">
        <f t="shared" si="17"/>
        <v/>
      </c>
      <c r="W170" s="511" t="str">
        <f t="shared" si="18"/>
        <v/>
      </c>
      <c r="X170" s="511" t="str">
        <f t="shared" si="19"/>
        <v/>
      </c>
      <c r="Y170" s="515"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8" x14ac:dyDescent="0.25">
      <c r="C171" s="141">
        <v>162</v>
      </c>
      <c r="D171" s="460"/>
      <c r="E171" s="172"/>
      <c r="F171" s="498" t="str">
        <f>IF(D171="","",VLOOKUP(D171,'G-7 Rivers Data'!$B$2:$G$8,2,FALSE))</f>
        <v/>
      </c>
      <c r="G171" s="499" t="str">
        <f>IFERROR(VLOOKUP(F171,'G-7 Rivers Data'!$C$4:$D$8,2,FALSE),"")</f>
        <v/>
      </c>
      <c r="H171" s="145"/>
      <c r="I171" s="499" t="str">
        <f>IFERROR(INDEX('G-7 Rivers Data'!$H$4:$L$8,MATCH(D171,'G-7 Rivers Data'!$B$4:$B$8,0),MATCH(H171,'G-7 Rivers Data'!$H$3:$L$3,0)),"")</f>
        <v/>
      </c>
      <c r="J171" s="418"/>
      <c r="K171" s="498" t="str">
        <f>IF(J171="","",IF(VLOOKUP(J171,'G-7 Rivers Data'!$AK$4:$AM$9,2,FALSE)=0,"Spatial Data Missing ⚠",VLOOKUP(J171,'G-7 Rivers Data'!$AK$4:$AM$9,2,FALSE)))</f>
        <v/>
      </c>
      <c r="L171" s="505"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Data'!$B$2:$G$8,6,FALSE))</f>
        <v/>
      </c>
      <c r="R171" s="513" t="str">
        <f t="shared" si="16"/>
        <v/>
      </c>
      <c r="S171" s="40"/>
      <c r="T171" s="145"/>
      <c r="U171" s="157"/>
      <c r="V171" s="511" t="str">
        <f t="shared" si="17"/>
        <v/>
      </c>
      <c r="W171" s="511" t="str">
        <f t="shared" si="18"/>
        <v/>
      </c>
      <c r="X171" s="511" t="str">
        <f t="shared" si="19"/>
        <v/>
      </c>
      <c r="Y171" s="515"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8" x14ac:dyDescent="0.25">
      <c r="C172" s="141">
        <v>163</v>
      </c>
      <c r="D172" s="460"/>
      <c r="E172" s="172"/>
      <c r="F172" s="498" t="str">
        <f>IF(D172="","",VLOOKUP(D172,'G-7 Rivers Data'!$B$2:$G$8,2,FALSE))</f>
        <v/>
      </c>
      <c r="G172" s="499" t="str">
        <f>IFERROR(VLOOKUP(F172,'G-7 Rivers Data'!$C$4:$D$8,2,FALSE),"")</f>
        <v/>
      </c>
      <c r="H172" s="145"/>
      <c r="I172" s="499" t="str">
        <f>IFERROR(INDEX('G-7 Rivers Data'!$H$4:$L$8,MATCH(D172,'G-7 Rivers Data'!$B$4:$B$8,0),MATCH(H172,'G-7 Rivers Data'!$H$3:$L$3,0)),"")</f>
        <v/>
      </c>
      <c r="J172" s="418"/>
      <c r="K172" s="498" t="str">
        <f>IF(J172="","",IF(VLOOKUP(J172,'G-7 Rivers Data'!$AK$4:$AM$9,2,FALSE)=0,"Spatial Data Missing ⚠",VLOOKUP(J172,'G-7 Rivers Data'!$AK$4:$AM$9,2,FALSE)))</f>
        <v/>
      </c>
      <c r="L172" s="505"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Data'!$B$2:$G$8,6,FALSE))</f>
        <v/>
      </c>
      <c r="R172" s="513" t="str">
        <f t="shared" si="16"/>
        <v/>
      </c>
      <c r="S172" s="40"/>
      <c r="T172" s="145"/>
      <c r="U172" s="157"/>
      <c r="V172" s="511" t="str">
        <f t="shared" si="17"/>
        <v/>
      </c>
      <c r="W172" s="511" t="str">
        <f t="shared" si="18"/>
        <v/>
      </c>
      <c r="X172" s="511" t="str">
        <f t="shared" si="19"/>
        <v/>
      </c>
      <c r="Y172" s="515"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8" x14ac:dyDescent="0.25">
      <c r="C173" s="141">
        <v>164</v>
      </c>
      <c r="D173" s="460"/>
      <c r="E173" s="172"/>
      <c r="F173" s="498" t="str">
        <f>IF(D173="","",VLOOKUP(D173,'G-7 Rivers Data'!$B$2:$G$8,2,FALSE))</f>
        <v/>
      </c>
      <c r="G173" s="499" t="str">
        <f>IFERROR(VLOOKUP(F173,'G-7 Rivers Data'!$C$4:$D$8,2,FALSE),"")</f>
        <v/>
      </c>
      <c r="H173" s="145"/>
      <c r="I173" s="499" t="str">
        <f>IFERROR(INDEX('G-7 Rivers Data'!$H$4:$L$8,MATCH(D173,'G-7 Rivers Data'!$B$4:$B$8,0),MATCH(H173,'G-7 Rivers Data'!$H$3:$L$3,0)),"")</f>
        <v/>
      </c>
      <c r="J173" s="418"/>
      <c r="K173" s="498" t="str">
        <f>IF(J173="","",IF(VLOOKUP(J173,'G-7 Rivers Data'!$AK$4:$AM$9,2,FALSE)=0,"Spatial Data Missing ⚠",VLOOKUP(J173,'G-7 Rivers Data'!$AK$4:$AM$9,2,FALSE)))</f>
        <v/>
      </c>
      <c r="L173" s="505"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Data'!$B$2:$G$8,6,FALSE))</f>
        <v/>
      </c>
      <c r="R173" s="513" t="str">
        <f t="shared" si="16"/>
        <v/>
      </c>
      <c r="S173" s="40"/>
      <c r="T173" s="145"/>
      <c r="U173" s="157"/>
      <c r="V173" s="511" t="str">
        <f t="shared" si="17"/>
        <v/>
      </c>
      <c r="W173" s="511" t="str">
        <f t="shared" si="18"/>
        <v/>
      </c>
      <c r="X173" s="511" t="str">
        <f t="shared" si="19"/>
        <v/>
      </c>
      <c r="Y173" s="515"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8" x14ac:dyDescent="0.25">
      <c r="C174" s="141">
        <v>165</v>
      </c>
      <c r="D174" s="460"/>
      <c r="E174" s="172"/>
      <c r="F174" s="498" t="str">
        <f>IF(D174="","",VLOOKUP(D174,'G-7 Rivers Data'!$B$2:$G$8,2,FALSE))</f>
        <v/>
      </c>
      <c r="G174" s="499" t="str">
        <f>IFERROR(VLOOKUP(F174,'G-7 Rivers Data'!$C$4:$D$8,2,FALSE),"")</f>
        <v/>
      </c>
      <c r="H174" s="145"/>
      <c r="I174" s="499" t="str">
        <f>IFERROR(INDEX('G-7 Rivers Data'!$H$4:$L$8,MATCH(D174,'G-7 Rivers Data'!$B$4:$B$8,0),MATCH(H174,'G-7 Rivers Data'!$H$3:$L$3,0)),"")</f>
        <v/>
      </c>
      <c r="J174" s="418"/>
      <c r="K174" s="498" t="str">
        <f>IF(J174="","",IF(VLOOKUP(J174,'G-7 Rivers Data'!$AK$4:$AM$9,2,FALSE)=0,"Spatial Data Missing ⚠",VLOOKUP(J174,'G-7 Rivers Data'!$AK$4:$AM$9,2,FALSE)))</f>
        <v/>
      </c>
      <c r="L174" s="505"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Data'!$B$2:$G$8,6,FALSE))</f>
        <v/>
      </c>
      <c r="R174" s="513" t="str">
        <f t="shared" si="16"/>
        <v/>
      </c>
      <c r="S174" s="40"/>
      <c r="T174" s="145"/>
      <c r="U174" s="157"/>
      <c r="V174" s="511" t="str">
        <f t="shared" si="17"/>
        <v/>
      </c>
      <c r="W174" s="511" t="str">
        <f t="shared" si="18"/>
        <v/>
      </c>
      <c r="X174" s="511" t="str">
        <f t="shared" si="19"/>
        <v/>
      </c>
      <c r="Y174" s="515"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8" x14ac:dyDescent="0.25">
      <c r="C175" s="141">
        <v>166</v>
      </c>
      <c r="D175" s="460"/>
      <c r="E175" s="172"/>
      <c r="F175" s="498" t="str">
        <f>IF(D175="","",VLOOKUP(D175,'G-7 Rivers Data'!$B$2:$G$8,2,FALSE))</f>
        <v/>
      </c>
      <c r="G175" s="499" t="str">
        <f>IFERROR(VLOOKUP(F175,'G-7 Rivers Data'!$C$4:$D$8,2,FALSE),"")</f>
        <v/>
      </c>
      <c r="H175" s="145"/>
      <c r="I175" s="499" t="str">
        <f>IFERROR(INDEX('G-7 Rivers Data'!$H$4:$L$8,MATCH(D175,'G-7 Rivers Data'!$B$4:$B$8,0),MATCH(H175,'G-7 Rivers Data'!$H$3:$L$3,0)),"")</f>
        <v/>
      </c>
      <c r="J175" s="418"/>
      <c r="K175" s="498" t="str">
        <f>IF(J175="","",IF(VLOOKUP(J175,'G-7 Rivers Data'!$AK$4:$AM$9,2,FALSE)=0,"Spatial Data Missing ⚠",VLOOKUP(J175,'G-7 Rivers Data'!$AK$4:$AM$9,2,FALSE)))</f>
        <v/>
      </c>
      <c r="L175" s="505"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Data'!$B$2:$G$8,6,FALSE))</f>
        <v/>
      </c>
      <c r="R175" s="513" t="str">
        <f t="shared" si="16"/>
        <v/>
      </c>
      <c r="S175" s="40"/>
      <c r="T175" s="145"/>
      <c r="U175" s="157"/>
      <c r="V175" s="511" t="str">
        <f t="shared" si="17"/>
        <v/>
      </c>
      <c r="W175" s="511" t="str">
        <f t="shared" si="18"/>
        <v/>
      </c>
      <c r="X175" s="511" t="str">
        <f t="shared" si="19"/>
        <v/>
      </c>
      <c r="Y175" s="515"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8" x14ac:dyDescent="0.25">
      <c r="C176" s="141">
        <v>167</v>
      </c>
      <c r="D176" s="460"/>
      <c r="E176" s="172"/>
      <c r="F176" s="498" t="str">
        <f>IF(D176="","",VLOOKUP(D176,'G-7 Rivers Data'!$B$2:$G$8,2,FALSE))</f>
        <v/>
      </c>
      <c r="G176" s="499" t="str">
        <f>IFERROR(VLOOKUP(F176,'G-7 Rivers Data'!$C$4:$D$8,2,FALSE),"")</f>
        <v/>
      </c>
      <c r="H176" s="145"/>
      <c r="I176" s="499" t="str">
        <f>IFERROR(INDEX('G-7 Rivers Data'!$H$4:$L$8,MATCH(D176,'G-7 Rivers Data'!$B$4:$B$8,0),MATCH(H176,'G-7 Rivers Data'!$H$3:$L$3,0)),"")</f>
        <v/>
      </c>
      <c r="J176" s="418"/>
      <c r="K176" s="498" t="str">
        <f>IF(J176="","",IF(VLOOKUP(J176,'G-7 Rivers Data'!$AK$4:$AM$9,2,FALSE)=0,"Spatial Data Missing ⚠",VLOOKUP(J176,'G-7 Rivers Data'!$AK$4:$AM$9,2,FALSE)))</f>
        <v/>
      </c>
      <c r="L176" s="505"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Data'!$B$2:$G$8,6,FALSE))</f>
        <v/>
      </c>
      <c r="R176" s="513" t="str">
        <f t="shared" si="16"/>
        <v/>
      </c>
      <c r="S176" s="40"/>
      <c r="T176" s="145"/>
      <c r="U176" s="157"/>
      <c r="V176" s="511" t="str">
        <f t="shared" si="17"/>
        <v/>
      </c>
      <c r="W176" s="511" t="str">
        <f t="shared" si="18"/>
        <v/>
      </c>
      <c r="X176" s="511" t="str">
        <f t="shared" si="19"/>
        <v/>
      </c>
      <c r="Y176" s="515"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8" x14ac:dyDescent="0.25">
      <c r="C177" s="141">
        <v>168</v>
      </c>
      <c r="D177" s="460"/>
      <c r="E177" s="172"/>
      <c r="F177" s="498" t="str">
        <f>IF(D177="","",VLOOKUP(D177,'G-7 Rivers Data'!$B$2:$G$8,2,FALSE))</f>
        <v/>
      </c>
      <c r="G177" s="499" t="str">
        <f>IFERROR(VLOOKUP(F177,'G-7 Rivers Data'!$C$4:$D$8,2,FALSE),"")</f>
        <v/>
      </c>
      <c r="H177" s="145"/>
      <c r="I177" s="499" t="str">
        <f>IFERROR(INDEX('G-7 Rivers Data'!$H$4:$L$8,MATCH(D177,'G-7 Rivers Data'!$B$4:$B$8,0),MATCH(H177,'G-7 Rivers Data'!$H$3:$L$3,0)),"")</f>
        <v/>
      </c>
      <c r="J177" s="418"/>
      <c r="K177" s="498" t="str">
        <f>IF(J177="","",IF(VLOOKUP(J177,'G-7 Rivers Data'!$AK$4:$AM$9,2,FALSE)=0,"Spatial Data Missing ⚠",VLOOKUP(J177,'G-7 Rivers Data'!$AK$4:$AM$9,2,FALSE)))</f>
        <v/>
      </c>
      <c r="L177" s="505"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Data'!$B$2:$G$8,6,FALSE))</f>
        <v/>
      </c>
      <c r="R177" s="513" t="str">
        <f t="shared" si="16"/>
        <v/>
      </c>
      <c r="S177" s="40"/>
      <c r="T177" s="145"/>
      <c r="U177" s="157"/>
      <c r="V177" s="511" t="str">
        <f t="shared" si="17"/>
        <v/>
      </c>
      <c r="W177" s="511" t="str">
        <f t="shared" si="18"/>
        <v/>
      </c>
      <c r="X177" s="511" t="str">
        <f t="shared" si="19"/>
        <v/>
      </c>
      <c r="Y177" s="515"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8" x14ac:dyDescent="0.25">
      <c r="C178" s="141">
        <v>169</v>
      </c>
      <c r="D178" s="460"/>
      <c r="E178" s="172"/>
      <c r="F178" s="498" t="str">
        <f>IF(D178="","",VLOOKUP(D178,'G-7 Rivers Data'!$B$2:$G$8,2,FALSE))</f>
        <v/>
      </c>
      <c r="G178" s="499" t="str">
        <f>IFERROR(VLOOKUP(F178,'G-7 Rivers Data'!$C$4:$D$8,2,FALSE),"")</f>
        <v/>
      </c>
      <c r="H178" s="145"/>
      <c r="I178" s="499" t="str">
        <f>IFERROR(INDEX('G-7 Rivers Data'!$H$4:$L$8,MATCH(D178,'G-7 Rivers Data'!$B$4:$B$8,0),MATCH(H178,'G-7 Rivers Data'!$H$3:$L$3,0)),"")</f>
        <v/>
      </c>
      <c r="J178" s="418"/>
      <c r="K178" s="498" t="str">
        <f>IF(J178="","",IF(VLOOKUP(J178,'G-7 Rivers Data'!$AK$4:$AM$9,2,FALSE)=0,"Spatial Data Missing ⚠",VLOOKUP(J178,'G-7 Rivers Data'!$AK$4:$AM$9,2,FALSE)))</f>
        <v/>
      </c>
      <c r="L178" s="505"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Data'!$B$2:$G$8,6,FALSE))</f>
        <v/>
      </c>
      <c r="R178" s="513" t="str">
        <f t="shared" si="16"/>
        <v/>
      </c>
      <c r="S178" s="40"/>
      <c r="T178" s="145"/>
      <c r="U178" s="157"/>
      <c r="V178" s="511" t="str">
        <f t="shared" si="17"/>
        <v/>
      </c>
      <c r="W178" s="511" t="str">
        <f t="shared" si="18"/>
        <v/>
      </c>
      <c r="X178" s="511" t="str">
        <f t="shared" si="19"/>
        <v/>
      </c>
      <c r="Y178" s="515"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8" x14ac:dyDescent="0.25">
      <c r="C179" s="141">
        <v>170</v>
      </c>
      <c r="D179" s="460"/>
      <c r="E179" s="172"/>
      <c r="F179" s="498" t="str">
        <f>IF(D179="","",VLOOKUP(D179,'G-7 Rivers Data'!$B$2:$G$8,2,FALSE))</f>
        <v/>
      </c>
      <c r="G179" s="499" t="str">
        <f>IFERROR(VLOOKUP(F179,'G-7 Rivers Data'!$C$4:$D$8,2,FALSE),"")</f>
        <v/>
      </c>
      <c r="H179" s="145"/>
      <c r="I179" s="499" t="str">
        <f>IFERROR(INDEX('G-7 Rivers Data'!$H$4:$L$8,MATCH(D179,'G-7 Rivers Data'!$B$4:$B$8,0),MATCH(H179,'G-7 Rivers Data'!$H$3:$L$3,0)),"")</f>
        <v/>
      </c>
      <c r="J179" s="418"/>
      <c r="K179" s="498" t="str">
        <f>IF(J179="","",IF(VLOOKUP(J179,'G-7 Rivers Data'!$AK$4:$AM$9,2,FALSE)=0,"Spatial Data Missing ⚠",VLOOKUP(J179,'G-7 Rivers Data'!$AK$4:$AM$9,2,FALSE)))</f>
        <v/>
      </c>
      <c r="L179" s="505"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Data'!$B$2:$G$8,6,FALSE))</f>
        <v/>
      </c>
      <c r="R179" s="513" t="str">
        <f t="shared" si="16"/>
        <v/>
      </c>
      <c r="S179" s="40"/>
      <c r="T179" s="145"/>
      <c r="U179" s="157"/>
      <c r="V179" s="511" t="str">
        <f t="shared" si="17"/>
        <v/>
      </c>
      <c r="W179" s="511" t="str">
        <f t="shared" si="18"/>
        <v/>
      </c>
      <c r="X179" s="511" t="str">
        <f t="shared" si="19"/>
        <v/>
      </c>
      <c r="Y179" s="515"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8" x14ac:dyDescent="0.25">
      <c r="C180" s="141">
        <v>171</v>
      </c>
      <c r="D180" s="460"/>
      <c r="E180" s="172"/>
      <c r="F180" s="498" t="str">
        <f>IF(D180="","",VLOOKUP(D180,'G-7 Rivers Data'!$B$2:$G$8,2,FALSE))</f>
        <v/>
      </c>
      <c r="G180" s="499" t="str">
        <f>IFERROR(VLOOKUP(F180,'G-7 Rivers Data'!$C$4:$D$8,2,FALSE),"")</f>
        <v/>
      </c>
      <c r="H180" s="145"/>
      <c r="I180" s="499" t="str">
        <f>IFERROR(INDEX('G-7 Rivers Data'!$H$4:$L$8,MATCH(D180,'G-7 Rivers Data'!$B$4:$B$8,0),MATCH(H180,'G-7 Rivers Data'!$H$3:$L$3,0)),"")</f>
        <v/>
      </c>
      <c r="J180" s="418"/>
      <c r="K180" s="498" t="str">
        <f>IF(J180="","",IF(VLOOKUP(J180,'G-7 Rivers Data'!$AK$4:$AM$9,2,FALSE)=0,"Spatial Data Missing ⚠",VLOOKUP(J180,'G-7 Rivers Data'!$AK$4:$AM$9,2,FALSE)))</f>
        <v/>
      </c>
      <c r="L180" s="505"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Data'!$B$2:$G$8,6,FALSE))</f>
        <v/>
      </c>
      <c r="R180" s="513" t="str">
        <f t="shared" si="16"/>
        <v/>
      </c>
      <c r="S180" s="40"/>
      <c r="T180" s="145"/>
      <c r="U180" s="157"/>
      <c r="V180" s="511" t="str">
        <f t="shared" si="17"/>
        <v/>
      </c>
      <c r="W180" s="511" t="str">
        <f t="shared" si="18"/>
        <v/>
      </c>
      <c r="X180" s="511" t="str">
        <f t="shared" si="19"/>
        <v/>
      </c>
      <c r="Y180" s="515"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8" x14ac:dyDescent="0.25">
      <c r="C181" s="141">
        <v>172</v>
      </c>
      <c r="D181" s="460"/>
      <c r="E181" s="172"/>
      <c r="F181" s="498" t="str">
        <f>IF(D181="","",VLOOKUP(D181,'G-7 Rivers Data'!$B$2:$G$8,2,FALSE))</f>
        <v/>
      </c>
      <c r="G181" s="499" t="str">
        <f>IFERROR(VLOOKUP(F181,'G-7 Rivers Data'!$C$4:$D$8,2,FALSE),"")</f>
        <v/>
      </c>
      <c r="H181" s="145"/>
      <c r="I181" s="499" t="str">
        <f>IFERROR(INDEX('G-7 Rivers Data'!$H$4:$L$8,MATCH(D181,'G-7 Rivers Data'!$B$4:$B$8,0),MATCH(H181,'G-7 Rivers Data'!$H$3:$L$3,0)),"")</f>
        <v/>
      </c>
      <c r="J181" s="418"/>
      <c r="K181" s="498" t="str">
        <f>IF(J181="","",IF(VLOOKUP(J181,'G-7 Rivers Data'!$AK$4:$AM$9,2,FALSE)=0,"Spatial Data Missing ⚠",VLOOKUP(J181,'G-7 Rivers Data'!$AK$4:$AM$9,2,FALSE)))</f>
        <v/>
      </c>
      <c r="L181" s="505"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Data'!$B$2:$G$8,6,FALSE))</f>
        <v/>
      </c>
      <c r="R181" s="513" t="str">
        <f t="shared" si="16"/>
        <v/>
      </c>
      <c r="S181" s="40"/>
      <c r="T181" s="145"/>
      <c r="U181" s="157"/>
      <c r="V181" s="511" t="str">
        <f t="shared" si="17"/>
        <v/>
      </c>
      <c r="W181" s="511" t="str">
        <f t="shared" si="18"/>
        <v/>
      </c>
      <c r="X181" s="511" t="str">
        <f t="shared" si="19"/>
        <v/>
      </c>
      <c r="Y181" s="515"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8" x14ac:dyDescent="0.25">
      <c r="C182" s="141">
        <v>173</v>
      </c>
      <c r="D182" s="460"/>
      <c r="E182" s="172"/>
      <c r="F182" s="498" t="str">
        <f>IF(D182="","",VLOOKUP(D182,'G-7 Rivers Data'!$B$2:$G$8,2,FALSE))</f>
        <v/>
      </c>
      <c r="G182" s="499" t="str">
        <f>IFERROR(VLOOKUP(F182,'G-7 Rivers Data'!$C$4:$D$8,2,FALSE),"")</f>
        <v/>
      </c>
      <c r="H182" s="145"/>
      <c r="I182" s="499" t="str">
        <f>IFERROR(INDEX('G-7 Rivers Data'!$H$4:$L$8,MATCH(D182,'G-7 Rivers Data'!$B$4:$B$8,0),MATCH(H182,'G-7 Rivers Data'!$H$3:$L$3,0)),"")</f>
        <v/>
      </c>
      <c r="J182" s="418"/>
      <c r="K182" s="498" t="str">
        <f>IF(J182="","",IF(VLOOKUP(J182,'G-7 Rivers Data'!$AK$4:$AM$9,2,FALSE)=0,"Spatial Data Missing ⚠",VLOOKUP(J182,'G-7 Rivers Data'!$AK$4:$AM$9,2,FALSE)))</f>
        <v/>
      </c>
      <c r="L182" s="505"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Data'!$B$2:$G$8,6,FALSE))</f>
        <v/>
      </c>
      <c r="R182" s="513" t="str">
        <f t="shared" si="16"/>
        <v/>
      </c>
      <c r="S182" s="40"/>
      <c r="T182" s="145"/>
      <c r="U182" s="157"/>
      <c r="V182" s="511" t="str">
        <f t="shared" si="17"/>
        <v/>
      </c>
      <c r="W182" s="511" t="str">
        <f t="shared" si="18"/>
        <v/>
      </c>
      <c r="X182" s="511" t="str">
        <f t="shared" si="19"/>
        <v/>
      </c>
      <c r="Y182" s="515"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8" x14ac:dyDescent="0.25">
      <c r="C183" s="141">
        <v>174</v>
      </c>
      <c r="D183" s="460"/>
      <c r="E183" s="172"/>
      <c r="F183" s="498" t="str">
        <f>IF(D183="","",VLOOKUP(D183,'G-7 Rivers Data'!$B$2:$G$8,2,FALSE))</f>
        <v/>
      </c>
      <c r="G183" s="499" t="str">
        <f>IFERROR(VLOOKUP(F183,'G-7 Rivers Data'!$C$4:$D$8,2,FALSE),"")</f>
        <v/>
      </c>
      <c r="H183" s="145"/>
      <c r="I183" s="499" t="str">
        <f>IFERROR(INDEX('G-7 Rivers Data'!$H$4:$L$8,MATCH(D183,'G-7 Rivers Data'!$B$4:$B$8,0),MATCH(H183,'G-7 Rivers Data'!$H$3:$L$3,0)),"")</f>
        <v/>
      </c>
      <c r="J183" s="418"/>
      <c r="K183" s="498" t="str">
        <f>IF(J183="","",IF(VLOOKUP(J183,'G-7 Rivers Data'!$AK$4:$AM$9,2,FALSE)=0,"Spatial Data Missing ⚠",VLOOKUP(J183,'G-7 Rivers Data'!$AK$4:$AM$9,2,FALSE)))</f>
        <v/>
      </c>
      <c r="L183" s="505"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Data'!$B$2:$G$8,6,FALSE))</f>
        <v/>
      </c>
      <c r="R183" s="513" t="str">
        <f t="shared" si="16"/>
        <v/>
      </c>
      <c r="S183" s="40"/>
      <c r="T183" s="145"/>
      <c r="U183" s="157"/>
      <c r="V183" s="511" t="str">
        <f t="shared" si="17"/>
        <v/>
      </c>
      <c r="W183" s="511" t="str">
        <f t="shared" si="18"/>
        <v/>
      </c>
      <c r="X183" s="511" t="str">
        <f t="shared" si="19"/>
        <v/>
      </c>
      <c r="Y183" s="515"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8" x14ac:dyDescent="0.25">
      <c r="C184" s="141">
        <v>175</v>
      </c>
      <c r="D184" s="460"/>
      <c r="E184" s="172"/>
      <c r="F184" s="498" t="str">
        <f>IF(D184="","",VLOOKUP(D184,'G-7 Rivers Data'!$B$2:$G$8,2,FALSE))</f>
        <v/>
      </c>
      <c r="G184" s="499" t="str">
        <f>IFERROR(VLOOKUP(F184,'G-7 Rivers Data'!$C$4:$D$8,2,FALSE),"")</f>
        <v/>
      </c>
      <c r="H184" s="145"/>
      <c r="I184" s="499" t="str">
        <f>IFERROR(INDEX('G-7 Rivers Data'!$H$4:$L$8,MATCH(D184,'G-7 Rivers Data'!$B$4:$B$8,0),MATCH(H184,'G-7 Rivers Data'!$H$3:$L$3,0)),"")</f>
        <v/>
      </c>
      <c r="J184" s="418"/>
      <c r="K184" s="498" t="str">
        <f>IF(J184="","",IF(VLOOKUP(J184,'G-7 Rivers Data'!$AK$4:$AM$9,2,FALSE)=0,"Spatial Data Missing ⚠",VLOOKUP(J184,'G-7 Rivers Data'!$AK$4:$AM$9,2,FALSE)))</f>
        <v/>
      </c>
      <c r="L184" s="505"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Data'!$B$2:$G$8,6,FALSE))</f>
        <v/>
      </c>
      <c r="R184" s="513" t="str">
        <f t="shared" si="16"/>
        <v/>
      </c>
      <c r="S184" s="40"/>
      <c r="T184" s="145"/>
      <c r="U184" s="157"/>
      <c r="V184" s="511" t="str">
        <f t="shared" si="17"/>
        <v/>
      </c>
      <c r="W184" s="511" t="str">
        <f t="shared" si="18"/>
        <v/>
      </c>
      <c r="X184" s="511" t="str">
        <f t="shared" si="19"/>
        <v/>
      </c>
      <c r="Y184" s="515"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8" x14ac:dyDescent="0.25">
      <c r="C185" s="141">
        <v>176</v>
      </c>
      <c r="D185" s="460"/>
      <c r="E185" s="172"/>
      <c r="F185" s="498" t="str">
        <f>IF(D185="","",VLOOKUP(D185,'G-7 Rivers Data'!$B$2:$G$8,2,FALSE))</f>
        <v/>
      </c>
      <c r="G185" s="499" t="str">
        <f>IFERROR(VLOOKUP(F185,'G-7 Rivers Data'!$C$4:$D$8,2,FALSE),"")</f>
        <v/>
      </c>
      <c r="H185" s="145"/>
      <c r="I185" s="499" t="str">
        <f>IFERROR(INDEX('G-7 Rivers Data'!$H$4:$L$8,MATCH(D185,'G-7 Rivers Data'!$B$4:$B$8,0),MATCH(H185,'G-7 Rivers Data'!$H$3:$L$3,0)),"")</f>
        <v/>
      </c>
      <c r="J185" s="418"/>
      <c r="K185" s="498" t="str">
        <f>IF(J185="","",IF(VLOOKUP(J185,'G-7 Rivers Data'!$AK$4:$AM$9,2,FALSE)=0,"Spatial Data Missing ⚠",VLOOKUP(J185,'G-7 Rivers Data'!$AK$4:$AM$9,2,FALSE)))</f>
        <v/>
      </c>
      <c r="L185" s="505"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Data'!$B$2:$G$8,6,FALSE))</f>
        <v/>
      </c>
      <c r="R185" s="513" t="str">
        <f t="shared" si="16"/>
        <v/>
      </c>
      <c r="S185" s="40"/>
      <c r="T185" s="145"/>
      <c r="U185" s="157"/>
      <c r="V185" s="511" t="str">
        <f t="shared" si="17"/>
        <v/>
      </c>
      <c r="W185" s="511" t="str">
        <f t="shared" si="18"/>
        <v/>
      </c>
      <c r="X185" s="511" t="str">
        <f t="shared" si="19"/>
        <v/>
      </c>
      <c r="Y185" s="515"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8" x14ac:dyDescent="0.25">
      <c r="C186" s="141">
        <v>177</v>
      </c>
      <c r="D186" s="460"/>
      <c r="E186" s="172"/>
      <c r="F186" s="498" t="str">
        <f>IF(D186="","",VLOOKUP(D186,'G-7 Rivers Data'!$B$2:$G$8,2,FALSE))</f>
        <v/>
      </c>
      <c r="G186" s="499" t="str">
        <f>IFERROR(VLOOKUP(F186,'G-7 Rivers Data'!$C$4:$D$8,2,FALSE),"")</f>
        <v/>
      </c>
      <c r="H186" s="145"/>
      <c r="I186" s="499" t="str">
        <f>IFERROR(INDEX('G-7 Rivers Data'!$H$4:$L$8,MATCH(D186,'G-7 Rivers Data'!$B$4:$B$8,0),MATCH(H186,'G-7 Rivers Data'!$H$3:$L$3,0)),"")</f>
        <v/>
      </c>
      <c r="J186" s="418"/>
      <c r="K186" s="498" t="str">
        <f>IF(J186="","",IF(VLOOKUP(J186,'G-7 Rivers Data'!$AK$4:$AM$9,2,FALSE)=0,"Spatial Data Missing ⚠",VLOOKUP(J186,'G-7 Rivers Data'!$AK$4:$AM$9,2,FALSE)))</f>
        <v/>
      </c>
      <c r="L186" s="505"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Data'!$B$2:$G$8,6,FALSE))</f>
        <v/>
      </c>
      <c r="R186" s="513" t="str">
        <f t="shared" si="16"/>
        <v/>
      </c>
      <c r="S186" s="40"/>
      <c r="T186" s="145"/>
      <c r="U186" s="157"/>
      <c r="V186" s="511" t="str">
        <f t="shared" si="17"/>
        <v/>
      </c>
      <c r="W186" s="511" t="str">
        <f t="shared" si="18"/>
        <v/>
      </c>
      <c r="X186" s="511" t="str">
        <f t="shared" si="19"/>
        <v/>
      </c>
      <c r="Y186" s="515"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8" x14ac:dyDescent="0.25">
      <c r="C187" s="141">
        <v>178</v>
      </c>
      <c r="D187" s="460"/>
      <c r="E187" s="172"/>
      <c r="F187" s="498" t="str">
        <f>IF(D187="","",VLOOKUP(D187,'G-7 Rivers Data'!$B$2:$G$8,2,FALSE))</f>
        <v/>
      </c>
      <c r="G187" s="499" t="str">
        <f>IFERROR(VLOOKUP(F187,'G-7 Rivers Data'!$C$4:$D$8,2,FALSE),"")</f>
        <v/>
      </c>
      <c r="H187" s="145"/>
      <c r="I187" s="499" t="str">
        <f>IFERROR(INDEX('G-7 Rivers Data'!$H$4:$L$8,MATCH(D187,'G-7 Rivers Data'!$B$4:$B$8,0),MATCH(H187,'G-7 Rivers Data'!$H$3:$L$3,0)),"")</f>
        <v/>
      </c>
      <c r="J187" s="418"/>
      <c r="K187" s="498" t="str">
        <f>IF(J187="","",IF(VLOOKUP(J187,'G-7 Rivers Data'!$AK$4:$AM$9,2,FALSE)=0,"Spatial Data Missing ⚠",VLOOKUP(J187,'G-7 Rivers Data'!$AK$4:$AM$9,2,FALSE)))</f>
        <v/>
      </c>
      <c r="L187" s="505"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Data'!$B$2:$G$8,6,FALSE))</f>
        <v/>
      </c>
      <c r="R187" s="513" t="str">
        <f t="shared" si="16"/>
        <v/>
      </c>
      <c r="S187" s="40"/>
      <c r="T187" s="145"/>
      <c r="U187" s="157"/>
      <c r="V187" s="511" t="str">
        <f t="shared" si="17"/>
        <v/>
      </c>
      <c r="W187" s="511" t="str">
        <f t="shared" si="18"/>
        <v/>
      </c>
      <c r="X187" s="511" t="str">
        <f t="shared" si="19"/>
        <v/>
      </c>
      <c r="Y187" s="515"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8" x14ac:dyDescent="0.25">
      <c r="C188" s="141">
        <v>179</v>
      </c>
      <c r="D188" s="460"/>
      <c r="E188" s="172"/>
      <c r="F188" s="498" t="str">
        <f>IF(D188="","",VLOOKUP(D188,'G-7 Rivers Data'!$B$2:$G$8,2,FALSE))</f>
        <v/>
      </c>
      <c r="G188" s="499" t="str">
        <f>IFERROR(VLOOKUP(F188,'G-7 Rivers Data'!$C$4:$D$8,2,FALSE),"")</f>
        <v/>
      </c>
      <c r="H188" s="145"/>
      <c r="I188" s="499" t="str">
        <f>IFERROR(INDEX('G-7 Rivers Data'!$H$4:$L$8,MATCH(D188,'G-7 Rivers Data'!$B$4:$B$8,0),MATCH(H188,'G-7 Rivers Data'!$H$3:$L$3,0)),"")</f>
        <v/>
      </c>
      <c r="J188" s="418"/>
      <c r="K188" s="498" t="str">
        <f>IF(J188="","",IF(VLOOKUP(J188,'G-7 Rivers Data'!$AK$4:$AM$9,2,FALSE)=0,"Spatial Data Missing ⚠",VLOOKUP(J188,'G-7 Rivers Data'!$AK$4:$AM$9,2,FALSE)))</f>
        <v/>
      </c>
      <c r="L188" s="505"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Data'!$B$2:$G$8,6,FALSE))</f>
        <v/>
      </c>
      <c r="R188" s="513" t="str">
        <f t="shared" si="16"/>
        <v/>
      </c>
      <c r="S188" s="40"/>
      <c r="T188" s="145"/>
      <c r="U188" s="157"/>
      <c r="V188" s="511" t="str">
        <f t="shared" si="17"/>
        <v/>
      </c>
      <c r="W188" s="511" t="str">
        <f t="shared" si="18"/>
        <v/>
      </c>
      <c r="X188" s="511" t="str">
        <f t="shared" si="19"/>
        <v/>
      </c>
      <c r="Y188" s="515"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8" x14ac:dyDescent="0.25">
      <c r="C189" s="141">
        <v>180</v>
      </c>
      <c r="D189" s="460"/>
      <c r="E189" s="172"/>
      <c r="F189" s="498" t="str">
        <f>IF(D189="","",VLOOKUP(D189,'G-7 Rivers Data'!$B$2:$G$8,2,FALSE))</f>
        <v/>
      </c>
      <c r="G189" s="499" t="str">
        <f>IFERROR(VLOOKUP(F189,'G-7 Rivers Data'!$C$4:$D$8,2,FALSE),"")</f>
        <v/>
      </c>
      <c r="H189" s="145"/>
      <c r="I189" s="499" t="str">
        <f>IFERROR(INDEX('G-7 Rivers Data'!$H$4:$L$8,MATCH(D189,'G-7 Rivers Data'!$B$4:$B$8,0),MATCH(H189,'G-7 Rivers Data'!$H$3:$L$3,0)),"")</f>
        <v/>
      </c>
      <c r="J189" s="418"/>
      <c r="K189" s="498" t="str">
        <f>IF(J189="","",IF(VLOOKUP(J189,'G-7 Rivers Data'!$AK$4:$AM$9,2,FALSE)=0,"Spatial Data Missing ⚠",VLOOKUP(J189,'G-7 Rivers Data'!$AK$4:$AM$9,2,FALSE)))</f>
        <v/>
      </c>
      <c r="L189" s="505"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Data'!$B$2:$G$8,6,FALSE))</f>
        <v/>
      </c>
      <c r="R189" s="513" t="str">
        <f t="shared" si="16"/>
        <v/>
      </c>
      <c r="S189" s="40"/>
      <c r="T189" s="145"/>
      <c r="U189" s="157"/>
      <c r="V189" s="511" t="str">
        <f t="shared" si="17"/>
        <v/>
      </c>
      <c r="W189" s="511" t="str">
        <f t="shared" si="18"/>
        <v/>
      </c>
      <c r="X189" s="511" t="str">
        <f t="shared" si="19"/>
        <v/>
      </c>
      <c r="Y189" s="515"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8" x14ac:dyDescent="0.25">
      <c r="C190" s="141">
        <v>181</v>
      </c>
      <c r="D190" s="460"/>
      <c r="E190" s="172"/>
      <c r="F190" s="498" t="str">
        <f>IF(D190="","",VLOOKUP(D190,'G-7 Rivers Data'!$B$2:$G$8,2,FALSE))</f>
        <v/>
      </c>
      <c r="G190" s="499" t="str">
        <f>IFERROR(VLOOKUP(F190,'G-7 Rivers Data'!$C$4:$D$8,2,FALSE),"")</f>
        <v/>
      </c>
      <c r="H190" s="145"/>
      <c r="I190" s="499" t="str">
        <f>IFERROR(INDEX('G-7 Rivers Data'!$H$4:$L$8,MATCH(D190,'G-7 Rivers Data'!$B$4:$B$8,0),MATCH(H190,'G-7 Rivers Data'!$H$3:$L$3,0)),"")</f>
        <v/>
      </c>
      <c r="J190" s="418"/>
      <c r="K190" s="498" t="str">
        <f>IF(J190="","",IF(VLOOKUP(J190,'G-7 Rivers Data'!$AK$4:$AM$9,2,FALSE)=0,"Spatial Data Missing ⚠",VLOOKUP(J190,'G-7 Rivers Data'!$AK$4:$AM$9,2,FALSE)))</f>
        <v/>
      </c>
      <c r="L190" s="505"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Data'!$B$2:$G$8,6,FALSE))</f>
        <v/>
      </c>
      <c r="R190" s="513" t="str">
        <f t="shared" si="16"/>
        <v/>
      </c>
      <c r="S190" s="40"/>
      <c r="T190" s="145"/>
      <c r="U190" s="157"/>
      <c r="V190" s="511" t="str">
        <f t="shared" si="17"/>
        <v/>
      </c>
      <c r="W190" s="511" t="str">
        <f t="shared" si="18"/>
        <v/>
      </c>
      <c r="X190" s="511" t="str">
        <f t="shared" si="19"/>
        <v/>
      </c>
      <c r="Y190" s="515"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8" x14ac:dyDescent="0.25">
      <c r="C191" s="141">
        <v>182</v>
      </c>
      <c r="D191" s="460"/>
      <c r="E191" s="172"/>
      <c r="F191" s="498" t="str">
        <f>IF(D191="","",VLOOKUP(D191,'G-7 Rivers Data'!$B$2:$G$8,2,FALSE))</f>
        <v/>
      </c>
      <c r="G191" s="499" t="str">
        <f>IFERROR(VLOOKUP(F191,'G-7 Rivers Data'!$C$4:$D$8,2,FALSE),"")</f>
        <v/>
      </c>
      <c r="H191" s="145"/>
      <c r="I191" s="499" t="str">
        <f>IFERROR(INDEX('G-7 Rivers Data'!$H$4:$L$8,MATCH(D191,'G-7 Rivers Data'!$B$4:$B$8,0),MATCH(H191,'G-7 Rivers Data'!$H$3:$L$3,0)),"")</f>
        <v/>
      </c>
      <c r="J191" s="418"/>
      <c r="K191" s="498" t="str">
        <f>IF(J191="","",IF(VLOOKUP(J191,'G-7 Rivers Data'!$AK$4:$AM$9,2,FALSE)=0,"Spatial Data Missing ⚠",VLOOKUP(J191,'G-7 Rivers Data'!$AK$4:$AM$9,2,FALSE)))</f>
        <v/>
      </c>
      <c r="L191" s="505"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Data'!$B$2:$G$8,6,FALSE))</f>
        <v/>
      </c>
      <c r="R191" s="513" t="str">
        <f t="shared" si="16"/>
        <v/>
      </c>
      <c r="S191" s="40"/>
      <c r="T191" s="145"/>
      <c r="U191" s="157"/>
      <c r="V191" s="511" t="str">
        <f t="shared" si="17"/>
        <v/>
      </c>
      <c r="W191" s="511" t="str">
        <f t="shared" si="18"/>
        <v/>
      </c>
      <c r="X191" s="511" t="str">
        <f t="shared" si="19"/>
        <v/>
      </c>
      <c r="Y191" s="515"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8" x14ac:dyDescent="0.25">
      <c r="C192" s="141">
        <v>183</v>
      </c>
      <c r="D192" s="460"/>
      <c r="E192" s="172"/>
      <c r="F192" s="498" t="str">
        <f>IF(D192="","",VLOOKUP(D192,'G-7 Rivers Data'!$B$2:$G$8,2,FALSE))</f>
        <v/>
      </c>
      <c r="G192" s="499" t="str">
        <f>IFERROR(VLOOKUP(F192,'G-7 Rivers Data'!$C$4:$D$8,2,FALSE),"")</f>
        <v/>
      </c>
      <c r="H192" s="145"/>
      <c r="I192" s="499" t="str">
        <f>IFERROR(INDEX('G-7 Rivers Data'!$H$4:$L$8,MATCH(D192,'G-7 Rivers Data'!$B$4:$B$8,0),MATCH(H192,'G-7 Rivers Data'!$H$3:$L$3,0)),"")</f>
        <v/>
      </c>
      <c r="J192" s="418"/>
      <c r="K192" s="498" t="str">
        <f>IF(J192="","",IF(VLOOKUP(J192,'G-7 Rivers Data'!$AK$4:$AM$9,2,FALSE)=0,"Spatial Data Missing ⚠",VLOOKUP(J192,'G-7 Rivers Data'!$AK$4:$AM$9,2,FALSE)))</f>
        <v/>
      </c>
      <c r="L192" s="505"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Data'!$B$2:$G$8,6,FALSE))</f>
        <v/>
      </c>
      <c r="R192" s="513" t="str">
        <f t="shared" si="16"/>
        <v/>
      </c>
      <c r="S192" s="40"/>
      <c r="T192" s="145"/>
      <c r="U192" s="157"/>
      <c r="V192" s="511" t="str">
        <f t="shared" si="17"/>
        <v/>
      </c>
      <c r="W192" s="511" t="str">
        <f t="shared" si="18"/>
        <v/>
      </c>
      <c r="X192" s="511" t="str">
        <f t="shared" si="19"/>
        <v/>
      </c>
      <c r="Y192" s="515"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8" x14ac:dyDescent="0.25">
      <c r="C193" s="141">
        <v>184</v>
      </c>
      <c r="D193" s="460"/>
      <c r="E193" s="172"/>
      <c r="F193" s="498" t="str">
        <f>IF(D193="","",VLOOKUP(D193,'G-7 Rivers Data'!$B$2:$G$8,2,FALSE))</f>
        <v/>
      </c>
      <c r="G193" s="499" t="str">
        <f>IFERROR(VLOOKUP(F193,'G-7 Rivers Data'!$C$4:$D$8,2,FALSE),"")</f>
        <v/>
      </c>
      <c r="H193" s="145"/>
      <c r="I193" s="499" t="str">
        <f>IFERROR(INDEX('G-7 Rivers Data'!$H$4:$L$8,MATCH(D193,'G-7 Rivers Data'!$B$4:$B$8,0),MATCH(H193,'G-7 Rivers Data'!$H$3:$L$3,0)),"")</f>
        <v/>
      </c>
      <c r="J193" s="418"/>
      <c r="K193" s="498" t="str">
        <f>IF(J193="","",IF(VLOOKUP(J193,'G-7 Rivers Data'!$AK$4:$AM$9,2,FALSE)=0,"Spatial Data Missing ⚠",VLOOKUP(J193,'G-7 Rivers Data'!$AK$4:$AM$9,2,FALSE)))</f>
        <v/>
      </c>
      <c r="L193" s="505"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Data'!$B$2:$G$8,6,FALSE))</f>
        <v/>
      </c>
      <c r="R193" s="513" t="str">
        <f t="shared" si="16"/>
        <v/>
      </c>
      <c r="S193" s="40"/>
      <c r="T193" s="145"/>
      <c r="U193" s="157"/>
      <c r="V193" s="511" t="str">
        <f t="shared" si="17"/>
        <v/>
      </c>
      <c r="W193" s="511" t="str">
        <f t="shared" si="18"/>
        <v/>
      </c>
      <c r="X193" s="511" t="str">
        <f t="shared" si="19"/>
        <v/>
      </c>
      <c r="Y193" s="515"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8" x14ac:dyDescent="0.25">
      <c r="C194" s="141">
        <v>185</v>
      </c>
      <c r="D194" s="460"/>
      <c r="E194" s="172"/>
      <c r="F194" s="498" t="str">
        <f>IF(D194="","",VLOOKUP(D194,'G-7 Rivers Data'!$B$2:$G$8,2,FALSE))</f>
        <v/>
      </c>
      <c r="G194" s="499" t="str">
        <f>IFERROR(VLOOKUP(F194,'G-7 Rivers Data'!$C$4:$D$8,2,FALSE),"")</f>
        <v/>
      </c>
      <c r="H194" s="145"/>
      <c r="I194" s="499" t="str">
        <f>IFERROR(INDEX('G-7 Rivers Data'!$H$4:$L$8,MATCH(D194,'G-7 Rivers Data'!$B$4:$B$8,0),MATCH(H194,'G-7 Rivers Data'!$H$3:$L$3,0)),"")</f>
        <v/>
      </c>
      <c r="J194" s="418"/>
      <c r="K194" s="498" t="str">
        <f>IF(J194="","",IF(VLOOKUP(J194,'G-7 Rivers Data'!$AK$4:$AM$9,2,FALSE)=0,"Spatial Data Missing ⚠",VLOOKUP(J194,'G-7 Rivers Data'!$AK$4:$AM$9,2,FALSE)))</f>
        <v/>
      </c>
      <c r="L194" s="505"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Data'!$B$2:$G$8,6,FALSE))</f>
        <v/>
      </c>
      <c r="R194" s="513" t="str">
        <f t="shared" si="16"/>
        <v/>
      </c>
      <c r="S194" s="40"/>
      <c r="T194" s="145"/>
      <c r="U194" s="157"/>
      <c r="V194" s="511" t="str">
        <f t="shared" si="17"/>
        <v/>
      </c>
      <c r="W194" s="511" t="str">
        <f t="shared" si="18"/>
        <v/>
      </c>
      <c r="X194" s="511" t="str">
        <f t="shared" si="19"/>
        <v/>
      </c>
      <c r="Y194" s="515"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8" x14ac:dyDescent="0.25">
      <c r="C195" s="141">
        <v>186</v>
      </c>
      <c r="D195" s="460"/>
      <c r="E195" s="172"/>
      <c r="F195" s="498" t="str">
        <f>IF(D195="","",VLOOKUP(D195,'G-7 Rivers Data'!$B$2:$G$8,2,FALSE))</f>
        <v/>
      </c>
      <c r="G195" s="499" t="str">
        <f>IFERROR(VLOOKUP(F195,'G-7 Rivers Data'!$C$4:$D$8,2,FALSE),"")</f>
        <v/>
      </c>
      <c r="H195" s="145"/>
      <c r="I195" s="499" t="str">
        <f>IFERROR(INDEX('G-7 Rivers Data'!$H$4:$L$8,MATCH(D195,'G-7 Rivers Data'!$B$4:$B$8,0),MATCH(H195,'G-7 Rivers Data'!$H$3:$L$3,0)),"")</f>
        <v/>
      </c>
      <c r="J195" s="418"/>
      <c r="K195" s="498" t="str">
        <f>IF(J195="","",IF(VLOOKUP(J195,'G-7 Rivers Data'!$AK$4:$AM$9,2,FALSE)=0,"Spatial Data Missing ⚠",VLOOKUP(J195,'G-7 Rivers Data'!$AK$4:$AM$9,2,FALSE)))</f>
        <v/>
      </c>
      <c r="L195" s="505"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Data'!$B$2:$G$8,6,FALSE))</f>
        <v/>
      </c>
      <c r="R195" s="513" t="str">
        <f t="shared" si="16"/>
        <v/>
      </c>
      <c r="S195" s="40"/>
      <c r="T195" s="145"/>
      <c r="U195" s="157"/>
      <c r="V195" s="511" t="str">
        <f t="shared" si="17"/>
        <v/>
      </c>
      <c r="W195" s="511" t="str">
        <f t="shared" si="18"/>
        <v/>
      </c>
      <c r="X195" s="511" t="str">
        <f t="shared" si="19"/>
        <v/>
      </c>
      <c r="Y195" s="515"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8" x14ac:dyDescent="0.25">
      <c r="C196" s="141">
        <v>187</v>
      </c>
      <c r="D196" s="460"/>
      <c r="E196" s="172"/>
      <c r="F196" s="498" t="str">
        <f>IF(D196="","",VLOOKUP(D196,'G-7 Rivers Data'!$B$2:$G$8,2,FALSE))</f>
        <v/>
      </c>
      <c r="G196" s="499" t="str">
        <f>IFERROR(VLOOKUP(F196,'G-7 Rivers Data'!$C$4:$D$8,2,FALSE),"")</f>
        <v/>
      </c>
      <c r="H196" s="145"/>
      <c r="I196" s="499" t="str">
        <f>IFERROR(INDEX('G-7 Rivers Data'!$H$4:$L$8,MATCH(D196,'G-7 Rivers Data'!$B$4:$B$8,0),MATCH(H196,'G-7 Rivers Data'!$H$3:$L$3,0)),"")</f>
        <v/>
      </c>
      <c r="J196" s="418"/>
      <c r="K196" s="498" t="str">
        <f>IF(J196="","",IF(VLOOKUP(J196,'G-7 Rivers Data'!$AK$4:$AM$9,2,FALSE)=0,"Spatial Data Missing ⚠",VLOOKUP(J196,'G-7 Rivers Data'!$AK$4:$AM$9,2,FALSE)))</f>
        <v/>
      </c>
      <c r="L196" s="505"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Data'!$B$2:$G$8,6,FALSE))</f>
        <v/>
      </c>
      <c r="R196" s="513" t="str">
        <f t="shared" si="16"/>
        <v/>
      </c>
      <c r="S196" s="40"/>
      <c r="T196" s="145"/>
      <c r="U196" s="157"/>
      <c r="V196" s="511" t="str">
        <f t="shared" si="17"/>
        <v/>
      </c>
      <c r="W196" s="511" t="str">
        <f t="shared" si="18"/>
        <v/>
      </c>
      <c r="X196" s="511" t="str">
        <f t="shared" si="19"/>
        <v/>
      </c>
      <c r="Y196" s="515"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8" x14ac:dyDescent="0.25">
      <c r="C197" s="141">
        <v>188</v>
      </c>
      <c r="D197" s="460"/>
      <c r="E197" s="172"/>
      <c r="F197" s="498" t="str">
        <f>IF(D197="","",VLOOKUP(D197,'G-7 Rivers Data'!$B$2:$G$8,2,FALSE))</f>
        <v/>
      </c>
      <c r="G197" s="499" t="str">
        <f>IFERROR(VLOOKUP(F197,'G-7 Rivers Data'!$C$4:$D$8,2,FALSE),"")</f>
        <v/>
      </c>
      <c r="H197" s="145"/>
      <c r="I197" s="499" t="str">
        <f>IFERROR(INDEX('G-7 Rivers Data'!$H$4:$L$8,MATCH(D197,'G-7 Rivers Data'!$B$4:$B$8,0),MATCH(H197,'G-7 Rivers Data'!$H$3:$L$3,0)),"")</f>
        <v/>
      </c>
      <c r="J197" s="418"/>
      <c r="K197" s="498" t="str">
        <f>IF(J197="","",IF(VLOOKUP(J197,'G-7 Rivers Data'!$AK$4:$AM$9,2,FALSE)=0,"Spatial Data Missing ⚠",VLOOKUP(J197,'G-7 Rivers Data'!$AK$4:$AM$9,2,FALSE)))</f>
        <v/>
      </c>
      <c r="L197" s="505"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Data'!$B$2:$G$8,6,FALSE))</f>
        <v/>
      </c>
      <c r="R197" s="513" t="str">
        <f t="shared" si="16"/>
        <v/>
      </c>
      <c r="S197" s="40"/>
      <c r="T197" s="145"/>
      <c r="U197" s="157"/>
      <c r="V197" s="511" t="str">
        <f t="shared" si="17"/>
        <v/>
      </c>
      <c r="W197" s="511" t="str">
        <f t="shared" si="18"/>
        <v/>
      </c>
      <c r="X197" s="511" t="str">
        <f t="shared" si="19"/>
        <v/>
      </c>
      <c r="Y197" s="515"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8" x14ac:dyDescent="0.25">
      <c r="C198" s="141">
        <v>189</v>
      </c>
      <c r="D198" s="460"/>
      <c r="E198" s="172"/>
      <c r="F198" s="498" t="str">
        <f>IF(D198="","",VLOOKUP(D198,'G-7 Rivers Data'!$B$2:$G$8,2,FALSE))</f>
        <v/>
      </c>
      <c r="G198" s="499" t="str">
        <f>IFERROR(VLOOKUP(F198,'G-7 Rivers Data'!$C$4:$D$8,2,FALSE),"")</f>
        <v/>
      </c>
      <c r="H198" s="145"/>
      <c r="I198" s="499" t="str">
        <f>IFERROR(INDEX('G-7 Rivers Data'!$H$4:$L$8,MATCH(D198,'G-7 Rivers Data'!$B$4:$B$8,0),MATCH(H198,'G-7 Rivers Data'!$H$3:$L$3,0)),"")</f>
        <v/>
      </c>
      <c r="J198" s="418"/>
      <c r="K198" s="498" t="str">
        <f>IF(J198="","",IF(VLOOKUP(J198,'G-7 Rivers Data'!$AK$4:$AM$9,2,FALSE)=0,"Spatial Data Missing ⚠",VLOOKUP(J198,'G-7 Rivers Data'!$AK$4:$AM$9,2,FALSE)))</f>
        <v/>
      </c>
      <c r="L198" s="505"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Data'!$B$2:$G$8,6,FALSE))</f>
        <v/>
      </c>
      <c r="R198" s="513" t="str">
        <f t="shared" si="16"/>
        <v/>
      </c>
      <c r="S198" s="40"/>
      <c r="T198" s="145"/>
      <c r="U198" s="157"/>
      <c r="V198" s="511" t="str">
        <f t="shared" si="17"/>
        <v/>
      </c>
      <c r="W198" s="511" t="str">
        <f t="shared" si="18"/>
        <v/>
      </c>
      <c r="X198" s="511" t="str">
        <f t="shared" si="19"/>
        <v/>
      </c>
      <c r="Y198" s="515"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8" x14ac:dyDescent="0.25">
      <c r="C199" s="141">
        <v>190</v>
      </c>
      <c r="D199" s="460"/>
      <c r="E199" s="172"/>
      <c r="F199" s="498" t="str">
        <f>IF(D199="","",VLOOKUP(D199,'G-7 Rivers Data'!$B$2:$G$8,2,FALSE))</f>
        <v/>
      </c>
      <c r="G199" s="499" t="str">
        <f>IFERROR(VLOOKUP(F199,'G-7 Rivers Data'!$C$4:$D$8,2,FALSE),"")</f>
        <v/>
      </c>
      <c r="H199" s="145"/>
      <c r="I199" s="499" t="str">
        <f>IFERROR(INDEX('G-7 Rivers Data'!$H$4:$L$8,MATCH(D199,'G-7 Rivers Data'!$B$4:$B$8,0),MATCH(H199,'G-7 Rivers Data'!$H$3:$L$3,0)),"")</f>
        <v/>
      </c>
      <c r="J199" s="418"/>
      <c r="K199" s="498" t="str">
        <f>IF(J199="","",IF(VLOOKUP(J199,'G-7 Rivers Data'!$AK$4:$AM$9,2,FALSE)=0,"Spatial Data Missing ⚠",VLOOKUP(J199,'G-7 Rivers Data'!$AK$4:$AM$9,2,FALSE)))</f>
        <v/>
      </c>
      <c r="L199" s="505"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Data'!$B$2:$G$8,6,FALSE))</f>
        <v/>
      </c>
      <c r="R199" s="513" t="str">
        <f t="shared" si="16"/>
        <v/>
      </c>
      <c r="S199" s="40"/>
      <c r="T199" s="145"/>
      <c r="U199" s="157"/>
      <c r="V199" s="511" t="str">
        <f t="shared" si="17"/>
        <v/>
      </c>
      <c r="W199" s="511" t="str">
        <f t="shared" si="18"/>
        <v/>
      </c>
      <c r="X199" s="511" t="str">
        <f t="shared" si="19"/>
        <v/>
      </c>
      <c r="Y199" s="515"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8" x14ac:dyDescent="0.25">
      <c r="C200" s="141">
        <v>191</v>
      </c>
      <c r="D200" s="460"/>
      <c r="E200" s="172"/>
      <c r="F200" s="498" t="str">
        <f>IF(D200="","",VLOOKUP(D200,'G-7 Rivers Data'!$B$2:$G$8,2,FALSE))</f>
        <v/>
      </c>
      <c r="G200" s="499" t="str">
        <f>IFERROR(VLOOKUP(F200,'G-7 Rivers Data'!$C$4:$D$8,2,FALSE),"")</f>
        <v/>
      </c>
      <c r="H200" s="145"/>
      <c r="I200" s="499" t="str">
        <f>IFERROR(INDEX('G-7 Rivers Data'!$H$4:$L$8,MATCH(D200,'G-7 Rivers Data'!$B$4:$B$8,0),MATCH(H200,'G-7 Rivers Data'!$H$3:$L$3,0)),"")</f>
        <v/>
      </c>
      <c r="J200" s="418"/>
      <c r="K200" s="498" t="str">
        <f>IF(J200="","",IF(VLOOKUP(J200,'G-7 Rivers Data'!$AK$4:$AM$9,2,FALSE)=0,"Spatial Data Missing ⚠",VLOOKUP(J200,'G-7 Rivers Data'!$AK$4:$AM$9,2,FALSE)))</f>
        <v/>
      </c>
      <c r="L200" s="505"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Data'!$B$2:$G$8,6,FALSE))</f>
        <v/>
      </c>
      <c r="R200" s="513" t="str">
        <f t="shared" si="16"/>
        <v/>
      </c>
      <c r="S200" s="40"/>
      <c r="T200" s="145"/>
      <c r="U200" s="157"/>
      <c r="V200" s="511" t="str">
        <f t="shared" si="17"/>
        <v/>
      </c>
      <c r="W200" s="511" t="str">
        <f t="shared" si="18"/>
        <v/>
      </c>
      <c r="X200" s="511" t="str">
        <f t="shared" si="19"/>
        <v/>
      </c>
      <c r="Y200" s="515"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8" x14ac:dyDescent="0.25">
      <c r="C201" s="141">
        <v>192</v>
      </c>
      <c r="D201" s="460"/>
      <c r="E201" s="172"/>
      <c r="F201" s="498" t="str">
        <f>IF(D201="","",VLOOKUP(D201,'G-7 Rivers Data'!$B$2:$G$8,2,FALSE))</f>
        <v/>
      </c>
      <c r="G201" s="499" t="str">
        <f>IFERROR(VLOOKUP(F201,'G-7 Rivers Data'!$C$4:$D$8,2,FALSE),"")</f>
        <v/>
      </c>
      <c r="H201" s="145"/>
      <c r="I201" s="499" t="str">
        <f>IFERROR(INDEX('G-7 Rivers Data'!$H$4:$L$8,MATCH(D201,'G-7 Rivers Data'!$B$4:$B$8,0),MATCH(H201,'G-7 Rivers Data'!$H$3:$L$3,0)),"")</f>
        <v/>
      </c>
      <c r="J201" s="418"/>
      <c r="K201" s="498" t="str">
        <f>IF(J201="","",IF(VLOOKUP(J201,'G-7 Rivers Data'!$AK$4:$AM$9,2,FALSE)=0,"Spatial Data Missing ⚠",VLOOKUP(J201,'G-7 Rivers Data'!$AK$4:$AM$9,2,FALSE)))</f>
        <v/>
      </c>
      <c r="L201" s="505"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Data'!$B$2:$G$8,6,FALSE))</f>
        <v/>
      </c>
      <c r="R201" s="513" t="str">
        <f t="shared" si="16"/>
        <v/>
      </c>
      <c r="S201" s="40"/>
      <c r="T201" s="145"/>
      <c r="U201" s="157"/>
      <c r="V201" s="511" t="str">
        <f t="shared" si="17"/>
        <v/>
      </c>
      <c r="W201" s="511" t="str">
        <f t="shared" si="18"/>
        <v/>
      </c>
      <c r="X201" s="511" t="str">
        <f t="shared" si="19"/>
        <v/>
      </c>
      <c r="Y201" s="515"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8" x14ac:dyDescent="0.25">
      <c r="C202" s="141">
        <v>193</v>
      </c>
      <c r="D202" s="460"/>
      <c r="E202" s="172"/>
      <c r="F202" s="498" t="str">
        <f>IF(D202="","",VLOOKUP(D202,'G-7 Rivers Data'!$B$2:$G$8,2,FALSE))</f>
        <v/>
      </c>
      <c r="G202" s="499" t="str">
        <f>IFERROR(VLOOKUP(F202,'G-7 Rivers Data'!$C$4:$D$8,2,FALSE),"")</f>
        <v/>
      </c>
      <c r="H202" s="145"/>
      <c r="I202" s="499" t="str">
        <f>IFERROR(INDEX('G-7 Rivers Data'!$H$4:$L$8,MATCH(D202,'G-7 Rivers Data'!$B$4:$B$8,0),MATCH(H202,'G-7 Rivers Data'!$H$3:$L$3,0)),"")</f>
        <v/>
      </c>
      <c r="J202" s="418"/>
      <c r="K202" s="498" t="str">
        <f>IF(J202="","",IF(VLOOKUP(J202,'G-7 Rivers Data'!$AK$4:$AM$9,2,FALSE)=0,"Spatial Data Missing ⚠",VLOOKUP(J202,'G-7 Rivers Data'!$AK$4:$AM$9,2,FALSE)))</f>
        <v/>
      </c>
      <c r="L202" s="505"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Data'!$B$2:$G$8,6,FALSE))</f>
        <v/>
      </c>
      <c r="R202" s="513" t="str">
        <f t="shared" si="16"/>
        <v/>
      </c>
      <c r="S202" s="40"/>
      <c r="T202" s="145"/>
      <c r="U202" s="157"/>
      <c r="V202" s="511" t="str">
        <f t="shared" si="17"/>
        <v/>
      </c>
      <c r="W202" s="511" t="str">
        <f t="shared" si="18"/>
        <v/>
      </c>
      <c r="X202" s="511" t="str">
        <f t="shared" si="19"/>
        <v/>
      </c>
      <c r="Y202" s="515"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8" x14ac:dyDescent="0.25">
      <c r="C203" s="141">
        <v>194</v>
      </c>
      <c r="D203" s="460"/>
      <c r="E203" s="172"/>
      <c r="F203" s="498" t="str">
        <f>IF(D203="","",VLOOKUP(D203,'G-7 Rivers Data'!$B$2:$G$8,2,FALSE))</f>
        <v/>
      </c>
      <c r="G203" s="499" t="str">
        <f>IFERROR(VLOOKUP(F203,'G-7 Rivers Data'!$C$4:$D$8,2,FALSE),"")</f>
        <v/>
      </c>
      <c r="H203" s="145"/>
      <c r="I203" s="499" t="str">
        <f>IFERROR(INDEX('G-7 Rivers Data'!$H$4:$L$8,MATCH(D203,'G-7 Rivers Data'!$B$4:$B$8,0),MATCH(H203,'G-7 Rivers Data'!$H$3:$L$3,0)),"")</f>
        <v/>
      </c>
      <c r="J203" s="418"/>
      <c r="K203" s="498" t="str">
        <f>IF(J203="","",IF(VLOOKUP(J203,'G-7 Rivers Data'!$AK$4:$AM$9,2,FALSE)=0,"Spatial Data Missing ⚠",VLOOKUP(J203,'G-7 Rivers Data'!$AK$4:$AM$9,2,FALSE)))</f>
        <v/>
      </c>
      <c r="L203" s="505"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Data'!$B$2:$G$8,6,FALSE))</f>
        <v/>
      </c>
      <c r="R203" s="513" t="str">
        <f t="shared" ref="R203:R257" si="24">IFERROR(IF(D203="","",E203*G203*I203*L203*N203*P203),"")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8" x14ac:dyDescent="0.25">
      <c r="C204" s="141">
        <v>195</v>
      </c>
      <c r="D204" s="460"/>
      <c r="E204" s="172"/>
      <c r="F204" s="498" t="str">
        <f>IF(D204="","",VLOOKUP(D204,'G-7 Rivers Data'!$B$2:$G$8,2,FALSE))</f>
        <v/>
      </c>
      <c r="G204" s="499" t="str">
        <f>IFERROR(VLOOKUP(F204,'G-7 Rivers Data'!$C$4:$D$8,2,FALSE),"")</f>
        <v/>
      </c>
      <c r="H204" s="145"/>
      <c r="I204" s="499" t="str">
        <f>IFERROR(INDEX('G-7 Rivers Data'!$H$4:$L$8,MATCH(D204,'G-7 Rivers Data'!$B$4:$B$8,0),MATCH(H204,'G-7 Rivers Data'!$H$3:$L$3,0)),"")</f>
        <v/>
      </c>
      <c r="J204" s="418"/>
      <c r="K204" s="498" t="str">
        <f>IF(J204="","",IF(VLOOKUP(J204,'G-7 Rivers Data'!$AK$4:$AM$9,2,FALSE)=0,"Spatial Data Missing ⚠",VLOOKUP(J204,'G-7 Rivers Data'!$AK$4:$AM$9,2,FALSE)))</f>
        <v/>
      </c>
      <c r="L204" s="505"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Data'!$B$2:$G$8,6,FALSE))</f>
        <v/>
      </c>
      <c r="R204" s="513" t="str">
        <f t="shared" si="24"/>
        <v/>
      </c>
      <c r="S204" s="40"/>
      <c r="T204" s="145"/>
      <c r="U204" s="157"/>
      <c r="V204" s="511" t="str">
        <f t="shared" si="25"/>
        <v/>
      </c>
      <c r="W204" s="511" t="str">
        <f t="shared" si="26"/>
        <v/>
      </c>
      <c r="X204" s="511" t="str">
        <f t="shared" si="27"/>
        <v/>
      </c>
      <c r="Y204" s="515"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8" x14ac:dyDescent="0.25">
      <c r="C205" s="141">
        <v>196</v>
      </c>
      <c r="D205" s="460"/>
      <c r="E205" s="172"/>
      <c r="F205" s="498" t="str">
        <f>IF(D205="","",VLOOKUP(D205,'G-7 Rivers Data'!$B$2:$G$8,2,FALSE))</f>
        <v/>
      </c>
      <c r="G205" s="499" t="str">
        <f>IFERROR(VLOOKUP(F205,'G-7 Rivers Data'!$C$4:$D$8,2,FALSE),"")</f>
        <v/>
      </c>
      <c r="H205" s="145"/>
      <c r="I205" s="499" t="str">
        <f>IFERROR(INDEX('G-7 Rivers Data'!$H$4:$L$8,MATCH(D205,'G-7 Rivers Data'!$B$4:$B$8,0),MATCH(H205,'G-7 Rivers Data'!$H$3:$L$3,0)),"")</f>
        <v/>
      </c>
      <c r="J205" s="418"/>
      <c r="K205" s="498" t="str">
        <f>IF(J205="","",IF(VLOOKUP(J205,'G-7 Rivers Data'!$AK$4:$AM$9,2,FALSE)=0,"Spatial Data Missing ⚠",VLOOKUP(J205,'G-7 Rivers Data'!$AK$4:$AM$9,2,FALSE)))</f>
        <v/>
      </c>
      <c r="L205" s="505"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Data'!$B$2:$G$8,6,FALSE))</f>
        <v/>
      </c>
      <c r="R205" s="513" t="str">
        <f t="shared" si="24"/>
        <v/>
      </c>
      <c r="S205" s="40"/>
      <c r="T205" s="145"/>
      <c r="U205" s="157"/>
      <c r="V205" s="511" t="str">
        <f t="shared" si="25"/>
        <v/>
      </c>
      <c r="W205" s="511" t="str">
        <f t="shared" si="26"/>
        <v/>
      </c>
      <c r="X205" s="511" t="str">
        <f t="shared" si="27"/>
        <v/>
      </c>
      <c r="Y205" s="515"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8" x14ac:dyDescent="0.25">
      <c r="C206" s="141">
        <v>197</v>
      </c>
      <c r="D206" s="460"/>
      <c r="E206" s="172"/>
      <c r="F206" s="498" t="str">
        <f>IF(D206="","",VLOOKUP(D206,'G-7 Rivers Data'!$B$2:$G$8,2,FALSE))</f>
        <v/>
      </c>
      <c r="G206" s="499" t="str">
        <f>IFERROR(VLOOKUP(F206,'G-7 Rivers Data'!$C$4:$D$8,2,FALSE),"")</f>
        <v/>
      </c>
      <c r="H206" s="145"/>
      <c r="I206" s="499" t="str">
        <f>IFERROR(INDEX('G-7 Rivers Data'!$H$4:$L$8,MATCH(D206,'G-7 Rivers Data'!$B$4:$B$8,0),MATCH(H206,'G-7 Rivers Data'!$H$3:$L$3,0)),"")</f>
        <v/>
      </c>
      <c r="J206" s="418"/>
      <c r="K206" s="498" t="str">
        <f>IF(J206="","",IF(VLOOKUP(J206,'G-7 Rivers Data'!$AK$4:$AM$9,2,FALSE)=0,"Spatial Data Missing ⚠",VLOOKUP(J206,'G-7 Rivers Data'!$AK$4:$AM$9,2,FALSE)))</f>
        <v/>
      </c>
      <c r="L206" s="505"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Data'!$B$2:$G$8,6,FALSE))</f>
        <v/>
      </c>
      <c r="R206" s="513" t="str">
        <f t="shared" si="24"/>
        <v/>
      </c>
      <c r="S206" s="40"/>
      <c r="T206" s="145"/>
      <c r="U206" s="157"/>
      <c r="V206" s="511" t="str">
        <f t="shared" si="25"/>
        <v/>
      </c>
      <c r="W206" s="511" t="str">
        <f t="shared" si="26"/>
        <v/>
      </c>
      <c r="X206" s="511" t="str">
        <f t="shared" si="27"/>
        <v/>
      </c>
      <c r="Y206" s="515"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8" x14ac:dyDescent="0.25">
      <c r="C207" s="141">
        <v>198</v>
      </c>
      <c r="D207" s="460"/>
      <c r="E207" s="172"/>
      <c r="F207" s="498" t="str">
        <f>IF(D207="","",VLOOKUP(D207,'G-7 Rivers Data'!$B$2:$G$8,2,FALSE))</f>
        <v/>
      </c>
      <c r="G207" s="499" t="str">
        <f>IFERROR(VLOOKUP(F207,'G-7 Rivers Data'!$C$4:$D$8,2,FALSE),"")</f>
        <v/>
      </c>
      <c r="H207" s="145"/>
      <c r="I207" s="499" t="str">
        <f>IFERROR(INDEX('G-7 Rivers Data'!$H$4:$L$8,MATCH(D207,'G-7 Rivers Data'!$B$4:$B$8,0),MATCH(H207,'G-7 Rivers Data'!$H$3:$L$3,0)),"")</f>
        <v/>
      </c>
      <c r="J207" s="418"/>
      <c r="K207" s="498" t="str">
        <f>IF(J207="","",IF(VLOOKUP(J207,'G-7 Rivers Data'!$AK$4:$AM$9,2,FALSE)=0,"Spatial Data Missing ⚠",VLOOKUP(J207,'G-7 Rivers Data'!$AK$4:$AM$9,2,FALSE)))</f>
        <v/>
      </c>
      <c r="L207" s="505"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Data'!$B$2:$G$8,6,FALSE))</f>
        <v/>
      </c>
      <c r="R207" s="513" t="str">
        <f t="shared" si="24"/>
        <v/>
      </c>
      <c r="S207" s="40"/>
      <c r="T207" s="145"/>
      <c r="U207" s="157"/>
      <c r="V207" s="511" t="str">
        <f t="shared" si="25"/>
        <v/>
      </c>
      <c r="W207" s="511" t="str">
        <f t="shared" si="26"/>
        <v/>
      </c>
      <c r="X207" s="511" t="str">
        <f t="shared" si="27"/>
        <v/>
      </c>
      <c r="Y207" s="515"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8" x14ac:dyDescent="0.25">
      <c r="C208" s="141">
        <v>199</v>
      </c>
      <c r="D208" s="460"/>
      <c r="E208" s="172"/>
      <c r="F208" s="498" t="str">
        <f>IF(D208="","",VLOOKUP(D208,'G-7 Rivers Data'!$B$2:$G$8,2,FALSE))</f>
        <v/>
      </c>
      <c r="G208" s="499" t="str">
        <f>IFERROR(VLOOKUP(F208,'G-7 Rivers Data'!$C$4:$D$8,2,FALSE),"")</f>
        <v/>
      </c>
      <c r="H208" s="145"/>
      <c r="I208" s="499" t="str">
        <f>IFERROR(INDEX('G-7 Rivers Data'!$H$4:$L$8,MATCH(D208,'G-7 Rivers Data'!$B$4:$B$8,0),MATCH(H208,'G-7 Rivers Data'!$H$3:$L$3,0)),"")</f>
        <v/>
      </c>
      <c r="J208" s="418"/>
      <c r="K208" s="498" t="str">
        <f>IF(J208="","",IF(VLOOKUP(J208,'G-7 Rivers Data'!$AK$4:$AM$9,2,FALSE)=0,"Spatial Data Missing ⚠",VLOOKUP(J208,'G-7 Rivers Data'!$AK$4:$AM$9,2,FALSE)))</f>
        <v/>
      </c>
      <c r="L208" s="505"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Data'!$B$2:$G$8,6,FALSE))</f>
        <v/>
      </c>
      <c r="R208" s="513" t="str">
        <f t="shared" si="24"/>
        <v/>
      </c>
      <c r="S208" s="40"/>
      <c r="T208" s="145"/>
      <c r="U208" s="157"/>
      <c r="V208" s="511" t="str">
        <f t="shared" si="25"/>
        <v/>
      </c>
      <c r="W208" s="511" t="str">
        <f t="shared" si="26"/>
        <v/>
      </c>
      <c r="X208" s="511" t="str">
        <f t="shared" si="27"/>
        <v/>
      </c>
      <c r="Y208" s="515"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8" x14ac:dyDescent="0.25">
      <c r="C209" s="141">
        <v>200</v>
      </c>
      <c r="D209" s="460"/>
      <c r="E209" s="172"/>
      <c r="F209" s="498" t="str">
        <f>IF(D209="","",VLOOKUP(D209,'G-7 Rivers Data'!$B$2:$G$8,2,FALSE))</f>
        <v/>
      </c>
      <c r="G209" s="499" t="str">
        <f>IFERROR(VLOOKUP(F209,'G-7 Rivers Data'!$C$4:$D$8,2,FALSE),"")</f>
        <v/>
      </c>
      <c r="H209" s="145"/>
      <c r="I209" s="499" t="str">
        <f>IFERROR(INDEX('G-7 Rivers Data'!$H$4:$L$8,MATCH(D209,'G-7 Rivers Data'!$B$4:$B$8,0),MATCH(H209,'G-7 Rivers Data'!$H$3:$L$3,0)),"")</f>
        <v/>
      </c>
      <c r="J209" s="418"/>
      <c r="K209" s="498" t="str">
        <f>IF(J209="","",IF(VLOOKUP(J209,'G-7 Rivers Data'!$AK$4:$AM$9,2,FALSE)=0,"Spatial Data Missing ⚠",VLOOKUP(J209,'G-7 Rivers Data'!$AK$4:$AM$9,2,FALSE)))</f>
        <v/>
      </c>
      <c r="L209" s="505"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Data'!$B$2:$G$8,6,FALSE))</f>
        <v/>
      </c>
      <c r="R209" s="513" t="str">
        <f t="shared" si="24"/>
        <v/>
      </c>
      <c r="S209" s="40"/>
      <c r="T209" s="145"/>
      <c r="U209" s="157"/>
      <c r="V209" s="511" t="str">
        <f t="shared" si="25"/>
        <v/>
      </c>
      <c r="W209" s="511" t="str">
        <f t="shared" si="26"/>
        <v/>
      </c>
      <c r="X209" s="511" t="str">
        <f t="shared" si="27"/>
        <v/>
      </c>
      <c r="Y209" s="515"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8" x14ac:dyDescent="0.25">
      <c r="C210" s="141">
        <v>201</v>
      </c>
      <c r="D210" s="460"/>
      <c r="E210" s="172"/>
      <c r="F210" s="498" t="str">
        <f>IF(D210="","",VLOOKUP(D210,'G-7 Rivers Data'!$B$2:$G$8,2,FALSE))</f>
        <v/>
      </c>
      <c r="G210" s="499" t="str">
        <f>IFERROR(VLOOKUP(F210,'G-7 Rivers Data'!$C$4:$D$8,2,FALSE),"")</f>
        <v/>
      </c>
      <c r="H210" s="145"/>
      <c r="I210" s="499" t="str">
        <f>IFERROR(INDEX('G-7 Rivers Data'!$H$4:$L$8,MATCH(D210,'G-7 Rivers Data'!$B$4:$B$8,0),MATCH(H210,'G-7 Rivers Data'!$H$3:$L$3,0)),"")</f>
        <v/>
      </c>
      <c r="J210" s="418"/>
      <c r="K210" s="498" t="str">
        <f>IF(J210="","",IF(VLOOKUP(J210,'G-7 Rivers Data'!$AK$4:$AM$9,2,FALSE)=0,"Spatial Data Missing ⚠",VLOOKUP(J210,'G-7 Rivers Data'!$AK$4:$AM$9,2,FALSE)))</f>
        <v/>
      </c>
      <c r="L210" s="505"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Data'!$B$2:$G$8,6,FALSE))</f>
        <v/>
      </c>
      <c r="R210" s="513" t="str">
        <f t="shared" si="24"/>
        <v/>
      </c>
      <c r="S210" s="40"/>
      <c r="T210" s="145"/>
      <c r="U210" s="157"/>
      <c r="V210" s="511" t="str">
        <f t="shared" si="25"/>
        <v/>
      </c>
      <c r="W210" s="511" t="str">
        <f t="shared" si="26"/>
        <v/>
      </c>
      <c r="X210" s="511" t="str">
        <f t="shared" si="27"/>
        <v/>
      </c>
      <c r="Y210" s="515"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8" x14ac:dyDescent="0.25">
      <c r="C211" s="141">
        <v>202</v>
      </c>
      <c r="D211" s="460"/>
      <c r="E211" s="172"/>
      <c r="F211" s="498" t="str">
        <f>IF(D211="","",VLOOKUP(D211,'G-7 Rivers Data'!$B$2:$G$8,2,FALSE))</f>
        <v/>
      </c>
      <c r="G211" s="499" t="str">
        <f>IFERROR(VLOOKUP(F211,'G-7 Rivers Data'!$C$4:$D$8,2,FALSE),"")</f>
        <v/>
      </c>
      <c r="H211" s="145"/>
      <c r="I211" s="499" t="str">
        <f>IFERROR(INDEX('G-7 Rivers Data'!$H$4:$L$8,MATCH(D211,'G-7 Rivers Data'!$B$4:$B$8,0),MATCH(H211,'G-7 Rivers Data'!$H$3:$L$3,0)),"")</f>
        <v/>
      </c>
      <c r="J211" s="418"/>
      <c r="K211" s="498" t="str">
        <f>IF(J211="","",IF(VLOOKUP(J211,'G-7 Rivers Data'!$AK$4:$AM$9,2,FALSE)=0,"Spatial Data Missing ⚠",VLOOKUP(J211,'G-7 Rivers Data'!$AK$4:$AM$9,2,FALSE)))</f>
        <v/>
      </c>
      <c r="L211" s="505"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Data'!$B$2:$G$8,6,FALSE))</f>
        <v/>
      </c>
      <c r="R211" s="513" t="str">
        <f t="shared" si="24"/>
        <v/>
      </c>
      <c r="S211" s="40"/>
      <c r="T211" s="145"/>
      <c r="U211" s="157"/>
      <c r="V211" s="511" t="str">
        <f t="shared" si="25"/>
        <v/>
      </c>
      <c r="W211" s="511" t="str">
        <f t="shared" si="26"/>
        <v/>
      </c>
      <c r="X211" s="511" t="str">
        <f t="shared" si="27"/>
        <v/>
      </c>
      <c r="Y211" s="515"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8" x14ac:dyDescent="0.25">
      <c r="C212" s="141">
        <v>203</v>
      </c>
      <c r="D212" s="460"/>
      <c r="E212" s="172"/>
      <c r="F212" s="498" t="str">
        <f>IF(D212="","",VLOOKUP(D212,'G-7 Rivers Data'!$B$2:$G$8,2,FALSE))</f>
        <v/>
      </c>
      <c r="G212" s="499" t="str">
        <f>IFERROR(VLOOKUP(F212,'G-7 Rivers Data'!$C$4:$D$8,2,FALSE),"")</f>
        <v/>
      </c>
      <c r="H212" s="145"/>
      <c r="I212" s="499" t="str">
        <f>IFERROR(INDEX('G-7 Rivers Data'!$H$4:$L$8,MATCH(D212,'G-7 Rivers Data'!$B$4:$B$8,0),MATCH(H212,'G-7 Rivers Data'!$H$3:$L$3,0)),"")</f>
        <v/>
      </c>
      <c r="J212" s="418"/>
      <c r="K212" s="498" t="str">
        <f>IF(J212="","",IF(VLOOKUP(J212,'G-7 Rivers Data'!$AK$4:$AM$9,2,FALSE)=0,"Spatial Data Missing ⚠",VLOOKUP(J212,'G-7 Rivers Data'!$AK$4:$AM$9,2,FALSE)))</f>
        <v/>
      </c>
      <c r="L212" s="505"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Data'!$B$2:$G$8,6,FALSE))</f>
        <v/>
      </c>
      <c r="R212" s="513" t="str">
        <f t="shared" si="24"/>
        <v/>
      </c>
      <c r="S212" s="40"/>
      <c r="T212" s="145"/>
      <c r="U212" s="157"/>
      <c r="V212" s="511" t="str">
        <f t="shared" si="25"/>
        <v/>
      </c>
      <c r="W212" s="511" t="str">
        <f t="shared" si="26"/>
        <v/>
      </c>
      <c r="X212" s="511" t="str">
        <f t="shared" si="27"/>
        <v/>
      </c>
      <c r="Y212" s="515"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8" x14ac:dyDescent="0.25">
      <c r="C213" s="141">
        <v>204</v>
      </c>
      <c r="D213" s="460"/>
      <c r="E213" s="172"/>
      <c r="F213" s="498" t="str">
        <f>IF(D213="","",VLOOKUP(D213,'G-7 Rivers Data'!$B$2:$G$8,2,FALSE))</f>
        <v/>
      </c>
      <c r="G213" s="499" t="str">
        <f>IFERROR(VLOOKUP(F213,'G-7 Rivers Data'!$C$4:$D$8,2,FALSE),"")</f>
        <v/>
      </c>
      <c r="H213" s="145"/>
      <c r="I213" s="499" t="str">
        <f>IFERROR(INDEX('G-7 Rivers Data'!$H$4:$L$8,MATCH(D213,'G-7 Rivers Data'!$B$4:$B$8,0),MATCH(H213,'G-7 Rivers Data'!$H$3:$L$3,0)),"")</f>
        <v/>
      </c>
      <c r="J213" s="418"/>
      <c r="K213" s="498" t="str">
        <f>IF(J213="","",IF(VLOOKUP(J213,'G-7 Rivers Data'!$AK$4:$AM$9,2,FALSE)=0,"Spatial Data Missing ⚠",VLOOKUP(J213,'G-7 Rivers Data'!$AK$4:$AM$9,2,FALSE)))</f>
        <v/>
      </c>
      <c r="L213" s="505"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Data'!$B$2:$G$8,6,FALSE))</f>
        <v/>
      </c>
      <c r="R213" s="513" t="str">
        <f t="shared" si="24"/>
        <v/>
      </c>
      <c r="S213" s="40"/>
      <c r="T213" s="145"/>
      <c r="U213" s="157"/>
      <c r="V213" s="511" t="str">
        <f t="shared" si="25"/>
        <v/>
      </c>
      <c r="W213" s="511" t="str">
        <f t="shared" si="26"/>
        <v/>
      </c>
      <c r="X213" s="511" t="str">
        <f t="shared" si="27"/>
        <v/>
      </c>
      <c r="Y213" s="515"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8" x14ac:dyDescent="0.25">
      <c r="C214" s="141">
        <v>205</v>
      </c>
      <c r="D214" s="460"/>
      <c r="E214" s="172"/>
      <c r="F214" s="498" t="str">
        <f>IF(D214="","",VLOOKUP(D214,'G-7 Rivers Data'!$B$2:$G$8,2,FALSE))</f>
        <v/>
      </c>
      <c r="G214" s="499" t="str">
        <f>IFERROR(VLOOKUP(F214,'G-7 Rivers Data'!$C$4:$D$8,2,FALSE),"")</f>
        <v/>
      </c>
      <c r="H214" s="145"/>
      <c r="I214" s="499" t="str">
        <f>IFERROR(INDEX('G-7 Rivers Data'!$H$4:$L$8,MATCH(D214,'G-7 Rivers Data'!$B$4:$B$8,0),MATCH(H214,'G-7 Rivers Data'!$H$3:$L$3,0)),"")</f>
        <v/>
      </c>
      <c r="J214" s="418"/>
      <c r="K214" s="498" t="str">
        <f>IF(J214="","",IF(VLOOKUP(J214,'G-7 Rivers Data'!$AK$4:$AM$9,2,FALSE)=0,"Spatial Data Missing ⚠",VLOOKUP(J214,'G-7 Rivers Data'!$AK$4:$AM$9,2,FALSE)))</f>
        <v/>
      </c>
      <c r="L214" s="505"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Data'!$B$2:$G$8,6,FALSE))</f>
        <v/>
      </c>
      <c r="R214" s="513" t="str">
        <f t="shared" si="24"/>
        <v/>
      </c>
      <c r="S214" s="40"/>
      <c r="T214" s="145"/>
      <c r="U214" s="157"/>
      <c r="V214" s="511" t="str">
        <f t="shared" si="25"/>
        <v/>
      </c>
      <c r="W214" s="511" t="str">
        <f t="shared" si="26"/>
        <v/>
      </c>
      <c r="X214" s="511" t="str">
        <f t="shared" si="27"/>
        <v/>
      </c>
      <c r="Y214" s="515"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8" x14ac:dyDescent="0.25">
      <c r="C215" s="141">
        <v>206</v>
      </c>
      <c r="D215" s="460"/>
      <c r="E215" s="172"/>
      <c r="F215" s="498" t="str">
        <f>IF(D215="","",VLOOKUP(D215,'G-7 Rivers Data'!$B$2:$G$8,2,FALSE))</f>
        <v/>
      </c>
      <c r="G215" s="499" t="str">
        <f>IFERROR(VLOOKUP(F215,'G-7 Rivers Data'!$C$4:$D$8,2,FALSE),"")</f>
        <v/>
      </c>
      <c r="H215" s="145"/>
      <c r="I215" s="499" t="str">
        <f>IFERROR(INDEX('G-7 Rivers Data'!$H$4:$L$8,MATCH(D215,'G-7 Rivers Data'!$B$4:$B$8,0),MATCH(H215,'G-7 Rivers Data'!$H$3:$L$3,0)),"")</f>
        <v/>
      </c>
      <c r="J215" s="418"/>
      <c r="K215" s="498" t="str">
        <f>IF(J215="","",IF(VLOOKUP(J215,'G-7 Rivers Data'!$AK$4:$AM$9,2,FALSE)=0,"Spatial Data Missing ⚠",VLOOKUP(J215,'G-7 Rivers Data'!$AK$4:$AM$9,2,FALSE)))</f>
        <v/>
      </c>
      <c r="L215" s="505"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Data'!$B$2:$G$8,6,FALSE))</f>
        <v/>
      </c>
      <c r="R215" s="513" t="str">
        <f t="shared" si="24"/>
        <v/>
      </c>
      <c r="S215" s="40"/>
      <c r="T215" s="145"/>
      <c r="U215" s="157"/>
      <c r="V215" s="511" t="str">
        <f t="shared" si="25"/>
        <v/>
      </c>
      <c r="W215" s="511" t="str">
        <f t="shared" si="26"/>
        <v/>
      </c>
      <c r="X215" s="511" t="str">
        <f t="shared" si="27"/>
        <v/>
      </c>
      <c r="Y215" s="515"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8" x14ac:dyDescent="0.25">
      <c r="C216" s="141">
        <v>207</v>
      </c>
      <c r="D216" s="460"/>
      <c r="E216" s="172"/>
      <c r="F216" s="498" t="str">
        <f>IF(D216="","",VLOOKUP(D216,'G-7 Rivers Data'!$B$2:$G$8,2,FALSE))</f>
        <v/>
      </c>
      <c r="G216" s="499" t="str">
        <f>IFERROR(VLOOKUP(F216,'G-7 Rivers Data'!$C$4:$D$8,2,FALSE),"")</f>
        <v/>
      </c>
      <c r="H216" s="145"/>
      <c r="I216" s="499" t="str">
        <f>IFERROR(INDEX('G-7 Rivers Data'!$H$4:$L$8,MATCH(D216,'G-7 Rivers Data'!$B$4:$B$8,0),MATCH(H216,'G-7 Rivers Data'!$H$3:$L$3,0)),"")</f>
        <v/>
      </c>
      <c r="J216" s="418"/>
      <c r="K216" s="498" t="str">
        <f>IF(J216="","",IF(VLOOKUP(J216,'G-7 Rivers Data'!$AK$4:$AM$9,2,FALSE)=0,"Spatial Data Missing ⚠",VLOOKUP(J216,'G-7 Rivers Data'!$AK$4:$AM$9,2,FALSE)))</f>
        <v/>
      </c>
      <c r="L216" s="505"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Data'!$B$2:$G$8,6,FALSE))</f>
        <v/>
      </c>
      <c r="R216" s="513" t="str">
        <f t="shared" si="24"/>
        <v/>
      </c>
      <c r="S216" s="40"/>
      <c r="T216" s="145"/>
      <c r="U216" s="157"/>
      <c r="V216" s="511" t="str">
        <f t="shared" si="25"/>
        <v/>
      </c>
      <c r="W216" s="511" t="str">
        <f t="shared" si="26"/>
        <v/>
      </c>
      <c r="X216" s="511" t="str">
        <f t="shared" si="27"/>
        <v/>
      </c>
      <c r="Y216" s="515"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8" x14ac:dyDescent="0.25">
      <c r="C217" s="141">
        <v>208</v>
      </c>
      <c r="D217" s="460"/>
      <c r="E217" s="172"/>
      <c r="F217" s="498" t="str">
        <f>IF(D217="","",VLOOKUP(D217,'G-7 Rivers Data'!$B$2:$G$8,2,FALSE))</f>
        <v/>
      </c>
      <c r="G217" s="499" t="str">
        <f>IFERROR(VLOOKUP(F217,'G-7 Rivers Data'!$C$4:$D$8,2,FALSE),"")</f>
        <v/>
      </c>
      <c r="H217" s="145"/>
      <c r="I217" s="499" t="str">
        <f>IFERROR(INDEX('G-7 Rivers Data'!$H$4:$L$8,MATCH(D217,'G-7 Rivers Data'!$B$4:$B$8,0),MATCH(H217,'G-7 Rivers Data'!$H$3:$L$3,0)),"")</f>
        <v/>
      </c>
      <c r="J217" s="418"/>
      <c r="K217" s="498" t="str">
        <f>IF(J217="","",IF(VLOOKUP(J217,'G-7 Rivers Data'!$AK$4:$AM$9,2,FALSE)=0,"Spatial Data Missing ⚠",VLOOKUP(J217,'G-7 Rivers Data'!$AK$4:$AM$9,2,FALSE)))</f>
        <v/>
      </c>
      <c r="L217" s="505"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Data'!$B$2:$G$8,6,FALSE))</f>
        <v/>
      </c>
      <c r="R217" s="513" t="str">
        <f t="shared" si="24"/>
        <v/>
      </c>
      <c r="S217" s="40"/>
      <c r="T217" s="145"/>
      <c r="U217" s="157"/>
      <c r="V217" s="511" t="str">
        <f t="shared" si="25"/>
        <v/>
      </c>
      <c r="W217" s="511" t="str">
        <f t="shared" si="26"/>
        <v/>
      </c>
      <c r="X217" s="511" t="str">
        <f t="shared" si="27"/>
        <v/>
      </c>
      <c r="Y217" s="515"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8" x14ac:dyDescent="0.25">
      <c r="C218" s="141">
        <v>209</v>
      </c>
      <c r="D218" s="460"/>
      <c r="E218" s="172"/>
      <c r="F218" s="498" t="str">
        <f>IF(D218="","",VLOOKUP(D218,'G-7 Rivers Data'!$B$2:$G$8,2,FALSE))</f>
        <v/>
      </c>
      <c r="G218" s="499" t="str">
        <f>IFERROR(VLOOKUP(F218,'G-7 Rivers Data'!$C$4:$D$8,2,FALSE),"")</f>
        <v/>
      </c>
      <c r="H218" s="145"/>
      <c r="I218" s="499" t="str">
        <f>IFERROR(INDEX('G-7 Rivers Data'!$H$4:$L$8,MATCH(D218,'G-7 Rivers Data'!$B$4:$B$8,0),MATCH(H218,'G-7 Rivers Data'!$H$3:$L$3,0)),"")</f>
        <v/>
      </c>
      <c r="J218" s="418"/>
      <c r="K218" s="498" t="str">
        <f>IF(J218="","",IF(VLOOKUP(J218,'G-7 Rivers Data'!$AK$4:$AM$9,2,FALSE)=0,"Spatial Data Missing ⚠",VLOOKUP(J218,'G-7 Rivers Data'!$AK$4:$AM$9,2,FALSE)))</f>
        <v/>
      </c>
      <c r="L218" s="505"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Data'!$B$2:$G$8,6,FALSE))</f>
        <v/>
      </c>
      <c r="R218" s="513" t="str">
        <f t="shared" si="24"/>
        <v/>
      </c>
      <c r="S218" s="40"/>
      <c r="T218" s="145"/>
      <c r="U218" s="157"/>
      <c r="V218" s="511" t="str">
        <f t="shared" si="25"/>
        <v/>
      </c>
      <c r="W218" s="511" t="str">
        <f t="shared" si="26"/>
        <v/>
      </c>
      <c r="X218" s="511" t="str">
        <f t="shared" si="27"/>
        <v/>
      </c>
      <c r="Y218" s="515"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8" x14ac:dyDescent="0.25">
      <c r="C219" s="141">
        <v>210</v>
      </c>
      <c r="D219" s="460"/>
      <c r="E219" s="172"/>
      <c r="F219" s="498" t="str">
        <f>IF(D219="","",VLOOKUP(D219,'G-7 Rivers Data'!$B$2:$G$8,2,FALSE))</f>
        <v/>
      </c>
      <c r="G219" s="499" t="str">
        <f>IFERROR(VLOOKUP(F219,'G-7 Rivers Data'!$C$4:$D$8,2,FALSE),"")</f>
        <v/>
      </c>
      <c r="H219" s="145"/>
      <c r="I219" s="499" t="str">
        <f>IFERROR(INDEX('G-7 Rivers Data'!$H$4:$L$8,MATCH(D219,'G-7 Rivers Data'!$B$4:$B$8,0),MATCH(H219,'G-7 Rivers Data'!$H$3:$L$3,0)),"")</f>
        <v/>
      </c>
      <c r="J219" s="418"/>
      <c r="K219" s="498" t="str">
        <f>IF(J219="","",IF(VLOOKUP(J219,'G-7 Rivers Data'!$AK$4:$AM$9,2,FALSE)=0,"Spatial Data Missing ⚠",VLOOKUP(J219,'G-7 Rivers Data'!$AK$4:$AM$9,2,FALSE)))</f>
        <v/>
      </c>
      <c r="L219" s="505"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Data'!$B$2:$G$8,6,FALSE))</f>
        <v/>
      </c>
      <c r="R219" s="513" t="str">
        <f t="shared" si="24"/>
        <v/>
      </c>
      <c r="S219" s="40"/>
      <c r="T219" s="145"/>
      <c r="U219" s="157"/>
      <c r="V219" s="511" t="str">
        <f t="shared" si="25"/>
        <v/>
      </c>
      <c r="W219" s="511" t="str">
        <f t="shared" si="26"/>
        <v/>
      </c>
      <c r="X219" s="511" t="str">
        <f t="shared" si="27"/>
        <v/>
      </c>
      <c r="Y219" s="515"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8" x14ac:dyDescent="0.25">
      <c r="C220" s="141">
        <v>211</v>
      </c>
      <c r="D220" s="460"/>
      <c r="E220" s="172"/>
      <c r="F220" s="498" t="str">
        <f>IF(D220="","",VLOOKUP(D220,'G-7 Rivers Data'!$B$2:$G$8,2,FALSE))</f>
        <v/>
      </c>
      <c r="G220" s="499" t="str">
        <f>IFERROR(VLOOKUP(F220,'G-7 Rivers Data'!$C$4:$D$8,2,FALSE),"")</f>
        <v/>
      </c>
      <c r="H220" s="145"/>
      <c r="I220" s="499" t="str">
        <f>IFERROR(INDEX('G-7 Rivers Data'!$H$4:$L$8,MATCH(D220,'G-7 Rivers Data'!$B$4:$B$8,0),MATCH(H220,'G-7 Rivers Data'!$H$3:$L$3,0)),"")</f>
        <v/>
      </c>
      <c r="J220" s="418"/>
      <c r="K220" s="498" t="str">
        <f>IF(J220="","",IF(VLOOKUP(J220,'G-7 Rivers Data'!$AK$4:$AM$9,2,FALSE)=0,"Spatial Data Missing ⚠",VLOOKUP(J220,'G-7 Rivers Data'!$AK$4:$AM$9,2,FALSE)))</f>
        <v/>
      </c>
      <c r="L220" s="505"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Data'!$B$2:$G$8,6,FALSE))</f>
        <v/>
      </c>
      <c r="R220" s="513" t="str">
        <f t="shared" si="24"/>
        <v/>
      </c>
      <c r="S220" s="40"/>
      <c r="T220" s="145"/>
      <c r="U220" s="157"/>
      <c r="V220" s="511" t="str">
        <f t="shared" si="25"/>
        <v/>
      </c>
      <c r="W220" s="511" t="str">
        <f t="shared" si="26"/>
        <v/>
      </c>
      <c r="X220" s="511" t="str">
        <f t="shared" si="27"/>
        <v/>
      </c>
      <c r="Y220" s="515"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8" x14ac:dyDescent="0.25">
      <c r="C221" s="141">
        <v>212</v>
      </c>
      <c r="D221" s="460"/>
      <c r="E221" s="172"/>
      <c r="F221" s="498" t="str">
        <f>IF(D221="","",VLOOKUP(D221,'G-7 Rivers Data'!$B$2:$G$8,2,FALSE))</f>
        <v/>
      </c>
      <c r="G221" s="499" t="str">
        <f>IFERROR(VLOOKUP(F221,'G-7 Rivers Data'!$C$4:$D$8,2,FALSE),"")</f>
        <v/>
      </c>
      <c r="H221" s="145"/>
      <c r="I221" s="499" t="str">
        <f>IFERROR(INDEX('G-7 Rivers Data'!$H$4:$L$8,MATCH(D221,'G-7 Rivers Data'!$B$4:$B$8,0),MATCH(H221,'G-7 Rivers Data'!$H$3:$L$3,0)),"")</f>
        <v/>
      </c>
      <c r="J221" s="418"/>
      <c r="K221" s="498" t="str">
        <f>IF(J221="","",IF(VLOOKUP(J221,'G-7 Rivers Data'!$AK$4:$AM$9,2,FALSE)=0,"Spatial Data Missing ⚠",VLOOKUP(J221,'G-7 Rivers Data'!$AK$4:$AM$9,2,FALSE)))</f>
        <v/>
      </c>
      <c r="L221" s="505"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Data'!$B$2:$G$8,6,FALSE))</f>
        <v/>
      </c>
      <c r="R221" s="513" t="str">
        <f t="shared" si="24"/>
        <v/>
      </c>
      <c r="S221" s="40"/>
      <c r="T221" s="145"/>
      <c r="U221" s="157"/>
      <c r="V221" s="511" t="str">
        <f t="shared" si="25"/>
        <v/>
      </c>
      <c r="W221" s="511" t="str">
        <f t="shared" si="26"/>
        <v/>
      </c>
      <c r="X221" s="511" t="str">
        <f t="shared" si="27"/>
        <v/>
      </c>
      <c r="Y221" s="515"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8" x14ac:dyDescent="0.25">
      <c r="C222" s="141">
        <v>213</v>
      </c>
      <c r="D222" s="460"/>
      <c r="E222" s="172"/>
      <c r="F222" s="498" t="str">
        <f>IF(D222="","",VLOOKUP(D222,'G-7 Rivers Data'!$B$2:$G$8,2,FALSE))</f>
        <v/>
      </c>
      <c r="G222" s="499" t="str">
        <f>IFERROR(VLOOKUP(F222,'G-7 Rivers Data'!$C$4:$D$8,2,FALSE),"")</f>
        <v/>
      </c>
      <c r="H222" s="145"/>
      <c r="I222" s="499" t="str">
        <f>IFERROR(INDEX('G-7 Rivers Data'!$H$4:$L$8,MATCH(D222,'G-7 Rivers Data'!$B$4:$B$8,0),MATCH(H222,'G-7 Rivers Data'!$H$3:$L$3,0)),"")</f>
        <v/>
      </c>
      <c r="J222" s="418"/>
      <c r="K222" s="498" t="str">
        <f>IF(J222="","",IF(VLOOKUP(J222,'G-7 Rivers Data'!$AK$4:$AM$9,2,FALSE)=0,"Spatial Data Missing ⚠",VLOOKUP(J222,'G-7 Rivers Data'!$AK$4:$AM$9,2,FALSE)))</f>
        <v/>
      </c>
      <c r="L222" s="505"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Data'!$B$2:$G$8,6,FALSE))</f>
        <v/>
      </c>
      <c r="R222" s="513" t="str">
        <f t="shared" si="24"/>
        <v/>
      </c>
      <c r="S222" s="40"/>
      <c r="T222" s="145"/>
      <c r="U222" s="157"/>
      <c r="V222" s="511" t="str">
        <f t="shared" si="25"/>
        <v/>
      </c>
      <c r="W222" s="511" t="str">
        <f t="shared" si="26"/>
        <v/>
      </c>
      <c r="X222" s="511" t="str">
        <f t="shared" si="27"/>
        <v/>
      </c>
      <c r="Y222" s="515"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8" x14ac:dyDescent="0.25">
      <c r="C223" s="141">
        <v>214</v>
      </c>
      <c r="D223" s="460"/>
      <c r="E223" s="172"/>
      <c r="F223" s="498" t="str">
        <f>IF(D223="","",VLOOKUP(D223,'G-7 Rivers Data'!$B$2:$G$8,2,FALSE))</f>
        <v/>
      </c>
      <c r="G223" s="499" t="str">
        <f>IFERROR(VLOOKUP(F223,'G-7 Rivers Data'!$C$4:$D$8,2,FALSE),"")</f>
        <v/>
      </c>
      <c r="H223" s="145"/>
      <c r="I223" s="499" t="str">
        <f>IFERROR(INDEX('G-7 Rivers Data'!$H$4:$L$8,MATCH(D223,'G-7 Rivers Data'!$B$4:$B$8,0),MATCH(H223,'G-7 Rivers Data'!$H$3:$L$3,0)),"")</f>
        <v/>
      </c>
      <c r="J223" s="418"/>
      <c r="K223" s="498" t="str">
        <f>IF(J223="","",IF(VLOOKUP(J223,'G-7 Rivers Data'!$AK$4:$AM$9,2,FALSE)=0,"Spatial Data Missing ⚠",VLOOKUP(J223,'G-7 Rivers Data'!$AK$4:$AM$9,2,FALSE)))</f>
        <v/>
      </c>
      <c r="L223" s="505"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Data'!$B$2:$G$8,6,FALSE))</f>
        <v/>
      </c>
      <c r="R223" s="513" t="str">
        <f t="shared" si="24"/>
        <v/>
      </c>
      <c r="S223" s="40"/>
      <c r="T223" s="145"/>
      <c r="U223" s="157"/>
      <c r="V223" s="511" t="str">
        <f t="shared" si="25"/>
        <v/>
      </c>
      <c r="W223" s="511" t="str">
        <f t="shared" si="26"/>
        <v/>
      </c>
      <c r="X223" s="511" t="str">
        <f t="shared" si="27"/>
        <v/>
      </c>
      <c r="Y223" s="515"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8" x14ac:dyDescent="0.25">
      <c r="C224" s="141">
        <v>215</v>
      </c>
      <c r="D224" s="460"/>
      <c r="E224" s="172"/>
      <c r="F224" s="498" t="str">
        <f>IF(D224="","",VLOOKUP(D224,'G-7 Rivers Data'!$B$2:$G$8,2,FALSE))</f>
        <v/>
      </c>
      <c r="G224" s="499" t="str">
        <f>IFERROR(VLOOKUP(F224,'G-7 Rivers Data'!$C$4:$D$8,2,FALSE),"")</f>
        <v/>
      </c>
      <c r="H224" s="145"/>
      <c r="I224" s="499" t="str">
        <f>IFERROR(INDEX('G-7 Rivers Data'!$H$4:$L$8,MATCH(D224,'G-7 Rivers Data'!$B$4:$B$8,0),MATCH(H224,'G-7 Rivers Data'!$H$3:$L$3,0)),"")</f>
        <v/>
      </c>
      <c r="J224" s="418"/>
      <c r="K224" s="498" t="str">
        <f>IF(J224="","",IF(VLOOKUP(J224,'G-7 Rivers Data'!$AK$4:$AM$9,2,FALSE)=0,"Spatial Data Missing ⚠",VLOOKUP(J224,'G-7 Rivers Data'!$AK$4:$AM$9,2,FALSE)))</f>
        <v/>
      </c>
      <c r="L224" s="505"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Data'!$B$2:$G$8,6,FALSE))</f>
        <v/>
      </c>
      <c r="R224" s="513" t="str">
        <f t="shared" si="24"/>
        <v/>
      </c>
      <c r="S224" s="40"/>
      <c r="T224" s="145"/>
      <c r="U224" s="157"/>
      <c r="V224" s="511" t="str">
        <f t="shared" si="25"/>
        <v/>
      </c>
      <c r="W224" s="511" t="str">
        <f t="shared" si="26"/>
        <v/>
      </c>
      <c r="X224" s="511" t="str">
        <f t="shared" si="27"/>
        <v/>
      </c>
      <c r="Y224" s="515"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8" x14ac:dyDescent="0.25">
      <c r="C225" s="141">
        <v>216</v>
      </c>
      <c r="D225" s="460"/>
      <c r="E225" s="172"/>
      <c r="F225" s="498" t="str">
        <f>IF(D225="","",VLOOKUP(D225,'G-7 Rivers Data'!$B$2:$G$8,2,FALSE))</f>
        <v/>
      </c>
      <c r="G225" s="499" t="str">
        <f>IFERROR(VLOOKUP(F225,'G-7 Rivers Data'!$C$4:$D$8,2,FALSE),"")</f>
        <v/>
      </c>
      <c r="H225" s="145"/>
      <c r="I225" s="499" t="str">
        <f>IFERROR(INDEX('G-7 Rivers Data'!$H$4:$L$8,MATCH(D225,'G-7 Rivers Data'!$B$4:$B$8,0),MATCH(H225,'G-7 Rivers Data'!$H$3:$L$3,0)),"")</f>
        <v/>
      </c>
      <c r="J225" s="418"/>
      <c r="K225" s="498" t="str">
        <f>IF(J225="","",IF(VLOOKUP(J225,'G-7 Rivers Data'!$AK$4:$AM$9,2,FALSE)=0,"Spatial Data Missing ⚠",VLOOKUP(J225,'G-7 Rivers Data'!$AK$4:$AM$9,2,FALSE)))</f>
        <v/>
      </c>
      <c r="L225" s="505"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Data'!$B$2:$G$8,6,FALSE))</f>
        <v/>
      </c>
      <c r="R225" s="513" t="str">
        <f t="shared" si="24"/>
        <v/>
      </c>
      <c r="S225" s="40"/>
      <c r="T225" s="145"/>
      <c r="U225" s="157"/>
      <c r="V225" s="511" t="str">
        <f t="shared" si="25"/>
        <v/>
      </c>
      <c r="W225" s="511" t="str">
        <f t="shared" si="26"/>
        <v/>
      </c>
      <c r="X225" s="511" t="str">
        <f t="shared" si="27"/>
        <v/>
      </c>
      <c r="Y225" s="515"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8" x14ac:dyDescent="0.25">
      <c r="C226" s="141">
        <v>217</v>
      </c>
      <c r="D226" s="460"/>
      <c r="E226" s="172"/>
      <c r="F226" s="498" t="str">
        <f>IF(D226="","",VLOOKUP(D226,'G-7 Rivers Data'!$B$2:$G$8,2,FALSE))</f>
        <v/>
      </c>
      <c r="G226" s="499" t="str">
        <f>IFERROR(VLOOKUP(F226,'G-7 Rivers Data'!$C$4:$D$8,2,FALSE),"")</f>
        <v/>
      </c>
      <c r="H226" s="145"/>
      <c r="I226" s="499" t="str">
        <f>IFERROR(INDEX('G-7 Rivers Data'!$H$4:$L$8,MATCH(D226,'G-7 Rivers Data'!$B$4:$B$8,0),MATCH(H226,'G-7 Rivers Data'!$H$3:$L$3,0)),"")</f>
        <v/>
      </c>
      <c r="J226" s="418"/>
      <c r="K226" s="498" t="str">
        <f>IF(J226="","",IF(VLOOKUP(J226,'G-7 Rivers Data'!$AK$4:$AM$9,2,FALSE)=0,"Spatial Data Missing ⚠",VLOOKUP(J226,'G-7 Rivers Data'!$AK$4:$AM$9,2,FALSE)))</f>
        <v/>
      </c>
      <c r="L226" s="505"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Data'!$B$2:$G$8,6,FALSE))</f>
        <v/>
      </c>
      <c r="R226" s="513" t="str">
        <f t="shared" si="24"/>
        <v/>
      </c>
      <c r="S226" s="40"/>
      <c r="T226" s="145"/>
      <c r="U226" s="157"/>
      <c r="V226" s="511" t="str">
        <f t="shared" si="25"/>
        <v/>
      </c>
      <c r="W226" s="511" t="str">
        <f t="shared" si="26"/>
        <v/>
      </c>
      <c r="X226" s="511" t="str">
        <f t="shared" si="27"/>
        <v/>
      </c>
      <c r="Y226" s="515"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8" x14ac:dyDescent="0.25">
      <c r="C227" s="141">
        <v>218</v>
      </c>
      <c r="D227" s="460"/>
      <c r="E227" s="172"/>
      <c r="F227" s="498" t="str">
        <f>IF(D227="","",VLOOKUP(D227,'G-7 Rivers Data'!$B$2:$G$8,2,FALSE))</f>
        <v/>
      </c>
      <c r="G227" s="499" t="str">
        <f>IFERROR(VLOOKUP(F227,'G-7 Rivers Data'!$C$4:$D$8,2,FALSE),"")</f>
        <v/>
      </c>
      <c r="H227" s="145"/>
      <c r="I227" s="499" t="str">
        <f>IFERROR(INDEX('G-7 Rivers Data'!$H$4:$L$8,MATCH(D227,'G-7 Rivers Data'!$B$4:$B$8,0),MATCH(H227,'G-7 Rivers Data'!$H$3:$L$3,0)),"")</f>
        <v/>
      </c>
      <c r="J227" s="418"/>
      <c r="K227" s="498" t="str">
        <f>IF(J227="","",IF(VLOOKUP(J227,'G-7 Rivers Data'!$AK$4:$AM$9,2,FALSE)=0,"Spatial Data Missing ⚠",VLOOKUP(J227,'G-7 Rivers Data'!$AK$4:$AM$9,2,FALSE)))</f>
        <v/>
      </c>
      <c r="L227" s="505"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Data'!$B$2:$G$8,6,FALSE))</f>
        <v/>
      </c>
      <c r="R227" s="513" t="str">
        <f t="shared" si="24"/>
        <v/>
      </c>
      <c r="S227" s="40"/>
      <c r="T227" s="145"/>
      <c r="U227" s="157"/>
      <c r="V227" s="511" t="str">
        <f t="shared" si="25"/>
        <v/>
      </c>
      <c r="W227" s="511" t="str">
        <f t="shared" si="26"/>
        <v/>
      </c>
      <c r="X227" s="511" t="str">
        <f t="shared" si="27"/>
        <v/>
      </c>
      <c r="Y227" s="515"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8" x14ac:dyDescent="0.25">
      <c r="C228" s="141">
        <v>219</v>
      </c>
      <c r="D228" s="460"/>
      <c r="E228" s="172"/>
      <c r="F228" s="498" t="str">
        <f>IF(D228="","",VLOOKUP(D228,'G-7 Rivers Data'!$B$2:$G$8,2,FALSE))</f>
        <v/>
      </c>
      <c r="G228" s="499" t="str">
        <f>IFERROR(VLOOKUP(F228,'G-7 Rivers Data'!$C$4:$D$8,2,FALSE),"")</f>
        <v/>
      </c>
      <c r="H228" s="145"/>
      <c r="I228" s="499" t="str">
        <f>IFERROR(INDEX('G-7 Rivers Data'!$H$4:$L$8,MATCH(D228,'G-7 Rivers Data'!$B$4:$B$8,0),MATCH(H228,'G-7 Rivers Data'!$H$3:$L$3,0)),"")</f>
        <v/>
      </c>
      <c r="J228" s="418"/>
      <c r="K228" s="498" t="str">
        <f>IF(J228="","",IF(VLOOKUP(J228,'G-7 Rivers Data'!$AK$4:$AM$9,2,FALSE)=0,"Spatial Data Missing ⚠",VLOOKUP(J228,'G-7 Rivers Data'!$AK$4:$AM$9,2,FALSE)))</f>
        <v/>
      </c>
      <c r="L228" s="505"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Data'!$B$2:$G$8,6,FALSE))</f>
        <v/>
      </c>
      <c r="R228" s="513" t="str">
        <f t="shared" si="24"/>
        <v/>
      </c>
      <c r="S228" s="40"/>
      <c r="T228" s="145"/>
      <c r="U228" s="157"/>
      <c r="V228" s="511" t="str">
        <f t="shared" si="25"/>
        <v/>
      </c>
      <c r="W228" s="511" t="str">
        <f t="shared" si="26"/>
        <v/>
      </c>
      <c r="X228" s="511" t="str">
        <f t="shared" si="27"/>
        <v/>
      </c>
      <c r="Y228" s="515"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8" x14ac:dyDescent="0.25">
      <c r="C229" s="141">
        <v>220</v>
      </c>
      <c r="D229" s="460"/>
      <c r="E229" s="172"/>
      <c r="F229" s="498" t="str">
        <f>IF(D229="","",VLOOKUP(D229,'G-7 Rivers Data'!$B$2:$G$8,2,FALSE))</f>
        <v/>
      </c>
      <c r="G229" s="499" t="str">
        <f>IFERROR(VLOOKUP(F229,'G-7 Rivers Data'!$C$4:$D$8,2,FALSE),"")</f>
        <v/>
      </c>
      <c r="H229" s="145"/>
      <c r="I229" s="499" t="str">
        <f>IFERROR(INDEX('G-7 Rivers Data'!$H$4:$L$8,MATCH(D229,'G-7 Rivers Data'!$B$4:$B$8,0),MATCH(H229,'G-7 Rivers Data'!$H$3:$L$3,0)),"")</f>
        <v/>
      </c>
      <c r="J229" s="418"/>
      <c r="K229" s="498" t="str">
        <f>IF(J229="","",IF(VLOOKUP(J229,'G-7 Rivers Data'!$AK$4:$AM$9,2,FALSE)=0,"Spatial Data Missing ⚠",VLOOKUP(J229,'G-7 Rivers Data'!$AK$4:$AM$9,2,FALSE)))</f>
        <v/>
      </c>
      <c r="L229" s="505"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Data'!$B$2:$G$8,6,FALSE))</f>
        <v/>
      </c>
      <c r="R229" s="513" t="str">
        <f t="shared" si="24"/>
        <v/>
      </c>
      <c r="S229" s="40"/>
      <c r="T229" s="145"/>
      <c r="U229" s="157"/>
      <c r="V229" s="511" t="str">
        <f t="shared" si="25"/>
        <v/>
      </c>
      <c r="W229" s="511" t="str">
        <f t="shared" si="26"/>
        <v/>
      </c>
      <c r="X229" s="511" t="str">
        <f t="shared" si="27"/>
        <v/>
      </c>
      <c r="Y229" s="515"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8" x14ac:dyDescent="0.25">
      <c r="C230" s="141">
        <v>221</v>
      </c>
      <c r="D230" s="460"/>
      <c r="E230" s="172"/>
      <c r="F230" s="498" t="str">
        <f>IF(D230="","",VLOOKUP(D230,'G-7 Rivers Data'!$B$2:$G$8,2,FALSE))</f>
        <v/>
      </c>
      <c r="G230" s="499" t="str">
        <f>IFERROR(VLOOKUP(F230,'G-7 Rivers Data'!$C$4:$D$8,2,FALSE),"")</f>
        <v/>
      </c>
      <c r="H230" s="145"/>
      <c r="I230" s="499" t="str">
        <f>IFERROR(INDEX('G-7 Rivers Data'!$H$4:$L$8,MATCH(D230,'G-7 Rivers Data'!$B$4:$B$8,0),MATCH(H230,'G-7 Rivers Data'!$H$3:$L$3,0)),"")</f>
        <v/>
      </c>
      <c r="J230" s="418"/>
      <c r="K230" s="498" t="str">
        <f>IF(J230="","",IF(VLOOKUP(J230,'G-7 Rivers Data'!$AK$4:$AM$9,2,FALSE)=0,"Spatial Data Missing ⚠",VLOOKUP(J230,'G-7 Rivers Data'!$AK$4:$AM$9,2,FALSE)))</f>
        <v/>
      </c>
      <c r="L230" s="505"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Data'!$B$2:$G$8,6,FALSE))</f>
        <v/>
      </c>
      <c r="R230" s="513" t="str">
        <f t="shared" si="24"/>
        <v/>
      </c>
      <c r="S230" s="40"/>
      <c r="T230" s="145"/>
      <c r="U230" s="157"/>
      <c r="V230" s="511" t="str">
        <f t="shared" si="25"/>
        <v/>
      </c>
      <c r="W230" s="511" t="str">
        <f t="shared" si="26"/>
        <v/>
      </c>
      <c r="X230" s="511" t="str">
        <f t="shared" si="27"/>
        <v/>
      </c>
      <c r="Y230" s="515"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8" x14ac:dyDescent="0.25">
      <c r="C231" s="141">
        <v>222</v>
      </c>
      <c r="D231" s="460"/>
      <c r="E231" s="172"/>
      <c r="F231" s="498" t="str">
        <f>IF(D231="","",VLOOKUP(D231,'G-7 Rivers Data'!$B$2:$G$8,2,FALSE))</f>
        <v/>
      </c>
      <c r="G231" s="499" t="str">
        <f>IFERROR(VLOOKUP(F231,'G-7 Rivers Data'!$C$4:$D$8,2,FALSE),"")</f>
        <v/>
      </c>
      <c r="H231" s="145"/>
      <c r="I231" s="499" t="str">
        <f>IFERROR(INDEX('G-7 Rivers Data'!$H$4:$L$8,MATCH(D231,'G-7 Rivers Data'!$B$4:$B$8,0),MATCH(H231,'G-7 Rivers Data'!$H$3:$L$3,0)),"")</f>
        <v/>
      </c>
      <c r="J231" s="418"/>
      <c r="K231" s="498" t="str">
        <f>IF(J231="","",IF(VLOOKUP(J231,'G-7 Rivers Data'!$AK$4:$AM$9,2,FALSE)=0,"Spatial Data Missing ⚠",VLOOKUP(J231,'G-7 Rivers Data'!$AK$4:$AM$9,2,FALSE)))</f>
        <v/>
      </c>
      <c r="L231" s="505"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Data'!$B$2:$G$8,6,FALSE))</f>
        <v/>
      </c>
      <c r="R231" s="513" t="str">
        <f t="shared" si="24"/>
        <v/>
      </c>
      <c r="S231" s="40"/>
      <c r="T231" s="145"/>
      <c r="U231" s="157"/>
      <c r="V231" s="511" t="str">
        <f t="shared" si="25"/>
        <v/>
      </c>
      <c r="W231" s="511" t="str">
        <f t="shared" si="26"/>
        <v/>
      </c>
      <c r="X231" s="511" t="str">
        <f t="shared" si="27"/>
        <v/>
      </c>
      <c r="Y231" s="515"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8" x14ac:dyDescent="0.25">
      <c r="C232" s="141">
        <v>223</v>
      </c>
      <c r="D232" s="460"/>
      <c r="E232" s="172"/>
      <c r="F232" s="498" t="str">
        <f>IF(D232="","",VLOOKUP(D232,'G-7 Rivers Data'!$B$2:$G$8,2,FALSE))</f>
        <v/>
      </c>
      <c r="G232" s="499" t="str">
        <f>IFERROR(VLOOKUP(F232,'G-7 Rivers Data'!$C$4:$D$8,2,FALSE),"")</f>
        <v/>
      </c>
      <c r="H232" s="145"/>
      <c r="I232" s="499" t="str">
        <f>IFERROR(INDEX('G-7 Rivers Data'!$H$4:$L$8,MATCH(D232,'G-7 Rivers Data'!$B$4:$B$8,0),MATCH(H232,'G-7 Rivers Data'!$H$3:$L$3,0)),"")</f>
        <v/>
      </c>
      <c r="J232" s="418"/>
      <c r="K232" s="498" t="str">
        <f>IF(J232="","",IF(VLOOKUP(J232,'G-7 Rivers Data'!$AK$4:$AM$9,2,FALSE)=0,"Spatial Data Missing ⚠",VLOOKUP(J232,'G-7 Rivers Data'!$AK$4:$AM$9,2,FALSE)))</f>
        <v/>
      </c>
      <c r="L232" s="505"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Data'!$B$2:$G$8,6,FALSE))</f>
        <v/>
      </c>
      <c r="R232" s="513" t="str">
        <f t="shared" si="24"/>
        <v/>
      </c>
      <c r="S232" s="40"/>
      <c r="T232" s="145"/>
      <c r="U232" s="157"/>
      <c r="V232" s="511" t="str">
        <f t="shared" si="25"/>
        <v/>
      </c>
      <c r="W232" s="511" t="str">
        <f t="shared" si="26"/>
        <v/>
      </c>
      <c r="X232" s="511" t="str">
        <f t="shared" si="27"/>
        <v/>
      </c>
      <c r="Y232" s="515"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8" x14ac:dyDescent="0.25">
      <c r="C233" s="141">
        <v>224</v>
      </c>
      <c r="D233" s="460"/>
      <c r="E233" s="172"/>
      <c r="F233" s="498" t="str">
        <f>IF(D233="","",VLOOKUP(D233,'G-7 Rivers Data'!$B$2:$G$8,2,FALSE))</f>
        <v/>
      </c>
      <c r="G233" s="499" t="str">
        <f>IFERROR(VLOOKUP(F233,'G-7 Rivers Data'!$C$4:$D$8,2,FALSE),"")</f>
        <v/>
      </c>
      <c r="H233" s="145"/>
      <c r="I233" s="499" t="str">
        <f>IFERROR(INDEX('G-7 Rivers Data'!$H$4:$L$8,MATCH(D233,'G-7 Rivers Data'!$B$4:$B$8,0),MATCH(H233,'G-7 Rivers Data'!$H$3:$L$3,0)),"")</f>
        <v/>
      </c>
      <c r="J233" s="418"/>
      <c r="K233" s="498" t="str">
        <f>IF(J233="","",IF(VLOOKUP(J233,'G-7 Rivers Data'!$AK$4:$AM$9,2,FALSE)=0,"Spatial Data Missing ⚠",VLOOKUP(J233,'G-7 Rivers Data'!$AK$4:$AM$9,2,FALSE)))</f>
        <v/>
      </c>
      <c r="L233" s="505"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Data'!$B$2:$G$8,6,FALSE))</f>
        <v/>
      </c>
      <c r="R233" s="513" t="str">
        <f t="shared" si="24"/>
        <v/>
      </c>
      <c r="S233" s="40"/>
      <c r="T233" s="145"/>
      <c r="U233" s="157"/>
      <c r="V233" s="511" t="str">
        <f t="shared" si="25"/>
        <v/>
      </c>
      <c r="W233" s="511" t="str">
        <f t="shared" si="26"/>
        <v/>
      </c>
      <c r="X233" s="511" t="str">
        <f t="shared" si="27"/>
        <v/>
      </c>
      <c r="Y233" s="515"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8" x14ac:dyDescent="0.25">
      <c r="C234" s="141">
        <v>225</v>
      </c>
      <c r="D234" s="460"/>
      <c r="E234" s="172"/>
      <c r="F234" s="498" t="str">
        <f>IF(D234="","",VLOOKUP(D234,'G-7 Rivers Data'!$B$2:$G$8,2,FALSE))</f>
        <v/>
      </c>
      <c r="G234" s="499" t="str">
        <f>IFERROR(VLOOKUP(F234,'G-7 Rivers Data'!$C$4:$D$8,2,FALSE),"")</f>
        <v/>
      </c>
      <c r="H234" s="145"/>
      <c r="I234" s="499" t="str">
        <f>IFERROR(INDEX('G-7 Rivers Data'!$H$4:$L$8,MATCH(D234,'G-7 Rivers Data'!$B$4:$B$8,0),MATCH(H234,'G-7 Rivers Data'!$H$3:$L$3,0)),"")</f>
        <v/>
      </c>
      <c r="J234" s="418"/>
      <c r="K234" s="498" t="str">
        <f>IF(J234="","",IF(VLOOKUP(J234,'G-7 Rivers Data'!$AK$4:$AM$9,2,FALSE)=0,"Spatial Data Missing ⚠",VLOOKUP(J234,'G-7 Rivers Data'!$AK$4:$AM$9,2,FALSE)))</f>
        <v/>
      </c>
      <c r="L234" s="505"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Data'!$B$2:$G$8,6,FALSE))</f>
        <v/>
      </c>
      <c r="R234" s="513" t="str">
        <f t="shared" si="24"/>
        <v/>
      </c>
      <c r="S234" s="40"/>
      <c r="T234" s="145"/>
      <c r="U234" s="157"/>
      <c r="V234" s="511" t="str">
        <f t="shared" si="25"/>
        <v/>
      </c>
      <c r="W234" s="511" t="str">
        <f t="shared" si="26"/>
        <v/>
      </c>
      <c r="X234" s="511" t="str">
        <f t="shared" si="27"/>
        <v/>
      </c>
      <c r="Y234" s="515"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8" x14ac:dyDescent="0.25">
      <c r="C235" s="141">
        <v>226</v>
      </c>
      <c r="D235" s="460"/>
      <c r="E235" s="172"/>
      <c r="F235" s="498" t="str">
        <f>IF(D235="","",VLOOKUP(D235,'G-7 Rivers Data'!$B$2:$G$8,2,FALSE))</f>
        <v/>
      </c>
      <c r="G235" s="499" t="str">
        <f>IFERROR(VLOOKUP(F235,'G-7 Rivers Data'!$C$4:$D$8,2,FALSE),"")</f>
        <v/>
      </c>
      <c r="H235" s="145"/>
      <c r="I235" s="499" t="str">
        <f>IFERROR(INDEX('G-7 Rivers Data'!$H$4:$L$8,MATCH(D235,'G-7 Rivers Data'!$B$4:$B$8,0),MATCH(H235,'G-7 Rivers Data'!$H$3:$L$3,0)),"")</f>
        <v/>
      </c>
      <c r="J235" s="418"/>
      <c r="K235" s="498" t="str">
        <f>IF(J235="","",IF(VLOOKUP(J235,'G-7 Rivers Data'!$AK$4:$AM$9,2,FALSE)=0,"Spatial Data Missing ⚠",VLOOKUP(J235,'G-7 Rivers Data'!$AK$4:$AM$9,2,FALSE)))</f>
        <v/>
      </c>
      <c r="L235" s="505"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Data'!$B$2:$G$8,6,FALSE))</f>
        <v/>
      </c>
      <c r="R235" s="513" t="str">
        <f t="shared" si="24"/>
        <v/>
      </c>
      <c r="S235" s="40"/>
      <c r="T235" s="145"/>
      <c r="U235" s="157"/>
      <c r="V235" s="511" t="str">
        <f t="shared" si="25"/>
        <v/>
      </c>
      <c r="W235" s="511" t="str">
        <f t="shared" si="26"/>
        <v/>
      </c>
      <c r="X235" s="511" t="str">
        <f t="shared" si="27"/>
        <v/>
      </c>
      <c r="Y235" s="515"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8" x14ac:dyDescent="0.25">
      <c r="C236" s="141">
        <v>227</v>
      </c>
      <c r="D236" s="460"/>
      <c r="E236" s="172"/>
      <c r="F236" s="498" t="str">
        <f>IF(D236="","",VLOOKUP(D236,'G-7 Rivers Data'!$B$2:$G$8,2,FALSE))</f>
        <v/>
      </c>
      <c r="G236" s="499" t="str">
        <f>IFERROR(VLOOKUP(F236,'G-7 Rivers Data'!$C$4:$D$8,2,FALSE),"")</f>
        <v/>
      </c>
      <c r="H236" s="145"/>
      <c r="I236" s="499" t="str">
        <f>IFERROR(INDEX('G-7 Rivers Data'!$H$4:$L$8,MATCH(D236,'G-7 Rivers Data'!$B$4:$B$8,0),MATCH(H236,'G-7 Rivers Data'!$H$3:$L$3,0)),"")</f>
        <v/>
      </c>
      <c r="J236" s="418"/>
      <c r="K236" s="498" t="str">
        <f>IF(J236="","",IF(VLOOKUP(J236,'G-7 Rivers Data'!$AK$4:$AM$9,2,FALSE)=0,"Spatial Data Missing ⚠",VLOOKUP(J236,'G-7 Rivers Data'!$AK$4:$AM$9,2,FALSE)))</f>
        <v/>
      </c>
      <c r="L236" s="505"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Data'!$B$2:$G$8,6,FALSE))</f>
        <v/>
      </c>
      <c r="R236" s="513" t="str">
        <f t="shared" si="24"/>
        <v/>
      </c>
      <c r="S236" s="40"/>
      <c r="T236" s="145"/>
      <c r="U236" s="157"/>
      <c r="V236" s="511" t="str">
        <f t="shared" si="25"/>
        <v/>
      </c>
      <c r="W236" s="511" t="str">
        <f t="shared" si="26"/>
        <v/>
      </c>
      <c r="X236" s="511" t="str">
        <f t="shared" si="27"/>
        <v/>
      </c>
      <c r="Y236" s="515"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8" x14ac:dyDescent="0.25">
      <c r="C237" s="141">
        <v>228</v>
      </c>
      <c r="D237" s="460"/>
      <c r="E237" s="172"/>
      <c r="F237" s="498" t="str">
        <f>IF(D237="","",VLOOKUP(D237,'G-7 Rivers Data'!$B$2:$G$8,2,FALSE))</f>
        <v/>
      </c>
      <c r="G237" s="499" t="str">
        <f>IFERROR(VLOOKUP(F237,'G-7 Rivers Data'!$C$4:$D$8,2,FALSE),"")</f>
        <v/>
      </c>
      <c r="H237" s="145"/>
      <c r="I237" s="499" t="str">
        <f>IFERROR(INDEX('G-7 Rivers Data'!$H$4:$L$8,MATCH(D237,'G-7 Rivers Data'!$B$4:$B$8,0),MATCH(H237,'G-7 Rivers Data'!$H$3:$L$3,0)),"")</f>
        <v/>
      </c>
      <c r="J237" s="418"/>
      <c r="K237" s="498" t="str">
        <f>IF(J237="","",IF(VLOOKUP(J237,'G-7 Rivers Data'!$AK$4:$AM$9,2,FALSE)=0,"Spatial Data Missing ⚠",VLOOKUP(J237,'G-7 Rivers Data'!$AK$4:$AM$9,2,FALSE)))</f>
        <v/>
      </c>
      <c r="L237" s="505"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Data'!$B$2:$G$8,6,FALSE))</f>
        <v/>
      </c>
      <c r="R237" s="513" t="str">
        <f t="shared" si="24"/>
        <v/>
      </c>
      <c r="S237" s="40"/>
      <c r="T237" s="145"/>
      <c r="U237" s="157"/>
      <c r="V237" s="511" t="str">
        <f t="shared" si="25"/>
        <v/>
      </c>
      <c r="W237" s="511" t="str">
        <f t="shared" si="26"/>
        <v/>
      </c>
      <c r="X237" s="511" t="str">
        <f t="shared" si="27"/>
        <v/>
      </c>
      <c r="Y237" s="515"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8" x14ac:dyDescent="0.25">
      <c r="C238" s="141">
        <v>229</v>
      </c>
      <c r="D238" s="460"/>
      <c r="E238" s="172"/>
      <c r="F238" s="498" t="str">
        <f>IF(D238="","",VLOOKUP(D238,'G-7 Rivers Data'!$B$2:$G$8,2,FALSE))</f>
        <v/>
      </c>
      <c r="G238" s="499" t="str">
        <f>IFERROR(VLOOKUP(F238,'G-7 Rivers Data'!$C$4:$D$8,2,FALSE),"")</f>
        <v/>
      </c>
      <c r="H238" s="145"/>
      <c r="I238" s="499" t="str">
        <f>IFERROR(INDEX('G-7 Rivers Data'!$H$4:$L$8,MATCH(D238,'G-7 Rivers Data'!$B$4:$B$8,0),MATCH(H238,'G-7 Rivers Data'!$H$3:$L$3,0)),"")</f>
        <v/>
      </c>
      <c r="J238" s="418"/>
      <c r="K238" s="498" t="str">
        <f>IF(J238="","",IF(VLOOKUP(J238,'G-7 Rivers Data'!$AK$4:$AM$9,2,FALSE)=0,"Spatial Data Missing ⚠",VLOOKUP(J238,'G-7 Rivers Data'!$AK$4:$AM$9,2,FALSE)))</f>
        <v/>
      </c>
      <c r="L238" s="505"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Data'!$B$2:$G$8,6,FALSE))</f>
        <v/>
      </c>
      <c r="R238" s="513" t="str">
        <f t="shared" si="24"/>
        <v/>
      </c>
      <c r="S238" s="40"/>
      <c r="T238" s="145"/>
      <c r="U238" s="157"/>
      <c r="V238" s="511" t="str">
        <f t="shared" si="25"/>
        <v/>
      </c>
      <c r="W238" s="511" t="str">
        <f t="shared" si="26"/>
        <v/>
      </c>
      <c r="X238" s="511" t="str">
        <f t="shared" si="27"/>
        <v/>
      </c>
      <c r="Y238" s="515"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8" x14ac:dyDescent="0.25">
      <c r="C239" s="141">
        <v>230</v>
      </c>
      <c r="D239" s="460"/>
      <c r="E239" s="172"/>
      <c r="F239" s="498" t="str">
        <f>IF(D239="","",VLOOKUP(D239,'G-7 Rivers Data'!$B$2:$G$8,2,FALSE))</f>
        <v/>
      </c>
      <c r="G239" s="499" t="str">
        <f>IFERROR(VLOOKUP(F239,'G-7 Rivers Data'!$C$4:$D$8,2,FALSE),"")</f>
        <v/>
      </c>
      <c r="H239" s="145"/>
      <c r="I239" s="499" t="str">
        <f>IFERROR(INDEX('G-7 Rivers Data'!$H$4:$L$8,MATCH(D239,'G-7 Rivers Data'!$B$4:$B$8,0),MATCH(H239,'G-7 Rivers Data'!$H$3:$L$3,0)),"")</f>
        <v/>
      </c>
      <c r="J239" s="418"/>
      <c r="K239" s="498" t="str">
        <f>IF(J239="","",IF(VLOOKUP(J239,'G-7 Rivers Data'!$AK$4:$AM$9,2,FALSE)=0,"Spatial Data Missing ⚠",VLOOKUP(J239,'G-7 Rivers Data'!$AK$4:$AM$9,2,FALSE)))</f>
        <v/>
      </c>
      <c r="L239" s="505"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Data'!$B$2:$G$8,6,FALSE))</f>
        <v/>
      </c>
      <c r="R239" s="513" t="str">
        <f t="shared" si="24"/>
        <v/>
      </c>
      <c r="S239" s="40"/>
      <c r="T239" s="145"/>
      <c r="U239" s="157"/>
      <c r="V239" s="511" t="str">
        <f t="shared" si="25"/>
        <v/>
      </c>
      <c r="W239" s="511" t="str">
        <f t="shared" si="26"/>
        <v/>
      </c>
      <c r="X239" s="511" t="str">
        <f t="shared" si="27"/>
        <v/>
      </c>
      <c r="Y239" s="515"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8" x14ac:dyDescent="0.25">
      <c r="C240" s="141">
        <v>231</v>
      </c>
      <c r="D240" s="460"/>
      <c r="E240" s="172"/>
      <c r="F240" s="498" t="str">
        <f>IF(D240="","",VLOOKUP(D240,'G-7 Rivers Data'!$B$2:$G$8,2,FALSE))</f>
        <v/>
      </c>
      <c r="G240" s="499" t="str">
        <f>IFERROR(VLOOKUP(F240,'G-7 Rivers Data'!$C$4:$D$8,2,FALSE),"")</f>
        <v/>
      </c>
      <c r="H240" s="145"/>
      <c r="I240" s="499" t="str">
        <f>IFERROR(INDEX('G-7 Rivers Data'!$H$4:$L$8,MATCH(D240,'G-7 Rivers Data'!$B$4:$B$8,0),MATCH(H240,'G-7 Rivers Data'!$H$3:$L$3,0)),"")</f>
        <v/>
      </c>
      <c r="J240" s="418"/>
      <c r="K240" s="498" t="str">
        <f>IF(J240="","",IF(VLOOKUP(J240,'G-7 Rivers Data'!$AK$4:$AM$9,2,FALSE)=0,"Spatial Data Missing ⚠",VLOOKUP(J240,'G-7 Rivers Data'!$AK$4:$AM$9,2,FALSE)))</f>
        <v/>
      </c>
      <c r="L240" s="505"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Data'!$B$2:$G$8,6,FALSE))</f>
        <v/>
      </c>
      <c r="R240" s="513" t="str">
        <f t="shared" si="24"/>
        <v/>
      </c>
      <c r="S240" s="40"/>
      <c r="T240" s="145"/>
      <c r="U240" s="157"/>
      <c r="V240" s="511" t="str">
        <f t="shared" si="25"/>
        <v/>
      </c>
      <c r="W240" s="511" t="str">
        <f t="shared" si="26"/>
        <v/>
      </c>
      <c r="X240" s="511" t="str">
        <f t="shared" si="27"/>
        <v/>
      </c>
      <c r="Y240" s="515"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8" x14ac:dyDescent="0.25">
      <c r="C241" s="141">
        <v>232</v>
      </c>
      <c r="D241" s="460"/>
      <c r="E241" s="172"/>
      <c r="F241" s="498" t="str">
        <f>IF(D241="","",VLOOKUP(D241,'G-7 Rivers Data'!$B$2:$G$8,2,FALSE))</f>
        <v/>
      </c>
      <c r="G241" s="499" t="str">
        <f>IFERROR(VLOOKUP(F241,'G-7 Rivers Data'!$C$4:$D$8,2,FALSE),"")</f>
        <v/>
      </c>
      <c r="H241" s="145"/>
      <c r="I241" s="499" t="str">
        <f>IFERROR(INDEX('G-7 Rivers Data'!$H$4:$L$8,MATCH(D241,'G-7 Rivers Data'!$B$4:$B$8,0),MATCH(H241,'G-7 Rivers Data'!$H$3:$L$3,0)),"")</f>
        <v/>
      </c>
      <c r="J241" s="418"/>
      <c r="K241" s="498" t="str">
        <f>IF(J241="","",IF(VLOOKUP(J241,'G-7 Rivers Data'!$AK$4:$AM$9,2,FALSE)=0,"Spatial Data Missing ⚠",VLOOKUP(J241,'G-7 Rivers Data'!$AK$4:$AM$9,2,FALSE)))</f>
        <v/>
      </c>
      <c r="L241" s="505"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Data'!$B$2:$G$8,6,FALSE))</f>
        <v/>
      </c>
      <c r="R241" s="513" t="str">
        <f t="shared" si="24"/>
        <v/>
      </c>
      <c r="S241" s="40"/>
      <c r="T241" s="145"/>
      <c r="U241" s="157"/>
      <c r="V241" s="511" t="str">
        <f t="shared" si="25"/>
        <v/>
      </c>
      <c r="W241" s="511" t="str">
        <f t="shared" si="26"/>
        <v/>
      </c>
      <c r="X241" s="511" t="str">
        <f t="shared" si="27"/>
        <v/>
      </c>
      <c r="Y241" s="515"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8" x14ac:dyDescent="0.25">
      <c r="C242" s="141">
        <v>233</v>
      </c>
      <c r="D242" s="460"/>
      <c r="E242" s="172"/>
      <c r="F242" s="498" t="str">
        <f>IF(D242="","",VLOOKUP(D242,'G-7 Rivers Data'!$B$2:$G$8,2,FALSE))</f>
        <v/>
      </c>
      <c r="G242" s="499" t="str">
        <f>IFERROR(VLOOKUP(F242,'G-7 Rivers Data'!$C$4:$D$8,2,FALSE),"")</f>
        <v/>
      </c>
      <c r="H242" s="145"/>
      <c r="I242" s="499" t="str">
        <f>IFERROR(INDEX('G-7 Rivers Data'!$H$4:$L$8,MATCH(D242,'G-7 Rivers Data'!$B$4:$B$8,0),MATCH(H242,'G-7 Rivers Data'!$H$3:$L$3,0)),"")</f>
        <v/>
      </c>
      <c r="J242" s="418"/>
      <c r="K242" s="498" t="str">
        <f>IF(J242="","",IF(VLOOKUP(J242,'G-7 Rivers Data'!$AK$4:$AM$9,2,FALSE)=0,"Spatial Data Missing ⚠",VLOOKUP(J242,'G-7 Rivers Data'!$AK$4:$AM$9,2,FALSE)))</f>
        <v/>
      </c>
      <c r="L242" s="505"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Data'!$B$2:$G$8,6,FALSE))</f>
        <v/>
      </c>
      <c r="R242" s="513" t="str">
        <f t="shared" si="24"/>
        <v/>
      </c>
      <c r="S242" s="40"/>
      <c r="T242" s="145"/>
      <c r="U242" s="157"/>
      <c r="V242" s="511" t="str">
        <f t="shared" si="25"/>
        <v/>
      </c>
      <c r="W242" s="511" t="str">
        <f t="shared" si="26"/>
        <v/>
      </c>
      <c r="X242" s="511" t="str">
        <f t="shared" si="27"/>
        <v/>
      </c>
      <c r="Y242" s="515"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8" x14ac:dyDescent="0.25">
      <c r="C243" s="141">
        <v>234</v>
      </c>
      <c r="D243" s="460"/>
      <c r="E243" s="172"/>
      <c r="F243" s="498" t="str">
        <f>IF(D243="","",VLOOKUP(D243,'G-7 Rivers Data'!$B$2:$G$8,2,FALSE))</f>
        <v/>
      </c>
      <c r="G243" s="499" t="str">
        <f>IFERROR(VLOOKUP(F243,'G-7 Rivers Data'!$C$4:$D$8,2,FALSE),"")</f>
        <v/>
      </c>
      <c r="H243" s="145"/>
      <c r="I243" s="499" t="str">
        <f>IFERROR(INDEX('G-7 Rivers Data'!$H$4:$L$8,MATCH(D243,'G-7 Rivers Data'!$B$4:$B$8,0),MATCH(H243,'G-7 Rivers Data'!$H$3:$L$3,0)),"")</f>
        <v/>
      </c>
      <c r="J243" s="418"/>
      <c r="K243" s="498" t="str">
        <f>IF(J243="","",IF(VLOOKUP(J243,'G-7 Rivers Data'!$AK$4:$AM$9,2,FALSE)=0,"Spatial Data Missing ⚠",VLOOKUP(J243,'G-7 Rivers Data'!$AK$4:$AM$9,2,FALSE)))</f>
        <v/>
      </c>
      <c r="L243" s="505"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Data'!$B$2:$G$8,6,FALSE))</f>
        <v/>
      </c>
      <c r="R243" s="513" t="str">
        <f t="shared" si="24"/>
        <v/>
      </c>
      <c r="S243" s="40"/>
      <c r="T243" s="145"/>
      <c r="U243" s="157"/>
      <c r="V243" s="511" t="str">
        <f t="shared" si="25"/>
        <v/>
      </c>
      <c r="W243" s="511" t="str">
        <f t="shared" si="26"/>
        <v/>
      </c>
      <c r="X243" s="511" t="str">
        <f t="shared" si="27"/>
        <v/>
      </c>
      <c r="Y243" s="515"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8" x14ac:dyDescent="0.25">
      <c r="C244" s="141">
        <v>235</v>
      </c>
      <c r="D244" s="460"/>
      <c r="E244" s="172"/>
      <c r="F244" s="498" t="str">
        <f>IF(D244="","",VLOOKUP(D244,'G-7 Rivers Data'!$B$2:$G$8,2,FALSE))</f>
        <v/>
      </c>
      <c r="G244" s="499" t="str">
        <f>IFERROR(VLOOKUP(F244,'G-7 Rivers Data'!$C$4:$D$8,2,FALSE),"")</f>
        <v/>
      </c>
      <c r="H244" s="145"/>
      <c r="I244" s="499" t="str">
        <f>IFERROR(INDEX('G-7 Rivers Data'!$H$4:$L$8,MATCH(D244,'G-7 Rivers Data'!$B$4:$B$8,0),MATCH(H244,'G-7 Rivers Data'!$H$3:$L$3,0)),"")</f>
        <v/>
      </c>
      <c r="J244" s="418"/>
      <c r="K244" s="498" t="str">
        <f>IF(J244="","",IF(VLOOKUP(J244,'G-7 Rivers Data'!$AK$4:$AM$9,2,FALSE)=0,"Spatial Data Missing ⚠",VLOOKUP(J244,'G-7 Rivers Data'!$AK$4:$AM$9,2,FALSE)))</f>
        <v/>
      </c>
      <c r="L244" s="505"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Data'!$B$2:$G$8,6,FALSE))</f>
        <v/>
      </c>
      <c r="R244" s="513" t="str">
        <f t="shared" si="24"/>
        <v/>
      </c>
      <c r="S244" s="40"/>
      <c r="T244" s="145"/>
      <c r="U244" s="157"/>
      <c r="V244" s="511" t="str">
        <f t="shared" si="25"/>
        <v/>
      </c>
      <c r="W244" s="511" t="str">
        <f t="shared" si="26"/>
        <v/>
      </c>
      <c r="X244" s="511" t="str">
        <f t="shared" si="27"/>
        <v/>
      </c>
      <c r="Y244" s="515"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8" x14ac:dyDescent="0.25">
      <c r="C245" s="141">
        <v>236</v>
      </c>
      <c r="D245" s="460"/>
      <c r="E245" s="172"/>
      <c r="F245" s="498" t="str">
        <f>IF(D245="","",VLOOKUP(D245,'G-7 Rivers Data'!$B$2:$G$8,2,FALSE))</f>
        <v/>
      </c>
      <c r="G245" s="499" t="str">
        <f>IFERROR(VLOOKUP(F245,'G-7 Rivers Data'!$C$4:$D$8,2,FALSE),"")</f>
        <v/>
      </c>
      <c r="H245" s="145"/>
      <c r="I245" s="499" t="str">
        <f>IFERROR(INDEX('G-7 Rivers Data'!$H$4:$L$8,MATCH(D245,'G-7 Rivers Data'!$B$4:$B$8,0),MATCH(H245,'G-7 Rivers Data'!$H$3:$L$3,0)),"")</f>
        <v/>
      </c>
      <c r="J245" s="418"/>
      <c r="K245" s="498" t="str">
        <f>IF(J245="","",IF(VLOOKUP(J245,'G-7 Rivers Data'!$AK$4:$AM$9,2,FALSE)=0,"Spatial Data Missing ⚠",VLOOKUP(J245,'G-7 Rivers Data'!$AK$4:$AM$9,2,FALSE)))</f>
        <v/>
      </c>
      <c r="L245" s="505"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Data'!$B$2:$G$8,6,FALSE))</f>
        <v/>
      </c>
      <c r="R245" s="513" t="str">
        <f t="shared" si="24"/>
        <v/>
      </c>
      <c r="S245" s="40"/>
      <c r="T245" s="145"/>
      <c r="U245" s="157"/>
      <c r="V245" s="511" t="str">
        <f t="shared" si="25"/>
        <v/>
      </c>
      <c r="W245" s="511" t="str">
        <f t="shared" si="26"/>
        <v/>
      </c>
      <c r="X245" s="511" t="str">
        <f t="shared" si="27"/>
        <v/>
      </c>
      <c r="Y245" s="515"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8" x14ac:dyDescent="0.25">
      <c r="C246" s="141">
        <v>237</v>
      </c>
      <c r="D246" s="460"/>
      <c r="E246" s="172"/>
      <c r="F246" s="498" t="str">
        <f>IF(D246="","",VLOOKUP(D246,'G-7 Rivers Data'!$B$2:$G$8,2,FALSE))</f>
        <v/>
      </c>
      <c r="G246" s="499" t="str">
        <f>IFERROR(VLOOKUP(F246,'G-7 Rivers Data'!$C$4:$D$8,2,FALSE),"")</f>
        <v/>
      </c>
      <c r="H246" s="145"/>
      <c r="I246" s="499" t="str">
        <f>IFERROR(INDEX('G-7 Rivers Data'!$H$4:$L$8,MATCH(D246,'G-7 Rivers Data'!$B$4:$B$8,0),MATCH(H246,'G-7 Rivers Data'!$H$3:$L$3,0)),"")</f>
        <v/>
      </c>
      <c r="J246" s="418"/>
      <c r="K246" s="498" t="str">
        <f>IF(J246="","",IF(VLOOKUP(J246,'G-7 Rivers Data'!$AK$4:$AM$9,2,FALSE)=0,"Spatial Data Missing ⚠",VLOOKUP(J246,'G-7 Rivers Data'!$AK$4:$AM$9,2,FALSE)))</f>
        <v/>
      </c>
      <c r="L246" s="505"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Data'!$B$2:$G$8,6,FALSE))</f>
        <v/>
      </c>
      <c r="R246" s="513" t="str">
        <f t="shared" si="24"/>
        <v/>
      </c>
      <c r="S246" s="40"/>
      <c r="T246" s="145"/>
      <c r="U246" s="157"/>
      <c r="V246" s="511" t="str">
        <f t="shared" si="25"/>
        <v/>
      </c>
      <c r="W246" s="511" t="str">
        <f t="shared" si="26"/>
        <v/>
      </c>
      <c r="X246" s="511" t="str">
        <f t="shared" si="27"/>
        <v/>
      </c>
      <c r="Y246" s="515"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8" x14ac:dyDescent="0.25">
      <c r="C247" s="141">
        <v>238</v>
      </c>
      <c r="D247" s="460"/>
      <c r="E247" s="172"/>
      <c r="F247" s="498" t="str">
        <f>IF(D247="","",VLOOKUP(D247,'G-7 Rivers Data'!$B$2:$G$8,2,FALSE))</f>
        <v/>
      </c>
      <c r="G247" s="499" t="str">
        <f>IFERROR(VLOOKUP(F247,'G-7 Rivers Data'!$C$4:$D$8,2,FALSE),"")</f>
        <v/>
      </c>
      <c r="H247" s="145"/>
      <c r="I247" s="499" t="str">
        <f>IFERROR(INDEX('G-7 Rivers Data'!$H$4:$L$8,MATCH(D247,'G-7 Rivers Data'!$B$4:$B$8,0),MATCH(H247,'G-7 Rivers Data'!$H$3:$L$3,0)),"")</f>
        <v/>
      </c>
      <c r="J247" s="418"/>
      <c r="K247" s="498" t="str">
        <f>IF(J247="","",IF(VLOOKUP(J247,'G-7 Rivers Data'!$AK$4:$AM$9,2,FALSE)=0,"Spatial Data Missing ⚠",VLOOKUP(J247,'G-7 Rivers Data'!$AK$4:$AM$9,2,FALSE)))</f>
        <v/>
      </c>
      <c r="L247" s="505"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Data'!$B$2:$G$8,6,FALSE))</f>
        <v/>
      </c>
      <c r="R247" s="513" t="str">
        <f t="shared" si="24"/>
        <v/>
      </c>
      <c r="S247" s="40"/>
      <c r="T247" s="145"/>
      <c r="U247" s="157"/>
      <c r="V247" s="511" t="str">
        <f t="shared" si="25"/>
        <v/>
      </c>
      <c r="W247" s="511" t="str">
        <f t="shared" si="26"/>
        <v/>
      </c>
      <c r="X247" s="511" t="str">
        <f t="shared" si="27"/>
        <v/>
      </c>
      <c r="Y247" s="515"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8" x14ac:dyDescent="0.25">
      <c r="C248" s="141">
        <v>239</v>
      </c>
      <c r="D248" s="460"/>
      <c r="E248" s="172"/>
      <c r="F248" s="498" t="str">
        <f>IF(D248="","",VLOOKUP(D248,'G-7 Rivers Data'!$B$2:$G$8,2,FALSE))</f>
        <v/>
      </c>
      <c r="G248" s="499" t="str">
        <f>IFERROR(VLOOKUP(F248,'G-7 Rivers Data'!$C$4:$D$8,2,FALSE),"")</f>
        <v/>
      </c>
      <c r="H248" s="145"/>
      <c r="I248" s="499" t="str">
        <f>IFERROR(INDEX('G-7 Rivers Data'!$H$4:$L$8,MATCH(D248,'G-7 Rivers Data'!$B$4:$B$8,0),MATCH(H248,'G-7 Rivers Data'!$H$3:$L$3,0)),"")</f>
        <v/>
      </c>
      <c r="J248" s="418"/>
      <c r="K248" s="498" t="str">
        <f>IF(J248="","",IF(VLOOKUP(J248,'G-7 Rivers Data'!$AK$4:$AM$9,2,FALSE)=0,"Spatial Data Missing ⚠",VLOOKUP(J248,'G-7 Rivers Data'!$AK$4:$AM$9,2,FALSE)))</f>
        <v/>
      </c>
      <c r="L248" s="505"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Data'!$B$2:$G$8,6,FALSE))</f>
        <v/>
      </c>
      <c r="R248" s="513" t="str">
        <f t="shared" si="24"/>
        <v/>
      </c>
      <c r="S248" s="40"/>
      <c r="T248" s="145"/>
      <c r="U248" s="157"/>
      <c r="V248" s="511" t="str">
        <f t="shared" si="25"/>
        <v/>
      </c>
      <c r="W248" s="511" t="str">
        <f t="shared" si="26"/>
        <v/>
      </c>
      <c r="X248" s="511" t="str">
        <f t="shared" si="27"/>
        <v/>
      </c>
      <c r="Y248" s="515"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8" x14ac:dyDescent="0.25">
      <c r="C249" s="141">
        <v>240</v>
      </c>
      <c r="D249" s="460"/>
      <c r="E249" s="172"/>
      <c r="F249" s="498" t="str">
        <f>IF(D249="","",VLOOKUP(D249,'G-7 Rivers Data'!$B$2:$G$8,2,FALSE))</f>
        <v/>
      </c>
      <c r="G249" s="499" t="str">
        <f>IFERROR(VLOOKUP(F249,'G-7 Rivers Data'!$C$4:$D$8,2,FALSE),"")</f>
        <v/>
      </c>
      <c r="H249" s="145"/>
      <c r="I249" s="499" t="str">
        <f>IFERROR(INDEX('G-7 Rivers Data'!$H$4:$L$8,MATCH(D249,'G-7 Rivers Data'!$B$4:$B$8,0),MATCH(H249,'G-7 Rivers Data'!$H$3:$L$3,0)),"")</f>
        <v/>
      </c>
      <c r="J249" s="418"/>
      <c r="K249" s="498" t="str">
        <f>IF(J249="","",IF(VLOOKUP(J249,'G-7 Rivers Data'!$AK$4:$AM$9,2,FALSE)=0,"Spatial Data Missing ⚠",VLOOKUP(J249,'G-7 Rivers Data'!$AK$4:$AM$9,2,FALSE)))</f>
        <v/>
      </c>
      <c r="L249" s="505"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Data'!$B$2:$G$8,6,FALSE))</f>
        <v/>
      </c>
      <c r="R249" s="513" t="str">
        <f t="shared" si="24"/>
        <v/>
      </c>
      <c r="S249" s="40"/>
      <c r="T249" s="145"/>
      <c r="U249" s="157"/>
      <c r="V249" s="511" t="str">
        <f t="shared" si="25"/>
        <v/>
      </c>
      <c r="W249" s="511" t="str">
        <f t="shared" si="26"/>
        <v/>
      </c>
      <c r="X249" s="511" t="str">
        <f t="shared" si="27"/>
        <v/>
      </c>
      <c r="Y249" s="515"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8" x14ac:dyDescent="0.25">
      <c r="C250" s="141">
        <v>241</v>
      </c>
      <c r="D250" s="460"/>
      <c r="E250" s="172"/>
      <c r="F250" s="498" t="str">
        <f>IF(D250="","",VLOOKUP(D250,'G-7 Rivers Data'!$B$2:$G$8,2,FALSE))</f>
        <v/>
      </c>
      <c r="G250" s="499" t="str">
        <f>IFERROR(VLOOKUP(F250,'G-7 Rivers Data'!$C$4:$D$8,2,FALSE),"")</f>
        <v/>
      </c>
      <c r="H250" s="145"/>
      <c r="I250" s="499" t="str">
        <f>IFERROR(INDEX('G-7 Rivers Data'!$H$4:$L$8,MATCH(D250,'G-7 Rivers Data'!$B$4:$B$8,0),MATCH(H250,'G-7 Rivers Data'!$H$3:$L$3,0)),"")</f>
        <v/>
      </c>
      <c r="J250" s="418"/>
      <c r="K250" s="498" t="str">
        <f>IF(J250="","",IF(VLOOKUP(J250,'G-7 Rivers Data'!$AK$4:$AM$9,2,FALSE)=0,"Spatial Data Missing ⚠",VLOOKUP(J250,'G-7 Rivers Data'!$AK$4:$AM$9,2,FALSE)))</f>
        <v/>
      </c>
      <c r="L250" s="505"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Data'!$B$2:$G$8,6,FALSE))</f>
        <v/>
      </c>
      <c r="R250" s="513" t="str">
        <f t="shared" si="24"/>
        <v/>
      </c>
      <c r="S250" s="40"/>
      <c r="T250" s="145"/>
      <c r="U250" s="157"/>
      <c r="V250" s="511" t="str">
        <f t="shared" si="25"/>
        <v/>
      </c>
      <c r="W250" s="511" t="str">
        <f t="shared" si="26"/>
        <v/>
      </c>
      <c r="X250" s="511" t="str">
        <f t="shared" si="27"/>
        <v/>
      </c>
      <c r="Y250" s="515"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8" x14ac:dyDescent="0.25">
      <c r="C251" s="141">
        <v>242</v>
      </c>
      <c r="D251" s="460"/>
      <c r="E251" s="172"/>
      <c r="F251" s="498" t="str">
        <f>IF(D251="","",VLOOKUP(D251,'G-7 Rivers Data'!$B$2:$G$8,2,FALSE))</f>
        <v/>
      </c>
      <c r="G251" s="499" t="str">
        <f>IFERROR(VLOOKUP(F251,'G-7 Rivers Data'!$C$4:$D$8,2,FALSE),"")</f>
        <v/>
      </c>
      <c r="H251" s="145"/>
      <c r="I251" s="499" t="str">
        <f>IFERROR(INDEX('G-7 Rivers Data'!$H$4:$L$8,MATCH(D251,'G-7 Rivers Data'!$B$4:$B$8,0),MATCH(H251,'G-7 Rivers Data'!$H$3:$L$3,0)),"")</f>
        <v/>
      </c>
      <c r="J251" s="418"/>
      <c r="K251" s="498" t="str">
        <f>IF(J251="","",IF(VLOOKUP(J251,'G-7 Rivers Data'!$AK$4:$AM$9,2,FALSE)=0,"Spatial Data Missing ⚠",VLOOKUP(J251,'G-7 Rivers Data'!$AK$4:$AM$9,2,FALSE)))</f>
        <v/>
      </c>
      <c r="L251" s="505"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Data'!$B$2:$G$8,6,FALSE))</f>
        <v/>
      </c>
      <c r="R251" s="513" t="str">
        <f t="shared" si="24"/>
        <v/>
      </c>
      <c r="S251" s="40"/>
      <c r="T251" s="145"/>
      <c r="U251" s="157"/>
      <c r="V251" s="511" t="str">
        <f t="shared" si="25"/>
        <v/>
      </c>
      <c r="W251" s="511" t="str">
        <f t="shared" si="26"/>
        <v/>
      </c>
      <c r="X251" s="511" t="str">
        <f t="shared" si="27"/>
        <v/>
      </c>
      <c r="Y251" s="515"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8" x14ac:dyDescent="0.25">
      <c r="C252" s="141">
        <v>243</v>
      </c>
      <c r="D252" s="460"/>
      <c r="E252" s="172"/>
      <c r="F252" s="498" t="str">
        <f>IF(D252="","",VLOOKUP(D252,'G-7 Rivers Data'!$B$2:$G$8,2,FALSE))</f>
        <v/>
      </c>
      <c r="G252" s="499" t="str">
        <f>IFERROR(VLOOKUP(F252,'G-7 Rivers Data'!$C$4:$D$8,2,FALSE),"")</f>
        <v/>
      </c>
      <c r="H252" s="145"/>
      <c r="I252" s="499" t="str">
        <f>IFERROR(INDEX('G-7 Rivers Data'!$H$4:$L$8,MATCH(D252,'G-7 Rivers Data'!$B$4:$B$8,0),MATCH(H252,'G-7 Rivers Data'!$H$3:$L$3,0)),"")</f>
        <v/>
      </c>
      <c r="J252" s="418"/>
      <c r="K252" s="498" t="str">
        <f>IF(J252="","",IF(VLOOKUP(J252,'G-7 Rivers Data'!$AK$4:$AM$9,2,FALSE)=0,"Spatial Data Missing ⚠",VLOOKUP(J252,'G-7 Rivers Data'!$AK$4:$AM$9,2,FALSE)))</f>
        <v/>
      </c>
      <c r="L252" s="505"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Data'!$B$2:$G$8,6,FALSE))</f>
        <v/>
      </c>
      <c r="R252" s="513" t="str">
        <f t="shared" si="24"/>
        <v/>
      </c>
      <c r="S252" s="40"/>
      <c r="T252" s="145"/>
      <c r="U252" s="157"/>
      <c r="V252" s="511" t="str">
        <f t="shared" si="25"/>
        <v/>
      </c>
      <c r="W252" s="511" t="str">
        <f t="shared" si="26"/>
        <v/>
      </c>
      <c r="X252" s="511" t="str">
        <f t="shared" si="27"/>
        <v/>
      </c>
      <c r="Y252" s="515"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8" x14ac:dyDescent="0.25">
      <c r="C253" s="141">
        <v>244</v>
      </c>
      <c r="D253" s="460"/>
      <c r="E253" s="172"/>
      <c r="F253" s="498" t="str">
        <f>IF(D253="","",VLOOKUP(D253,'G-7 Rivers Data'!$B$2:$G$8,2,FALSE))</f>
        <v/>
      </c>
      <c r="G253" s="499" t="str">
        <f>IFERROR(VLOOKUP(F253,'G-7 Rivers Data'!$C$4:$D$8,2,FALSE),"")</f>
        <v/>
      </c>
      <c r="H253" s="145"/>
      <c r="I253" s="499" t="str">
        <f>IFERROR(INDEX('G-7 Rivers Data'!$H$4:$L$8,MATCH(D253,'G-7 Rivers Data'!$B$4:$B$8,0),MATCH(H253,'G-7 Rivers Data'!$H$3:$L$3,0)),"")</f>
        <v/>
      </c>
      <c r="J253" s="418"/>
      <c r="K253" s="498" t="str">
        <f>IF(J253="","",IF(VLOOKUP(J253,'G-7 Rivers Data'!$AK$4:$AM$9,2,FALSE)=0,"Spatial Data Missing ⚠",VLOOKUP(J253,'G-7 Rivers Data'!$AK$4:$AM$9,2,FALSE)))</f>
        <v/>
      </c>
      <c r="L253" s="505"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Data'!$B$2:$G$8,6,FALSE))</f>
        <v/>
      </c>
      <c r="R253" s="513" t="str">
        <f t="shared" si="24"/>
        <v/>
      </c>
      <c r="S253" s="40"/>
      <c r="T253" s="145"/>
      <c r="U253" s="157"/>
      <c r="V253" s="511" t="str">
        <f t="shared" si="25"/>
        <v/>
      </c>
      <c r="W253" s="511" t="str">
        <f t="shared" si="26"/>
        <v/>
      </c>
      <c r="X253" s="511" t="str">
        <f t="shared" si="27"/>
        <v/>
      </c>
      <c r="Y253" s="515"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8" x14ac:dyDescent="0.25">
      <c r="C254" s="141">
        <v>245</v>
      </c>
      <c r="D254" s="460"/>
      <c r="E254" s="172"/>
      <c r="F254" s="498" t="str">
        <f>IF(D254="","",VLOOKUP(D254,'G-7 Rivers Data'!$B$2:$G$8,2,FALSE))</f>
        <v/>
      </c>
      <c r="G254" s="499" t="str">
        <f>IFERROR(VLOOKUP(F254,'G-7 Rivers Data'!$C$4:$D$8,2,FALSE),"")</f>
        <v/>
      </c>
      <c r="H254" s="145"/>
      <c r="I254" s="499" t="str">
        <f>IFERROR(INDEX('G-7 Rivers Data'!$H$4:$L$8,MATCH(D254,'G-7 Rivers Data'!$B$4:$B$8,0),MATCH(H254,'G-7 Rivers Data'!$H$3:$L$3,0)),"")</f>
        <v/>
      </c>
      <c r="J254" s="418"/>
      <c r="K254" s="498" t="str">
        <f>IF(J254="","",IF(VLOOKUP(J254,'G-7 Rivers Data'!$AK$4:$AM$9,2,FALSE)=0,"Spatial Data Missing ⚠",VLOOKUP(J254,'G-7 Rivers Data'!$AK$4:$AM$9,2,FALSE)))</f>
        <v/>
      </c>
      <c r="L254" s="505"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Data'!$B$2:$G$8,6,FALSE))</f>
        <v/>
      </c>
      <c r="R254" s="513" t="str">
        <f t="shared" si="24"/>
        <v/>
      </c>
      <c r="S254" s="40"/>
      <c r="T254" s="145"/>
      <c r="U254" s="157"/>
      <c r="V254" s="511" t="str">
        <f t="shared" si="25"/>
        <v/>
      </c>
      <c r="W254" s="511" t="str">
        <f t="shared" si="26"/>
        <v/>
      </c>
      <c r="X254" s="511" t="str">
        <f t="shared" si="27"/>
        <v/>
      </c>
      <c r="Y254" s="515"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8" x14ac:dyDescent="0.25">
      <c r="C255" s="141">
        <v>246</v>
      </c>
      <c r="D255" s="460"/>
      <c r="E255" s="172"/>
      <c r="F255" s="498" t="str">
        <f>IF(D255="","",VLOOKUP(D255,'G-7 Rivers Data'!$B$2:$G$8,2,FALSE))</f>
        <v/>
      </c>
      <c r="G255" s="499" t="str">
        <f>IFERROR(VLOOKUP(F255,'G-7 Rivers Data'!$C$4:$D$8,2,FALSE),"")</f>
        <v/>
      </c>
      <c r="H255" s="145"/>
      <c r="I255" s="499" t="str">
        <f>IFERROR(INDEX('G-7 Rivers Data'!$H$4:$L$8,MATCH(D255,'G-7 Rivers Data'!$B$4:$B$8,0),MATCH(H255,'G-7 Rivers Data'!$H$3:$L$3,0)),"")</f>
        <v/>
      </c>
      <c r="J255" s="418"/>
      <c r="K255" s="498" t="str">
        <f>IF(J255="","",IF(VLOOKUP(J255,'G-7 Rivers Data'!$AK$4:$AM$9,2,FALSE)=0,"Spatial Data Missing ⚠",VLOOKUP(J255,'G-7 Rivers Data'!$AK$4:$AM$9,2,FALSE)))</f>
        <v/>
      </c>
      <c r="L255" s="505"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Data'!$B$2:$G$8,6,FALSE))</f>
        <v/>
      </c>
      <c r="R255" s="513" t="str">
        <f t="shared" si="24"/>
        <v/>
      </c>
      <c r="S255" s="40"/>
      <c r="T255" s="145"/>
      <c r="U255" s="157"/>
      <c r="V255" s="511" t="str">
        <f t="shared" si="25"/>
        <v/>
      </c>
      <c r="W255" s="511" t="str">
        <f t="shared" si="26"/>
        <v/>
      </c>
      <c r="X255" s="511" t="str">
        <f t="shared" si="27"/>
        <v/>
      </c>
      <c r="Y255" s="515"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5" customHeight="1" x14ac:dyDescent="0.25">
      <c r="C256" s="141">
        <v>247</v>
      </c>
      <c r="D256" s="460"/>
      <c r="E256" s="172"/>
      <c r="F256" s="498" t="str">
        <f>IF(D256="","",VLOOKUP(D256,'G-7 Rivers Data'!$B$2:$G$8,2,FALSE))</f>
        <v/>
      </c>
      <c r="G256" s="499" t="str">
        <f>IFERROR(VLOOKUP(F256,'G-7 Rivers Data'!$C$4:$D$8,2,FALSE),"")</f>
        <v/>
      </c>
      <c r="H256" s="145"/>
      <c r="I256" s="499" t="str">
        <f>IFERROR(INDEX('G-7 Rivers Data'!$H$4:$L$8,MATCH(D256,'G-7 Rivers Data'!$B$4:$B$8,0),MATCH(H256,'G-7 Rivers Data'!$H$3:$L$3,0)),"")</f>
        <v/>
      </c>
      <c r="J256" s="418"/>
      <c r="K256" s="498" t="str">
        <f>IF(J256="","",IF(VLOOKUP(J256,'G-7 Rivers Data'!$AK$4:$AM$9,2,FALSE)=0,"Spatial Data Missing ⚠",VLOOKUP(J256,'G-7 Rivers Data'!$AK$4:$AM$9,2,FALSE)))</f>
        <v/>
      </c>
      <c r="L256" s="505"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Data'!$B$2:$G$8,6,FALSE))</f>
        <v/>
      </c>
      <c r="R256" s="513" t="str">
        <f t="shared" si="24"/>
        <v/>
      </c>
      <c r="S256" s="40"/>
      <c r="T256" s="145"/>
      <c r="U256" s="157"/>
      <c r="V256" s="511" t="str">
        <f t="shared" si="25"/>
        <v/>
      </c>
      <c r="W256" s="511" t="str">
        <f t="shared" si="26"/>
        <v/>
      </c>
      <c r="X256" s="511" t="str">
        <f t="shared" si="27"/>
        <v/>
      </c>
      <c r="Y256" s="515"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5" customHeight="1" thickBot="1" x14ac:dyDescent="0.3">
      <c r="C257" s="158">
        <v>248</v>
      </c>
      <c r="D257" s="460"/>
      <c r="E257" s="172"/>
      <c r="F257" s="500" t="str">
        <f>IF(D257="","",VLOOKUP(D257,'G-7 Rivers Data'!$B$2:$G$8,2,FALSE))</f>
        <v/>
      </c>
      <c r="G257" s="501" t="str">
        <f>IFERROR(VLOOKUP(F257,'G-7 Rivers Data'!$C$4:$D$8,2,FALSE),"")</f>
        <v/>
      </c>
      <c r="H257" s="161"/>
      <c r="I257" s="501" t="str">
        <f>IFERROR(INDEX('G-7 Rivers Data'!$H$4:$L$8,MATCH(D257,'G-7 Rivers Data'!$B$4:$B$8,0),MATCH(H257,'G-7 Rivers Data'!$H$3:$L$3,0)),"")</f>
        <v/>
      </c>
      <c r="J257" s="420"/>
      <c r="K257" s="634" t="str">
        <f>IF(J257="","",IF(VLOOKUP(J257,'G-7 Rivers Data'!$AK$4:$AM$9,2,FALSE)=0,"Spatial Data Missing ⚠",VLOOKUP(J257,'G-7 Rivers Data'!$AK$4:$AM$9,2,FALSE)))</f>
        <v/>
      </c>
      <c r="L257" s="505"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10" t="str">
        <f>IF(D257="","",VLOOKUP(D257,'G-7 Rivers Data'!$B$2:$G$8,6,FALSE))</f>
        <v/>
      </c>
      <c r="R257" s="555" t="str">
        <f t="shared" si="24"/>
        <v/>
      </c>
      <c r="S257" s="40"/>
      <c r="T257" s="410"/>
      <c r="U257" s="411"/>
      <c r="V257" s="511" t="str">
        <f t="shared" si="25"/>
        <v/>
      </c>
      <c r="W257" s="511" t="str">
        <f t="shared" si="26"/>
        <v/>
      </c>
      <c r="X257" s="511" t="str">
        <f t="shared" si="27"/>
        <v/>
      </c>
      <c r="Y257" s="515"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5" customHeight="1" thickBot="1" x14ac:dyDescent="0.3">
      <c r="B258" s="31"/>
      <c r="C258" s="46"/>
      <c r="D258" s="443"/>
      <c r="E258" s="563">
        <f>SUM(E10:E257)</f>
        <v>0</v>
      </c>
      <c r="F258" s="46"/>
      <c r="G258" s="46"/>
      <c r="H258" s="46"/>
      <c r="I258" s="46"/>
      <c r="J258" s="46"/>
      <c r="K258" s="46"/>
      <c r="L258" s="46"/>
      <c r="M258" s="46"/>
      <c r="N258" s="46"/>
      <c r="O258" s="46"/>
      <c r="P258" s="1014"/>
      <c r="Q258" s="1015"/>
      <c r="R258" s="563">
        <f>SUM(R10:R257)</f>
        <v>0</v>
      </c>
      <c r="S258" s="166"/>
      <c r="T258" s="517">
        <f>SUM(T10:T257)</f>
        <v>0</v>
      </c>
      <c r="U258" s="518">
        <f>SUM(U10:U257)</f>
        <v>0</v>
      </c>
      <c r="V258" s="518">
        <f>SUM(V10:V257)</f>
        <v>0</v>
      </c>
      <c r="W258" s="518">
        <f t="shared" ref="W258:X258" si="32">SUM(W10:W257)</f>
        <v>0</v>
      </c>
      <c r="X258" s="518">
        <f t="shared" si="32"/>
        <v>0</v>
      </c>
      <c r="Y258" s="515">
        <f t="shared" si="28"/>
        <v>0</v>
      </c>
    </row>
    <row r="259" spans="2:42" ht="13.8" x14ac:dyDescent="0.25">
      <c r="B259" s="31"/>
      <c r="C259" s="31"/>
      <c r="S259" s="166"/>
      <c r="T259" s="166"/>
      <c r="U259" s="166"/>
      <c r="V259" s="166"/>
      <c r="W259" s="166"/>
      <c r="X259" s="166"/>
      <c r="Y259" s="166"/>
    </row>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3.8" x14ac:dyDescent="0.25"/>
    <row r="268" spans="2:42" ht="13.8" x14ac:dyDescent="0.25"/>
    <row r="269" spans="2:42" ht="13.8" x14ac:dyDescent="0.25"/>
    <row r="270" spans="2:42" ht="13.8" x14ac:dyDescent="0.25"/>
    <row r="271" spans="2:42" ht="13.8" x14ac:dyDescent="0.25"/>
    <row r="272" spans="2:42" ht="13.8" x14ac:dyDescent="0.25"/>
  </sheetData>
  <sheetProtection algorithmName="SHA-512" hashValue="RPH6/hYvcnhbH9aj1SIgJhUpYlBnFWyc9rs6RjzvLdvN4vXEGzJceSVasooGwnibYrIIdyuTLcYMv2zuXg97uQ==" saltValue="3v5XhrtD5G1c0cdH+ol3u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85" zoomScaleNormal="85"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1" style="31" customWidth="1"/>
    <col min="4" max="4" width="10" style="31" customWidth="1"/>
    <col min="5" max="5" width="18.33203125" style="31" customWidth="1"/>
    <col min="6" max="6" width="13.109375" style="31" customWidth="1"/>
    <col min="7" max="7" width="12.5546875" style="31" bestFit="1" customWidth="1"/>
    <col min="8" max="8" width="12.5546875" style="31" customWidth="1"/>
    <col min="9" max="9" width="33.6640625" style="31" customWidth="1"/>
    <col min="10" max="10" width="22.33203125" style="31" customWidth="1"/>
    <col min="11" max="11" width="12.33203125" style="31" customWidth="1"/>
    <col min="12" max="14" width="17.6640625" style="31" customWidth="1"/>
    <col min="15" max="15" width="23.5546875" style="31" customWidth="1"/>
    <col min="16" max="16" width="17.6640625" style="31" customWidth="1"/>
    <col min="17" max="17" width="15.33203125" style="31" customWidth="1"/>
    <col min="18" max="18" width="10.6640625" style="31" customWidth="1"/>
    <col min="19" max="19" width="21.88671875" style="31" customWidth="1"/>
    <col min="20" max="20" width="15.5546875" style="31" customWidth="1"/>
    <col min="21" max="21" width="13.88671875" style="31" customWidth="1"/>
    <col min="22" max="22" width="17.88671875" style="31" customWidth="1"/>
    <col min="23" max="23" width="12.33203125" style="31" customWidth="1"/>
    <col min="24" max="24" width="21.33203125" style="31" customWidth="1"/>
    <col min="25" max="25" width="13.33203125" style="31" customWidth="1"/>
    <col min="26" max="26" width="17.33203125" style="31" customWidth="1"/>
    <col min="27" max="28" width="34.88671875" style="31" customWidth="1"/>
    <col min="29" max="32" width="8.88671875" style="31" customWidth="1"/>
    <col min="33" max="33" width="8.88671875" style="31" hidden="1" customWidth="1"/>
    <col min="34" max="34" width="10.88671875" style="31" hidden="1" customWidth="1"/>
    <col min="35" max="16384" width="8.88671875" style="31" hidden="1"/>
  </cols>
  <sheetData>
    <row r="1" spans="2:34" ht="14.4" hidden="1" thickBot="1" x14ac:dyDescent="0.3"/>
    <row r="2" spans="2:34" ht="24.6" customHeight="1" thickBot="1" x14ac:dyDescent="0.3">
      <c r="B2" s="987" t="str">
        <f>IF([2]Start!F12="","",[2]Start!F12)</f>
        <v/>
      </c>
      <c r="C2" s="988"/>
      <c r="D2" s="988"/>
      <c r="E2" s="989"/>
    </row>
    <row r="3" spans="2:34" ht="15.6" customHeight="1" thickBot="1" x14ac:dyDescent="0.3">
      <c r="B3" s="1020" t="str">
        <f ca="1">MID(CELL("filename",A1),FIND("]",CELL("filename",A1))+1,256)</f>
        <v>C-2 Site River Creation</v>
      </c>
      <c r="C3" s="1021"/>
      <c r="D3" s="1021"/>
      <c r="E3" s="1022"/>
      <c r="L3" s="909" t="str">
        <f>IF(OR(COUNTIF(L$12:$L260,"*30+*")&gt;0,COUNTIF(P$12:$P260,"*30+*")&gt;0),"Note; Habitat selected has a time to target condition greater than 30 years. Non standard agreement may be required. ⚠","")</f>
        <v/>
      </c>
      <c r="M3" s="909"/>
      <c r="N3" s="909"/>
      <c r="O3" s="909"/>
      <c r="P3" s="909"/>
      <c r="Q3" s="909"/>
    </row>
    <row r="4" spans="2:34" ht="15" customHeight="1" thickBot="1" x14ac:dyDescent="0.3">
      <c r="B4" s="1020"/>
      <c r="C4" s="1021"/>
      <c r="D4" s="1021"/>
      <c r="E4" s="1022"/>
      <c r="L4" s="909"/>
      <c r="M4" s="909"/>
      <c r="N4" s="909"/>
      <c r="O4" s="909"/>
      <c r="P4" s="909"/>
      <c r="Q4" s="909"/>
    </row>
    <row r="5" spans="2:34" ht="26.4" customHeight="1" x14ac:dyDescent="0.25">
      <c r="L5" s="909"/>
      <c r="M5" s="909"/>
      <c r="N5" s="909"/>
      <c r="O5" s="909"/>
      <c r="P5" s="909"/>
      <c r="Q5" s="909"/>
    </row>
    <row r="6" spans="2:34" ht="23.25" customHeight="1" x14ac:dyDescent="0.25">
      <c r="L6" s="403"/>
      <c r="M6" s="403"/>
      <c r="N6" s="403"/>
      <c r="O6" s="403"/>
      <c r="P6" s="403"/>
    </row>
    <row r="7" spans="2:34" ht="6" customHeight="1" x14ac:dyDescent="0.25">
      <c r="L7" s="403"/>
      <c r="M7" s="403"/>
      <c r="N7" s="403"/>
      <c r="O7" s="403"/>
      <c r="P7" s="403"/>
    </row>
    <row r="8" spans="2:34" ht="6" customHeight="1" x14ac:dyDescent="0.25"/>
    <row r="9" spans="2:34" ht="15.75" customHeight="1" thickBot="1" x14ac:dyDescent="0.3"/>
    <row r="10" spans="2:34" s="42" customFormat="1" ht="29.25" customHeight="1" thickBot="1" x14ac:dyDescent="0.3">
      <c r="B10" s="247"/>
      <c r="C10" s="949" t="s">
        <v>301</v>
      </c>
      <c r="D10" s="949"/>
      <c r="E10" s="949" t="s">
        <v>272</v>
      </c>
      <c r="F10" s="949"/>
      <c r="G10" s="949" t="s">
        <v>273</v>
      </c>
      <c r="H10" s="949"/>
      <c r="I10" s="949" t="s">
        <v>191</v>
      </c>
      <c r="J10" s="949"/>
      <c r="K10" s="949"/>
      <c r="L10" s="970" t="s">
        <v>228</v>
      </c>
      <c r="M10" s="971"/>
      <c r="N10" s="971"/>
      <c r="O10" s="971"/>
      <c r="P10" s="971"/>
      <c r="Q10" s="972"/>
      <c r="R10" s="970" t="s">
        <v>229</v>
      </c>
      <c r="S10" s="971"/>
      <c r="T10" s="971"/>
      <c r="U10" s="972"/>
      <c r="V10" s="949" t="s">
        <v>319</v>
      </c>
      <c r="W10" s="949"/>
      <c r="X10" s="949" t="s">
        <v>320</v>
      </c>
      <c r="Y10" s="949"/>
      <c r="Z10" s="939" t="s">
        <v>329</v>
      </c>
      <c r="AA10" s="872" t="s">
        <v>196</v>
      </c>
      <c r="AB10" s="870"/>
    </row>
    <row r="11" spans="2:34" s="42" customFormat="1" ht="55.2" x14ac:dyDescent="0.25">
      <c r="B11" s="135" t="s">
        <v>254</v>
      </c>
      <c r="C11" s="201" t="s">
        <v>138</v>
      </c>
      <c r="D11" s="202" t="s">
        <v>294</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312</v>
      </c>
      <c r="R11" s="368" t="s">
        <v>238</v>
      </c>
      <c r="S11" s="201" t="s">
        <v>330</v>
      </c>
      <c r="T11" s="201" t="s">
        <v>240</v>
      </c>
      <c r="U11" s="202" t="s">
        <v>241</v>
      </c>
      <c r="V11" s="141" t="s">
        <v>322</v>
      </c>
      <c r="W11" s="359" t="s">
        <v>323</v>
      </c>
      <c r="X11" s="141" t="s">
        <v>322</v>
      </c>
      <c r="Y11" s="359" t="s">
        <v>323</v>
      </c>
      <c r="Z11" s="949"/>
      <c r="AA11" s="141" t="s">
        <v>215</v>
      </c>
      <c r="AB11" s="359" t="s">
        <v>216</v>
      </c>
      <c r="AH11" s="261" t="s">
        <v>200</v>
      </c>
    </row>
    <row r="12" spans="2:34" ht="75.900000000000006" customHeight="1" x14ac:dyDescent="0.25">
      <c r="B12" s="368">
        <v>1</v>
      </c>
      <c r="C12" s="260"/>
      <c r="D12" s="70"/>
      <c r="E12" s="498" t="str">
        <f>IF(C12="","",VLOOKUP(C12,'G-7 Rivers Data'!$B$2:$G$8,2,FALSE))</f>
        <v/>
      </c>
      <c r="F12" s="499" t="str">
        <f>IFERROR(VLOOKUP(E12,'G-7 Rivers Data'!$C$4:$D$8,2,FALSE),"")</f>
        <v/>
      </c>
      <c r="G12" s="145"/>
      <c r="H12" s="499" t="str">
        <f>IFERROR(INDEX('G-7 Rivers Data'!$H$4:$L$8,MATCH(C12,'G-7 Rivers Data'!$B$4:$B$8,0),MATCH(G12,'G-7 Rivers Data'!$H$3:$L$3,0)),"")</f>
        <v/>
      </c>
      <c r="I12" s="71"/>
      <c r="J12" s="507" t="str">
        <f>IF(I12="","",IF(VLOOKUP(I12,'G-7 Rivers Data'!$AG$4:$AI$9,2,FALSE)=0,"Spatial Data Missing ⚠",VLOOKUP(I12,'G-7 Rivers Data'!$AG$4:$AI$9,2,FALSE)))</f>
        <v/>
      </c>
      <c r="K12" s="499" t="str">
        <f>IF(I12="","",IF(VLOOKUP(I12,'G-7 Rivers Data'!$AG$4:$AI$9,3,FALSE)=0,"Spatial Data Missing ⚠",VLOOKUP(I12,'G-7 Rivers Data'!$AG$4:$AI$9,3,FALSE)))</f>
        <v/>
      </c>
      <c r="L12" s="498" t="str">
        <f>IFERROR(INDEX('G-7 Rivers Data'!$O$3:$O$7,MATCH(G12,'G-7 Rivers Data'!$N$3:$N$7,0)),"")</f>
        <v/>
      </c>
      <c r="M12" s="8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⚠","Low Difficulty - only applicable if all habitat created before losses ⚠","Standard difficulty applied"))))</f>
        <v/>
      </c>
      <c r="T12" s="540" t="str">
        <f>(IF(AND(S12="Standard difficulty applied",L12&gt;M12),R12,IF(AND(S12="Low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565" t="str">
        <f>IFERROR(IF(C12="","",D12*F12*H12*K12*Q12*U12*Y12*W12),"")</f>
        <v/>
      </c>
      <c r="AA12" s="149"/>
      <c r="AB12" s="150"/>
      <c r="AH12" s="31" t="str">
        <f>IFERROR(INDEX('G-7 Rivers Data'!$AZ$3:$AZ$7,MATCH(C12,'G-7 Rivers Data'!$AY$3:$AY$7,0)),"")</f>
        <v/>
      </c>
    </row>
    <row r="13" spans="2:34" ht="13.8" x14ac:dyDescent="0.25">
      <c r="B13" s="141">
        <v>2</v>
      </c>
      <c r="C13" s="168"/>
      <c r="D13" s="70"/>
      <c r="E13" s="498" t="str">
        <f>IF(C13="","",VLOOKUP(C13,'G-7 Rivers Data'!$B$2:$G$8,2,FALSE))</f>
        <v/>
      </c>
      <c r="F13" s="499" t="str">
        <f>IFERROR(VLOOKUP(E13,'G-7 Rivers Data'!$C$4:$D$8,2,FALSE),"")</f>
        <v/>
      </c>
      <c r="G13" s="145"/>
      <c r="H13" s="499" t="str">
        <f>IFERROR(INDEX('G-7 Rivers Data'!$H$4:$L$8,MATCH(C13,'G-7 Rivers Data'!$B$4:$B$8,0),MATCH(G13,'G-7 Rivers Data'!$H$3:$L$3,0)),"")</f>
        <v/>
      </c>
      <c r="I13" s="146"/>
      <c r="J13" s="507" t="str">
        <f>IF(I13="","",IF(VLOOKUP(I13,'G-7 Rivers Data'!$AG$4:$AI$9,2,FALSE)=0,"Spatial Data Missing ⚠",VLOOKUP(I13,'G-7 Rivers Data'!$AG$4:$AI$9,2,FALSE)))</f>
        <v/>
      </c>
      <c r="K13" s="499" t="str">
        <f>IF(I13="","",IF(VLOOKUP(I13,'G-7 Rivers Data'!$AG$4:$AI$9,3,FALSE)=0,"Spatial Data Missing ⚠",VLOOKUP(I13,'G-7 Rivers Data'!$AG$4:$AI$9,3,FALSE)))</f>
        <v/>
      </c>
      <c r="L13" s="498" t="str">
        <f>IFERROR(INDEX('G-7 Rivers Data'!$O$3:$O$7,MATCH(G13,'G-7 Rivers Data'!$N$3:$N$7,0)),"")</f>
        <v/>
      </c>
      <c r="M13" s="8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⚠","Low Difficulty - only applicable if all habitat created before losses ⚠","Standard difficulty applied"))))</f>
        <v/>
      </c>
      <c r="T13" s="540" t="str">
        <f t="shared" ref="T13:T76" si="4">(IF(AND(S13="Standard difficulty applied",L13&gt;M13),R13,IF(AND(S13="Low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565" t="str">
        <f t="shared" ref="Z13:Z76" si="6">IFERROR(IF(C13="","",D13*F13*H13*K13*Q13*U13*Y13*W13),"")</f>
        <v/>
      </c>
      <c r="AA13" s="149"/>
      <c r="AB13" s="150"/>
      <c r="AH13" s="31" t="str">
        <f>IFERROR(INDEX('G-7 Rivers Data'!$AZ$3:$AZ$7,MATCH(C13,'G-7 Rivers Data'!$AY$3:$AY$7,0)),"")</f>
        <v/>
      </c>
    </row>
    <row r="14" spans="2:34" ht="13.8" x14ac:dyDescent="0.25">
      <c r="B14" s="141">
        <v>3</v>
      </c>
      <c r="C14" s="168"/>
      <c r="D14" s="70"/>
      <c r="E14" s="498" t="str">
        <f>IF(C14="","",VLOOKUP(C14,'G-7 Rivers Data'!$B$2:$G$8,2,FALSE))</f>
        <v/>
      </c>
      <c r="F14" s="499" t="str">
        <f>IFERROR(VLOOKUP(E14,'G-7 Rivers Data'!$C$4:$D$8,2,FALSE),"")</f>
        <v/>
      </c>
      <c r="G14" s="145"/>
      <c r="H14" s="499" t="str">
        <f>IFERROR(INDEX('G-7 Rivers Data'!$H$4:$L$8,MATCH(C14,'G-7 Rivers Data'!$B$4:$B$8,0),MATCH(G14,'G-7 Rivers Data'!$H$3:$L$3,0)),"")</f>
        <v/>
      </c>
      <c r="I14" s="146"/>
      <c r="J14" s="507" t="str">
        <f>IF(I14="","",IF(VLOOKUP(I14,'G-7 Rivers Data'!$AG$4:$AI$9,2,FALSE)=0,"Spatial Data Missing ⚠",VLOOKUP(I14,'G-7 Rivers Data'!$AG$4:$AI$9,2,FALSE)))</f>
        <v/>
      </c>
      <c r="K14" s="499" t="str">
        <f>IF(I14="","",IF(VLOOKUP(I14,'G-7 Rivers Data'!$AG$4:$AI$9,3,FALSE)=0,"Spatial Data Missing ⚠",VLOOKUP(I14,'G-7 Rivers Data'!$AG$4:$AI$9,3,FALSE)))</f>
        <v/>
      </c>
      <c r="L14" s="498" t="str">
        <f>IFERROR(INDEX('G-7 Rivers Data'!$O$3:$O$7,MATCH(G14,'G-7 Rivers Data'!$N$3:$N$7,0)),"")</f>
        <v/>
      </c>
      <c r="M14" s="8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565" t="str">
        <f t="shared" si="6"/>
        <v/>
      </c>
      <c r="AA14" s="149"/>
      <c r="AB14" s="150"/>
      <c r="AH14" s="31" t="str">
        <f>IFERROR(INDEX('G-7 Rivers Data'!$AZ$3:$AZ$7,MATCH(C14,'G-7 Rivers Data'!$AY$3:$AY$7,0)),"")</f>
        <v/>
      </c>
    </row>
    <row r="15" spans="2:34" ht="13.8" x14ac:dyDescent="0.25">
      <c r="B15" s="141">
        <v>4</v>
      </c>
      <c r="C15" s="168"/>
      <c r="D15" s="70"/>
      <c r="E15" s="498" t="str">
        <f>IF(C15="","",VLOOKUP(C15,'G-7 Rivers Data'!$B$2:$G$8,2,FALSE))</f>
        <v/>
      </c>
      <c r="F15" s="499" t="str">
        <f>IFERROR(VLOOKUP(E15,'G-7 Rivers Data'!$C$4:$D$8,2,FALSE),"")</f>
        <v/>
      </c>
      <c r="G15" s="145"/>
      <c r="H15" s="499" t="str">
        <f>IFERROR(INDEX('G-7 Rivers Data'!$H$4:$L$8,MATCH(C15,'G-7 Rivers Data'!$B$4:$B$8,0),MATCH(G15,'G-7 Rivers Data'!$H$3:$L$3,0)),"")</f>
        <v/>
      </c>
      <c r="I15" s="146"/>
      <c r="J15" s="507" t="str">
        <f>IF(I15="","",IF(VLOOKUP(I15,'G-7 Rivers Data'!$AG$4:$AI$9,2,FALSE)=0,"Spatial Data Missing ⚠",VLOOKUP(I15,'G-7 Rivers Data'!$AG$4:$AI$9,2,FALSE)))</f>
        <v/>
      </c>
      <c r="K15" s="499" t="str">
        <f>IF(I15="","",IF(VLOOKUP(I15,'G-7 Rivers Data'!$AG$4:$AI$9,3,FALSE)=0,"Spatial Data Missing ⚠",VLOOKUP(I15,'G-7 Rivers Data'!$AG$4:$AI$9,3,FALSE)))</f>
        <v/>
      </c>
      <c r="L15" s="498" t="str">
        <f>IFERROR(INDEX('G-7 Rivers Data'!$O$3:$O$7,MATCH(G15,'G-7 Rivers Data'!$N$3:$N$7,0)),"")</f>
        <v/>
      </c>
      <c r="M15" s="8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565" t="str">
        <f t="shared" si="6"/>
        <v/>
      </c>
      <c r="AA15" s="149"/>
      <c r="AB15" s="150"/>
      <c r="AH15" s="31" t="str">
        <f>IFERROR(INDEX('G-7 Rivers Data'!$AZ$3:$AZ$7,MATCH(C15,'G-7 Rivers Data'!$AY$3:$AY$7,0)),"")</f>
        <v/>
      </c>
    </row>
    <row r="16" spans="2:34" ht="13.8" x14ac:dyDescent="0.25">
      <c r="B16" s="141">
        <v>5</v>
      </c>
      <c r="C16" s="171"/>
      <c r="D16" s="172"/>
      <c r="E16" s="498" t="str">
        <f>IF(C16="","",VLOOKUP(C16,'G-7 Rivers Data'!$B$2:$G$8,2,FALSE))</f>
        <v/>
      </c>
      <c r="F16" s="499" t="str">
        <f>IFERROR(VLOOKUP(E16,'G-7 Rivers Data'!$C$4:$D$8,2,FALSE),"")</f>
        <v/>
      </c>
      <c r="G16" s="145"/>
      <c r="H16" s="499" t="str">
        <f>IFERROR(INDEX('G-7 Rivers Data'!$H$4:$L$8,MATCH(C16,'G-7 Rivers Data'!$B$4:$B$8,0),MATCH(G16,'G-7 Rivers Data'!$H$3:$L$3,0)),"")</f>
        <v/>
      </c>
      <c r="I16" s="146"/>
      <c r="J16" s="507" t="str">
        <f>IF(I16="","",IF(VLOOKUP(I16,'G-7 Rivers Data'!$AG$4:$AI$9,2,FALSE)=0,"Spatial Data Missing ⚠",VLOOKUP(I16,'G-7 Rivers Data'!$AG$4:$AI$9,2,FALSE)))</f>
        <v/>
      </c>
      <c r="K16" s="499" t="str">
        <f>IF(I16="","",IF(VLOOKUP(I16,'G-7 Rivers Data'!$AG$4:$AI$9,3,FALSE)=0,"Spatial Data Missing ⚠",VLOOKUP(I16,'G-7 Rivers Data'!$AG$4:$AI$9,3,FALSE)))</f>
        <v/>
      </c>
      <c r="L16" s="498" t="str">
        <f>IFERROR(INDEX('G-7 Rivers Data'!$O$3:$O$7,MATCH(G16,'G-7 Rivers Data'!$N$3:$N$7,0)),"")</f>
        <v/>
      </c>
      <c r="M16" s="8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565" t="str">
        <f t="shared" si="6"/>
        <v/>
      </c>
      <c r="AA16" s="149"/>
      <c r="AB16" s="150"/>
      <c r="AH16" s="31" t="str">
        <f>IFERROR(INDEX('G-7 Rivers Data'!$AZ$3:$AZ$7,MATCH(C16,'G-7 Rivers Data'!$AY$3:$AY$7,0)),"")</f>
        <v/>
      </c>
    </row>
    <row r="17" spans="2:34" ht="13.8" x14ac:dyDescent="0.25">
      <c r="B17" s="141">
        <v>6</v>
      </c>
      <c r="C17" s="171"/>
      <c r="D17" s="172"/>
      <c r="E17" s="498" t="str">
        <f>IF(C17="","",VLOOKUP(C17,'G-7 Rivers Data'!$B$2:$G$8,2,FALSE))</f>
        <v/>
      </c>
      <c r="F17" s="499" t="str">
        <f>IFERROR(VLOOKUP(E17,'G-7 Rivers Data'!$C$4:$D$8,2,FALSE),"")</f>
        <v/>
      </c>
      <c r="G17" s="145"/>
      <c r="H17" s="499" t="str">
        <f>IFERROR(INDEX('G-7 Rivers Data'!$H$4:$L$8,MATCH(C17,'G-7 Rivers Data'!$B$4:$B$8,0),MATCH(G17,'G-7 Rivers Data'!$H$3:$L$3,0)),"")</f>
        <v/>
      </c>
      <c r="I17" s="154"/>
      <c r="J17" s="507" t="str">
        <f>IF(I17="","",IF(VLOOKUP(I17,'G-7 Rivers Data'!$AG$4:$AI$9,2,FALSE)=0,"Spatial Data Missing ⚠",VLOOKUP(I17,'G-7 Rivers Data'!$AG$4:$AI$9,2,FALSE)))</f>
        <v/>
      </c>
      <c r="K17" s="499" t="str">
        <f>IF(I17="","",IF(VLOOKUP(I17,'G-7 Rivers Data'!$AG$4:$AI$9,3,FALSE)=0,"Spatial Data Missing ⚠",VLOOKUP(I17,'G-7 Rivers Data'!$AG$4:$AI$9,3,FALSE)))</f>
        <v/>
      </c>
      <c r="L17" s="498" t="str">
        <f>IFERROR(INDEX('G-7 Rivers Data'!$O$3:$O$7,MATCH(G17,'G-7 Rivers Data'!$N$3:$N$7,0)),"")</f>
        <v/>
      </c>
      <c r="M17" s="8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565" t="str">
        <f t="shared" si="6"/>
        <v/>
      </c>
      <c r="AA17" s="149"/>
      <c r="AB17" s="150"/>
      <c r="AH17" s="31" t="str">
        <f>IFERROR(INDEX('G-7 Rivers Data'!$AZ$3:$AZ$7,MATCH(C17,'G-7 Rivers Data'!$AY$3:$AY$7,0)),"")</f>
        <v/>
      </c>
    </row>
    <row r="18" spans="2:34" ht="13.8" x14ac:dyDescent="0.25">
      <c r="B18" s="141">
        <v>7</v>
      </c>
      <c r="C18" s="171"/>
      <c r="D18" s="172"/>
      <c r="E18" s="498" t="str">
        <f>IF(C18="","",VLOOKUP(C18,'G-7 Rivers Data'!$B$2:$G$8,2,FALSE))</f>
        <v/>
      </c>
      <c r="F18" s="499" t="str">
        <f>IFERROR(VLOOKUP(E18,'G-7 Rivers Data'!$C$4:$D$8,2,FALSE),"")</f>
        <v/>
      </c>
      <c r="G18" s="145"/>
      <c r="H18" s="499" t="str">
        <f>IFERROR(INDEX('G-7 Rivers Data'!$H$4:$L$8,MATCH(C18,'G-7 Rivers Data'!$B$4:$B$8,0),MATCH(G18,'G-7 Rivers Data'!$H$3:$L$3,0)),"")</f>
        <v/>
      </c>
      <c r="I18" s="154"/>
      <c r="J18" s="507" t="str">
        <f>IF(I18="","",IF(VLOOKUP(I18,'G-7 Rivers Data'!$AG$4:$AI$9,2,FALSE)=0,"Spatial Data Missing ⚠",VLOOKUP(I18,'G-7 Rivers Data'!$AG$4:$AI$9,2,FALSE)))</f>
        <v/>
      </c>
      <c r="K18" s="499" t="str">
        <f>IF(I18="","",IF(VLOOKUP(I18,'G-7 Rivers Data'!$AG$4:$AI$9,3,FALSE)=0,"Spatial Data Missing ⚠",VLOOKUP(I18,'G-7 Rivers Data'!$AG$4:$AI$9,3,FALSE)))</f>
        <v/>
      </c>
      <c r="L18" s="498" t="str">
        <f>IFERROR(INDEX('G-7 Rivers Data'!$O$3:$O$7,MATCH(G18,'G-7 Rivers Data'!$N$3:$N$7,0)),"")</f>
        <v/>
      </c>
      <c r="M18" s="8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565" t="str">
        <f t="shared" si="6"/>
        <v/>
      </c>
      <c r="AA18" s="149"/>
      <c r="AB18" s="150"/>
      <c r="AH18" s="31" t="str">
        <f>IFERROR(INDEX('G-7 Rivers Data'!$AZ$3:$AZ$7,MATCH(C18,'G-7 Rivers Data'!$AY$3:$AY$7,0)),"")</f>
        <v/>
      </c>
    </row>
    <row r="19" spans="2:34" ht="13.8" x14ac:dyDescent="0.25">
      <c r="B19" s="141">
        <v>8</v>
      </c>
      <c r="C19" s="171"/>
      <c r="D19" s="172"/>
      <c r="E19" s="498" t="str">
        <f>IF(C19="","",VLOOKUP(C19,'G-7 Rivers Data'!$B$2:$G$8,2,FALSE))</f>
        <v/>
      </c>
      <c r="F19" s="499" t="str">
        <f>IFERROR(VLOOKUP(E19,'G-7 Rivers Data'!$C$4:$D$8,2,FALSE),"")</f>
        <v/>
      </c>
      <c r="G19" s="145"/>
      <c r="H19" s="499" t="str">
        <f>IFERROR(INDEX('G-7 Rivers Data'!$H$4:$L$8,MATCH(C19,'G-7 Rivers Data'!$B$4:$B$8,0),MATCH(G19,'G-7 Rivers Data'!$H$3:$L$3,0)),"")</f>
        <v/>
      </c>
      <c r="I19" s="154"/>
      <c r="J19" s="507" t="str">
        <f>IF(I19="","",IF(VLOOKUP(I19,'G-7 Rivers Data'!$AG$4:$AI$9,2,FALSE)=0,"Spatial Data Missing ⚠",VLOOKUP(I19,'G-7 Rivers Data'!$AG$4:$AI$9,2,FALSE)))</f>
        <v/>
      </c>
      <c r="K19" s="499" t="str">
        <f>IF(I19="","",IF(VLOOKUP(I19,'G-7 Rivers Data'!$AG$4:$AI$9,3,FALSE)=0,"Spatial Data Missing ⚠",VLOOKUP(I19,'G-7 Rivers Data'!$AG$4:$AI$9,3,FALSE)))</f>
        <v/>
      </c>
      <c r="L19" s="498" t="str">
        <f>IFERROR(INDEX('G-7 Rivers Data'!$O$3:$O$7,MATCH(G19,'G-7 Rivers Data'!$N$3:$N$7,0)),"")</f>
        <v/>
      </c>
      <c r="M19" s="8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565" t="str">
        <f t="shared" si="6"/>
        <v/>
      </c>
      <c r="AA19" s="149"/>
      <c r="AB19" s="150"/>
      <c r="AH19" s="31" t="str">
        <f>IFERROR(INDEX('G-7 Rivers Data'!$AZ$3:$AZ$7,MATCH(C19,'G-7 Rivers Data'!$AY$3:$AY$7,0)),"")</f>
        <v/>
      </c>
    </row>
    <row r="20" spans="2:34" ht="13.8" x14ac:dyDescent="0.25">
      <c r="B20" s="141">
        <v>9</v>
      </c>
      <c r="C20" s="171"/>
      <c r="D20" s="172"/>
      <c r="E20" s="498" t="str">
        <f>IF(C20="","",VLOOKUP(C20,'G-7 Rivers Data'!$B$2:$G$8,2,FALSE))</f>
        <v/>
      </c>
      <c r="F20" s="499" t="str">
        <f>IFERROR(VLOOKUP(E20,'G-7 Rivers Data'!$C$4:$D$8,2,FALSE),"")</f>
        <v/>
      </c>
      <c r="G20" s="145"/>
      <c r="H20" s="499" t="str">
        <f>IFERROR(INDEX('G-7 Rivers Data'!$H$4:$L$8,MATCH(C20,'G-7 Rivers Data'!$B$4:$B$8,0),MATCH(G20,'G-7 Rivers Data'!$H$3:$L$3,0)),"")</f>
        <v/>
      </c>
      <c r="I20" s="154"/>
      <c r="J20" s="507" t="str">
        <f>IF(I20="","",IF(VLOOKUP(I20,'G-7 Rivers Data'!$AG$4:$AI$9,2,FALSE)=0,"Spatial Data Missing ⚠",VLOOKUP(I20,'G-7 Rivers Data'!$AG$4:$AI$9,2,FALSE)))</f>
        <v/>
      </c>
      <c r="K20" s="499" t="str">
        <f>IF(I20="","",IF(VLOOKUP(I20,'G-7 Rivers Data'!$AG$4:$AI$9,3,FALSE)=0,"Spatial Data Missing ⚠",VLOOKUP(I20,'G-7 Rivers Data'!$AG$4:$AI$9,3,FALSE)))</f>
        <v/>
      </c>
      <c r="L20" s="498" t="str">
        <f>IFERROR(INDEX('G-7 Rivers Data'!$O$3:$O$7,MATCH(G20,'G-7 Rivers Data'!$N$3:$N$7,0)),"")</f>
        <v/>
      </c>
      <c r="M20" s="8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565" t="str">
        <f t="shared" si="6"/>
        <v/>
      </c>
      <c r="AA20" s="149"/>
      <c r="AB20" s="150"/>
      <c r="AH20" s="31" t="str">
        <f>IFERROR(INDEX('G-7 Rivers Data'!$AZ$3:$AZ$7,MATCH(C20,'G-7 Rivers Data'!$AY$3:$AY$7,0)),"")</f>
        <v/>
      </c>
    </row>
    <row r="21" spans="2:34" ht="13.8" x14ac:dyDescent="0.25">
      <c r="B21" s="141">
        <v>10</v>
      </c>
      <c r="C21" s="171"/>
      <c r="D21" s="172"/>
      <c r="E21" s="498" t="str">
        <f>IF(C21="","",VLOOKUP(C21,'G-7 Rivers Data'!$B$2:$G$8,2,FALSE))</f>
        <v/>
      </c>
      <c r="F21" s="499" t="str">
        <f>IFERROR(VLOOKUP(E21,'G-7 Rivers Data'!$C$4:$D$8,2,FALSE),"")</f>
        <v/>
      </c>
      <c r="G21" s="145"/>
      <c r="H21" s="499" t="str">
        <f>IFERROR(INDEX('G-7 Rivers Data'!$H$4:$L$8,MATCH(C21,'G-7 Rivers Data'!$B$4:$B$8,0),MATCH(G21,'G-7 Rivers Data'!$H$3:$L$3,0)),"")</f>
        <v/>
      </c>
      <c r="I21" s="154"/>
      <c r="J21" s="507" t="str">
        <f>IF(I21="","",IF(VLOOKUP(I21,'G-7 Rivers Data'!$AG$4:$AI$9,2,FALSE)=0,"Spatial Data Missing ⚠",VLOOKUP(I21,'G-7 Rivers Data'!$AG$4:$AI$9,2,FALSE)))</f>
        <v/>
      </c>
      <c r="K21" s="499" t="str">
        <f>IF(I21="","",IF(VLOOKUP(I21,'G-7 Rivers Data'!$AG$4:$AI$9,3,FALSE)=0,"Spatial Data Missing ⚠",VLOOKUP(I21,'G-7 Rivers Data'!$AG$4:$AI$9,3,FALSE)))</f>
        <v/>
      </c>
      <c r="L21" s="498" t="str">
        <f>IFERROR(INDEX('G-7 Rivers Data'!$O$3:$O$7,MATCH(G21,'G-7 Rivers Data'!$N$3:$N$7,0)),"")</f>
        <v/>
      </c>
      <c r="M21" s="8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565" t="str">
        <f t="shared" si="6"/>
        <v/>
      </c>
      <c r="AA21" s="149"/>
      <c r="AB21" s="150"/>
      <c r="AH21" s="31" t="str">
        <f>IFERROR(INDEX('G-7 Rivers Data'!$AZ$3:$AZ$7,MATCH(C21,'G-7 Rivers Data'!$AY$3:$AY$7,0)),"")</f>
        <v/>
      </c>
    </row>
    <row r="22" spans="2:34" ht="13.8" x14ac:dyDescent="0.25">
      <c r="B22" s="141">
        <v>11</v>
      </c>
      <c r="C22" s="171"/>
      <c r="D22" s="172"/>
      <c r="E22" s="498" t="str">
        <f>IF(C22="","",VLOOKUP(C22,'G-7 Rivers Data'!$B$2:$G$8,2,FALSE))</f>
        <v/>
      </c>
      <c r="F22" s="499" t="str">
        <f>IFERROR(VLOOKUP(E22,'G-7 Rivers Data'!$C$4:$D$8,2,FALSE),"")</f>
        <v/>
      </c>
      <c r="G22" s="145"/>
      <c r="H22" s="499" t="str">
        <f>IFERROR(INDEX('G-7 Rivers Data'!$H$4:$L$8,MATCH(C22,'G-7 Rivers Data'!$B$4:$B$8,0),MATCH(G22,'G-7 Rivers Data'!$H$3:$L$3,0)),"")</f>
        <v/>
      </c>
      <c r="I22" s="154"/>
      <c r="J22" s="507" t="str">
        <f>IF(I22="","",IF(VLOOKUP(I22,'G-7 Rivers Data'!$AG$4:$AI$9,2,FALSE)=0,"Spatial Data Missing ⚠",VLOOKUP(I22,'G-7 Rivers Data'!$AG$4:$AI$9,2,FALSE)))</f>
        <v/>
      </c>
      <c r="K22" s="499" t="str">
        <f>IF(I22="","",IF(VLOOKUP(I22,'G-7 Rivers Data'!$AG$4:$AI$9,3,FALSE)=0,"Spatial Data Missing ⚠",VLOOKUP(I22,'G-7 Rivers Data'!$AG$4:$AI$9,3,FALSE)))</f>
        <v/>
      </c>
      <c r="L22" s="498" t="str">
        <f>IFERROR(INDEX('G-7 Rivers Data'!$O$3:$O$7,MATCH(G22,'G-7 Rivers Data'!$N$3:$N$7,0)),"")</f>
        <v/>
      </c>
      <c r="M22" s="8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565" t="str">
        <f t="shared" si="6"/>
        <v/>
      </c>
      <c r="AA22" s="149"/>
      <c r="AB22" s="150"/>
      <c r="AH22" s="31" t="str">
        <f>IFERROR(INDEX('G-7 Rivers Data'!$AZ$3:$AZ$7,MATCH(C22,'G-7 Rivers Data'!$AY$3:$AY$7,0)),"")</f>
        <v/>
      </c>
    </row>
    <row r="23" spans="2:34" ht="13.8" x14ac:dyDescent="0.25">
      <c r="B23" s="141">
        <v>12</v>
      </c>
      <c r="C23" s="171"/>
      <c r="D23" s="172"/>
      <c r="E23" s="498" t="str">
        <f>IF(C23="","",VLOOKUP(C23,'G-7 Rivers Data'!$B$2:$G$8,2,FALSE))</f>
        <v/>
      </c>
      <c r="F23" s="499" t="str">
        <f>IFERROR(VLOOKUP(E23,'G-7 Rivers Data'!$C$4:$D$8,2,FALSE),"")</f>
        <v/>
      </c>
      <c r="G23" s="145"/>
      <c r="H23" s="499" t="str">
        <f>IFERROR(INDEX('G-7 Rivers Data'!$H$4:$L$8,MATCH(C23,'G-7 Rivers Data'!$B$4:$B$8,0),MATCH(G23,'G-7 Rivers Data'!$H$3:$L$3,0)),"")</f>
        <v/>
      </c>
      <c r="I23" s="154"/>
      <c r="J23" s="507" t="str">
        <f>IF(I23="","",IF(VLOOKUP(I23,'G-7 Rivers Data'!$AG$4:$AI$9,2,FALSE)=0,"Spatial Data Missing ⚠",VLOOKUP(I23,'G-7 Rivers Data'!$AG$4:$AI$9,2,FALSE)))</f>
        <v/>
      </c>
      <c r="K23" s="499" t="str">
        <f>IF(I23="","",IF(VLOOKUP(I23,'G-7 Rivers Data'!$AG$4:$AI$9,3,FALSE)=0,"Spatial Data Missing ⚠",VLOOKUP(I23,'G-7 Rivers Data'!$AG$4:$AI$9,3,FALSE)))</f>
        <v/>
      </c>
      <c r="L23" s="498" t="str">
        <f>IFERROR(INDEX('G-7 Rivers Data'!$O$3:$O$7,MATCH(G23,'G-7 Rivers Data'!$N$3:$N$7,0)),"")</f>
        <v/>
      </c>
      <c r="M23" s="8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565" t="str">
        <f t="shared" si="6"/>
        <v/>
      </c>
      <c r="AA23" s="149"/>
      <c r="AB23" s="150"/>
      <c r="AH23" s="31" t="str">
        <f>IFERROR(INDEX('G-7 Rivers Data'!$AZ$3:$AZ$7,MATCH(C23,'G-7 Rivers Data'!$AY$3:$AY$7,0)),"")</f>
        <v/>
      </c>
    </row>
    <row r="24" spans="2:34" ht="13.8" x14ac:dyDescent="0.25">
      <c r="B24" s="141">
        <v>13</v>
      </c>
      <c r="C24" s="171"/>
      <c r="D24" s="172"/>
      <c r="E24" s="498" t="str">
        <f>IF(C24="","",VLOOKUP(C24,'G-7 Rivers Data'!$B$2:$G$8,2,FALSE))</f>
        <v/>
      </c>
      <c r="F24" s="499" t="str">
        <f>IFERROR(VLOOKUP(E24,'G-7 Rivers Data'!$C$4:$D$8,2,FALSE),"")</f>
        <v/>
      </c>
      <c r="G24" s="145"/>
      <c r="H24" s="499" t="str">
        <f>IFERROR(INDEX('G-7 Rivers Data'!$H$4:$L$8,MATCH(C24,'G-7 Rivers Data'!$B$4:$B$8,0),MATCH(G24,'G-7 Rivers Data'!$H$3:$L$3,0)),"")</f>
        <v/>
      </c>
      <c r="I24" s="154"/>
      <c r="J24" s="507" t="str">
        <f>IF(I24="","",IF(VLOOKUP(I24,'G-7 Rivers Data'!$AG$4:$AI$9,2,FALSE)=0,"Spatial Data Missing ⚠",VLOOKUP(I24,'G-7 Rivers Data'!$AG$4:$AI$9,2,FALSE)))</f>
        <v/>
      </c>
      <c r="K24" s="499" t="str">
        <f>IF(I24="","",IF(VLOOKUP(I24,'G-7 Rivers Data'!$AG$4:$AI$9,3,FALSE)=0,"Spatial Data Missing ⚠",VLOOKUP(I24,'G-7 Rivers Data'!$AG$4:$AI$9,3,FALSE)))</f>
        <v/>
      </c>
      <c r="L24" s="498" t="str">
        <f>IFERROR(INDEX('G-7 Rivers Data'!$O$3:$O$7,MATCH(G24,'G-7 Rivers Data'!$N$3:$N$7,0)),"")</f>
        <v/>
      </c>
      <c r="M24" s="8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565" t="str">
        <f t="shared" si="6"/>
        <v/>
      </c>
      <c r="AA24" s="149"/>
      <c r="AB24" s="150"/>
      <c r="AH24" s="31" t="str">
        <f>IFERROR(INDEX('G-7 Rivers Data'!$AZ$3:$AZ$7,MATCH(C24,'G-7 Rivers Data'!$AY$3:$AY$7,0)),"")</f>
        <v/>
      </c>
    </row>
    <row r="25" spans="2:34" ht="13.8" x14ac:dyDescent="0.25">
      <c r="B25" s="141">
        <v>14</v>
      </c>
      <c r="C25" s="171"/>
      <c r="D25" s="172"/>
      <c r="E25" s="498" t="str">
        <f>IF(C25="","",VLOOKUP(C25,'G-7 Rivers Data'!$B$2:$G$8,2,FALSE))</f>
        <v/>
      </c>
      <c r="F25" s="499" t="str">
        <f>IFERROR(VLOOKUP(E25,'G-7 Rivers Data'!$C$4:$D$8,2,FALSE),"")</f>
        <v/>
      </c>
      <c r="G25" s="145"/>
      <c r="H25" s="499" t="str">
        <f>IFERROR(INDEX('G-7 Rivers Data'!$H$4:$L$8,MATCH(C25,'G-7 Rivers Data'!$B$4:$B$8,0),MATCH(G25,'G-7 Rivers Data'!$H$3:$L$3,0)),"")</f>
        <v/>
      </c>
      <c r="I25" s="154"/>
      <c r="J25" s="507" t="str">
        <f>IF(I25="","",IF(VLOOKUP(I25,'G-7 Rivers Data'!$AG$4:$AI$9,2,FALSE)=0,"Spatial Data Missing ⚠",VLOOKUP(I25,'G-7 Rivers Data'!$AG$4:$AI$9,2,FALSE)))</f>
        <v/>
      </c>
      <c r="K25" s="499" t="str">
        <f>IF(I25="","",IF(VLOOKUP(I25,'G-7 Rivers Data'!$AG$4:$AI$9,3,FALSE)=0,"Spatial Data Missing ⚠",VLOOKUP(I25,'G-7 Rivers Data'!$AG$4:$AI$9,3,FALSE)))</f>
        <v/>
      </c>
      <c r="L25" s="498" t="str">
        <f>IFERROR(INDEX('G-7 Rivers Data'!$O$3:$O$7,MATCH(G25,'G-7 Rivers Data'!$N$3:$N$7,0)),"")</f>
        <v/>
      </c>
      <c r="M25" s="8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565" t="str">
        <f t="shared" si="6"/>
        <v/>
      </c>
      <c r="AA25" s="149"/>
      <c r="AB25" s="150"/>
      <c r="AH25" s="31" t="str">
        <f>IFERROR(INDEX('G-7 Rivers Data'!$AZ$3:$AZ$7,MATCH(C25,'G-7 Rivers Data'!$AY$3:$AY$7,0)),"")</f>
        <v/>
      </c>
    </row>
    <row r="26" spans="2:34" ht="13.8" x14ac:dyDescent="0.25">
      <c r="B26" s="141">
        <v>15</v>
      </c>
      <c r="C26" s="171"/>
      <c r="D26" s="172"/>
      <c r="E26" s="498" t="str">
        <f>IF(C26="","",VLOOKUP(C26,'G-7 Rivers Data'!$B$2:$G$8,2,FALSE))</f>
        <v/>
      </c>
      <c r="F26" s="499" t="str">
        <f>IFERROR(VLOOKUP(E26,'G-7 Rivers Data'!$C$4:$D$8,2,FALSE),"")</f>
        <v/>
      </c>
      <c r="G26" s="145"/>
      <c r="H26" s="499" t="str">
        <f>IFERROR(INDEX('G-7 Rivers Data'!$H$4:$L$8,MATCH(C26,'G-7 Rivers Data'!$B$4:$B$8,0),MATCH(G26,'G-7 Rivers Data'!$H$3:$L$3,0)),"")</f>
        <v/>
      </c>
      <c r="I26" s="154"/>
      <c r="J26" s="507" t="str">
        <f>IF(I26="","",IF(VLOOKUP(I26,'G-7 Rivers Data'!$AG$4:$AI$9,2,FALSE)=0,"Spatial Data Missing ⚠",VLOOKUP(I26,'G-7 Rivers Data'!$AG$4:$AI$9,2,FALSE)))</f>
        <v/>
      </c>
      <c r="K26" s="499" t="str">
        <f>IF(I26="","",IF(VLOOKUP(I26,'G-7 Rivers Data'!$AG$4:$AI$9,3,FALSE)=0,"Spatial Data Missing ⚠",VLOOKUP(I26,'G-7 Rivers Data'!$AG$4:$AI$9,3,FALSE)))</f>
        <v/>
      </c>
      <c r="L26" s="498" t="str">
        <f>IFERROR(INDEX('G-7 Rivers Data'!$O$3:$O$7,MATCH(G26,'G-7 Rivers Data'!$N$3:$N$7,0)),"")</f>
        <v/>
      </c>
      <c r="M26" s="8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565" t="str">
        <f t="shared" si="6"/>
        <v/>
      </c>
      <c r="AA26" s="149"/>
      <c r="AB26" s="150"/>
      <c r="AH26" s="31" t="str">
        <f>IFERROR(INDEX('G-7 Rivers Data'!$AZ$3:$AZ$7,MATCH(C26,'G-7 Rivers Data'!$AY$3:$AY$7,0)),"")</f>
        <v/>
      </c>
    </row>
    <row r="27" spans="2:34" ht="13.8" x14ac:dyDescent="0.25">
      <c r="B27" s="141">
        <v>16</v>
      </c>
      <c r="C27" s="171"/>
      <c r="D27" s="172"/>
      <c r="E27" s="498" t="str">
        <f>IF(C27="","",VLOOKUP(C27,'G-7 Rivers Data'!$B$2:$G$8,2,FALSE))</f>
        <v/>
      </c>
      <c r="F27" s="499" t="str">
        <f>IFERROR(VLOOKUP(E27,'G-7 Rivers Data'!$C$4:$D$8,2,FALSE),"")</f>
        <v/>
      </c>
      <c r="G27" s="145"/>
      <c r="H27" s="499" t="str">
        <f>IFERROR(INDEX('G-7 Rivers Data'!$H$4:$L$8,MATCH(C27,'G-7 Rivers Data'!$B$4:$B$8,0),MATCH(G27,'G-7 Rivers Data'!$H$3:$L$3,0)),"")</f>
        <v/>
      </c>
      <c r="I27" s="154"/>
      <c r="J27" s="507" t="str">
        <f>IF(I27="","",IF(VLOOKUP(I27,'G-7 Rivers Data'!$AG$4:$AI$9,2,FALSE)=0,"Spatial Data Missing ⚠",VLOOKUP(I27,'G-7 Rivers Data'!$AG$4:$AI$9,2,FALSE)))</f>
        <v/>
      </c>
      <c r="K27" s="499" t="str">
        <f>IF(I27="","",IF(VLOOKUP(I27,'G-7 Rivers Data'!$AG$4:$AI$9,3,FALSE)=0,"Spatial Data Missing ⚠",VLOOKUP(I27,'G-7 Rivers Data'!$AG$4:$AI$9,3,FALSE)))</f>
        <v/>
      </c>
      <c r="L27" s="498" t="str">
        <f>IFERROR(INDEX('G-7 Rivers Data'!$O$3:$O$7,MATCH(G27,'G-7 Rivers Data'!$N$3:$N$7,0)),"")</f>
        <v/>
      </c>
      <c r="M27" s="8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565" t="str">
        <f t="shared" si="6"/>
        <v/>
      </c>
      <c r="AA27" s="149"/>
      <c r="AB27" s="150"/>
      <c r="AH27" s="31" t="str">
        <f>IFERROR(INDEX('G-7 Rivers Data'!$AZ$3:$AZ$7,MATCH(C27,'G-7 Rivers Data'!$AY$3:$AY$7,0)),"")</f>
        <v/>
      </c>
    </row>
    <row r="28" spans="2:34" ht="13.8" x14ac:dyDescent="0.25">
      <c r="B28" s="141">
        <v>17</v>
      </c>
      <c r="C28" s="171"/>
      <c r="D28" s="172"/>
      <c r="E28" s="498" t="str">
        <f>IF(C28="","",VLOOKUP(C28,'G-7 Rivers Data'!$B$2:$G$8,2,FALSE))</f>
        <v/>
      </c>
      <c r="F28" s="499" t="str">
        <f>IFERROR(VLOOKUP(E28,'G-7 Rivers Data'!$C$4:$D$8,2,FALSE),"")</f>
        <v/>
      </c>
      <c r="G28" s="145"/>
      <c r="H28" s="499" t="str">
        <f>IFERROR(INDEX('G-7 Rivers Data'!$H$4:$L$8,MATCH(C28,'G-7 Rivers Data'!$B$4:$B$8,0),MATCH(G28,'G-7 Rivers Data'!$H$3:$L$3,0)),"")</f>
        <v/>
      </c>
      <c r="I28" s="154"/>
      <c r="J28" s="507" t="str">
        <f>IF(I28="","",IF(VLOOKUP(I28,'G-7 Rivers Data'!$AG$4:$AI$9,2,FALSE)=0,"Spatial Data Missing ⚠",VLOOKUP(I28,'G-7 Rivers Data'!$AG$4:$AI$9,2,FALSE)))</f>
        <v/>
      </c>
      <c r="K28" s="499" t="str">
        <f>IF(I28="","",IF(VLOOKUP(I28,'G-7 Rivers Data'!$AG$4:$AI$9,3,FALSE)=0,"Spatial Data Missing ⚠",VLOOKUP(I28,'G-7 Rivers Data'!$AG$4:$AI$9,3,FALSE)))</f>
        <v/>
      </c>
      <c r="L28" s="498" t="str">
        <f>IFERROR(INDEX('G-7 Rivers Data'!$O$3:$O$7,MATCH(G28,'G-7 Rivers Data'!$N$3:$N$7,0)),"")</f>
        <v/>
      </c>
      <c r="M28" s="8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565" t="str">
        <f t="shared" si="6"/>
        <v/>
      </c>
      <c r="AA28" s="149"/>
      <c r="AB28" s="150"/>
      <c r="AH28" s="31" t="str">
        <f>IFERROR(INDEX('G-7 Rivers Data'!$AZ$3:$AZ$7,MATCH(C28,'G-7 Rivers Data'!$AY$3:$AY$7,0)),"")</f>
        <v/>
      </c>
    </row>
    <row r="29" spans="2:34" ht="13.8" x14ac:dyDescent="0.25">
      <c r="B29" s="141">
        <v>18</v>
      </c>
      <c r="C29" s="171"/>
      <c r="D29" s="172"/>
      <c r="E29" s="498" t="str">
        <f>IF(C29="","",VLOOKUP(C29,'G-7 Rivers Data'!$B$2:$G$8,2,FALSE))</f>
        <v/>
      </c>
      <c r="F29" s="499" t="str">
        <f>IFERROR(VLOOKUP(E29,'G-7 Rivers Data'!$C$4:$D$8,2,FALSE),"")</f>
        <v/>
      </c>
      <c r="G29" s="145"/>
      <c r="H29" s="499" t="str">
        <f>IFERROR(INDEX('G-7 Rivers Data'!$H$4:$L$8,MATCH(C29,'G-7 Rivers Data'!$B$4:$B$8,0),MATCH(G29,'G-7 Rivers Data'!$H$3:$L$3,0)),"")</f>
        <v/>
      </c>
      <c r="I29" s="154"/>
      <c r="J29" s="507" t="str">
        <f>IF(I29="","",IF(VLOOKUP(I29,'G-7 Rivers Data'!$AG$4:$AI$9,2,FALSE)=0,"Spatial Data Missing ⚠",VLOOKUP(I29,'G-7 Rivers Data'!$AG$4:$AI$9,2,FALSE)))</f>
        <v/>
      </c>
      <c r="K29" s="499" t="str">
        <f>IF(I29="","",IF(VLOOKUP(I29,'G-7 Rivers Data'!$AG$4:$AI$9,3,FALSE)=0,"Spatial Data Missing ⚠",VLOOKUP(I29,'G-7 Rivers Data'!$AG$4:$AI$9,3,FALSE)))</f>
        <v/>
      </c>
      <c r="L29" s="498" t="str">
        <f>IFERROR(INDEX('G-7 Rivers Data'!$O$3:$O$7,MATCH(G29,'G-7 Rivers Data'!$N$3:$N$7,0)),"")</f>
        <v/>
      </c>
      <c r="M29" s="8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565" t="str">
        <f t="shared" si="6"/>
        <v/>
      </c>
      <c r="AA29" s="149"/>
      <c r="AB29" s="150"/>
      <c r="AH29" s="31" t="str">
        <f>IFERROR(INDEX('G-7 Rivers Data'!$AZ$3:$AZ$7,MATCH(C29,'G-7 Rivers Data'!$AY$3:$AY$7,0)),"")</f>
        <v/>
      </c>
    </row>
    <row r="30" spans="2:34" ht="13.8" x14ac:dyDescent="0.25">
      <c r="B30" s="141">
        <v>19</v>
      </c>
      <c r="C30" s="171"/>
      <c r="D30" s="172"/>
      <c r="E30" s="498" t="str">
        <f>IF(C30="","",VLOOKUP(C30,'G-7 Rivers Data'!$B$2:$G$8,2,FALSE))</f>
        <v/>
      </c>
      <c r="F30" s="499" t="str">
        <f>IFERROR(VLOOKUP(E30,'G-7 Rivers Data'!$C$4:$D$8,2,FALSE),"")</f>
        <v/>
      </c>
      <c r="G30" s="145"/>
      <c r="H30" s="499" t="str">
        <f>IFERROR(INDEX('G-7 Rivers Data'!$H$4:$L$8,MATCH(C30,'G-7 Rivers Data'!$B$4:$B$8,0),MATCH(G30,'G-7 Rivers Data'!$H$3:$L$3,0)),"")</f>
        <v/>
      </c>
      <c r="I30" s="154"/>
      <c r="J30" s="507" t="str">
        <f>IF(I30="","",IF(VLOOKUP(I30,'G-7 Rivers Data'!$AG$4:$AI$9,2,FALSE)=0,"Spatial Data Missing ⚠",VLOOKUP(I30,'G-7 Rivers Data'!$AG$4:$AI$9,2,FALSE)))</f>
        <v/>
      </c>
      <c r="K30" s="499" t="str">
        <f>IF(I30="","",IF(VLOOKUP(I30,'G-7 Rivers Data'!$AG$4:$AI$9,3,FALSE)=0,"Spatial Data Missing ⚠",VLOOKUP(I30,'G-7 Rivers Data'!$AG$4:$AI$9,3,FALSE)))</f>
        <v/>
      </c>
      <c r="L30" s="498" t="str">
        <f>IFERROR(INDEX('G-7 Rivers Data'!$O$3:$O$7,MATCH(G30,'G-7 Rivers Data'!$N$3:$N$7,0)),"")</f>
        <v/>
      </c>
      <c r="M30" s="8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565" t="str">
        <f t="shared" si="6"/>
        <v/>
      </c>
      <c r="AA30" s="149"/>
      <c r="AB30" s="150"/>
      <c r="AH30" s="31" t="str">
        <f>IFERROR(INDEX('G-7 Rivers Data'!$AZ$3:$AZ$7,MATCH(C30,'G-7 Rivers Data'!$AY$3:$AY$7,0)),"")</f>
        <v/>
      </c>
    </row>
    <row r="31" spans="2:34" ht="13.8" x14ac:dyDescent="0.25">
      <c r="B31" s="141">
        <v>20</v>
      </c>
      <c r="C31" s="171"/>
      <c r="D31" s="172"/>
      <c r="E31" s="498" t="str">
        <f>IF(C31="","",VLOOKUP(C31,'G-7 Rivers Data'!$B$2:$G$8,2,FALSE))</f>
        <v/>
      </c>
      <c r="F31" s="499" t="str">
        <f>IFERROR(VLOOKUP(E31,'G-7 Rivers Data'!$C$4:$D$8,2,FALSE),"")</f>
        <v/>
      </c>
      <c r="G31" s="145"/>
      <c r="H31" s="499" t="str">
        <f>IFERROR(INDEX('G-7 Rivers Data'!$H$4:$L$8,MATCH(C31,'G-7 Rivers Data'!$B$4:$B$8,0),MATCH(G31,'G-7 Rivers Data'!$H$3:$L$3,0)),"")</f>
        <v/>
      </c>
      <c r="I31" s="154"/>
      <c r="J31" s="507" t="str">
        <f>IF(I31="","",IF(VLOOKUP(I31,'G-7 Rivers Data'!$AG$4:$AI$9,2,FALSE)=0,"Spatial Data Missing ⚠",VLOOKUP(I31,'G-7 Rivers Data'!$AG$4:$AI$9,2,FALSE)))</f>
        <v/>
      </c>
      <c r="K31" s="499" t="str">
        <f>IF(I31="","",IF(VLOOKUP(I31,'G-7 Rivers Data'!$AG$4:$AI$9,3,FALSE)=0,"Spatial Data Missing ⚠",VLOOKUP(I31,'G-7 Rivers Data'!$AG$4:$AI$9,3,FALSE)))</f>
        <v/>
      </c>
      <c r="L31" s="498" t="str">
        <f>IFERROR(INDEX('G-7 Rivers Data'!$O$3:$O$7,MATCH(G31,'G-7 Rivers Data'!$N$3:$N$7,0)),"")</f>
        <v/>
      </c>
      <c r="M31" s="8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565" t="str">
        <f t="shared" si="6"/>
        <v/>
      </c>
      <c r="AA31" s="149"/>
      <c r="AB31" s="150"/>
      <c r="AH31" s="31" t="str">
        <f>IFERROR(INDEX('G-7 Rivers Data'!$AZ$3:$AZ$7,MATCH(C31,'G-7 Rivers Data'!$AY$3:$AY$7,0)),"")</f>
        <v/>
      </c>
    </row>
    <row r="32" spans="2:34" ht="13.8" x14ac:dyDescent="0.25">
      <c r="B32" s="141">
        <v>21</v>
      </c>
      <c r="C32" s="171"/>
      <c r="D32" s="172"/>
      <c r="E32" s="498" t="str">
        <f>IF(C32="","",VLOOKUP(C32,'G-7 Rivers Data'!$B$2:$G$8,2,FALSE))</f>
        <v/>
      </c>
      <c r="F32" s="499" t="str">
        <f>IFERROR(VLOOKUP(E32,'G-7 Rivers Data'!$C$4:$D$8,2,FALSE),"")</f>
        <v/>
      </c>
      <c r="G32" s="145"/>
      <c r="H32" s="499" t="str">
        <f>IFERROR(INDEX('G-7 Rivers Data'!$H$4:$L$8,MATCH(C32,'G-7 Rivers Data'!$B$4:$B$8,0),MATCH(G32,'G-7 Rivers Data'!$H$3:$L$3,0)),"")</f>
        <v/>
      </c>
      <c r="I32" s="154"/>
      <c r="J32" s="507" t="str">
        <f>IF(I32="","",IF(VLOOKUP(I32,'G-7 Rivers Data'!$AG$4:$AI$9,2,FALSE)=0,"Spatial Data Missing ⚠",VLOOKUP(I32,'G-7 Rivers Data'!$AG$4:$AI$9,2,FALSE)))</f>
        <v/>
      </c>
      <c r="K32" s="499" t="str">
        <f>IF(I32="","",IF(VLOOKUP(I32,'G-7 Rivers Data'!$AG$4:$AI$9,3,FALSE)=0,"Spatial Data Missing ⚠",VLOOKUP(I32,'G-7 Rivers Data'!$AG$4:$AI$9,3,FALSE)))</f>
        <v/>
      </c>
      <c r="L32" s="498" t="str">
        <f>IFERROR(INDEX('G-7 Rivers Data'!$O$3:$O$7,MATCH(G32,'G-7 Rivers Data'!$N$3:$N$7,0)),"")</f>
        <v/>
      </c>
      <c r="M32" s="8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565" t="str">
        <f t="shared" si="6"/>
        <v/>
      </c>
      <c r="AA32" s="149"/>
      <c r="AB32" s="150"/>
      <c r="AH32" s="31" t="str">
        <f>IFERROR(INDEX('G-7 Rivers Data'!$AZ$3:$AZ$7,MATCH(C32,'G-7 Rivers Data'!$AY$3:$AY$7,0)),"")</f>
        <v/>
      </c>
    </row>
    <row r="33" spans="2:34" ht="13.8" x14ac:dyDescent="0.25">
      <c r="B33" s="141">
        <v>22</v>
      </c>
      <c r="C33" s="171"/>
      <c r="D33" s="172"/>
      <c r="E33" s="498" t="str">
        <f>IF(C33="","",VLOOKUP(C33,'G-7 Rivers Data'!$B$2:$G$8,2,FALSE))</f>
        <v/>
      </c>
      <c r="F33" s="499" t="str">
        <f>IFERROR(VLOOKUP(E33,'G-7 Rivers Data'!$C$4:$D$8,2,FALSE),"")</f>
        <v/>
      </c>
      <c r="G33" s="145"/>
      <c r="H33" s="499" t="str">
        <f>IFERROR(INDEX('G-7 Rivers Data'!$H$4:$L$8,MATCH(C33,'G-7 Rivers Data'!$B$4:$B$8,0),MATCH(G33,'G-7 Rivers Data'!$H$3:$L$3,0)),"")</f>
        <v/>
      </c>
      <c r="I33" s="154"/>
      <c r="J33" s="507" t="str">
        <f>IF(I33="","",IF(VLOOKUP(I33,'G-7 Rivers Data'!$AG$4:$AI$9,2,FALSE)=0,"Spatial Data Missing ⚠",VLOOKUP(I33,'G-7 Rivers Data'!$AG$4:$AI$9,2,FALSE)))</f>
        <v/>
      </c>
      <c r="K33" s="499" t="str">
        <f>IF(I33="","",IF(VLOOKUP(I33,'G-7 Rivers Data'!$AG$4:$AI$9,3,FALSE)=0,"Spatial Data Missing ⚠",VLOOKUP(I33,'G-7 Rivers Data'!$AG$4:$AI$9,3,FALSE)))</f>
        <v/>
      </c>
      <c r="L33" s="498" t="str">
        <f>IFERROR(INDEX('G-7 Rivers Data'!$O$3:$O$7,MATCH(G33,'G-7 Rivers Data'!$N$3:$N$7,0)),"")</f>
        <v/>
      </c>
      <c r="M33" s="8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565" t="str">
        <f t="shared" si="6"/>
        <v/>
      </c>
      <c r="AA33" s="149"/>
      <c r="AB33" s="150"/>
      <c r="AH33" s="31" t="str">
        <f>IFERROR(INDEX('G-7 Rivers Data'!$AZ$3:$AZ$7,MATCH(C33,'G-7 Rivers Data'!$AY$3:$AY$7,0)),"")</f>
        <v/>
      </c>
    </row>
    <row r="34" spans="2:34" ht="13.8" x14ac:dyDescent="0.25">
      <c r="B34" s="141">
        <v>23</v>
      </c>
      <c r="C34" s="171"/>
      <c r="D34" s="172"/>
      <c r="E34" s="498" t="str">
        <f>IF(C34="","",VLOOKUP(C34,'G-7 Rivers Data'!$B$2:$G$8,2,FALSE))</f>
        <v/>
      </c>
      <c r="F34" s="499" t="str">
        <f>IFERROR(VLOOKUP(E34,'G-7 Rivers Data'!$C$4:$D$8,2,FALSE),"")</f>
        <v/>
      </c>
      <c r="G34" s="145"/>
      <c r="H34" s="499" t="str">
        <f>IFERROR(INDEX('G-7 Rivers Data'!$H$4:$L$8,MATCH(C34,'G-7 Rivers Data'!$B$4:$B$8,0),MATCH(G34,'G-7 Rivers Data'!$H$3:$L$3,0)),"")</f>
        <v/>
      </c>
      <c r="I34" s="154"/>
      <c r="J34" s="507" t="str">
        <f>IF(I34="","",IF(VLOOKUP(I34,'G-7 Rivers Data'!$AG$4:$AI$9,2,FALSE)=0,"Spatial Data Missing ⚠",VLOOKUP(I34,'G-7 Rivers Data'!$AG$4:$AI$9,2,FALSE)))</f>
        <v/>
      </c>
      <c r="K34" s="499" t="str">
        <f>IF(I34="","",IF(VLOOKUP(I34,'G-7 Rivers Data'!$AG$4:$AI$9,3,FALSE)=0,"Spatial Data Missing ⚠",VLOOKUP(I34,'G-7 Rivers Data'!$AG$4:$AI$9,3,FALSE)))</f>
        <v/>
      </c>
      <c r="L34" s="498" t="str">
        <f>IFERROR(INDEX('G-7 Rivers Data'!$O$3:$O$7,MATCH(G34,'G-7 Rivers Data'!$N$3:$N$7,0)),"")</f>
        <v/>
      </c>
      <c r="M34" s="8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565" t="str">
        <f t="shared" si="6"/>
        <v/>
      </c>
      <c r="AA34" s="149"/>
      <c r="AB34" s="150"/>
      <c r="AH34" s="31" t="str">
        <f>IFERROR(INDEX('G-7 Rivers Data'!$AZ$3:$AZ$7,MATCH(C34,'G-7 Rivers Data'!$AY$3:$AY$7,0)),"")</f>
        <v/>
      </c>
    </row>
    <row r="35" spans="2:34" ht="13.8" x14ac:dyDescent="0.25">
      <c r="B35" s="141">
        <v>24</v>
      </c>
      <c r="C35" s="171"/>
      <c r="D35" s="172"/>
      <c r="E35" s="498" t="str">
        <f>IF(C35="","",VLOOKUP(C35,'G-7 Rivers Data'!$B$2:$G$8,2,FALSE))</f>
        <v/>
      </c>
      <c r="F35" s="499" t="str">
        <f>IFERROR(VLOOKUP(E35,'G-7 Rivers Data'!$C$4:$D$8,2,FALSE),"")</f>
        <v/>
      </c>
      <c r="G35" s="145"/>
      <c r="H35" s="499" t="str">
        <f>IFERROR(INDEX('G-7 Rivers Data'!$H$4:$L$8,MATCH(C35,'G-7 Rivers Data'!$B$4:$B$8,0),MATCH(G35,'G-7 Rivers Data'!$H$3:$L$3,0)),"")</f>
        <v/>
      </c>
      <c r="I35" s="154"/>
      <c r="J35" s="507" t="str">
        <f>IF(I35="","",IF(VLOOKUP(I35,'G-7 Rivers Data'!$AG$4:$AI$9,2,FALSE)=0,"Spatial Data Missing ⚠",VLOOKUP(I35,'G-7 Rivers Data'!$AG$4:$AI$9,2,FALSE)))</f>
        <v/>
      </c>
      <c r="K35" s="499" t="str">
        <f>IF(I35="","",IF(VLOOKUP(I35,'G-7 Rivers Data'!$AG$4:$AI$9,3,FALSE)=0,"Spatial Data Missing ⚠",VLOOKUP(I35,'G-7 Rivers Data'!$AG$4:$AI$9,3,FALSE)))</f>
        <v/>
      </c>
      <c r="L35" s="498" t="str">
        <f>IFERROR(INDEX('G-7 Rivers Data'!$O$3:$O$7,MATCH(G35,'G-7 Rivers Data'!$N$3:$N$7,0)),"")</f>
        <v/>
      </c>
      <c r="M35" s="8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565" t="str">
        <f t="shared" si="6"/>
        <v/>
      </c>
      <c r="AA35" s="149"/>
      <c r="AB35" s="150"/>
      <c r="AH35" s="31" t="str">
        <f>IFERROR(INDEX('G-7 Rivers Data'!$AZ$3:$AZ$7,MATCH(C35,'G-7 Rivers Data'!$AY$3:$AY$7,0)),"")</f>
        <v/>
      </c>
    </row>
    <row r="36" spans="2:34" ht="13.8" x14ac:dyDescent="0.25">
      <c r="B36" s="141">
        <v>25</v>
      </c>
      <c r="C36" s="171"/>
      <c r="D36" s="172"/>
      <c r="E36" s="498" t="str">
        <f>IF(C36="","",VLOOKUP(C36,'G-7 Rivers Data'!$B$2:$G$8,2,FALSE))</f>
        <v/>
      </c>
      <c r="F36" s="499" t="str">
        <f>IFERROR(VLOOKUP(E36,'G-7 Rivers Data'!$C$4:$D$8,2,FALSE),"")</f>
        <v/>
      </c>
      <c r="G36" s="145"/>
      <c r="H36" s="499" t="str">
        <f>IFERROR(INDEX('G-7 Rivers Data'!$H$4:$L$8,MATCH(C36,'G-7 Rivers Data'!$B$4:$B$8,0),MATCH(G36,'G-7 Rivers Data'!$H$3:$L$3,0)),"")</f>
        <v/>
      </c>
      <c r="I36" s="154"/>
      <c r="J36" s="507" t="str">
        <f>IF(I36="","",IF(VLOOKUP(I36,'G-7 Rivers Data'!$AG$4:$AI$9,2,FALSE)=0,"Spatial Data Missing ⚠",VLOOKUP(I36,'G-7 Rivers Data'!$AG$4:$AI$9,2,FALSE)))</f>
        <v/>
      </c>
      <c r="K36" s="499" t="str">
        <f>IF(I36="","",IF(VLOOKUP(I36,'G-7 Rivers Data'!$AG$4:$AI$9,3,FALSE)=0,"Spatial Data Missing ⚠",VLOOKUP(I36,'G-7 Rivers Data'!$AG$4:$AI$9,3,FALSE)))</f>
        <v/>
      </c>
      <c r="L36" s="498" t="str">
        <f>IFERROR(INDEX('G-7 Rivers Data'!$O$3:$O$7,MATCH(G36,'G-7 Rivers Data'!$N$3:$N$7,0)),"")</f>
        <v/>
      </c>
      <c r="M36" s="8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565" t="str">
        <f t="shared" si="6"/>
        <v/>
      </c>
      <c r="AA36" s="149"/>
      <c r="AB36" s="150"/>
      <c r="AH36" s="31" t="str">
        <f>IFERROR(INDEX('G-7 Rivers Data'!$AZ$3:$AZ$7,MATCH(C36,'G-7 Rivers Data'!$AY$3:$AY$7,0)),"")</f>
        <v/>
      </c>
    </row>
    <row r="37" spans="2:34" ht="13.8" x14ac:dyDescent="0.25">
      <c r="B37" s="141">
        <v>26</v>
      </c>
      <c r="C37" s="171"/>
      <c r="D37" s="172"/>
      <c r="E37" s="498" t="str">
        <f>IF(C37="","",VLOOKUP(C37,'G-7 Rivers Data'!$B$2:$G$8,2,FALSE))</f>
        <v/>
      </c>
      <c r="F37" s="499" t="str">
        <f>IFERROR(VLOOKUP(E37,'G-7 Rivers Data'!$C$4:$D$8,2,FALSE),"")</f>
        <v/>
      </c>
      <c r="G37" s="145"/>
      <c r="H37" s="499" t="str">
        <f>IFERROR(INDEX('G-7 Rivers Data'!$H$4:$L$8,MATCH(C37,'G-7 Rivers Data'!$B$4:$B$8,0),MATCH(G37,'G-7 Rivers Data'!$H$3:$L$3,0)),"")</f>
        <v/>
      </c>
      <c r="I37" s="154"/>
      <c r="J37" s="507" t="str">
        <f>IF(I37="","",IF(VLOOKUP(I37,'G-7 Rivers Data'!$AG$4:$AI$9,2,FALSE)=0,"Spatial Data Missing ⚠",VLOOKUP(I37,'G-7 Rivers Data'!$AG$4:$AI$9,2,FALSE)))</f>
        <v/>
      </c>
      <c r="K37" s="499" t="str">
        <f>IF(I37="","",IF(VLOOKUP(I37,'G-7 Rivers Data'!$AG$4:$AI$9,3,FALSE)=0,"Spatial Data Missing ⚠",VLOOKUP(I37,'G-7 Rivers Data'!$AG$4:$AI$9,3,FALSE)))</f>
        <v/>
      </c>
      <c r="L37" s="498" t="str">
        <f>IFERROR(INDEX('G-7 Rivers Data'!$O$3:$O$7,MATCH(G37,'G-7 Rivers Data'!$N$3:$N$7,0)),"")</f>
        <v/>
      </c>
      <c r="M37" s="8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565" t="str">
        <f t="shared" si="6"/>
        <v/>
      </c>
      <c r="AA37" s="149"/>
      <c r="AB37" s="150"/>
      <c r="AH37" s="31" t="str">
        <f>IFERROR(INDEX('G-7 Rivers Data'!$AZ$3:$AZ$7,MATCH(C37,'G-7 Rivers Data'!$AY$3:$AY$7,0)),"")</f>
        <v/>
      </c>
    </row>
    <row r="38" spans="2:34" ht="13.8" x14ac:dyDescent="0.25">
      <c r="B38" s="141">
        <v>27</v>
      </c>
      <c r="C38" s="171"/>
      <c r="D38" s="172"/>
      <c r="E38" s="498" t="str">
        <f>IF(C38="","",VLOOKUP(C38,'G-7 Rivers Data'!$B$2:$G$8,2,FALSE))</f>
        <v/>
      </c>
      <c r="F38" s="499" t="str">
        <f>IFERROR(VLOOKUP(E38,'G-7 Rivers Data'!$C$4:$D$8,2,FALSE),"")</f>
        <v/>
      </c>
      <c r="G38" s="145"/>
      <c r="H38" s="499" t="str">
        <f>IFERROR(INDEX('G-7 Rivers Data'!$H$4:$L$8,MATCH(C38,'G-7 Rivers Data'!$B$4:$B$8,0),MATCH(G38,'G-7 Rivers Data'!$H$3:$L$3,0)),"")</f>
        <v/>
      </c>
      <c r="I38" s="154"/>
      <c r="J38" s="507" t="str">
        <f>IF(I38="","",IF(VLOOKUP(I38,'G-7 Rivers Data'!$AG$4:$AI$9,2,FALSE)=0,"Spatial Data Missing ⚠",VLOOKUP(I38,'G-7 Rivers Data'!$AG$4:$AI$9,2,FALSE)))</f>
        <v/>
      </c>
      <c r="K38" s="499" t="str">
        <f>IF(I38="","",IF(VLOOKUP(I38,'G-7 Rivers Data'!$AG$4:$AI$9,3,FALSE)=0,"Spatial Data Missing ⚠",VLOOKUP(I38,'G-7 Rivers Data'!$AG$4:$AI$9,3,FALSE)))</f>
        <v/>
      </c>
      <c r="L38" s="498" t="str">
        <f>IFERROR(INDEX('G-7 Rivers Data'!$O$3:$O$7,MATCH(G38,'G-7 Rivers Data'!$N$3:$N$7,0)),"")</f>
        <v/>
      </c>
      <c r="M38" s="8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565" t="str">
        <f t="shared" si="6"/>
        <v/>
      </c>
      <c r="AA38" s="149"/>
      <c r="AB38" s="150"/>
      <c r="AH38" s="31" t="str">
        <f>IFERROR(INDEX('G-7 Rivers Data'!$AZ$3:$AZ$7,MATCH(C38,'G-7 Rivers Data'!$AY$3:$AY$7,0)),"")</f>
        <v/>
      </c>
    </row>
    <row r="39" spans="2:34" ht="13.8" x14ac:dyDescent="0.25">
      <c r="B39" s="141">
        <v>28</v>
      </c>
      <c r="C39" s="171"/>
      <c r="D39" s="172"/>
      <c r="E39" s="498" t="str">
        <f>IF(C39="","",VLOOKUP(C39,'G-7 Rivers Data'!$B$2:$G$8,2,FALSE))</f>
        <v/>
      </c>
      <c r="F39" s="499" t="str">
        <f>IFERROR(VLOOKUP(E39,'G-7 Rivers Data'!$C$4:$D$8,2,FALSE),"")</f>
        <v/>
      </c>
      <c r="G39" s="145"/>
      <c r="H39" s="499" t="str">
        <f>IFERROR(INDEX('G-7 Rivers Data'!$H$4:$L$8,MATCH(C39,'G-7 Rivers Data'!$B$4:$B$8,0),MATCH(G39,'G-7 Rivers Data'!$H$3:$L$3,0)),"")</f>
        <v/>
      </c>
      <c r="I39" s="154"/>
      <c r="J39" s="507" t="str">
        <f>IF(I39="","",IF(VLOOKUP(I39,'G-7 Rivers Data'!$AG$4:$AI$9,2,FALSE)=0,"Spatial Data Missing ⚠",VLOOKUP(I39,'G-7 Rivers Data'!$AG$4:$AI$9,2,FALSE)))</f>
        <v/>
      </c>
      <c r="K39" s="499" t="str">
        <f>IF(I39="","",IF(VLOOKUP(I39,'G-7 Rivers Data'!$AG$4:$AI$9,3,FALSE)=0,"Spatial Data Missing ⚠",VLOOKUP(I39,'G-7 Rivers Data'!$AG$4:$AI$9,3,FALSE)))</f>
        <v/>
      </c>
      <c r="L39" s="498" t="str">
        <f>IFERROR(INDEX('G-7 Rivers Data'!$O$3:$O$7,MATCH(G39,'G-7 Rivers Data'!$N$3:$N$7,0)),"")</f>
        <v/>
      </c>
      <c r="M39" s="8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565" t="str">
        <f t="shared" si="6"/>
        <v/>
      </c>
      <c r="AA39" s="149"/>
      <c r="AB39" s="150"/>
      <c r="AH39" s="31" t="str">
        <f>IFERROR(INDEX('G-7 Rivers Data'!$AZ$3:$AZ$7,MATCH(C39,'G-7 Rivers Data'!$AY$3:$AY$7,0)),"")</f>
        <v/>
      </c>
    </row>
    <row r="40" spans="2:34" ht="13.8" x14ac:dyDescent="0.25">
      <c r="B40" s="141">
        <v>29</v>
      </c>
      <c r="C40" s="171"/>
      <c r="D40" s="172"/>
      <c r="E40" s="498" t="str">
        <f>IF(C40="","",VLOOKUP(C40,'G-7 Rivers Data'!$B$2:$G$8,2,FALSE))</f>
        <v/>
      </c>
      <c r="F40" s="499" t="str">
        <f>IFERROR(VLOOKUP(E40,'G-7 Rivers Data'!$C$4:$D$8,2,FALSE),"")</f>
        <v/>
      </c>
      <c r="G40" s="145"/>
      <c r="H40" s="499" t="str">
        <f>IFERROR(INDEX('G-7 Rivers Data'!$H$4:$L$8,MATCH(C40,'G-7 Rivers Data'!$B$4:$B$8,0),MATCH(G40,'G-7 Rivers Data'!$H$3:$L$3,0)),"")</f>
        <v/>
      </c>
      <c r="I40" s="154"/>
      <c r="J40" s="507" t="str">
        <f>IF(I40="","",IF(VLOOKUP(I40,'G-7 Rivers Data'!$AG$4:$AI$9,2,FALSE)=0,"Spatial Data Missing ⚠",VLOOKUP(I40,'G-7 Rivers Data'!$AG$4:$AI$9,2,FALSE)))</f>
        <v/>
      </c>
      <c r="K40" s="499" t="str">
        <f>IF(I40="","",IF(VLOOKUP(I40,'G-7 Rivers Data'!$AG$4:$AI$9,3,FALSE)=0,"Spatial Data Missing ⚠",VLOOKUP(I40,'G-7 Rivers Data'!$AG$4:$AI$9,3,FALSE)))</f>
        <v/>
      </c>
      <c r="L40" s="498" t="str">
        <f>IFERROR(INDEX('G-7 Rivers Data'!$O$3:$O$7,MATCH(G40,'G-7 Rivers Data'!$N$3:$N$7,0)),"")</f>
        <v/>
      </c>
      <c r="M40" s="8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565" t="str">
        <f t="shared" si="6"/>
        <v/>
      </c>
      <c r="AA40" s="149"/>
      <c r="AB40" s="150"/>
      <c r="AH40" s="31" t="str">
        <f>IFERROR(INDEX('G-7 Rivers Data'!$AZ$3:$AZ$7,MATCH(C40,'G-7 Rivers Data'!$AY$3:$AY$7,0)),"")</f>
        <v/>
      </c>
    </row>
    <row r="41" spans="2:34" ht="13.8" x14ac:dyDescent="0.25">
      <c r="B41" s="141">
        <v>30</v>
      </c>
      <c r="C41" s="171"/>
      <c r="D41" s="172"/>
      <c r="E41" s="498" t="str">
        <f>IF(C41="","",VLOOKUP(C41,'G-7 Rivers Data'!$B$2:$G$8,2,FALSE))</f>
        <v/>
      </c>
      <c r="F41" s="499" t="str">
        <f>IFERROR(VLOOKUP(E41,'G-7 Rivers Data'!$C$4:$D$8,2,FALSE),"")</f>
        <v/>
      </c>
      <c r="G41" s="145"/>
      <c r="H41" s="499" t="str">
        <f>IFERROR(INDEX('G-7 Rivers Data'!$H$4:$L$8,MATCH(C41,'G-7 Rivers Data'!$B$4:$B$8,0),MATCH(G41,'G-7 Rivers Data'!$H$3:$L$3,0)),"")</f>
        <v/>
      </c>
      <c r="I41" s="154"/>
      <c r="J41" s="507" t="str">
        <f>IF(I41="","",IF(VLOOKUP(I41,'G-7 Rivers Data'!$AG$4:$AI$9,2,FALSE)=0,"Spatial Data Missing ⚠",VLOOKUP(I41,'G-7 Rivers Data'!$AG$4:$AI$9,2,FALSE)))</f>
        <v/>
      </c>
      <c r="K41" s="499" t="str">
        <f>IF(I41="","",IF(VLOOKUP(I41,'G-7 Rivers Data'!$AG$4:$AI$9,3,FALSE)=0,"Spatial Data Missing ⚠",VLOOKUP(I41,'G-7 Rivers Data'!$AG$4:$AI$9,3,FALSE)))</f>
        <v/>
      </c>
      <c r="L41" s="498" t="str">
        <f>IFERROR(INDEX('G-7 Rivers Data'!$O$3:$O$7,MATCH(G41,'G-7 Rivers Data'!$N$3:$N$7,0)),"")</f>
        <v/>
      </c>
      <c r="M41" s="8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565" t="str">
        <f t="shared" si="6"/>
        <v/>
      </c>
      <c r="AA41" s="149"/>
      <c r="AB41" s="150"/>
      <c r="AH41" s="31" t="str">
        <f>IFERROR(INDEX('G-7 Rivers Data'!$AZ$3:$AZ$7,MATCH(C41,'G-7 Rivers Data'!$AY$3:$AY$7,0)),"")</f>
        <v/>
      </c>
    </row>
    <row r="42" spans="2:34" ht="13.8" x14ac:dyDescent="0.25">
      <c r="B42" s="141">
        <v>31</v>
      </c>
      <c r="C42" s="171"/>
      <c r="D42" s="172"/>
      <c r="E42" s="498" t="str">
        <f>IF(C42="","",VLOOKUP(C42,'G-7 Rivers Data'!$B$2:$G$8,2,FALSE))</f>
        <v/>
      </c>
      <c r="F42" s="499" t="str">
        <f>IFERROR(VLOOKUP(E42,'G-7 Rivers Data'!$C$4:$D$8,2,FALSE),"")</f>
        <v/>
      </c>
      <c r="G42" s="145"/>
      <c r="H42" s="499" t="str">
        <f>IFERROR(INDEX('G-7 Rivers Data'!$H$4:$L$8,MATCH(C42,'G-7 Rivers Data'!$B$4:$B$8,0),MATCH(G42,'G-7 Rivers Data'!$H$3:$L$3,0)),"")</f>
        <v/>
      </c>
      <c r="I42" s="154"/>
      <c r="J42" s="507" t="str">
        <f>IF(I42="","",IF(VLOOKUP(I42,'G-7 Rivers Data'!$AG$4:$AI$9,2,FALSE)=0,"Spatial Data Missing ⚠",VLOOKUP(I42,'G-7 Rivers Data'!$AG$4:$AI$9,2,FALSE)))</f>
        <v/>
      </c>
      <c r="K42" s="499" t="str">
        <f>IF(I42="","",IF(VLOOKUP(I42,'G-7 Rivers Data'!$AG$4:$AI$9,3,FALSE)=0,"Spatial Data Missing ⚠",VLOOKUP(I42,'G-7 Rivers Data'!$AG$4:$AI$9,3,FALSE)))</f>
        <v/>
      </c>
      <c r="L42" s="498" t="str">
        <f>IFERROR(INDEX('G-7 Rivers Data'!$O$3:$O$7,MATCH(G42,'G-7 Rivers Data'!$N$3:$N$7,0)),"")</f>
        <v/>
      </c>
      <c r="M42" s="8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565" t="str">
        <f t="shared" si="6"/>
        <v/>
      </c>
      <c r="AA42" s="149"/>
      <c r="AB42" s="150"/>
      <c r="AH42" s="31" t="str">
        <f>IFERROR(INDEX('G-7 Rivers Data'!$AZ$3:$AZ$7,MATCH(C42,'G-7 Rivers Data'!$AY$3:$AY$7,0)),"")</f>
        <v/>
      </c>
    </row>
    <row r="43" spans="2:34" ht="13.8" x14ac:dyDescent="0.25">
      <c r="B43" s="141">
        <v>32</v>
      </c>
      <c r="C43" s="171"/>
      <c r="D43" s="172"/>
      <c r="E43" s="498" t="str">
        <f>IF(C43="","",VLOOKUP(C43,'G-7 Rivers Data'!$B$2:$G$8,2,FALSE))</f>
        <v/>
      </c>
      <c r="F43" s="499" t="str">
        <f>IFERROR(VLOOKUP(E43,'G-7 Rivers Data'!$C$4:$D$8,2,FALSE),"")</f>
        <v/>
      </c>
      <c r="G43" s="145"/>
      <c r="H43" s="499" t="str">
        <f>IFERROR(INDEX('G-7 Rivers Data'!$H$4:$L$8,MATCH(C43,'G-7 Rivers Data'!$B$4:$B$8,0),MATCH(G43,'G-7 Rivers Data'!$H$3:$L$3,0)),"")</f>
        <v/>
      </c>
      <c r="I43" s="154"/>
      <c r="J43" s="507" t="str">
        <f>IF(I43="","",IF(VLOOKUP(I43,'G-7 Rivers Data'!$AG$4:$AI$9,2,FALSE)=0,"Spatial Data Missing ⚠",VLOOKUP(I43,'G-7 Rivers Data'!$AG$4:$AI$9,2,FALSE)))</f>
        <v/>
      </c>
      <c r="K43" s="499" t="str">
        <f>IF(I43="","",IF(VLOOKUP(I43,'G-7 Rivers Data'!$AG$4:$AI$9,3,FALSE)=0,"Spatial Data Missing ⚠",VLOOKUP(I43,'G-7 Rivers Data'!$AG$4:$AI$9,3,FALSE)))</f>
        <v/>
      </c>
      <c r="L43" s="498" t="str">
        <f>IFERROR(INDEX('G-7 Rivers Data'!$O$3:$O$7,MATCH(G43,'G-7 Rivers Data'!$N$3:$N$7,0)),"")</f>
        <v/>
      </c>
      <c r="M43" s="8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565" t="str">
        <f t="shared" si="6"/>
        <v/>
      </c>
      <c r="AA43" s="149"/>
      <c r="AB43" s="150"/>
      <c r="AH43" s="31" t="str">
        <f>IFERROR(INDEX('G-7 Rivers Data'!$AZ$3:$AZ$7,MATCH(C43,'G-7 Rivers Data'!$AY$3:$AY$7,0)),"")</f>
        <v/>
      </c>
    </row>
    <row r="44" spans="2:34" ht="13.8" x14ac:dyDescent="0.25">
      <c r="B44" s="141">
        <v>33</v>
      </c>
      <c r="C44" s="171"/>
      <c r="D44" s="172"/>
      <c r="E44" s="498" t="str">
        <f>IF(C44="","",VLOOKUP(C44,'G-7 Rivers Data'!$B$2:$G$8,2,FALSE))</f>
        <v/>
      </c>
      <c r="F44" s="499" t="str">
        <f>IFERROR(VLOOKUP(E44,'G-7 Rivers Data'!$C$4:$D$8,2,FALSE),"")</f>
        <v/>
      </c>
      <c r="G44" s="145"/>
      <c r="H44" s="499" t="str">
        <f>IFERROR(INDEX('G-7 Rivers Data'!$H$4:$L$8,MATCH(C44,'G-7 Rivers Data'!$B$4:$B$8,0),MATCH(G44,'G-7 Rivers Data'!$H$3:$L$3,0)),"")</f>
        <v/>
      </c>
      <c r="I44" s="154"/>
      <c r="J44" s="507" t="str">
        <f>IF(I44="","",IF(VLOOKUP(I44,'G-7 Rivers Data'!$AG$4:$AI$9,2,FALSE)=0,"Spatial Data Missing ⚠",VLOOKUP(I44,'G-7 Rivers Data'!$AG$4:$AI$9,2,FALSE)))</f>
        <v/>
      </c>
      <c r="K44" s="499" t="str">
        <f>IF(I44="","",IF(VLOOKUP(I44,'G-7 Rivers Data'!$AG$4:$AI$9,3,FALSE)=0,"Spatial Data Missing ⚠",VLOOKUP(I44,'G-7 Rivers Data'!$AG$4:$AI$9,3,FALSE)))</f>
        <v/>
      </c>
      <c r="L44" s="498" t="str">
        <f>IFERROR(INDEX('G-7 Rivers Data'!$O$3:$O$7,MATCH(G44,'G-7 Rivers Data'!$N$3:$N$7,0)),"")</f>
        <v/>
      </c>
      <c r="M44" s="8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565" t="str">
        <f t="shared" si="6"/>
        <v/>
      </c>
      <c r="AA44" s="149"/>
      <c r="AB44" s="150"/>
      <c r="AH44" s="31" t="str">
        <f>IFERROR(INDEX('G-7 Rivers Data'!$AZ$3:$AZ$7,MATCH(C44,'G-7 Rivers Data'!$AY$3:$AY$7,0)),"")</f>
        <v/>
      </c>
    </row>
    <row r="45" spans="2:34" ht="13.8" x14ac:dyDescent="0.25">
      <c r="B45" s="141">
        <v>34</v>
      </c>
      <c r="C45" s="171"/>
      <c r="D45" s="172"/>
      <c r="E45" s="498" t="str">
        <f>IF(C45="","",VLOOKUP(C45,'G-7 Rivers Data'!$B$2:$G$8,2,FALSE))</f>
        <v/>
      </c>
      <c r="F45" s="499" t="str">
        <f>IFERROR(VLOOKUP(E45,'G-7 Rivers Data'!$C$4:$D$8,2,FALSE),"")</f>
        <v/>
      </c>
      <c r="G45" s="145"/>
      <c r="H45" s="499" t="str">
        <f>IFERROR(INDEX('G-7 Rivers Data'!$H$4:$L$8,MATCH(C45,'G-7 Rivers Data'!$B$4:$B$8,0),MATCH(G45,'G-7 Rivers Data'!$H$3:$L$3,0)),"")</f>
        <v/>
      </c>
      <c r="I45" s="154"/>
      <c r="J45" s="507" t="str">
        <f>IF(I45="","",IF(VLOOKUP(I45,'G-7 Rivers Data'!$AG$4:$AI$9,2,FALSE)=0,"Spatial Data Missing ⚠",VLOOKUP(I45,'G-7 Rivers Data'!$AG$4:$AI$9,2,FALSE)))</f>
        <v/>
      </c>
      <c r="K45" s="499" t="str">
        <f>IF(I45="","",IF(VLOOKUP(I45,'G-7 Rivers Data'!$AG$4:$AI$9,3,FALSE)=0,"Spatial Data Missing ⚠",VLOOKUP(I45,'G-7 Rivers Data'!$AG$4:$AI$9,3,FALSE)))</f>
        <v/>
      </c>
      <c r="L45" s="498" t="str">
        <f>IFERROR(INDEX('G-7 Rivers Data'!$O$3:$O$7,MATCH(G45,'G-7 Rivers Data'!$N$3:$N$7,0)),"")</f>
        <v/>
      </c>
      <c r="M45" s="8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565" t="str">
        <f t="shared" si="6"/>
        <v/>
      </c>
      <c r="AA45" s="149"/>
      <c r="AB45" s="150"/>
      <c r="AH45" s="31" t="str">
        <f>IFERROR(INDEX('G-7 Rivers Data'!$AZ$3:$AZ$7,MATCH(C45,'G-7 Rivers Data'!$AY$3:$AY$7,0)),"")</f>
        <v/>
      </c>
    </row>
    <row r="46" spans="2:34" ht="13.8" x14ac:dyDescent="0.25">
      <c r="B46" s="141">
        <v>35</v>
      </c>
      <c r="C46" s="171"/>
      <c r="D46" s="172"/>
      <c r="E46" s="498" t="str">
        <f>IF(C46="","",VLOOKUP(C46,'G-7 Rivers Data'!$B$2:$G$8,2,FALSE))</f>
        <v/>
      </c>
      <c r="F46" s="499" t="str">
        <f>IFERROR(VLOOKUP(E46,'G-7 Rivers Data'!$C$4:$D$8,2,FALSE),"")</f>
        <v/>
      </c>
      <c r="G46" s="145"/>
      <c r="H46" s="499" t="str">
        <f>IFERROR(INDEX('G-7 Rivers Data'!$H$4:$L$8,MATCH(C46,'G-7 Rivers Data'!$B$4:$B$8,0),MATCH(G46,'G-7 Rivers Data'!$H$3:$L$3,0)),"")</f>
        <v/>
      </c>
      <c r="I46" s="154"/>
      <c r="J46" s="507" t="str">
        <f>IF(I46="","",IF(VLOOKUP(I46,'G-7 Rivers Data'!$AG$4:$AI$9,2,FALSE)=0,"Spatial Data Missing ⚠",VLOOKUP(I46,'G-7 Rivers Data'!$AG$4:$AI$9,2,FALSE)))</f>
        <v/>
      </c>
      <c r="K46" s="499" t="str">
        <f>IF(I46="","",IF(VLOOKUP(I46,'G-7 Rivers Data'!$AG$4:$AI$9,3,FALSE)=0,"Spatial Data Missing ⚠",VLOOKUP(I46,'G-7 Rivers Data'!$AG$4:$AI$9,3,FALSE)))</f>
        <v/>
      </c>
      <c r="L46" s="498" t="str">
        <f>IFERROR(INDEX('G-7 Rivers Data'!$O$3:$O$7,MATCH(G46,'G-7 Rivers Data'!$N$3:$N$7,0)),"")</f>
        <v/>
      </c>
      <c r="M46" s="8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565" t="str">
        <f t="shared" si="6"/>
        <v/>
      </c>
      <c r="AA46" s="149"/>
      <c r="AB46" s="150"/>
      <c r="AH46" s="31" t="str">
        <f>IFERROR(INDEX('G-7 Rivers Data'!$AZ$3:$AZ$7,MATCH(C46,'G-7 Rivers Data'!$AY$3:$AY$7,0)),"")</f>
        <v/>
      </c>
    </row>
    <row r="47" spans="2:34" ht="13.8" x14ac:dyDescent="0.25">
      <c r="B47" s="141">
        <v>36</v>
      </c>
      <c r="C47" s="171"/>
      <c r="D47" s="172"/>
      <c r="E47" s="498" t="str">
        <f>IF(C47="","",VLOOKUP(C47,'G-7 Rivers Data'!$B$2:$G$8,2,FALSE))</f>
        <v/>
      </c>
      <c r="F47" s="499" t="str">
        <f>IFERROR(VLOOKUP(E47,'G-7 Rivers Data'!$C$4:$D$8,2,FALSE),"")</f>
        <v/>
      </c>
      <c r="G47" s="145"/>
      <c r="H47" s="499" t="str">
        <f>IFERROR(INDEX('G-7 Rivers Data'!$H$4:$L$8,MATCH(C47,'G-7 Rivers Data'!$B$4:$B$8,0),MATCH(G47,'G-7 Rivers Data'!$H$3:$L$3,0)),"")</f>
        <v/>
      </c>
      <c r="I47" s="154"/>
      <c r="J47" s="507" t="str">
        <f>IF(I47="","",IF(VLOOKUP(I47,'G-7 Rivers Data'!$AG$4:$AI$9,2,FALSE)=0,"Spatial Data Missing ⚠",VLOOKUP(I47,'G-7 Rivers Data'!$AG$4:$AI$9,2,FALSE)))</f>
        <v/>
      </c>
      <c r="K47" s="499" t="str">
        <f>IF(I47="","",IF(VLOOKUP(I47,'G-7 Rivers Data'!$AG$4:$AI$9,3,FALSE)=0,"Spatial Data Missing ⚠",VLOOKUP(I47,'G-7 Rivers Data'!$AG$4:$AI$9,3,FALSE)))</f>
        <v/>
      </c>
      <c r="L47" s="498" t="str">
        <f>IFERROR(INDEX('G-7 Rivers Data'!$O$3:$O$7,MATCH(G47,'G-7 Rivers Data'!$N$3:$N$7,0)),"")</f>
        <v/>
      </c>
      <c r="M47" s="8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565" t="str">
        <f t="shared" si="6"/>
        <v/>
      </c>
      <c r="AA47" s="149"/>
      <c r="AB47" s="150"/>
      <c r="AH47" s="31" t="str">
        <f>IFERROR(INDEX('G-7 Rivers Data'!$AZ$3:$AZ$7,MATCH(C47,'G-7 Rivers Data'!$AY$3:$AY$7,0)),"")</f>
        <v/>
      </c>
    </row>
    <row r="48" spans="2:34" ht="13.8" x14ac:dyDescent="0.25">
      <c r="B48" s="141">
        <v>37</v>
      </c>
      <c r="C48" s="171"/>
      <c r="D48" s="172"/>
      <c r="E48" s="498" t="str">
        <f>IF(C48="","",VLOOKUP(C48,'G-7 Rivers Data'!$B$2:$G$8,2,FALSE))</f>
        <v/>
      </c>
      <c r="F48" s="499" t="str">
        <f>IFERROR(VLOOKUP(E48,'G-7 Rivers Data'!$C$4:$D$8,2,FALSE),"")</f>
        <v/>
      </c>
      <c r="G48" s="145"/>
      <c r="H48" s="499" t="str">
        <f>IFERROR(INDEX('G-7 Rivers Data'!$H$4:$L$8,MATCH(C48,'G-7 Rivers Data'!$B$4:$B$8,0),MATCH(G48,'G-7 Rivers Data'!$H$3:$L$3,0)),"")</f>
        <v/>
      </c>
      <c r="I48" s="154"/>
      <c r="J48" s="507" t="str">
        <f>IF(I48="","",IF(VLOOKUP(I48,'G-7 Rivers Data'!$AG$4:$AI$9,2,FALSE)=0,"Spatial Data Missing ⚠",VLOOKUP(I48,'G-7 Rivers Data'!$AG$4:$AI$9,2,FALSE)))</f>
        <v/>
      </c>
      <c r="K48" s="499" t="str">
        <f>IF(I48="","",IF(VLOOKUP(I48,'G-7 Rivers Data'!$AG$4:$AI$9,3,FALSE)=0,"Spatial Data Missing ⚠",VLOOKUP(I48,'G-7 Rivers Data'!$AG$4:$AI$9,3,FALSE)))</f>
        <v/>
      </c>
      <c r="L48" s="498" t="str">
        <f>IFERROR(INDEX('G-7 Rivers Data'!$O$3:$O$7,MATCH(G48,'G-7 Rivers Data'!$N$3:$N$7,0)),"")</f>
        <v/>
      </c>
      <c r="M48" s="8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565" t="str">
        <f t="shared" si="6"/>
        <v/>
      </c>
      <c r="AA48" s="149"/>
      <c r="AB48" s="150"/>
      <c r="AH48" s="31" t="str">
        <f>IFERROR(INDEX('G-7 Rivers Data'!$AZ$3:$AZ$7,MATCH(C48,'G-7 Rivers Data'!$AY$3:$AY$7,0)),"")</f>
        <v/>
      </c>
    </row>
    <row r="49" spans="2:34" ht="13.8" x14ac:dyDescent="0.25">
      <c r="B49" s="141">
        <v>38</v>
      </c>
      <c r="C49" s="171"/>
      <c r="D49" s="172"/>
      <c r="E49" s="498" t="str">
        <f>IF(C49="","",VLOOKUP(C49,'G-7 Rivers Data'!$B$2:$G$8,2,FALSE))</f>
        <v/>
      </c>
      <c r="F49" s="499" t="str">
        <f>IFERROR(VLOOKUP(E49,'G-7 Rivers Data'!$C$4:$D$8,2,FALSE),"")</f>
        <v/>
      </c>
      <c r="G49" s="145"/>
      <c r="H49" s="499" t="str">
        <f>IFERROR(INDEX('G-7 Rivers Data'!$H$4:$L$8,MATCH(C49,'G-7 Rivers Data'!$B$4:$B$8,0),MATCH(G49,'G-7 Rivers Data'!$H$3:$L$3,0)),"")</f>
        <v/>
      </c>
      <c r="I49" s="154"/>
      <c r="J49" s="507" t="str">
        <f>IF(I49="","",IF(VLOOKUP(I49,'G-7 Rivers Data'!$AG$4:$AI$9,2,FALSE)=0,"Spatial Data Missing ⚠",VLOOKUP(I49,'G-7 Rivers Data'!$AG$4:$AI$9,2,FALSE)))</f>
        <v/>
      </c>
      <c r="K49" s="499" t="str">
        <f>IF(I49="","",IF(VLOOKUP(I49,'G-7 Rivers Data'!$AG$4:$AI$9,3,FALSE)=0,"Spatial Data Missing ⚠",VLOOKUP(I49,'G-7 Rivers Data'!$AG$4:$AI$9,3,FALSE)))</f>
        <v/>
      </c>
      <c r="L49" s="498" t="str">
        <f>IFERROR(INDEX('G-7 Rivers Data'!$O$3:$O$7,MATCH(G49,'G-7 Rivers Data'!$N$3:$N$7,0)),"")</f>
        <v/>
      </c>
      <c r="M49" s="8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565" t="str">
        <f t="shared" si="6"/>
        <v/>
      </c>
      <c r="AA49" s="149"/>
      <c r="AB49" s="150"/>
      <c r="AH49" s="31" t="str">
        <f>IFERROR(INDEX('G-7 Rivers Data'!$AZ$3:$AZ$7,MATCH(C49,'G-7 Rivers Data'!$AY$3:$AY$7,0)),"")</f>
        <v/>
      </c>
    </row>
    <row r="50" spans="2:34" ht="13.8" x14ac:dyDescent="0.25">
      <c r="B50" s="141">
        <v>39</v>
      </c>
      <c r="C50" s="171"/>
      <c r="D50" s="172"/>
      <c r="E50" s="498" t="str">
        <f>IF(C50="","",VLOOKUP(C50,'G-7 Rivers Data'!$B$2:$G$8,2,FALSE))</f>
        <v/>
      </c>
      <c r="F50" s="499" t="str">
        <f>IFERROR(VLOOKUP(E50,'G-7 Rivers Data'!$C$4:$D$8,2,FALSE),"")</f>
        <v/>
      </c>
      <c r="G50" s="145"/>
      <c r="H50" s="499" t="str">
        <f>IFERROR(INDEX('G-7 Rivers Data'!$H$4:$L$8,MATCH(C50,'G-7 Rivers Data'!$B$4:$B$8,0),MATCH(G50,'G-7 Rivers Data'!$H$3:$L$3,0)),"")</f>
        <v/>
      </c>
      <c r="I50" s="154"/>
      <c r="J50" s="507" t="str">
        <f>IF(I50="","",IF(VLOOKUP(I50,'G-7 Rivers Data'!$AG$4:$AI$9,2,FALSE)=0,"Spatial Data Missing ⚠",VLOOKUP(I50,'G-7 Rivers Data'!$AG$4:$AI$9,2,FALSE)))</f>
        <v/>
      </c>
      <c r="K50" s="499" t="str">
        <f>IF(I50="","",IF(VLOOKUP(I50,'G-7 Rivers Data'!$AG$4:$AI$9,3,FALSE)=0,"Spatial Data Missing ⚠",VLOOKUP(I50,'G-7 Rivers Data'!$AG$4:$AI$9,3,FALSE)))</f>
        <v/>
      </c>
      <c r="L50" s="498" t="str">
        <f>IFERROR(INDEX('G-7 Rivers Data'!$O$3:$O$7,MATCH(G50,'G-7 Rivers Data'!$N$3:$N$7,0)),"")</f>
        <v/>
      </c>
      <c r="M50" s="8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565" t="str">
        <f t="shared" si="6"/>
        <v/>
      </c>
      <c r="AA50" s="149"/>
      <c r="AB50" s="150"/>
      <c r="AH50" s="31" t="str">
        <f>IFERROR(INDEX('G-7 Rivers Data'!$AZ$3:$AZ$7,MATCH(C50,'G-7 Rivers Data'!$AY$3:$AY$7,0)),"")</f>
        <v/>
      </c>
    </row>
    <row r="51" spans="2:34" ht="13.8" x14ac:dyDescent="0.25">
      <c r="B51" s="141">
        <v>40</v>
      </c>
      <c r="C51" s="171"/>
      <c r="D51" s="172"/>
      <c r="E51" s="498" t="str">
        <f>IF(C51="","",VLOOKUP(C51,'G-7 Rivers Data'!$B$2:$G$8,2,FALSE))</f>
        <v/>
      </c>
      <c r="F51" s="499" t="str">
        <f>IFERROR(VLOOKUP(E51,'G-7 Rivers Data'!$C$4:$D$8,2,FALSE),"")</f>
        <v/>
      </c>
      <c r="G51" s="145"/>
      <c r="H51" s="499" t="str">
        <f>IFERROR(INDEX('G-7 Rivers Data'!$H$4:$L$8,MATCH(C51,'G-7 Rivers Data'!$B$4:$B$8,0),MATCH(G51,'G-7 Rivers Data'!$H$3:$L$3,0)),"")</f>
        <v/>
      </c>
      <c r="I51" s="154"/>
      <c r="J51" s="507" t="str">
        <f>IF(I51="","",IF(VLOOKUP(I51,'G-7 Rivers Data'!$AG$4:$AI$9,2,FALSE)=0,"Spatial Data Missing ⚠",VLOOKUP(I51,'G-7 Rivers Data'!$AG$4:$AI$9,2,FALSE)))</f>
        <v/>
      </c>
      <c r="K51" s="499" t="str">
        <f>IF(I51="","",IF(VLOOKUP(I51,'G-7 Rivers Data'!$AG$4:$AI$9,3,FALSE)=0,"Spatial Data Missing ⚠",VLOOKUP(I51,'G-7 Rivers Data'!$AG$4:$AI$9,3,FALSE)))</f>
        <v/>
      </c>
      <c r="L51" s="498" t="str">
        <f>IFERROR(INDEX('G-7 Rivers Data'!$O$3:$O$7,MATCH(G51,'G-7 Rivers Data'!$N$3:$N$7,0)),"")</f>
        <v/>
      </c>
      <c r="M51" s="8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565" t="str">
        <f t="shared" si="6"/>
        <v/>
      </c>
      <c r="AA51" s="149"/>
      <c r="AB51" s="150"/>
      <c r="AH51" s="31" t="str">
        <f>IFERROR(INDEX('G-7 Rivers Data'!$AZ$3:$AZ$7,MATCH(C51,'G-7 Rivers Data'!$AY$3:$AY$7,0)),"")</f>
        <v/>
      </c>
    </row>
    <row r="52" spans="2:34" ht="13.8" x14ac:dyDescent="0.25">
      <c r="B52" s="141">
        <v>41</v>
      </c>
      <c r="C52" s="171"/>
      <c r="D52" s="172"/>
      <c r="E52" s="498" t="str">
        <f>IF(C52="","",VLOOKUP(C52,'G-7 Rivers Data'!$B$2:$G$8,2,FALSE))</f>
        <v/>
      </c>
      <c r="F52" s="499" t="str">
        <f>IFERROR(VLOOKUP(E52,'G-7 Rivers Data'!$C$4:$D$8,2,FALSE),"")</f>
        <v/>
      </c>
      <c r="G52" s="145"/>
      <c r="H52" s="499" t="str">
        <f>IFERROR(INDEX('G-7 Rivers Data'!$H$4:$L$8,MATCH(C52,'G-7 Rivers Data'!$B$4:$B$8,0),MATCH(G52,'G-7 Rivers Data'!$H$3:$L$3,0)),"")</f>
        <v/>
      </c>
      <c r="I52" s="154"/>
      <c r="J52" s="507" t="str">
        <f>IF(I52="","",IF(VLOOKUP(I52,'G-7 Rivers Data'!$AG$4:$AI$9,2,FALSE)=0,"Spatial Data Missing ⚠",VLOOKUP(I52,'G-7 Rivers Data'!$AG$4:$AI$9,2,FALSE)))</f>
        <v/>
      </c>
      <c r="K52" s="499" t="str">
        <f>IF(I52="","",IF(VLOOKUP(I52,'G-7 Rivers Data'!$AG$4:$AI$9,3,FALSE)=0,"Spatial Data Missing ⚠",VLOOKUP(I52,'G-7 Rivers Data'!$AG$4:$AI$9,3,FALSE)))</f>
        <v/>
      </c>
      <c r="L52" s="498" t="str">
        <f>IFERROR(INDEX('G-7 Rivers Data'!$O$3:$O$7,MATCH(G52,'G-7 Rivers Data'!$N$3:$N$7,0)),"")</f>
        <v/>
      </c>
      <c r="M52" s="8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565" t="str">
        <f t="shared" si="6"/>
        <v/>
      </c>
      <c r="AA52" s="149"/>
      <c r="AB52" s="150"/>
      <c r="AH52" s="31" t="str">
        <f>IFERROR(INDEX('G-7 Rivers Data'!$AZ$3:$AZ$7,MATCH(C52,'G-7 Rivers Data'!$AY$3:$AY$7,0)),"")</f>
        <v/>
      </c>
    </row>
    <row r="53" spans="2:34" ht="13.8" x14ac:dyDescent="0.25">
      <c r="B53" s="141">
        <v>42</v>
      </c>
      <c r="C53" s="171"/>
      <c r="D53" s="172"/>
      <c r="E53" s="498" t="str">
        <f>IF(C53="","",VLOOKUP(C53,'G-7 Rivers Data'!$B$2:$G$8,2,FALSE))</f>
        <v/>
      </c>
      <c r="F53" s="499" t="str">
        <f>IFERROR(VLOOKUP(E53,'G-7 Rivers Data'!$C$4:$D$8,2,FALSE),"")</f>
        <v/>
      </c>
      <c r="G53" s="145"/>
      <c r="H53" s="499" t="str">
        <f>IFERROR(INDEX('G-7 Rivers Data'!$H$4:$L$8,MATCH(C53,'G-7 Rivers Data'!$B$4:$B$8,0),MATCH(G53,'G-7 Rivers Data'!$H$3:$L$3,0)),"")</f>
        <v/>
      </c>
      <c r="I53" s="154"/>
      <c r="J53" s="507" t="str">
        <f>IF(I53="","",IF(VLOOKUP(I53,'G-7 Rivers Data'!$AG$4:$AI$9,2,FALSE)=0,"Spatial Data Missing ⚠",VLOOKUP(I53,'G-7 Rivers Data'!$AG$4:$AI$9,2,FALSE)))</f>
        <v/>
      </c>
      <c r="K53" s="499" t="str">
        <f>IF(I53="","",IF(VLOOKUP(I53,'G-7 Rivers Data'!$AG$4:$AI$9,3,FALSE)=0,"Spatial Data Missing ⚠",VLOOKUP(I53,'G-7 Rivers Data'!$AG$4:$AI$9,3,FALSE)))</f>
        <v/>
      </c>
      <c r="L53" s="498" t="str">
        <f>IFERROR(INDEX('G-7 Rivers Data'!$O$3:$O$7,MATCH(G53,'G-7 Rivers Data'!$N$3:$N$7,0)),"")</f>
        <v/>
      </c>
      <c r="M53" s="8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565" t="str">
        <f t="shared" si="6"/>
        <v/>
      </c>
      <c r="AA53" s="149"/>
      <c r="AB53" s="150"/>
      <c r="AH53" s="31" t="str">
        <f>IFERROR(INDEX('G-7 Rivers Data'!$AZ$3:$AZ$7,MATCH(C53,'G-7 Rivers Data'!$AY$3:$AY$7,0)),"")</f>
        <v/>
      </c>
    </row>
    <row r="54" spans="2:34" ht="13.8" x14ac:dyDescent="0.25">
      <c r="B54" s="141">
        <v>43</v>
      </c>
      <c r="C54" s="171"/>
      <c r="D54" s="172"/>
      <c r="E54" s="498" t="str">
        <f>IF(C54="","",VLOOKUP(C54,'G-7 Rivers Data'!$B$2:$G$8,2,FALSE))</f>
        <v/>
      </c>
      <c r="F54" s="499" t="str">
        <f>IFERROR(VLOOKUP(E54,'G-7 Rivers Data'!$C$4:$D$8,2,FALSE),"")</f>
        <v/>
      </c>
      <c r="G54" s="145"/>
      <c r="H54" s="499" t="str">
        <f>IFERROR(INDEX('G-7 Rivers Data'!$H$4:$L$8,MATCH(C54,'G-7 Rivers Data'!$B$4:$B$8,0),MATCH(G54,'G-7 Rivers Data'!$H$3:$L$3,0)),"")</f>
        <v/>
      </c>
      <c r="I54" s="154"/>
      <c r="J54" s="507" t="str">
        <f>IF(I54="","",IF(VLOOKUP(I54,'G-7 Rivers Data'!$AG$4:$AI$9,2,FALSE)=0,"Spatial Data Missing ⚠",VLOOKUP(I54,'G-7 Rivers Data'!$AG$4:$AI$9,2,FALSE)))</f>
        <v/>
      </c>
      <c r="K54" s="499" t="str">
        <f>IF(I54="","",IF(VLOOKUP(I54,'G-7 Rivers Data'!$AG$4:$AI$9,3,FALSE)=0,"Spatial Data Missing ⚠",VLOOKUP(I54,'G-7 Rivers Data'!$AG$4:$AI$9,3,FALSE)))</f>
        <v/>
      </c>
      <c r="L54" s="498" t="str">
        <f>IFERROR(INDEX('G-7 Rivers Data'!$O$3:$O$7,MATCH(G54,'G-7 Rivers Data'!$N$3:$N$7,0)),"")</f>
        <v/>
      </c>
      <c r="M54" s="8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565" t="str">
        <f t="shared" si="6"/>
        <v/>
      </c>
      <c r="AA54" s="149"/>
      <c r="AB54" s="150"/>
      <c r="AH54" s="31" t="str">
        <f>IFERROR(INDEX('G-7 Rivers Data'!$AZ$3:$AZ$7,MATCH(C54,'G-7 Rivers Data'!$AY$3:$AY$7,0)),"")</f>
        <v/>
      </c>
    </row>
    <row r="55" spans="2:34" ht="13.8" x14ac:dyDescent="0.25">
      <c r="B55" s="141">
        <v>44</v>
      </c>
      <c r="C55" s="171"/>
      <c r="D55" s="172"/>
      <c r="E55" s="498" t="str">
        <f>IF(C55="","",VLOOKUP(C55,'G-7 Rivers Data'!$B$2:$G$8,2,FALSE))</f>
        <v/>
      </c>
      <c r="F55" s="499" t="str">
        <f>IFERROR(VLOOKUP(E55,'G-7 Rivers Data'!$C$4:$D$8,2,FALSE),"")</f>
        <v/>
      </c>
      <c r="G55" s="145"/>
      <c r="H55" s="499" t="str">
        <f>IFERROR(INDEX('G-7 Rivers Data'!$H$4:$L$8,MATCH(C55,'G-7 Rivers Data'!$B$4:$B$8,0),MATCH(G55,'G-7 Rivers Data'!$H$3:$L$3,0)),"")</f>
        <v/>
      </c>
      <c r="I55" s="154"/>
      <c r="J55" s="507" t="str">
        <f>IF(I55="","",IF(VLOOKUP(I55,'G-7 Rivers Data'!$AG$4:$AI$9,2,FALSE)=0,"Spatial Data Missing ⚠",VLOOKUP(I55,'G-7 Rivers Data'!$AG$4:$AI$9,2,FALSE)))</f>
        <v/>
      </c>
      <c r="K55" s="499" t="str">
        <f>IF(I55="","",IF(VLOOKUP(I55,'G-7 Rivers Data'!$AG$4:$AI$9,3,FALSE)=0,"Spatial Data Missing ⚠",VLOOKUP(I55,'G-7 Rivers Data'!$AG$4:$AI$9,3,FALSE)))</f>
        <v/>
      </c>
      <c r="L55" s="498" t="str">
        <f>IFERROR(INDEX('G-7 Rivers Data'!$O$3:$O$7,MATCH(G55,'G-7 Rivers Data'!$N$3:$N$7,0)),"")</f>
        <v/>
      </c>
      <c r="M55" s="8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565" t="str">
        <f t="shared" si="6"/>
        <v/>
      </c>
      <c r="AA55" s="149"/>
      <c r="AB55" s="150"/>
      <c r="AH55" s="31" t="str">
        <f>IFERROR(INDEX('G-7 Rivers Data'!$AZ$3:$AZ$7,MATCH(C55,'G-7 Rivers Data'!$AY$3:$AY$7,0)),"")</f>
        <v/>
      </c>
    </row>
    <row r="56" spans="2:34" ht="13.8" x14ac:dyDescent="0.25">
      <c r="B56" s="141">
        <v>45</v>
      </c>
      <c r="C56" s="171"/>
      <c r="D56" s="172"/>
      <c r="E56" s="498" t="str">
        <f>IF(C56="","",VLOOKUP(C56,'G-7 Rivers Data'!$B$2:$G$8,2,FALSE))</f>
        <v/>
      </c>
      <c r="F56" s="499" t="str">
        <f>IFERROR(VLOOKUP(E56,'G-7 Rivers Data'!$C$4:$D$8,2,FALSE),"")</f>
        <v/>
      </c>
      <c r="G56" s="145"/>
      <c r="H56" s="499" t="str">
        <f>IFERROR(INDEX('G-7 Rivers Data'!$H$4:$L$8,MATCH(C56,'G-7 Rivers Data'!$B$4:$B$8,0),MATCH(G56,'G-7 Rivers Data'!$H$3:$L$3,0)),"")</f>
        <v/>
      </c>
      <c r="I56" s="154"/>
      <c r="J56" s="507" t="str">
        <f>IF(I56="","",IF(VLOOKUP(I56,'G-7 Rivers Data'!$AG$4:$AI$9,2,FALSE)=0,"Spatial Data Missing ⚠",VLOOKUP(I56,'G-7 Rivers Data'!$AG$4:$AI$9,2,FALSE)))</f>
        <v/>
      </c>
      <c r="K56" s="499" t="str">
        <f>IF(I56="","",IF(VLOOKUP(I56,'G-7 Rivers Data'!$AG$4:$AI$9,3,FALSE)=0,"Spatial Data Missing ⚠",VLOOKUP(I56,'G-7 Rivers Data'!$AG$4:$AI$9,3,FALSE)))</f>
        <v/>
      </c>
      <c r="L56" s="498" t="str">
        <f>IFERROR(INDEX('G-7 Rivers Data'!$O$3:$O$7,MATCH(G56,'G-7 Rivers Data'!$N$3:$N$7,0)),"")</f>
        <v/>
      </c>
      <c r="M56" s="8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565" t="str">
        <f t="shared" si="6"/>
        <v/>
      </c>
      <c r="AA56" s="149"/>
      <c r="AB56" s="150"/>
      <c r="AH56" s="31" t="str">
        <f>IFERROR(INDEX('G-7 Rivers Data'!$AZ$3:$AZ$7,MATCH(C56,'G-7 Rivers Data'!$AY$3:$AY$7,0)),"")</f>
        <v/>
      </c>
    </row>
    <row r="57" spans="2:34" ht="13.8" x14ac:dyDescent="0.25">
      <c r="B57" s="141">
        <v>46</v>
      </c>
      <c r="C57" s="171"/>
      <c r="D57" s="172"/>
      <c r="E57" s="498" t="str">
        <f>IF(C57="","",VLOOKUP(C57,'G-7 Rivers Data'!$B$2:$G$8,2,FALSE))</f>
        <v/>
      </c>
      <c r="F57" s="499" t="str">
        <f>IFERROR(VLOOKUP(E57,'G-7 Rivers Data'!$C$4:$D$8,2,FALSE),"")</f>
        <v/>
      </c>
      <c r="G57" s="145"/>
      <c r="H57" s="499" t="str">
        <f>IFERROR(INDEX('G-7 Rivers Data'!$H$4:$L$8,MATCH(C57,'G-7 Rivers Data'!$B$4:$B$8,0),MATCH(G57,'G-7 Rivers Data'!$H$3:$L$3,0)),"")</f>
        <v/>
      </c>
      <c r="I57" s="154"/>
      <c r="J57" s="507" t="str">
        <f>IF(I57="","",IF(VLOOKUP(I57,'G-7 Rivers Data'!$AG$4:$AI$9,2,FALSE)=0,"Spatial Data Missing ⚠",VLOOKUP(I57,'G-7 Rivers Data'!$AG$4:$AI$9,2,FALSE)))</f>
        <v/>
      </c>
      <c r="K57" s="499" t="str">
        <f>IF(I57="","",IF(VLOOKUP(I57,'G-7 Rivers Data'!$AG$4:$AI$9,3,FALSE)=0,"Spatial Data Missing ⚠",VLOOKUP(I57,'G-7 Rivers Data'!$AG$4:$AI$9,3,FALSE)))</f>
        <v/>
      </c>
      <c r="L57" s="498" t="str">
        <f>IFERROR(INDEX('G-7 Rivers Data'!$O$3:$O$7,MATCH(G57,'G-7 Rivers Data'!$N$3:$N$7,0)),"")</f>
        <v/>
      </c>
      <c r="M57" s="8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565" t="str">
        <f t="shared" si="6"/>
        <v/>
      </c>
      <c r="AA57" s="149"/>
      <c r="AB57" s="150"/>
      <c r="AH57" s="31" t="str">
        <f>IFERROR(INDEX('G-7 Rivers Data'!$AZ$3:$AZ$7,MATCH(C57,'G-7 Rivers Data'!$AY$3:$AY$7,0)),"")</f>
        <v/>
      </c>
    </row>
    <row r="58" spans="2:34" ht="13.8" x14ac:dyDescent="0.25">
      <c r="B58" s="141">
        <v>47</v>
      </c>
      <c r="C58" s="171"/>
      <c r="D58" s="172"/>
      <c r="E58" s="498" t="str">
        <f>IF(C58="","",VLOOKUP(C58,'G-7 Rivers Data'!$B$2:$G$8,2,FALSE))</f>
        <v/>
      </c>
      <c r="F58" s="499" t="str">
        <f>IFERROR(VLOOKUP(E58,'G-7 Rivers Data'!$C$4:$D$8,2,FALSE),"")</f>
        <v/>
      </c>
      <c r="G58" s="145"/>
      <c r="H58" s="499" t="str">
        <f>IFERROR(INDEX('G-7 Rivers Data'!$H$4:$L$8,MATCH(C58,'G-7 Rivers Data'!$B$4:$B$8,0),MATCH(G58,'G-7 Rivers Data'!$H$3:$L$3,0)),"")</f>
        <v/>
      </c>
      <c r="I58" s="154"/>
      <c r="J58" s="507" t="str">
        <f>IF(I58="","",IF(VLOOKUP(I58,'G-7 Rivers Data'!$AG$4:$AI$9,2,FALSE)=0,"Spatial Data Missing ⚠",VLOOKUP(I58,'G-7 Rivers Data'!$AG$4:$AI$9,2,FALSE)))</f>
        <v/>
      </c>
      <c r="K58" s="499" t="str">
        <f>IF(I58="","",IF(VLOOKUP(I58,'G-7 Rivers Data'!$AG$4:$AI$9,3,FALSE)=0,"Spatial Data Missing ⚠",VLOOKUP(I58,'G-7 Rivers Data'!$AG$4:$AI$9,3,FALSE)))</f>
        <v/>
      </c>
      <c r="L58" s="498" t="str">
        <f>IFERROR(INDEX('G-7 Rivers Data'!$O$3:$O$7,MATCH(G58,'G-7 Rivers Data'!$N$3:$N$7,0)),"")</f>
        <v/>
      </c>
      <c r="M58" s="8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565" t="str">
        <f t="shared" si="6"/>
        <v/>
      </c>
      <c r="AA58" s="149"/>
      <c r="AB58" s="150"/>
      <c r="AH58" s="31" t="str">
        <f>IFERROR(INDEX('G-7 Rivers Data'!$AZ$3:$AZ$7,MATCH(C58,'G-7 Rivers Data'!$AY$3:$AY$7,0)),"")</f>
        <v/>
      </c>
    </row>
    <row r="59" spans="2:34" ht="13.8" x14ac:dyDescent="0.25">
      <c r="B59" s="141">
        <v>48</v>
      </c>
      <c r="C59" s="171"/>
      <c r="D59" s="172"/>
      <c r="E59" s="498" t="str">
        <f>IF(C59="","",VLOOKUP(C59,'G-7 Rivers Data'!$B$2:$G$8,2,FALSE))</f>
        <v/>
      </c>
      <c r="F59" s="499" t="str">
        <f>IFERROR(VLOOKUP(E59,'G-7 Rivers Data'!$C$4:$D$8,2,FALSE),"")</f>
        <v/>
      </c>
      <c r="G59" s="145"/>
      <c r="H59" s="499" t="str">
        <f>IFERROR(INDEX('G-7 Rivers Data'!$H$4:$L$8,MATCH(C59,'G-7 Rivers Data'!$B$4:$B$8,0),MATCH(G59,'G-7 Rivers Data'!$H$3:$L$3,0)),"")</f>
        <v/>
      </c>
      <c r="I59" s="154"/>
      <c r="J59" s="507" t="str">
        <f>IF(I59="","",IF(VLOOKUP(I59,'G-7 Rivers Data'!$AG$4:$AI$9,2,FALSE)=0,"Spatial Data Missing ⚠",VLOOKUP(I59,'G-7 Rivers Data'!$AG$4:$AI$9,2,FALSE)))</f>
        <v/>
      </c>
      <c r="K59" s="499" t="str">
        <f>IF(I59="","",IF(VLOOKUP(I59,'G-7 Rivers Data'!$AG$4:$AI$9,3,FALSE)=0,"Spatial Data Missing ⚠",VLOOKUP(I59,'G-7 Rivers Data'!$AG$4:$AI$9,3,FALSE)))</f>
        <v/>
      </c>
      <c r="L59" s="498" t="str">
        <f>IFERROR(INDEX('G-7 Rivers Data'!$O$3:$O$7,MATCH(G59,'G-7 Rivers Data'!$N$3:$N$7,0)),"")</f>
        <v/>
      </c>
      <c r="M59" s="8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565" t="str">
        <f t="shared" si="6"/>
        <v/>
      </c>
      <c r="AA59" s="149"/>
      <c r="AB59" s="150"/>
      <c r="AH59" s="31" t="str">
        <f>IFERROR(INDEX('G-7 Rivers Data'!$AZ$3:$AZ$7,MATCH(C59,'G-7 Rivers Data'!$AY$3:$AY$7,0)),"")</f>
        <v/>
      </c>
    </row>
    <row r="60" spans="2:34" ht="13.8" x14ac:dyDescent="0.25">
      <c r="B60" s="141">
        <v>49</v>
      </c>
      <c r="C60" s="171"/>
      <c r="D60" s="172"/>
      <c r="E60" s="498" t="str">
        <f>IF(C60="","",VLOOKUP(C60,'G-7 Rivers Data'!$B$2:$G$8,2,FALSE))</f>
        <v/>
      </c>
      <c r="F60" s="499" t="str">
        <f>IFERROR(VLOOKUP(E60,'G-7 Rivers Data'!$C$4:$D$8,2,FALSE),"")</f>
        <v/>
      </c>
      <c r="G60" s="145"/>
      <c r="H60" s="499" t="str">
        <f>IFERROR(INDEX('G-7 Rivers Data'!$H$4:$L$8,MATCH(C60,'G-7 Rivers Data'!$B$4:$B$8,0),MATCH(G60,'G-7 Rivers Data'!$H$3:$L$3,0)),"")</f>
        <v/>
      </c>
      <c r="I60" s="154"/>
      <c r="J60" s="507" t="str">
        <f>IF(I60="","",IF(VLOOKUP(I60,'G-7 Rivers Data'!$AG$4:$AI$9,2,FALSE)=0,"Spatial Data Missing ⚠",VLOOKUP(I60,'G-7 Rivers Data'!$AG$4:$AI$9,2,FALSE)))</f>
        <v/>
      </c>
      <c r="K60" s="499" t="str">
        <f>IF(I60="","",IF(VLOOKUP(I60,'G-7 Rivers Data'!$AG$4:$AI$9,3,FALSE)=0,"Spatial Data Missing ⚠",VLOOKUP(I60,'G-7 Rivers Data'!$AG$4:$AI$9,3,FALSE)))</f>
        <v/>
      </c>
      <c r="L60" s="498" t="str">
        <f>IFERROR(INDEX('G-7 Rivers Data'!$O$3:$O$7,MATCH(G60,'G-7 Rivers Data'!$N$3:$N$7,0)),"")</f>
        <v/>
      </c>
      <c r="M60" s="8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565" t="str">
        <f t="shared" si="6"/>
        <v/>
      </c>
      <c r="AA60" s="149"/>
      <c r="AB60" s="150"/>
      <c r="AH60" s="31" t="str">
        <f>IFERROR(INDEX('G-7 Rivers Data'!$AZ$3:$AZ$7,MATCH(C60,'G-7 Rivers Data'!$AY$3:$AY$7,0)),"")</f>
        <v/>
      </c>
    </row>
    <row r="61" spans="2:34" ht="13.8" x14ac:dyDescent="0.25">
      <c r="B61" s="141">
        <v>50</v>
      </c>
      <c r="C61" s="171"/>
      <c r="D61" s="172"/>
      <c r="E61" s="498" t="str">
        <f>IF(C61="","",VLOOKUP(C61,'G-7 Rivers Data'!$B$2:$G$8,2,FALSE))</f>
        <v/>
      </c>
      <c r="F61" s="499" t="str">
        <f>IFERROR(VLOOKUP(E61,'G-7 Rivers Data'!$C$4:$D$8,2,FALSE),"")</f>
        <v/>
      </c>
      <c r="G61" s="145"/>
      <c r="H61" s="499" t="str">
        <f>IFERROR(INDEX('G-7 Rivers Data'!$H$4:$L$8,MATCH(C61,'G-7 Rivers Data'!$B$4:$B$8,0),MATCH(G61,'G-7 Rivers Data'!$H$3:$L$3,0)),"")</f>
        <v/>
      </c>
      <c r="I61" s="154"/>
      <c r="J61" s="507" t="str">
        <f>IF(I61="","",IF(VLOOKUP(I61,'G-7 Rivers Data'!$AG$4:$AI$9,2,FALSE)=0,"Spatial Data Missing ⚠",VLOOKUP(I61,'G-7 Rivers Data'!$AG$4:$AI$9,2,FALSE)))</f>
        <v/>
      </c>
      <c r="K61" s="499" t="str">
        <f>IF(I61="","",IF(VLOOKUP(I61,'G-7 Rivers Data'!$AG$4:$AI$9,3,FALSE)=0,"Spatial Data Missing ⚠",VLOOKUP(I61,'G-7 Rivers Data'!$AG$4:$AI$9,3,FALSE)))</f>
        <v/>
      </c>
      <c r="L61" s="498" t="str">
        <f>IFERROR(INDEX('G-7 Rivers Data'!$O$3:$O$7,MATCH(G61,'G-7 Rivers Data'!$N$3:$N$7,0)),"")</f>
        <v/>
      </c>
      <c r="M61" s="8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565" t="str">
        <f t="shared" si="6"/>
        <v/>
      </c>
      <c r="AA61" s="149"/>
      <c r="AB61" s="150"/>
      <c r="AH61" s="31" t="str">
        <f>IFERROR(INDEX('G-7 Rivers Data'!$AZ$3:$AZ$7,MATCH(C61,'G-7 Rivers Data'!$AY$3:$AY$7,0)),"")</f>
        <v/>
      </c>
    </row>
    <row r="62" spans="2:34" ht="13.8" x14ac:dyDescent="0.25">
      <c r="B62" s="141">
        <v>51</v>
      </c>
      <c r="C62" s="171"/>
      <c r="D62" s="172"/>
      <c r="E62" s="498" t="str">
        <f>IF(C62="","",VLOOKUP(C62,'G-7 Rivers Data'!$B$2:$G$8,2,FALSE))</f>
        <v/>
      </c>
      <c r="F62" s="499" t="str">
        <f>IFERROR(VLOOKUP(E62,'G-7 Rivers Data'!$C$4:$D$8,2,FALSE),"")</f>
        <v/>
      </c>
      <c r="G62" s="145"/>
      <c r="H62" s="499" t="str">
        <f>IFERROR(INDEX('G-7 Rivers Data'!$H$4:$L$8,MATCH(C62,'G-7 Rivers Data'!$B$4:$B$8,0),MATCH(G62,'G-7 Rivers Data'!$H$3:$L$3,0)),"")</f>
        <v/>
      </c>
      <c r="I62" s="154"/>
      <c r="J62" s="507" t="str">
        <f>IF(I62="","",IF(VLOOKUP(I62,'G-7 Rivers Data'!$AG$4:$AI$9,2,FALSE)=0,"Spatial Data Missing ⚠",VLOOKUP(I62,'G-7 Rivers Data'!$AG$4:$AI$9,2,FALSE)))</f>
        <v/>
      </c>
      <c r="K62" s="499" t="str">
        <f>IF(I62="","",IF(VLOOKUP(I62,'G-7 Rivers Data'!$AG$4:$AI$9,3,FALSE)=0,"Spatial Data Missing ⚠",VLOOKUP(I62,'G-7 Rivers Data'!$AG$4:$AI$9,3,FALSE)))</f>
        <v/>
      </c>
      <c r="L62" s="498" t="str">
        <f>IFERROR(INDEX('G-7 Rivers Data'!$O$3:$O$7,MATCH(G62,'G-7 Rivers Data'!$N$3:$N$7,0)),"")</f>
        <v/>
      </c>
      <c r="M62" s="8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565" t="str">
        <f t="shared" si="6"/>
        <v/>
      </c>
      <c r="AA62" s="149"/>
      <c r="AB62" s="150"/>
      <c r="AH62" s="31" t="str">
        <f>IFERROR(INDEX('G-7 Rivers Data'!$AZ$3:$AZ$7,MATCH(C62,'G-7 Rivers Data'!$AY$3:$AY$7,0)),"")</f>
        <v/>
      </c>
    </row>
    <row r="63" spans="2:34" ht="13.8" x14ac:dyDescent="0.25">
      <c r="B63" s="141">
        <v>52</v>
      </c>
      <c r="C63" s="171"/>
      <c r="D63" s="172"/>
      <c r="E63" s="498" t="str">
        <f>IF(C63="","",VLOOKUP(C63,'G-7 Rivers Data'!$B$2:$G$8,2,FALSE))</f>
        <v/>
      </c>
      <c r="F63" s="499" t="str">
        <f>IFERROR(VLOOKUP(E63,'G-7 Rivers Data'!$C$4:$D$8,2,FALSE),"")</f>
        <v/>
      </c>
      <c r="G63" s="145"/>
      <c r="H63" s="499" t="str">
        <f>IFERROR(INDEX('G-7 Rivers Data'!$H$4:$L$8,MATCH(C63,'G-7 Rivers Data'!$B$4:$B$8,0),MATCH(G63,'G-7 Rivers Data'!$H$3:$L$3,0)),"")</f>
        <v/>
      </c>
      <c r="I63" s="154"/>
      <c r="J63" s="507" t="str">
        <f>IF(I63="","",IF(VLOOKUP(I63,'G-7 Rivers Data'!$AG$4:$AI$9,2,FALSE)=0,"Spatial Data Missing ⚠",VLOOKUP(I63,'G-7 Rivers Data'!$AG$4:$AI$9,2,FALSE)))</f>
        <v/>
      </c>
      <c r="K63" s="499" t="str">
        <f>IF(I63="","",IF(VLOOKUP(I63,'G-7 Rivers Data'!$AG$4:$AI$9,3,FALSE)=0,"Spatial Data Missing ⚠",VLOOKUP(I63,'G-7 Rivers Data'!$AG$4:$AI$9,3,FALSE)))</f>
        <v/>
      </c>
      <c r="L63" s="498" t="str">
        <f>IFERROR(INDEX('G-7 Rivers Data'!$O$3:$O$7,MATCH(G63,'G-7 Rivers Data'!$N$3:$N$7,0)),"")</f>
        <v/>
      </c>
      <c r="M63" s="8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565" t="str">
        <f t="shared" si="6"/>
        <v/>
      </c>
      <c r="AA63" s="149"/>
      <c r="AB63" s="150"/>
      <c r="AH63" s="31" t="str">
        <f>IFERROR(INDEX('G-7 Rivers Data'!$AZ$3:$AZ$7,MATCH(C63,'G-7 Rivers Data'!$AY$3:$AY$7,0)),"")</f>
        <v/>
      </c>
    </row>
    <row r="64" spans="2:34" ht="13.8" x14ac:dyDescent="0.25">
      <c r="B64" s="141">
        <v>53</v>
      </c>
      <c r="C64" s="171"/>
      <c r="D64" s="172"/>
      <c r="E64" s="498" t="str">
        <f>IF(C64="","",VLOOKUP(C64,'G-7 Rivers Data'!$B$2:$G$8,2,FALSE))</f>
        <v/>
      </c>
      <c r="F64" s="499" t="str">
        <f>IFERROR(VLOOKUP(E64,'G-7 Rivers Data'!$C$4:$D$8,2,FALSE),"")</f>
        <v/>
      </c>
      <c r="G64" s="145"/>
      <c r="H64" s="499" t="str">
        <f>IFERROR(INDEX('G-7 Rivers Data'!$H$4:$L$8,MATCH(C64,'G-7 Rivers Data'!$B$4:$B$8,0),MATCH(G64,'G-7 Rivers Data'!$H$3:$L$3,0)),"")</f>
        <v/>
      </c>
      <c r="I64" s="154"/>
      <c r="J64" s="507" t="str">
        <f>IF(I64="","",IF(VLOOKUP(I64,'G-7 Rivers Data'!$AG$4:$AI$9,2,FALSE)=0,"Spatial Data Missing ⚠",VLOOKUP(I64,'G-7 Rivers Data'!$AG$4:$AI$9,2,FALSE)))</f>
        <v/>
      </c>
      <c r="K64" s="499" t="str">
        <f>IF(I64="","",IF(VLOOKUP(I64,'G-7 Rivers Data'!$AG$4:$AI$9,3,FALSE)=0,"Spatial Data Missing ⚠",VLOOKUP(I64,'G-7 Rivers Data'!$AG$4:$AI$9,3,FALSE)))</f>
        <v/>
      </c>
      <c r="L64" s="498" t="str">
        <f>IFERROR(INDEX('G-7 Rivers Data'!$O$3:$O$7,MATCH(G64,'G-7 Rivers Data'!$N$3:$N$7,0)),"")</f>
        <v/>
      </c>
      <c r="M64" s="8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565" t="str">
        <f t="shared" si="6"/>
        <v/>
      </c>
      <c r="AA64" s="149"/>
      <c r="AB64" s="150"/>
      <c r="AH64" s="31" t="str">
        <f>IFERROR(INDEX('G-7 Rivers Data'!$AZ$3:$AZ$7,MATCH(C64,'G-7 Rivers Data'!$AY$3:$AY$7,0)),"")</f>
        <v/>
      </c>
    </row>
    <row r="65" spans="2:34" ht="13.8" x14ac:dyDescent="0.25">
      <c r="B65" s="141">
        <v>54</v>
      </c>
      <c r="C65" s="171"/>
      <c r="D65" s="172"/>
      <c r="E65" s="498" t="str">
        <f>IF(C65="","",VLOOKUP(C65,'G-7 Rivers Data'!$B$2:$G$8,2,FALSE))</f>
        <v/>
      </c>
      <c r="F65" s="499" t="str">
        <f>IFERROR(VLOOKUP(E65,'G-7 Rivers Data'!$C$4:$D$8,2,FALSE),"")</f>
        <v/>
      </c>
      <c r="G65" s="145"/>
      <c r="H65" s="499" t="str">
        <f>IFERROR(INDEX('G-7 Rivers Data'!$H$4:$L$8,MATCH(C65,'G-7 Rivers Data'!$B$4:$B$8,0),MATCH(G65,'G-7 Rivers Data'!$H$3:$L$3,0)),"")</f>
        <v/>
      </c>
      <c r="I65" s="154"/>
      <c r="J65" s="507" t="str">
        <f>IF(I65="","",IF(VLOOKUP(I65,'G-7 Rivers Data'!$AG$4:$AI$9,2,FALSE)=0,"Spatial Data Missing ⚠",VLOOKUP(I65,'G-7 Rivers Data'!$AG$4:$AI$9,2,FALSE)))</f>
        <v/>
      </c>
      <c r="K65" s="499" t="str">
        <f>IF(I65="","",IF(VLOOKUP(I65,'G-7 Rivers Data'!$AG$4:$AI$9,3,FALSE)=0,"Spatial Data Missing ⚠",VLOOKUP(I65,'G-7 Rivers Data'!$AG$4:$AI$9,3,FALSE)))</f>
        <v/>
      </c>
      <c r="L65" s="498" t="str">
        <f>IFERROR(INDEX('G-7 Rivers Data'!$O$3:$O$7,MATCH(G65,'G-7 Rivers Data'!$N$3:$N$7,0)),"")</f>
        <v/>
      </c>
      <c r="M65" s="8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565" t="str">
        <f t="shared" si="6"/>
        <v/>
      </c>
      <c r="AA65" s="149"/>
      <c r="AB65" s="150"/>
      <c r="AH65" s="31" t="str">
        <f>IFERROR(INDEX('G-7 Rivers Data'!$AZ$3:$AZ$7,MATCH(C65,'G-7 Rivers Data'!$AY$3:$AY$7,0)),"")</f>
        <v/>
      </c>
    </row>
    <row r="66" spans="2:34" ht="13.8" x14ac:dyDescent="0.25">
      <c r="B66" s="141">
        <v>55</v>
      </c>
      <c r="C66" s="171"/>
      <c r="D66" s="172"/>
      <c r="E66" s="498" t="str">
        <f>IF(C66="","",VLOOKUP(C66,'G-7 Rivers Data'!$B$2:$G$8,2,FALSE))</f>
        <v/>
      </c>
      <c r="F66" s="499" t="str">
        <f>IFERROR(VLOOKUP(E66,'G-7 Rivers Data'!$C$4:$D$8,2,FALSE),"")</f>
        <v/>
      </c>
      <c r="G66" s="145"/>
      <c r="H66" s="499" t="str">
        <f>IFERROR(INDEX('G-7 Rivers Data'!$H$4:$L$8,MATCH(C66,'G-7 Rivers Data'!$B$4:$B$8,0),MATCH(G66,'G-7 Rivers Data'!$H$3:$L$3,0)),"")</f>
        <v/>
      </c>
      <c r="I66" s="154"/>
      <c r="J66" s="507" t="str">
        <f>IF(I66="","",IF(VLOOKUP(I66,'G-7 Rivers Data'!$AG$4:$AI$9,2,FALSE)=0,"Spatial Data Missing ⚠",VLOOKUP(I66,'G-7 Rivers Data'!$AG$4:$AI$9,2,FALSE)))</f>
        <v/>
      </c>
      <c r="K66" s="499" t="str">
        <f>IF(I66="","",IF(VLOOKUP(I66,'G-7 Rivers Data'!$AG$4:$AI$9,3,FALSE)=0,"Spatial Data Missing ⚠",VLOOKUP(I66,'G-7 Rivers Data'!$AG$4:$AI$9,3,FALSE)))</f>
        <v/>
      </c>
      <c r="L66" s="498" t="str">
        <f>IFERROR(INDEX('G-7 Rivers Data'!$O$3:$O$7,MATCH(G66,'G-7 Rivers Data'!$N$3:$N$7,0)),"")</f>
        <v/>
      </c>
      <c r="M66" s="8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565" t="str">
        <f t="shared" si="6"/>
        <v/>
      </c>
      <c r="AA66" s="149"/>
      <c r="AB66" s="150"/>
      <c r="AH66" s="31" t="str">
        <f>IFERROR(INDEX('G-7 Rivers Data'!$AZ$3:$AZ$7,MATCH(C66,'G-7 Rivers Data'!$AY$3:$AY$7,0)),"")</f>
        <v/>
      </c>
    </row>
    <row r="67" spans="2:34" ht="13.8" x14ac:dyDescent="0.25">
      <c r="B67" s="141">
        <v>56</v>
      </c>
      <c r="C67" s="171"/>
      <c r="D67" s="172"/>
      <c r="E67" s="498" t="str">
        <f>IF(C67="","",VLOOKUP(C67,'G-7 Rivers Data'!$B$2:$G$8,2,FALSE))</f>
        <v/>
      </c>
      <c r="F67" s="499" t="str">
        <f>IFERROR(VLOOKUP(E67,'G-7 Rivers Data'!$C$4:$D$8,2,FALSE),"")</f>
        <v/>
      </c>
      <c r="G67" s="145"/>
      <c r="H67" s="499" t="str">
        <f>IFERROR(INDEX('G-7 Rivers Data'!$H$4:$L$8,MATCH(C67,'G-7 Rivers Data'!$B$4:$B$8,0),MATCH(G67,'G-7 Rivers Data'!$H$3:$L$3,0)),"")</f>
        <v/>
      </c>
      <c r="I67" s="154"/>
      <c r="J67" s="507" t="str">
        <f>IF(I67="","",IF(VLOOKUP(I67,'G-7 Rivers Data'!$AG$4:$AI$9,2,FALSE)=0,"Spatial Data Missing ⚠",VLOOKUP(I67,'G-7 Rivers Data'!$AG$4:$AI$9,2,FALSE)))</f>
        <v/>
      </c>
      <c r="K67" s="499" t="str">
        <f>IF(I67="","",IF(VLOOKUP(I67,'G-7 Rivers Data'!$AG$4:$AI$9,3,FALSE)=0,"Spatial Data Missing ⚠",VLOOKUP(I67,'G-7 Rivers Data'!$AG$4:$AI$9,3,FALSE)))</f>
        <v/>
      </c>
      <c r="L67" s="498" t="str">
        <f>IFERROR(INDEX('G-7 Rivers Data'!$O$3:$O$7,MATCH(G67,'G-7 Rivers Data'!$N$3:$N$7,0)),"")</f>
        <v/>
      </c>
      <c r="M67" s="8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565" t="str">
        <f t="shared" si="6"/>
        <v/>
      </c>
      <c r="AA67" s="149"/>
      <c r="AB67" s="150"/>
      <c r="AH67" s="31" t="str">
        <f>IFERROR(INDEX('G-7 Rivers Data'!$AZ$3:$AZ$7,MATCH(C67,'G-7 Rivers Data'!$AY$3:$AY$7,0)),"")</f>
        <v/>
      </c>
    </row>
    <row r="68" spans="2:34" ht="13.8" x14ac:dyDescent="0.25">
      <c r="B68" s="141">
        <v>57</v>
      </c>
      <c r="C68" s="171"/>
      <c r="D68" s="172"/>
      <c r="E68" s="498" t="str">
        <f>IF(C68="","",VLOOKUP(C68,'G-7 Rivers Data'!$B$2:$G$8,2,FALSE))</f>
        <v/>
      </c>
      <c r="F68" s="499" t="str">
        <f>IFERROR(VLOOKUP(E68,'G-7 Rivers Data'!$C$4:$D$8,2,FALSE),"")</f>
        <v/>
      </c>
      <c r="G68" s="145"/>
      <c r="H68" s="499" t="str">
        <f>IFERROR(INDEX('G-7 Rivers Data'!$H$4:$L$8,MATCH(C68,'G-7 Rivers Data'!$B$4:$B$8,0),MATCH(G68,'G-7 Rivers Data'!$H$3:$L$3,0)),"")</f>
        <v/>
      </c>
      <c r="I68" s="154"/>
      <c r="J68" s="507" t="str">
        <f>IF(I68="","",IF(VLOOKUP(I68,'G-7 Rivers Data'!$AG$4:$AI$9,2,FALSE)=0,"Spatial Data Missing ⚠",VLOOKUP(I68,'G-7 Rivers Data'!$AG$4:$AI$9,2,FALSE)))</f>
        <v/>
      </c>
      <c r="K68" s="499" t="str">
        <f>IF(I68="","",IF(VLOOKUP(I68,'G-7 Rivers Data'!$AG$4:$AI$9,3,FALSE)=0,"Spatial Data Missing ⚠",VLOOKUP(I68,'G-7 Rivers Data'!$AG$4:$AI$9,3,FALSE)))</f>
        <v/>
      </c>
      <c r="L68" s="498" t="str">
        <f>IFERROR(INDEX('G-7 Rivers Data'!$O$3:$O$7,MATCH(G68,'G-7 Rivers Data'!$N$3:$N$7,0)),"")</f>
        <v/>
      </c>
      <c r="M68" s="8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565" t="str">
        <f t="shared" si="6"/>
        <v/>
      </c>
      <c r="AA68" s="149"/>
      <c r="AB68" s="150"/>
      <c r="AH68" s="31" t="str">
        <f>IFERROR(INDEX('G-7 Rivers Data'!$AZ$3:$AZ$7,MATCH(C68,'G-7 Rivers Data'!$AY$3:$AY$7,0)),"")</f>
        <v/>
      </c>
    </row>
    <row r="69" spans="2:34" ht="13.8" x14ac:dyDescent="0.25">
      <c r="B69" s="141">
        <v>58</v>
      </c>
      <c r="C69" s="171"/>
      <c r="D69" s="172"/>
      <c r="E69" s="498" t="str">
        <f>IF(C69="","",VLOOKUP(C69,'G-7 Rivers Data'!$B$2:$G$8,2,FALSE))</f>
        <v/>
      </c>
      <c r="F69" s="499" t="str">
        <f>IFERROR(VLOOKUP(E69,'G-7 Rivers Data'!$C$4:$D$8,2,FALSE),"")</f>
        <v/>
      </c>
      <c r="G69" s="145"/>
      <c r="H69" s="499" t="str">
        <f>IFERROR(INDEX('G-7 Rivers Data'!$H$4:$L$8,MATCH(C69,'G-7 Rivers Data'!$B$4:$B$8,0),MATCH(G69,'G-7 Rivers Data'!$H$3:$L$3,0)),"")</f>
        <v/>
      </c>
      <c r="I69" s="154"/>
      <c r="J69" s="507" t="str">
        <f>IF(I69="","",IF(VLOOKUP(I69,'G-7 Rivers Data'!$AG$4:$AI$9,2,FALSE)=0,"Spatial Data Missing ⚠",VLOOKUP(I69,'G-7 Rivers Data'!$AG$4:$AI$9,2,FALSE)))</f>
        <v/>
      </c>
      <c r="K69" s="499" t="str">
        <f>IF(I69="","",IF(VLOOKUP(I69,'G-7 Rivers Data'!$AG$4:$AI$9,3,FALSE)=0,"Spatial Data Missing ⚠",VLOOKUP(I69,'G-7 Rivers Data'!$AG$4:$AI$9,3,FALSE)))</f>
        <v/>
      </c>
      <c r="L69" s="498" t="str">
        <f>IFERROR(INDEX('G-7 Rivers Data'!$O$3:$O$7,MATCH(G69,'G-7 Rivers Data'!$N$3:$N$7,0)),"")</f>
        <v/>
      </c>
      <c r="M69" s="8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565" t="str">
        <f t="shared" si="6"/>
        <v/>
      </c>
      <c r="AA69" s="149"/>
      <c r="AB69" s="150"/>
      <c r="AH69" s="31" t="str">
        <f>IFERROR(INDEX('G-7 Rivers Data'!$AZ$3:$AZ$7,MATCH(C69,'G-7 Rivers Data'!$AY$3:$AY$7,0)),"")</f>
        <v/>
      </c>
    </row>
    <row r="70" spans="2:34" ht="13.8" x14ac:dyDescent="0.25">
      <c r="B70" s="141">
        <v>59</v>
      </c>
      <c r="C70" s="171"/>
      <c r="D70" s="172"/>
      <c r="E70" s="498" t="str">
        <f>IF(C70="","",VLOOKUP(C70,'G-7 Rivers Data'!$B$2:$G$8,2,FALSE))</f>
        <v/>
      </c>
      <c r="F70" s="499" t="str">
        <f>IFERROR(VLOOKUP(E70,'G-7 Rivers Data'!$C$4:$D$8,2,FALSE),"")</f>
        <v/>
      </c>
      <c r="G70" s="145"/>
      <c r="H70" s="499" t="str">
        <f>IFERROR(INDEX('G-7 Rivers Data'!$H$4:$L$8,MATCH(C70,'G-7 Rivers Data'!$B$4:$B$8,0),MATCH(G70,'G-7 Rivers Data'!$H$3:$L$3,0)),"")</f>
        <v/>
      </c>
      <c r="I70" s="154"/>
      <c r="J70" s="507" t="str">
        <f>IF(I70="","",IF(VLOOKUP(I70,'G-7 Rivers Data'!$AG$4:$AI$9,2,FALSE)=0,"Spatial Data Missing ⚠",VLOOKUP(I70,'G-7 Rivers Data'!$AG$4:$AI$9,2,FALSE)))</f>
        <v/>
      </c>
      <c r="K70" s="499" t="str">
        <f>IF(I70="","",IF(VLOOKUP(I70,'G-7 Rivers Data'!$AG$4:$AI$9,3,FALSE)=0,"Spatial Data Missing ⚠",VLOOKUP(I70,'G-7 Rivers Data'!$AG$4:$AI$9,3,FALSE)))</f>
        <v/>
      </c>
      <c r="L70" s="498" t="str">
        <f>IFERROR(INDEX('G-7 Rivers Data'!$O$3:$O$7,MATCH(G70,'G-7 Rivers Data'!$N$3:$N$7,0)),"")</f>
        <v/>
      </c>
      <c r="M70" s="8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565" t="str">
        <f t="shared" si="6"/>
        <v/>
      </c>
      <c r="AA70" s="149"/>
      <c r="AB70" s="150"/>
      <c r="AH70" s="31" t="str">
        <f>IFERROR(INDEX('G-7 Rivers Data'!$AZ$3:$AZ$7,MATCH(C70,'G-7 Rivers Data'!$AY$3:$AY$7,0)),"")</f>
        <v/>
      </c>
    </row>
    <row r="71" spans="2:34" ht="13.8" x14ac:dyDescent="0.25">
      <c r="B71" s="141">
        <v>60</v>
      </c>
      <c r="C71" s="171"/>
      <c r="D71" s="172"/>
      <c r="E71" s="498" t="str">
        <f>IF(C71="","",VLOOKUP(C71,'G-7 Rivers Data'!$B$2:$G$8,2,FALSE))</f>
        <v/>
      </c>
      <c r="F71" s="499" t="str">
        <f>IFERROR(VLOOKUP(E71,'G-7 Rivers Data'!$C$4:$D$8,2,FALSE),"")</f>
        <v/>
      </c>
      <c r="G71" s="145"/>
      <c r="H71" s="499" t="str">
        <f>IFERROR(INDEX('G-7 Rivers Data'!$H$4:$L$8,MATCH(C71,'G-7 Rivers Data'!$B$4:$B$8,0),MATCH(G71,'G-7 Rivers Data'!$H$3:$L$3,0)),"")</f>
        <v/>
      </c>
      <c r="I71" s="154"/>
      <c r="J71" s="507" t="str">
        <f>IF(I71="","",IF(VLOOKUP(I71,'G-7 Rivers Data'!$AG$4:$AI$9,2,FALSE)=0,"Spatial Data Missing ⚠",VLOOKUP(I71,'G-7 Rivers Data'!$AG$4:$AI$9,2,FALSE)))</f>
        <v/>
      </c>
      <c r="K71" s="499" t="str">
        <f>IF(I71="","",IF(VLOOKUP(I71,'G-7 Rivers Data'!$AG$4:$AI$9,3,FALSE)=0,"Spatial Data Missing ⚠",VLOOKUP(I71,'G-7 Rivers Data'!$AG$4:$AI$9,3,FALSE)))</f>
        <v/>
      </c>
      <c r="L71" s="498" t="str">
        <f>IFERROR(INDEX('G-7 Rivers Data'!$O$3:$O$7,MATCH(G71,'G-7 Rivers Data'!$N$3:$N$7,0)),"")</f>
        <v/>
      </c>
      <c r="M71" s="8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565" t="str">
        <f t="shared" si="6"/>
        <v/>
      </c>
      <c r="AA71" s="149"/>
      <c r="AB71" s="150"/>
      <c r="AH71" s="31" t="str">
        <f>IFERROR(INDEX('G-7 Rivers Data'!$AZ$3:$AZ$7,MATCH(C71,'G-7 Rivers Data'!$AY$3:$AY$7,0)),"")</f>
        <v/>
      </c>
    </row>
    <row r="72" spans="2:34" ht="13.8" x14ac:dyDescent="0.25">
      <c r="B72" s="141">
        <v>61</v>
      </c>
      <c r="C72" s="171"/>
      <c r="D72" s="172"/>
      <c r="E72" s="498" t="str">
        <f>IF(C72="","",VLOOKUP(C72,'G-7 Rivers Data'!$B$2:$G$8,2,FALSE))</f>
        <v/>
      </c>
      <c r="F72" s="499" t="str">
        <f>IFERROR(VLOOKUP(E72,'G-7 Rivers Data'!$C$4:$D$8,2,FALSE),"")</f>
        <v/>
      </c>
      <c r="G72" s="145"/>
      <c r="H72" s="499" t="str">
        <f>IFERROR(INDEX('G-7 Rivers Data'!$H$4:$L$8,MATCH(C72,'G-7 Rivers Data'!$B$4:$B$8,0),MATCH(G72,'G-7 Rivers Data'!$H$3:$L$3,0)),"")</f>
        <v/>
      </c>
      <c r="I72" s="154"/>
      <c r="J72" s="507" t="str">
        <f>IF(I72="","",IF(VLOOKUP(I72,'G-7 Rivers Data'!$AG$4:$AI$9,2,FALSE)=0,"Spatial Data Missing ⚠",VLOOKUP(I72,'G-7 Rivers Data'!$AG$4:$AI$9,2,FALSE)))</f>
        <v/>
      </c>
      <c r="K72" s="499" t="str">
        <f>IF(I72="","",IF(VLOOKUP(I72,'G-7 Rivers Data'!$AG$4:$AI$9,3,FALSE)=0,"Spatial Data Missing ⚠",VLOOKUP(I72,'G-7 Rivers Data'!$AG$4:$AI$9,3,FALSE)))</f>
        <v/>
      </c>
      <c r="L72" s="498" t="str">
        <f>IFERROR(INDEX('G-7 Rivers Data'!$O$3:$O$7,MATCH(G72,'G-7 Rivers Data'!$N$3:$N$7,0)),"")</f>
        <v/>
      </c>
      <c r="M72" s="8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565" t="str">
        <f t="shared" si="6"/>
        <v/>
      </c>
      <c r="AA72" s="149"/>
      <c r="AB72" s="150"/>
      <c r="AH72" s="31" t="str">
        <f>IFERROR(INDEX('G-7 Rivers Data'!$AZ$3:$AZ$7,MATCH(C72,'G-7 Rivers Data'!$AY$3:$AY$7,0)),"")</f>
        <v/>
      </c>
    </row>
    <row r="73" spans="2:34" ht="13.8" x14ac:dyDescent="0.25">
      <c r="B73" s="141">
        <v>62</v>
      </c>
      <c r="C73" s="171"/>
      <c r="D73" s="172"/>
      <c r="E73" s="498" t="str">
        <f>IF(C73="","",VLOOKUP(C73,'G-7 Rivers Data'!$B$2:$G$8,2,FALSE))</f>
        <v/>
      </c>
      <c r="F73" s="499" t="str">
        <f>IFERROR(VLOOKUP(E73,'G-7 Rivers Data'!$C$4:$D$8,2,FALSE),"")</f>
        <v/>
      </c>
      <c r="G73" s="145"/>
      <c r="H73" s="499" t="str">
        <f>IFERROR(INDEX('G-7 Rivers Data'!$H$4:$L$8,MATCH(C73,'G-7 Rivers Data'!$B$4:$B$8,0),MATCH(G73,'G-7 Rivers Data'!$H$3:$L$3,0)),"")</f>
        <v/>
      </c>
      <c r="I73" s="154"/>
      <c r="J73" s="507" t="str">
        <f>IF(I73="","",IF(VLOOKUP(I73,'G-7 Rivers Data'!$AG$4:$AI$9,2,FALSE)=0,"Spatial Data Missing ⚠",VLOOKUP(I73,'G-7 Rivers Data'!$AG$4:$AI$9,2,FALSE)))</f>
        <v/>
      </c>
      <c r="K73" s="499" t="str">
        <f>IF(I73="","",IF(VLOOKUP(I73,'G-7 Rivers Data'!$AG$4:$AI$9,3,FALSE)=0,"Spatial Data Missing ⚠",VLOOKUP(I73,'G-7 Rivers Data'!$AG$4:$AI$9,3,FALSE)))</f>
        <v/>
      </c>
      <c r="L73" s="498" t="str">
        <f>IFERROR(INDEX('G-7 Rivers Data'!$O$3:$O$7,MATCH(G73,'G-7 Rivers Data'!$N$3:$N$7,0)),"")</f>
        <v/>
      </c>
      <c r="M73" s="8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565" t="str">
        <f t="shared" si="6"/>
        <v/>
      </c>
      <c r="AA73" s="149"/>
      <c r="AB73" s="150"/>
      <c r="AH73" s="31" t="str">
        <f>IFERROR(INDEX('G-7 Rivers Data'!$AZ$3:$AZ$7,MATCH(C73,'G-7 Rivers Data'!$AY$3:$AY$7,0)),"")</f>
        <v/>
      </c>
    </row>
    <row r="74" spans="2:34" ht="13.8" x14ac:dyDescent="0.25">
      <c r="B74" s="141">
        <v>63</v>
      </c>
      <c r="C74" s="171"/>
      <c r="D74" s="172"/>
      <c r="E74" s="498" t="str">
        <f>IF(C74="","",VLOOKUP(C74,'G-7 Rivers Data'!$B$2:$G$8,2,FALSE))</f>
        <v/>
      </c>
      <c r="F74" s="499" t="str">
        <f>IFERROR(VLOOKUP(E74,'G-7 Rivers Data'!$C$4:$D$8,2,FALSE),"")</f>
        <v/>
      </c>
      <c r="G74" s="145"/>
      <c r="H74" s="499" t="str">
        <f>IFERROR(INDEX('G-7 Rivers Data'!$H$4:$L$8,MATCH(C74,'G-7 Rivers Data'!$B$4:$B$8,0),MATCH(G74,'G-7 Rivers Data'!$H$3:$L$3,0)),"")</f>
        <v/>
      </c>
      <c r="I74" s="154"/>
      <c r="J74" s="507" t="str">
        <f>IF(I74="","",IF(VLOOKUP(I74,'G-7 Rivers Data'!$AG$4:$AI$9,2,FALSE)=0,"Spatial Data Missing ⚠",VLOOKUP(I74,'G-7 Rivers Data'!$AG$4:$AI$9,2,FALSE)))</f>
        <v/>
      </c>
      <c r="K74" s="499" t="str">
        <f>IF(I74="","",IF(VLOOKUP(I74,'G-7 Rivers Data'!$AG$4:$AI$9,3,FALSE)=0,"Spatial Data Missing ⚠",VLOOKUP(I74,'G-7 Rivers Data'!$AG$4:$AI$9,3,FALSE)))</f>
        <v/>
      </c>
      <c r="L74" s="498" t="str">
        <f>IFERROR(INDEX('G-7 Rivers Data'!$O$3:$O$7,MATCH(G74,'G-7 Rivers Data'!$N$3:$N$7,0)),"")</f>
        <v/>
      </c>
      <c r="M74" s="8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565" t="str">
        <f t="shared" si="6"/>
        <v/>
      </c>
      <c r="AA74" s="149"/>
      <c r="AB74" s="150"/>
      <c r="AH74" s="31" t="str">
        <f>IFERROR(INDEX('G-7 Rivers Data'!$AZ$3:$AZ$7,MATCH(C74,'G-7 Rivers Data'!$AY$3:$AY$7,0)),"")</f>
        <v/>
      </c>
    </row>
    <row r="75" spans="2:34" ht="13.8" x14ac:dyDescent="0.25">
      <c r="B75" s="141">
        <v>64</v>
      </c>
      <c r="C75" s="171"/>
      <c r="D75" s="172"/>
      <c r="E75" s="498" t="str">
        <f>IF(C75="","",VLOOKUP(C75,'G-7 Rivers Data'!$B$2:$G$8,2,FALSE))</f>
        <v/>
      </c>
      <c r="F75" s="499" t="str">
        <f>IFERROR(VLOOKUP(E75,'G-7 Rivers Data'!$C$4:$D$8,2,FALSE),"")</f>
        <v/>
      </c>
      <c r="G75" s="145"/>
      <c r="H75" s="499" t="str">
        <f>IFERROR(INDEX('G-7 Rivers Data'!$H$4:$L$8,MATCH(C75,'G-7 Rivers Data'!$B$4:$B$8,0),MATCH(G75,'G-7 Rivers Data'!$H$3:$L$3,0)),"")</f>
        <v/>
      </c>
      <c r="I75" s="154"/>
      <c r="J75" s="507" t="str">
        <f>IF(I75="","",IF(VLOOKUP(I75,'G-7 Rivers Data'!$AG$4:$AI$9,2,FALSE)=0,"Spatial Data Missing ⚠",VLOOKUP(I75,'G-7 Rivers Data'!$AG$4:$AI$9,2,FALSE)))</f>
        <v/>
      </c>
      <c r="K75" s="499" t="str">
        <f>IF(I75="","",IF(VLOOKUP(I75,'G-7 Rivers Data'!$AG$4:$AI$9,3,FALSE)=0,"Spatial Data Missing ⚠",VLOOKUP(I75,'G-7 Rivers Data'!$AG$4:$AI$9,3,FALSE)))</f>
        <v/>
      </c>
      <c r="L75" s="498" t="str">
        <f>IFERROR(INDEX('G-7 Rivers Data'!$O$3:$O$7,MATCH(G75,'G-7 Rivers Data'!$N$3:$N$7,0)),"")</f>
        <v/>
      </c>
      <c r="M75" s="8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565" t="str">
        <f t="shared" si="6"/>
        <v/>
      </c>
      <c r="AA75" s="149"/>
      <c r="AB75" s="150"/>
      <c r="AH75" s="31" t="str">
        <f>IFERROR(INDEX('G-7 Rivers Data'!$AZ$3:$AZ$7,MATCH(C75,'G-7 Rivers Data'!$AY$3:$AY$7,0)),"")</f>
        <v/>
      </c>
    </row>
    <row r="76" spans="2:34" ht="13.8" x14ac:dyDescent="0.25">
      <c r="B76" s="141">
        <v>65</v>
      </c>
      <c r="C76" s="171"/>
      <c r="D76" s="172"/>
      <c r="E76" s="498" t="str">
        <f>IF(C76="","",VLOOKUP(C76,'G-7 Rivers Data'!$B$2:$G$8,2,FALSE))</f>
        <v/>
      </c>
      <c r="F76" s="499" t="str">
        <f>IFERROR(VLOOKUP(E76,'G-7 Rivers Data'!$C$4:$D$8,2,FALSE),"")</f>
        <v/>
      </c>
      <c r="G76" s="145"/>
      <c r="H76" s="499" t="str">
        <f>IFERROR(INDEX('G-7 Rivers Data'!$H$4:$L$8,MATCH(C76,'G-7 Rivers Data'!$B$4:$B$8,0),MATCH(G76,'G-7 Rivers Data'!$H$3:$L$3,0)),"")</f>
        <v/>
      </c>
      <c r="I76" s="154"/>
      <c r="J76" s="507" t="str">
        <f>IF(I76="","",IF(VLOOKUP(I76,'G-7 Rivers Data'!$AG$4:$AI$9,2,FALSE)=0,"Spatial Data Missing ⚠",VLOOKUP(I76,'G-7 Rivers Data'!$AG$4:$AI$9,2,FALSE)))</f>
        <v/>
      </c>
      <c r="K76" s="499" t="str">
        <f>IF(I76="","",IF(VLOOKUP(I76,'G-7 Rivers Data'!$AG$4:$AI$9,3,FALSE)=0,"Spatial Data Missing ⚠",VLOOKUP(I76,'G-7 Rivers Data'!$AG$4:$AI$9,3,FALSE)))</f>
        <v/>
      </c>
      <c r="L76" s="498" t="str">
        <f>IFERROR(INDEX('G-7 Rivers Data'!$O$3:$O$7,MATCH(G76,'G-7 Rivers Data'!$N$3:$N$7,0)),"")</f>
        <v/>
      </c>
      <c r="M76" s="8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565" t="str">
        <f t="shared" si="6"/>
        <v/>
      </c>
      <c r="AA76" s="149"/>
      <c r="AB76" s="150"/>
      <c r="AH76" s="31" t="str">
        <f>IFERROR(INDEX('G-7 Rivers Data'!$AZ$3:$AZ$7,MATCH(C76,'G-7 Rivers Data'!$AY$3:$AY$7,0)),"")</f>
        <v/>
      </c>
    </row>
    <row r="77" spans="2:34" ht="13.8" x14ac:dyDescent="0.25">
      <c r="B77" s="141">
        <v>66</v>
      </c>
      <c r="C77" s="171"/>
      <c r="D77" s="172"/>
      <c r="E77" s="498" t="str">
        <f>IF(C77="","",VLOOKUP(C77,'G-7 Rivers Data'!$B$2:$G$8,2,FALSE))</f>
        <v/>
      </c>
      <c r="F77" s="499" t="str">
        <f>IFERROR(VLOOKUP(E77,'G-7 Rivers Data'!$C$4:$D$8,2,FALSE),"")</f>
        <v/>
      </c>
      <c r="G77" s="145"/>
      <c r="H77" s="499" t="str">
        <f>IFERROR(INDEX('G-7 Rivers Data'!$H$4:$L$8,MATCH(C77,'G-7 Rivers Data'!$B$4:$B$8,0),MATCH(G77,'G-7 Rivers Data'!$H$3:$L$3,0)),"")</f>
        <v/>
      </c>
      <c r="I77" s="154"/>
      <c r="J77" s="507" t="str">
        <f>IF(I77="","",IF(VLOOKUP(I77,'G-7 Rivers Data'!$AG$4:$AI$9,2,FALSE)=0,"Spatial Data Missing ⚠",VLOOKUP(I77,'G-7 Rivers Data'!$AG$4:$AI$9,2,FALSE)))</f>
        <v/>
      </c>
      <c r="K77" s="499" t="str">
        <f>IF(I77="","",IF(VLOOKUP(I77,'G-7 Rivers Data'!$AG$4:$AI$9,3,FALSE)=0,"Spatial Data Missing ⚠",VLOOKUP(I77,'G-7 Rivers Data'!$AG$4:$AI$9,3,FALSE)))</f>
        <v/>
      </c>
      <c r="L77" s="498" t="str">
        <f>IFERROR(INDEX('G-7 Rivers Data'!$O$3:$O$7,MATCH(G77,'G-7 Rivers Data'!$N$3:$N$7,0)),"")</f>
        <v/>
      </c>
      <c r="M77" s="8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⚠","Low Difficulty - only applicable if all habitat created before losses ⚠","Standard difficulty applied"))))</f>
        <v/>
      </c>
      <c r="T77" s="540" t="str">
        <f t="shared" ref="T77:T140" si="10">(IF(AND(S77="Standard difficulty applied",L77&gt;M77),R77,IF(AND(S77="Low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565" t="str">
        <f t="shared" ref="Z77:Z140" si="12">IFERROR(IF(C77="","",D77*F77*H77*K77*Q77*U77*Y77*W77),"")</f>
        <v/>
      </c>
      <c r="AA77" s="149"/>
      <c r="AB77" s="150"/>
      <c r="AH77" s="31" t="str">
        <f>IFERROR(INDEX('G-7 Rivers Data'!$AZ$3:$AZ$7,MATCH(C77,'G-7 Rivers Data'!$AY$3:$AY$7,0)),"")</f>
        <v/>
      </c>
    </row>
    <row r="78" spans="2:34" ht="13.8" x14ac:dyDescent="0.25">
      <c r="B78" s="141">
        <v>67</v>
      </c>
      <c r="C78" s="171"/>
      <c r="D78" s="172"/>
      <c r="E78" s="498" t="str">
        <f>IF(C78="","",VLOOKUP(C78,'G-7 Rivers Data'!$B$2:$G$8,2,FALSE))</f>
        <v/>
      </c>
      <c r="F78" s="499" t="str">
        <f>IFERROR(VLOOKUP(E78,'G-7 Rivers Data'!$C$4:$D$8,2,FALSE),"")</f>
        <v/>
      </c>
      <c r="G78" s="145"/>
      <c r="H78" s="499" t="str">
        <f>IFERROR(INDEX('G-7 Rivers Data'!$H$4:$L$8,MATCH(C78,'G-7 Rivers Data'!$B$4:$B$8,0),MATCH(G78,'G-7 Rivers Data'!$H$3:$L$3,0)),"")</f>
        <v/>
      </c>
      <c r="I78" s="154"/>
      <c r="J78" s="507" t="str">
        <f>IF(I78="","",IF(VLOOKUP(I78,'G-7 Rivers Data'!$AG$4:$AI$9,2,FALSE)=0,"Spatial Data Missing ⚠",VLOOKUP(I78,'G-7 Rivers Data'!$AG$4:$AI$9,2,FALSE)))</f>
        <v/>
      </c>
      <c r="K78" s="499" t="str">
        <f>IF(I78="","",IF(VLOOKUP(I78,'G-7 Rivers Data'!$AG$4:$AI$9,3,FALSE)=0,"Spatial Data Missing ⚠",VLOOKUP(I78,'G-7 Rivers Data'!$AG$4:$AI$9,3,FALSE)))</f>
        <v/>
      </c>
      <c r="L78" s="498" t="str">
        <f>IFERROR(INDEX('G-7 Rivers Data'!$O$3:$O$7,MATCH(G78,'G-7 Rivers Data'!$N$3:$N$7,0)),"")</f>
        <v/>
      </c>
      <c r="M78" s="8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565" t="str">
        <f t="shared" si="12"/>
        <v/>
      </c>
      <c r="AA78" s="149"/>
      <c r="AB78" s="150"/>
      <c r="AH78" s="31" t="str">
        <f>IFERROR(INDEX('G-7 Rivers Data'!$AZ$3:$AZ$7,MATCH(C78,'G-7 Rivers Data'!$AY$3:$AY$7,0)),"")</f>
        <v/>
      </c>
    </row>
    <row r="79" spans="2:34" ht="13.8" x14ac:dyDescent="0.25">
      <c r="B79" s="141">
        <v>68</v>
      </c>
      <c r="C79" s="171"/>
      <c r="D79" s="172"/>
      <c r="E79" s="498" t="str">
        <f>IF(C79="","",VLOOKUP(C79,'G-7 Rivers Data'!$B$2:$G$8,2,FALSE))</f>
        <v/>
      </c>
      <c r="F79" s="499" t="str">
        <f>IFERROR(VLOOKUP(E79,'G-7 Rivers Data'!$C$4:$D$8,2,FALSE),"")</f>
        <v/>
      </c>
      <c r="G79" s="145"/>
      <c r="H79" s="499" t="str">
        <f>IFERROR(INDEX('G-7 Rivers Data'!$H$4:$L$8,MATCH(C79,'G-7 Rivers Data'!$B$4:$B$8,0),MATCH(G79,'G-7 Rivers Data'!$H$3:$L$3,0)),"")</f>
        <v/>
      </c>
      <c r="I79" s="154"/>
      <c r="J79" s="507" t="str">
        <f>IF(I79="","",IF(VLOOKUP(I79,'G-7 Rivers Data'!$AG$4:$AI$9,2,FALSE)=0,"Spatial Data Missing ⚠",VLOOKUP(I79,'G-7 Rivers Data'!$AG$4:$AI$9,2,FALSE)))</f>
        <v/>
      </c>
      <c r="K79" s="499" t="str">
        <f>IF(I79="","",IF(VLOOKUP(I79,'G-7 Rivers Data'!$AG$4:$AI$9,3,FALSE)=0,"Spatial Data Missing ⚠",VLOOKUP(I79,'G-7 Rivers Data'!$AG$4:$AI$9,3,FALSE)))</f>
        <v/>
      </c>
      <c r="L79" s="498" t="str">
        <f>IFERROR(INDEX('G-7 Rivers Data'!$O$3:$O$7,MATCH(G79,'G-7 Rivers Data'!$N$3:$N$7,0)),"")</f>
        <v/>
      </c>
      <c r="M79" s="8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565" t="str">
        <f t="shared" si="12"/>
        <v/>
      </c>
      <c r="AA79" s="149"/>
      <c r="AB79" s="150"/>
      <c r="AH79" s="31" t="str">
        <f>IFERROR(INDEX('G-7 Rivers Data'!$AZ$3:$AZ$7,MATCH(C79,'G-7 Rivers Data'!$AY$3:$AY$7,0)),"")</f>
        <v/>
      </c>
    </row>
    <row r="80" spans="2:34" ht="13.8" x14ac:dyDescent="0.25">
      <c r="B80" s="141">
        <v>69</v>
      </c>
      <c r="C80" s="171"/>
      <c r="D80" s="172"/>
      <c r="E80" s="498" t="str">
        <f>IF(C80="","",VLOOKUP(C80,'G-7 Rivers Data'!$B$2:$G$8,2,FALSE))</f>
        <v/>
      </c>
      <c r="F80" s="499" t="str">
        <f>IFERROR(VLOOKUP(E80,'G-7 Rivers Data'!$C$4:$D$8,2,FALSE),"")</f>
        <v/>
      </c>
      <c r="G80" s="145"/>
      <c r="H80" s="499" t="str">
        <f>IFERROR(INDEX('G-7 Rivers Data'!$H$4:$L$8,MATCH(C80,'G-7 Rivers Data'!$B$4:$B$8,0),MATCH(G80,'G-7 Rivers Data'!$H$3:$L$3,0)),"")</f>
        <v/>
      </c>
      <c r="I80" s="154"/>
      <c r="J80" s="507" t="str">
        <f>IF(I80="","",IF(VLOOKUP(I80,'G-7 Rivers Data'!$AG$4:$AI$9,2,FALSE)=0,"Spatial Data Missing ⚠",VLOOKUP(I80,'G-7 Rivers Data'!$AG$4:$AI$9,2,FALSE)))</f>
        <v/>
      </c>
      <c r="K80" s="499" t="str">
        <f>IF(I80="","",IF(VLOOKUP(I80,'G-7 Rivers Data'!$AG$4:$AI$9,3,FALSE)=0,"Spatial Data Missing ⚠",VLOOKUP(I80,'G-7 Rivers Data'!$AG$4:$AI$9,3,FALSE)))</f>
        <v/>
      </c>
      <c r="L80" s="498" t="str">
        <f>IFERROR(INDEX('G-7 Rivers Data'!$O$3:$O$7,MATCH(G80,'G-7 Rivers Data'!$N$3:$N$7,0)),"")</f>
        <v/>
      </c>
      <c r="M80" s="8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565" t="str">
        <f t="shared" si="12"/>
        <v/>
      </c>
      <c r="AA80" s="149"/>
      <c r="AB80" s="150"/>
      <c r="AH80" s="31" t="str">
        <f>IFERROR(INDEX('G-7 Rivers Data'!$AZ$3:$AZ$7,MATCH(C80,'G-7 Rivers Data'!$AY$3:$AY$7,0)),"")</f>
        <v/>
      </c>
    </row>
    <row r="81" spans="2:34" ht="13.8" x14ac:dyDescent="0.25">
      <c r="B81" s="141">
        <v>70</v>
      </c>
      <c r="C81" s="171"/>
      <c r="D81" s="172"/>
      <c r="E81" s="498" t="str">
        <f>IF(C81="","",VLOOKUP(C81,'G-7 Rivers Data'!$B$2:$G$8,2,FALSE))</f>
        <v/>
      </c>
      <c r="F81" s="499" t="str">
        <f>IFERROR(VLOOKUP(E81,'G-7 Rivers Data'!$C$4:$D$8,2,FALSE),"")</f>
        <v/>
      </c>
      <c r="G81" s="145"/>
      <c r="H81" s="499" t="str">
        <f>IFERROR(INDEX('G-7 Rivers Data'!$H$4:$L$8,MATCH(C81,'G-7 Rivers Data'!$B$4:$B$8,0),MATCH(G81,'G-7 Rivers Data'!$H$3:$L$3,0)),"")</f>
        <v/>
      </c>
      <c r="I81" s="154"/>
      <c r="J81" s="507" t="str">
        <f>IF(I81="","",IF(VLOOKUP(I81,'G-7 Rivers Data'!$AG$4:$AI$9,2,FALSE)=0,"Spatial Data Missing ⚠",VLOOKUP(I81,'G-7 Rivers Data'!$AG$4:$AI$9,2,FALSE)))</f>
        <v/>
      </c>
      <c r="K81" s="499" t="str">
        <f>IF(I81="","",IF(VLOOKUP(I81,'G-7 Rivers Data'!$AG$4:$AI$9,3,FALSE)=0,"Spatial Data Missing ⚠",VLOOKUP(I81,'G-7 Rivers Data'!$AG$4:$AI$9,3,FALSE)))</f>
        <v/>
      </c>
      <c r="L81" s="498" t="str">
        <f>IFERROR(INDEX('G-7 Rivers Data'!$O$3:$O$7,MATCH(G81,'G-7 Rivers Data'!$N$3:$N$7,0)),"")</f>
        <v/>
      </c>
      <c r="M81" s="8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565" t="str">
        <f t="shared" si="12"/>
        <v/>
      </c>
      <c r="AA81" s="149"/>
      <c r="AB81" s="150"/>
      <c r="AH81" s="31" t="str">
        <f>IFERROR(INDEX('G-7 Rivers Data'!$AZ$3:$AZ$7,MATCH(C81,'G-7 Rivers Data'!$AY$3:$AY$7,0)),"")</f>
        <v/>
      </c>
    </row>
    <row r="82" spans="2:34" ht="13.8" x14ac:dyDescent="0.25">
      <c r="B82" s="141">
        <v>71</v>
      </c>
      <c r="C82" s="171"/>
      <c r="D82" s="172"/>
      <c r="E82" s="498" t="str">
        <f>IF(C82="","",VLOOKUP(C82,'G-7 Rivers Data'!$B$2:$G$8,2,FALSE))</f>
        <v/>
      </c>
      <c r="F82" s="499" t="str">
        <f>IFERROR(VLOOKUP(E82,'G-7 Rivers Data'!$C$4:$D$8,2,FALSE),"")</f>
        <v/>
      </c>
      <c r="G82" s="145"/>
      <c r="H82" s="499" t="str">
        <f>IFERROR(INDEX('G-7 Rivers Data'!$H$4:$L$8,MATCH(C82,'G-7 Rivers Data'!$B$4:$B$8,0),MATCH(G82,'G-7 Rivers Data'!$H$3:$L$3,0)),"")</f>
        <v/>
      </c>
      <c r="I82" s="154"/>
      <c r="J82" s="507" t="str">
        <f>IF(I82="","",IF(VLOOKUP(I82,'G-7 Rivers Data'!$AG$4:$AI$9,2,FALSE)=0,"Spatial Data Missing ⚠",VLOOKUP(I82,'G-7 Rivers Data'!$AG$4:$AI$9,2,FALSE)))</f>
        <v/>
      </c>
      <c r="K82" s="499" t="str">
        <f>IF(I82="","",IF(VLOOKUP(I82,'G-7 Rivers Data'!$AG$4:$AI$9,3,FALSE)=0,"Spatial Data Missing ⚠",VLOOKUP(I82,'G-7 Rivers Data'!$AG$4:$AI$9,3,FALSE)))</f>
        <v/>
      </c>
      <c r="L82" s="498" t="str">
        <f>IFERROR(INDEX('G-7 Rivers Data'!$O$3:$O$7,MATCH(G82,'G-7 Rivers Data'!$N$3:$N$7,0)),"")</f>
        <v/>
      </c>
      <c r="M82" s="8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565" t="str">
        <f t="shared" si="12"/>
        <v/>
      </c>
      <c r="AA82" s="149"/>
      <c r="AB82" s="150"/>
      <c r="AH82" s="31" t="str">
        <f>IFERROR(INDEX('G-7 Rivers Data'!$AZ$3:$AZ$7,MATCH(C82,'G-7 Rivers Data'!$AY$3:$AY$7,0)),"")</f>
        <v/>
      </c>
    </row>
    <row r="83" spans="2:34" ht="13.8" x14ac:dyDescent="0.25">
      <c r="B83" s="141">
        <v>72</v>
      </c>
      <c r="C83" s="171"/>
      <c r="D83" s="172"/>
      <c r="E83" s="498" t="str">
        <f>IF(C83="","",VLOOKUP(C83,'G-7 Rivers Data'!$B$2:$G$8,2,FALSE))</f>
        <v/>
      </c>
      <c r="F83" s="499" t="str">
        <f>IFERROR(VLOOKUP(E83,'G-7 Rivers Data'!$C$4:$D$8,2,FALSE),"")</f>
        <v/>
      </c>
      <c r="G83" s="145"/>
      <c r="H83" s="499" t="str">
        <f>IFERROR(INDEX('G-7 Rivers Data'!$H$4:$L$8,MATCH(C83,'G-7 Rivers Data'!$B$4:$B$8,0),MATCH(G83,'G-7 Rivers Data'!$H$3:$L$3,0)),"")</f>
        <v/>
      </c>
      <c r="I83" s="154"/>
      <c r="J83" s="507" t="str">
        <f>IF(I83="","",IF(VLOOKUP(I83,'G-7 Rivers Data'!$AG$4:$AI$9,2,FALSE)=0,"Spatial Data Missing ⚠",VLOOKUP(I83,'G-7 Rivers Data'!$AG$4:$AI$9,2,FALSE)))</f>
        <v/>
      </c>
      <c r="K83" s="499" t="str">
        <f>IF(I83="","",IF(VLOOKUP(I83,'G-7 Rivers Data'!$AG$4:$AI$9,3,FALSE)=0,"Spatial Data Missing ⚠",VLOOKUP(I83,'G-7 Rivers Data'!$AG$4:$AI$9,3,FALSE)))</f>
        <v/>
      </c>
      <c r="L83" s="498" t="str">
        <f>IFERROR(INDEX('G-7 Rivers Data'!$O$3:$O$7,MATCH(G83,'G-7 Rivers Data'!$N$3:$N$7,0)),"")</f>
        <v/>
      </c>
      <c r="M83" s="8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565" t="str">
        <f t="shared" si="12"/>
        <v/>
      </c>
      <c r="AA83" s="149"/>
      <c r="AB83" s="150"/>
      <c r="AH83" s="31" t="str">
        <f>IFERROR(INDEX('G-7 Rivers Data'!$AZ$3:$AZ$7,MATCH(C83,'G-7 Rivers Data'!$AY$3:$AY$7,0)),"")</f>
        <v/>
      </c>
    </row>
    <row r="84" spans="2:34" ht="13.8" x14ac:dyDescent="0.25">
      <c r="B84" s="141">
        <v>73</v>
      </c>
      <c r="C84" s="171"/>
      <c r="D84" s="172"/>
      <c r="E84" s="498" t="str">
        <f>IF(C84="","",VLOOKUP(C84,'G-7 Rivers Data'!$B$2:$G$8,2,FALSE))</f>
        <v/>
      </c>
      <c r="F84" s="499" t="str">
        <f>IFERROR(VLOOKUP(E84,'G-7 Rivers Data'!$C$4:$D$8,2,FALSE),"")</f>
        <v/>
      </c>
      <c r="G84" s="145"/>
      <c r="H84" s="499" t="str">
        <f>IFERROR(INDEX('G-7 Rivers Data'!$H$4:$L$8,MATCH(C84,'G-7 Rivers Data'!$B$4:$B$8,0),MATCH(G84,'G-7 Rivers Data'!$H$3:$L$3,0)),"")</f>
        <v/>
      </c>
      <c r="I84" s="154"/>
      <c r="J84" s="507" t="str">
        <f>IF(I84="","",IF(VLOOKUP(I84,'G-7 Rivers Data'!$AG$4:$AI$9,2,FALSE)=0,"Spatial Data Missing ⚠",VLOOKUP(I84,'G-7 Rivers Data'!$AG$4:$AI$9,2,FALSE)))</f>
        <v/>
      </c>
      <c r="K84" s="499" t="str">
        <f>IF(I84="","",IF(VLOOKUP(I84,'G-7 Rivers Data'!$AG$4:$AI$9,3,FALSE)=0,"Spatial Data Missing ⚠",VLOOKUP(I84,'G-7 Rivers Data'!$AG$4:$AI$9,3,FALSE)))</f>
        <v/>
      </c>
      <c r="L84" s="498" t="str">
        <f>IFERROR(INDEX('G-7 Rivers Data'!$O$3:$O$7,MATCH(G84,'G-7 Rivers Data'!$N$3:$N$7,0)),"")</f>
        <v/>
      </c>
      <c r="M84" s="8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565" t="str">
        <f t="shared" si="12"/>
        <v/>
      </c>
      <c r="AA84" s="149"/>
      <c r="AB84" s="150"/>
      <c r="AH84" s="31" t="str">
        <f>IFERROR(INDEX('G-7 Rivers Data'!$AZ$3:$AZ$7,MATCH(C84,'G-7 Rivers Data'!$AY$3:$AY$7,0)),"")</f>
        <v/>
      </c>
    </row>
    <row r="85" spans="2:34" ht="13.8" x14ac:dyDescent="0.25">
      <c r="B85" s="141">
        <v>74</v>
      </c>
      <c r="C85" s="171"/>
      <c r="D85" s="172"/>
      <c r="E85" s="498" t="str">
        <f>IF(C85="","",VLOOKUP(C85,'G-7 Rivers Data'!$B$2:$G$8,2,FALSE))</f>
        <v/>
      </c>
      <c r="F85" s="499" t="str">
        <f>IFERROR(VLOOKUP(E85,'G-7 Rivers Data'!$C$4:$D$8,2,FALSE),"")</f>
        <v/>
      </c>
      <c r="G85" s="145"/>
      <c r="H85" s="499" t="str">
        <f>IFERROR(INDEX('G-7 Rivers Data'!$H$4:$L$8,MATCH(C85,'G-7 Rivers Data'!$B$4:$B$8,0),MATCH(G85,'G-7 Rivers Data'!$H$3:$L$3,0)),"")</f>
        <v/>
      </c>
      <c r="I85" s="154"/>
      <c r="J85" s="507" t="str">
        <f>IF(I85="","",IF(VLOOKUP(I85,'G-7 Rivers Data'!$AG$4:$AI$9,2,FALSE)=0,"Spatial Data Missing ⚠",VLOOKUP(I85,'G-7 Rivers Data'!$AG$4:$AI$9,2,FALSE)))</f>
        <v/>
      </c>
      <c r="K85" s="499" t="str">
        <f>IF(I85="","",IF(VLOOKUP(I85,'G-7 Rivers Data'!$AG$4:$AI$9,3,FALSE)=0,"Spatial Data Missing ⚠",VLOOKUP(I85,'G-7 Rivers Data'!$AG$4:$AI$9,3,FALSE)))</f>
        <v/>
      </c>
      <c r="L85" s="498" t="str">
        <f>IFERROR(INDEX('G-7 Rivers Data'!$O$3:$O$7,MATCH(G85,'G-7 Rivers Data'!$N$3:$N$7,0)),"")</f>
        <v/>
      </c>
      <c r="M85" s="8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565" t="str">
        <f t="shared" si="12"/>
        <v/>
      </c>
      <c r="AA85" s="149"/>
      <c r="AB85" s="150"/>
      <c r="AH85" s="31" t="str">
        <f>IFERROR(INDEX('G-7 Rivers Data'!$AZ$3:$AZ$7,MATCH(C85,'G-7 Rivers Data'!$AY$3:$AY$7,0)),"")</f>
        <v/>
      </c>
    </row>
    <row r="86" spans="2:34" ht="13.8" x14ac:dyDescent="0.25">
      <c r="B86" s="141">
        <v>75</v>
      </c>
      <c r="C86" s="171"/>
      <c r="D86" s="172"/>
      <c r="E86" s="498" t="str">
        <f>IF(C86="","",VLOOKUP(C86,'G-7 Rivers Data'!$B$2:$G$8,2,FALSE))</f>
        <v/>
      </c>
      <c r="F86" s="499" t="str">
        <f>IFERROR(VLOOKUP(E86,'G-7 Rivers Data'!$C$4:$D$8,2,FALSE),"")</f>
        <v/>
      </c>
      <c r="G86" s="145"/>
      <c r="H86" s="499" t="str">
        <f>IFERROR(INDEX('G-7 Rivers Data'!$H$4:$L$8,MATCH(C86,'G-7 Rivers Data'!$B$4:$B$8,0),MATCH(G86,'G-7 Rivers Data'!$H$3:$L$3,0)),"")</f>
        <v/>
      </c>
      <c r="I86" s="154"/>
      <c r="J86" s="507" t="str">
        <f>IF(I86="","",IF(VLOOKUP(I86,'G-7 Rivers Data'!$AG$4:$AI$9,2,FALSE)=0,"Spatial Data Missing ⚠",VLOOKUP(I86,'G-7 Rivers Data'!$AG$4:$AI$9,2,FALSE)))</f>
        <v/>
      </c>
      <c r="K86" s="499" t="str">
        <f>IF(I86="","",IF(VLOOKUP(I86,'G-7 Rivers Data'!$AG$4:$AI$9,3,FALSE)=0,"Spatial Data Missing ⚠",VLOOKUP(I86,'G-7 Rivers Data'!$AG$4:$AI$9,3,FALSE)))</f>
        <v/>
      </c>
      <c r="L86" s="498" t="str">
        <f>IFERROR(INDEX('G-7 Rivers Data'!$O$3:$O$7,MATCH(G86,'G-7 Rivers Data'!$N$3:$N$7,0)),"")</f>
        <v/>
      </c>
      <c r="M86" s="8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565" t="str">
        <f t="shared" si="12"/>
        <v/>
      </c>
      <c r="AA86" s="149"/>
      <c r="AB86" s="150"/>
      <c r="AH86" s="31" t="str">
        <f>IFERROR(INDEX('G-7 Rivers Data'!$AZ$3:$AZ$7,MATCH(C86,'G-7 Rivers Data'!$AY$3:$AY$7,0)),"")</f>
        <v/>
      </c>
    </row>
    <row r="87" spans="2:34" ht="13.8" x14ac:dyDescent="0.25">
      <c r="B87" s="141">
        <v>76</v>
      </c>
      <c r="C87" s="171"/>
      <c r="D87" s="172"/>
      <c r="E87" s="498" t="str">
        <f>IF(C87="","",VLOOKUP(C87,'G-7 Rivers Data'!$B$2:$G$8,2,FALSE))</f>
        <v/>
      </c>
      <c r="F87" s="499" t="str">
        <f>IFERROR(VLOOKUP(E87,'G-7 Rivers Data'!$C$4:$D$8,2,FALSE),"")</f>
        <v/>
      </c>
      <c r="G87" s="145"/>
      <c r="H87" s="499" t="str">
        <f>IFERROR(INDEX('G-7 Rivers Data'!$H$4:$L$8,MATCH(C87,'G-7 Rivers Data'!$B$4:$B$8,0),MATCH(G87,'G-7 Rivers Data'!$H$3:$L$3,0)),"")</f>
        <v/>
      </c>
      <c r="I87" s="154"/>
      <c r="J87" s="507" t="str">
        <f>IF(I87="","",IF(VLOOKUP(I87,'G-7 Rivers Data'!$AG$4:$AI$9,2,FALSE)=0,"Spatial Data Missing ⚠",VLOOKUP(I87,'G-7 Rivers Data'!$AG$4:$AI$9,2,FALSE)))</f>
        <v/>
      </c>
      <c r="K87" s="499" t="str">
        <f>IF(I87="","",IF(VLOOKUP(I87,'G-7 Rivers Data'!$AG$4:$AI$9,3,FALSE)=0,"Spatial Data Missing ⚠",VLOOKUP(I87,'G-7 Rivers Data'!$AG$4:$AI$9,3,FALSE)))</f>
        <v/>
      </c>
      <c r="L87" s="498" t="str">
        <f>IFERROR(INDEX('G-7 Rivers Data'!$O$3:$O$7,MATCH(G87,'G-7 Rivers Data'!$N$3:$N$7,0)),"")</f>
        <v/>
      </c>
      <c r="M87" s="8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565" t="str">
        <f t="shared" si="12"/>
        <v/>
      </c>
      <c r="AA87" s="149"/>
      <c r="AB87" s="150"/>
      <c r="AH87" s="31" t="str">
        <f>IFERROR(INDEX('G-7 Rivers Data'!$AZ$3:$AZ$7,MATCH(C87,'G-7 Rivers Data'!$AY$3:$AY$7,0)),"")</f>
        <v/>
      </c>
    </row>
    <row r="88" spans="2:34" ht="13.8" x14ac:dyDescent="0.25">
      <c r="B88" s="141">
        <v>77</v>
      </c>
      <c r="C88" s="171"/>
      <c r="D88" s="172"/>
      <c r="E88" s="498" t="str">
        <f>IF(C88="","",VLOOKUP(C88,'G-7 Rivers Data'!$B$2:$G$8,2,FALSE))</f>
        <v/>
      </c>
      <c r="F88" s="499" t="str">
        <f>IFERROR(VLOOKUP(E88,'G-7 Rivers Data'!$C$4:$D$8,2,FALSE),"")</f>
        <v/>
      </c>
      <c r="G88" s="145"/>
      <c r="H88" s="499" t="str">
        <f>IFERROR(INDEX('G-7 Rivers Data'!$H$4:$L$8,MATCH(C88,'G-7 Rivers Data'!$B$4:$B$8,0),MATCH(G88,'G-7 Rivers Data'!$H$3:$L$3,0)),"")</f>
        <v/>
      </c>
      <c r="I88" s="154"/>
      <c r="J88" s="507" t="str">
        <f>IF(I88="","",IF(VLOOKUP(I88,'G-7 Rivers Data'!$AG$4:$AI$9,2,FALSE)=0,"Spatial Data Missing ⚠",VLOOKUP(I88,'G-7 Rivers Data'!$AG$4:$AI$9,2,FALSE)))</f>
        <v/>
      </c>
      <c r="K88" s="499" t="str">
        <f>IF(I88="","",IF(VLOOKUP(I88,'G-7 Rivers Data'!$AG$4:$AI$9,3,FALSE)=0,"Spatial Data Missing ⚠",VLOOKUP(I88,'G-7 Rivers Data'!$AG$4:$AI$9,3,FALSE)))</f>
        <v/>
      </c>
      <c r="L88" s="498" t="str">
        <f>IFERROR(INDEX('G-7 Rivers Data'!$O$3:$O$7,MATCH(G88,'G-7 Rivers Data'!$N$3:$N$7,0)),"")</f>
        <v/>
      </c>
      <c r="M88" s="8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565" t="str">
        <f t="shared" si="12"/>
        <v/>
      </c>
      <c r="AA88" s="149"/>
      <c r="AB88" s="150"/>
      <c r="AH88" s="31" t="str">
        <f>IFERROR(INDEX('G-7 Rivers Data'!$AZ$3:$AZ$7,MATCH(C88,'G-7 Rivers Data'!$AY$3:$AY$7,0)),"")</f>
        <v/>
      </c>
    </row>
    <row r="89" spans="2:34" ht="13.8" x14ac:dyDescent="0.25">
      <c r="B89" s="141">
        <v>78</v>
      </c>
      <c r="C89" s="171"/>
      <c r="D89" s="172"/>
      <c r="E89" s="498" t="str">
        <f>IF(C89="","",VLOOKUP(C89,'G-7 Rivers Data'!$B$2:$G$8,2,FALSE))</f>
        <v/>
      </c>
      <c r="F89" s="499" t="str">
        <f>IFERROR(VLOOKUP(E89,'G-7 Rivers Data'!$C$4:$D$8,2,FALSE),"")</f>
        <v/>
      </c>
      <c r="G89" s="145"/>
      <c r="H89" s="499" t="str">
        <f>IFERROR(INDEX('G-7 Rivers Data'!$H$4:$L$8,MATCH(C89,'G-7 Rivers Data'!$B$4:$B$8,0),MATCH(G89,'G-7 Rivers Data'!$H$3:$L$3,0)),"")</f>
        <v/>
      </c>
      <c r="I89" s="154"/>
      <c r="J89" s="507" t="str">
        <f>IF(I89="","",IF(VLOOKUP(I89,'G-7 Rivers Data'!$AG$4:$AI$9,2,FALSE)=0,"Spatial Data Missing ⚠",VLOOKUP(I89,'G-7 Rivers Data'!$AG$4:$AI$9,2,FALSE)))</f>
        <v/>
      </c>
      <c r="K89" s="499" t="str">
        <f>IF(I89="","",IF(VLOOKUP(I89,'G-7 Rivers Data'!$AG$4:$AI$9,3,FALSE)=0,"Spatial Data Missing ⚠",VLOOKUP(I89,'G-7 Rivers Data'!$AG$4:$AI$9,3,FALSE)))</f>
        <v/>
      </c>
      <c r="L89" s="498" t="str">
        <f>IFERROR(INDEX('G-7 Rivers Data'!$O$3:$O$7,MATCH(G89,'G-7 Rivers Data'!$N$3:$N$7,0)),"")</f>
        <v/>
      </c>
      <c r="M89" s="8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565" t="str">
        <f t="shared" si="12"/>
        <v/>
      </c>
      <c r="AA89" s="149"/>
      <c r="AB89" s="150"/>
      <c r="AH89" s="31" t="str">
        <f>IFERROR(INDEX('G-7 Rivers Data'!$AZ$3:$AZ$7,MATCH(C89,'G-7 Rivers Data'!$AY$3:$AY$7,0)),"")</f>
        <v/>
      </c>
    </row>
    <row r="90" spans="2:34" ht="13.8" x14ac:dyDescent="0.25">
      <c r="B90" s="141">
        <v>79</v>
      </c>
      <c r="C90" s="171"/>
      <c r="D90" s="172"/>
      <c r="E90" s="498" t="str">
        <f>IF(C90="","",VLOOKUP(C90,'G-7 Rivers Data'!$B$2:$G$8,2,FALSE))</f>
        <v/>
      </c>
      <c r="F90" s="499" t="str">
        <f>IFERROR(VLOOKUP(E90,'G-7 Rivers Data'!$C$4:$D$8,2,FALSE),"")</f>
        <v/>
      </c>
      <c r="G90" s="145"/>
      <c r="H90" s="499" t="str">
        <f>IFERROR(INDEX('G-7 Rivers Data'!$H$4:$L$8,MATCH(C90,'G-7 Rivers Data'!$B$4:$B$8,0),MATCH(G90,'G-7 Rivers Data'!$H$3:$L$3,0)),"")</f>
        <v/>
      </c>
      <c r="I90" s="154"/>
      <c r="J90" s="507" t="str">
        <f>IF(I90="","",IF(VLOOKUP(I90,'G-7 Rivers Data'!$AG$4:$AI$9,2,FALSE)=0,"Spatial Data Missing ⚠",VLOOKUP(I90,'G-7 Rivers Data'!$AG$4:$AI$9,2,FALSE)))</f>
        <v/>
      </c>
      <c r="K90" s="499" t="str">
        <f>IF(I90="","",IF(VLOOKUP(I90,'G-7 Rivers Data'!$AG$4:$AI$9,3,FALSE)=0,"Spatial Data Missing ⚠",VLOOKUP(I90,'G-7 Rivers Data'!$AG$4:$AI$9,3,FALSE)))</f>
        <v/>
      </c>
      <c r="L90" s="498" t="str">
        <f>IFERROR(INDEX('G-7 Rivers Data'!$O$3:$O$7,MATCH(G90,'G-7 Rivers Data'!$N$3:$N$7,0)),"")</f>
        <v/>
      </c>
      <c r="M90" s="8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565" t="str">
        <f t="shared" si="12"/>
        <v/>
      </c>
      <c r="AA90" s="149"/>
      <c r="AB90" s="150"/>
      <c r="AH90" s="31" t="str">
        <f>IFERROR(INDEX('G-7 Rivers Data'!$AZ$3:$AZ$7,MATCH(C90,'G-7 Rivers Data'!$AY$3:$AY$7,0)),"")</f>
        <v/>
      </c>
    </row>
    <row r="91" spans="2:34" ht="13.8" x14ac:dyDescent="0.25">
      <c r="B91" s="141">
        <v>80</v>
      </c>
      <c r="C91" s="171"/>
      <c r="D91" s="172"/>
      <c r="E91" s="498" t="str">
        <f>IF(C91="","",VLOOKUP(C91,'G-7 Rivers Data'!$B$2:$G$8,2,FALSE))</f>
        <v/>
      </c>
      <c r="F91" s="499" t="str">
        <f>IFERROR(VLOOKUP(E91,'G-7 Rivers Data'!$C$4:$D$8,2,FALSE),"")</f>
        <v/>
      </c>
      <c r="G91" s="145"/>
      <c r="H91" s="499" t="str">
        <f>IFERROR(INDEX('G-7 Rivers Data'!$H$4:$L$8,MATCH(C91,'G-7 Rivers Data'!$B$4:$B$8,0),MATCH(G91,'G-7 Rivers Data'!$H$3:$L$3,0)),"")</f>
        <v/>
      </c>
      <c r="I91" s="154"/>
      <c r="J91" s="507" t="str">
        <f>IF(I91="","",IF(VLOOKUP(I91,'G-7 Rivers Data'!$AG$4:$AI$9,2,FALSE)=0,"Spatial Data Missing ⚠",VLOOKUP(I91,'G-7 Rivers Data'!$AG$4:$AI$9,2,FALSE)))</f>
        <v/>
      </c>
      <c r="K91" s="499" t="str">
        <f>IF(I91="","",IF(VLOOKUP(I91,'G-7 Rivers Data'!$AG$4:$AI$9,3,FALSE)=0,"Spatial Data Missing ⚠",VLOOKUP(I91,'G-7 Rivers Data'!$AG$4:$AI$9,3,FALSE)))</f>
        <v/>
      </c>
      <c r="L91" s="498" t="str">
        <f>IFERROR(INDEX('G-7 Rivers Data'!$O$3:$O$7,MATCH(G91,'G-7 Rivers Data'!$N$3:$N$7,0)),"")</f>
        <v/>
      </c>
      <c r="M91" s="8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565" t="str">
        <f t="shared" si="12"/>
        <v/>
      </c>
      <c r="AA91" s="149"/>
      <c r="AB91" s="150"/>
      <c r="AH91" s="31" t="str">
        <f>IFERROR(INDEX('G-7 Rivers Data'!$AZ$3:$AZ$7,MATCH(C91,'G-7 Rivers Data'!$AY$3:$AY$7,0)),"")</f>
        <v/>
      </c>
    </row>
    <row r="92" spans="2:34" ht="13.8" x14ac:dyDescent="0.25">
      <c r="B92" s="141">
        <v>81</v>
      </c>
      <c r="C92" s="171"/>
      <c r="D92" s="172"/>
      <c r="E92" s="498" t="str">
        <f>IF(C92="","",VLOOKUP(C92,'G-7 Rivers Data'!$B$2:$G$8,2,FALSE))</f>
        <v/>
      </c>
      <c r="F92" s="499" t="str">
        <f>IFERROR(VLOOKUP(E92,'G-7 Rivers Data'!$C$4:$D$8,2,FALSE),"")</f>
        <v/>
      </c>
      <c r="G92" s="145"/>
      <c r="H92" s="499" t="str">
        <f>IFERROR(INDEX('G-7 Rivers Data'!$H$4:$L$8,MATCH(C92,'G-7 Rivers Data'!$B$4:$B$8,0),MATCH(G92,'G-7 Rivers Data'!$H$3:$L$3,0)),"")</f>
        <v/>
      </c>
      <c r="I92" s="154"/>
      <c r="J92" s="507" t="str">
        <f>IF(I92="","",IF(VLOOKUP(I92,'G-7 Rivers Data'!$AG$4:$AI$9,2,FALSE)=0,"Spatial Data Missing ⚠",VLOOKUP(I92,'G-7 Rivers Data'!$AG$4:$AI$9,2,FALSE)))</f>
        <v/>
      </c>
      <c r="K92" s="499" t="str">
        <f>IF(I92="","",IF(VLOOKUP(I92,'G-7 Rivers Data'!$AG$4:$AI$9,3,FALSE)=0,"Spatial Data Missing ⚠",VLOOKUP(I92,'G-7 Rivers Data'!$AG$4:$AI$9,3,FALSE)))</f>
        <v/>
      </c>
      <c r="L92" s="498" t="str">
        <f>IFERROR(INDEX('G-7 Rivers Data'!$O$3:$O$7,MATCH(G92,'G-7 Rivers Data'!$N$3:$N$7,0)),"")</f>
        <v/>
      </c>
      <c r="M92" s="8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565" t="str">
        <f t="shared" si="12"/>
        <v/>
      </c>
      <c r="AA92" s="149"/>
      <c r="AB92" s="150"/>
      <c r="AH92" s="31" t="str">
        <f>IFERROR(INDEX('G-7 Rivers Data'!$AZ$3:$AZ$7,MATCH(C92,'G-7 Rivers Data'!$AY$3:$AY$7,0)),"")</f>
        <v/>
      </c>
    </row>
    <row r="93" spans="2:34" ht="13.8" x14ac:dyDescent="0.25">
      <c r="B93" s="141">
        <v>82</v>
      </c>
      <c r="C93" s="171"/>
      <c r="D93" s="172"/>
      <c r="E93" s="498" t="str">
        <f>IF(C93="","",VLOOKUP(C93,'G-7 Rivers Data'!$B$2:$G$8,2,FALSE))</f>
        <v/>
      </c>
      <c r="F93" s="499" t="str">
        <f>IFERROR(VLOOKUP(E93,'G-7 Rivers Data'!$C$4:$D$8,2,FALSE),"")</f>
        <v/>
      </c>
      <c r="G93" s="145"/>
      <c r="H93" s="499" t="str">
        <f>IFERROR(INDEX('G-7 Rivers Data'!$H$4:$L$8,MATCH(C93,'G-7 Rivers Data'!$B$4:$B$8,0),MATCH(G93,'G-7 Rivers Data'!$H$3:$L$3,0)),"")</f>
        <v/>
      </c>
      <c r="I93" s="154"/>
      <c r="J93" s="507" t="str">
        <f>IF(I93="","",IF(VLOOKUP(I93,'G-7 Rivers Data'!$AG$4:$AI$9,2,FALSE)=0,"Spatial Data Missing ⚠",VLOOKUP(I93,'G-7 Rivers Data'!$AG$4:$AI$9,2,FALSE)))</f>
        <v/>
      </c>
      <c r="K93" s="499" t="str">
        <f>IF(I93="","",IF(VLOOKUP(I93,'G-7 Rivers Data'!$AG$4:$AI$9,3,FALSE)=0,"Spatial Data Missing ⚠",VLOOKUP(I93,'G-7 Rivers Data'!$AG$4:$AI$9,3,FALSE)))</f>
        <v/>
      </c>
      <c r="L93" s="498" t="str">
        <f>IFERROR(INDEX('G-7 Rivers Data'!$O$3:$O$7,MATCH(G93,'G-7 Rivers Data'!$N$3:$N$7,0)),"")</f>
        <v/>
      </c>
      <c r="M93" s="8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565" t="str">
        <f t="shared" si="12"/>
        <v/>
      </c>
      <c r="AA93" s="149"/>
      <c r="AB93" s="150"/>
      <c r="AH93" s="31" t="str">
        <f>IFERROR(INDEX('G-7 Rivers Data'!$AZ$3:$AZ$7,MATCH(C93,'G-7 Rivers Data'!$AY$3:$AY$7,0)),"")</f>
        <v/>
      </c>
    </row>
    <row r="94" spans="2:34" ht="13.8" x14ac:dyDescent="0.25">
      <c r="B94" s="141">
        <v>83</v>
      </c>
      <c r="C94" s="171"/>
      <c r="D94" s="172"/>
      <c r="E94" s="498" t="str">
        <f>IF(C94="","",VLOOKUP(C94,'G-7 Rivers Data'!$B$2:$G$8,2,FALSE))</f>
        <v/>
      </c>
      <c r="F94" s="499" t="str">
        <f>IFERROR(VLOOKUP(E94,'G-7 Rivers Data'!$C$4:$D$8,2,FALSE),"")</f>
        <v/>
      </c>
      <c r="G94" s="145"/>
      <c r="H94" s="499" t="str">
        <f>IFERROR(INDEX('G-7 Rivers Data'!$H$4:$L$8,MATCH(C94,'G-7 Rivers Data'!$B$4:$B$8,0),MATCH(G94,'G-7 Rivers Data'!$H$3:$L$3,0)),"")</f>
        <v/>
      </c>
      <c r="I94" s="154"/>
      <c r="J94" s="507" t="str">
        <f>IF(I94="","",IF(VLOOKUP(I94,'G-7 Rivers Data'!$AG$4:$AI$9,2,FALSE)=0,"Spatial Data Missing ⚠",VLOOKUP(I94,'G-7 Rivers Data'!$AG$4:$AI$9,2,FALSE)))</f>
        <v/>
      </c>
      <c r="K94" s="499" t="str">
        <f>IF(I94="","",IF(VLOOKUP(I94,'G-7 Rivers Data'!$AG$4:$AI$9,3,FALSE)=0,"Spatial Data Missing ⚠",VLOOKUP(I94,'G-7 Rivers Data'!$AG$4:$AI$9,3,FALSE)))</f>
        <v/>
      </c>
      <c r="L94" s="498" t="str">
        <f>IFERROR(INDEX('G-7 Rivers Data'!$O$3:$O$7,MATCH(G94,'G-7 Rivers Data'!$N$3:$N$7,0)),"")</f>
        <v/>
      </c>
      <c r="M94" s="8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565" t="str">
        <f t="shared" si="12"/>
        <v/>
      </c>
      <c r="AA94" s="149"/>
      <c r="AB94" s="150"/>
      <c r="AH94" s="31" t="str">
        <f>IFERROR(INDEX('G-7 Rivers Data'!$AZ$3:$AZ$7,MATCH(C94,'G-7 Rivers Data'!$AY$3:$AY$7,0)),"")</f>
        <v/>
      </c>
    </row>
    <row r="95" spans="2:34" ht="13.8" x14ac:dyDescent="0.25">
      <c r="B95" s="141">
        <v>84</v>
      </c>
      <c r="C95" s="171"/>
      <c r="D95" s="172"/>
      <c r="E95" s="498" t="str">
        <f>IF(C95="","",VLOOKUP(C95,'G-7 Rivers Data'!$B$2:$G$8,2,FALSE))</f>
        <v/>
      </c>
      <c r="F95" s="499" t="str">
        <f>IFERROR(VLOOKUP(E95,'G-7 Rivers Data'!$C$4:$D$8,2,FALSE),"")</f>
        <v/>
      </c>
      <c r="G95" s="145"/>
      <c r="H95" s="499" t="str">
        <f>IFERROR(INDEX('G-7 Rivers Data'!$H$4:$L$8,MATCH(C95,'G-7 Rivers Data'!$B$4:$B$8,0),MATCH(G95,'G-7 Rivers Data'!$H$3:$L$3,0)),"")</f>
        <v/>
      </c>
      <c r="I95" s="154"/>
      <c r="J95" s="507" t="str">
        <f>IF(I95="","",IF(VLOOKUP(I95,'G-7 Rivers Data'!$AG$4:$AI$9,2,FALSE)=0,"Spatial Data Missing ⚠",VLOOKUP(I95,'G-7 Rivers Data'!$AG$4:$AI$9,2,FALSE)))</f>
        <v/>
      </c>
      <c r="K95" s="499" t="str">
        <f>IF(I95="","",IF(VLOOKUP(I95,'G-7 Rivers Data'!$AG$4:$AI$9,3,FALSE)=0,"Spatial Data Missing ⚠",VLOOKUP(I95,'G-7 Rivers Data'!$AG$4:$AI$9,3,FALSE)))</f>
        <v/>
      </c>
      <c r="L95" s="498" t="str">
        <f>IFERROR(INDEX('G-7 Rivers Data'!$O$3:$O$7,MATCH(G95,'G-7 Rivers Data'!$N$3:$N$7,0)),"")</f>
        <v/>
      </c>
      <c r="M95" s="8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565" t="str">
        <f t="shared" si="12"/>
        <v/>
      </c>
      <c r="AA95" s="149"/>
      <c r="AB95" s="150"/>
      <c r="AH95" s="31" t="str">
        <f>IFERROR(INDEX('G-7 Rivers Data'!$AZ$3:$AZ$7,MATCH(C95,'G-7 Rivers Data'!$AY$3:$AY$7,0)),"")</f>
        <v/>
      </c>
    </row>
    <row r="96" spans="2:34" ht="13.8" x14ac:dyDescent="0.25">
      <c r="B96" s="141">
        <v>85</v>
      </c>
      <c r="C96" s="171"/>
      <c r="D96" s="172"/>
      <c r="E96" s="498" t="str">
        <f>IF(C96="","",VLOOKUP(C96,'G-7 Rivers Data'!$B$2:$G$8,2,FALSE))</f>
        <v/>
      </c>
      <c r="F96" s="499" t="str">
        <f>IFERROR(VLOOKUP(E96,'G-7 Rivers Data'!$C$4:$D$8,2,FALSE),"")</f>
        <v/>
      </c>
      <c r="G96" s="145"/>
      <c r="H96" s="499" t="str">
        <f>IFERROR(INDEX('G-7 Rivers Data'!$H$4:$L$8,MATCH(C96,'G-7 Rivers Data'!$B$4:$B$8,0),MATCH(G96,'G-7 Rivers Data'!$H$3:$L$3,0)),"")</f>
        <v/>
      </c>
      <c r="I96" s="154"/>
      <c r="J96" s="507" t="str">
        <f>IF(I96="","",IF(VLOOKUP(I96,'G-7 Rivers Data'!$AG$4:$AI$9,2,FALSE)=0,"Spatial Data Missing ⚠",VLOOKUP(I96,'G-7 Rivers Data'!$AG$4:$AI$9,2,FALSE)))</f>
        <v/>
      </c>
      <c r="K96" s="499" t="str">
        <f>IF(I96="","",IF(VLOOKUP(I96,'G-7 Rivers Data'!$AG$4:$AI$9,3,FALSE)=0,"Spatial Data Missing ⚠",VLOOKUP(I96,'G-7 Rivers Data'!$AG$4:$AI$9,3,FALSE)))</f>
        <v/>
      </c>
      <c r="L96" s="498" t="str">
        <f>IFERROR(INDEX('G-7 Rivers Data'!$O$3:$O$7,MATCH(G96,'G-7 Rivers Data'!$N$3:$N$7,0)),"")</f>
        <v/>
      </c>
      <c r="M96" s="8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565" t="str">
        <f t="shared" si="12"/>
        <v/>
      </c>
      <c r="AA96" s="149"/>
      <c r="AB96" s="150"/>
      <c r="AH96" s="31" t="str">
        <f>IFERROR(INDEX('G-7 Rivers Data'!$AZ$3:$AZ$7,MATCH(C96,'G-7 Rivers Data'!$AY$3:$AY$7,0)),"")</f>
        <v/>
      </c>
    </row>
    <row r="97" spans="2:34" ht="13.8" x14ac:dyDescent="0.25">
      <c r="B97" s="141">
        <v>86</v>
      </c>
      <c r="C97" s="171"/>
      <c r="D97" s="172"/>
      <c r="E97" s="498" t="str">
        <f>IF(C97="","",VLOOKUP(C97,'G-7 Rivers Data'!$B$2:$G$8,2,FALSE))</f>
        <v/>
      </c>
      <c r="F97" s="499" t="str">
        <f>IFERROR(VLOOKUP(E97,'G-7 Rivers Data'!$C$4:$D$8,2,FALSE),"")</f>
        <v/>
      </c>
      <c r="G97" s="145"/>
      <c r="H97" s="499" t="str">
        <f>IFERROR(INDEX('G-7 Rivers Data'!$H$4:$L$8,MATCH(C97,'G-7 Rivers Data'!$B$4:$B$8,0),MATCH(G97,'G-7 Rivers Data'!$H$3:$L$3,0)),"")</f>
        <v/>
      </c>
      <c r="I97" s="154"/>
      <c r="J97" s="507" t="str">
        <f>IF(I97="","",IF(VLOOKUP(I97,'G-7 Rivers Data'!$AG$4:$AI$9,2,FALSE)=0,"Spatial Data Missing ⚠",VLOOKUP(I97,'G-7 Rivers Data'!$AG$4:$AI$9,2,FALSE)))</f>
        <v/>
      </c>
      <c r="K97" s="499" t="str">
        <f>IF(I97="","",IF(VLOOKUP(I97,'G-7 Rivers Data'!$AG$4:$AI$9,3,FALSE)=0,"Spatial Data Missing ⚠",VLOOKUP(I97,'G-7 Rivers Data'!$AG$4:$AI$9,3,FALSE)))</f>
        <v/>
      </c>
      <c r="L97" s="498" t="str">
        <f>IFERROR(INDEX('G-7 Rivers Data'!$O$3:$O$7,MATCH(G97,'G-7 Rivers Data'!$N$3:$N$7,0)),"")</f>
        <v/>
      </c>
      <c r="M97" s="8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565" t="str">
        <f t="shared" si="12"/>
        <v/>
      </c>
      <c r="AA97" s="149"/>
      <c r="AB97" s="150"/>
      <c r="AH97" s="31" t="str">
        <f>IFERROR(INDEX('G-7 Rivers Data'!$AZ$3:$AZ$7,MATCH(C97,'G-7 Rivers Data'!$AY$3:$AY$7,0)),"")</f>
        <v/>
      </c>
    </row>
    <row r="98" spans="2:34" ht="13.8" x14ac:dyDescent="0.25">
      <c r="B98" s="141">
        <v>87</v>
      </c>
      <c r="C98" s="171"/>
      <c r="D98" s="172"/>
      <c r="E98" s="498" t="str">
        <f>IF(C98="","",VLOOKUP(C98,'G-7 Rivers Data'!$B$2:$G$8,2,FALSE))</f>
        <v/>
      </c>
      <c r="F98" s="499" t="str">
        <f>IFERROR(VLOOKUP(E98,'G-7 Rivers Data'!$C$4:$D$8,2,FALSE),"")</f>
        <v/>
      </c>
      <c r="G98" s="145"/>
      <c r="H98" s="499" t="str">
        <f>IFERROR(INDEX('G-7 Rivers Data'!$H$4:$L$8,MATCH(C98,'G-7 Rivers Data'!$B$4:$B$8,0),MATCH(G98,'G-7 Rivers Data'!$H$3:$L$3,0)),"")</f>
        <v/>
      </c>
      <c r="I98" s="154"/>
      <c r="J98" s="507" t="str">
        <f>IF(I98="","",IF(VLOOKUP(I98,'G-7 Rivers Data'!$AG$4:$AI$9,2,FALSE)=0,"Spatial Data Missing ⚠",VLOOKUP(I98,'G-7 Rivers Data'!$AG$4:$AI$9,2,FALSE)))</f>
        <v/>
      </c>
      <c r="K98" s="499" t="str">
        <f>IF(I98="","",IF(VLOOKUP(I98,'G-7 Rivers Data'!$AG$4:$AI$9,3,FALSE)=0,"Spatial Data Missing ⚠",VLOOKUP(I98,'G-7 Rivers Data'!$AG$4:$AI$9,3,FALSE)))</f>
        <v/>
      </c>
      <c r="L98" s="498" t="str">
        <f>IFERROR(INDEX('G-7 Rivers Data'!$O$3:$O$7,MATCH(G98,'G-7 Rivers Data'!$N$3:$N$7,0)),"")</f>
        <v/>
      </c>
      <c r="M98" s="8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565" t="str">
        <f t="shared" si="12"/>
        <v/>
      </c>
      <c r="AA98" s="149"/>
      <c r="AB98" s="150"/>
      <c r="AH98" s="31" t="str">
        <f>IFERROR(INDEX('G-7 Rivers Data'!$AZ$3:$AZ$7,MATCH(C98,'G-7 Rivers Data'!$AY$3:$AY$7,0)),"")</f>
        <v/>
      </c>
    </row>
    <row r="99" spans="2:34" ht="13.8" x14ac:dyDescent="0.25">
      <c r="B99" s="141">
        <v>88</v>
      </c>
      <c r="C99" s="171"/>
      <c r="D99" s="172"/>
      <c r="E99" s="498" t="str">
        <f>IF(C99="","",VLOOKUP(C99,'G-7 Rivers Data'!$B$2:$G$8,2,FALSE))</f>
        <v/>
      </c>
      <c r="F99" s="499" t="str">
        <f>IFERROR(VLOOKUP(E99,'G-7 Rivers Data'!$C$4:$D$8,2,FALSE),"")</f>
        <v/>
      </c>
      <c r="G99" s="145"/>
      <c r="H99" s="499" t="str">
        <f>IFERROR(INDEX('G-7 Rivers Data'!$H$4:$L$8,MATCH(C99,'G-7 Rivers Data'!$B$4:$B$8,0),MATCH(G99,'G-7 Rivers Data'!$H$3:$L$3,0)),"")</f>
        <v/>
      </c>
      <c r="I99" s="154"/>
      <c r="J99" s="507" t="str">
        <f>IF(I99="","",IF(VLOOKUP(I99,'G-7 Rivers Data'!$AG$4:$AI$9,2,FALSE)=0,"Spatial Data Missing ⚠",VLOOKUP(I99,'G-7 Rivers Data'!$AG$4:$AI$9,2,FALSE)))</f>
        <v/>
      </c>
      <c r="K99" s="499" t="str">
        <f>IF(I99="","",IF(VLOOKUP(I99,'G-7 Rivers Data'!$AG$4:$AI$9,3,FALSE)=0,"Spatial Data Missing ⚠",VLOOKUP(I99,'G-7 Rivers Data'!$AG$4:$AI$9,3,FALSE)))</f>
        <v/>
      </c>
      <c r="L99" s="498" t="str">
        <f>IFERROR(INDEX('G-7 Rivers Data'!$O$3:$O$7,MATCH(G99,'G-7 Rivers Data'!$N$3:$N$7,0)),"")</f>
        <v/>
      </c>
      <c r="M99" s="8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565" t="str">
        <f t="shared" si="12"/>
        <v/>
      </c>
      <c r="AA99" s="149"/>
      <c r="AB99" s="150"/>
      <c r="AH99" s="31" t="str">
        <f>IFERROR(INDEX('G-7 Rivers Data'!$AZ$3:$AZ$7,MATCH(C99,'G-7 Rivers Data'!$AY$3:$AY$7,0)),"")</f>
        <v/>
      </c>
    </row>
    <row r="100" spans="2:34" ht="13.8" x14ac:dyDescent="0.25">
      <c r="B100" s="141">
        <v>89</v>
      </c>
      <c r="C100" s="171"/>
      <c r="D100" s="172"/>
      <c r="E100" s="498" t="str">
        <f>IF(C100="","",VLOOKUP(C100,'G-7 Rivers Data'!$B$2:$G$8,2,FALSE))</f>
        <v/>
      </c>
      <c r="F100" s="499" t="str">
        <f>IFERROR(VLOOKUP(E100,'G-7 Rivers Data'!$C$4:$D$8,2,FALSE),"")</f>
        <v/>
      </c>
      <c r="G100" s="145"/>
      <c r="H100" s="499" t="str">
        <f>IFERROR(INDEX('G-7 Rivers Data'!$H$4:$L$8,MATCH(C100,'G-7 Rivers Data'!$B$4:$B$8,0),MATCH(G100,'G-7 Rivers Data'!$H$3:$L$3,0)),"")</f>
        <v/>
      </c>
      <c r="I100" s="154"/>
      <c r="J100" s="507" t="str">
        <f>IF(I100="","",IF(VLOOKUP(I100,'G-7 Rivers Data'!$AG$4:$AI$9,2,FALSE)=0,"Spatial Data Missing ⚠",VLOOKUP(I100,'G-7 Rivers Data'!$AG$4:$AI$9,2,FALSE)))</f>
        <v/>
      </c>
      <c r="K100" s="499" t="str">
        <f>IF(I100="","",IF(VLOOKUP(I100,'G-7 Rivers Data'!$AG$4:$AI$9,3,FALSE)=0,"Spatial Data Missing ⚠",VLOOKUP(I100,'G-7 Rivers Data'!$AG$4:$AI$9,3,FALSE)))</f>
        <v/>
      </c>
      <c r="L100" s="498" t="str">
        <f>IFERROR(INDEX('G-7 Rivers Data'!$O$3:$O$7,MATCH(G100,'G-7 Rivers Data'!$N$3:$N$7,0)),"")</f>
        <v/>
      </c>
      <c r="M100" s="8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565" t="str">
        <f t="shared" si="12"/>
        <v/>
      </c>
      <c r="AA100" s="149"/>
      <c r="AB100" s="150"/>
      <c r="AH100" s="31" t="str">
        <f>IFERROR(INDEX('G-7 Rivers Data'!$AZ$3:$AZ$7,MATCH(C100,'G-7 Rivers Data'!$AY$3:$AY$7,0)),"")</f>
        <v/>
      </c>
    </row>
    <row r="101" spans="2:34" ht="13.8" x14ac:dyDescent="0.25">
      <c r="B101" s="141">
        <v>90</v>
      </c>
      <c r="C101" s="171"/>
      <c r="D101" s="172"/>
      <c r="E101" s="498" t="str">
        <f>IF(C101="","",VLOOKUP(C101,'G-7 Rivers Data'!$B$2:$G$8,2,FALSE))</f>
        <v/>
      </c>
      <c r="F101" s="499" t="str">
        <f>IFERROR(VLOOKUP(E101,'G-7 Rivers Data'!$C$4:$D$8,2,FALSE),"")</f>
        <v/>
      </c>
      <c r="G101" s="145"/>
      <c r="H101" s="499" t="str">
        <f>IFERROR(INDEX('G-7 Rivers Data'!$H$4:$L$8,MATCH(C101,'G-7 Rivers Data'!$B$4:$B$8,0),MATCH(G101,'G-7 Rivers Data'!$H$3:$L$3,0)),"")</f>
        <v/>
      </c>
      <c r="I101" s="154"/>
      <c r="J101" s="507" t="str">
        <f>IF(I101="","",IF(VLOOKUP(I101,'G-7 Rivers Data'!$AG$4:$AI$9,2,FALSE)=0,"Spatial Data Missing ⚠",VLOOKUP(I101,'G-7 Rivers Data'!$AG$4:$AI$9,2,FALSE)))</f>
        <v/>
      </c>
      <c r="K101" s="499" t="str">
        <f>IF(I101="","",IF(VLOOKUP(I101,'G-7 Rivers Data'!$AG$4:$AI$9,3,FALSE)=0,"Spatial Data Missing ⚠",VLOOKUP(I101,'G-7 Rivers Data'!$AG$4:$AI$9,3,FALSE)))</f>
        <v/>
      </c>
      <c r="L101" s="498" t="str">
        <f>IFERROR(INDEX('G-7 Rivers Data'!$O$3:$O$7,MATCH(G101,'G-7 Rivers Data'!$N$3:$N$7,0)),"")</f>
        <v/>
      </c>
      <c r="M101" s="8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565" t="str">
        <f t="shared" si="12"/>
        <v/>
      </c>
      <c r="AA101" s="149"/>
      <c r="AB101" s="150"/>
      <c r="AH101" s="31" t="str">
        <f>IFERROR(INDEX('G-7 Rivers Data'!$AZ$3:$AZ$7,MATCH(C101,'G-7 Rivers Data'!$AY$3:$AY$7,0)),"")</f>
        <v/>
      </c>
    </row>
    <row r="102" spans="2:34" ht="13.8" x14ac:dyDescent="0.25">
      <c r="B102" s="141">
        <v>91</v>
      </c>
      <c r="C102" s="171"/>
      <c r="D102" s="172"/>
      <c r="E102" s="498" t="str">
        <f>IF(C102="","",VLOOKUP(C102,'G-7 Rivers Data'!$B$2:$G$8,2,FALSE))</f>
        <v/>
      </c>
      <c r="F102" s="499" t="str">
        <f>IFERROR(VLOOKUP(E102,'G-7 Rivers Data'!$C$4:$D$8,2,FALSE),"")</f>
        <v/>
      </c>
      <c r="G102" s="145"/>
      <c r="H102" s="499" t="str">
        <f>IFERROR(INDEX('G-7 Rivers Data'!$H$4:$L$8,MATCH(C102,'G-7 Rivers Data'!$B$4:$B$8,0),MATCH(G102,'G-7 Rivers Data'!$H$3:$L$3,0)),"")</f>
        <v/>
      </c>
      <c r="I102" s="154"/>
      <c r="J102" s="507" t="str">
        <f>IF(I102="","",IF(VLOOKUP(I102,'G-7 Rivers Data'!$AG$4:$AI$9,2,FALSE)=0,"Spatial Data Missing ⚠",VLOOKUP(I102,'G-7 Rivers Data'!$AG$4:$AI$9,2,FALSE)))</f>
        <v/>
      </c>
      <c r="K102" s="499" t="str">
        <f>IF(I102="","",IF(VLOOKUP(I102,'G-7 Rivers Data'!$AG$4:$AI$9,3,FALSE)=0,"Spatial Data Missing ⚠",VLOOKUP(I102,'G-7 Rivers Data'!$AG$4:$AI$9,3,FALSE)))</f>
        <v/>
      </c>
      <c r="L102" s="498" t="str">
        <f>IFERROR(INDEX('G-7 Rivers Data'!$O$3:$O$7,MATCH(G102,'G-7 Rivers Data'!$N$3:$N$7,0)),"")</f>
        <v/>
      </c>
      <c r="M102" s="8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565" t="str">
        <f t="shared" si="12"/>
        <v/>
      </c>
      <c r="AA102" s="149"/>
      <c r="AB102" s="150"/>
      <c r="AH102" s="31" t="str">
        <f>IFERROR(INDEX('G-7 Rivers Data'!$AZ$3:$AZ$7,MATCH(C102,'G-7 Rivers Data'!$AY$3:$AY$7,0)),"")</f>
        <v/>
      </c>
    </row>
    <row r="103" spans="2:34" ht="13.8" x14ac:dyDescent="0.25">
      <c r="B103" s="141">
        <v>92</v>
      </c>
      <c r="C103" s="171"/>
      <c r="D103" s="172"/>
      <c r="E103" s="498" t="str">
        <f>IF(C103="","",VLOOKUP(C103,'G-7 Rivers Data'!$B$2:$G$8,2,FALSE))</f>
        <v/>
      </c>
      <c r="F103" s="499" t="str">
        <f>IFERROR(VLOOKUP(E103,'G-7 Rivers Data'!$C$4:$D$8,2,FALSE),"")</f>
        <v/>
      </c>
      <c r="G103" s="145"/>
      <c r="H103" s="499" t="str">
        <f>IFERROR(INDEX('G-7 Rivers Data'!$H$4:$L$8,MATCH(C103,'G-7 Rivers Data'!$B$4:$B$8,0),MATCH(G103,'G-7 Rivers Data'!$H$3:$L$3,0)),"")</f>
        <v/>
      </c>
      <c r="I103" s="154"/>
      <c r="J103" s="507" t="str">
        <f>IF(I103="","",IF(VLOOKUP(I103,'G-7 Rivers Data'!$AG$4:$AI$9,2,FALSE)=0,"Spatial Data Missing ⚠",VLOOKUP(I103,'G-7 Rivers Data'!$AG$4:$AI$9,2,FALSE)))</f>
        <v/>
      </c>
      <c r="K103" s="499" t="str">
        <f>IF(I103="","",IF(VLOOKUP(I103,'G-7 Rivers Data'!$AG$4:$AI$9,3,FALSE)=0,"Spatial Data Missing ⚠",VLOOKUP(I103,'G-7 Rivers Data'!$AG$4:$AI$9,3,FALSE)))</f>
        <v/>
      </c>
      <c r="L103" s="498" t="str">
        <f>IFERROR(INDEX('G-7 Rivers Data'!$O$3:$O$7,MATCH(G103,'G-7 Rivers Data'!$N$3:$N$7,0)),"")</f>
        <v/>
      </c>
      <c r="M103" s="8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565" t="str">
        <f t="shared" si="12"/>
        <v/>
      </c>
      <c r="AA103" s="149"/>
      <c r="AB103" s="150"/>
      <c r="AH103" s="31" t="str">
        <f>IFERROR(INDEX('G-7 Rivers Data'!$AZ$3:$AZ$7,MATCH(C103,'G-7 Rivers Data'!$AY$3:$AY$7,0)),"")</f>
        <v/>
      </c>
    </row>
    <row r="104" spans="2:34" ht="13.8" x14ac:dyDescent="0.25">
      <c r="B104" s="141">
        <v>93</v>
      </c>
      <c r="C104" s="171"/>
      <c r="D104" s="172"/>
      <c r="E104" s="498" t="str">
        <f>IF(C104="","",VLOOKUP(C104,'G-7 Rivers Data'!$B$2:$G$8,2,FALSE))</f>
        <v/>
      </c>
      <c r="F104" s="499" t="str">
        <f>IFERROR(VLOOKUP(E104,'G-7 Rivers Data'!$C$4:$D$8,2,FALSE),"")</f>
        <v/>
      </c>
      <c r="G104" s="145"/>
      <c r="H104" s="499" t="str">
        <f>IFERROR(INDEX('G-7 Rivers Data'!$H$4:$L$8,MATCH(C104,'G-7 Rivers Data'!$B$4:$B$8,0),MATCH(G104,'G-7 Rivers Data'!$H$3:$L$3,0)),"")</f>
        <v/>
      </c>
      <c r="I104" s="154"/>
      <c r="J104" s="507" t="str">
        <f>IF(I104="","",IF(VLOOKUP(I104,'G-7 Rivers Data'!$AG$4:$AI$9,2,FALSE)=0,"Spatial Data Missing ⚠",VLOOKUP(I104,'G-7 Rivers Data'!$AG$4:$AI$9,2,FALSE)))</f>
        <v/>
      </c>
      <c r="K104" s="499" t="str">
        <f>IF(I104="","",IF(VLOOKUP(I104,'G-7 Rivers Data'!$AG$4:$AI$9,3,FALSE)=0,"Spatial Data Missing ⚠",VLOOKUP(I104,'G-7 Rivers Data'!$AG$4:$AI$9,3,FALSE)))</f>
        <v/>
      </c>
      <c r="L104" s="498" t="str">
        <f>IFERROR(INDEX('G-7 Rivers Data'!$O$3:$O$7,MATCH(G104,'G-7 Rivers Data'!$N$3:$N$7,0)),"")</f>
        <v/>
      </c>
      <c r="M104" s="8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565" t="str">
        <f t="shared" si="12"/>
        <v/>
      </c>
      <c r="AA104" s="149"/>
      <c r="AB104" s="150"/>
      <c r="AH104" s="31" t="str">
        <f>IFERROR(INDEX('G-7 Rivers Data'!$AZ$3:$AZ$7,MATCH(C104,'G-7 Rivers Data'!$AY$3:$AY$7,0)),"")</f>
        <v/>
      </c>
    </row>
    <row r="105" spans="2:34" ht="13.8" x14ac:dyDescent="0.25">
      <c r="B105" s="141">
        <v>94</v>
      </c>
      <c r="C105" s="171"/>
      <c r="D105" s="172"/>
      <c r="E105" s="498" t="str">
        <f>IF(C105="","",VLOOKUP(C105,'G-7 Rivers Data'!$B$2:$G$8,2,FALSE))</f>
        <v/>
      </c>
      <c r="F105" s="499" t="str">
        <f>IFERROR(VLOOKUP(E105,'G-7 Rivers Data'!$C$4:$D$8,2,FALSE),"")</f>
        <v/>
      </c>
      <c r="G105" s="145"/>
      <c r="H105" s="499" t="str">
        <f>IFERROR(INDEX('G-7 Rivers Data'!$H$4:$L$8,MATCH(C105,'G-7 Rivers Data'!$B$4:$B$8,0),MATCH(G105,'G-7 Rivers Data'!$H$3:$L$3,0)),"")</f>
        <v/>
      </c>
      <c r="I105" s="154"/>
      <c r="J105" s="507" t="str">
        <f>IF(I105="","",IF(VLOOKUP(I105,'G-7 Rivers Data'!$AG$4:$AI$9,2,FALSE)=0,"Spatial Data Missing ⚠",VLOOKUP(I105,'G-7 Rivers Data'!$AG$4:$AI$9,2,FALSE)))</f>
        <v/>
      </c>
      <c r="K105" s="499" t="str">
        <f>IF(I105="","",IF(VLOOKUP(I105,'G-7 Rivers Data'!$AG$4:$AI$9,3,FALSE)=0,"Spatial Data Missing ⚠",VLOOKUP(I105,'G-7 Rivers Data'!$AG$4:$AI$9,3,FALSE)))</f>
        <v/>
      </c>
      <c r="L105" s="498" t="str">
        <f>IFERROR(INDEX('G-7 Rivers Data'!$O$3:$O$7,MATCH(G105,'G-7 Rivers Data'!$N$3:$N$7,0)),"")</f>
        <v/>
      </c>
      <c r="M105" s="8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565" t="str">
        <f t="shared" si="12"/>
        <v/>
      </c>
      <c r="AA105" s="149"/>
      <c r="AB105" s="150"/>
      <c r="AH105" s="31" t="str">
        <f>IFERROR(INDEX('G-7 Rivers Data'!$AZ$3:$AZ$7,MATCH(C105,'G-7 Rivers Data'!$AY$3:$AY$7,0)),"")</f>
        <v/>
      </c>
    </row>
    <row r="106" spans="2:34" ht="13.8" x14ac:dyDescent="0.25">
      <c r="B106" s="141">
        <v>95</v>
      </c>
      <c r="C106" s="171"/>
      <c r="D106" s="172"/>
      <c r="E106" s="498" t="str">
        <f>IF(C106="","",VLOOKUP(C106,'G-7 Rivers Data'!$B$2:$G$8,2,FALSE))</f>
        <v/>
      </c>
      <c r="F106" s="499" t="str">
        <f>IFERROR(VLOOKUP(E106,'G-7 Rivers Data'!$C$4:$D$8,2,FALSE),"")</f>
        <v/>
      </c>
      <c r="G106" s="145"/>
      <c r="H106" s="499" t="str">
        <f>IFERROR(INDEX('G-7 Rivers Data'!$H$4:$L$8,MATCH(C106,'G-7 Rivers Data'!$B$4:$B$8,0),MATCH(G106,'G-7 Rivers Data'!$H$3:$L$3,0)),"")</f>
        <v/>
      </c>
      <c r="I106" s="154"/>
      <c r="J106" s="507" t="str">
        <f>IF(I106="","",IF(VLOOKUP(I106,'G-7 Rivers Data'!$AG$4:$AI$9,2,FALSE)=0,"Spatial Data Missing ⚠",VLOOKUP(I106,'G-7 Rivers Data'!$AG$4:$AI$9,2,FALSE)))</f>
        <v/>
      </c>
      <c r="K106" s="499" t="str">
        <f>IF(I106="","",IF(VLOOKUP(I106,'G-7 Rivers Data'!$AG$4:$AI$9,3,FALSE)=0,"Spatial Data Missing ⚠",VLOOKUP(I106,'G-7 Rivers Data'!$AG$4:$AI$9,3,FALSE)))</f>
        <v/>
      </c>
      <c r="L106" s="498" t="str">
        <f>IFERROR(INDEX('G-7 Rivers Data'!$O$3:$O$7,MATCH(G106,'G-7 Rivers Data'!$N$3:$N$7,0)),"")</f>
        <v/>
      </c>
      <c r="M106" s="8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565" t="str">
        <f t="shared" si="12"/>
        <v/>
      </c>
      <c r="AA106" s="149"/>
      <c r="AB106" s="150"/>
      <c r="AH106" s="31" t="str">
        <f>IFERROR(INDEX('G-7 Rivers Data'!$AZ$3:$AZ$7,MATCH(C106,'G-7 Rivers Data'!$AY$3:$AY$7,0)),"")</f>
        <v/>
      </c>
    </row>
    <row r="107" spans="2:34" ht="13.8" x14ac:dyDescent="0.25">
      <c r="B107" s="141">
        <v>96</v>
      </c>
      <c r="C107" s="171"/>
      <c r="D107" s="172"/>
      <c r="E107" s="498" t="str">
        <f>IF(C107="","",VLOOKUP(C107,'G-7 Rivers Data'!$B$2:$G$8,2,FALSE))</f>
        <v/>
      </c>
      <c r="F107" s="499" t="str">
        <f>IFERROR(VLOOKUP(E107,'G-7 Rivers Data'!$C$4:$D$8,2,FALSE),"")</f>
        <v/>
      </c>
      <c r="G107" s="145"/>
      <c r="H107" s="499" t="str">
        <f>IFERROR(INDEX('G-7 Rivers Data'!$H$4:$L$8,MATCH(C107,'G-7 Rivers Data'!$B$4:$B$8,0),MATCH(G107,'G-7 Rivers Data'!$H$3:$L$3,0)),"")</f>
        <v/>
      </c>
      <c r="I107" s="154"/>
      <c r="J107" s="507" t="str">
        <f>IF(I107="","",IF(VLOOKUP(I107,'G-7 Rivers Data'!$AG$4:$AI$9,2,FALSE)=0,"Spatial Data Missing ⚠",VLOOKUP(I107,'G-7 Rivers Data'!$AG$4:$AI$9,2,FALSE)))</f>
        <v/>
      </c>
      <c r="K107" s="499" t="str">
        <f>IF(I107="","",IF(VLOOKUP(I107,'G-7 Rivers Data'!$AG$4:$AI$9,3,FALSE)=0,"Spatial Data Missing ⚠",VLOOKUP(I107,'G-7 Rivers Data'!$AG$4:$AI$9,3,FALSE)))</f>
        <v/>
      </c>
      <c r="L107" s="498" t="str">
        <f>IFERROR(INDEX('G-7 Rivers Data'!$O$3:$O$7,MATCH(G107,'G-7 Rivers Data'!$N$3:$N$7,0)),"")</f>
        <v/>
      </c>
      <c r="M107" s="8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565" t="str">
        <f t="shared" si="12"/>
        <v/>
      </c>
      <c r="AA107" s="149"/>
      <c r="AB107" s="150"/>
      <c r="AH107" s="31" t="str">
        <f>IFERROR(INDEX('G-7 Rivers Data'!$AZ$3:$AZ$7,MATCH(C107,'G-7 Rivers Data'!$AY$3:$AY$7,0)),"")</f>
        <v/>
      </c>
    </row>
    <row r="108" spans="2:34" ht="13.8" x14ac:dyDescent="0.25">
      <c r="B108" s="141">
        <v>97</v>
      </c>
      <c r="C108" s="171"/>
      <c r="D108" s="172"/>
      <c r="E108" s="498" t="str">
        <f>IF(C108="","",VLOOKUP(C108,'G-7 Rivers Data'!$B$2:$G$8,2,FALSE))</f>
        <v/>
      </c>
      <c r="F108" s="499" t="str">
        <f>IFERROR(VLOOKUP(E108,'G-7 Rivers Data'!$C$4:$D$8,2,FALSE),"")</f>
        <v/>
      </c>
      <c r="G108" s="145"/>
      <c r="H108" s="499" t="str">
        <f>IFERROR(INDEX('G-7 Rivers Data'!$H$4:$L$8,MATCH(C108,'G-7 Rivers Data'!$B$4:$B$8,0),MATCH(G108,'G-7 Rivers Data'!$H$3:$L$3,0)),"")</f>
        <v/>
      </c>
      <c r="I108" s="154"/>
      <c r="J108" s="507" t="str">
        <f>IF(I108="","",IF(VLOOKUP(I108,'G-7 Rivers Data'!$AG$4:$AI$9,2,FALSE)=0,"Spatial Data Missing ⚠",VLOOKUP(I108,'G-7 Rivers Data'!$AG$4:$AI$9,2,FALSE)))</f>
        <v/>
      </c>
      <c r="K108" s="499" t="str">
        <f>IF(I108="","",IF(VLOOKUP(I108,'G-7 Rivers Data'!$AG$4:$AI$9,3,FALSE)=0,"Spatial Data Missing ⚠",VLOOKUP(I108,'G-7 Rivers Data'!$AG$4:$AI$9,3,FALSE)))</f>
        <v/>
      </c>
      <c r="L108" s="498" t="str">
        <f>IFERROR(INDEX('G-7 Rivers Data'!$O$3:$O$7,MATCH(G108,'G-7 Rivers Data'!$N$3:$N$7,0)),"")</f>
        <v/>
      </c>
      <c r="M108" s="8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565" t="str">
        <f t="shared" si="12"/>
        <v/>
      </c>
      <c r="AA108" s="149"/>
      <c r="AB108" s="150"/>
      <c r="AH108" s="31" t="str">
        <f>IFERROR(INDEX('G-7 Rivers Data'!$AZ$3:$AZ$7,MATCH(C108,'G-7 Rivers Data'!$AY$3:$AY$7,0)),"")</f>
        <v/>
      </c>
    </row>
    <row r="109" spans="2:34" ht="13.8" x14ac:dyDescent="0.25">
      <c r="B109" s="141">
        <v>98</v>
      </c>
      <c r="C109" s="171"/>
      <c r="D109" s="172"/>
      <c r="E109" s="498" t="str">
        <f>IF(C109="","",VLOOKUP(C109,'G-7 Rivers Data'!$B$2:$G$8,2,FALSE))</f>
        <v/>
      </c>
      <c r="F109" s="499" t="str">
        <f>IFERROR(VLOOKUP(E109,'G-7 Rivers Data'!$C$4:$D$8,2,FALSE),"")</f>
        <v/>
      </c>
      <c r="G109" s="145"/>
      <c r="H109" s="499" t="str">
        <f>IFERROR(INDEX('G-7 Rivers Data'!$H$4:$L$8,MATCH(C109,'G-7 Rivers Data'!$B$4:$B$8,0),MATCH(G109,'G-7 Rivers Data'!$H$3:$L$3,0)),"")</f>
        <v/>
      </c>
      <c r="I109" s="154"/>
      <c r="J109" s="507" t="str">
        <f>IF(I109="","",IF(VLOOKUP(I109,'G-7 Rivers Data'!$AG$4:$AI$9,2,FALSE)=0,"Spatial Data Missing ⚠",VLOOKUP(I109,'G-7 Rivers Data'!$AG$4:$AI$9,2,FALSE)))</f>
        <v/>
      </c>
      <c r="K109" s="499" t="str">
        <f>IF(I109="","",IF(VLOOKUP(I109,'G-7 Rivers Data'!$AG$4:$AI$9,3,FALSE)=0,"Spatial Data Missing ⚠",VLOOKUP(I109,'G-7 Rivers Data'!$AG$4:$AI$9,3,FALSE)))</f>
        <v/>
      </c>
      <c r="L109" s="498" t="str">
        <f>IFERROR(INDEX('G-7 Rivers Data'!$O$3:$O$7,MATCH(G109,'G-7 Rivers Data'!$N$3:$N$7,0)),"")</f>
        <v/>
      </c>
      <c r="M109" s="8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565" t="str">
        <f t="shared" si="12"/>
        <v/>
      </c>
      <c r="AA109" s="149"/>
      <c r="AB109" s="150"/>
      <c r="AH109" s="31" t="str">
        <f>IFERROR(INDEX('G-7 Rivers Data'!$AZ$3:$AZ$7,MATCH(C109,'G-7 Rivers Data'!$AY$3:$AY$7,0)),"")</f>
        <v/>
      </c>
    </row>
    <row r="110" spans="2:34" ht="13.8" x14ac:dyDescent="0.25">
      <c r="B110" s="141">
        <v>99</v>
      </c>
      <c r="C110" s="171"/>
      <c r="D110" s="172"/>
      <c r="E110" s="498" t="str">
        <f>IF(C110="","",VLOOKUP(C110,'G-7 Rivers Data'!$B$2:$G$8,2,FALSE))</f>
        <v/>
      </c>
      <c r="F110" s="499" t="str">
        <f>IFERROR(VLOOKUP(E110,'G-7 Rivers Data'!$C$4:$D$8,2,FALSE),"")</f>
        <v/>
      </c>
      <c r="G110" s="145"/>
      <c r="H110" s="499" t="str">
        <f>IFERROR(INDEX('G-7 Rivers Data'!$H$4:$L$8,MATCH(C110,'G-7 Rivers Data'!$B$4:$B$8,0),MATCH(G110,'G-7 Rivers Data'!$H$3:$L$3,0)),"")</f>
        <v/>
      </c>
      <c r="I110" s="154"/>
      <c r="J110" s="507" t="str">
        <f>IF(I110="","",IF(VLOOKUP(I110,'G-7 Rivers Data'!$AG$4:$AI$9,2,FALSE)=0,"Spatial Data Missing ⚠",VLOOKUP(I110,'G-7 Rivers Data'!$AG$4:$AI$9,2,FALSE)))</f>
        <v/>
      </c>
      <c r="K110" s="499" t="str">
        <f>IF(I110="","",IF(VLOOKUP(I110,'G-7 Rivers Data'!$AG$4:$AI$9,3,FALSE)=0,"Spatial Data Missing ⚠",VLOOKUP(I110,'G-7 Rivers Data'!$AG$4:$AI$9,3,FALSE)))</f>
        <v/>
      </c>
      <c r="L110" s="498" t="str">
        <f>IFERROR(INDEX('G-7 Rivers Data'!$O$3:$O$7,MATCH(G110,'G-7 Rivers Data'!$N$3:$N$7,0)),"")</f>
        <v/>
      </c>
      <c r="M110" s="8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565" t="str">
        <f t="shared" si="12"/>
        <v/>
      </c>
      <c r="AA110" s="149"/>
      <c r="AB110" s="150"/>
      <c r="AH110" s="31" t="str">
        <f>IFERROR(INDEX('G-7 Rivers Data'!$AZ$3:$AZ$7,MATCH(C110,'G-7 Rivers Data'!$AY$3:$AY$7,0)),"")</f>
        <v/>
      </c>
    </row>
    <row r="111" spans="2:34" ht="13.8" x14ac:dyDescent="0.25">
      <c r="B111" s="141">
        <v>100</v>
      </c>
      <c r="C111" s="171"/>
      <c r="D111" s="172"/>
      <c r="E111" s="498" t="str">
        <f>IF(C111="","",VLOOKUP(C111,'G-7 Rivers Data'!$B$2:$G$8,2,FALSE))</f>
        <v/>
      </c>
      <c r="F111" s="499" t="str">
        <f>IFERROR(VLOOKUP(E111,'G-7 Rivers Data'!$C$4:$D$8,2,FALSE),"")</f>
        <v/>
      </c>
      <c r="G111" s="145"/>
      <c r="H111" s="499" t="str">
        <f>IFERROR(INDEX('G-7 Rivers Data'!$H$4:$L$8,MATCH(C111,'G-7 Rivers Data'!$B$4:$B$8,0),MATCH(G111,'G-7 Rivers Data'!$H$3:$L$3,0)),"")</f>
        <v/>
      </c>
      <c r="I111" s="154"/>
      <c r="J111" s="507" t="str">
        <f>IF(I111="","",IF(VLOOKUP(I111,'G-7 Rivers Data'!$AG$4:$AI$9,2,FALSE)=0,"Spatial Data Missing ⚠",VLOOKUP(I111,'G-7 Rivers Data'!$AG$4:$AI$9,2,FALSE)))</f>
        <v/>
      </c>
      <c r="K111" s="499" t="str">
        <f>IF(I111="","",IF(VLOOKUP(I111,'G-7 Rivers Data'!$AG$4:$AI$9,3,FALSE)=0,"Spatial Data Missing ⚠",VLOOKUP(I111,'G-7 Rivers Data'!$AG$4:$AI$9,3,FALSE)))</f>
        <v/>
      </c>
      <c r="L111" s="498" t="str">
        <f>IFERROR(INDEX('G-7 Rivers Data'!$O$3:$O$7,MATCH(G111,'G-7 Rivers Data'!$N$3:$N$7,0)),"")</f>
        <v/>
      </c>
      <c r="M111" s="8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565" t="str">
        <f t="shared" si="12"/>
        <v/>
      </c>
      <c r="AA111" s="149"/>
      <c r="AB111" s="150"/>
      <c r="AH111" s="31" t="str">
        <f>IFERROR(INDEX('G-7 Rivers Data'!$AZ$3:$AZ$7,MATCH(C111,'G-7 Rivers Data'!$AY$3:$AY$7,0)),"")</f>
        <v/>
      </c>
    </row>
    <row r="112" spans="2:34" ht="13.8" x14ac:dyDescent="0.25">
      <c r="B112" s="141">
        <v>101</v>
      </c>
      <c r="C112" s="171"/>
      <c r="D112" s="172"/>
      <c r="E112" s="498" t="str">
        <f>IF(C112="","",VLOOKUP(C112,'G-7 Rivers Data'!$B$2:$G$8,2,FALSE))</f>
        <v/>
      </c>
      <c r="F112" s="499" t="str">
        <f>IFERROR(VLOOKUP(E112,'G-7 Rivers Data'!$C$4:$D$8,2,FALSE),"")</f>
        <v/>
      </c>
      <c r="G112" s="145"/>
      <c r="H112" s="499" t="str">
        <f>IFERROR(INDEX('G-7 Rivers Data'!$H$4:$L$8,MATCH(C112,'G-7 Rivers Data'!$B$4:$B$8,0),MATCH(G112,'G-7 Rivers Data'!$H$3:$L$3,0)),"")</f>
        <v/>
      </c>
      <c r="I112" s="154"/>
      <c r="J112" s="507" t="str">
        <f>IF(I112="","",IF(VLOOKUP(I112,'G-7 Rivers Data'!$AG$4:$AI$9,2,FALSE)=0,"Spatial Data Missing ⚠",VLOOKUP(I112,'G-7 Rivers Data'!$AG$4:$AI$9,2,FALSE)))</f>
        <v/>
      </c>
      <c r="K112" s="499" t="str">
        <f>IF(I112="","",IF(VLOOKUP(I112,'G-7 Rivers Data'!$AG$4:$AI$9,3,FALSE)=0,"Spatial Data Missing ⚠",VLOOKUP(I112,'G-7 Rivers Data'!$AG$4:$AI$9,3,FALSE)))</f>
        <v/>
      </c>
      <c r="L112" s="498" t="str">
        <f>IFERROR(INDEX('G-7 Rivers Data'!$O$3:$O$7,MATCH(G112,'G-7 Rivers Data'!$N$3:$N$7,0)),"")</f>
        <v/>
      </c>
      <c r="M112" s="8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565" t="str">
        <f t="shared" si="12"/>
        <v/>
      </c>
      <c r="AA112" s="149"/>
      <c r="AB112" s="150"/>
      <c r="AH112" s="31" t="str">
        <f>IFERROR(INDEX('G-7 Rivers Data'!$AZ$3:$AZ$7,MATCH(C112,'G-7 Rivers Data'!$AY$3:$AY$7,0)),"")</f>
        <v/>
      </c>
    </row>
    <row r="113" spans="2:34" ht="13.8" x14ac:dyDescent="0.25">
      <c r="B113" s="141">
        <v>102</v>
      </c>
      <c r="C113" s="171"/>
      <c r="D113" s="172"/>
      <c r="E113" s="498" t="str">
        <f>IF(C113="","",VLOOKUP(C113,'G-7 Rivers Data'!$B$2:$G$8,2,FALSE))</f>
        <v/>
      </c>
      <c r="F113" s="499" t="str">
        <f>IFERROR(VLOOKUP(E113,'G-7 Rivers Data'!$C$4:$D$8,2,FALSE),"")</f>
        <v/>
      </c>
      <c r="G113" s="145"/>
      <c r="H113" s="499" t="str">
        <f>IFERROR(INDEX('G-7 Rivers Data'!$H$4:$L$8,MATCH(C113,'G-7 Rivers Data'!$B$4:$B$8,0),MATCH(G113,'G-7 Rivers Data'!$H$3:$L$3,0)),"")</f>
        <v/>
      </c>
      <c r="I113" s="154"/>
      <c r="J113" s="507" t="str">
        <f>IF(I113="","",IF(VLOOKUP(I113,'G-7 Rivers Data'!$AG$4:$AI$9,2,FALSE)=0,"Spatial Data Missing ⚠",VLOOKUP(I113,'G-7 Rivers Data'!$AG$4:$AI$9,2,FALSE)))</f>
        <v/>
      </c>
      <c r="K113" s="499" t="str">
        <f>IF(I113="","",IF(VLOOKUP(I113,'G-7 Rivers Data'!$AG$4:$AI$9,3,FALSE)=0,"Spatial Data Missing ⚠",VLOOKUP(I113,'G-7 Rivers Data'!$AG$4:$AI$9,3,FALSE)))</f>
        <v/>
      </c>
      <c r="L113" s="498" t="str">
        <f>IFERROR(INDEX('G-7 Rivers Data'!$O$3:$O$7,MATCH(G113,'G-7 Rivers Data'!$N$3:$N$7,0)),"")</f>
        <v/>
      </c>
      <c r="M113" s="8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565" t="str">
        <f t="shared" si="12"/>
        <v/>
      </c>
      <c r="AA113" s="149"/>
      <c r="AB113" s="150"/>
      <c r="AH113" s="31" t="str">
        <f>IFERROR(INDEX('G-7 Rivers Data'!$AZ$3:$AZ$7,MATCH(C113,'G-7 Rivers Data'!$AY$3:$AY$7,0)),"")</f>
        <v/>
      </c>
    </row>
    <row r="114" spans="2:34" ht="13.8" x14ac:dyDescent="0.25">
      <c r="B114" s="141">
        <v>103</v>
      </c>
      <c r="C114" s="171"/>
      <c r="D114" s="172"/>
      <c r="E114" s="498" t="str">
        <f>IF(C114="","",VLOOKUP(C114,'G-7 Rivers Data'!$B$2:$G$8,2,FALSE))</f>
        <v/>
      </c>
      <c r="F114" s="499" t="str">
        <f>IFERROR(VLOOKUP(E114,'G-7 Rivers Data'!$C$4:$D$8,2,FALSE),"")</f>
        <v/>
      </c>
      <c r="G114" s="145"/>
      <c r="H114" s="499" t="str">
        <f>IFERROR(INDEX('G-7 Rivers Data'!$H$4:$L$8,MATCH(C114,'G-7 Rivers Data'!$B$4:$B$8,0),MATCH(G114,'G-7 Rivers Data'!$H$3:$L$3,0)),"")</f>
        <v/>
      </c>
      <c r="I114" s="154"/>
      <c r="J114" s="507" t="str">
        <f>IF(I114="","",IF(VLOOKUP(I114,'G-7 Rivers Data'!$AG$4:$AI$9,2,FALSE)=0,"Spatial Data Missing ⚠",VLOOKUP(I114,'G-7 Rivers Data'!$AG$4:$AI$9,2,FALSE)))</f>
        <v/>
      </c>
      <c r="K114" s="499" t="str">
        <f>IF(I114="","",IF(VLOOKUP(I114,'G-7 Rivers Data'!$AG$4:$AI$9,3,FALSE)=0,"Spatial Data Missing ⚠",VLOOKUP(I114,'G-7 Rivers Data'!$AG$4:$AI$9,3,FALSE)))</f>
        <v/>
      </c>
      <c r="L114" s="498" t="str">
        <f>IFERROR(INDEX('G-7 Rivers Data'!$O$3:$O$7,MATCH(G114,'G-7 Rivers Data'!$N$3:$N$7,0)),"")</f>
        <v/>
      </c>
      <c r="M114" s="8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565" t="str">
        <f t="shared" si="12"/>
        <v/>
      </c>
      <c r="AA114" s="149"/>
      <c r="AB114" s="150"/>
      <c r="AH114" s="31" t="str">
        <f>IFERROR(INDEX('G-7 Rivers Data'!$AZ$3:$AZ$7,MATCH(C114,'G-7 Rivers Data'!$AY$3:$AY$7,0)),"")</f>
        <v/>
      </c>
    </row>
    <row r="115" spans="2:34" ht="13.8" x14ac:dyDescent="0.25">
      <c r="B115" s="141">
        <v>104</v>
      </c>
      <c r="C115" s="171"/>
      <c r="D115" s="172"/>
      <c r="E115" s="498" t="str">
        <f>IF(C115="","",VLOOKUP(C115,'G-7 Rivers Data'!$B$2:$G$8,2,FALSE))</f>
        <v/>
      </c>
      <c r="F115" s="499" t="str">
        <f>IFERROR(VLOOKUP(E115,'G-7 Rivers Data'!$C$4:$D$8,2,FALSE),"")</f>
        <v/>
      </c>
      <c r="G115" s="145"/>
      <c r="H115" s="499" t="str">
        <f>IFERROR(INDEX('G-7 Rivers Data'!$H$4:$L$8,MATCH(C115,'G-7 Rivers Data'!$B$4:$B$8,0),MATCH(G115,'G-7 Rivers Data'!$H$3:$L$3,0)),"")</f>
        <v/>
      </c>
      <c r="I115" s="154"/>
      <c r="J115" s="507" t="str">
        <f>IF(I115="","",IF(VLOOKUP(I115,'G-7 Rivers Data'!$AG$4:$AI$9,2,FALSE)=0,"Spatial Data Missing ⚠",VLOOKUP(I115,'G-7 Rivers Data'!$AG$4:$AI$9,2,FALSE)))</f>
        <v/>
      </c>
      <c r="K115" s="499" t="str">
        <f>IF(I115="","",IF(VLOOKUP(I115,'G-7 Rivers Data'!$AG$4:$AI$9,3,FALSE)=0,"Spatial Data Missing ⚠",VLOOKUP(I115,'G-7 Rivers Data'!$AG$4:$AI$9,3,FALSE)))</f>
        <v/>
      </c>
      <c r="L115" s="498" t="str">
        <f>IFERROR(INDEX('G-7 Rivers Data'!$O$3:$O$7,MATCH(G115,'G-7 Rivers Data'!$N$3:$N$7,0)),"")</f>
        <v/>
      </c>
      <c r="M115" s="8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565" t="str">
        <f t="shared" si="12"/>
        <v/>
      </c>
      <c r="AA115" s="149"/>
      <c r="AB115" s="150"/>
      <c r="AH115" s="31" t="str">
        <f>IFERROR(INDEX('G-7 Rivers Data'!$AZ$3:$AZ$7,MATCH(C115,'G-7 Rivers Data'!$AY$3:$AY$7,0)),"")</f>
        <v/>
      </c>
    </row>
    <row r="116" spans="2:34" ht="13.8" x14ac:dyDescent="0.25">
      <c r="B116" s="141">
        <v>105</v>
      </c>
      <c r="C116" s="171"/>
      <c r="D116" s="172"/>
      <c r="E116" s="498" t="str">
        <f>IF(C116="","",VLOOKUP(C116,'G-7 Rivers Data'!$B$2:$G$8,2,FALSE))</f>
        <v/>
      </c>
      <c r="F116" s="499" t="str">
        <f>IFERROR(VLOOKUP(E116,'G-7 Rivers Data'!$C$4:$D$8,2,FALSE),"")</f>
        <v/>
      </c>
      <c r="G116" s="145"/>
      <c r="H116" s="499" t="str">
        <f>IFERROR(INDEX('G-7 Rivers Data'!$H$4:$L$8,MATCH(C116,'G-7 Rivers Data'!$B$4:$B$8,0),MATCH(G116,'G-7 Rivers Data'!$H$3:$L$3,0)),"")</f>
        <v/>
      </c>
      <c r="I116" s="154"/>
      <c r="J116" s="507" t="str">
        <f>IF(I116="","",IF(VLOOKUP(I116,'G-7 Rivers Data'!$AG$4:$AI$9,2,FALSE)=0,"Spatial Data Missing ⚠",VLOOKUP(I116,'G-7 Rivers Data'!$AG$4:$AI$9,2,FALSE)))</f>
        <v/>
      </c>
      <c r="K116" s="499" t="str">
        <f>IF(I116="","",IF(VLOOKUP(I116,'G-7 Rivers Data'!$AG$4:$AI$9,3,FALSE)=0,"Spatial Data Missing ⚠",VLOOKUP(I116,'G-7 Rivers Data'!$AG$4:$AI$9,3,FALSE)))</f>
        <v/>
      </c>
      <c r="L116" s="498" t="str">
        <f>IFERROR(INDEX('G-7 Rivers Data'!$O$3:$O$7,MATCH(G116,'G-7 Rivers Data'!$N$3:$N$7,0)),"")</f>
        <v/>
      </c>
      <c r="M116" s="8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565" t="str">
        <f t="shared" si="12"/>
        <v/>
      </c>
      <c r="AA116" s="149"/>
      <c r="AB116" s="150"/>
      <c r="AH116" s="31" t="str">
        <f>IFERROR(INDEX('G-7 Rivers Data'!$AZ$3:$AZ$7,MATCH(C116,'G-7 Rivers Data'!$AY$3:$AY$7,0)),"")</f>
        <v/>
      </c>
    </row>
    <row r="117" spans="2:34" ht="13.8" x14ac:dyDescent="0.25">
      <c r="B117" s="141">
        <v>106</v>
      </c>
      <c r="C117" s="171"/>
      <c r="D117" s="172"/>
      <c r="E117" s="498" t="str">
        <f>IF(C117="","",VLOOKUP(C117,'G-7 Rivers Data'!$B$2:$G$8,2,FALSE))</f>
        <v/>
      </c>
      <c r="F117" s="499" t="str">
        <f>IFERROR(VLOOKUP(E117,'G-7 Rivers Data'!$C$4:$D$8,2,FALSE),"")</f>
        <v/>
      </c>
      <c r="G117" s="145"/>
      <c r="H117" s="499" t="str">
        <f>IFERROR(INDEX('G-7 Rivers Data'!$H$4:$L$8,MATCH(C117,'G-7 Rivers Data'!$B$4:$B$8,0),MATCH(G117,'G-7 Rivers Data'!$H$3:$L$3,0)),"")</f>
        <v/>
      </c>
      <c r="I117" s="154"/>
      <c r="J117" s="507" t="str">
        <f>IF(I117="","",IF(VLOOKUP(I117,'G-7 Rivers Data'!$AG$4:$AI$9,2,FALSE)=0,"Spatial Data Missing ⚠",VLOOKUP(I117,'G-7 Rivers Data'!$AG$4:$AI$9,2,FALSE)))</f>
        <v/>
      </c>
      <c r="K117" s="499" t="str">
        <f>IF(I117="","",IF(VLOOKUP(I117,'G-7 Rivers Data'!$AG$4:$AI$9,3,FALSE)=0,"Spatial Data Missing ⚠",VLOOKUP(I117,'G-7 Rivers Data'!$AG$4:$AI$9,3,FALSE)))</f>
        <v/>
      </c>
      <c r="L117" s="498" t="str">
        <f>IFERROR(INDEX('G-7 Rivers Data'!$O$3:$O$7,MATCH(G117,'G-7 Rivers Data'!$N$3:$N$7,0)),"")</f>
        <v/>
      </c>
      <c r="M117" s="8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565" t="str">
        <f t="shared" si="12"/>
        <v/>
      </c>
      <c r="AA117" s="149"/>
      <c r="AB117" s="150"/>
      <c r="AH117" s="31" t="str">
        <f>IFERROR(INDEX('G-7 Rivers Data'!$AZ$3:$AZ$7,MATCH(C117,'G-7 Rivers Data'!$AY$3:$AY$7,0)),"")</f>
        <v/>
      </c>
    </row>
    <row r="118" spans="2:34" ht="13.8" x14ac:dyDescent="0.25">
      <c r="B118" s="141">
        <v>107</v>
      </c>
      <c r="C118" s="171"/>
      <c r="D118" s="172"/>
      <c r="E118" s="498" t="str">
        <f>IF(C118="","",VLOOKUP(C118,'G-7 Rivers Data'!$B$2:$G$8,2,FALSE))</f>
        <v/>
      </c>
      <c r="F118" s="499" t="str">
        <f>IFERROR(VLOOKUP(E118,'G-7 Rivers Data'!$C$4:$D$8,2,FALSE),"")</f>
        <v/>
      </c>
      <c r="G118" s="145"/>
      <c r="H118" s="499" t="str">
        <f>IFERROR(INDEX('G-7 Rivers Data'!$H$4:$L$8,MATCH(C118,'G-7 Rivers Data'!$B$4:$B$8,0),MATCH(G118,'G-7 Rivers Data'!$H$3:$L$3,0)),"")</f>
        <v/>
      </c>
      <c r="I118" s="154"/>
      <c r="J118" s="507" t="str">
        <f>IF(I118="","",IF(VLOOKUP(I118,'G-7 Rivers Data'!$AG$4:$AI$9,2,FALSE)=0,"Spatial Data Missing ⚠",VLOOKUP(I118,'G-7 Rivers Data'!$AG$4:$AI$9,2,FALSE)))</f>
        <v/>
      </c>
      <c r="K118" s="499" t="str">
        <f>IF(I118="","",IF(VLOOKUP(I118,'G-7 Rivers Data'!$AG$4:$AI$9,3,FALSE)=0,"Spatial Data Missing ⚠",VLOOKUP(I118,'G-7 Rivers Data'!$AG$4:$AI$9,3,FALSE)))</f>
        <v/>
      </c>
      <c r="L118" s="498" t="str">
        <f>IFERROR(INDEX('G-7 Rivers Data'!$O$3:$O$7,MATCH(G118,'G-7 Rivers Data'!$N$3:$N$7,0)),"")</f>
        <v/>
      </c>
      <c r="M118" s="8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565" t="str">
        <f t="shared" si="12"/>
        <v/>
      </c>
      <c r="AA118" s="149"/>
      <c r="AB118" s="150"/>
      <c r="AH118" s="31" t="str">
        <f>IFERROR(INDEX('G-7 Rivers Data'!$AZ$3:$AZ$7,MATCH(C118,'G-7 Rivers Data'!$AY$3:$AY$7,0)),"")</f>
        <v/>
      </c>
    </row>
    <row r="119" spans="2:34" ht="13.8" x14ac:dyDescent="0.25">
      <c r="B119" s="141">
        <v>108</v>
      </c>
      <c r="C119" s="171"/>
      <c r="D119" s="172"/>
      <c r="E119" s="498" t="str">
        <f>IF(C119="","",VLOOKUP(C119,'G-7 Rivers Data'!$B$2:$G$8,2,FALSE))</f>
        <v/>
      </c>
      <c r="F119" s="499" t="str">
        <f>IFERROR(VLOOKUP(E119,'G-7 Rivers Data'!$C$4:$D$8,2,FALSE),"")</f>
        <v/>
      </c>
      <c r="G119" s="145"/>
      <c r="H119" s="499" t="str">
        <f>IFERROR(INDEX('G-7 Rivers Data'!$H$4:$L$8,MATCH(C119,'G-7 Rivers Data'!$B$4:$B$8,0),MATCH(G119,'G-7 Rivers Data'!$H$3:$L$3,0)),"")</f>
        <v/>
      </c>
      <c r="I119" s="154"/>
      <c r="J119" s="507" t="str">
        <f>IF(I119="","",IF(VLOOKUP(I119,'G-7 Rivers Data'!$AG$4:$AI$9,2,FALSE)=0,"Spatial Data Missing ⚠",VLOOKUP(I119,'G-7 Rivers Data'!$AG$4:$AI$9,2,FALSE)))</f>
        <v/>
      </c>
      <c r="K119" s="499" t="str">
        <f>IF(I119="","",IF(VLOOKUP(I119,'G-7 Rivers Data'!$AG$4:$AI$9,3,FALSE)=0,"Spatial Data Missing ⚠",VLOOKUP(I119,'G-7 Rivers Data'!$AG$4:$AI$9,3,FALSE)))</f>
        <v/>
      </c>
      <c r="L119" s="498" t="str">
        <f>IFERROR(INDEX('G-7 Rivers Data'!$O$3:$O$7,MATCH(G119,'G-7 Rivers Data'!$N$3:$N$7,0)),"")</f>
        <v/>
      </c>
      <c r="M119" s="8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565" t="str">
        <f t="shared" si="12"/>
        <v/>
      </c>
      <c r="AA119" s="149"/>
      <c r="AB119" s="150"/>
      <c r="AH119" s="31" t="str">
        <f>IFERROR(INDEX('G-7 Rivers Data'!$AZ$3:$AZ$7,MATCH(C119,'G-7 Rivers Data'!$AY$3:$AY$7,0)),"")</f>
        <v/>
      </c>
    </row>
    <row r="120" spans="2:34" ht="13.8" x14ac:dyDescent="0.25">
      <c r="B120" s="141">
        <v>109</v>
      </c>
      <c r="C120" s="171"/>
      <c r="D120" s="172"/>
      <c r="E120" s="498" t="str">
        <f>IF(C120="","",VLOOKUP(C120,'G-7 Rivers Data'!$B$2:$G$8,2,FALSE))</f>
        <v/>
      </c>
      <c r="F120" s="499" t="str">
        <f>IFERROR(VLOOKUP(E120,'G-7 Rivers Data'!$C$4:$D$8,2,FALSE),"")</f>
        <v/>
      </c>
      <c r="G120" s="145"/>
      <c r="H120" s="499" t="str">
        <f>IFERROR(INDEX('G-7 Rivers Data'!$H$4:$L$8,MATCH(C120,'G-7 Rivers Data'!$B$4:$B$8,0),MATCH(G120,'G-7 Rivers Data'!$H$3:$L$3,0)),"")</f>
        <v/>
      </c>
      <c r="I120" s="154"/>
      <c r="J120" s="507" t="str">
        <f>IF(I120="","",IF(VLOOKUP(I120,'G-7 Rivers Data'!$AG$4:$AI$9,2,FALSE)=0,"Spatial Data Missing ⚠",VLOOKUP(I120,'G-7 Rivers Data'!$AG$4:$AI$9,2,FALSE)))</f>
        <v/>
      </c>
      <c r="K120" s="499" t="str">
        <f>IF(I120="","",IF(VLOOKUP(I120,'G-7 Rivers Data'!$AG$4:$AI$9,3,FALSE)=0,"Spatial Data Missing ⚠",VLOOKUP(I120,'G-7 Rivers Data'!$AG$4:$AI$9,3,FALSE)))</f>
        <v/>
      </c>
      <c r="L120" s="498" t="str">
        <f>IFERROR(INDEX('G-7 Rivers Data'!$O$3:$O$7,MATCH(G120,'G-7 Rivers Data'!$N$3:$N$7,0)),"")</f>
        <v/>
      </c>
      <c r="M120" s="8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565" t="str">
        <f t="shared" si="12"/>
        <v/>
      </c>
      <c r="AA120" s="149"/>
      <c r="AB120" s="150"/>
      <c r="AH120" s="31" t="str">
        <f>IFERROR(INDEX('G-7 Rivers Data'!$AZ$3:$AZ$7,MATCH(C120,'G-7 Rivers Data'!$AY$3:$AY$7,0)),"")</f>
        <v/>
      </c>
    </row>
    <row r="121" spans="2:34" ht="13.8" x14ac:dyDescent="0.25">
      <c r="B121" s="141">
        <v>110</v>
      </c>
      <c r="C121" s="171"/>
      <c r="D121" s="172"/>
      <c r="E121" s="498" t="str">
        <f>IF(C121="","",VLOOKUP(C121,'G-7 Rivers Data'!$B$2:$G$8,2,FALSE))</f>
        <v/>
      </c>
      <c r="F121" s="499" t="str">
        <f>IFERROR(VLOOKUP(E121,'G-7 Rivers Data'!$C$4:$D$8,2,FALSE),"")</f>
        <v/>
      </c>
      <c r="G121" s="145"/>
      <c r="H121" s="499" t="str">
        <f>IFERROR(INDEX('G-7 Rivers Data'!$H$4:$L$8,MATCH(C121,'G-7 Rivers Data'!$B$4:$B$8,0),MATCH(G121,'G-7 Rivers Data'!$H$3:$L$3,0)),"")</f>
        <v/>
      </c>
      <c r="I121" s="154"/>
      <c r="J121" s="507" t="str">
        <f>IF(I121="","",IF(VLOOKUP(I121,'G-7 Rivers Data'!$AG$4:$AI$9,2,FALSE)=0,"Spatial Data Missing ⚠",VLOOKUP(I121,'G-7 Rivers Data'!$AG$4:$AI$9,2,FALSE)))</f>
        <v/>
      </c>
      <c r="K121" s="499" t="str">
        <f>IF(I121="","",IF(VLOOKUP(I121,'G-7 Rivers Data'!$AG$4:$AI$9,3,FALSE)=0,"Spatial Data Missing ⚠",VLOOKUP(I121,'G-7 Rivers Data'!$AG$4:$AI$9,3,FALSE)))</f>
        <v/>
      </c>
      <c r="L121" s="498" t="str">
        <f>IFERROR(INDEX('G-7 Rivers Data'!$O$3:$O$7,MATCH(G121,'G-7 Rivers Data'!$N$3:$N$7,0)),"")</f>
        <v/>
      </c>
      <c r="M121" s="8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565" t="str">
        <f t="shared" si="12"/>
        <v/>
      </c>
      <c r="AA121" s="149"/>
      <c r="AB121" s="150"/>
      <c r="AH121" s="31" t="str">
        <f>IFERROR(INDEX('G-7 Rivers Data'!$AZ$3:$AZ$7,MATCH(C121,'G-7 Rivers Data'!$AY$3:$AY$7,0)),"")</f>
        <v/>
      </c>
    </row>
    <row r="122" spans="2:34" ht="13.8" x14ac:dyDescent="0.25">
      <c r="B122" s="141">
        <v>111</v>
      </c>
      <c r="C122" s="171"/>
      <c r="D122" s="172"/>
      <c r="E122" s="498" t="str">
        <f>IF(C122="","",VLOOKUP(C122,'G-7 Rivers Data'!$B$2:$G$8,2,FALSE))</f>
        <v/>
      </c>
      <c r="F122" s="499" t="str">
        <f>IFERROR(VLOOKUP(E122,'G-7 Rivers Data'!$C$4:$D$8,2,FALSE),"")</f>
        <v/>
      </c>
      <c r="G122" s="145"/>
      <c r="H122" s="499" t="str">
        <f>IFERROR(INDEX('G-7 Rivers Data'!$H$4:$L$8,MATCH(C122,'G-7 Rivers Data'!$B$4:$B$8,0),MATCH(G122,'G-7 Rivers Data'!$H$3:$L$3,0)),"")</f>
        <v/>
      </c>
      <c r="I122" s="154"/>
      <c r="J122" s="507" t="str">
        <f>IF(I122="","",IF(VLOOKUP(I122,'G-7 Rivers Data'!$AG$4:$AI$9,2,FALSE)=0,"Spatial Data Missing ⚠",VLOOKUP(I122,'G-7 Rivers Data'!$AG$4:$AI$9,2,FALSE)))</f>
        <v/>
      </c>
      <c r="K122" s="499" t="str">
        <f>IF(I122="","",IF(VLOOKUP(I122,'G-7 Rivers Data'!$AG$4:$AI$9,3,FALSE)=0,"Spatial Data Missing ⚠",VLOOKUP(I122,'G-7 Rivers Data'!$AG$4:$AI$9,3,FALSE)))</f>
        <v/>
      </c>
      <c r="L122" s="498" t="str">
        <f>IFERROR(INDEX('G-7 Rivers Data'!$O$3:$O$7,MATCH(G122,'G-7 Rivers Data'!$N$3:$N$7,0)),"")</f>
        <v/>
      </c>
      <c r="M122" s="8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565" t="str">
        <f t="shared" si="12"/>
        <v/>
      </c>
      <c r="AA122" s="149"/>
      <c r="AB122" s="150"/>
      <c r="AH122" s="31" t="str">
        <f>IFERROR(INDEX('G-7 Rivers Data'!$AZ$3:$AZ$7,MATCH(C122,'G-7 Rivers Data'!$AY$3:$AY$7,0)),"")</f>
        <v/>
      </c>
    </row>
    <row r="123" spans="2:34" ht="13.8" x14ac:dyDescent="0.25">
      <c r="B123" s="141">
        <v>112</v>
      </c>
      <c r="C123" s="171"/>
      <c r="D123" s="172"/>
      <c r="E123" s="498" t="str">
        <f>IF(C123="","",VLOOKUP(C123,'G-7 Rivers Data'!$B$2:$G$8,2,FALSE))</f>
        <v/>
      </c>
      <c r="F123" s="499" t="str">
        <f>IFERROR(VLOOKUP(E123,'G-7 Rivers Data'!$C$4:$D$8,2,FALSE),"")</f>
        <v/>
      </c>
      <c r="G123" s="145"/>
      <c r="H123" s="499" t="str">
        <f>IFERROR(INDEX('G-7 Rivers Data'!$H$4:$L$8,MATCH(C123,'G-7 Rivers Data'!$B$4:$B$8,0),MATCH(G123,'G-7 Rivers Data'!$H$3:$L$3,0)),"")</f>
        <v/>
      </c>
      <c r="I123" s="154"/>
      <c r="J123" s="507" t="str">
        <f>IF(I123="","",IF(VLOOKUP(I123,'G-7 Rivers Data'!$AG$4:$AI$9,2,FALSE)=0,"Spatial Data Missing ⚠",VLOOKUP(I123,'G-7 Rivers Data'!$AG$4:$AI$9,2,FALSE)))</f>
        <v/>
      </c>
      <c r="K123" s="499" t="str">
        <f>IF(I123="","",IF(VLOOKUP(I123,'G-7 Rivers Data'!$AG$4:$AI$9,3,FALSE)=0,"Spatial Data Missing ⚠",VLOOKUP(I123,'G-7 Rivers Data'!$AG$4:$AI$9,3,FALSE)))</f>
        <v/>
      </c>
      <c r="L123" s="498" t="str">
        <f>IFERROR(INDEX('G-7 Rivers Data'!$O$3:$O$7,MATCH(G123,'G-7 Rivers Data'!$N$3:$N$7,0)),"")</f>
        <v/>
      </c>
      <c r="M123" s="8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565" t="str">
        <f t="shared" si="12"/>
        <v/>
      </c>
      <c r="AA123" s="149"/>
      <c r="AB123" s="150"/>
      <c r="AH123" s="31" t="str">
        <f>IFERROR(INDEX('G-7 Rivers Data'!$AZ$3:$AZ$7,MATCH(C123,'G-7 Rivers Data'!$AY$3:$AY$7,0)),"")</f>
        <v/>
      </c>
    </row>
    <row r="124" spans="2:34" ht="13.8" x14ac:dyDescent="0.25">
      <c r="B124" s="141">
        <v>113</v>
      </c>
      <c r="C124" s="171"/>
      <c r="D124" s="172"/>
      <c r="E124" s="498" t="str">
        <f>IF(C124="","",VLOOKUP(C124,'G-7 Rivers Data'!$B$2:$G$8,2,FALSE))</f>
        <v/>
      </c>
      <c r="F124" s="499" t="str">
        <f>IFERROR(VLOOKUP(E124,'G-7 Rivers Data'!$C$4:$D$8,2,FALSE),"")</f>
        <v/>
      </c>
      <c r="G124" s="145"/>
      <c r="H124" s="499" t="str">
        <f>IFERROR(INDEX('G-7 Rivers Data'!$H$4:$L$8,MATCH(C124,'G-7 Rivers Data'!$B$4:$B$8,0),MATCH(G124,'G-7 Rivers Data'!$H$3:$L$3,0)),"")</f>
        <v/>
      </c>
      <c r="I124" s="154"/>
      <c r="J124" s="507" t="str">
        <f>IF(I124="","",IF(VLOOKUP(I124,'G-7 Rivers Data'!$AG$4:$AI$9,2,FALSE)=0,"Spatial Data Missing ⚠",VLOOKUP(I124,'G-7 Rivers Data'!$AG$4:$AI$9,2,FALSE)))</f>
        <v/>
      </c>
      <c r="K124" s="499" t="str">
        <f>IF(I124="","",IF(VLOOKUP(I124,'G-7 Rivers Data'!$AG$4:$AI$9,3,FALSE)=0,"Spatial Data Missing ⚠",VLOOKUP(I124,'G-7 Rivers Data'!$AG$4:$AI$9,3,FALSE)))</f>
        <v/>
      </c>
      <c r="L124" s="498" t="str">
        <f>IFERROR(INDEX('G-7 Rivers Data'!$O$3:$O$7,MATCH(G124,'G-7 Rivers Data'!$N$3:$N$7,0)),"")</f>
        <v/>
      </c>
      <c r="M124" s="8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565" t="str">
        <f t="shared" si="12"/>
        <v/>
      </c>
      <c r="AA124" s="149"/>
      <c r="AB124" s="150"/>
      <c r="AH124" s="31" t="str">
        <f>IFERROR(INDEX('G-7 Rivers Data'!$AZ$3:$AZ$7,MATCH(C124,'G-7 Rivers Data'!$AY$3:$AY$7,0)),"")</f>
        <v/>
      </c>
    </row>
    <row r="125" spans="2:34" ht="13.8" x14ac:dyDescent="0.25">
      <c r="B125" s="141">
        <v>114</v>
      </c>
      <c r="C125" s="171"/>
      <c r="D125" s="172"/>
      <c r="E125" s="498" t="str">
        <f>IF(C125="","",VLOOKUP(C125,'G-7 Rivers Data'!$B$2:$G$8,2,FALSE))</f>
        <v/>
      </c>
      <c r="F125" s="499" t="str">
        <f>IFERROR(VLOOKUP(E125,'G-7 Rivers Data'!$C$4:$D$8,2,FALSE),"")</f>
        <v/>
      </c>
      <c r="G125" s="145"/>
      <c r="H125" s="499" t="str">
        <f>IFERROR(INDEX('G-7 Rivers Data'!$H$4:$L$8,MATCH(C125,'G-7 Rivers Data'!$B$4:$B$8,0),MATCH(G125,'G-7 Rivers Data'!$H$3:$L$3,0)),"")</f>
        <v/>
      </c>
      <c r="I125" s="154"/>
      <c r="J125" s="507" t="str">
        <f>IF(I125="","",IF(VLOOKUP(I125,'G-7 Rivers Data'!$AG$4:$AI$9,2,FALSE)=0,"Spatial Data Missing ⚠",VLOOKUP(I125,'G-7 Rivers Data'!$AG$4:$AI$9,2,FALSE)))</f>
        <v/>
      </c>
      <c r="K125" s="499" t="str">
        <f>IF(I125="","",IF(VLOOKUP(I125,'G-7 Rivers Data'!$AG$4:$AI$9,3,FALSE)=0,"Spatial Data Missing ⚠",VLOOKUP(I125,'G-7 Rivers Data'!$AG$4:$AI$9,3,FALSE)))</f>
        <v/>
      </c>
      <c r="L125" s="498" t="str">
        <f>IFERROR(INDEX('G-7 Rivers Data'!$O$3:$O$7,MATCH(G125,'G-7 Rivers Data'!$N$3:$N$7,0)),"")</f>
        <v/>
      </c>
      <c r="M125" s="8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565" t="str">
        <f t="shared" si="12"/>
        <v/>
      </c>
      <c r="AA125" s="149"/>
      <c r="AB125" s="150"/>
      <c r="AH125" s="31" t="str">
        <f>IFERROR(INDEX('G-7 Rivers Data'!$AZ$3:$AZ$7,MATCH(C125,'G-7 Rivers Data'!$AY$3:$AY$7,0)),"")</f>
        <v/>
      </c>
    </row>
    <row r="126" spans="2:34" ht="13.8" x14ac:dyDescent="0.25">
      <c r="B126" s="141">
        <v>115</v>
      </c>
      <c r="C126" s="171"/>
      <c r="D126" s="172"/>
      <c r="E126" s="498" t="str">
        <f>IF(C126="","",VLOOKUP(C126,'G-7 Rivers Data'!$B$2:$G$8,2,FALSE))</f>
        <v/>
      </c>
      <c r="F126" s="499" t="str">
        <f>IFERROR(VLOOKUP(E126,'G-7 Rivers Data'!$C$4:$D$8,2,FALSE),"")</f>
        <v/>
      </c>
      <c r="G126" s="145"/>
      <c r="H126" s="499" t="str">
        <f>IFERROR(INDEX('G-7 Rivers Data'!$H$4:$L$8,MATCH(C126,'G-7 Rivers Data'!$B$4:$B$8,0),MATCH(G126,'G-7 Rivers Data'!$H$3:$L$3,0)),"")</f>
        <v/>
      </c>
      <c r="I126" s="154"/>
      <c r="J126" s="507" t="str">
        <f>IF(I126="","",IF(VLOOKUP(I126,'G-7 Rivers Data'!$AG$4:$AI$9,2,FALSE)=0,"Spatial Data Missing ⚠",VLOOKUP(I126,'G-7 Rivers Data'!$AG$4:$AI$9,2,FALSE)))</f>
        <v/>
      </c>
      <c r="K126" s="499" t="str">
        <f>IF(I126="","",IF(VLOOKUP(I126,'G-7 Rivers Data'!$AG$4:$AI$9,3,FALSE)=0,"Spatial Data Missing ⚠",VLOOKUP(I126,'G-7 Rivers Data'!$AG$4:$AI$9,3,FALSE)))</f>
        <v/>
      </c>
      <c r="L126" s="498" t="str">
        <f>IFERROR(INDEX('G-7 Rivers Data'!$O$3:$O$7,MATCH(G126,'G-7 Rivers Data'!$N$3:$N$7,0)),"")</f>
        <v/>
      </c>
      <c r="M126" s="8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565" t="str">
        <f t="shared" si="12"/>
        <v/>
      </c>
      <c r="AA126" s="149"/>
      <c r="AB126" s="150"/>
      <c r="AH126" s="31" t="str">
        <f>IFERROR(INDEX('G-7 Rivers Data'!$AZ$3:$AZ$7,MATCH(C126,'G-7 Rivers Data'!$AY$3:$AY$7,0)),"")</f>
        <v/>
      </c>
    </row>
    <row r="127" spans="2:34" ht="13.8" x14ac:dyDescent="0.25">
      <c r="B127" s="141">
        <v>116</v>
      </c>
      <c r="C127" s="171"/>
      <c r="D127" s="172"/>
      <c r="E127" s="498" t="str">
        <f>IF(C127="","",VLOOKUP(C127,'G-7 Rivers Data'!$B$2:$G$8,2,FALSE))</f>
        <v/>
      </c>
      <c r="F127" s="499" t="str">
        <f>IFERROR(VLOOKUP(E127,'G-7 Rivers Data'!$C$4:$D$8,2,FALSE),"")</f>
        <v/>
      </c>
      <c r="G127" s="145"/>
      <c r="H127" s="499" t="str">
        <f>IFERROR(INDEX('G-7 Rivers Data'!$H$4:$L$8,MATCH(C127,'G-7 Rivers Data'!$B$4:$B$8,0),MATCH(G127,'G-7 Rivers Data'!$H$3:$L$3,0)),"")</f>
        <v/>
      </c>
      <c r="I127" s="154"/>
      <c r="J127" s="507" t="str">
        <f>IF(I127="","",IF(VLOOKUP(I127,'G-7 Rivers Data'!$AG$4:$AI$9,2,FALSE)=0,"Spatial Data Missing ⚠",VLOOKUP(I127,'G-7 Rivers Data'!$AG$4:$AI$9,2,FALSE)))</f>
        <v/>
      </c>
      <c r="K127" s="499" t="str">
        <f>IF(I127="","",IF(VLOOKUP(I127,'G-7 Rivers Data'!$AG$4:$AI$9,3,FALSE)=0,"Spatial Data Missing ⚠",VLOOKUP(I127,'G-7 Rivers Data'!$AG$4:$AI$9,3,FALSE)))</f>
        <v/>
      </c>
      <c r="L127" s="498" t="str">
        <f>IFERROR(INDEX('G-7 Rivers Data'!$O$3:$O$7,MATCH(G127,'G-7 Rivers Data'!$N$3:$N$7,0)),"")</f>
        <v/>
      </c>
      <c r="M127" s="8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565" t="str">
        <f t="shared" si="12"/>
        <v/>
      </c>
      <c r="AA127" s="149"/>
      <c r="AB127" s="150"/>
      <c r="AH127" s="31" t="str">
        <f>IFERROR(INDEX('G-7 Rivers Data'!$AZ$3:$AZ$7,MATCH(C127,'G-7 Rivers Data'!$AY$3:$AY$7,0)),"")</f>
        <v/>
      </c>
    </row>
    <row r="128" spans="2:34" ht="13.8" x14ac:dyDescent="0.25">
      <c r="B128" s="141">
        <v>117</v>
      </c>
      <c r="C128" s="171"/>
      <c r="D128" s="172"/>
      <c r="E128" s="498" t="str">
        <f>IF(C128="","",VLOOKUP(C128,'G-7 Rivers Data'!$B$2:$G$8,2,FALSE))</f>
        <v/>
      </c>
      <c r="F128" s="499" t="str">
        <f>IFERROR(VLOOKUP(E128,'G-7 Rivers Data'!$C$4:$D$8,2,FALSE),"")</f>
        <v/>
      </c>
      <c r="G128" s="145"/>
      <c r="H128" s="499" t="str">
        <f>IFERROR(INDEX('G-7 Rivers Data'!$H$4:$L$8,MATCH(C128,'G-7 Rivers Data'!$B$4:$B$8,0),MATCH(G128,'G-7 Rivers Data'!$H$3:$L$3,0)),"")</f>
        <v/>
      </c>
      <c r="I128" s="154"/>
      <c r="J128" s="507" t="str">
        <f>IF(I128="","",IF(VLOOKUP(I128,'G-7 Rivers Data'!$AG$4:$AI$9,2,FALSE)=0,"Spatial Data Missing ⚠",VLOOKUP(I128,'G-7 Rivers Data'!$AG$4:$AI$9,2,FALSE)))</f>
        <v/>
      </c>
      <c r="K128" s="499" t="str">
        <f>IF(I128="","",IF(VLOOKUP(I128,'G-7 Rivers Data'!$AG$4:$AI$9,3,FALSE)=0,"Spatial Data Missing ⚠",VLOOKUP(I128,'G-7 Rivers Data'!$AG$4:$AI$9,3,FALSE)))</f>
        <v/>
      </c>
      <c r="L128" s="498" t="str">
        <f>IFERROR(INDEX('G-7 Rivers Data'!$O$3:$O$7,MATCH(G128,'G-7 Rivers Data'!$N$3:$N$7,0)),"")</f>
        <v/>
      </c>
      <c r="M128" s="8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565" t="str">
        <f t="shared" si="12"/>
        <v/>
      </c>
      <c r="AA128" s="149"/>
      <c r="AB128" s="150"/>
      <c r="AH128" s="31" t="str">
        <f>IFERROR(INDEX('G-7 Rivers Data'!$AZ$3:$AZ$7,MATCH(C128,'G-7 Rivers Data'!$AY$3:$AY$7,0)),"")</f>
        <v/>
      </c>
    </row>
    <row r="129" spans="2:34" ht="13.8" x14ac:dyDescent="0.25">
      <c r="B129" s="141">
        <v>118</v>
      </c>
      <c r="C129" s="171"/>
      <c r="D129" s="172"/>
      <c r="E129" s="498" t="str">
        <f>IF(C129="","",VLOOKUP(C129,'G-7 Rivers Data'!$B$2:$G$8,2,FALSE))</f>
        <v/>
      </c>
      <c r="F129" s="499" t="str">
        <f>IFERROR(VLOOKUP(E129,'G-7 Rivers Data'!$C$4:$D$8,2,FALSE),"")</f>
        <v/>
      </c>
      <c r="G129" s="145"/>
      <c r="H129" s="499" t="str">
        <f>IFERROR(INDEX('G-7 Rivers Data'!$H$4:$L$8,MATCH(C129,'G-7 Rivers Data'!$B$4:$B$8,0),MATCH(G129,'G-7 Rivers Data'!$H$3:$L$3,0)),"")</f>
        <v/>
      </c>
      <c r="I129" s="154"/>
      <c r="J129" s="507" t="str">
        <f>IF(I129="","",IF(VLOOKUP(I129,'G-7 Rivers Data'!$AG$4:$AI$9,2,FALSE)=0,"Spatial Data Missing ⚠",VLOOKUP(I129,'G-7 Rivers Data'!$AG$4:$AI$9,2,FALSE)))</f>
        <v/>
      </c>
      <c r="K129" s="499" t="str">
        <f>IF(I129="","",IF(VLOOKUP(I129,'G-7 Rivers Data'!$AG$4:$AI$9,3,FALSE)=0,"Spatial Data Missing ⚠",VLOOKUP(I129,'G-7 Rivers Data'!$AG$4:$AI$9,3,FALSE)))</f>
        <v/>
      </c>
      <c r="L129" s="498" t="str">
        <f>IFERROR(INDEX('G-7 Rivers Data'!$O$3:$O$7,MATCH(G129,'G-7 Rivers Data'!$N$3:$N$7,0)),"")</f>
        <v/>
      </c>
      <c r="M129" s="8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565" t="str">
        <f t="shared" si="12"/>
        <v/>
      </c>
      <c r="AA129" s="149"/>
      <c r="AB129" s="150"/>
      <c r="AH129" s="31" t="str">
        <f>IFERROR(INDEX('G-7 Rivers Data'!$AZ$3:$AZ$7,MATCH(C129,'G-7 Rivers Data'!$AY$3:$AY$7,0)),"")</f>
        <v/>
      </c>
    </row>
    <row r="130" spans="2:34" ht="13.8" x14ac:dyDescent="0.25">
      <c r="B130" s="141">
        <v>119</v>
      </c>
      <c r="C130" s="171"/>
      <c r="D130" s="172"/>
      <c r="E130" s="498" t="str">
        <f>IF(C130="","",VLOOKUP(C130,'G-7 Rivers Data'!$B$2:$G$8,2,FALSE))</f>
        <v/>
      </c>
      <c r="F130" s="499" t="str">
        <f>IFERROR(VLOOKUP(E130,'G-7 Rivers Data'!$C$4:$D$8,2,FALSE),"")</f>
        <v/>
      </c>
      <c r="G130" s="145"/>
      <c r="H130" s="499" t="str">
        <f>IFERROR(INDEX('G-7 Rivers Data'!$H$4:$L$8,MATCH(C130,'G-7 Rivers Data'!$B$4:$B$8,0),MATCH(G130,'G-7 Rivers Data'!$H$3:$L$3,0)),"")</f>
        <v/>
      </c>
      <c r="I130" s="154"/>
      <c r="J130" s="507" t="str">
        <f>IF(I130="","",IF(VLOOKUP(I130,'G-7 Rivers Data'!$AG$4:$AI$9,2,FALSE)=0,"Spatial Data Missing ⚠",VLOOKUP(I130,'G-7 Rivers Data'!$AG$4:$AI$9,2,FALSE)))</f>
        <v/>
      </c>
      <c r="K130" s="499" t="str">
        <f>IF(I130="","",IF(VLOOKUP(I130,'G-7 Rivers Data'!$AG$4:$AI$9,3,FALSE)=0,"Spatial Data Missing ⚠",VLOOKUP(I130,'G-7 Rivers Data'!$AG$4:$AI$9,3,FALSE)))</f>
        <v/>
      </c>
      <c r="L130" s="498" t="str">
        <f>IFERROR(INDEX('G-7 Rivers Data'!$O$3:$O$7,MATCH(G130,'G-7 Rivers Data'!$N$3:$N$7,0)),"")</f>
        <v/>
      </c>
      <c r="M130" s="8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565" t="str">
        <f t="shared" si="12"/>
        <v/>
      </c>
      <c r="AA130" s="149"/>
      <c r="AB130" s="150"/>
      <c r="AH130" s="31" t="str">
        <f>IFERROR(INDEX('G-7 Rivers Data'!$AZ$3:$AZ$7,MATCH(C130,'G-7 Rivers Data'!$AY$3:$AY$7,0)),"")</f>
        <v/>
      </c>
    </row>
    <row r="131" spans="2:34" ht="13.8" x14ac:dyDescent="0.25">
      <c r="B131" s="141">
        <v>120</v>
      </c>
      <c r="C131" s="171"/>
      <c r="D131" s="172"/>
      <c r="E131" s="498" t="str">
        <f>IF(C131="","",VLOOKUP(C131,'G-7 Rivers Data'!$B$2:$G$8,2,FALSE))</f>
        <v/>
      </c>
      <c r="F131" s="499" t="str">
        <f>IFERROR(VLOOKUP(E131,'G-7 Rivers Data'!$C$4:$D$8,2,FALSE),"")</f>
        <v/>
      </c>
      <c r="G131" s="145"/>
      <c r="H131" s="499" t="str">
        <f>IFERROR(INDEX('G-7 Rivers Data'!$H$4:$L$8,MATCH(C131,'G-7 Rivers Data'!$B$4:$B$8,0),MATCH(G131,'G-7 Rivers Data'!$H$3:$L$3,0)),"")</f>
        <v/>
      </c>
      <c r="I131" s="154"/>
      <c r="J131" s="507" t="str">
        <f>IF(I131="","",IF(VLOOKUP(I131,'G-7 Rivers Data'!$AG$4:$AI$9,2,FALSE)=0,"Spatial Data Missing ⚠",VLOOKUP(I131,'G-7 Rivers Data'!$AG$4:$AI$9,2,FALSE)))</f>
        <v/>
      </c>
      <c r="K131" s="499" t="str">
        <f>IF(I131="","",IF(VLOOKUP(I131,'G-7 Rivers Data'!$AG$4:$AI$9,3,FALSE)=0,"Spatial Data Missing ⚠",VLOOKUP(I131,'G-7 Rivers Data'!$AG$4:$AI$9,3,FALSE)))</f>
        <v/>
      </c>
      <c r="L131" s="498" t="str">
        <f>IFERROR(INDEX('G-7 Rivers Data'!$O$3:$O$7,MATCH(G131,'G-7 Rivers Data'!$N$3:$N$7,0)),"")</f>
        <v/>
      </c>
      <c r="M131" s="8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565" t="str">
        <f t="shared" si="12"/>
        <v/>
      </c>
      <c r="AA131" s="149"/>
      <c r="AB131" s="150"/>
      <c r="AH131" s="31" t="str">
        <f>IFERROR(INDEX('G-7 Rivers Data'!$AZ$3:$AZ$7,MATCH(C131,'G-7 Rivers Data'!$AY$3:$AY$7,0)),"")</f>
        <v/>
      </c>
    </row>
    <row r="132" spans="2:34" ht="13.8" x14ac:dyDescent="0.25">
      <c r="B132" s="141">
        <v>121</v>
      </c>
      <c r="C132" s="171"/>
      <c r="D132" s="172"/>
      <c r="E132" s="498" t="str">
        <f>IF(C132="","",VLOOKUP(C132,'G-7 Rivers Data'!$B$2:$G$8,2,FALSE))</f>
        <v/>
      </c>
      <c r="F132" s="499" t="str">
        <f>IFERROR(VLOOKUP(E132,'G-7 Rivers Data'!$C$4:$D$8,2,FALSE),"")</f>
        <v/>
      </c>
      <c r="G132" s="145"/>
      <c r="H132" s="499" t="str">
        <f>IFERROR(INDEX('G-7 Rivers Data'!$H$4:$L$8,MATCH(C132,'G-7 Rivers Data'!$B$4:$B$8,0),MATCH(G132,'G-7 Rivers Data'!$H$3:$L$3,0)),"")</f>
        <v/>
      </c>
      <c r="I132" s="154"/>
      <c r="J132" s="507" t="str">
        <f>IF(I132="","",IF(VLOOKUP(I132,'G-7 Rivers Data'!$AG$4:$AI$9,2,FALSE)=0,"Spatial Data Missing ⚠",VLOOKUP(I132,'G-7 Rivers Data'!$AG$4:$AI$9,2,FALSE)))</f>
        <v/>
      </c>
      <c r="K132" s="499" t="str">
        <f>IF(I132="","",IF(VLOOKUP(I132,'G-7 Rivers Data'!$AG$4:$AI$9,3,FALSE)=0,"Spatial Data Missing ⚠",VLOOKUP(I132,'G-7 Rivers Data'!$AG$4:$AI$9,3,FALSE)))</f>
        <v/>
      </c>
      <c r="L132" s="498" t="str">
        <f>IFERROR(INDEX('G-7 Rivers Data'!$O$3:$O$7,MATCH(G132,'G-7 Rivers Data'!$N$3:$N$7,0)),"")</f>
        <v/>
      </c>
      <c r="M132" s="8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565" t="str">
        <f t="shared" si="12"/>
        <v/>
      </c>
      <c r="AA132" s="149"/>
      <c r="AB132" s="150"/>
      <c r="AH132" s="31" t="str">
        <f>IFERROR(INDEX('G-7 Rivers Data'!$AZ$3:$AZ$7,MATCH(C132,'G-7 Rivers Data'!$AY$3:$AY$7,0)),"")</f>
        <v/>
      </c>
    </row>
    <row r="133" spans="2:34" ht="13.8" x14ac:dyDescent="0.25">
      <c r="B133" s="141">
        <v>122</v>
      </c>
      <c r="C133" s="171"/>
      <c r="D133" s="172"/>
      <c r="E133" s="498" t="str">
        <f>IF(C133="","",VLOOKUP(C133,'G-7 Rivers Data'!$B$2:$G$8,2,FALSE))</f>
        <v/>
      </c>
      <c r="F133" s="499" t="str">
        <f>IFERROR(VLOOKUP(E133,'G-7 Rivers Data'!$C$4:$D$8,2,FALSE),"")</f>
        <v/>
      </c>
      <c r="G133" s="145"/>
      <c r="H133" s="499" t="str">
        <f>IFERROR(INDEX('G-7 Rivers Data'!$H$4:$L$8,MATCH(C133,'G-7 Rivers Data'!$B$4:$B$8,0),MATCH(G133,'G-7 Rivers Data'!$H$3:$L$3,0)),"")</f>
        <v/>
      </c>
      <c r="I133" s="154"/>
      <c r="J133" s="507" t="str">
        <f>IF(I133="","",IF(VLOOKUP(I133,'G-7 Rivers Data'!$AG$4:$AI$9,2,FALSE)=0,"Spatial Data Missing ⚠",VLOOKUP(I133,'G-7 Rivers Data'!$AG$4:$AI$9,2,FALSE)))</f>
        <v/>
      </c>
      <c r="K133" s="499" t="str">
        <f>IF(I133="","",IF(VLOOKUP(I133,'G-7 Rivers Data'!$AG$4:$AI$9,3,FALSE)=0,"Spatial Data Missing ⚠",VLOOKUP(I133,'G-7 Rivers Data'!$AG$4:$AI$9,3,FALSE)))</f>
        <v/>
      </c>
      <c r="L133" s="498" t="str">
        <f>IFERROR(INDEX('G-7 Rivers Data'!$O$3:$O$7,MATCH(G133,'G-7 Rivers Data'!$N$3:$N$7,0)),"")</f>
        <v/>
      </c>
      <c r="M133" s="8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565" t="str">
        <f t="shared" si="12"/>
        <v/>
      </c>
      <c r="AA133" s="149"/>
      <c r="AB133" s="150"/>
      <c r="AH133" s="31" t="str">
        <f>IFERROR(INDEX('G-7 Rivers Data'!$AZ$3:$AZ$7,MATCH(C133,'G-7 Rivers Data'!$AY$3:$AY$7,0)),"")</f>
        <v/>
      </c>
    </row>
    <row r="134" spans="2:34" ht="13.8" x14ac:dyDescent="0.25">
      <c r="B134" s="141">
        <v>123</v>
      </c>
      <c r="C134" s="171"/>
      <c r="D134" s="172"/>
      <c r="E134" s="498" t="str">
        <f>IF(C134="","",VLOOKUP(C134,'G-7 Rivers Data'!$B$2:$G$8,2,FALSE))</f>
        <v/>
      </c>
      <c r="F134" s="499" t="str">
        <f>IFERROR(VLOOKUP(E134,'G-7 Rivers Data'!$C$4:$D$8,2,FALSE),"")</f>
        <v/>
      </c>
      <c r="G134" s="145"/>
      <c r="H134" s="499" t="str">
        <f>IFERROR(INDEX('G-7 Rivers Data'!$H$4:$L$8,MATCH(C134,'G-7 Rivers Data'!$B$4:$B$8,0),MATCH(G134,'G-7 Rivers Data'!$H$3:$L$3,0)),"")</f>
        <v/>
      </c>
      <c r="I134" s="154"/>
      <c r="J134" s="507" t="str">
        <f>IF(I134="","",IF(VLOOKUP(I134,'G-7 Rivers Data'!$AG$4:$AI$9,2,FALSE)=0,"Spatial Data Missing ⚠",VLOOKUP(I134,'G-7 Rivers Data'!$AG$4:$AI$9,2,FALSE)))</f>
        <v/>
      </c>
      <c r="K134" s="499" t="str">
        <f>IF(I134="","",IF(VLOOKUP(I134,'G-7 Rivers Data'!$AG$4:$AI$9,3,FALSE)=0,"Spatial Data Missing ⚠",VLOOKUP(I134,'G-7 Rivers Data'!$AG$4:$AI$9,3,FALSE)))</f>
        <v/>
      </c>
      <c r="L134" s="498" t="str">
        <f>IFERROR(INDEX('G-7 Rivers Data'!$O$3:$O$7,MATCH(G134,'G-7 Rivers Data'!$N$3:$N$7,0)),"")</f>
        <v/>
      </c>
      <c r="M134" s="8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565" t="str">
        <f t="shared" si="12"/>
        <v/>
      </c>
      <c r="AA134" s="149"/>
      <c r="AB134" s="150"/>
      <c r="AH134" s="31" t="str">
        <f>IFERROR(INDEX('G-7 Rivers Data'!$AZ$3:$AZ$7,MATCH(C134,'G-7 Rivers Data'!$AY$3:$AY$7,0)),"")</f>
        <v/>
      </c>
    </row>
    <row r="135" spans="2:34" ht="13.8" x14ac:dyDescent="0.25">
      <c r="B135" s="141">
        <v>124</v>
      </c>
      <c r="C135" s="171"/>
      <c r="D135" s="172"/>
      <c r="E135" s="498" t="str">
        <f>IF(C135="","",VLOOKUP(C135,'G-7 Rivers Data'!$B$2:$G$8,2,FALSE))</f>
        <v/>
      </c>
      <c r="F135" s="499" t="str">
        <f>IFERROR(VLOOKUP(E135,'G-7 Rivers Data'!$C$4:$D$8,2,FALSE),"")</f>
        <v/>
      </c>
      <c r="G135" s="145"/>
      <c r="H135" s="499" t="str">
        <f>IFERROR(INDEX('G-7 Rivers Data'!$H$4:$L$8,MATCH(C135,'G-7 Rivers Data'!$B$4:$B$8,0),MATCH(G135,'G-7 Rivers Data'!$H$3:$L$3,0)),"")</f>
        <v/>
      </c>
      <c r="I135" s="154"/>
      <c r="J135" s="507" t="str">
        <f>IF(I135="","",IF(VLOOKUP(I135,'G-7 Rivers Data'!$AG$4:$AI$9,2,FALSE)=0,"Spatial Data Missing ⚠",VLOOKUP(I135,'G-7 Rivers Data'!$AG$4:$AI$9,2,FALSE)))</f>
        <v/>
      </c>
      <c r="K135" s="499" t="str">
        <f>IF(I135="","",IF(VLOOKUP(I135,'G-7 Rivers Data'!$AG$4:$AI$9,3,FALSE)=0,"Spatial Data Missing ⚠",VLOOKUP(I135,'G-7 Rivers Data'!$AG$4:$AI$9,3,FALSE)))</f>
        <v/>
      </c>
      <c r="L135" s="498" t="str">
        <f>IFERROR(INDEX('G-7 Rivers Data'!$O$3:$O$7,MATCH(G135,'G-7 Rivers Data'!$N$3:$N$7,0)),"")</f>
        <v/>
      </c>
      <c r="M135" s="8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565" t="str">
        <f t="shared" si="12"/>
        <v/>
      </c>
      <c r="AA135" s="149"/>
      <c r="AB135" s="150"/>
      <c r="AH135" s="31" t="str">
        <f>IFERROR(INDEX('G-7 Rivers Data'!$AZ$3:$AZ$7,MATCH(C135,'G-7 Rivers Data'!$AY$3:$AY$7,0)),"")</f>
        <v/>
      </c>
    </row>
    <row r="136" spans="2:34" ht="13.8" x14ac:dyDescent="0.25">
      <c r="B136" s="141">
        <v>125</v>
      </c>
      <c r="C136" s="171"/>
      <c r="D136" s="172"/>
      <c r="E136" s="498" t="str">
        <f>IF(C136="","",VLOOKUP(C136,'G-7 Rivers Data'!$B$2:$G$8,2,FALSE))</f>
        <v/>
      </c>
      <c r="F136" s="499" t="str">
        <f>IFERROR(VLOOKUP(E136,'G-7 Rivers Data'!$C$4:$D$8,2,FALSE),"")</f>
        <v/>
      </c>
      <c r="G136" s="145"/>
      <c r="H136" s="499" t="str">
        <f>IFERROR(INDEX('G-7 Rivers Data'!$H$4:$L$8,MATCH(C136,'G-7 Rivers Data'!$B$4:$B$8,0),MATCH(G136,'G-7 Rivers Data'!$H$3:$L$3,0)),"")</f>
        <v/>
      </c>
      <c r="I136" s="154"/>
      <c r="J136" s="507" t="str">
        <f>IF(I136="","",IF(VLOOKUP(I136,'G-7 Rivers Data'!$AG$4:$AI$9,2,FALSE)=0,"Spatial Data Missing ⚠",VLOOKUP(I136,'G-7 Rivers Data'!$AG$4:$AI$9,2,FALSE)))</f>
        <v/>
      </c>
      <c r="K136" s="499" t="str">
        <f>IF(I136="","",IF(VLOOKUP(I136,'G-7 Rivers Data'!$AG$4:$AI$9,3,FALSE)=0,"Spatial Data Missing ⚠",VLOOKUP(I136,'G-7 Rivers Data'!$AG$4:$AI$9,3,FALSE)))</f>
        <v/>
      </c>
      <c r="L136" s="498" t="str">
        <f>IFERROR(INDEX('G-7 Rivers Data'!$O$3:$O$7,MATCH(G136,'G-7 Rivers Data'!$N$3:$N$7,0)),"")</f>
        <v/>
      </c>
      <c r="M136" s="8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565" t="str">
        <f t="shared" si="12"/>
        <v/>
      </c>
      <c r="AA136" s="149"/>
      <c r="AB136" s="150"/>
      <c r="AH136" s="31" t="str">
        <f>IFERROR(INDEX('G-7 Rivers Data'!$AZ$3:$AZ$7,MATCH(C136,'G-7 Rivers Data'!$AY$3:$AY$7,0)),"")</f>
        <v/>
      </c>
    </row>
    <row r="137" spans="2:34" ht="13.8" x14ac:dyDescent="0.25">
      <c r="B137" s="141">
        <v>126</v>
      </c>
      <c r="C137" s="171"/>
      <c r="D137" s="172"/>
      <c r="E137" s="498" t="str">
        <f>IF(C137="","",VLOOKUP(C137,'G-7 Rivers Data'!$B$2:$G$8,2,FALSE))</f>
        <v/>
      </c>
      <c r="F137" s="499" t="str">
        <f>IFERROR(VLOOKUP(E137,'G-7 Rivers Data'!$C$4:$D$8,2,FALSE),"")</f>
        <v/>
      </c>
      <c r="G137" s="145"/>
      <c r="H137" s="499" t="str">
        <f>IFERROR(INDEX('G-7 Rivers Data'!$H$4:$L$8,MATCH(C137,'G-7 Rivers Data'!$B$4:$B$8,0),MATCH(G137,'G-7 Rivers Data'!$H$3:$L$3,0)),"")</f>
        <v/>
      </c>
      <c r="I137" s="154"/>
      <c r="J137" s="507" t="str">
        <f>IF(I137="","",IF(VLOOKUP(I137,'G-7 Rivers Data'!$AG$4:$AI$9,2,FALSE)=0,"Spatial Data Missing ⚠",VLOOKUP(I137,'G-7 Rivers Data'!$AG$4:$AI$9,2,FALSE)))</f>
        <v/>
      </c>
      <c r="K137" s="499" t="str">
        <f>IF(I137="","",IF(VLOOKUP(I137,'G-7 Rivers Data'!$AG$4:$AI$9,3,FALSE)=0,"Spatial Data Missing ⚠",VLOOKUP(I137,'G-7 Rivers Data'!$AG$4:$AI$9,3,FALSE)))</f>
        <v/>
      </c>
      <c r="L137" s="498" t="str">
        <f>IFERROR(INDEX('G-7 Rivers Data'!$O$3:$O$7,MATCH(G137,'G-7 Rivers Data'!$N$3:$N$7,0)),"")</f>
        <v/>
      </c>
      <c r="M137" s="8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565" t="str">
        <f t="shared" si="12"/>
        <v/>
      </c>
      <c r="AA137" s="149"/>
      <c r="AB137" s="150"/>
      <c r="AH137" s="31" t="str">
        <f>IFERROR(INDEX('G-7 Rivers Data'!$AZ$3:$AZ$7,MATCH(C137,'G-7 Rivers Data'!$AY$3:$AY$7,0)),"")</f>
        <v/>
      </c>
    </row>
    <row r="138" spans="2:34" ht="13.8" x14ac:dyDescent="0.25">
      <c r="B138" s="141">
        <v>127</v>
      </c>
      <c r="C138" s="171"/>
      <c r="D138" s="172"/>
      <c r="E138" s="498" t="str">
        <f>IF(C138="","",VLOOKUP(C138,'G-7 Rivers Data'!$B$2:$G$8,2,FALSE))</f>
        <v/>
      </c>
      <c r="F138" s="499" t="str">
        <f>IFERROR(VLOOKUP(E138,'G-7 Rivers Data'!$C$4:$D$8,2,FALSE),"")</f>
        <v/>
      </c>
      <c r="G138" s="145"/>
      <c r="H138" s="499" t="str">
        <f>IFERROR(INDEX('G-7 Rivers Data'!$H$4:$L$8,MATCH(C138,'G-7 Rivers Data'!$B$4:$B$8,0),MATCH(G138,'G-7 Rivers Data'!$H$3:$L$3,0)),"")</f>
        <v/>
      </c>
      <c r="I138" s="154"/>
      <c r="J138" s="507" t="str">
        <f>IF(I138="","",IF(VLOOKUP(I138,'G-7 Rivers Data'!$AG$4:$AI$9,2,FALSE)=0,"Spatial Data Missing ⚠",VLOOKUP(I138,'G-7 Rivers Data'!$AG$4:$AI$9,2,FALSE)))</f>
        <v/>
      </c>
      <c r="K138" s="499" t="str">
        <f>IF(I138="","",IF(VLOOKUP(I138,'G-7 Rivers Data'!$AG$4:$AI$9,3,FALSE)=0,"Spatial Data Missing ⚠",VLOOKUP(I138,'G-7 Rivers Data'!$AG$4:$AI$9,3,FALSE)))</f>
        <v/>
      </c>
      <c r="L138" s="498" t="str">
        <f>IFERROR(INDEX('G-7 Rivers Data'!$O$3:$O$7,MATCH(G138,'G-7 Rivers Data'!$N$3:$N$7,0)),"")</f>
        <v/>
      </c>
      <c r="M138" s="8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565" t="str">
        <f t="shared" si="12"/>
        <v/>
      </c>
      <c r="AA138" s="149"/>
      <c r="AB138" s="150"/>
      <c r="AH138" s="31" t="str">
        <f>IFERROR(INDEX('G-7 Rivers Data'!$AZ$3:$AZ$7,MATCH(C138,'G-7 Rivers Data'!$AY$3:$AY$7,0)),"")</f>
        <v/>
      </c>
    </row>
    <row r="139" spans="2:34" ht="13.8" x14ac:dyDescent="0.25">
      <c r="B139" s="141">
        <v>128</v>
      </c>
      <c r="C139" s="171"/>
      <c r="D139" s="172"/>
      <c r="E139" s="498" t="str">
        <f>IF(C139="","",VLOOKUP(C139,'G-7 Rivers Data'!$B$2:$G$8,2,FALSE))</f>
        <v/>
      </c>
      <c r="F139" s="499" t="str">
        <f>IFERROR(VLOOKUP(E139,'G-7 Rivers Data'!$C$4:$D$8,2,FALSE),"")</f>
        <v/>
      </c>
      <c r="G139" s="145"/>
      <c r="H139" s="499" t="str">
        <f>IFERROR(INDEX('G-7 Rivers Data'!$H$4:$L$8,MATCH(C139,'G-7 Rivers Data'!$B$4:$B$8,0),MATCH(G139,'G-7 Rivers Data'!$H$3:$L$3,0)),"")</f>
        <v/>
      </c>
      <c r="I139" s="154"/>
      <c r="J139" s="507" t="str">
        <f>IF(I139="","",IF(VLOOKUP(I139,'G-7 Rivers Data'!$AG$4:$AI$9,2,FALSE)=0,"Spatial Data Missing ⚠",VLOOKUP(I139,'G-7 Rivers Data'!$AG$4:$AI$9,2,FALSE)))</f>
        <v/>
      </c>
      <c r="K139" s="499" t="str">
        <f>IF(I139="","",IF(VLOOKUP(I139,'G-7 Rivers Data'!$AG$4:$AI$9,3,FALSE)=0,"Spatial Data Missing ⚠",VLOOKUP(I139,'G-7 Rivers Data'!$AG$4:$AI$9,3,FALSE)))</f>
        <v/>
      </c>
      <c r="L139" s="498" t="str">
        <f>IFERROR(INDEX('G-7 Rivers Data'!$O$3:$O$7,MATCH(G139,'G-7 Rivers Data'!$N$3:$N$7,0)),"")</f>
        <v/>
      </c>
      <c r="M139" s="8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565" t="str">
        <f t="shared" si="12"/>
        <v/>
      </c>
      <c r="AA139" s="149"/>
      <c r="AB139" s="150"/>
      <c r="AH139" s="31" t="str">
        <f>IFERROR(INDEX('G-7 Rivers Data'!$AZ$3:$AZ$7,MATCH(C139,'G-7 Rivers Data'!$AY$3:$AY$7,0)),"")</f>
        <v/>
      </c>
    </row>
    <row r="140" spans="2:34" ht="13.8" x14ac:dyDescent="0.25">
      <c r="B140" s="141">
        <v>129</v>
      </c>
      <c r="C140" s="171"/>
      <c r="D140" s="172"/>
      <c r="E140" s="498" t="str">
        <f>IF(C140="","",VLOOKUP(C140,'G-7 Rivers Data'!$B$2:$G$8,2,FALSE))</f>
        <v/>
      </c>
      <c r="F140" s="499" t="str">
        <f>IFERROR(VLOOKUP(E140,'G-7 Rivers Data'!$C$4:$D$8,2,FALSE),"")</f>
        <v/>
      </c>
      <c r="G140" s="145"/>
      <c r="H140" s="499" t="str">
        <f>IFERROR(INDEX('G-7 Rivers Data'!$H$4:$L$8,MATCH(C140,'G-7 Rivers Data'!$B$4:$B$8,0),MATCH(G140,'G-7 Rivers Data'!$H$3:$L$3,0)),"")</f>
        <v/>
      </c>
      <c r="I140" s="154"/>
      <c r="J140" s="507" t="str">
        <f>IF(I140="","",IF(VLOOKUP(I140,'G-7 Rivers Data'!$AG$4:$AI$9,2,FALSE)=0,"Spatial Data Missing ⚠",VLOOKUP(I140,'G-7 Rivers Data'!$AG$4:$AI$9,2,FALSE)))</f>
        <v/>
      </c>
      <c r="K140" s="499" t="str">
        <f>IF(I140="","",IF(VLOOKUP(I140,'G-7 Rivers Data'!$AG$4:$AI$9,3,FALSE)=0,"Spatial Data Missing ⚠",VLOOKUP(I140,'G-7 Rivers Data'!$AG$4:$AI$9,3,FALSE)))</f>
        <v/>
      </c>
      <c r="L140" s="498" t="str">
        <f>IFERROR(INDEX('G-7 Rivers Data'!$O$3:$O$7,MATCH(G140,'G-7 Rivers Data'!$N$3:$N$7,0)),"")</f>
        <v/>
      </c>
      <c r="M140" s="8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565" t="str">
        <f t="shared" si="12"/>
        <v/>
      </c>
      <c r="AA140" s="149"/>
      <c r="AB140" s="150"/>
      <c r="AH140" s="31" t="str">
        <f>IFERROR(INDEX('G-7 Rivers Data'!$AZ$3:$AZ$7,MATCH(C140,'G-7 Rivers Data'!$AY$3:$AY$7,0)),"")</f>
        <v/>
      </c>
    </row>
    <row r="141" spans="2:34" ht="13.8" x14ac:dyDescent="0.25">
      <c r="B141" s="141">
        <v>130</v>
      </c>
      <c r="C141" s="171"/>
      <c r="D141" s="172"/>
      <c r="E141" s="498" t="str">
        <f>IF(C141="","",VLOOKUP(C141,'G-7 Rivers Data'!$B$2:$G$8,2,FALSE))</f>
        <v/>
      </c>
      <c r="F141" s="499" t="str">
        <f>IFERROR(VLOOKUP(E141,'G-7 Rivers Data'!$C$4:$D$8,2,FALSE),"")</f>
        <v/>
      </c>
      <c r="G141" s="145"/>
      <c r="H141" s="499" t="str">
        <f>IFERROR(INDEX('G-7 Rivers Data'!$H$4:$L$8,MATCH(C141,'G-7 Rivers Data'!$B$4:$B$8,0),MATCH(G141,'G-7 Rivers Data'!$H$3:$L$3,0)),"")</f>
        <v/>
      </c>
      <c r="I141" s="154"/>
      <c r="J141" s="507" t="str">
        <f>IF(I141="","",IF(VLOOKUP(I141,'G-7 Rivers Data'!$AG$4:$AI$9,2,FALSE)=0,"Spatial Data Missing ⚠",VLOOKUP(I141,'G-7 Rivers Data'!$AG$4:$AI$9,2,FALSE)))</f>
        <v/>
      </c>
      <c r="K141" s="499" t="str">
        <f>IF(I141="","",IF(VLOOKUP(I141,'G-7 Rivers Data'!$AG$4:$AI$9,3,FALSE)=0,"Spatial Data Missing ⚠",VLOOKUP(I141,'G-7 Rivers Data'!$AG$4:$AI$9,3,FALSE)))</f>
        <v/>
      </c>
      <c r="L141" s="498" t="str">
        <f>IFERROR(INDEX('G-7 Rivers Data'!$O$3:$O$7,MATCH(G141,'G-7 Rivers Data'!$N$3:$N$7,0)),"")</f>
        <v/>
      </c>
      <c r="M141" s="8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⚠","Low Difficulty - only applicable if all habitat created before losses ⚠","Standard difficulty applied"))))</f>
        <v/>
      </c>
      <c r="T141" s="540" t="str">
        <f t="shared" ref="T141:T204" si="16">(IF(AND(S141="Standard difficulty applied",L141&gt;M141),R141,IF(AND(S141="Low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565" t="str">
        <f t="shared" ref="Z141:Z204" si="18">IFERROR(IF(C141="","",D141*F141*H141*K141*Q141*U141*Y141*W141),"")</f>
        <v/>
      </c>
      <c r="AA141" s="149"/>
      <c r="AB141" s="150"/>
      <c r="AH141" s="31" t="str">
        <f>IFERROR(INDEX('G-7 Rivers Data'!$AZ$3:$AZ$7,MATCH(C141,'G-7 Rivers Data'!$AY$3:$AY$7,0)),"")</f>
        <v/>
      </c>
    </row>
    <row r="142" spans="2:34" ht="13.8" x14ac:dyDescent="0.25">
      <c r="B142" s="141">
        <v>131</v>
      </c>
      <c r="C142" s="171"/>
      <c r="D142" s="172"/>
      <c r="E142" s="498" t="str">
        <f>IF(C142="","",VLOOKUP(C142,'G-7 Rivers Data'!$B$2:$G$8,2,FALSE))</f>
        <v/>
      </c>
      <c r="F142" s="499" t="str">
        <f>IFERROR(VLOOKUP(E142,'G-7 Rivers Data'!$C$4:$D$8,2,FALSE),"")</f>
        <v/>
      </c>
      <c r="G142" s="145"/>
      <c r="H142" s="499" t="str">
        <f>IFERROR(INDEX('G-7 Rivers Data'!$H$4:$L$8,MATCH(C142,'G-7 Rivers Data'!$B$4:$B$8,0),MATCH(G142,'G-7 Rivers Data'!$H$3:$L$3,0)),"")</f>
        <v/>
      </c>
      <c r="I142" s="154"/>
      <c r="J142" s="507" t="str">
        <f>IF(I142="","",IF(VLOOKUP(I142,'G-7 Rivers Data'!$AG$4:$AI$9,2,FALSE)=0,"Spatial Data Missing ⚠",VLOOKUP(I142,'G-7 Rivers Data'!$AG$4:$AI$9,2,FALSE)))</f>
        <v/>
      </c>
      <c r="K142" s="499" t="str">
        <f>IF(I142="","",IF(VLOOKUP(I142,'G-7 Rivers Data'!$AG$4:$AI$9,3,FALSE)=0,"Spatial Data Missing ⚠",VLOOKUP(I142,'G-7 Rivers Data'!$AG$4:$AI$9,3,FALSE)))</f>
        <v/>
      </c>
      <c r="L142" s="498" t="str">
        <f>IFERROR(INDEX('G-7 Rivers Data'!$O$3:$O$7,MATCH(G142,'G-7 Rivers Data'!$N$3:$N$7,0)),"")</f>
        <v/>
      </c>
      <c r="M142" s="8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565" t="str">
        <f t="shared" si="18"/>
        <v/>
      </c>
      <c r="AA142" s="149"/>
      <c r="AB142" s="150"/>
      <c r="AH142" s="31" t="str">
        <f>IFERROR(INDEX('G-7 Rivers Data'!$AZ$3:$AZ$7,MATCH(C142,'G-7 Rivers Data'!$AY$3:$AY$7,0)),"")</f>
        <v/>
      </c>
    </row>
    <row r="143" spans="2:34" ht="13.8" x14ac:dyDescent="0.25">
      <c r="B143" s="141">
        <v>132</v>
      </c>
      <c r="C143" s="171"/>
      <c r="D143" s="172"/>
      <c r="E143" s="498" t="str">
        <f>IF(C143="","",VLOOKUP(C143,'G-7 Rivers Data'!$B$2:$G$8,2,FALSE))</f>
        <v/>
      </c>
      <c r="F143" s="499" t="str">
        <f>IFERROR(VLOOKUP(E143,'G-7 Rivers Data'!$C$4:$D$8,2,FALSE),"")</f>
        <v/>
      </c>
      <c r="G143" s="145"/>
      <c r="H143" s="499" t="str">
        <f>IFERROR(INDEX('G-7 Rivers Data'!$H$4:$L$8,MATCH(C143,'G-7 Rivers Data'!$B$4:$B$8,0),MATCH(G143,'G-7 Rivers Data'!$H$3:$L$3,0)),"")</f>
        <v/>
      </c>
      <c r="I143" s="154"/>
      <c r="J143" s="507" t="str">
        <f>IF(I143="","",IF(VLOOKUP(I143,'G-7 Rivers Data'!$AG$4:$AI$9,2,FALSE)=0,"Spatial Data Missing ⚠",VLOOKUP(I143,'G-7 Rivers Data'!$AG$4:$AI$9,2,FALSE)))</f>
        <v/>
      </c>
      <c r="K143" s="499" t="str">
        <f>IF(I143="","",IF(VLOOKUP(I143,'G-7 Rivers Data'!$AG$4:$AI$9,3,FALSE)=0,"Spatial Data Missing ⚠",VLOOKUP(I143,'G-7 Rivers Data'!$AG$4:$AI$9,3,FALSE)))</f>
        <v/>
      </c>
      <c r="L143" s="498" t="str">
        <f>IFERROR(INDEX('G-7 Rivers Data'!$O$3:$O$7,MATCH(G143,'G-7 Rivers Data'!$N$3:$N$7,0)),"")</f>
        <v/>
      </c>
      <c r="M143" s="8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565" t="str">
        <f t="shared" si="18"/>
        <v/>
      </c>
      <c r="AA143" s="149"/>
      <c r="AB143" s="150"/>
      <c r="AH143" s="31" t="str">
        <f>IFERROR(INDEX('G-7 Rivers Data'!$AZ$3:$AZ$7,MATCH(C143,'G-7 Rivers Data'!$AY$3:$AY$7,0)),"")</f>
        <v/>
      </c>
    </row>
    <row r="144" spans="2:34" ht="13.8" x14ac:dyDescent="0.25">
      <c r="B144" s="141">
        <v>133</v>
      </c>
      <c r="C144" s="171"/>
      <c r="D144" s="172"/>
      <c r="E144" s="498" t="str">
        <f>IF(C144="","",VLOOKUP(C144,'G-7 Rivers Data'!$B$2:$G$8,2,FALSE))</f>
        <v/>
      </c>
      <c r="F144" s="499" t="str">
        <f>IFERROR(VLOOKUP(E144,'G-7 Rivers Data'!$C$4:$D$8,2,FALSE),"")</f>
        <v/>
      </c>
      <c r="G144" s="145"/>
      <c r="H144" s="499" t="str">
        <f>IFERROR(INDEX('G-7 Rivers Data'!$H$4:$L$8,MATCH(C144,'G-7 Rivers Data'!$B$4:$B$8,0),MATCH(G144,'G-7 Rivers Data'!$H$3:$L$3,0)),"")</f>
        <v/>
      </c>
      <c r="I144" s="154"/>
      <c r="J144" s="507" t="str">
        <f>IF(I144="","",IF(VLOOKUP(I144,'G-7 Rivers Data'!$AG$4:$AI$9,2,FALSE)=0,"Spatial Data Missing ⚠",VLOOKUP(I144,'G-7 Rivers Data'!$AG$4:$AI$9,2,FALSE)))</f>
        <v/>
      </c>
      <c r="K144" s="499" t="str">
        <f>IF(I144="","",IF(VLOOKUP(I144,'G-7 Rivers Data'!$AG$4:$AI$9,3,FALSE)=0,"Spatial Data Missing ⚠",VLOOKUP(I144,'G-7 Rivers Data'!$AG$4:$AI$9,3,FALSE)))</f>
        <v/>
      </c>
      <c r="L144" s="498" t="str">
        <f>IFERROR(INDEX('G-7 Rivers Data'!$O$3:$O$7,MATCH(G144,'G-7 Rivers Data'!$N$3:$N$7,0)),"")</f>
        <v/>
      </c>
      <c r="M144" s="8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565" t="str">
        <f t="shared" si="18"/>
        <v/>
      </c>
      <c r="AA144" s="149"/>
      <c r="AB144" s="150"/>
      <c r="AH144" s="31" t="str">
        <f>IFERROR(INDEX('G-7 Rivers Data'!$AZ$3:$AZ$7,MATCH(C144,'G-7 Rivers Data'!$AY$3:$AY$7,0)),"")</f>
        <v/>
      </c>
    </row>
    <row r="145" spans="2:34" ht="13.8" x14ac:dyDescent="0.25">
      <c r="B145" s="141">
        <v>134</v>
      </c>
      <c r="C145" s="171"/>
      <c r="D145" s="172"/>
      <c r="E145" s="498" t="str">
        <f>IF(C145="","",VLOOKUP(C145,'G-7 Rivers Data'!$B$2:$G$8,2,FALSE))</f>
        <v/>
      </c>
      <c r="F145" s="499" t="str">
        <f>IFERROR(VLOOKUP(E145,'G-7 Rivers Data'!$C$4:$D$8,2,FALSE),"")</f>
        <v/>
      </c>
      <c r="G145" s="145"/>
      <c r="H145" s="499" t="str">
        <f>IFERROR(INDEX('G-7 Rivers Data'!$H$4:$L$8,MATCH(C145,'G-7 Rivers Data'!$B$4:$B$8,0),MATCH(G145,'G-7 Rivers Data'!$H$3:$L$3,0)),"")</f>
        <v/>
      </c>
      <c r="I145" s="154"/>
      <c r="J145" s="507" t="str">
        <f>IF(I145="","",IF(VLOOKUP(I145,'G-7 Rivers Data'!$AG$4:$AI$9,2,FALSE)=0,"Spatial Data Missing ⚠",VLOOKUP(I145,'G-7 Rivers Data'!$AG$4:$AI$9,2,FALSE)))</f>
        <v/>
      </c>
      <c r="K145" s="499" t="str">
        <f>IF(I145="","",IF(VLOOKUP(I145,'G-7 Rivers Data'!$AG$4:$AI$9,3,FALSE)=0,"Spatial Data Missing ⚠",VLOOKUP(I145,'G-7 Rivers Data'!$AG$4:$AI$9,3,FALSE)))</f>
        <v/>
      </c>
      <c r="L145" s="498" t="str">
        <f>IFERROR(INDEX('G-7 Rivers Data'!$O$3:$O$7,MATCH(G145,'G-7 Rivers Data'!$N$3:$N$7,0)),"")</f>
        <v/>
      </c>
      <c r="M145" s="8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565" t="str">
        <f t="shared" si="18"/>
        <v/>
      </c>
      <c r="AA145" s="149"/>
      <c r="AB145" s="150"/>
      <c r="AH145" s="31" t="str">
        <f>IFERROR(INDEX('G-7 Rivers Data'!$AZ$3:$AZ$7,MATCH(C145,'G-7 Rivers Data'!$AY$3:$AY$7,0)),"")</f>
        <v/>
      </c>
    </row>
    <row r="146" spans="2:34" ht="13.8" x14ac:dyDescent="0.25">
      <c r="B146" s="141">
        <v>135</v>
      </c>
      <c r="C146" s="171"/>
      <c r="D146" s="172"/>
      <c r="E146" s="498" t="str">
        <f>IF(C146="","",VLOOKUP(C146,'G-7 Rivers Data'!$B$2:$G$8,2,FALSE))</f>
        <v/>
      </c>
      <c r="F146" s="499" t="str">
        <f>IFERROR(VLOOKUP(E146,'G-7 Rivers Data'!$C$4:$D$8,2,FALSE),"")</f>
        <v/>
      </c>
      <c r="G146" s="145"/>
      <c r="H146" s="499" t="str">
        <f>IFERROR(INDEX('G-7 Rivers Data'!$H$4:$L$8,MATCH(C146,'G-7 Rivers Data'!$B$4:$B$8,0),MATCH(G146,'G-7 Rivers Data'!$H$3:$L$3,0)),"")</f>
        <v/>
      </c>
      <c r="I146" s="154"/>
      <c r="J146" s="507" t="str">
        <f>IF(I146="","",IF(VLOOKUP(I146,'G-7 Rivers Data'!$AG$4:$AI$9,2,FALSE)=0,"Spatial Data Missing ⚠",VLOOKUP(I146,'G-7 Rivers Data'!$AG$4:$AI$9,2,FALSE)))</f>
        <v/>
      </c>
      <c r="K146" s="499" t="str">
        <f>IF(I146="","",IF(VLOOKUP(I146,'G-7 Rivers Data'!$AG$4:$AI$9,3,FALSE)=0,"Spatial Data Missing ⚠",VLOOKUP(I146,'G-7 Rivers Data'!$AG$4:$AI$9,3,FALSE)))</f>
        <v/>
      </c>
      <c r="L146" s="498" t="str">
        <f>IFERROR(INDEX('G-7 Rivers Data'!$O$3:$O$7,MATCH(G146,'G-7 Rivers Data'!$N$3:$N$7,0)),"")</f>
        <v/>
      </c>
      <c r="M146" s="8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565" t="str">
        <f t="shared" si="18"/>
        <v/>
      </c>
      <c r="AA146" s="149"/>
      <c r="AB146" s="150"/>
      <c r="AH146" s="31" t="str">
        <f>IFERROR(INDEX('G-7 Rivers Data'!$AZ$3:$AZ$7,MATCH(C146,'G-7 Rivers Data'!$AY$3:$AY$7,0)),"")</f>
        <v/>
      </c>
    </row>
    <row r="147" spans="2:34" ht="13.8" x14ac:dyDescent="0.25">
      <c r="B147" s="141">
        <v>136</v>
      </c>
      <c r="C147" s="171"/>
      <c r="D147" s="172"/>
      <c r="E147" s="498" t="str">
        <f>IF(C147="","",VLOOKUP(C147,'G-7 Rivers Data'!$B$2:$G$8,2,FALSE))</f>
        <v/>
      </c>
      <c r="F147" s="499" t="str">
        <f>IFERROR(VLOOKUP(E147,'G-7 Rivers Data'!$C$4:$D$8,2,FALSE),"")</f>
        <v/>
      </c>
      <c r="G147" s="145"/>
      <c r="H147" s="499" t="str">
        <f>IFERROR(INDEX('G-7 Rivers Data'!$H$4:$L$8,MATCH(C147,'G-7 Rivers Data'!$B$4:$B$8,0),MATCH(G147,'G-7 Rivers Data'!$H$3:$L$3,0)),"")</f>
        <v/>
      </c>
      <c r="I147" s="154"/>
      <c r="J147" s="507" t="str">
        <f>IF(I147="","",IF(VLOOKUP(I147,'G-7 Rivers Data'!$AG$4:$AI$9,2,FALSE)=0,"Spatial Data Missing ⚠",VLOOKUP(I147,'G-7 Rivers Data'!$AG$4:$AI$9,2,FALSE)))</f>
        <v/>
      </c>
      <c r="K147" s="499" t="str">
        <f>IF(I147="","",IF(VLOOKUP(I147,'G-7 Rivers Data'!$AG$4:$AI$9,3,FALSE)=0,"Spatial Data Missing ⚠",VLOOKUP(I147,'G-7 Rivers Data'!$AG$4:$AI$9,3,FALSE)))</f>
        <v/>
      </c>
      <c r="L147" s="498" t="str">
        <f>IFERROR(INDEX('G-7 Rivers Data'!$O$3:$O$7,MATCH(G147,'G-7 Rivers Data'!$N$3:$N$7,0)),"")</f>
        <v/>
      </c>
      <c r="M147" s="8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565" t="str">
        <f t="shared" si="18"/>
        <v/>
      </c>
      <c r="AA147" s="149"/>
      <c r="AB147" s="150"/>
      <c r="AH147" s="31" t="str">
        <f>IFERROR(INDEX('G-7 Rivers Data'!$AZ$3:$AZ$7,MATCH(C147,'G-7 Rivers Data'!$AY$3:$AY$7,0)),"")</f>
        <v/>
      </c>
    </row>
    <row r="148" spans="2:34" ht="13.8" x14ac:dyDescent="0.25">
      <c r="B148" s="141">
        <v>137</v>
      </c>
      <c r="C148" s="171"/>
      <c r="D148" s="172"/>
      <c r="E148" s="498" t="str">
        <f>IF(C148="","",VLOOKUP(C148,'G-7 Rivers Data'!$B$2:$G$8,2,FALSE))</f>
        <v/>
      </c>
      <c r="F148" s="499" t="str">
        <f>IFERROR(VLOOKUP(E148,'G-7 Rivers Data'!$C$4:$D$8,2,FALSE),"")</f>
        <v/>
      </c>
      <c r="G148" s="145"/>
      <c r="H148" s="499" t="str">
        <f>IFERROR(INDEX('G-7 Rivers Data'!$H$4:$L$8,MATCH(C148,'G-7 Rivers Data'!$B$4:$B$8,0),MATCH(G148,'G-7 Rivers Data'!$H$3:$L$3,0)),"")</f>
        <v/>
      </c>
      <c r="I148" s="154"/>
      <c r="J148" s="507" t="str">
        <f>IF(I148="","",IF(VLOOKUP(I148,'G-7 Rivers Data'!$AG$4:$AI$9,2,FALSE)=0,"Spatial Data Missing ⚠",VLOOKUP(I148,'G-7 Rivers Data'!$AG$4:$AI$9,2,FALSE)))</f>
        <v/>
      </c>
      <c r="K148" s="499" t="str">
        <f>IF(I148="","",IF(VLOOKUP(I148,'G-7 Rivers Data'!$AG$4:$AI$9,3,FALSE)=0,"Spatial Data Missing ⚠",VLOOKUP(I148,'G-7 Rivers Data'!$AG$4:$AI$9,3,FALSE)))</f>
        <v/>
      </c>
      <c r="L148" s="498" t="str">
        <f>IFERROR(INDEX('G-7 Rivers Data'!$O$3:$O$7,MATCH(G148,'G-7 Rivers Data'!$N$3:$N$7,0)),"")</f>
        <v/>
      </c>
      <c r="M148" s="8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565" t="str">
        <f t="shared" si="18"/>
        <v/>
      </c>
      <c r="AA148" s="149"/>
      <c r="AB148" s="150"/>
      <c r="AH148" s="31" t="str">
        <f>IFERROR(INDEX('G-7 Rivers Data'!$AZ$3:$AZ$7,MATCH(C148,'G-7 Rivers Data'!$AY$3:$AY$7,0)),"")</f>
        <v/>
      </c>
    </row>
    <row r="149" spans="2:34" ht="13.8" x14ac:dyDescent="0.25">
      <c r="B149" s="141">
        <v>138</v>
      </c>
      <c r="C149" s="171"/>
      <c r="D149" s="172"/>
      <c r="E149" s="498" t="str">
        <f>IF(C149="","",VLOOKUP(C149,'G-7 Rivers Data'!$B$2:$G$8,2,FALSE))</f>
        <v/>
      </c>
      <c r="F149" s="499" t="str">
        <f>IFERROR(VLOOKUP(E149,'G-7 Rivers Data'!$C$4:$D$8,2,FALSE),"")</f>
        <v/>
      </c>
      <c r="G149" s="145"/>
      <c r="H149" s="499" t="str">
        <f>IFERROR(INDEX('G-7 Rivers Data'!$H$4:$L$8,MATCH(C149,'G-7 Rivers Data'!$B$4:$B$8,0),MATCH(G149,'G-7 Rivers Data'!$H$3:$L$3,0)),"")</f>
        <v/>
      </c>
      <c r="I149" s="154"/>
      <c r="J149" s="507" t="str">
        <f>IF(I149="","",IF(VLOOKUP(I149,'G-7 Rivers Data'!$AG$4:$AI$9,2,FALSE)=0,"Spatial Data Missing ⚠",VLOOKUP(I149,'G-7 Rivers Data'!$AG$4:$AI$9,2,FALSE)))</f>
        <v/>
      </c>
      <c r="K149" s="499" t="str">
        <f>IF(I149="","",IF(VLOOKUP(I149,'G-7 Rivers Data'!$AG$4:$AI$9,3,FALSE)=0,"Spatial Data Missing ⚠",VLOOKUP(I149,'G-7 Rivers Data'!$AG$4:$AI$9,3,FALSE)))</f>
        <v/>
      </c>
      <c r="L149" s="498" t="str">
        <f>IFERROR(INDEX('G-7 Rivers Data'!$O$3:$O$7,MATCH(G149,'G-7 Rivers Data'!$N$3:$N$7,0)),"")</f>
        <v/>
      </c>
      <c r="M149" s="8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565" t="str">
        <f t="shared" si="18"/>
        <v/>
      </c>
      <c r="AA149" s="149"/>
      <c r="AB149" s="150"/>
      <c r="AH149" s="31" t="str">
        <f>IFERROR(INDEX('G-7 Rivers Data'!$AZ$3:$AZ$7,MATCH(C149,'G-7 Rivers Data'!$AY$3:$AY$7,0)),"")</f>
        <v/>
      </c>
    </row>
    <row r="150" spans="2:34" ht="13.8" x14ac:dyDescent="0.25">
      <c r="B150" s="141">
        <v>139</v>
      </c>
      <c r="C150" s="171"/>
      <c r="D150" s="172"/>
      <c r="E150" s="498" t="str">
        <f>IF(C150="","",VLOOKUP(C150,'G-7 Rivers Data'!$B$2:$G$8,2,FALSE))</f>
        <v/>
      </c>
      <c r="F150" s="499" t="str">
        <f>IFERROR(VLOOKUP(E150,'G-7 Rivers Data'!$C$4:$D$8,2,FALSE),"")</f>
        <v/>
      </c>
      <c r="G150" s="145"/>
      <c r="H150" s="499" t="str">
        <f>IFERROR(INDEX('G-7 Rivers Data'!$H$4:$L$8,MATCH(C150,'G-7 Rivers Data'!$B$4:$B$8,0),MATCH(G150,'G-7 Rivers Data'!$H$3:$L$3,0)),"")</f>
        <v/>
      </c>
      <c r="I150" s="154"/>
      <c r="J150" s="507" t="str">
        <f>IF(I150="","",IF(VLOOKUP(I150,'G-7 Rivers Data'!$AG$4:$AI$9,2,FALSE)=0,"Spatial Data Missing ⚠",VLOOKUP(I150,'G-7 Rivers Data'!$AG$4:$AI$9,2,FALSE)))</f>
        <v/>
      </c>
      <c r="K150" s="499" t="str">
        <f>IF(I150="","",IF(VLOOKUP(I150,'G-7 Rivers Data'!$AG$4:$AI$9,3,FALSE)=0,"Spatial Data Missing ⚠",VLOOKUP(I150,'G-7 Rivers Data'!$AG$4:$AI$9,3,FALSE)))</f>
        <v/>
      </c>
      <c r="L150" s="498" t="str">
        <f>IFERROR(INDEX('G-7 Rivers Data'!$O$3:$O$7,MATCH(G150,'G-7 Rivers Data'!$N$3:$N$7,0)),"")</f>
        <v/>
      </c>
      <c r="M150" s="8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565" t="str">
        <f t="shared" si="18"/>
        <v/>
      </c>
      <c r="AA150" s="149"/>
      <c r="AB150" s="150"/>
      <c r="AH150" s="31" t="str">
        <f>IFERROR(INDEX('G-7 Rivers Data'!$AZ$3:$AZ$7,MATCH(C150,'G-7 Rivers Data'!$AY$3:$AY$7,0)),"")</f>
        <v/>
      </c>
    </row>
    <row r="151" spans="2:34" ht="13.8" x14ac:dyDescent="0.25">
      <c r="B151" s="141">
        <v>140</v>
      </c>
      <c r="C151" s="171"/>
      <c r="D151" s="172"/>
      <c r="E151" s="498" t="str">
        <f>IF(C151="","",VLOOKUP(C151,'G-7 Rivers Data'!$B$2:$G$8,2,FALSE))</f>
        <v/>
      </c>
      <c r="F151" s="499" t="str">
        <f>IFERROR(VLOOKUP(E151,'G-7 Rivers Data'!$C$4:$D$8,2,FALSE),"")</f>
        <v/>
      </c>
      <c r="G151" s="145"/>
      <c r="H151" s="499" t="str">
        <f>IFERROR(INDEX('G-7 Rivers Data'!$H$4:$L$8,MATCH(C151,'G-7 Rivers Data'!$B$4:$B$8,0),MATCH(G151,'G-7 Rivers Data'!$H$3:$L$3,0)),"")</f>
        <v/>
      </c>
      <c r="I151" s="154"/>
      <c r="J151" s="507" t="str">
        <f>IF(I151="","",IF(VLOOKUP(I151,'G-7 Rivers Data'!$AG$4:$AI$9,2,FALSE)=0,"Spatial Data Missing ⚠",VLOOKUP(I151,'G-7 Rivers Data'!$AG$4:$AI$9,2,FALSE)))</f>
        <v/>
      </c>
      <c r="K151" s="499" t="str">
        <f>IF(I151="","",IF(VLOOKUP(I151,'G-7 Rivers Data'!$AG$4:$AI$9,3,FALSE)=0,"Spatial Data Missing ⚠",VLOOKUP(I151,'G-7 Rivers Data'!$AG$4:$AI$9,3,FALSE)))</f>
        <v/>
      </c>
      <c r="L151" s="498" t="str">
        <f>IFERROR(INDEX('G-7 Rivers Data'!$O$3:$O$7,MATCH(G151,'G-7 Rivers Data'!$N$3:$N$7,0)),"")</f>
        <v/>
      </c>
      <c r="M151" s="8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565" t="str">
        <f t="shared" si="18"/>
        <v/>
      </c>
      <c r="AA151" s="149"/>
      <c r="AB151" s="150"/>
      <c r="AH151" s="31" t="str">
        <f>IFERROR(INDEX('G-7 Rivers Data'!$AZ$3:$AZ$7,MATCH(C151,'G-7 Rivers Data'!$AY$3:$AY$7,0)),"")</f>
        <v/>
      </c>
    </row>
    <row r="152" spans="2:34" ht="13.8" x14ac:dyDescent="0.25">
      <c r="B152" s="141">
        <v>141</v>
      </c>
      <c r="C152" s="171"/>
      <c r="D152" s="172"/>
      <c r="E152" s="498" t="str">
        <f>IF(C152="","",VLOOKUP(C152,'G-7 Rivers Data'!$B$2:$G$8,2,FALSE))</f>
        <v/>
      </c>
      <c r="F152" s="499" t="str">
        <f>IFERROR(VLOOKUP(E152,'G-7 Rivers Data'!$C$4:$D$8,2,FALSE),"")</f>
        <v/>
      </c>
      <c r="G152" s="145"/>
      <c r="H152" s="499" t="str">
        <f>IFERROR(INDEX('G-7 Rivers Data'!$H$4:$L$8,MATCH(C152,'G-7 Rivers Data'!$B$4:$B$8,0),MATCH(G152,'G-7 Rivers Data'!$H$3:$L$3,0)),"")</f>
        <v/>
      </c>
      <c r="I152" s="154"/>
      <c r="J152" s="507" t="str">
        <f>IF(I152="","",IF(VLOOKUP(I152,'G-7 Rivers Data'!$AG$4:$AI$9,2,FALSE)=0,"Spatial Data Missing ⚠",VLOOKUP(I152,'G-7 Rivers Data'!$AG$4:$AI$9,2,FALSE)))</f>
        <v/>
      </c>
      <c r="K152" s="499" t="str">
        <f>IF(I152="","",IF(VLOOKUP(I152,'G-7 Rivers Data'!$AG$4:$AI$9,3,FALSE)=0,"Spatial Data Missing ⚠",VLOOKUP(I152,'G-7 Rivers Data'!$AG$4:$AI$9,3,FALSE)))</f>
        <v/>
      </c>
      <c r="L152" s="498" t="str">
        <f>IFERROR(INDEX('G-7 Rivers Data'!$O$3:$O$7,MATCH(G152,'G-7 Rivers Data'!$N$3:$N$7,0)),"")</f>
        <v/>
      </c>
      <c r="M152" s="8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565" t="str">
        <f t="shared" si="18"/>
        <v/>
      </c>
      <c r="AA152" s="149"/>
      <c r="AB152" s="150"/>
      <c r="AH152" s="31" t="str">
        <f>IFERROR(INDEX('G-7 Rivers Data'!$AZ$3:$AZ$7,MATCH(C152,'G-7 Rivers Data'!$AY$3:$AY$7,0)),"")</f>
        <v/>
      </c>
    </row>
    <row r="153" spans="2:34" ht="13.8" x14ac:dyDescent="0.25">
      <c r="B153" s="141">
        <v>142</v>
      </c>
      <c r="C153" s="171"/>
      <c r="D153" s="172"/>
      <c r="E153" s="498" t="str">
        <f>IF(C153="","",VLOOKUP(C153,'G-7 Rivers Data'!$B$2:$G$8,2,FALSE))</f>
        <v/>
      </c>
      <c r="F153" s="499" t="str">
        <f>IFERROR(VLOOKUP(E153,'G-7 Rivers Data'!$C$4:$D$8,2,FALSE),"")</f>
        <v/>
      </c>
      <c r="G153" s="145"/>
      <c r="H153" s="499" t="str">
        <f>IFERROR(INDEX('G-7 Rivers Data'!$H$4:$L$8,MATCH(C153,'G-7 Rivers Data'!$B$4:$B$8,0),MATCH(G153,'G-7 Rivers Data'!$H$3:$L$3,0)),"")</f>
        <v/>
      </c>
      <c r="I153" s="154"/>
      <c r="J153" s="507" t="str">
        <f>IF(I153="","",IF(VLOOKUP(I153,'G-7 Rivers Data'!$AG$4:$AI$9,2,FALSE)=0,"Spatial Data Missing ⚠",VLOOKUP(I153,'G-7 Rivers Data'!$AG$4:$AI$9,2,FALSE)))</f>
        <v/>
      </c>
      <c r="K153" s="499" t="str">
        <f>IF(I153="","",IF(VLOOKUP(I153,'G-7 Rivers Data'!$AG$4:$AI$9,3,FALSE)=0,"Spatial Data Missing ⚠",VLOOKUP(I153,'G-7 Rivers Data'!$AG$4:$AI$9,3,FALSE)))</f>
        <v/>
      </c>
      <c r="L153" s="498" t="str">
        <f>IFERROR(INDEX('G-7 Rivers Data'!$O$3:$O$7,MATCH(G153,'G-7 Rivers Data'!$N$3:$N$7,0)),"")</f>
        <v/>
      </c>
      <c r="M153" s="8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565" t="str">
        <f t="shared" si="18"/>
        <v/>
      </c>
      <c r="AA153" s="149"/>
      <c r="AB153" s="150"/>
      <c r="AH153" s="31" t="str">
        <f>IFERROR(INDEX('G-7 Rivers Data'!$AZ$3:$AZ$7,MATCH(C153,'G-7 Rivers Data'!$AY$3:$AY$7,0)),"")</f>
        <v/>
      </c>
    </row>
    <row r="154" spans="2:34" ht="13.8" x14ac:dyDescent="0.25">
      <c r="B154" s="141">
        <v>143</v>
      </c>
      <c r="C154" s="171"/>
      <c r="D154" s="172"/>
      <c r="E154" s="498" t="str">
        <f>IF(C154="","",VLOOKUP(C154,'G-7 Rivers Data'!$B$2:$G$8,2,FALSE))</f>
        <v/>
      </c>
      <c r="F154" s="499" t="str">
        <f>IFERROR(VLOOKUP(E154,'G-7 Rivers Data'!$C$4:$D$8,2,FALSE),"")</f>
        <v/>
      </c>
      <c r="G154" s="145"/>
      <c r="H154" s="499" t="str">
        <f>IFERROR(INDEX('G-7 Rivers Data'!$H$4:$L$8,MATCH(C154,'G-7 Rivers Data'!$B$4:$B$8,0),MATCH(G154,'G-7 Rivers Data'!$H$3:$L$3,0)),"")</f>
        <v/>
      </c>
      <c r="I154" s="154"/>
      <c r="J154" s="507" t="str">
        <f>IF(I154="","",IF(VLOOKUP(I154,'G-7 Rivers Data'!$AG$4:$AI$9,2,FALSE)=0,"Spatial Data Missing ⚠",VLOOKUP(I154,'G-7 Rivers Data'!$AG$4:$AI$9,2,FALSE)))</f>
        <v/>
      </c>
      <c r="K154" s="499" t="str">
        <f>IF(I154="","",IF(VLOOKUP(I154,'G-7 Rivers Data'!$AG$4:$AI$9,3,FALSE)=0,"Spatial Data Missing ⚠",VLOOKUP(I154,'G-7 Rivers Data'!$AG$4:$AI$9,3,FALSE)))</f>
        <v/>
      </c>
      <c r="L154" s="498" t="str">
        <f>IFERROR(INDEX('G-7 Rivers Data'!$O$3:$O$7,MATCH(G154,'G-7 Rivers Data'!$N$3:$N$7,0)),"")</f>
        <v/>
      </c>
      <c r="M154" s="8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565" t="str">
        <f t="shared" si="18"/>
        <v/>
      </c>
      <c r="AA154" s="149"/>
      <c r="AB154" s="150"/>
      <c r="AH154" s="31" t="str">
        <f>IFERROR(INDEX('G-7 Rivers Data'!$AZ$3:$AZ$7,MATCH(C154,'G-7 Rivers Data'!$AY$3:$AY$7,0)),"")</f>
        <v/>
      </c>
    </row>
    <row r="155" spans="2:34" ht="13.8" x14ac:dyDescent="0.25">
      <c r="B155" s="141">
        <v>144</v>
      </c>
      <c r="C155" s="171"/>
      <c r="D155" s="172"/>
      <c r="E155" s="498" t="str">
        <f>IF(C155="","",VLOOKUP(C155,'G-7 Rivers Data'!$B$2:$G$8,2,FALSE))</f>
        <v/>
      </c>
      <c r="F155" s="499" t="str">
        <f>IFERROR(VLOOKUP(E155,'G-7 Rivers Data'!$C$4:$D$8,2,FALSE),"")</f>
        <v/>
      </c>
      <c r="G155" s="145"/>
      <c r="H155" s="499" t="str">
        <f>IFERROR(INDEX('G-7 Rivers Data'!$H$4:$L$8,MATCH(C155,'G-7 Rivers Data'!$B$4:$B$8,0),MATCH(G155,'G-7 Rivers Data'!$H$3:$L$3,0)),"")</f>
        <v/>
      </c>
      <c r="I155" s="154"/>
      <c r="J155" s="507" t="str">
        <f>IF(I155="","",IF(VLOOKUP(I155,'G-7 Rivers Data'!$AG$4:$AI$9,2,FALSE)=0,"Spatial Data Missing ⚠",VLOOKUP(I155,'G-7 Rivers Data'!$AG$4:$AI$9,2,FALSE)))</f>
        <v/>
      </c>
      <c r="K155" s="499" t="str">
        <f>IF(I155="","",IF(VLOOKUP(I155,'G-7 Rivers Data'!$AG$4:$AI$9,3,FALSE)=0,"Spatial Data Missing ⚠",VLOOKUP(I155,'G-7 Rivers Data'!$AG$4:$AI$9,3,FALSE)))</f>
        <v/>
      </c>
      <c r="L155" s="498" t="str">
        <f>IFERROR(INDEX('G-7 Rivers Data'!$O$3:$O$7,MATCH(G155,'G-7 Rivers Data'!$N$3:$N$7,0)),"")</f>
        <v/>
      </c>
      <c r="M155" s="8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565" t="str">
        <f t="shared" si="18"/>
        <v/>
      </c>
      <c r="AA155" s="149"/>
      <c r="AB155" s="150"/>
      <c r="AH155" s="31" t="str">
        <f>IFERROR(INDEX('G-7 Rivers Data'!$AZ$3:$AZ$7,MATCH(C155,'G-7 Rivers Data'!$AY$3:$AY$7,0)),"")</f>
        <v/>
      </c>
    </row>
    <row r="156" spans="2:34" ht="13.8" x14ac:dyDescent="0.25">
      <c r="B156" s="141">
        <v>145</v>
      </c>
      <c r="C156" s="171"/>
      <c r="D156" s="172"/>
      <c r="E156" s="498" t="str">
        <f>IF(C156="","",VLOOKUP(C156,'G-7 Rivers Data'!$B$2:$G$8,2,FALSE))</f>
        <v/>
      </c>
      <c r="F156" s="499" t="str">
        <f>IFERROR(VLOOKUP(E156,'G-7 Rivers Data'!$C$4:$D$8,2,FALSE),"")</f>
        <v/>
      </c>
      <c r="G156" s="145"/>
      <c r="H156" s="499" t="str">
        <f>IFERROR(INDEX('G-7 Rivers Data'!$H$4:$L$8,MATCH(C156,'G-7 Rivers Data'!$B$4:$B$8,0),MATCH(G156,'G-7 Rivers Data'!$H$3:$L$3,0)),"")</f>
        <v/>
      </c>
      <c r="I156" s="154"/>
      <c r="J156" s="507" t="str">
        <f>IF(I156="","",IF(VLOOKUP(I156,'G-7 Rivers Data'!$AG$4:$AI$9,2,FALSE)=0,"Spatial Data Missing ⚠",VLOOKUP(I156,'G-7 Rivers Data'!$AG$4:$AI$9,2,FALSE)))</f>
        <v/>
      </c>
      <c r="K156" s="499" t="str">
        <f>IF(I156="","",IF(VLOOKUP(I156,'G-7 Rivers Data'!$AG$4:$AI$9,3,FALSE)=0,"Spatial Data Missing ⚠",VLOOKUP(I156,'G-7 Rivers Data'!$AG$4:$AI$9,3,FALSE)))</f>
        <v/>
      </c>
      <c r="L156" s="498" t="str">
        <f>IFERROR(INDEX('G-7 Rivers Data'!$O$3:$O$7,MATCH(G156,'G-7 Rivers Data'!$N$3:$N$7,0)),"")</f>
        <v/>
      </c>
      <c r="M156" s="8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565" t="str">
        <f t="shared" si="18"/>
        <v/>
      </c>
      <c r="AA156" s="149"/>
      <c r="AB156" s="150"/>
      <c r="AH156" s="31" t="str">
        <f>IFERROR(INDEX('G-7 Rivers Data'!$AZ$3:$AZ$7,MATCH(C156,'G-7 Rivers Data'!$AY$3:$AY$7,0)),"")</f>
        <v/>
      </c>
    </row>
    <row r="157" spans="2:34" ht="13.8" x14ac:dyDescent="0.25">
      <c r="B157" s="141">
        <v>146</v>
      </c>
      <c r="C157" s="171"/>
      <c r="D157" s="172"/>
      <c r="E157" s="498" t="str">
        <f>IF(C157="","",VLOOKUP(C157,'G-7 Rivers Data'!$B$2:$G$8,2,FALSE))</f>
        <v/>
      </c>
      <c r="F157" s="499" t="str">
        <f>IFERROR(VLOOKUP(E157,'G-7 Rivers Data'!$C$4:$D$8,2,FALSE),"")</f>
        <v/>
      </c>
      <c r="G157" s="145"/>
      <c r="H157" s="499" t="str">
        <f>IFERROR(INDEX('G-7 Rivers Data'!$H$4:$L$8,MATCH(C157,'G-7 Rivers Data'!$B$4:$B$8,0),MATCH(G157,'G-7 Rivers Data'!$H$3:$L$3,0)),"")</f>
        <v/>
      </c>
      <c r="I157" s="154"/>
      <c r="J157" s="507" t="str">
        <f>IF(I157="","",IF(VLOOKUP(I157,'G-7 Rivers Data'!$AG$4:$AI$9,2,FALSE)=0,"Spatial Data Missing ⚠",VLOOKUP(I157,'G-7 Rivers Data'!$AG$4:$AI$9,2,FALSE)))</f>
        <v/>
      </c>
      <c r="K157" s="499" t="str">
        <f>IF(I157="","",IF(VLOOKUP(I157,'G-7 Rivers Data'!$AG$4:$AI$9,3,FALSE)=0,"Spatial Data Missing ⚠",VLOOKUP(I157,'G-7 Rivers Data'!$AG$4:$AI$9,3,FALSE)))</f>
        <v/>
      </c>
      <c r="L157" s="498" t="str">
        <f>IFERROR(INDEX('G-7 Rivers Data'!$O$3:$O$7,MATCH(G157,'G-7 Rivers Data'!$N$3:$N$7,0)),"")</f>
        <v/>
      </c>
      <c r="M157" s="8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565" t="str">
        <f t="shared" si="18"/>
        <v/>
      </c>
      <c r="AA157" s="149"/>
      <c r="AB157" s="150"/>
      <c r="AH157" s="31" t="str">
        <f>IFERROR(INDEX('G-7 Rivers Data'!$AZ$3:$AZ$7,MATCH(C157,'G-7 Rivers Data'!$AY$3:$AY$7,0)),"")</f>
        <v/>
      </c>
    </row>
    <row r="158" spans="2:34" ht="13.8" x14ac:dyDescent="0.25">
      <c r="B158" s="141">
        <v>147</v>
      </c>
      <c r="C158" s="171"/>
      <c r="D158" s="172"/>
      <c r="E158" s="498" t="str">
        <f>IF(C158="","",VLOOKUP(C158,'G-7 Rivers Data'!$B$2:$G$8,2,FALSE))</f>
        <v/>
      </c>
      <c r="F158" s="499" t="str">
        <f>IFERROR(VLOOKUP(E158,'G-7 Rivers Data'!$C$4:$D$8,2,FALSE),"")</f>
        <v/>
      </c>
      <c r="G158" s="145"/>
      <c r="H158" s="499" t="str">
        <f>IFERROR(INDEX('G-7 Rivers Data'!$H$4:$L$8,MATCH(C158,'G-7 Rivers Data'!$B$4:$B$8,0),MATCH(G158,'G-7 Rivers Data'!$H$3:$L$3,0)),"")</f>
        <v/>
      </c>
      <c r="I158" s="154"/>
      <c r="J158" s="507" t="str">
        <f>IF(I158="","",IF(VLOOKUP(I158,'G-7 Rivers Data'!$AG$4:$AI$9,2,FALSE)=0,"Spatial Data Missing ⚠",VLOOKUP(I158,'G-7 Rivers Data'!$AG$4:$AI$9,2,FALSE)))</f>
        <v/>
      </c>
      <c r="K158" s="499" t="str">
        <f>IF(I158="","",IF(VLOOKUP(I158,'G-7 Rivers Data'!$AG$4:$AI$9,3,FALSE)=0,"Spatial Data Missing ⚠",VLOOKUP(I158,'G-7 Rivers Data'!$AG$4:$AI$9,3,FALSE)))</f>
        <v/>
      </c>
      <c r="L158" s="498" t="str">
        <f>IFERROR(INDEX('G-7 Rivers Data'!$O$3:$O$7,MATCH(G158,'G-7 Rivers Data'!$N$3:$N$7,0)),"")</f>
        <v/>
      </c>
      <c r="M158" s="8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565" t="str">
        <f t="shared" si="18"/>
        <v/>
      </c>
      <c r="AA158" s="149"/>
      <c r="AB158" s="150"/>
      <c r="AH158" s="31" t="str">
        <f>IFERROR(INDEX('G-7 Rivers Data'!$AZ$3:$AZ$7,MATCH(C158,'G-7 Rivers Data'!$AY$3:$AY$7,0)),"")</f>
        <v/>
      </c>
    </row>
    <row r="159" spans="2:34" ht="13.8" x14ac:dyDescent="0.25">
      <c r="B159" s="141">
        <v>148</v>
      </c>
      <c r="C159" s="171"/>
      <c r="D159" s="172"/>
      <c r="E159" s="498" t="str">
        <f>IF(C159="","",VLOOKUP(C159,'G-7 Rivers Data'!$B$2:$G$8,2,FALSE))</f>
        <v/>
      </c>
      <c r="F159" s="499" t="str">
        <f>IFERROR(VLOOKUP(E159,'G-7 Rivers Data'!$C$4:$D$8,2,FALSE),"")</f>
        <v/>
      </c>
      <c r="G159" s="145"/>
      <c r="H159" s="499" t="str">
        <f>IFERROR(INDEX('G-7 Rivers Data'!$H$4:$L$8,MATCH(C159,'G-7 Rivers Data'!$B$4:$B$8,0),MATCH(G159,'G-7 Rivers Data'!$H$3:$L$3,0)),"")</f>
        <v/>
      </c>
      <c r="I159" s="154"/>
      <c r="J159" s="507" t="str">
        <f>IF(I159="","",IF(VLOOKUP(I159,'G-7 Rivers Data'!$AG$4:$AI$9,2,FALSE)=0,"Spatial Data Missing ⚠",VLOOKUP(I159,'G-7 Rivers Data'!$AG$4:$AI$9,2,FALSE)))</f>
        <v/>
      </c>
      <c r="K159" s="499" t="str">
        <f>IF(I159="","",IF(VLOOKUP(I159,'G-7 Rivers Data'!$AG$4:$AI$9,3,FALSE)=0,"Spatial Data Missing ⚠",VLOOKUP(I159,'G-7 Rivers Data'!$AG$4:$AI$9,3,FALSE)))</f>
        <v/>
      </c>
      <c r="L159" s="498" t="str">
        <f>IFERROR(INDEX('G-7 Rivers Data'!$O$3:$O$7,MATCH(G159,'G-7 Rivers Data'!$N$3:$N$7,0)),"")</f>
        <v/>
      </c>
      <c r="M159" s="8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565" t="str">
        <f t="shared" si="18"/>
        <v/>
      </c>
      <c r="AA159" s="149"/>
      <c r="AB159" s="150"/>
      <c r="AH159" s="31" t="str">
        <f>IFERROR(INDEX('G-7 Rivers Data'!$AZ$3:$AZ$7,MATCH(C159,'G-7 Rivers Data'!$AY$3:$AY$7,0)),"")</f>
        <v/>
      </c>
    </row>
    <row r="160" spans="2:34" ht="13.8" x14ac:dyDescent="0.25">
      <c r="B160" s="141">
        <v>149</v>
      </c>
      <c r="C160" s="171"/>
      <c r="D160" s="172"/>
      <c r="E160" s="498" t="str">
        <f>IF(C160="","",VLOOKUP(C160,'G-7 Rivers Data'!$B$2:$G$8,2,FALSE))</f>
        <v/>
      </c>
      <c r="F160" s="499" t="str">
        <f>IFERROR(VLOOKUP(E160,'G-7 Rivers Data'!$C$4:$D$8,2,FALSE),"")</f>
        <v/>
      </c>
      <c r="G160" s="145"/>
      <c r="H160" s="499" t="str">
        <f>IFERROR(INDEX('G-7 Rivers Data'!$H$4:$L$8,MATCH(C160,'G-7 Rivers Data'!$B$4:$B$8,0),MATCH(G160,'G-7 Rivers Data'!$H$3:$L$3,0)),"")</f>
        <v/>
      </c>
      <c r="I160" s="154"/>
      <c r="J160" s="507" t="str">
        <f>IF(I160="","",IF(VLOOKUP(I160,'G-7 Rivers Data'!$AG$4:$AI$9,2,FALSE)=0,"Spatial Data Missing ⚠",VLOOKUP(I160,'G-7 Rivers Data'!$AG$4:$AI$9,2,FALSE)))</f>
        <v/>
      </c>
      <c r="K160" s="499" t="str">
        <f>IF(I160="","",IF(VLOOKUP(I160,'G-7 Rivers Data'!$AG$4:$AI$9,3,FALSE)=0,"Spatial Data Missing ⚠",VLOOKUP(I160,'G-7 Rivers Data'!$AG$4:$AI$9,3,FALSE)))</f>
        <v/>
      </c>
      <c r="L160" s="498" t="str">
        <f>IFERROR(INDEX('G-7 Rivers Data'!$O$3:$O$7,MATCH(G160,'G-7 Rivers Data'!$N$3:$N$7,0)),"")</f>
        <v/>
      </c>
      <c r="M160" s="8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565" t="str">
        <f t="shared" si="18"/>
        <v/>
      </c>
      <c r="AA160" s="149"/>
      <c r="AB160" s="150"/>
      <c r="AH160" s="31" t="str">
        <f>IFERROR(INDEX('G-7 Rivers Data'!$AZ$3:$AZ$7,MATCH(C160,'G-7 Rivers Data'!$AY$3:$AY$7,0)),"")</f>
        <v/>
      </c>
    </row>
    <row r="161" spans="2:34" ht="13.8" x14ac:dyDescent="0.25">
      <c r="B161" s="141">
        <v>150</v>
      </c>
      <c r="C161" s="171"/>
      <c r="D161" s="172"/>
      <c r="E161" s="498" t="str">
        <f>IF(C161="","",VLOOKUP(C161,'G-7 Rivers Data'!$B$2:$G$8,2,FALSE))</f>
        <v/>
      </c>
      <c r="F161" s="499" t="str">
        <f>IFERROR(VLOOKUP(E161,'G-7 Rivers Data'!$C$4:$D$8,2,FALSE),"")</f>
        <v/>
      </c>
      <c r="G161" s="145"/>
      <c r="H161" s="499" t="str">
        <f>IFERROR(INDEX('G-7 Rivers Data'!$H$4:$L$8,MATCH(C161,'G-7 Rivers Data'!$B$4:$B$8,0),MATCH(G161,'G-7 Rivers Data'!$H$3:$L$3,0)),"")</f>
        <v/>
      </c>
      <c r="I161" s="154"/>
      <c r="J161" s="507" t="str">
        <f>IF(I161="","",IF(VLOOKUP(I161,'G-7 Rivers Data'!$AG$4:$AI$9,2,FALSE)=0,"Spatial Data Missing ⚠",VLOOKUP(I161,'G-7 Rivers Data'!$AG$4:$AI$9,2,FALSE)))</f>
        <v/>
      </c>
      <c r="K161" s="499" t="str">
        <f>IF(I161="","",IF(VLOOKUP(I161,'G-7 Rivers Data'!$AG$4:$AI$9,3,FALSE)=0,"Spatial Data Missing ⚠",VLOOKUP(I161,'G-7 Rivers Data'!$AG$4:$AI$9,3,FALSE)))</f>
        <v/>
      </c>
      <c r="L161" s="498" t="str">
        <f>IFERROR(INDEX('G-7 Rivers Data'!$O$3:$O$7,MATCH(G161,'G-7 Rivers Data'!$N$3:$N$7,0)),"")</f>
        <v/>
      </c>
      <c r="M161" s="8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565" t="str">
        <f t="shared" si="18"/>
        <v/>
      </c>
      <c r="AA161" s="149"/>
      <c r="AB161" s="150"/>
      <c r="AH161" s="31" t="str">
        <f>IFERROR(INDEX('G-7 Rivers Data'!$AZ$3:$AZ$7,MATCH(C161,'G-7 Rivers Data'!$AY$3:$AY$7,0)),"")</f>
        <v/>
      </c>
    </row>
    <row r="162" spans="2:34" ht="13.8" x14ac:dyDescent="0.25">
      <c r="B162" s="141">
        <v>151</v>
      </c>
      <c r="C162" s="171"/>
      <c r="D162" s="172"/>
      <c r="E162" s="498" t="str">
        <f>IF(C162="","",VLOOKUP(C162,'G-7 Rivers Data'!$B$2:$G$8,2,FALSE))</f>
        <v/>
      </c>
      <c r="F162" s="499" t="str">
        <f>IFERROR(VLOOKUP(E162,'G-7 Rivers Data'!$C$4:$D$8,2,FALSE),"")</f>
        <v/>
      </c>
      <c r="G162" s="145"/>
      <c r="H162" s="499" t="str">
        <f>IFERROR(INDEX('G-7 Rivers Data'!$H$4:$L$8,MATCH(C162,'G-7 Rivers Data'!$B$4:$B$8,0),MATCH(G162,'G-7 Rivers Data'!$H$3:$L$3,0)),"")</f>
        <v/>
      </c>
      <c r="I162" s="154"/>
      <c r="J162" s="507" t="str">
        <f>IF(I162="","",IF(VLOOKUP(I162,'G-7 Rivers Data'!$AG$4:$AI$9,2,FALSE)=0,"Spatial Data Missing ⚠",VLOOKUP(I162,'G-7 Rivers Data'!$AG$4:$AI$9,2,FALSE)))</f>
        <v/>
      </c>
      <c r="K162" s="499" t="str">
        <f>IF(I162="","",IF(VLOOKUP(I162,'G-7 Rivers Data'!$AG$4:$AI$9,3,FALSE)=0,"Spatial Data Missing ⚠",VLOOKUP(I162,'G-7 Rivers Data'!$AG$4:$AI$9,3,FALSE)))</f>
        <v/>
      </c>
      <c r="L162" s="498" t="str">
        <f>IFERROR(INDEX('G-7 Rivers Data'!$O$3:$O$7,MATCH(G162,'G-7 Rivers Data'!$N$3:$N$7,0)),"")</f>
        <v/>
      </c>
      <c r="M162" s="8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565" t="str">
        <f t="shared" si="18"/>
        <v/>
      </c>
      <c r="AA162" s="149"/>
      <c r="AB162" s="150"/>
      <c r="AH162" s="31" t="str">
        <f>IFERROR(INDEX('G-7 Rivers Data'!$AZ$3:$AZ$7,MATCH(C162,'G-7 Rivers Data'!$AY$3:$AY$7,0)),"")</f>
        <v/>
      </c>
    </row>
    <row r="163" spans="2:34" ht="13.8" x14ac:dyDescent="0.25">
      <c r="B163" s="141">
        <v>152</v>
      </c>
      <c r="C163" s="171"/>
      <c r="D163" s="172"/>
      <c r="E163" s="498" t="str">
        <f>IF(C163="","",VLOOKUP(C163,'G-7 Rivers Data'!$B$2:$G$8,2,FALSE))</f>
        <v/>
      </c>
      <c r="F163" s="499" t="str">
        <f>IFERROR(VLOOKUP(E163,'G-7 Rivers Data'!$C$4:$D$8,2,FALSE),"")</f>
        <v/>
      </c>
      <c r="G163" s="145"/>
      <c r="H163" s="499" t="str">
        <f>IFERROR(INDEX('G-7 Rivers Data'!$H$4:$L$8,MATCH(C163,'G-7 Rivers Data'!$B$4:$B$8,0),MATCH(G163,'G-7 Rivers Data'!$H$3:$L$3,0)),"")</f>
        <v/>
      </c>
      <c r="I163" s="154"/>
      <c r="J163" s="507" t="str">
        <f>IF(I163="","",IF(VLOOKUP(I163,'G-7 Rivers Data'!$AG$4:$AI$9,2,FALSE)=0,"Spatial Data Missing ⚠",VLOOKUP(I163,'G-7 Rivers Data'!$AG$4:$AI$9,2,FALSE)))</f>
        <v/>
      </c>
      <c r="K163" s="499" t="str">
        <f>IF(I163="","",IF(VLOOKUP(I163,'G-7 Rivers Data'!$AG$4:$AI$9,3,FALSE)=0,"Spatial Data Missing ⚠",VLOOKUP(I163,'G-7 Rivers Data'!$AG$4:$AI$9,3,FALSE)))</f>
        <v/>
      </c>
      <c r="L163" s="498" t="str">
        <f>IFERROR(INDEX('G-7 Rivers Data'!$O$3:$O$7,MATCH(G163,'G-7 Rivers Data'!$N$3:$N$7,0)),"")</f>
        <v/>
      </c>
      <c r="M163" s="8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565" t="str">
        <f t="shared" si="18"/>
        <v/>
      </c>
      <c r="AA163" s="149"/>
      <c r="AB163" s="150"/>
      <c r="AH163" s="31" t="str">
        <f>IFERROR(INDEX('G-7 Rivers Data'!$AZ$3:$AZ$7,MATCH(C163,'G-7 Rivers Data'!$AY$3:$AY$7,0)),"")</f>
        <v/>
      </c>
    </row>
    <row r="164" spans="2:34" ht="13.8" x14ac:dyDescent="0.25">
      <c r="B164" s="141">
        <v>153</v>
      </c>
      <c r="C164" s="171"/>
      <c r="D164" s="172"/>
      <c r="E164" s="498" t="str">
        <f>IF(C164="","",VLOOKUP(C164,'G-7 Rivers Data'!$B$2:$G$8,2,FALSE))</f>
        <v/>
      </c>
      <c r="F164" s="499" t="str">
        <f>IFERROR(VLOOKUP(E164,'G-7 Rivers Data'!$C$4:$D$8,2,FALSE),"")</f>
        <v/>
      </c>
      <c r="G164" s="145"/>
      <c r="H164" s="499" t="str">
        <f>IFERROR(INDEX('G-7 Rivers Data'!$H$4:$L$8,MATCH(C164,'G-7 Rivers Data'!$B$4:$B$8,0),MATCH(G164,'G-7 Rivers Data'!$H$3:$L$3,0)),"")</f>
        <v/>
      </c>
      <c r="I164" s="154"/>
      <c r="J164" s="507" t="str">
        <f>IF(I164="","",IF(VLOOKUP(I164,'G-7 Rivers Data'!$AG$4:$AI$9,2,FALSE)=0,"Spatial Data Missing ⚠",VLOOKUP(I164,'G-7 Rivers Data'!$AG$4:$AI$9,2,FALSE)))</f>
        <v/>
      </c>
      <c r="K164" s="499" t="str">
        <f>IF(I164="","",IF(VLOOKUP(I164,'G-7 Rivers Data'!$AG$4:$AI$9,3,FALSE)=0,"Spatial Data Missing ⚠",VLOOKUP(I164,'G-7 Rivers Data'!$AG$4:$AI$9,3,FALSE)))</f>
        <v/>
      </c>
      <c r="L164" s="498" t="str">
        <f>IFERROR(INDEX('G-7 Rivers Data'!$O$3:$O$7,MATCH(G164,'G-7 Rivers Data'!$N$3:$N$7,0)),"")</f>
        <v/>
      </c>
      <c r="M164" s="8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565" t="str">
        <f t="shared" si="18"/>
        <v/>
      </c>
      <c r="AA164" s="149"/>
      <c r="AB164" s="150"/>
      <c r="AH164" s="31" t="str">
        <f>IFERROR(INDEX('G-7 Rivers Data'!$AZ$3:$AZ$7,MATCH(C164,'G-7 Rivers Data'!$AY$3:$AY$7,0)),"")</f>
        <v/>
      </c>
    </row>
    <row r="165" spans="2:34" ht="13.8" x14ac:dyDescent="0.25">
      <c r="B165" s="141">
        <v>154</v>
      </c>
      <c r="C165" s="171"/>
      <c r="D165" s="172"/>
      <c r="E165" s="498" t="str">
        <f>IF(C165="","",VLOOKUP(C165,'G-7 Rivers Data'!$B$2:$G$8,2,FALSE))</f>
        <v/>
      </c>
      <c r="F165" s="499" t="str">
        <f>IFERROR(VLOOKUP(E165,'G-7 Rivers Data'!$C$4:$D$8,2,FALSE),"")</f>
        <v/>
      </c>
      <c r="G165" s="145"/>
      <c r="H165" s="499" t="str">
        <f>IFERROR(INDEX('G-7 Rivers Data'!$H$4:$L$8,MATCH(C165,'G-7 Rivers Data'!$B$4:$B$8,0),MATCH(G165,'G-7 Rivers Data'!$H$3:$L$3,0)),"")</f>
        <v/>
      </c>
      <c r="I165" s="154"/>
      <c r="J165" s="507" t="str">
        <f>IF(I165="","",IF(VLOOKUP(I165,'G-7 Rivers Data'!$AG$4:$AI$9,2,FALSE)=0,"Spatial Data Missing ⚠",VLOOKUP(I165,'G-7 Rivers Data'!$AG$4:$AI$9,2,FALSE)))</f>
        <v/>
      </c>
      <c r="K165" s="499" t="str">
        <f>IF(I165="","",IF(VLOOKUP(I165,'G-7 Rivers Data'!$AG$4:$AI$9,3,FALSE)=0,"Spatial Data Missing ⚠",VLOOKUP(I165,'G-7 Rivers Data'!$AG$4:$AI$9,3,FALSE)))</f>
        <v/>
      </c>
      <c r="L165" s="498" t="str">
        <f>IFERROR(INDEX('G-7 Rivers Data'!$O$3:$O$7,MATCH(G165,'G-7 Rivers Data'!$N$3:$N$7,0)),"")</f>
        <v/>
      </c>
      <c r="M165" s="8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565" t="str">
        <f t="shared" si="18"/>
        <v/>
      </c>
      <c r="AA165" s="149"/>
      <c r="AB165" s="150"/>
      <c r="AH165" s="31" t="str">
        <f>IFERROR(INDEX('G-7 Rivers Data'!$AZ$3:$AZ$7,MATCH(C165,'G-7 Rivers Data'!$AY$3:$AY$7,0)),"")</f>
        <v/>
      </c>
    </row>
    <row r="166" spans="2:34" ht="13.8" x14ac:dyDescent="0.25">
      <c r="B166" s="141">
        <v>155</v>
      </c>
      <c r="C166" s="171"/>
      <c r="D166" s="172"/>
      <c r="E166" s="498" t="str">
        <f>IF(C166="","",VLOOKUP(C166,'G-7 Rivers Data'!$B$2:$G$8,2,FALSE))</f>
        <v/>
      </c>
      <c r="F166" s="499" t="str">
        <f>IFERROR(VLOOKUP(E166,'G-7 Rivers Data'!$C$4:$D$8,2,FALSE),"")</f>
        <v/>
      </c>
      <c r="G166" s="145"/>
      <c r="H166" s="499" t="str">
        <f>IFERROR(INDEX('G-7 Rivers Data'!$H$4:$L$8,MATCH(C166,'G-7 Rivers Data'!$B$4:$B$8,0),MATCH(G166,'G-7 Rivers Data'!$H$3:$L$3,0)),"")</f>
        <v/>
      </c>
      <c r="I166" s="154"/>
      <c r="J166" s="507" t="str">
        <f>IF(I166="","",IF(VLOOKUP(I166,'G-7 Rivers Data'!$AG$4:$AI$9,2,FALSE)=0,"Spatial Data Missing ⚠",VLOOKUP(I166,'G-7 Rivers Data'!$AG$4:$AI$9,2,FALSE)))</f>
        <v/>
      </c>
      <c r="K166" s="499" t="str">
        <f>IF(I166="","",IF(VLOOKUP(I166,'G-7 Rivers Data'!$AG$4:$AI$9,3,FALSE)=0,"Spatial Data Missing ⚠",VLOOKUP(I166,'G-7 Rivers Data'!$AG$4:$AI$9,3,FALSE)))</f>
        <v/>
      </c>
      <c r="L166" s="498" t="str">
        <f>IFERROR(INDEX('G-7 Rivers Data'!$O$3:$O$7,MATCH(G166,'G-7 Rivers Data'!$N$3:$N$7,0)),"")</f>
        <v/>
      </c>
      <c r="M166" s="8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565" t="str">
        <f t="shared" si="18"/>
        <v/>
      </c>
      <c r="AA166" s="149"/>
      <c r="AB166" s="150"/>
      <c r="AH166" s="31" t="str">
        <f>IFERROR(INDEX('G-7 Rivers Data'!$AZ$3:$AZ$7,MATCH(C166,'G-7 Rivers Data'!$AY$3:$AY$7,0)),"")</f>
        <v/>
      </c>
    </row>
    <row r="167" spans="2:34" ht="13.8" x14ac:dyDescent="0.25">
      <c r="B167" s="141">
        <v>156</v>
      </c>
      <c r="C167" s="171"/>
      <c r="D167" s="172"/>
      <c r="E167" s="498" t="str">
        <f>IF(C167="","",VLOOKUP(C167,'G-7 Rivers Data'!$B$2:$G$8,2,FALSE))</f>
        <v/>
      </c>
      <c r="F167" s="499" t="str">
        <f>IFERROR(VLOOKUP(E167,'G-7 Rivers Data'!$C$4:$D$8,2,FALSE),"")</f>
        <v/>
      </c>
      <c r="G167" s="145"/>
      <c r="H167" s="499" t="str">
        <f>IFERROR(INDEX('G-7 Rivers Data'!$H$4:$L$8,MATCH(C167,'G-7 Rivers Data'!$B$4:$B$8,0),MATCH(G167,'G-7 Rivers Data'!$H$3:$L$3,0)),"")</f>
        <v/>
      </c>
      <c r="I167" s="154"/>
      <c r="J167" s="507" t="str">
        <f>IF(I167="","",IF(VLOOKUP(I167,'G-7 Rivers Data'!$AG$4:$AI$9,2,FALSE)=0,"Spatial Data Missing ⚠",VLOOKUP(I167,'G-7 Rivers Data'!$AG$4:$AI$9,2,FALSE)))</f>
        <v/>
      </c>
      <c r="K167" s="499" t="str">
        <f>IF(I167="","",IF(VLOOKUP(I167,'G-7 Rivers Data'!$AG$4:$AI$9,3,FALSE)=0,"Spatial Data Missing ⚠",VLOOKUP(I167,'G-7 Rivers Data'!$AG$4:$AI$9,3,FALSE)))</f>
        <v/>
      </c>
      <c r="L167" s="498" t="str">
        <f>IFERROR(INDEX('G-7 Rivers Data'!$O$3:$O$7,MATCH(G167,'G-7 Rivers Data'!$N$3:$N$7,0)),"")</f>
        <v/>
      </c>
      <c r="M167" s="8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565" t="str">
        <f t="shared" si="18"/>
        <v/>
      </c>
      <c r="AA167" s="149"/>
      <c r="AB167" s="150"/>
      <c r="AH167" s="31" t="str">
        <f>IFERROR(INDEX('G-7 Rivers Data'!$AZ$3:$AZ$7,MATCH(C167,'G-7 Rivers Data'!$AY$3:$AY$7,0)),"")</f>
        <v/>
      </c>
    </row>
    <row r="168" spans="2:34" ht="13.8" x14ac:dyDescent="0.25">
      <c r="B168" s="141">
        <v>157</v>
      </c>
      <c r="C168" s="171"/>
      <c r="D168" s="172"/>
      <c r="E168" s="498" t="str">
        <f>IF(C168="","",VLOOKUP(C168,'G-7 Rivers Data'!$B$2:$G$8,2,FALSE))</f>
        <v/>
      </c>
      <c r="F168" s="499" t="str">
        <f>IFERROR(VLOOKUP(E168,'G-7 Rivers Data'!$C$4:$D$8,2,FALSE),"")</f>
        <v/>
      </c>
      <c r="G168" s="145"/>
      <c r="H168" s="499" t="str">
        <f>IFERROR(INDEX('G-7 Rivers Data'!$H$4:$L$8,MATCH(C168,'G-7 Rivers Data'!$B$4:$B$8,0),MATCH(G168,'G-7 Rivers Data'!$H$3:$L$3,0)),"")</f>
        <v/>
      </c>
      <c r="I168" s="154"/>
      <c r="J168" s="507" t="str">
        <f>IF(I168="","",IF(VLOOKUP(I168,'G-7 Rivers Data'!$AG$4:$AI$9,2,FALSE)=0,"Spatial Data Missing ⚠",VLOOKUP(I168,'G-7 Rivers Data'!$AG$4:$AI$9,2,FALSE)))</f>
        <v/>
      </c>
      <c r="K168" s="499" t="str">
        <f>IF(I168="","",IF(VLOOKUP(I168,'G-7 Rivers Data'!$AG$4:$AI$9,3,FALSE)=0,"Spatial Data Missing ⚠",VLOOKUP(I168,'G-7 Rivers Data'!$AG$4:$AI$9,3,FALSE)))</f>
        <v/>
      </c>
      <c r="L168" s="498" t="str">
        <f>IFERROR(INDEX('G-7 Rivers Data'!$O$3:$O$7,MATCH(G168,'G-7 Rivers Data'!$N$3:$N$7,0)),"")</f>
        <v/>
      </c>
      <c r="M168" s="8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565" t="str">
        <f t="shared" si="18"/>
        <v/>
      </c>
      <c r="AA168" s="149"/>
      <c r="AB168" s="150"/>
      <c r="AH168" s="31" t="str">
        <f>IFERROR(INDEX('G-7 Rivers Data'!$AZ$3:$AZ$7,MATCH(C168,'G-7 Rivers Data'!$AY$3:$AY$7,0)),"")</f>
        <v/>
      </c>
    </row>
    <row r="169" spans="2:34" ht="13.8" x14ac:dyDescent="0.25">
      <c r="B169" s="141">
        <v>158</v>
      </c>
      <c r="C169" s="171"/>
      <c r="D169" s="172"/>
      <c r="E169" s="498" t="str">
        <f>IF(C169="","",VLOOKUP(C169,'G-7 Rivers Data'!$B$2:$G$8,2,FALSE))</f>
        <v/>
      </c>
      <c r="F169" s="499" t="str">
        <f>IFERROR(VLOOKUP(E169,'G-7 Rivers Data'!$C$4:$D$8,2,FALSE),"")</f>
        <v/>
      </c>
      <c r="G169" s="145"/>
      <c r="H169" s="499" t="str">
        <f>IFERROR(INDEX('G-7 Rivers Data'!$H$4:$L$8,MATCH(C169,'G-7 Rivers Data'!$B$4:$B$8,0),MATCH(G169,'G-7 Rivers Data'!$H$3:$L$3,0)),"")</f>
        <v/>
      </c>
      <c r="I169" s="154"/>
      <c r="J169" s="507" t="str">
        <f>IF(I169="","",IF(VLOOKUP(I169,'G-7 Rivers Data'!$AG$4:$AI$9,2,FALSE)=0,"Spatial Data Missing ⚠",VLOOKUP(I169,'G-7 Rivers Data'!$AG$4:$AI$9,2,FALSE)))</f>
        <v/>
      </c>
      <c r="K169" s="499" t="str">
        <f>IF(I169="","",IF(VLOOKUP(I169,'G-7 Rivers Data'!$AG$4:$AI$9,3,FALSE)=0,"Spatial Data Missing ⚠",VLOOKUP(I169,'G-7 Rivers Data'!$AG$4:$AI$9,3,FALSE)))</f>
        <v/>
      </c>
      <c r="L169" s="498" t="str">
        <f>IFERROR(INDEX('G-7 Rivers Data'!$O$3:$O$7,MATCH(G169,'G-7 Rivers Data'!$N$3:$N$7,0)),"")</f>
        <v/>
      </c>
      <c r="M169" s="8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565" t="str">
        <f t="shared" si="18"/>
        <v/>
      </c>
      <c r="AA169" s="149"/>
      <c r="AB169" s="150"/>
      <c r="AH169" s="31" t="str">
        <f>IFERROR(INDEX('G-7 Rivers Data'!$AZ$3:$AZ$7,MATCH(C169,'G-7 Rivers Data'!$AY$3:$AY$7,0)),"")</f>
        <v/>
      </c>
    </row>
    <row r="170" spans="2:34" ht="13.8" x14ac:dyDescent="0.25">
      <c r="B170" s="141">
        <v>159</v>
      </c>
      <c r="C170" s="171"/>
      <c r="D170" s="172"/>
      <c r="E170" s="498" t="str">
        <f>IF(C170="","",VLOOKUP(C170,'G-7 Rivers Data'!$B$2:$G$8,2,FALSE))</f>
        <v/>
      </c>
      <c r="F170" s="499" t="str">
        <f>IFERROR(VLOOKUP(E170,'G-7 Rivers Data'!$C$4:$D$8,2,FALSE),"")</f>
        <v/>
      </c>
      <c r="G170" s="145"/>
      <c r="H170" s="499" t="str">
        <f>IFERROR(INDEX('G-7 Rivers Data'!$H$4:$L$8,MATCH(C170,'G-7 Rivers Data'!$B$4:$B$8,0),MATCH(G170,'G-7 Rivers Data'!$H$3:$L$3,0)),"")</f>
        <v/>
      </c>
      <c r="I170" s="154"/>
      <c r="J170" s="507" t="str">
        <f>IF(I170="","",IF(VLOOKUP(I170,'G-7 Rivers Data'!$AG$4:$AI$9,2,FALSE)=0,"Spatial Data Missing ⚠",VLOOKUP(I170,'G-7 Rivers Data'!$AG$4:$AI$9,2,FALSE)))</f>
        <v/>
      </c>
      <c r="K170" s="499" t="str">
        <f>IF(I170="","",IF(VLOOKUP(I170,'G-7 Rivers Data'!$AG$4:$AI$9,3,FALSE)=0,"Spatial Data Missing ⚠",VLOOKUP(I170,'G-7 Rivers Data'!$AG$4:$AI$9,3,FALSE)))</f>
        <v/>
      </c>
      <c r="L170" s="498" t="str">
        <f>IFERROR(INDEX('G-7 Rivers Data'!$O$3:$O$7,MATCH(G170,'G-7 Rivers Data'!$N$3:$N$7,0)),"")</f>
        <v/>
      </c>
      <c r="M170" s="8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565" t="str">
        <f t="shared" si="18"/>
        <v/>
      </c>
      <c r="AA170" s="149"/>
      <c r="AB170" s="150"/>
      <c r="AH170" s="31" t="str">
        <f>IFERROR(INDEX('G-7 Rivers Data'!$AZ$3:$AZ$7,MATCH(C170,'G-7 Rivers Data'!$AY$3:$AY$7,0)),"")</f>
        <v/>
      </c>
    </row>
    <row r="171" spans="2:34" ht="13.8" x14ac:dyDescent="0.25">
      <c r="B171" s="141">
        <v>160</v>
      </c>
      <c r="C171" s="171"/>
      <c r="D171" s="172"/>
      <c r="E171" s="498" t="str">
        <f>IF(C171="","",VLOOKUP(C171,'G-7 Rivers Data'!$B$2:$G$8,2,FALSE))</f>
        <v/>
      </c>
      <c r="F171" s="499" t="str">
        <f>IFERROR(VLOOKUP(E171,'G-7 Rivers Data'!$C$4:$D$8,2,FALSE),"")</f>
        <v/>
      </c>
      <c r="G171" s="145"/>
      <c r="H171" s="499" t="str">
        <f>IFERROR(INDEX('G-7 Rivers Data'!$H$4:$L$8,MATCH(C171,'G-7 Rivers Data'!$B$4:$B$8,0),MATCH(G171,'G-7 Rivers Data'!$H$3:$L$3,0)),"")</f>
        <v/>
      </c>
      <c r="I171" s="154"/>
      <c r="J171" s="507" t="str">
        <f>IF(I171="","",IF(VLOOKUP(I171,'G-7 Rivers Data'!$AG$4:$AI$9,2,FALSE)=0,"Spatial Data Missing ⚠",VLOOKUP(I171,'G-7 Rivers Data'!$AG$4:$AI$9,2,FALSE)))</f>
        <v/>
      </c>
      <c r="K171" s="499" t="str">
        <f>IF(I171="","",IF(VLOOKUP(I171,'G-7 Rivers Data'!$AG$4:$AI$9,3,FALSE)=0,"Spatial Data Missing ⚠",VLOOKUP(I171,'G-7 Rivers Data'!$AG$4:$AI$9,3,FALSE)))</f>
        <v/>
      </c>
      <c r="L171" s="498" t="str">
        <f>IFERROR(INDEX('G-7 Rivers Data'!$O$3:$O$7,MATCH(G171,'G-7 Rivers Data'!$N$3:$N$7,0)),"")</f>
        <v/>
      </c>
      <c r="M171" s="8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565" t="str">
        <f t="shared" si="18"/>
        <v/>
      </c>
      <c r="AA171" s="149"/>
      <c r="AB171" s="150"/>
      <c r="AH171" s="31" t="str">
        <f>IFERROR(INDEX('G-7 Rivers Data'!$AZ$3:$AZ$7,MATCH(C171,'G-7 Rivers Data'!$AY$3:$AY$7,0)),"")</f>
        <v/>
      </c>
    </row>
    <row r="172" spans="2:34" ht="13.8" x14ac:dyDescent="0.25">
      <c r="B172" s="141">
        <v>161</v>
      </c>
      <c r="C172" s="171"/>
      <c r="D172" s="172"/>
      <c r="E172" s="498" t="str">
        <f>IF(C172="","",VLOOKUP(C172,'G-7 Rivers Data'!$B$2:$G$8,2,FALSE))</f>
        <v/>
      </c>
      <c r="F172" s="499" t="str">
        <f>IFERROR(VLOOKUP(E172,'G-7 Rivers Data'!$C$4:$D$8,2,FALSE),"")</f>
        <v/>
      </c>
      <c r="G172" s="145"/>
      <c r="H172" s="499" t="str">
        <f>IFERROR(INDEX('G-7 Rivers Data'!$H$4:$L$8,MATCH(C172,'G-7 Rivers Data'!$B$4:$B$8,0),MATCH(G172,'G-7 Rivers Data'!$H$3:$L$3,0)),"")</f>
        <v/>
      </c>
      <c r="I172" s="154"/>
      <c r="J172" s="507" t="str">
        <f>IF(I172="","",IF(VLOOKUP(I172,'G-7 Rivers Data'!$AG$4:$AI$9,2,FALSE)=0,"Spatial Data Missing ⚠",VLOOKUP(I172,'G-7 Rivers Data'!$AG$4:$AI$9,2,FALSE)))</f>
        <v/>
      </c>
      <c r="K172" s="499" t="str">
        <f>IF(I172="","",IF(VLOOKUP(I172,'G-7 Rivers Data'!$AG$4:$AI$9,3,FALSE)=0,"Spatial Data Missing ⚠",VLOOKUP(I172,'G-7 Rivers Data'!$AG$4:$AI$9,3,FALSE)))</f>
        <v/>
      </c>
      <c r="L172" s="498" t="str">
        <f>IFERROR(INDEX('G-7 Rivers Data'!$O$3:$O$7,MATCH(G172,'G-7 Rivers Data'!$N$3:$N$7,0)),"")</f>
        <v/>
      </c>
      <c r="M172" s="8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565" t="str">
        <f t="shared" si="18"/>
        <v/>
      </c>
      <c r="AA172" s="149"/>
      <c r="AB172" s="150"/>
      <c r="AH172" s="31" t="str">
        <f>IFERROR(INDEX('G-7 Rivers Data'!$AZ$3:$AZ$7,MATCH(C172,'G-7 Rivers Data'!$AY$3:$AY$7,0)),"")</f>
        <v/>
      </c>
    </row>
    <row r="173" spans="2:34" ht="13.8" x14ac:dyDescent="0.25">
      <c r="B173" s="141">
        <v>162</v>
      </c>
      <c r="C173" s="171"/>
      <c r="D173" s="172"/>
      <c r="E173" s="498" t="str">
        <f>IF(C173="","",VLOOKUP(C173,'G-7 Rivers Data'!$B$2:$G$8,2,FALSE))</f>
        <v/>
      </c>
      <c r="F173" s="499" t="str">
        <f>IFERROR(VLOOKUP(E173,'G-7 Rivers Data'!$C$4:$D$8,2,FALSE),"")</f>
        <v/>
      </c>
      <c r="G173" s="145"/>
      <c r="H173" s="499" t="str">
        <f>IFERROR(INDEX('G-7 Rivers Data'!$H$4:$L$8,MATCH(C173,'G-7 Rivers Data'!$B$4:$B$8,0),MATCH(G173,'G-7 Rivers Data'!$H$3:$L$3,0)),"")</f>
        <v/>
      </c>
      <c r="I173" s="154"/>
      <c r="J173" s="507" t="str">
        <f>IF(I173="","",IF(VLOOKUP(I173,'G-7 Rivers Data'!$AG$4:$AI$9,2,FALSE)=0,"Spatial Data Missing ⚠",VLOOKUP(I173,'G-7 Rivers Data'!$AG$4:$AI$9,2,FALSE)))</f>
        <v/>
      </c>
      <c r="K173" s="499" t="str">
        <f>IF(I173="","",IF(VLOOKUP(I173,'G-7 Rivers Data'!$AG$4:$AI$9,3,FALSE)=0,"Spatial Data Missing ⚠",VLOOKUP(I173,'G-7 Rivers Data'!$AG$4:$AI$9,3,FALSE)))</f>
        <v/>
      </c>
      <c r="L173" s="498" t="str">
        <f>IFERROR(INDEX('G-7 Rivers Data'!$O$3:$O$7,MATCH(G173,'G-7 Rivers Data'!$N$3:$N$7,0)),"")</f>
        <v/>
      </c>
      <c r="M173" s="8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565" t="str">
        <f t="shared" si="18"/>
        <v/>
      </c>
      <c r="AA173" s="149"/>
      <c r="AB173" s="150"/>
      <c r="AH173" s="31" t="str">
        <f>IFERROR(INDEX('G-7 Rivers Data'!$AZ$3:$AZ$7,MATCH(C173,'G-7 Rivers Data'!$AY$3:$AY$7,0)),"")</f>
        <v/>
      </c>
    </row>
    <row r="174" spans="2:34" ht="13.8" x14ac:dyDescent="0.25">
      <c r="B174" s="141">
        <v>163</v>
      </c>
      <c r="C174" s="171"/>
      <c r="D174" s="172"/>
      <c r="E174" s="498" t="str">
        <f>IF(C174="","",VLOOKUP(C174,'G-7 Rivers Data'!$B$2:$G$8,2,FALSE))</f>
        <v/>
      </c>
      <c r="F174" s="499" t="str">
        <f>IFERROR(VLOOKUP(E174,'G-7 Rivers Data'!$C$4:$D$8,2,FALSE),"")</f>
        <v/>
      </c>
      <c r="G174" s="145"/>
      <c r="H174" s="499" t="str">
        <f>IFERROR(INDEX('G-7 Rivers Data'!$H$4:$L$8,MATCH(C174,'G-7 Rivers Data'!$B$4:$B$8,0),MATCH(G174,'G-7 Rivers Data'!$H$3:$L$3,0)),"")</f>
        <v/>
      </c>
      <c r="I174" s="154"/>
      <c r="J174" s="507" t="str">
        <f>IF(I174="","",IF(VLOOKUP(I174,'G-7 Rivers Data'!$AG$4:$AI$9,2,FALSE)=0,"Spatial Data Missing ⚠",VLOOKUP(I174,'G-7 Rivers Data'!$AG$4:$AI$9,2,FALSE)))</f>
        <v/>
      </c>
      <c r="K174" s="499" t="str">
        <f>IF(I174="","",IF(VLOOKUP(I174,'G-7 Rivers Data'!$AG$4:$AI$9,3,FALSE)=0,"Spatial Data Missing ⚠",VLOOKUP(I174,'G-7 Rivers Data'!$AG$4:$AI$9,3,FALSE)))</f>
        <v/>
      </c>
      <c r="L174" s="498" t="str">
        <f>IFERROR(INDEX('G-7 Rivers Data'!$O$3:$O$7,MATCH(G174,'G-7 Rivers Data'!$N$3:$N$7,0)),"")</f>
        <v/>
      </c>
      <c r="M174" s="8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565" t="str">
        <f t="shared" si="18"/>
        <v/>
      </c>
      <c r="AA174" s="149"/>
      <c r="AB174" s="150"/>
      <c r="AH174" s="31" t="str">
        <f>IFERROR(INDEX('G-7 Rivers Data'!$AZ$3:$AZ$7,MATCH(C174,'G-7 Rivers Data'!$AY$3:$AY$7,0)),"")</f>
        <v/>
      </c>
    </row>
    <row r="175" spans="2:34" ht="13.8" x14ac:dyDescent="0.25">
      <c r="B175" s="141">
        <v>164</v>
      </c>
      <c r="C175" s="171"/>
      <c r="D175" s="172"/>
      <c r="E175" s="498" t="str">
        <f>IF(C175="","",VLOOKUP(C175,'G-7 Rivers Data'!$B$2:$G$8,2,FALSE))</f>
        <v/>
      </c>
      <c r="F175" s="499" t="str">
        <f>IFERROR(VLOOKUP(E175,'G-7 Rivers Data'!$C$4:$D$8,2,FALSE),"")</f>
        <v/>
      </c>
      <c r="G175" s="145"/>
      <c r="H175" s="499" t="str">
        <f>IFERROR(INDEX('G-7 Rivers Data'!$H$4:$L$8,MATCH(C175,'G-7 Rivers Data'!$B$4:$B$8,0),MATCH(G175,'G-7 Rivers Data'!$H$3:$L$3,0)),"")</f>
        <v/>
      </c>
      <c r="I175" s="154"/>
      <c r="J175" s="507" t="str">
        <f>IF(I175="","",IF(VLOOKUP(I175,'G-7 Rivers Data'!$AG$4:$AI$9,2,FALSE)=0,"Spatial Data Missing ⚠",VLOOKUP(I175,'G-7 Rivers Data'!$AG$4:$AI$9,2,FALSE)))</f>
        <v/>
      </c>
      <c r="K175" s="499" t="str">
        <f>IF(I175="","",IF(VLOOKUP(I175,'G-7 Rivers Data'!$AG$4:$AI$9,3,FALSE)=0,"Spatial Data Missing ⚠",VLOOKUP(I175,'G-7 Rivers Data'!$AG$4:$AI$9,3,FALSE)))</f>
        <v/>
      </c>
      <c r="L175" s="498" t="str">
        <f>IFERROR(INDEX('G-7 Rivers Data'!$O$3:$O$7,MATCH(G175,'G-7 Rivers Data'!$N$3:$N$7,0)),"")</f>
        <v/>
      </c>
      <c r="M175" s="8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565" t="str">
        <f t="shared" si="18"/>
        <v/>
      </c>
      <c r="AA175" s="149"/>
      <c r="AB175" s="150"/>
      <c r="AH175" s="31" t="str">
        <f>IFERROR(INDEX('G-7 Rivers Data'!$AZ$3:$AZ$7,MATCH(C175,'G-7 Rivers Data'!$AY$3:$AY$7,0)),"")</f>
        <v/>
      </c>
    </row>
    <row r="176" spans="2:34" ht="13.8" x14ac:dyDescent="0.25">
      <c r="B176" s="141">
        <v>165</v>
      </c>
      <c r="C176" s="171"/>
      <c r="D176" s="172"/>
      <c r="E176" s="498" t="str">
        <f>IF(C176="","",VLOOKUP(C176,'G-7 Rivers Data'!$B$2:$G$8,2,FALSE))</f>
        <v/>
      </c>
      <c r="F176" s="499" t="str">
        <f>IFERROR(VLOOKUP(E176,'G-7 Rivers Data'!$C$4:$D$8,2,FALSE),"")</f>
        <v/>
      </c>
      <c r="G176" s="145"/>
      <c r="H176" s="499" t="str">
        <f>IFERROR(INDEX('G-7 Rivers Data'!$H$4:$L$8,MATCH(C176,'G-7 Rivers Data'!$B$4:$B$8,0),MATCH(G176,'G-7 Rivers Data'!$H$3:$L$3,0)),"")</f>
        <v/>
      </c>
      <c r="I176" s="154"/>
      <c r="J176" s="507" t="str">
        <f>IF(I176="","",IF(VLOOKUP(I176,'G-7 Rivers Data'!$AG$4:$AI$9,2,FALSE)=0,"Spatial Data Missing ⚠",VLOOKUP(I176,'G-7 Rivers Data'!$AG$4:$AI$9,2,FALSE)))</f>
        <v/>
      </c>
      <c r="K176" s="499" t="str">
        <f>IF(I176="","",IF(VLOOKUP(I176,'G-7 Rivers Data'!$AG$4:$AI$9,3,FALSE)=0,"Spatial Data Missing ⚠",VLOOKUP(I176,'G-7 Rivers Data'!$AG$4:$AI$9,3,FALSE)))</f>
        <v/>
      </c>
      <c r="L176" s="498" t="str">
        <f>IFERROR(INDEX('G-7 Rivers Data'!$O$3:$O$7,MATCH(G176,'G-7 Rivers Data'!$N$3:$N$7,0)),"")</f>
        <v/>
      </c>
      <c r="M176" s="8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565" t="str">
        <f t="shared" si="18"/>
        <v/>
      </c>
      <c r="AA176" s="149"/>
      <c r="AB176" s="150"/>
      <c r="AH176" s="31" t="str">
        <f>IFERROR(INDEX('G-7 Rivers Data'!$AZ$3:$AZ$7,MATCH(C176,'G-7 Rivers Data'!$AY$3:$AY$7,0)),"")</f>
        <v/>
      </c>
    </row>
    <row r="177" spans="2:34" ht="13.8" x14ac:dyDescent="0.25">
      <c r="B177" s="141">
        <v>166</v>
      </c>
      <c r="C177" s="171"/>
      <c r="D177" s="172"/>
      <c r="E177" s="498" t="str">
        <f>IF(C177="","",VLOOKUP(C177,'G-7 Rivers Data'!$B$2:$G$8,2,FALSE))</f>
        <v/>
      </c>
      <c r="F177" s="499" t="str">
        <f>IFERROR(VLOOKUP(E177,'G-7 Rivers Data'!$C$4:$D$8,2,FALSE),"")</f>
        <v/>
      </c>
      <c r="G177" s="145"/>
      <c r="H177" s="499" t="str">
        <f>IFERROR(INDEX('G-7 Rivers Data'!$H$4:$L$8,MATCH(C177,'G-7 Rivers Data'!$B$4:$B$8,0),MATCH(G177,'G-7 Rivers Data'!$H$3:$L$3,0)),"")</f>
        <v/>
      </c>
      <c r="I177" s="154"/>
      <c r="J177" s="507" t="str">
        <f>IF(I177="","",IF(VLOOKUP(I177,'G-7 Rivers Data'!$AG$4:$AI$9,2,FALSE)=0,"Spatial Data Missing ⚠",VLOOKUP(I177,'G-7 Rivers Data'!$AG$4:$AI$9,2,FALSE)))</f>
        <v/>
      </c>
      <c r="K177" s="499" t="str">
        <f>IF(I177="","",IF(VLOOKUP(I177,'G-7 Rivers Data'!$AG$4:$AI$9,3,FALSE)=0,"Spatial Data Missing ⚠",VLOOKUP(I177,'G-7 Rivers Data'!$AG$4:$AI$9,3,FALSE)))</f>
        <v/>
      </c>
      <c r="L177" s="498" t="str">
        <f>IFERROR(INDEX('G-7 Rivers Data'!$O$3:$O$7,MATCH(G177,'G-7 Rivers Data'!$N$3:$N$7,0)),"")</f>
        <v/>
      </c>
      <c r="M177" s="8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565" t="str">
        <f t="shared" si="18"/>
        <v/>
      </c>
      <c r="AA177" s="149"/>
      <c r="AB177" s="150"/>
      <c r="AH177" s="31" t="str">
        <f>IFERROR(INDEX('G-7 Rivers Data'!$AZ$3:$AZ$7,MATCH(C177,'G-7 Rivers Data'!$AY$3:$AY$7,0)),"")</f>
        <v/>
      </c>
    </row>
    <row r="178" spans="2:34" ht="13.8" x14ac:dyDescent="0.25">
      <c r="B178" s="141">
        <v>167</v>
      </c>
      <c r="C178" s="171"/>
      <c r="D178" s="172"/>
      <c r="E178" s="498" t="str">
        <f>IF(C178="","",VLOOKUP(C178,'G-7 Rivers Data'!$B$2:$G$8,2,FALSE))</f>
        <v/>
      </c>
      <c r="F178" s="499" t="str">
        <f>IFERROR(VLOOKUP(E178,'G-7 Rivers Data'!$C$4:$D$8,2,FALSE),"")</f>
        <v/>
      </c>
      <c r="G178" s="145"/>
      <c r="H178" s="499" t="str">
        <f>IFERROR(INDEX('G-7 Rivers Data'!$H$4:$L$8,MATCH(C178,'G-7 Rivers Data'!$B$4:$B$8,0),MATCH(G178,'G-7 Rivers Data'!$H$3:$L$3,0)),"")</f>
        <v/>
      </c>
      <c r="I178" s="154"/>
      <c r="J178" s="507" t="str">
        <f>IF(I178="","",IF(VLOOKUP(I178,'G-7 Rivers Data'!$AG$4:$AI$9,2,FALSE)=0,"Spatial Data Missing ⚠",VLOOKUP(I178,'G-7 Rivers Data'!$AG$4:$AI$9,2,FALSE)))</f>
        <v/>
      </c>
      <c r="K178" s="499" t="str">
        <f>IF(I178="","",IF(VLOOKUP(I178,'G-7 Rivers Data'!$AG$4:$AI$9,3,FALSE)=0,"Spatial Data Missing ⚠",VLOOKUP(I178,'G-7 Rivers Data'!$AG$4:$AI$9,3,FALSE)))</f>
        <v/>
      </c>
      <c r="L178" s="498" t="str">
        <f>IFERROR(INDEX('G-7 Rivers Data'!$O$3:$O$7,MATCH(G178,'G-7 Rivers Data'!$N$3:$N$7,0)),"")</f>
        <v/>
      </c>
      <c r="M178" s="8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565" t="str">
        <f t="shared" si="18"/>
        <v/>
      </c>
      <c r="AA178" s="149"/>
      <c r="AB178" s="150"/>
      <c r="AH178" s="31" t="str">
        <f>IFERROR(INDEX('G-7 Rivers Data'!$AZ$3:$AZ$7,MATCH(C178,'G-7 Rivers Data'!$AY$3:$AY$7,0)),"")</f>
        <v/>
      </c>
    </row>
    <row r="179" spans="2:34" ht="13.8" x14ac:dyDescent="0.25">
      <c r="B179" s="141">
        <v>168</v>
      </c>
      <c r="C179" s="171"/>
      <c r="D179" s="172"/>
      <c r="E179" s="498" t="str">
        <f>IF(C179="","",VLOOKUP(C179,'G-7 Rivers Data'!$B$2:$G$8,2,FALSE))</f>
        <v/>
      </c>
      <c r="F179" s="499" t="str">
        <f>IFERROR(VLOOKUP(E179,'G-7 Rivers Data'!$C$4:$D$8,2,FALSE),"")</f>
        <v/>
      </c>
      <c r="G179" s="145"/>
      <c r="H179" s="499" t="str">
        <f>IFERROR(INDEX('G-7 Rivers Data'!$H$4:$L$8,MATCH(C179,'G-7 Rivers Data'!$B$4:$B$8,0),MATCH(G179,'G-7 Rivers Data'!$H$3:$L$3,0)),"")</f>
        <v/>
      </c>
      <c r="I179" s="154"/>
      <c r="J179" s="507" t="str">
        <f>IF(I179="","",IF(VLOOKUP(I179,'G-7 Rivers Data'!$AG$4:$AI$9,2,FALSE)=0,"Spatial Data Missing ⚠",VLOOKUP(I179,'G-7 Rivers Data'!$AG$4:$AI$9,2,FALSE)))</f>
        <v/>
      </c>
      <c r="K179" s="499" t="str">
        <f>IF(I179="","",IF(VLOOKUP(I179,'G-7 Rivers Data'!$AG$4:$AI$9,3,FALSE)=0,"Spatial Data Missing ⚠",VLOOKUP(I179,'G-7 Rivers Data'!$AG$4:$AI$9,3,FALSE)))</f>
        <v/>
      </c>
      <c r="L179" s="498" t="str">
        <f>IFERROR(INDEX('G-7 Rivers Data'!$O$3:$O$7,MATCH(G179,'G-7 Rivers Data'!$N$3:$N$7,0)),"")</f>
        <v/>
      </c>
      <c r="M179" s="8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565" t="str">
        <f t="shared" si="18"/>
        <v/>
      </c>
      <c r="AA179" s="149"/>
      <c r="AB179" s="150"/>
      <c r="AH179" s="31" t="str">
        <f>IFERROR(INDEX('G-7 Rivers Data'!$AZ$3:$AZ$7,MATCH(C179,'G-7 Rivers Data'!$AY$3:$AY$7,0)),"")</f>
        <v/>
      </c>
    </row>
    <row r="180" spans="2:34" ht="13.8" x14ac:dyDescent="0.25">
      <c r="B180" s="141">
        <v>169</v>
      </c>
      <c r="C180" s="171"/>
      <c r="D180" s="172"/>
      <c r="E180" s="498" t="str">
        <f>IF(C180="","",VLOOKUP(C180,'G-7 Rivers Data'!$B$2:$G$8,2,FALSE))</f>
        <v/>
      </c>
      <c r="F180" s="499" t="str">
        <f>IFERROR(VLOOKUP(E180,'G-7 Rivers Data'!$C$4:$D$8,2,FALSE),"")</f>
        <v/>
      </c>
      <c r="G180" s="145"/>
      <c r="H180" s="499" t="str">
        <f>IFERROR(INDEX('G-7 Rivers Data'!$H$4:$L$8,MATCH(C180,'G-7 Rivers Data'!$B$4:$B$8,0),MATCH(G180,'G-7 Rivers Data'!$H$3:$L$3,0)),"")</f>
        <v/>
      </c>
      <c r="I180" s="154"/>
      <c r="J180" s="507" t="str">
        <f>IF(I180="","",IF(VLOOKUP(I180,'G-7 Rivers Data'!$AG$4:$AI$9,2,FALSE)=0,"Spatial Data Missing ⚠",VLOOKUP(I180,'G-7 Rivers Data'!$AG$4:$AI$9,2,FALSE)))</f>
        <v/>
      </c>
      <c r="K180" s="499" t="str">
        <f>IF(I180="","",IF(VLOOKUP(I180,'G-7 Rivers Data'!$AG$4:$AI$9,3,FALSE)=0,"Spatial Data Missing ⚠",VLOOKUP(I180,'G-7 Rivers Data'!$AG$4:$AI$9,3,FALSE)))</f>
        <v/>
      </c>
      <c r="L180" s="498" t="str">
        <f>IFERROR(INDEX('G-7 Rivers Data'!$O$3:$O$7,MATCH(G180,'G-7 Rivers Data'!$N$3:$N$7,0)),"")</f>
        <v/>
      </c>
      <c r="M180" s="8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565" t="str">
        <f t="shared" si="18"/>
        <v/>
      </c>
      <c r="AA180" s="149"/>
      <c r="AB180" s="150"/>
      <c r="AH180" s="31" t="str">
        <f>IFERROR(INDEX('G-7 Rivers Data'!$AZ$3:$AZ$7,MATCH(C180,'G-7 Rivers Data'!$AY$3:$AY$7,0)),"")</f>
        <v/>
      </c>
    </row>
    <row r="181" spans="2:34" ht="13.8" x14ac:dyDescent="0.25">
      <c r="B181" s="141">
        <v>170</v>
      </c>
      <c r="C181" s="171"/>
      <c r="D181" s="172"/>
      <c r="E181" s="498" t="str">
        <f>IF(C181="","",VLOOKUP(C181,'G-7 Rivers Data'!$B$2:$G$8,2,FALSE))</f>
        <v/>
      </c>
      <c r="F181" s="499" t="str">
        <f>IFERROR(VLOOKUP(E181,'G-7 Rivers Data'!$C$4:$D$8,2,FALSE),"")</f>
        <v/>
      </c>
      <c r="G181" s="145"/>
      <c r="H181" s="499" t="str">
        <f>IFERROR(INDEX('G-7 Rivers Data'!$H$4:$L$8,MATCH(C181,'G-7 Rivers Data'!$B$4:$B$8,0),MATCH(G181,'G-7 Rivers Data'!$H$3:$L$3,0)),"")</f>
        <v/>
      </c>
      <c r="I181" s="154"/>
      <c r="J181" s="507" t="str">
        <f>IF(I181="","",IF(VLOOKUP(I181,'G-7 Rivers Data'!$AG$4:$AI$9,2,FALSE)=0,"Spatial Data Missing ⚠",VLOOKUP(I181,'G-7 Rivers Data'!$AG$4:$AI$9,2,FALSE)))</f>
        <v/>
      </c>
      <c r="K181" s="499" t="str">
        <f>IF(I181="","",IF(VLOOKUP(I181,'G-7 Rivers Data'!$AG$4:$AI$9,3,FALSE)=0,"Spatial Data Missing ⚠",VLOOKUP(I181,'G-7 Rivers Data'!$AG$4:$AI$9,3,FALSE)))</f>
        <v/>
      </c>
      <c r="L181" s="498" t="str">
        <f>IFERROR(INDEX('G-7 Rivers Data'!$O$3:$O$7,MATCH(G181,'G-7 Rivers Data'!$N$3:$N$7,0)),"")</f>
        <v/>
      </c>
      <c r="M181" s="8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565" t="str">
        <f t="shared" si="18"/>
        <v/>
      </c>
      <c r="AA181" s="149"/>
      <c r="AB181" s="150"/>
      <c r="AH181" s="31" t="str">
        <f>IFERROR(INDEX('G-7 Rivers Data'!$AZ$3:$AZ$7,MATCH(C181,'G-7 Rivers Data'!$AY$3:$AY$7,0)),"")</f>
        <v/>
      </c>
    </row>
    <row r="182" spans="2:34" ht="13.8" x14ac:dyDescent="0.25">
      <c r="B182" s="141">
        <v>171</v>
      </c>
      <c r="C182" s="171"/>
      <c r="D182" s="172"/>
      <c r="E182" s="498" t="str">
        <f>IF(C182="","",VLOOKUP(C182,'G-7 Rivers Data'!$B$2:$G$8,2,FALSE))</f>
        <v/>
      </c>
      <c r="F182" s="499" t="str">
        <f>IFERROR(VLOOKUP(E182,'G-7 Rivers Data'!$C$4:$D$8,2,FALSE),"")</f>
        <v/>
      </c>
      <c r="G182" s="145"/>
      <c r="H182" s="499" t="str">
        <f>IFERROR(INDEX('G-7 Rivers Data'!$H$4:$L$8,MATCH(C182,'G-7 Rivers Data'!$B$4:$B$8,0),MATCH(G182,'G-7 Rivers Data'!$H$3:$L$3,0)),"")</f>
        <v/>
      </c>
      <c r="I182" s="154"/>
      <c r="J182" s="507" t="str">
        <f>IF(I182="","",IF(VLOOKUP(I182,'G-7 Rivers Data'!$AG$4:$AI$9,2,FALSE)=0,"Spatial Data Missing ⚠",VLOOKUP(I182,'G-7 Rivers Data'!$AG$4:$AI$9,2,FALSE)))</f>
        <v/>
      </c>
      <c r="K182" s="499" t="str">
        <f>IF(I182="","",IF(VLOOKUP(I182,'G-7 Rivers Data'!$AG$4:$AI$9,3,FALSE)=0,"Spatial Data Missing ⚠",VLOOKUP(I182,'G-7 Rivers Data'!$AG$4:$AI$9,3,FALSE)))</f>
        <v/>
      </c>
      <c r="L182" s="498" t="str">
        <f>IFERROR(INDEX('G-7 Rivers Data'!$O$3:$O$7,MATCH(G182,'G-7 Rivers Data'!$N$3:$N$7,0)),"")</f>
        <v/>
      </c>
      <c r="M182" s="8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565" t="str">
        <f t="shared" si="18"/>
        <v/>
      </c>
      <c r="AA182" s="149"/>
      <c r="AB182" s="150"/>
      <c r="AH182" s="31" t="str">
        <f>IFERROR(INDEX('G-7 Rivers Data'!$AZ$3:$AZ$7,MATCH(C182,'G-7 Rivers Data'!$AY$3:$AY$7,0)),"")</f>
        <v/>
      </c>
    </row>
    <row r="183" spans="2:34" ht="13.8" x14ac:dyDescent="0.25">
      <c r="B183" s="141">
        <v>172</v>
      </c>
      <c r="C183" s="171"/>
      <c r="D183" s="172"/>
      <c r="E183" s="498" t="str">
        <f>IF(C183="","",VLOOKUP(C183,'G-7 Rivers Data'!$B$2:$G$8,2,FALSE))</f>
        <v/>
      </c>
      <c r="F183" s="499" t="str">
        <f>IFERROR(VLOOKUP(E183,'G-7 Rivers Data'!$C$4:$D$8,2,FALSE),"")</f>
        <v/>
      </c>
      <c r="G183" s="145"/>
      <c r="H183" s="499" t="str">
        <f>IFERROR(INDEX('G-7 Rivers Data'!$H$4:$L$8,MATCH(C183,'G-7 Rivers Data'!$B$4:$B$8,0),MATCH(G183,'G-7 Rivers Data'!$H$3:$L$3,0)),"")</f>
        <v/>
      </c>
      <c r="I183" s="154"/>
      <c r="J183" s="507" t="str">
        <f>IF(I183="","",IF(VLOOKUP(I183,'G-7 Rivers Data'!$AG$4:$AI$9,2,FALSE)=0,"Spatial Data Missing ⚠",VLOOKUP(I183,'G-7 Rivers Data'!$AG$4:$AI$9,2,FALSE)))</f>
        <v/>
      </c>
      <c r="K183" s="499" t="str">
        <f>IF(I183="","",IF(VLOOKUP(I183,'G-7 Rivers Data'!$AG$4:$AI$9,3,FALSE)=0,"Spatial Data Missing ⚠",VLOOKUP(I183,'G-7 Rivers Data'!$AG$4:$AI$9,3,FALSE)))</f>
        <v/>
      </c>
      <c r="L183" s="498" t="str">
        <f>IFERROR(INDEX('G-7 Rivers Data'!$O$3:$O$7,MATCH(G183,'G-7 Rivers Data'!$N$3:$N$7,0)),"")</f>
        <v/>
      </c>
      <c r="M183" s="8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565" t="str">
        <f t="shared" si="18"/>
        <v/>
      </c>
      <c r="AA183" s="149"/>
      <c r="AB183" s="150"/>
      <c r="AH183" s="31" t="str">
        <f>IFERROR(INDEX('G-7 Rivers Data'!$AZ$3:$AZ$7,MATCH(C183,'G-7 Rivers Data'!$AY$3:$AY$7,0)),"")</f>
        <v/>
      </c>
    </row>
    <row r="184" spans="2:34" ht="13.8" x14ac:dyDescent="0.25">
      <c r="B184" s="141">
        <v>173</v>
      </c>
      <c r="C184" s="171"/>
      <c r="D184" s="172"/>
      <c r="E184" s="498" t="str">
        <f>IF(C184="","",VLOOKUP(C184,'G-7 Rivers Data'!$B$2:$G$8,2,FALSE))</f>
        <v/>
      </c>
      <c r="F184" s="499" t="str">
        <f>IFERROR(VLOOKUP(E184,'G-7 Rivers Data'!$C$4:$D$8,2,FALSE),"")</f>
        <v/>
      </c>
      <c r="G184" s="145"/>
      <c r="H184" s="499" t="str">
        <f>IFERROR(INDEX('G-7 Rivers Data'!$H$4:$L$8,MATCH(C184,'G-7 Rivers Data'!$B$4:$B$8,0),MATCH(G184,'G-7 Rivers Data'!$H$3:$L$3,0)),"")</f>
        <v/>
      </c>
      <c r="I184" s="154"/>
      <c r="J184" s="507" t="str">
        <f>IF(I184="","",IF(VLOOKUP(I184,'G-7 Rivers Data'!$AG$4:$AI$9,2,FALSE)=0,"Spatial Data Missing ⚠",VLOOKUP(I184,'G-7 Rivers Data'!$AG$4:$AI$9,2,FALSE)))</f>
        <v/>
      </c>
      <c r="K184" s="499" t="str">
        <f>IF(I184="","",IF(VLOOKUP(I184,'G-7 Rivers Data'!$AG$4:$AI$9,3,FALSE)=0,"Spatial Data Missing ⚠",VLOOKUP(I184,'G-7 Rivers Data'!$AG$4:$AI$9,3,FALSE)))</f>
        <v/>
      </c>
      <c r="L184" s="498" t="str">
        <f>IFERROR(INDEX('G-7 Rivers Data'!$O$3:$O$7,MATCH(G184,'G-7 Rivers Data'!$N$3:$N$7,0)),"")</f>
        <v/>
      </c>
      <c r="M184" s="8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565" t="str">
        <f t="shared" si="18"/>
        <v/>
      </c>
      <c r="AA184" s="149"/>
      <c r="AB184" s="150"/>
      <c r="AH184" s="31" t="str">
        <f>IFERROR(INDEX('G-7 Rivers Data'!$AZ$3:$AZ$7,MATCH(C184,'G-7 Rivers Data'!$AY$3:$AY$7,0)),"")</f>
        <v/>
      </c>
    </row>
    <row r="185" spans="2:34" ht="13.8" x14ac:dyDescent="0.25">
      <c r="B185" s="141">
        <v>174</v>
      </c>
      <c r="C185" s="171"/>
      <c r="D185" s="172"/>
      <c r="E185" s="498" t="str">
        <f>IF(C185="","",VLOOKUP(C185,'G-7 Rivers Data'!$B$2:$G$8,2,FALSE))</f>
        <v/>
      </c>
      <c r="F185" s="499" t="str">
        <f>IFERROR(VLOOKUP(E185,'G-7 Rivers Data'!$C$4:$D$8,2,FALSE),"")</f>
        <v/>
      </c>
      <c r="G185" s="145"/>
      <c r="H185" s="499" t="str">
        <f>IFERROR(INDEX('G-7 Rivers Data'!$H$4:$L$8,MATCH(C185,'G-7 Rivers Data'!$B$4:$B$8,0),MATCH(G185,'G-7 Rivers Data'!$H$3:$L$3,0)),"")</f>
        <v/>
      </c>
      <c r="I185" s="154"/>
      <c r="J185" s="507" t="str">
        <f>IF(I185="","",IF(VLOOKUP(I185,'G-7 Rivers Data'!$AG$4:$AI$9,2,FALSE)=0,"Spatial Data Missing ⚠",VLOOKUP(I185,'G-7 Rivers Data'!$AG$4:$AI$9,2,FALSE)))</f>
        <v/>
      </c>
      <c r="K185" s="499" t="str">
        <f>IF(I185="","",IF(VLOOKUP(I185,'G-7 Rivers Data'!$AG$4:$AI$9,3,FALSE)=0,"Spatial Data Missing ⚠",VLOOKUP(I185,'G-7 Rivers Data'!$AG$4:$AI$9,3,FALSE)))</f>
        <v/>
      </c>
      <c r="L185" s="498" t="str">
        <f>IFERROR(INDEX('G-7 Rivers Data'!$O$3:$O$7,MATCH(G185,'G-7 Rivers Data'!$N$3:$N$7,0)),"")</f>
        <v/>
      </c>
      <c r="M185" s="8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565" t="str">
        <f t="shared" si="18"/>
        <v/>
      </c>
      <c r="AA185" s="149"/>
      <c r="AB185" s="150"/>
      <c r="AH185" s="31" t="str">
        <f>IFERROR(INDEX('G-7 Rivers Data'!$AZ$3:$AZ$7,MATCH(C185,'G-7 Rivers Data'!$AY$3:$AY$7,0)),"")</f>
        <v/>
      </c>
    </row>
    <row r="186" spans="2:34" ht="13.8" x14ac:dyDescent="0.25">
      <c r="B186" s="141">
        <v>175</v>
      </c>
      <c r="C186" s="171"/>
      <c r="D186" s="172"/>
      <c r="E186" s="498" t="str">
        <f>IF(C186="","",VLOOKUP(C186,'G-7 Rivers Data'!$B$2:$G$8,2,FALSE))</f>
        <v/>
      </c>
      <c r="F186" s="499" t="str">
        <f>IFERROR(VLOOKUP(E186,'G-7 Rivers Data'!$C$4:$D$8,2,FALSE),"")</f>
        <v/>
      </c>
      <c r="G186" s="145"/>
      <c r="H186" s="499" t="str">
        <f>IFERROR(INDEX('G-7 Rivers Data'!$H$4:$L$8,MATCH(C186,'G-7 Rivers Data'!$B$4:$B$8,0),MATCH(G186,'G-7 Rivers Data'!$H$3:$L$3,0)),"")</f>
        <v/>
      </c>
      <c r="I186" s="154"/>
      <c r="J186" s="507" t="str">
        <f>IF(I186="","",IF(VLOOKUP(I186,'G-7 Rivers Data'!$AG$4:$AI$9,2,FALSE)=0,"Spatial Data Missing ⚠",VLOOKUP(I186,'G-7 Rivers Data'!$AG$4:$AI$9,2,FALSE)))</f>
        <v/>
      </c>
      <c r="K186" s="499" t="str">
        <f>IF(I186="","",IF(VLOOKUP(I186,'G-7 Rivers Data'!$AG$4:$AI$9,3,FALSE)=0,"Spatial Data Missing ⚠",VLOOKUP(I186,'G-7 Rivers Data'!$AG$4:$AI$9,3,FALSE)))</f>
        <v/>
      </c>
      <c r="L186" s="498" t="str">
        <f>IFERROR(INDEX('G-7 Rivers Data'!$O$3:$O$7,MATCH(G186,'G-7 Rivers Data'!$N$3:$N$7,0)),"")</f>
        <v/>
      </c>
      <c r="M186" s="8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565" t="str">
        <f t="shared" si="18"/>
        <v/>
      </c>
      <c r="AA186" s="149"/>
      <c r="AB186" s="150"/>
      <c r="AH186" s="31" t="str">
        <f>IFERROR(INDEX('G-7 Rivers Data'!$AZ$3:$AZ$7,MATCH(C186,'G-7 Rivers Data'!$AY$3:$AY$7,0)),"")</f>
        <v/>
      </c>
    </row>
    <row r="187" spans="2:34" ht="13.8" x14ac:dyDescent="0.25">
      <c r="B187" s="141">
        <v>176</v>
      </c>
      <c r="C187" s="171"/>
      <c r="D187" s="172"/>
      <c r="E187" s="498" t="str">
        <f>IF(C187="","",VLOOKUP(C187,'G-7 Rivers Data'!$B$2:$G$8,2,FALSE))</f>
        <v/>
      </c>
      <c r="F187" s="499" t="str">
        <f>IFERROR(VLOOKUP(E187,'G-7 Rivers Data'!$C$4:$D$8,2,FALSE),"")</f>
        <v/>
      </c>
      <c r="G187" s="145"/>
      <c r="H187" s="499" t="str">
        <f>IFERROR(INDEX('G-7 Rivers Data'!$H$4:$L$8,MATCH(C187,'G-7 Rivers Data'!$B$4:$B$8,0),MATCH(G187,'G-7 Rivers Data'!$H$3:$L$3,0)),"")</f>
        <v/>
      </c>
      <c r="I187" s="154"/>
      <c r="J187" s="507" t="str">
        <f>IF(I187="","",IF(VLOOKUP(I187,'G-7 Rivers Data'!$AG$4:$AI$9,2,FALSE)=0,"Spatial Data Missing ⚠",VLOOKUP(I187,'G-7 Rivers Data'!$AG$4:$AI$9,2,FALSE)))</f>
        <v/>
      </c>
      <c r="K187" s="499" t="str">
        <f>IF(I187="","",IF(VLOOKUP(I187,'G-7 Rivers Data'!$AG$4:$AI$9,3,FALSE)=0,"Spatial Data Missing ⚠",VLOOKUP(I187,'G-7 Rivers Data'!$AG$4:$AI$9,3,FALSE)))</f>
        <v/>
      </c>
      <c r="L187" s="498" t="str">
        <f>IFERROR(INDEX('G-7 Rivers Data'!$O$3:$O$7,MATCH(G187,'G-7 Rivers Data'!$N$3:$N$7,0)),"")</f>
        <v/>
      </c>
      <c r="M187" s="8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565" t="str">
        <f t="shared" si="18"/>
        <v/>
      </c>
      <c r="AA187" s="149"/>
      <c r="AB187" s="150"/>
      <c r="AH187" s="31" t="str">
        <f>IFERROR(INDEX('G-7 Rivers Data'!$AZ$3:$AZ$7,MATCH(C187,'G-7 Rivers Data'!$AY$3:$AY$7,0)),"")</f>
        <v/>
      </c>
    </row>
    <row r="188" spans="2:34" ht="13.8" x14ac:dyDescent="0.25">
      <c r="B188" s="141">
        <v>177</v>
      </c>
      <c r="C188" s="171"/>
      <c r="D188" s="172"/>
      <c r="E188" s="498" t="str">
        <f>IF(C188="","",VLOOKUP(C188,'G-7 Rivers Data'!$B$2:$G$8,2,FALSE))</f>
        <v/>
      </c>
      <c r="F188" s="499" t="str">
        <f>IFERROR(VLOOKUP(E188,'G-7 Rivers Data'!$C$4:$D$8,2,FALSE),"")</f>
        <v/>
      </c>
      <c r="G188" s="145"/>
      <c r="H188" s="499" t="str">
        <f>IFERROR(INDEX('G-7 Rivers Data'!$H$4:$L$8,MATCH(C188,'G-7 Rivers Data'!$B$4:$B$8,0),MATCH(G188,'G-7 Rivers Data'!$H$3:$L$3,0)),"")</f>
        <v/>
      </c>
      <c r="I188" s="154"/>
      <c r="J188" s="507" t="str">
        <f>IF(I188="","",IF(VLOOKUP(I188,'G-7 Rivers Data'!$AG$4:$AI$9,2,FALSE)=0,"Spatial Data Missing ⚠",VLOOKUP(I188,'G-7 Rivers Data'!$AG$4:$AI$9,2,FALSE)))</f>
        <v/>
      </c>
      <c r="K188" s="499" t="str">
        <f>IF(I188="","",IF(VLOOKUP(I188,'G-7 Rivers Data'!$AG$4:$AI$9,3,FALSE)=0,"Spatial Data Missing ⚠",VLOOKUP(I188,'G-7 Rivers Data'!$AG$4:$AI$9,3,FALSE)))</f>
        <v/>
      </c>
      <c r="L188" s="498" t="str">
        <f>IFERROR(INDEX('G-7 Rivers Data'!$O$3:$O$7,MATCH(G188,'G-7 Rivers Data'!$N$3:$N$7,0)),"")</f>
        <v/>
      </c>
      <c r="M188" s="8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565" t="str">
        <f t="shared" si="18"/>
        <v/>
      </c>
      <c r="AA188" s="149"/>
      <c r="AB188" s="150"/>
      <c r="AH188" s="31" t="str">
        <f>IFERROR(INDEX('G-7 Rivers Data'!$AZ$3:$AZ$7,MATCH(C188,'G-7 Rivers Data'!$AY$3:$AY$7,0)),"")</f>
        <v/>
      </c>
    </row>
    <row r="189" spans="2:34" ht="13.8" x14ac:dyDescent="0.25">
      <c r="B189" s="141">
        <v>178</v>
      </c>
      <c r="C189" s="171"/>
      <c r="D189" s="172"/>
      <c r="E189" s="498" t="str">
        <f>IF(C189="","",VLOOKUP(C189,'G-7 Rivers Data'!$B$2:$G$8,2,FALSE))</f>
        <v/>
      </c>
      <c r="F189" s="499" t="str">
        <f>IFERROR(VLOOKUP(E189,'G-7 Rivers Data'!$C$4:$D$8,2,FALSE),"")</f>
        <v/>
      </c>
      <c r="G189" s="145"/>
      <c r="H189" s="499" t="str">
        <f>IFERROR(INDEX('G-7 Rivers Data'!$H$4:$L$8,MATCH(C189,'G-7 Rivers Data'!$B$4:$B$8,0),MATCH(G189,'G-7 Rivers Data'!$H$3:$L$3,0)),"")</f>
        <v/>
      </c>
      <c r="I189" s="154"/>
      <c r="J189" s="507" t="str">
        <f>IF(I189="","",IF(VLOOKUP(I189,'G-7 Rivers Data'!$AG$4:$AI$9,2,FALSE)=0,"Spatial Data Missing ⚠",VLOOKUP(I189,'G-7 Rivers Data'!$AG$4:$AI$9,2,FALSE)))</f>
        <v/>
      </c>
      <c r="K189" s="499" t="str">
        <f>IF(I189="","",IF(VLOOKUP(I189,'G-7 Rivers Data'!$AG$4:$AI$9,3,FALSE)=0,"Spatial Data Missing ⚠",VLOOKUP(I189,'G-7 Rivers Data'!$AG$4:$AI$9,3,FALSE)))</f>
        <v/>
      </c>
      <c r="L189" s="498" t="str">
        <f>IFERROR(INDEX('G-7 Rivers Data'!$O$3:$O$7,MATCH(G189,'G-7 Rivers Data'!$N$3:$N$7,0)),"")</f>
        <v/>
      </c>
      <c r="M189" s="8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565" t="str">
        <f t="shared" si="18"/>
        <v/>
      </c>
      <c r="AA189" s="149"/>
      <c r="AB189" s="150"/>
      <c r="AH189" s="31" t="str">
        <f>IFERROR(INDEX('G-7 Rivers Data'!$AZ$3:$AZ$7,MATCH(C189,'G-7 Rivers Data'!$AY$3:$AY$7,0)),"")</f>
        <v/>
      </c>
    </row>
    <row r="190" spans="2:34" ht="13.8" x14ac:dyDescent="0.25">
      <c r="B190" s="141">
        <v>179</v>
      </c>
      <c r="C190" s="171"/>
      <c r="D190" s="172"/>
      <c r="E190" s="498" t="str">
        <f>IF(C190="","",VLOOKUP(C190,'G-7 Rivers Data'!$B$2:$G$8,2,FALSE))</f>
        <v/>
      </c>
      <c r="F190" s="499" t="str">
        <f>IFERROR(VLOOKUP(E190,'G-7 Rivers Data'!$C$4:$D$8,2,FALSE),"")</f>
        <v/>
      </c>
      <c r="G190" s="145"/>
      <c r="H190" s="499" t="str">
        <f>IFERROR(INDEX('G-7 Rivers Data'!$H$4:$L$8,MATCH(C190,'G-7 Rivers Data'!$B$4:$B$8,0),MATCH(G190,'G-7 Rivers Data'!$H$3:$L$3,0)),"")</f>
        <v/>
      </c>
      <c r="I190" s="154"/>
      <c r="J190" s="507" t="str">
        <f>IF(I190="","",IF(VLOOKUP(I190,'G-7 Rivers Data'!$AG$4:$AI$9,2,FALSE)=0,"Spatial Data Missing ⚠",VLOOKUP(I190,'G-7 Rivers Data'!$AG$4:$AI$9,2,FALSE)))</f>
        <v/>
      </c>
      <c r="K190" s="499" t="str">
        <f>IF(I190="","",IF(VLOOKUP(I190,'G-7 Rivers Data'!$AG$4:$AI$9,3,FALSE)=0,"Spatial Data Missing ⚠",VLOOKUP(I190,'G-7 Rivers Data'!$AG$4:$AI$9,3,FALSE)))</f>
        <v/>
      </c>
      <c r="L190" s="498" t="str">
        <f>IFERROR(INDEX('G-7 Rivers Data'!$O$3:$O$7,MATCH(G190,'G-7 Rivers Data'!$N$3:$N$7,0)),"")</f>
        <v/>
      </c>
      <c r="M190" s="8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565" t="str">
        <f t="shared" si="18"/>
        <v/>
      </c>
      <c r="AA190" s="149"/>
      <c r="AB190" s="150"/>
      <c r="AH190" s="31" t="str">
        <f>IFERROR(INDEX('G-7 Rivers Data'!$AZ$3:$AZ$7,MATCH(C190,'G-7 Rivers Data'!$AY$3:$AY$7,0)),"")</f>
        <v/>
      </c>
    </row>
    <row r="191" spans="2:34" ht="13.8" x14ac:dyDescent="0.25">
      <c r="B191" s="141">
        <v>180</v>
      </c>
      <c r="C191" s="171"/>
      <c r="D191" s="172"/>
      <c r="E191" s="498" t="str">
        <f>IF(C191="","",VLOOKUP(C191,'G-7 Rivers Data'!$B$2:$G$8,2,FALSE))</f>
        <v/>
      </c>
      <c r="F191" s="499" t="str">
        <f>IFERROR(VLOOKUP(E191,'G-7 Rivers Data'!$C$4:$D$8,2,FALSE),"")</f>
        <v/>
      </c>
      <c r="G191" s="145"/>
      <c r="H191" s="499" t="str">
        <f>IFERROR(INDEX('G-7 Rivers Data'!$H$4:$L$8,MATCH(C191,'G-7 Rivers Data'!$B$4:$B$8,0),MATCH(G191,'G-7 Rivers Data'!$H$3:$L$3,0)),"")</f>
        <v/>
      </c>
      <c r="I191" s="154"/>
      <c r="J191" s="507" t="str">
        <f>IF(I191="","",IF(VLOOKUP(I191,'G-7 Rivers Data'!$AG$4:$AI$9,2,FALSE)=0,"Spatial Data Missing ⚠",VLOOKUP(I191,'G-7 Rivers Data'!$AG$4:$AI$9,2,FALSE)))</f>
        <v/>
      </c>
      <c r="K191" s="499" t="str">
        <f>IF(I191="","",IF(VLOOKUP(I191,'G-7 Rivers Data'!$AG$4:$AI$9,3,FALSE)=0,"Spatial Data Missing ⚠",VLOOKUP(I191,'G-7 Rivers Data'!$AG$4:$AI$9,3,FALSE)))</f>
        <v/>
      </c>
      <c r="L191" s="498" t="str">
        <f>IFERROR(INDEX('G-7 Rivers Data'!$O$3:$O$7,MATCH(G191,'G-7 Rivers Data'!$N$3:$N$7,0)),"")</f>
        <v/>
      </c>
      <c r="M191" s="8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565" t="str">
        <f t="shared" si="18"/>
        <v/>
      </c>
      <c r="AA191" s="149"/>
      <c r="AB191" s="150"/>
      <c r="AH191" s="31" t="str">
        <f>IFERROR(INDEX('G-7 Rivers Data'!$AZ$3:$AZ$7,MATCH(C191,'G-7 Rivers Data'!$AY$3:$AY$7,0)),"")</f>
        <v/>
      </c>
    </row>
    <row r="192" spans="2:34" ht="13.8" x14ac:dyDescent="0.25">
      <c r="B192" s="141">
        <v>181</v>
      </c>
      <c r="C192" s="171"/>
      <c r="D192" s="172"/>
      <c r="E192" s="498" t="str">
        <f>IF(C192="","",VLOOKUP(C192,'G-7 Rivers Data'!$B$2:$G$8,2,FALSE))</f>
        <v/>
      </c>
      <c r="F192" s="499" t="str">
        <f>IFERROR(VLOOKUP(E192,'G-7 Rivers Data'!$C$4:$D$8,2,FALSE),"")</f>
        <v/>
      </c>
      <c r="G192" s="145"/>
      <c r="H192" s="499" t="str">
        <f>IFERROR(INDEX('G-7 Rivers Data'!$H$4:$L$8,MATCH(C192,'G-7 Rivers Data'!$B$4:$B$8,0),MATCH(G192,'G-7 Rivers Data'!$H$3:$L$3,0)),"")</f>
        <v/>
      </c>
      <c r="I192" s="154"/>
      <c r="J192" s="507" t="str">
        <f>IF(I192="","",IF(VLOOKUP(I192,'G-7 Rivers Data'!$AG$4:$AI$9,2,FALSE)=0,"Spatial Data Missing ⚠",VLOOKUP(I192,'G-7 Rivers Data'!$AG$4:$AI$9,2,FALSE)))</f>
        <v/>
      </c>
      <c r="K192" s="499" t="str">
        <f>IF(I192="","",IF(VLOOKUP(I192,'G-7 Rivers Data'!$AG$4:$AI$9,3,FALSE)=0,"Spatial Data Missing ⚠",VLOOKUP(I192,'G-7 Rivers Data'!$AG$4:$AI$9,3,FALSE)))</f>
        <v/>
      </c>
      <c r="L192" s="498" t="str">
        <f>IFERROR(INDEX('G-7 Rivers Data'!$O$3:$O$7,MATCH(G192,'G-7 Rivers Data'!$N$3:$N$7,0)),"")</f>
        <v/>
      </c>
      <c r="M192" s="8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565" t="str">
        <f t="shared" si="18"/>
        <v/>
      </c>
      <c r="AA192" s="149"/>
      <c r="AB192" s="150"/>
      <c r="AH192" s="31" t="str">
        <f>IFERROR(INDEX('G-7 Rivers Data'!$AZ$3:$AZ$7,MATCH(C192,'G-7 Rivers Data'!$AY$3:$AY$7,0)),"")</f>
        <v/>
      </c>
    </row>
    <row r="193" spans="2:34" ht="13.8" x14ac:dyDescent="0.25">
      <c r="B193" s="141">
        <v>182</v>
      </c>
      <c r="C193" s="171"/>
      <c r="D193" s="172"/>
      <c r="E193" s="498" t="str">
        <f>IF(C193="","",VLOOKUP(C193,'G-7 Rivers Data'!$B$2:$G$8,2,FALSE))</f>
        <v/>
      </c>
      <c r="F193" s="499" t="str">
        <f>IFERROR(VLOOKUP(E193,'G-7 Rivers Data'!$C$4:$D$8,2,FALSE),"")</f>
        <v/>
      </c>
      <c r="G193" s="145"/>
      <c r="H193" s="499" t="str">
        <f>IFERROR(INDEX('G-7 Rivers Data'!$H$4:$L$8,MATCH(C193,'G-7 Rivers Data'!$B$4:$B$8,0),MATCH(G193,'G-7 Rivers Data'!$H$3:$L$3,0)),"")</f>
        <v/>
      </c>
      <c r="I193" s="154"/>
      <c r="J193" s="507" t="str">
        <f>IF(I193="","",IF(VLOOKUP(I193,'G-7 Rivers Data'!$AG$4:$AI$9,2,FALSE)=0,"Spatial Data Missing ⚠",VLOOKUP(I193,'G-7 Rivers Data'!$AG$4:$AI$9,2,FALSE)))</f>
        <v/>
      </c>
      <c r="K193" s="499" t="str">
        <f>IF(I193="","",IF(VLOOKUP(I193,'G-7 Rivers Data'!$AG$4:$AI$9,3,FALSE)=0,"Spatial Data Missing ⚠",VLOOKUP(I193,'G-7 Rivers Data'!$AG$4:$AI$9,3,FALSE)))</f>
        <v/>
      </c>
      <c r="L193" s="498" t="str">
        <f>IFERROR(INDEX('G-7 Rivers Data'!$O$3:$O$7,MATCH(G193,'G-7 Rivers Data'!$N$3:$N$7,0)),"")</f>
        <v/>
      </c>
      <c r="M193" s="8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565" t="str">
        <f t="shared" si="18"/>
        <v/>
      </c>
      <c r="AA193" s="149"/>
      <c r="AB193" s="150"/>
      <c r="AH193" s="31" t="str">
        <f>IFERROR(INDEX('G-7 Rivers Data'!$AZ$3:$AZ$7,MATCH(C193,'G-7 Rivers Data'!$AY$3:$AY$7,0)),"")</f>
        <v/>
      </c>
    </row>
    <row r="194" spans="2:34" ht="13.8" x14ac:dyDescent="0.25">
      <c r="B194" s="141">
        <v>183</v>
      </c>
      <c r="C194" s="171"/>
      <c r="D194" s="172"/>
      <c r="E194" s="498" t="str">
        <f>IF(C194="","",VLOOKUP(C194,'G-7 Rivers Data'!$B$2:$G$8,2,FALSE))</f>
        <v/>
      </c>
      <c r="F194" s="499" t="str">
        <f>IFERROR(VLOOKUP(E194,'G-7 Rivers Data'!$C$4:$D$8,2,FALSE),"")</f>
        <v/>
      </c>
      <c r="G194" s="145"/>
      <c r="H194" s="499" t="str">
        <f>IFERROR(INDEX('G-7 Rivers Data'!$H$4:$L$8,MATCH(C194,'G-7 Rivers Data'!$B$4:$B$8,0),MATCH(G194,'G-7 Rivers Data'!$H$3:$L$3,0)),"")</f>
        <v/>
      </c>
      <c r="I194" s="154"/>
      <c r="J194" s="507" t="str">
        <f>IF(I194="","",IF(VLOOKUP(I194,'G-7 Rivers Data'!$AG$4:$AI$9,2,FALSE)=0,"Spatial Data Missing ⚠",VLOOKUP(I194,'G-7 Rivers Data'!$AG$4:$AI$9,2,FALSE)))</f>
        <v/>
      </c>
      <c r="K194" s="499" t="str">
        <f>IF(I194="","",IF(VLOOKUP(I194,'G-7 Rivers Data'!$AG$4:$AI$9,3,FALSE)=0,"Spatial Data Missing ⚠",VLOOKUP(I194,'G-7 Rivers Data'!$AG$4:$AI$9,3,FALSE)))</f>
        <v/>
      </c>
      <c r="L194" s="498" t="str">
        <f>IFERROR(INDEX('G-7 Rivers Data'!$O$3:$O$7,MATCH(G194,'G-7 Rivers Data'!$N$3:$N$7,0)),"")</f>
        <v/>
      </c>
      <c r="M194" s="8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565" t="str">
        <f t="shared" si="18"/>
        <v/>
      </c>
      <c r="AA194" s="149"/>
      <c r="AB194" s="150"/>
      <c r="AH194" s="31" t="str">
        <f>IFERROR(INDEX('G-7 Rivers Data'!$AZ$3:$AZ$7,MATCH(C194,'G-7 Rivers Data'!$AY$3:$AY$7,0)),"")</f>
        <v/>
      </c>
    </row>
    <row r="195" spans="2:34" ht="13.8" x14ac:dyDescent="0.25">
      <c r="B195" s="141">
        <v>184</v>
      </c>
      <c r="C195" s="171"/>
      <c r="D195" s="172"/>
      <c r="E195" s="498" t="str">
        <f>IF(C195="","",VLOOKUP(C195,'G-7 Rivers Data'!$B$2:$G$8,2,FALSE))</f>
        <v/>
      </c>
      <c r="F195" s="499" t="str">
        <f>IFERROR(VLOOKUP(E195,'G-7 Rivers Data'!$C$4:$D$8,2,FALSE),"")</f>
        <v/>
      </c>
      <c r="G195" s="145"/>
      <c r="H195" s="499" t="str">
        <f>IFERROR(INDEX('G-7 Rivers Data'!$H$4:$L$8,MATCH(C195,'G-7 Rivers Data'!$B$4:$B$8,0),MATCH(G195,'G-7 Rivers Data'!$H$3:$L$3,0)),"")</f>
        <v/>
      </c>
      <c r="I195" s="154"/>
      <c r="J195" s="507" t="str">
        <f>IF(I195="","",IF(VLOOKUP(I195,'G-7 Rivers Data'!$AG$4:$AI$9,2,FALSE)=0,"Spatial Data Missing ⚠",VLOOKUP(I195,'G-7 Rivers Data'!$AG$4:$AI$9,2,FALSE)))</f>
        <v/>
      </c>
      <c r="K195" s="499" t="str">
        <f>IF(I195="","",IF(VLOOKUP(I195,'G-7 Rivers Data'!$AG$4:$AI$9,3,FALSE)=0,"Spatial Data Missing ⚠",VLOOKUP(I195,'G-7 Rivers Data'!$AG$4:$AI$9,3,FALSE)))</f>
        <v/>
      </c>
      <c r="L195" s="498" t="str">
        <f>IFERROR(INDEX('G-7 Rivers Data'!$O$3:$O$7,MATCH(G195,'G-7 Rivers Data'!$N$3:$N$7,0)),"")</f>
        <v/>
      </c>
      <c r="M195" s="8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565" t="str">
        <f t="shared" si="18"/>
        <v/>
      </c>
      <c r="AA195" s="149"/>
      <c r="AB195" s="150"/>
      <c r="AH195" s="31" t="str">
        <f>IFERROR(INDEX('G-7 Rivers Data'!$AZ$3:$AZ$7,MATCH(C195,'G-7 Rivers Data'!$AY$3:$AY$7,0)),"")</f>
        <v/>
      </c>
    </row>
    <row r="196" spans="2:34" ht="13.8" x14ac:dyDescent="0.25">
      <c r="B196" s="141">
        <v>185</v>
      </c>
      <c r="C196" s="171"/>
      <c r="D196" s="172"/>
      <c r="E196" s="498" t="str">
        <f>IF(C196="","",VLOOKUP(C196,'G-7 Rivers Data'!$B$2:$G$8,2,FALSE))</f>
        <v/>
      </c>
      <c r="F196" s="499" t="str">
        <f>IFERROR(VLOOKUP(E196,'G-7 Rivers Data'!$C$4:$D$8,2,FALSE),"")</f>
        <v/>
      </c>
      <c r="G196" s="145"/>
      <c r="H196" s="499" t="str">
        <f>IFERROR(INDEX('G-7 Rivers Data'!$H$4:$L$8,MATCH(C196,'G-7 Rivers Data'!$B$4:$B$8,0),MATCH(G196,'G-7 Rivers Data'!$H$3:$L$3,0)),"")</f>
        <v/>
      </c>
      <c r="I196" s="154"/>
      <c r="J196" s="507" t="str">
        <f>IF(I196="","",IF(VLOOKUP(I196,'G-7 Rivers Data'!$AG$4:$AI$9,2,FALSE)=0,"Spatial Data Missing ⚠",VLOOKUP(I196,'G-7 Rivers Data'!$AG$4:$AI$9,2,FALSE)))</f>
        <v/>
      </c>
      <c r="K196" s="499" t="str">
        <f>IF(I196="","",IF(VLOOKUP(I196,'G-7 Rivers Data'!$AG$4:$AI$9,3,FALSE)=0,"Spatial Data Missing ⚠",VLOOKUP(I196,'G-7 Rivers Data'!$AG$4:$AI$9,3,FALSE)))</f>
        <v/>
      </c>
      <c r="L196" s="498" t="str">
        <f>IFERROR(INDEX('G-7 Rivers Data'!$O$3:$O$7,MATCH(G196,'G-7 Rivers Data'!$N$3:$N$7,0)),"")</f>
        <v/>
      </c>
      <c r="M196" s="8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565" t="str">
        <f t="shared" si="18"/>
        <v/>
      </c>
      <c r="AA196" s="149"/>
      <c r="AB196" s="150"/>
      <c r="AH196" s="31" t="str">
        <f>IFERROR(INDEX('G-7 Rivers Data'!$AZ$3:$AZ$7,MATCH(C196,'G-7 Rivers Data'!$AY$3:$AY$7,0)),"")</f>
        <v/>
      </c>
    </row>
    <row r="197" spans="2:34" ht="13.8" x14ac:dyDescent="0.25">
      <c r="B197" s="141">
        <v>186</v>
      </c>
      <c r="C197" s="171"/>
      <c r="D197" s="172"/>
      <c r="E197" s="498" t="str">
        <f>IF(C197="","",VLOOKUP(C197,'G-7 Rivers Data'!$B$2:$G$8,2,FALSE))</f>
        <v/>
      </c>
      <c r="F197" s="499" t="str">
        <f>IFERROR(VLOOKUP(E197,'G-7 Rivers Data'!$C$4:$D$8,2,FALSE),"")</f>
        <v/>
      </c>
      <c r="G197" s="145"/>
      <c r="H197" s="499" t="str">
        <f>IFERROR(INDEX('G-7 Rivers Data'!$H$4:$L$8,MATCH(C197,'G-7 Rivers Data'!$B$4:$B$8,0),MATCH(G197,'G-7 Rivers Data'!$H$3:$L$3,0)),"")</f>
        <v/>
      </c>
      <c r="I197" s="154"/>
      <c r="J197" s="507" t="str">
        <f>IF(I197="","",IF(VLOOKUP(I197,'G-7 Rivers Data'!$AG$4:$AI$9,2,FALSE)=0,"Spatial Data Missing ⚠",VLOOKUP(I197,'G-7 Rivers Data'!$AG$4:$AI$9,2,FALSE)))</f>
        <v/>
      </c>
      <c r="K197" s="499" t="str">
        <f>IF(I197="","",IF(VLOOKUP(I197,'G-7 Rivers Data'!$AG$4:$AI$9,3,FALSE)=0,"Spatial Data Missing ⚠",VLOOKUP(I197,'G-7 Rivers Data'!$AG$4:$AI$9,3,FALSE)))</f>
        <v/>
      </c>
      <c r="L197" s="498" t="str">
        <f>IFERROR(INDEX('G-7 Rivers Data'!$O$3:$O$7,MATCH(G197,'G-7 Rivers Data'!$N$3:$N$7,0)),"")</f>
        <v/>
      </c>
      <c r="M197" s="8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565" t="str">
        <f t="shared" si="18"/>
        <v/>
      </c>
      <c r="AA197" s="149"/>
      <c r="AB197" s="150"/>
      <c r="AH197" s="31" t="str">
        <f>IFERROR(INDEX('G-7 Rivers Data'!$AZ$3:$AZ$7,MATCH(C197,'G-7 Rivers Data'!$AY$3:$AY$7,0)),"")</f>
        <v/>
      </c>
    </row>
    <row r="198" spans="2:34" ht="13.8" x14ac:dyDescent="0.25">
      <c r="B198" s="141">
        <v>187</v>
      </c>
      <c r="C198" s="171"/>
      <c r="D198" s="172"/>
      <c r="E198" s="498" t="str">
        <f>IF(C198="","",VLOOKUP(C198,'G-7 Rivers Data'!$B$2:$G$8,2,FALSE))</f>
        <v/>
      </c>
      <c r="F198" s="499" t="str">
        <f>IFERROR(VLOOKUP(E198,'G-7 Rivers Data'!$C$4:$D$8,2,FALSE),"")</f>
        <v/>
      </c>
      <c r="G198" s="145"/>
      <c r="H198" s="499" t="str">
        <f>IFERROR(INDEX('G-7 Rivers Data'!$H$4:$L$8,MATCH(C198,'G-7 Rivers Data'!$B$4:$B$8,0),MATCH(G198,'G-7 Rivers Data'!$H$3:$L$3,0)),"")</f>
        <v/>
      </c>
      <c r="I198" s="154"/>
      <c r="J198" s="507" t="str">
        <f>IF(I198="","",IF(VLOOKUP(I198,'G-7 Rivers Data'!$AG$4:$AI$9,2,FALSE)=0,"Spatial Data Missing ⚠",VLOOKUP(I198,'G-7 Rivers Data'!$AG$4:$AI$9,2,FALSE)))</f>
        <v/>
      </c>
      <c r="K198" s="499" t="str">
        <f>IF(I198="","",IF(VLOOKUP(I198,'G-7 Rivers Data'!$AG$4:$AI$9,3,FALSE)=0,"Spatial Data Missing ⚠",VLOOKUP(I198,'G-7 Rivers Data'!$AG$4:$AI$9,3,FALSE)))</f>
        <v/>
      </c>
      <c r="L198" s="498" t="str">
        <f>IFERROR(INDEX('G-7 Rivers Data'!$O$3:$O$7,MATCH(G198,'G-7 Rivers Data'!$N$3:$N$7,0)),"")</f>
        <v/>
      </c>
      <c r="M198" s="8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565" t="str">
        <f t="shared" si="18"/>
        <v/>
      </c>
      <c r="AA198" s="149"/>
      <c r="AB198" s="150"/>
      <c r="AH198" s="31" t="str">
        <f>IFERROR(INDEX('G-7 Rivers Data'!$AZ$3:$AZ$7,MATCH(C198,'G-7 Rivers Data'!$AY$3:$AY$7,0)),"")</f>
        <v/>
      </c>
    </row>
    <row r="199" spans="2:34" ht="13.8" x14ac:dyDescent="0.25">
      <c r="B199" s="141">
        <v>188</v>
      </c>
      <c r="C199" s="171"/>
      <c r="D199" s="172"/>
      <c r="E199" s="498" t="str">
        <f>IF(C199="","",VLOOKUP(C199,'G-7 Rivers Data'!$B$2:$G$8,2,FALSE))</f>
        <v/>
      </c>
      <c r="F199" s="499" t="str">
        <f>IFERROR(VLOOKUP(E199,'G-7 Rivers Data'!$C$4:$D$8,2,FALSE),"")</f>
        <v/>
      </c>
      <c r="G199" s="145"/>
      <c r="H199" s="499" t="str">
        <f>IFERROR(INDEX('G-7 Rivers Data'!$H$4:$L$8,MATCH(C199,'G-7 Rivers Data'!$B$4:$B$8,0),MATCH(G199,'G-7 Rivers Data'!$H$3:$L$3,0)),"")</f>
        <v/>
      </c>
      <c r="I199" s="154"/>
      <c r="J199" s="507" t="str">
        <f>IF(I199="","",IF(VLOOKUP(I199,'G-7 Rivers Data'!$AG$4:$AI$9,2,FALSE)=0,"Spatial Data Missing ⚠",VLOOKUP(I199,'G-7 Rivers Data'!$AG$4:$AI$9,2,FALSE)))</f>
        <v/>
      </c>
      <c r="K199" s="499" t="str">
        <f>IF(I199="","",IF(VLOOKUP(I199,'G-7 Rivers Data'!$AG$4:$AI$9,3,FALSE)=0,"Spatial Data Missing ⚠",VLOOKUP(I199,'G-7 Rivers Data'!$AG$4:$AI$9,3,FALSE)))</f>
        <v/>
      </c>
      <c r="L199" s="498" t="str">
        <f>IFERROR(INDEX('G-7 Rivers Data'!$O$3:$O$7,MATCH(G199,'G-7 Rivers Data'!$N$3:$N$7,0)),"")</f>
        <v/>
      </c>
      <c r="M199" s="8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565" t="str">
        <f t="shared" si="18"/>
        <v/>
      </c>
      <c r="AA199" s="149"/>
      <c r="AB199" s="150"/>
      <c r="AH199" s="31" t="str">
        <f>IFERROR(INDEX('G-7 Rivers Data'!$AZ$3:$AZ$7,MATCH(C199,'G-7 Rivers Data'!$AY$3:$AY$7,0)),"")</f>
        <v/>
      </c>
    </row>
    <row r="200" spans="2:34" ht="13.8" x14ac:dyDescent="0.25">
      <c r="B200" s="141">
        <v>189</v>
      </c>
      <c r="C200" s="171"/>
      <c r="D200" s="172"/>
      <c r="E200" s="498" t="str">
        <f>IF(C200="","",VLOOKUP(C200,'G-7 Rivers Data'!$B$2:$G$8,2,FALSE))</f>
        <v/>
      </c>
      <c r="F200" s="499" t="str">
        <f>IFERROR(VLOOKUP(E200,'G-7 Rivers Data'!$C$4:$D$8,2,FALSE),"")</f>
        <v/>
      </c>
      <c r="G200" s="145"/>
      <c r="H200" s="499" t="str">
        <f>IFERROR(INDEX('G-7 Rivers Data'!$H$4:$L$8,MATCH(C200,'G-7 Rivers Data'!$B$4:$B$8,0),MATCH(G200,'G-7 Rivers Data'!$H$3:$L$3,0)),"")</f>
        <v/>
      </c>
      <c r="I200" s="154"/>
      <c r="J200" s="507" t="str">
        <f>IF(I200="","",IF(VLOOKUP(I200,'G-7 Rivers Data'!$AG$4:$AI$9,2,FALSE)=0,"Spatial Data Missing ⚠",VLOOKUP(I200,'G-7 Rivers Data'!$AG$4:$AI$9,2,FALSE)))</f>
        <v/>
      </c>
      <c r="K200" s="499" t="str">
        <f>IF(I200="","",IF(VLOOKUP(I200,'G-7 Rivers Data'!$AG$4:$AI$9,3,FALSE)=0,"Spatial Data Missing ⚠",VLOOKUP(I200,'G-7 Rivers Data'!$AG$4:$AI$9,3,FALSE)))</f>
        <v/>
      </c>
      <c r="L200" s="498" t="str">
        <f>IFERROR(INDEX('G-7 Rivers Data'!$O$3:$O$7,MATCH(G200,'G-7 Rivers Data'!$N$3:$N$7,0)),"")</f>
        <v/>
      </c>
      <c r="M200" s="8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565" t="str">
        <f t="shared" si="18"/>
        <v/>
      </c>
      <c r="AA200" s="149"/>
      <c r="AB200" s="150"/>
      <c r="AH200" s="31" t="str">
        <f>IFERROR(INDEX('G-7 Rivers Data'!$AZ$3:$AZ$7,MATCH(C200,'G-7 Rivers Data'!$AY$3:$AY$7,0)),"")</f>
        <v/>
      </c>
    </row>
    <row r="201" spans="2:34" ht="13.8" x14ac:dyDescent="0.25">
      <c r="B201" s="141">
        <v>190</v>
      </c>
      <c r="C201" s="171"/>
      <c r="D201" s="172"/>
      <c r="E201" s="498" t="str">
        <f>IF(C201="","",VLOOKUP(C201,'G-7 Rivers Data'!$B$2:$G$8,2,FALSE))</f>
        <v/>
      </c>
      <c r="F201" s="499" t="str">
        <f>IFERROR(VLOOKUP(E201,'G-7 Rivers Data'!$C$4:$D$8,2,FALSE),"")</f>
        <v/>
      </c>
      <c r="G201" s="145"/>
      <c r="H201" s="499" t="str">
        <f>IFERROR(INDEX('G-7 Rivers Data'!$H$4:$L$8,MATCH(C201,'G-7 Rivers Data'!$B$4:$B$8,0),MATCH(G201,'G-7 Rivers Data'!$H$3:$L$3,0)),"")</f>
        <v/>
      </c>
      <c r="I201" s="154"/>
      <c r="J201" s="507" t="str">
        <f>IF(I201="","",IF(VLOOKUP(I201,'G-7 Rivers Data'!$AG$4:$AI$9,2,FALSE)=0,"Spatial Data Missing ⚠",VLOOKUP(I201,'G-7 Rivers Data'!$AG$4:$AI$9,2,FALSE)))</f>
        <v/>
      </c>
      <c r="K201" s="499" t="str">
        <f>IF(I201="","",IF(VLOOKUP(I201,'G-7 Rivers Data'!$AG$4:$AI$9,3,FALSE)=0,"Spatial Data Missing ⚠",VLOOKUP(I201,'G-7 Rivers Data'!$AG$4:$AI$9,3,FALSE)))</f>
        <v/>
      </c>
      <c r="L201" s="498" t="str">
        <f>IFERROR(INDEX('G-7 Rivers Data'!$O$3:$O$7,MATCH(G201,'G-7 Rivers Data'!$N$3:$N$7,0)),"")</f>
        <v/>
      </c>
      <c r="M201" s="8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565" t="str">
        <f t="shared" si="18"/>
        <v/>
      </c>
      <c r="AA201" s="149"/>
      <c r="AB201" s="150"/>
      <c r="AH201" s="31" t="str">
        <f>IFERROR(INDEX('G-7 Rivers Data'!$AZ$3:$AZ$7,MATCH(C201,'G-7 Rivers Data'!$AY$3:$AY$7,0)),"")</f>
        <v/>
      </c>
    </row>
    <row r="202" spans="2:34" ht="13.8" x14ac:dyDescent="0.25">
      <c r="B202" s="141">
        <v>191</v>
      </c>
      <c r="C202" s="171"/>
      <c r="D202" s="172"/>
      <c r="E202" s="498" t="str">
        <f>IF(C202="","",VLOOKUP(C202,'G-7 Rivers Data'!$B$2:$G$8,2,FALSE))</f>
        <v/>
      </c>
      <c r="F202" s="499" t="str">
        <f>IFERROR(VLOOKUP(E202,'G-7 Rivers Data'!$C$4:$D$8,2,FALSE),"")</f>
        <v/>
      </c>
      <c r="G202" s="145"/>
      <c r="H202" s="499" t="str">
        <f>IFERROR(INDEX('G-7 Rivers Data'!$H$4:$L$8,MATCH(C202,'G-7 Rivers Data'!$B$4:$B$8,0),MATCH(G202,'G-7 Rivers Data'!$H$3:$L$3,0)),"")</f>
        <v/>
      </c>
      <c r="I202" s="154"/>
      <c r="J202" s="507" t="str">
        <f>IF(I202="","",IF(VLOOKUP(I202,'G-7 Rivers Data'!$AG$4:$AI$9,2,FALSE)=0,"Spatial Data Missing ⚠",VLOOKUP(I202,'G-7 Rivers Data'!$AG$4:$AI$9,2,FALSE)))</f>
        <v/>
      </c>
      <c r="K202" s="499" t="str">
        <f>IF(I202="","",IF(VLOOKUP(I202,'G-7 Rivers Data'!$AG$4:$AI$9,3,FALSE)=0,"Spatial Data Missing ⚠",VLOOKUP(I202,'G-7 Rivers Data'!$AG$4:$AI$9,3,FALSE)))</f>
        <v/>
      </c>
      <c r="L202" s="498" t="str">
        <f>IFERROR(INDEX('G-7 Rivers Data'!$O$3:$O$7,MATCH(G202,'G-7 Rivers Data'!$N$3:$N$7,0)),"")</f>
        <v/>
      </c>
      <c r="M202" s="8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565" t="str">
        <f t="shared" si="18"/>
        <v/>
      </c>
      <c r="AA202" s="149"/>
      <c r="AB202" s="150"/>
      <c r="AH202" s="31" t="str">
        <f>IFERROR(INDEX('G-7 Rivers Data'!$AZ$3:$AZ$7,MATCH(C202,'G-7 Rivers Data'!$AY$3:$AY$7,0)),"")</f>
        <v/>
      </c>
    </row>
    <row r="203" spans="2:34" ht="13.8" x14ac:dyDescent="0.25">
      <c r="B203" s="141">
        <v>192</v>
      </c>
      <c r="C203" s="171"/>
      <c r="D203" s="172"/>
      <c r="E203" s="498" t="str">
        <f>IF(C203="","",VLOOKUP(C203,'G-7 Rivers Data'!$B$2:$G$8,2,FALSE))</f>
        <v/>
      </c>
      <c r="F203" s="499" t="str">
        <f>IFERROR(VLOOKUP(E203,'G-7 Rivers Data'!$C$4:$D$8,2,FALSE),"")</f>
        <v/>
      </c>
      <c r="G203" s="145"/>
      <c r="H203" s="499" t="str">
        <f>IFERROR(INDEX('G-7 Rivers Data'!$H$4:$L$8,MATCH(C203,'G-7 Rivers Data'!$B$4:$B$8,0),MATCH(G203,'G-7 Rivers Data'!$H$3:$L$3,0)),"")</f>
        <v/>
      </c>
      <c r="I203" s="154"/>
      <c r="J203" s="507" t="str">
        <f>IF(I203="","",IF(VLOOKUP(I203,'G-7 Rivers Data'!$AG$4:$AI$9,2,FALSE)=0,"Spatial Data Missing ⚠",VLOOKUP(I203,'G-7 Rivers Data'!$AG$4:$AI$9,2,FALSE)))</f>
        <v/>
      </c>
      <c r="K203" s="499" t="str">
        <f>IF(I203="","",IF(VLOOKUP(I203,'G-7 Rivers Data'!$AG$4:$AI$9,3,FALSE)=0,"Spatial Data Missing ⚠",VLOOKUP(I203,'G-7 Rivers Data'!$AG$4:$AI$9,3,FALSE)))</f>
        <v/>
      </c>
      <c r="L203" s="498" t="str">
        <f>IFERROR(INDEX('G-7 Rivers Data'!$O$3:$O$7,MATCH(G203,'G-7 Rivers Data'!$N$3:$N$7,0)),"")</f>
        <v/>
      </c>
      <c r="M203" s="8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565" t="str">
        <f t="shared" si="18"/>
        <v/>
      </c>
      <c r="AA203" s="149"/>
      <c r="AB203" s="150"/>
      <c r="AH203" s="31" t="str">
        <f>IFERROR(INDEX('G-7 Rivers Data'!$AZ$3:$AZ$7,MATCH(C203,'G-7 Rivers Data'!$AY$3:$AY$7,0)),"")</f>
        <v/>
      </c>
    </row>
    <row r="204" spans="2:34" ht="13.8" x14ac:dyDescent="0.25">
      <c r="B204" s="141">
        <v>193</v>
      </c>
      <c r="C204" s="171"/>
      <c r="D204" s="172"/>
      <c r="E204" s="498" t="str">
        <f>IF(C204="","",VLOOKUP(C204,'G-7 Rivers Data'!$B$2:$G$8,2,FALSE))</f>
        <v/>
      </c>
      <c r="F204" s="499" t="str">
        <f>IFERROR(VLOOKUP(E204,'G-7 Rivers Data'!$C$4:$D$8,2,FALSE),"")</f>
        <v/>
      </c>
      <c r="G204" s="145"/>
      <c r="H204" s="499" t="str">
        <f>IFERROR(INDEX('G-7 Rivers Data'!$H$4:$L$8,MATCH(C204,'G-7 Rivers Data'!$B$4:$B$8,0),MATCH(G204,'G-7 Rivers Data'!$H$3:$L$3,0)),"")</f>
        <v/>
      </c>
      <c r="I204" s="154"/>
      <c r="J204" s="507" t="str">
        <f>IF(I204="","",IF(VLOOKUP(I204,'G-7 Rivers Data'!$AG$4:$AI$9,2,FALSE)=0,"Spatial Data Missing ⚠",VLOOKUP(I204,'G-7 Rivers Data'!$AG$4:$AI$9,2,FALSE)))</f>
        <v/>
      </c>
      <c r="K204" s="499" t="str">
        <f>IF(I204="","",IF(VLOOKUP(I204,'G-7 Rivers Data'!$AG$4:$AI$9,3,FALSE)=0,"Spatial Data Missing ⚠",VLOOKUP(I204,'G-7 Rivers Data'!$AG$4:$AI$9,3,FALSE)))</f>
        <v/>
      </c>
      <c r="L204" s="498" t="str">
        <f>IFERROR(INDEX('G-7 Rivers Data'!$O$3:$O$7,MATCH(G204,'G-7 Rivers Data'!$N$3:$N$7,0)),"")</f>
        <v/>
      </c>
      <c r="M204" s="8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565" t="str">
        <f t="shared" si="18"/>
        <v/>
      </c>
      <c r="AA204" s="149"/>
      <c r="AB204" s="150"/>
      <c r="AH204" s="31" t="str">
        <f>IFERROR(INDEX('G-7 Rivers Data'!$AZ$3:$AZ$7,MATCH(C204,'G-7 Rivers Data'!$AY$3:$AY$7,0)),"")</f>
        <v/>
      </c>
    </row>
    <row r="205" spans="2:34" ht="13.8" x14ac:dyDescent="0.25">
      <c r="B205" s="141">
        <v>194</v>
      </c>
      <c r="C205" s="171"/>
      <c r="D205" s="172"/>
      <c r="E205" s="498" t="str">
        <f>IF(C205="","",VLOOKUP(C205,'G-7 Rivers Data'!$B$2:$G$8,2,FALSE))</f>
        <v/>
      </c>
      <c r="F205" s="499" t="str">
        <f>IFERROR(VLOOKUP(E205,'G-7 Rivers Data'!$C$4:$D$8,2,FALSE),"")</f>
        <v/>
      </c>
      <c r="G205" s="145"/>
      <c r="H205" s="499" t="str">
        <f>IFERROR(INDEX('G-7 Rivers Data'!$H$4:$L$8,MATCH(C205,'G-7 Rivers Data'!$B$4:$B$8,0),MATCH(G205,'G-7 Rivers Data'!$H$3:$L$3,0)),"")</f>
        <v/>
      </c>
      <c r="I205" s="154"/>
      <c r="J205" s="507" t="str">
        <f>IF(I205="","",IF(VLOOKUP(I205,'G-7 Rivers Data'!$AG$4:$AI$9,2,FALSE)=0,"Spatial Data Missing ⚠",VLOOKUP(I205,'G-7 Rivers Data'!$AG$4:$AI$9,2,FALSE)))</f>
        <v/>
      </c>
      <c r="K205" s="499" t="str">
        <f>IF(I205="","",IF(VLOOKUP(I205,'G-7 Rivers Data'!$AG$4:$AI$9,3,FALSE)=0,"Spatial Data Missing ⚠",VLOOKUP(I205,'G-7 Rivers Data'!$AG$4:$AI$9,3,FALSE)))</f>
        <v/>
      </c>
      <c r="L205" s="498" t="str">
        <f>IFERROR(INDEX('G-7 Rivers Data'!$O$3:$O$7,MATCH(G205,'G-7 Rivers Data'!$N$3:$N$7,0)),"")</f>
        <v/>
      </c>
      <c r="M205" s="8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⚠","Low Difficulty - only applicable if all habitat created before losses ⚠","Standard difficulty applied"))))</f>
        <v/>
      </c>
      <c r="T205" s="540" t="str">
        <f t="shared" ref="T205:T259" si="22">(IF(AND(S205="Standard difficulty applied",L205&gt;M205),R205,IF(AND(S205="Low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565" t="str">
        <f t="shared" ref="Z205:Z259" si="24">IFERROR(IF(C205="","",D205*F205*H205*K205*Q205*U205*Y205*W205),"")</f>
        <v/>
      </c>
      <c r="AA205" s="149"/>
      <c r="AB205" s="150"/>
      <c r="AH205" s="31" t="str">
        <f>IFERROR(INDEX('G-7 Rivers Data'!$AZ$3:$AZ$7,MATCH(C205,'G-7 Rivers Data'!$AY$3:$AY$7,0)),"")</f>
        <v/>
      </c>
    </row>
    <row r="206" spans="2:34" ht="13.8" x14ac:dyDescent="0.25">
      <c r="B206" s="141">
        <v>195</v>
      </c>
      <c r="C206" s="171"/>
      <c r="D206" s="172"/>
      <c r="E206" s="498" t="str">
        <f>IF(C206="","",VLOOKUP(C206,'G-7 Rivers Data'!$B$2:$G$8,2,FALSE))</f>
        <v/>
      </c>
      <c r="F206" s="499" t="str">
        <f>IFERROR(VLOOKUP(E206,'G-7 Rivers Data'!$C$4:$D$8,2,FALSE),"")</f>
        <v/>
      </c>
      <c r="G206" s="145"/>
      <c r="H206" s="499" t="str">
        <f>IFERROR(INDEX('G-7 Rivers Data'!$H$4:$L$8,MATCH(C206,'G-7 Rivers Data'!$B$4:$B$8,0),MATCH(G206,'G-7 Rivers Data'!$H$3:$L$3,0)),"")</f>
        <v/>
      </c>
      <c r="I206" s="154"/>
      <c r="J206" s="507" t="str">
        <f>IF(I206="","",IF(VLOOKUP(I206,'G-7 Rivers Data'!$AG$4:$AI$9,2,FALSE)=0,"Spatial Data Missing ⚠",VLOOKUP(I206,'G-7 Rivers Data'!$AG$4:$AI$9,2,FALSE)))</f>
        <v/>
      </c>
      <c r="K206" s="499" t="str">
        <f>IF(I206="","",IF(VLOOKUP(I206,'G-7 Rivers Data'!$AG$4:$AI$9,3,FALSE)=0,"Spatial Data Missing ⚠",VLOOKUP(I206,'G-7 Rivers Data'!$AG$4:$AI$9,3,FALSE)))</f>
        <v/>
      </c>
      <c r="L206" s="498" t="str">
        <f>IFERROR(INDEX('G-7 Rivers Data'!$O$3:$O$7,MATCH(G206,'G-7 Rivers Data'!$N$3:$N$7,0)),"")</f>
        <v/>
      </c>
      <c r="M206" s="8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565" t="str">
        <f t="shared" si="24"/>
        <v/>
      </c>
      <c r="AA206" s="149"/>
      <c r="AB206" s="150"/>
      <c r="AH206" s="31" t="str">
        <f>IFERROR(INDEX('G-7 Rivers Data'!$AZ$3:$AZ$7,MATCH(C206,'G-7 Rivers Data'!$AY$3:$AY$7,0)),"")</f>
        <v/>
      </c>
    </row>
    <row r="207" spans="2:34" ht="13.8" x14ac:dyDescent="0.25">
      <c r="B207" s="141">
        <v>196</v>
      </c>
      <c r="C207" s="171"/>
      <c r="D207" s="172"/>
      <c r="E207" s="498" t="str">
        <f>IF(C207="","",VLOOKUP(C207,'G-7 Rivers Data'!$B$2:$G$8,2,FALSE))</f>
        <v/>
      </c>
      <c r="F207" s="499" t="str">
        <f>IFERROR(VLOOKUP(E207,'G-7 Rivers Data'!$C$4:$D$8,2,FALSE),"")</f>
        <v/>
      </c>
      <c r="G207" s="145"/>
      <c r="H207" s="499" t="str">
        <f>IFERROR(INDEX('G-7 Rivers Data'!$H$4:$L$8,MATCH(C207,'G-7 Rivers Data'!$B$4:$B$8,0),MATCH(G207,'G-7 Rivers Data'!$H$3:$L$3,0)),"")</f>
        <v/>
      </c>
      <c r="I207" s="154"/>
      <c r="J207" s="507" t="str">
        <f>IF(I207="","",IF(VLOOKUP(I207,'G-7 Rivers Data'!$AG$4:$AI$9,2,FALSE)=0,"Spatial Data Missing ⚠",VLOOKUP(I207,'G-7 Rivers Data'!$AG$4:$AI$9,2,FALSE)))</f>
        <v/>
      </c>
      <c r="K207" s="499" t="str">
        <f>IF(I207="","",IF(VLOOKUP(I207,'G-7 Rivers Data'!$AG$4:$AI$9,3,FALSE)=0,"Spatial Data Missing ⚠",VLOOKUP(I207,'G-7 Rivers Data'!$AG$4:$AI$9,3,FALSE)))</f>
        <v/>
      </c>
      <c r="L207" s="498" t="str">
        <f>IFERROR(INDEX('G-7 Rivers Data'!$O$3:$O$7,MATCH(G207,'G-7 Rivers Data'!$N$3:$N$7,0)),"")</f>
        <v/>
      </c>
      <c r="M207" s="8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565" t="str">
        <f t="shared" si="24"/>
        <v/>
      </c>
      <c r="AA207" s="149"/>
      <c r="AB207" s="150"/>
      <c r="AH207" s="31" t="str">
        <f>IFERROR(INDEX('G-7 Rivers Data'!$AZ$3:$AZ$7,MATCH(C207,'G-7 Rivers Data'!$AY$3:$AY$7,0)),"")</f>
        <v/>
      </c>
    </row>
    <row r="208" spans="2:34" ht="13.8" x14ac:dyDescent="0.25">
      <c r="B208" s="141">
        <v>197</v>
      </c>
      <c r="C208" s="171"/>
      <c r="D208" s="172"/>
      <c r="E208" s="498" t="str">
        <f>IF(C208="","",VLOOKUP(C208,'G-7 Rivers Data'!$B$2:$G$8,2,FALSE))</f>
        <v/>
      </c>
      <c r="F208" s="499" t="str">
        <f>IFERROR(VLOOKUP(E208,'G-7 Rivers Data'!$C$4:$D$8,2,FALSE),"")</f>
        <v/>
      </c>
      <c r="G208" s="145"/>
      <c r="H208" s="499" t="str">
        <f>IFERROR(INDEX('G-7 Rivers Data'!$H$4:$L$8,MATCH(C208,'G-7 Rivers Data'!$B$4:$B$8,0),MATCH(G208,'G-7 Rivers Data'!$H$3:$L$3,0)),"")</f>
        <v/>
      </c>
      <c r="I208" s="154"/>
      <c r="J208" s="507" t="str">
        <f>IF(I208="","",IF(VLOOKUP(I208,'G-7 Rivers Data'!$AG$4:$AI$9,2,FALSE)=0,"Spatial Data Missing ⚠",VLOOKUP(I208,'G-7 Rivers Data'!$AG$4:$AI$9,2,FALSE)))</f>
        <v/>
      </c>
      <c r="K208" s="499" t="str">
        <f>IF(I208="","",IF(VLOOKUP(I208,'G-7 Rivers Data'!$AG$4:$AI$9,3,FALSE)=0,"Spatial Data Missing ⚠",VLOOKUP(I208,'G-7 Rivers Data'!$AG$4:$AI$9,3,FALSE)))</f>
        <v/>
      </c>
      <c r="L208" s="498" t="str">
        <f>IFERROR(INDEX('G-7 Rivers Data'!$O$3:$O$7,MATCH(G208,'G-7 Rivers Data'!$N$3:$N$7,0)),"")</f>
        <v/>
      </c>
      <c r="M208" s="8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565" t="str">
        <f t="shared" si="24"/>
        <v/>
      </c>
      <c r="AA208" s="149"/>
      <c r="AB208" s="150"/>
      <c r="AH208" s="31" t="str">
        <f>IFERROR(INDEX('G-7 Rivers Data'!$AZ$3:$AZ$7,MATCH(C208,'G-7 Rivers Data'!$AY$3:$AY$7,0)),"")</f>
        <v/>
      </c>
    </row>
    <row r="209" spans="2:34" ht="13.8" x14ac:dyDescent="0.25">
      <c r="B209" s="141">
        <v>198</v>
      </c>
      <c r="C209" s="171"/>
      <c r="D209" s="172"/>
      <c r="E209" s="498" t="str">
        <f>IF(C209="","",VLOOKUP(C209,'G-7 Rivers Data'!$B$2:$G$8,2,FALSE))</f>
        <v/>
      </c>
      <c r="F209" s="499" t="str">
        <f>IFERROR(VLOOKUP(E209,'G-7 Rivers Data'!$C$4:$D$8,2,FALSE),"")</f>
        <v/>
      </c>
      <c r="G209" s="145"/>
      <c r="H209" s="499" t="str">
        <f>IFERROR(INDEX('G-7 Rivers Data'!$H$4:$L$8,MATCH(C209,'G-7 Rivers Data'!$B$4:$B$8,0),MATCH(G209,'G-7 Rivers Data'!$H$3:$L$3,0)),"")</f>
        <v/>
      </c>
      <c r="I209" s="154"/>
      <c r="J209" s="507" t="str">
        <f>IF(I209="","",IF(VLOOKUP(I209,'G-7 Rivers Data'!$AG$4:$AI$9,2,FALSE)=0,"Spatial Data Missing ⚠",VLOOKUP(I209,'G-7 Rivers Data'!$AG$4:$AI$9,2,FALSE)))</f>
        <v/>
      </c>
      <c r="K209" s="499" t="str">
        <f>IF(I209="","",IF(VLOOKUP(I209,'G-7 Rivers Data'!$AG$4:$AI$9,3,FALSE)=0,"Spatial Data Missing ⚠",VLOOKUP(I209,'G-7 Rivers Data'!$AG$4:$AI$9,3,FALSE)))</f>
        <v/>
      </c>
      <c r="L209" s="498" t="str">
        <f>IFERROR(INDEX('G-7 Rivers Data'!$O$3:$O$7,MATCH(G209,'G-7 Rivers Data'!$N$3:$N$7,0)),"")</f>
        <v/>
      </c>
      <c r="M209" s="8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565" t="str">
        <f t="shared" si="24"/>
        <v/>
      </c>
      <c r="AA209" s="149"/>
      <c r="AB209" s="150"/>
      <c r="AH209" s="31" t="str">
        <f>IFERROR(INDEX('G-7 Rivers Data'!$AZ$3:$AZ$7,MATCH(C209,'G-7 Rivers Data'!$AY$3:$AY$7,0)),"")</f>
        <v/>
      </c>
    </row>
    <row r="210" spans="2:34" ht="13.8" x14ac:dyDescent="0.25">
      <c r="B210" s="141">
        <v>199</v>
      </c>
      <c r="C210" s="171"/>
      <c r="D210" s="172"/>
      <c r="E210" s="498" t="str">
        <f>IF(C210="","",VLOOKUP(C210,'G-7 Rivers Data'!$B$2:$G$8,2,FALSE))</f>
        <v/>
      </c>
      <c r="F210" s="499" t="str">
        <f>IFERROR(VLOOKUP(E210,'G-7 Rivers Data'!$C$4:$D$8,2,FALSE),"")</f>
        <v/>
      </c>
      <c r="G210" s="145"/>
      <c r="H210" s="499" t="str">
        <f>IFERROR(INDEX('G-7 Rivers Data'!$H$4:$L$8,MATCH(C210,'G-7 Rivers Data'!$B$4:$B$8,0),MATCH(G210,'G-7 Rivers Data'!$H$3:$L$3,0)),"")</f>
        <v/>
      </c>
      <c r="I210" s="154"/>
      <c r="J210" s="507" t="str">
        <f>IF(I210="","",IF(VLOOKUP(I210,'G-7 Rivers Data'!$AG$4:$AI$9,2,FALSE)=0,"Spatial Data Missing ⚠",VLOOKUP(I210,'G-7 Rivers Data'!$AG$4:$AI$9,2,FALSE)))</f>
        <v/>
      </c>
      <c r="K210" s="499" t="str">
        <f>IF(I210="","",IF(VLOOKUP(I210,'G-7 Rivers Data'!$AG$4:$AI$9,3,FALSE)=0,"Spatial Data Missing ⚠",VLOOKUP(I210,'G-7 Rivers Data'!$AG$4:$AI$9,3,FALSE)))</f>
        <v/>
      </c>
      <c r="L210" s="498" t="str">
        <f>IFERROR(INDEX('G-7 Rivers Data'!$O$3:$O$7,MATCH(G210,'G-7 Rivers Data'!$N$3:$N$7,0)),"")</f>
        <v/>
      </c>
      <c r="M210" s="8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565" t="str">
        <f t="shared" si="24"/>
        <v/>
      </c>
      <c r="AA210" s="149"/>
      <c r="AB210" s="150"/>
      <c r="AH210" s="31" t="str">
        <f>IFERROR(INDEX('G-7 Rivers Data'!$AZ$3:$AZ$7,MATCH(C210,'G-7 Rivers Data'!$AY$3:$AY$7,0)),"")</f>
        <v/>
      </c>
    </row>
    <row r="211" spans="2:34" ht="13.8" x14ac:dyDescent="0.25">
      <c r="B211" s="141">
        <v>200</v>
      </c>
      <c r="C211" s="171"/>
      <c r="D211" s="172"/>
      <c r="E211" s="498" t="str">
        <f>IF(C211="","",VLOOKUP(C211,'G-7 Rivers Data'!$B$2:$G$8,2,FALSE))</f>
        <v/>
      </c>
      <c r="F211" s="499" t="str">
        <f>IFERROR(VLOOKUP(E211,'G-7 Rivers Data'!$C$4:$D$8,2,FALSE),"")</f>
        <v/>
      </c>
      <c r="G211" s="145"/>
      <c r="H211" s="499" t="str">
        <f>IFERROR(INDEX('G-7 Rivers Data'!$H$4:$L$8,MATCH(C211,'G-7 Rivers Data'!$B$4:$B$8,0),MATCH(G211,'G-7 Rivers Data'!$H$3:$L$3,0)),"")</f>
        <v/>
      </c>
      <c r="I211" s="154"/>
      <c r="J211" s="507" t="str">
        <f>IF(I211="","",IF(VLOOKUP(I211,'G-7 Rivers Data'!$AG$4:$AI$9,2,FALSE)=0,"Spatial Data Missing ⚠",VLOOKUP(I211,'G-7 Rivers Data'!$AG$4:$AI$9,2,FALSE)))</f>
        <v/>
      </c>
      <c r="K211" s="499" t="str">
        <f>IF(I211="","",IF(VLOOKUP(I211,'G-7 Rivers Data'!$AG$4:$AI$9,3,FALSE)=0,"Spatial Data Missing ⚠",VLOOKUP(I211,'G-7 Rivers Data'!$AG$4:$AI$9,3,FALSE)))</f>
        <v/>
      </c>
      <c r="L211" s="498" t="str">
        <f>IFERROR(INDEX('G-7 Rivers Data'!$O$3:$O$7,MATCH(G211,'G-7 Rivers Data'!$N$3:$N$7,0)),"")</f>
        <v/>
      </c>
      <c r="M211" s="8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565" t="str">
        <f t="shared" si="24"/>
        <v/>
      </c>
      <c r="AA211" s="149"/>
      <c r="AB211" s="150"/>
      <c r="AH211" s="31" t="str">
        <f>IFERROR(INDEX('G-7 Rivers Data'!$AZ$3:$AZ$7,MATCH(C211,'G-7 Rivers Data'!$AY$3:$AY$7,0)),"")</f>
        <v/>
      </c>
    </row>
    <row r="212" spans="2:34" ht="13.8" x14ac:dyDescent="0.25">
      <c r="B212" s="141">
        <v>201</v>
      </c>
      <c r="C212" s="171"/>
      <c r="D212" s="172"/>
      <c r="E212" s="498" t="str">
        <f>IF(C212="","",VLOOKUP(C212,'G-7 Rivers Data'!$B$2:$G$8,2,FALSE))</f>
        <v/>
      </c>
      <c r="F212" s="499" t="str">
        <f>IFERROR(VLOOKUP(E212,'G-7 Rivers Data'!$C$4:$D$8,2,FALSE),"")</f>
        <v/>
      </c>
      <c r="G212" s="145"/>
      <c r="H212" s="499" t="str">
        <f>IFERROR(INDEX('G-7 Rivers Data'!$H$4:$L$8,MATCH(C212,'G-7 Rivers Data'!$B$4:$B$8,0),MATCH(G212,'G-7 Rivers Data'!$H$3:$L$3,0)),"")</f>
        <v/>
      </c>
      <c r="I212" s="154"/>
      <c r="J212" s="507" t="str">
        <f>IF(I212="","",IF(VLOOKUP(I212,'G-7 Rivers Data'!$AG$4:$AI$9,2,FALSE)=0,"Spatial Data Missing ⚠",VLOOKUP(I212,'G-7 Rivers Data'!$AG$4:$AI$9,2,FALSE)))</f>
        <v/>
      </c>
      <c r="K212" s="499" t="str">
        <f>IF(I212="","",IF(VLOOKUP(I212,'G-7 Rivers Data'!$AG$4:$AI$9,3,FALSE)=0,"Spatial Data Missing ⚠",VLOOKUP(I212,'G-7 Rivers Data'!$AG$4:$AI$9,3,FALSE)))</f>
        <v/>
      </c>
      <c r="L212" s="498" t="str">
        <f>IFERROR(INDEX('G-7 Rivers Data'!$O$3:$O$7,MATCH(G212,'G-7 Rivers Data'!$N$3:$N$7,0)),"")</f>
        <v/>
      </c>
      <c r="M212" s="8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565" t="str">
        <f t="shared" si="24"/>
        <v/>
      </c>
      <c r="AA212" s="149"/>
      <c r="AB212" s="150"/>
      <c r="AH212" s="31" t="str">
        <f>IFERROR(INDEX('G-7 Rivers Data'!$AZ$3:$AZ$7,MATCH(C212,'G-7 Rivers Data'!$AY$3:$AY$7,0)),"")</f>
        <v/>
      </c>
    </row>
    <row r="213" spans="2:34" ht="13.8" x14ac:dyDescent="0.25">
      <c r="B213" s="141">
        <v>202</v>
      </c>
      <c r="C213" s="171"/>
      <c r="D213" s="172"/>
      <c r="E213" s="498" t="str">
        <f>IF(C213="","",VLOOKUP(C213,'G-7 Rivers Data'!$B$2:$G$8,2,FALSE))</f>
        <v/>
      </c>
      <c r="F213" s="499" t="str">
        <f>IFERROR(VLOOKUP(E213,'G-7 Rivers Data'!$C$4:$D$8,2,FALSE),"")</f>
        <v/>
      </c>
      <c r="G213" s="145"/>
      <c r="H213" s="499" t="str">
        <f>IFERROR(INDEX('G-7 Rivers Data'!$H$4:$L$8,MATCH(C213,'G-7 Rivers Data'!$B$4:$B$8,0),MATCH(G213,'G-7 Rivers Data'!$H$3:$L$3,0)),"")</f>
        <v/>
      </c>
      <c r="I213" s="154"/>
      <c r="J213" s="507" t="str">
        <f>IF(I213="","",IF(VLOOKUP(I213,'G-7 Rivers Data'!$AG$4:$AI$9,2,FALSE)=0,"Spatial Data Missing ⚠",VLOOKUP(I213,'G-7 Rivers Data'!$AG$4:$AI$9,2,FALSE)))</f>
        <v/>
      </c>
      <c r="K213" s="499" t="str">
        <f>IF(I213="","",IF(VLOOKUP(I213,'G-7 Rivers Data'!$AG$4:$AI$9,3,FALSE)=0,"Spatial Data Missing ⚠",VLOOKUP(I213,'G-7 Rivers Data'!$AG$4:$AI$9,3,FALSE)))</f>
        <v/>
      </c>
      <c r="L213" s="498" t="str">
        <f>IFERROR(INDEX('G-7 Rivers Data'!$O$3:$O$7,MATCH(G213,'G-7 Rivers Data'!$N$3:$N$7,0)),"")</f>
        <v/>
      </c>
      <c r="M213" s="8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565" t="str">
        <f t="shared" si="24"/>
        <v/>
      </c>
      <c r="AA213" s="149"/>
      <c r="AB213" s="150"/>
      <c r="AH213" s="31" t="str">
        <f>IFERROR(INDEX('G-7 Rivers Data'!$AZ$3:$AZ$7,MATCH(C213,'G-7 Rivers Data'!$AY$3:$AY$7,0)),"")</f>
        <v/>
      </c>
    </row>
    <row r="214" spans="2:34" ht="13.8" x14ac:dyDescent="0.25">
      <c r="B214" s="141">
        <v>203</v>
      </c>
      <c r="C214" s="171"/>
      <c r="D214" s="172"/>
      <c r="E214" s="498" t="str">
        <f>IF(C214="","",VLOOKUP(C214,'G-7 Rivers Data'!$B$2:$G$8,2,FALSE))</f>
        <v/>
      </c>
      <c r="F214" s="499" t="str">
        <f>IFERROR(VLOOKUP(E214,'G-7 Rivers Data'!$C$4:$D$8,2,FALSE),"")</f>
        <v/>
      </c>
      <c r="G214" s="145"/>
      <c r="H214" s="499" t="str">
        <f>IFERROR(INDEX('G-7 Rivers Data'!$H$4:$L$8,MATCH(C214,'G-7 Rivers Data'!$B$4:$B$8,0),MATCH(G214,'G-7 Rivers Data'!$H$3:$L$3,0)),"")</f>
        <v/>
      </c>
      <c r="I214" s="154"/>
      <c r="J214" s="507" t="str">
        <f>IF(I214="","",IF(VLOOKUP(I214,'G-7 Rivers Data'!$AG$4:$AI$9,2,FALSE)=0,"Spatial Data Missing ⚠",VLOOKUP(I214,'G-7 Rivers Data'!$AG$4:$AI$9,2,FALSE)))</f>
        <v/>
      </c>
      <c r="K214" s="499" t="str">
        <f>IF(I214="","",IF(VLOOKUP(I214,'G-7 Rivers Data'!$AG$4:$AI$9,3,FALSE)=0,"Spatial Data Missing ⚠",VLOOKUP(I214,'G-7 Rivers Data'!$AG$4:$AI$9,3,FALSE)))</f>
        <v/>
      </c>
      <c r="L214" s="498" t="str">
        <f>IFERROR(INDEX('G-7 Rivers Data'!$O$3:$O$7,MATCH(G214,'G-7 Rivers Data'!$N$3:$N$7,0)),"")</f>
        <v/>
      </c>
      <c r="M214" s="8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565" t="str">
        <f t="shared" si="24"/>
        <v/>
      </c>
      <c r="AA214" s="149"/>
      <c r="AB214" s="150"/>
      <c r="AH214" s="31" t="str">
        <f>IFERROR(INDEX('G-7 Rivers Data'!$AZ$3:$AZ$7,MATCH(C214,'G-7 Rivers Data'!$AY$3:$AY$7,0)),"")</f>
        <v/>
      </c>
    </row>
    <row r="215" spans="2:34" ht="13.8" x14ac:dyDescent="0.25">
      <c r="B215" s="141">
        <v>204</v>
      </c>
      <c r="C215" s="171"/>
      <c r="D215" s="172"/>
      <c r="E215" s="498" t="str">
        <f>IF(C215="","",VLOOKUP(C215,'G-7 Rivers Data'!$B$2:$G$8,2,FALSE))</f>
        <v/>
      </c>
      <c r="F215" s="499" t="str">
        <f>IFERROR(VLOOKUP(E215,'G-7 Rivers Data'!$C$4:$D$8,2,FALSE),"")</f>
        <v/>
      </c>
      <c r="G215" s="145"/>
      <c r="H215" s="499" t="str">
        <f>IFERROR(INDEX('G-7 Rivers Data'!$H$4:$L$8,MATCH(C215,'G-7 Rivers Data'!$B$4:$B$8,0),MATCH(G215,'G-7 Rivers Data'!$H$3:$L$3,0)),"")</f>
        <v/>
      </c>
      <c r="I215" s="154"/>
      <c r="J215" s="507" t="str">
        <f>IF(I215="","",IF(VLOOKUP(I215,'G-7 Rivers Data'!$AG$4:$AI$9,2,FALSE)=0,"Spatial Data Missing ⚠",VLOOKUP(I215,'G-7 Rivers Data'!$AG$4:$AI$9,2,FALSE)))</f>
        <v/>
      </c>
      <c r="K215" s="499" t="str">
        <f>IF(I215="","",IF(VLOOKUP(I215,'G-7 Rivers Data'!$AG$4:$AI$9,3,FALSE)=0,"Spatial Data Missing ⚠",VLOOKUP(I215,'G-7 Rivers Data'!$AG$4:$AI$9,3,FALSE)))</f>
        <v/>
      </c>
      <c r="L215" s="498" t="str">
        <f>IFERROR(INDEX('G-7 Rivers Data'!$O$3:$O$7,MATCH(G215,'G-7 Rivers Data'!$N$3:$N$7,0)),"")</f>
        <v/>
      </c>
      <c r="M215" s="8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565" t="str">
        <f t="shared" si="24"/>
        <v/>
      </c>
      <c r="AA215" s="149"/>
      <c r="AB215" s="150"/>
      <c r="AH215" s="31" t="str">
        <f>IFERROR(INDEX('G-7 Rivers Data'!$AZ$3:$AZ$7,MATCH(C215,'G-7 Rivers Data'!$AY$3:$AY$7,0)),"")</f>
        <v/>
      </c>
    </row>
    <row r="216" spans="2:34" ht="13.8" x14ac:dyDescent="0.25">
      <c r="B216" s="141">
        <v>205</v>
      </c>
      <c r="C216" s="171"/>
      <c r="D216" s="172"/>
      <c r="E216" s="498" t="str">
        <f>IF(C216="","",VLOOKUP(C216,'G-7 Rivers Data'!$B$2:$G$8,2,FALSE))</f>
        <v/>
      </c>
      <c r="F216" s="499" t="str">
        <f>IFERROR(VLOOKUP(E216,'G-7 Rivers Data'!$C$4:$D$8,2,FALSE),"")</f>
        <v/>
      </c>
      <c r="G216" s="145"/>
      <c r="H216" s="499" t="str">
        <f>IFERROR(INDEX('G-7 Rivers Data'!$H$4:$L$8,MATCH(C216,'G-7 Rivers Data'!$B$4:$B$8,0),MATCH(G216,'G-7 Rivers Data'!$H$3:$L$3,0)),"")</f>
        <v/>
      </c>
      <c r="I216" s="154"/>
      <c r="J216" s="507" t="str">
        <f>IF(I216="","",IF(VLOOKUP(I216,'G-7 Rivers Data'!$AG$4:$AI$9,2,FALSE)=0,"Spatial Data Missing ⚠",VLOOKUP(I216,'G-7 Rivers Data'!$AG$4:$AI$9,2,FALSE)))</f>
        <v/>
      </c>
      <c r="K216" s="499" t="str">
        <f>IF(I216="","",IF(VLOOKUP(I216,'G-7 Rivers Data'!$AG$4:$AI$9,3,FALSE)=0,"Spatial Data Missing ⚠",VLOOKUP(I216,'G-7 Rivers Data'!$AG$4:$AI$9,3,FALSE)))</f>
        <v/>
      </c>
      <c r="L216" s="498" t="str">
        <f>IFERROR(INDEX('G-7 Rivers Data'!$O$3:$O$7,MATCH(G216,'G-7 Rivers Data'!$N$3:$N$7,0)),"")</f>
        <v/>
      </c>
      <c r="M216" s="8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565" t="str">
        <f t="shared" si="24"/>
        <v/>
      </c>
      <c r="AA216" s="149"/>
      <c r="AB216" s="150"/>
      <c r="AH216" s="31" t="str">
        <f>IFERROR(INDEX('G-7 Rivers Data'!$AZ$3:$AZ$7,MATCH(C216,'G-7 Rivers Data'!$AY$3:$AY$7,0)),"")</f>
        <v/>
      </c>
    </row>
    <row r="217" spans="2:34" ht="13.8" x14ac:dyDescent="0.25">
      <c r="B217" s="141">
        <v>206</v>
      </c>
      <c r="C217" s="171"/>
      <c r="D217" s="172"/>
      <c r="E217" s="498" t="str">
        <f>IF(C217="","",VLOOKUP(C217,'G-7 Rivers Data'!$B$2:$G$8,2,FALSE))</f>
        <v/>
      </c>
      <c r="F217" s="499" t="str">
        <f>IFERROR(VLOOKUP(E217,'G-7 Rivers Data'!$C$4:$D$8,2,FALSE),"")</f>
        <v/>
      </c>
      <c r="G217" s="145"/>
      <c r="H217" s="499" t="str">
        <f>IFERROR(INDEX('G-7 Rivers Data'!$H$4:$L$8,MATCH(C217,'G-7 Rivers Data'!$B$4:$B$8,0),MATCH(G217,'G-7 Rivers Data'!$H$3:$L$3,0)),"")</f>
        <v/>
      </c>
      <c r="I217" s="154"/>
      <c r="J217" s="507" t="str">
        <f>IF(I217="","",IF(VLOOKUP(I217,'G-7 Rivers Data'!$AG$4:$AI$9,2,FALSE)=0,"Spatial Data Missing ⚠",VLOOKUP(I217,'G-7 Rivers Data'!$AG$4:$AI$9,2,FALSE)))</f>
        <v/>
      </c>
      <c r="K217" s="499" t="str">
        <f>IF(I217="","",IF(VLOOKUP(I217,'G-7 Rivers Data'!$AG$4:$AI$9,3,FALSE)=0,"Spatial Data Missing ⚠",VLOOKUP(I217,'G-7 Rivers Data'!$AG$4:$AI$9,3,FALSE)))</f>
        <v/>
      </c>
      <c r="L217" s="498" t="str">
        <f>IFERROR(INDEX('G-7 Rivers Data'!$O$3:$O$7,MATCH(G217,'G-7 Rivers Data'!$N$3:$N$7,0)),"")</f>
        <v/>
      </c>
      <c r="M217" s="8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565" t="str">
        <f t="shared" si="24"/>
        <v/>
      </c>
      <c r="AA217" s="149"/>
      <c r="AB217" s="150"/>
      <c r="AH217" s="31" t="str">
        <f>IFERROR(INDEX('G-7 Rivers Data'!$AZ$3:$AZ$7,MATCH(C217,'G-7 Rivers Data'!$AY$3:$AY$7,0)),"")</f>
        <v/>
      </c>
    </row>
    <row r="218" spans="2:34" ht="13.8" x14ac:dyDescent="0.25">
      <c r="B218" s="141">
        <v>207</v>
      </c>
      <c r="C218" s="171"/>
      <c r="D218" s="172"/>
      <c r="E218" s="498" t="str">
        <f>IF(C218="","",VLOOKUP(C218,'G-7 Rivers Data'!$B$2:$G$8,2,FALSE))</f>
        <v/>
      </c>
      <c r="F218" s="499" t="str">
        <f>IFERROR(VLOOKUP(E218,'G-7 Rivers Data'!$C$4:$D$8,2,FALSE),"")</f>
        <v/>
      </c>
      <c r="G218" s="145"/>
      <c r="H218" s="499" t="str">
        <f>IFERROR(INDEX('G-7 Rivers Data'!$H$4:$L$8,MATCH(C218,'G-7 Rivers Data'!$B$4:$B$8,0),MATCH(G218,'G-7 Rivers Data'!$H$3:$L$3,0)),"")</f>
        <v/>
      </c>
      <c r="I218" s="154"/>
      <c r="J218" s="507" t="str">
        <f>IF(I218="","",IF(VLOOKUP(I218,'G-7 Rivers Data'!$AG$4:$AI$9,2,FALSE)=0,"Spatial Data Missing ⚠",VLOOKUP(I218,'G-7 Rivers Data'!$AG$4:$AI$9,2,FALSE)))</f>
        <v/>
      </c>
      <c r="K218" s="499" t="str">
        <f>IF(I218="","",IF(VLOOKUP(I218,'G-7 Rivers Data'!$AG$4:$AI$9,3,FALSE)=0,"Spatial Data Missing ⚠",VLOOKUP(I218,'G-7 Rivers Data'!$AG$4:$AI$9,3,FALSE)))</f>
        <v/>
      </c>
      <c r="L218" s="498" t="str">
        <f>IFERROR(INDEX('G-7 Rivers Data'!$O$3:$O$7,MATCH(G218,'G-7 Rivers Data'!$N$3:$N$7,0)),"")</f>
        <v/>
      </c>
      <c r="M218" s="8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565" t="str">
        <f t="shared" si="24"/>
        <v/>
      </c>
      <c r="AA218" s="149"/>
      <c r="AB218" s="150"/>
      <c r="AH218" s="31" t="str">
        <f>IFERROR(INDEX('G-7 Rivers Data'!$AZ$3:$AZ$7,MATCH(C218,'G-7 Rivers Data'!$AY$3:$AY$7,0)),"")</f>
        <v/>
      </c>
    </row>
    <row r="219" spans="2:34" ht="13.8" x14ac:dyDescent="0.25">
      <c r="B219" s="141">
        <v>208</v>
      </c>
      <c r="C219" s="171"/>
      <c r="D219" s="172"/>
      <c r="E219" s="498" t="str">
        <f>IF(C219="","",VLOOKUP(C219,'G-7 Rivers Data'!$B$2:$G$8,2,FALSE))</f>
        <v/>
      </c>
      <c r="F219" s="499" t="str">
        <f>IFERROR(VLOOKUP(E219,'G-7 Rivers Data'!$C$4:$D$8,2,FALSE),"")</f>
        <v/>
      </c>
      <c r="G219" s="145"/>
      <c r="H219" s="499" t="str">
        <f>IFERROR(INDEX('G-7 Rivers Data'!$H$4:$L$8,MATCH(C219,'G-7 Rivers Data'!$B$4:$B$8,0),MATCH(G219,'G-7 Rivers Data'!$H$3:$L$3,0)),"")</f>
        <v/>
      </c>
      <c r="I219" s="154"/>
      <c r="J219" s="507" t="str">
        <f>IF(I219="","",IF(VLOOKUP(I219,'G-7 Rivers Data'!$AG$4:$AI$9,2,FALSE)=0,"Spatial Data Missing ⚠",VLOOKUP(I219,'G-7 Rivers Data'!$AG$4:$AI$9,2,FALSE)))</f>
        <v/>
      </c>
      <c r="K219" s="499" t="str">
        <f>IF(I219="","",IF(VLOOKUP(I219,'G-7 Rivers Data'!$AG$4:$AI$9,3,FALSE)=0,"Spatial Data Missing ⚠",VLOOKUP(I219,'G-7 Rivers Data'!$AG$4:$AI$9,3,FALSE)))</f>
        <v/>
      </c>
      <c r="L219" s="498" t="str">
        <f>IFERROR(INDEX('G-7 Rivers Data'!$O$3:$O$7,MATCH(G219,'G-7 Rivers Data'!$N$3:$N$7,0)),"")</f>
        <v/>
      </c>
      <c r="M219" s="8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565" t="str">
        <f t="shared" si="24"/>
        <v/>
      </c>
      <c r="AA219" s="149"/>
      <c r="AB219" s="150"/>
      <c r="AH219" s="31" t="str">
        <f>IFERROR(INDEX('G-7 Rivers Data'!$AZ$3:$AZ$7,MATCH(C219,'G-7 Rivers Data'!$AY$3:$AY$7,0)),"")</f>
        <v/>
      </c>
    </row>
    <row r="220" spans="2:34" ht="13.8" x14ac:dyDescent="0.25">
      <c r="B220" s="141">
        <v>209</v>
      </c>
      <c r="C220" s="171"/>
      <c r="D220" s="172"/>
      <c r="E220" s="498" t="str">
        <f>IF(C220="","",VLOOKUP(C220,'G-7 Rivers Data'!$B$2:$G$8,2,FALSE))</f>
        <v/>
      </c>
      <c r="F220" s="499" t="str">
        <f>IFERROR(VLOOKUP(E220,'G-7 Rivers Data'!$C$4:$D$8,2,FALSE),"")</f>
        <v/>
      </c>
      <c r="G220" s="145"/>
      <c r="H220" s="499" t="str">
        <f>IFERROR(INDEX('G-7 Rivers Data'!$H$4:$L$8,MATCH(C220,'G-7 Rivers Data'!$B$4:$B$8,0),MATCH(G220,'G-7 Rivers Data'!$H$3:$L$3,0)),"")</f>
        <v/>
      </c>
      <c r="I220" s="154"/>
      <c r="J220" s="507" t="str">
        <f>IF(I220="","",IF(VLOOKUP(I220,'G-7 Rivers Data'!$AG$4:$AI$9,2,FALSE)=0,"Spatial Data Missing ⚠",VLOOKUP(I220,'G-7 Rivers Data'!$AG$4:$AI$9,2,FALSE)))</f>
        <v/>
      </c>
      <c r="K220" s="499" t="str">
        <f>IF(I220="","",IF(VLOOKUP(I220,'G-7 Rivers Data'!$AG$4:$AI$9,3,FALSE)=0,"Spatial Data Missing ⚠",VLOOKUP(I220,'G-7 Rivers Data'!$AG$4:$AI$9,3,FALSE)))</f>
        <v/>
      </c>
      <c r="L220" s="498" t="str">
        <f>IFERROR(INDEX('G-7 Rivers Data'!$O$3:$O$7,MATCH(G220,'G-7 Rivers Data'!$N$3:$N$7,0)),"")</f>
        <v/>
      </c>
      <c r="M220" s="8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565" t="str">
        <f t="shared" si="24"/>
        <v/>
      </c>
      <c r="AA220" s="149"/>
      <c r="AB220" s="150"/>
      <c r="AH220" s="31" t="str">
        <f>IFERROR(INDEX('G-7 Rivers Data'!$AZ$3:$AZ$7,MATCH(C220,'G-7 Rivers Data'!$AY$3:$AY$7,0)),"")</f>
        <v/>
      </c>
    </row>
    <row r="221" spans="2:34" ht="13.8" x14ac:dyDescent="0.25">
      <c r="B221" s="141">
        <v>210</v>
      </c>
      <c r="C221" s="171"/>
      <c r="D221" s="172"/>
      <c r="E221" s="498" t="str">
        <f>IF(C221="","",VLOOKUP(C221,'G-7 Rivers Data'!$B$2:$G$8,2,FALSE))</f>
        <v/>
      </c>
      <c r="F221" s="499" t="str">
        <f>IFERROR(VLOOKUP(E221,'G-7 Rivers Data'!$C$4:$D$8,2,FALSE),"")</f>
        <v/>
      </c>
      <c r="G221" s="145"/>
      <c r="H221" s="499" t="str">
        <f>IFERROR(INDEX('G-7 Rivers Data'!$H$4:$L$8,MATCH(C221,'G-7 Rivers Data'!$B$4:$B$8,0),MATCH(G221,'G-7 Rivers Data'!$H$3:$L$3,0)),"")</f>
        <v/>
      </c>
      <c r="I221" s="154"/>
      <c r="J221" s="507" t="str">
        <f>IF(I221="","",IF(VLOOKUP(I221,'G-7 Rivers Data'!$AG$4:$AI$9,2,FALSE)=0,"Spatial Data Missing ⚠",VLOOKUP(I221,'G-7 Rivers Data'!$AG$4:$AI$9,2,FALSE)))</f>
        <v/>
      </c>
      <c r="K221" s="499" t="str">
        <f>IF(I221="","",IF(VLOOKUP(I221,'G-7 Rivers Data'!$AG$4:$AI$9,3,FALSE)=0,"Spatial Data Missing ⚠",VLOOKUP(I221,'G-7 Rivers Data'!$AG$4:$AI$9,3,FALSE)))</f>
        <v/>
      </c>
      <c r="L221" s="498" t="str">
        <f>IFERROR(INDEX('G-7 Rivers Data'!$O$3:$O$7,MATCH(G221,'G-7 Rivers Data'!$N$3:$N$7,0)),"")</f>
        <v/>
      </c>
      <c r="M221" s="8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565" t="str">
        <f t="shared" si="24"/>
        <v/>
      </c>
      <c r="AA221" s="149"/>
      <c r="AB221" s="150"/>
      <c r="AH221" s="31" t="str">
        <f>IFERROR(INDEX('G-7 Rivers Data'!$AZ$3:$AZ$7,MATCH(C221,'G-7 Rivers Data'!$AY$3:$AY$7,0)),"")</f>
        <v/>
      </c>
    </row>
    <row r="222" spans="2:34" ht="13.8" x14ac:dyDescent="0.25">
      <c r="B222" s="141">
        <v>211</v>
      </c>
      <c r="C222" s="171"/>
      <c r="D222" s="172"/>
      <c r="E222" s="498" t="str">
        <f>IF(C222="","",VLOOKUP(C222,'G-7 Rivers Data'!$B$2:$G$8,2,FALSE))</f>
        <v/>
      </c>
      <c r="F222" s="499" t="str">
        <f>IFERROR(VLOOKUP(E222,'G-7 Rivers Data'!$C$4:$D$8,2,FALSE),"")</f>
        <v/>
      </c>
      <c r="G222" s="145"/>
      <c r="H222" s="499" t="str">
        <f>IFERROR(INDEX('G-7 Rivers Data'!$H$4:$L$8,MATCH(C222,'G-7 Rivers Data'!$B$4:$B$8,0),MATCH(G222,'G-7 Rivers Data'!$H$3:$L$3,0)),"")</f>
        <v/>
      </c>
      <c r="I222" s="154"/>
      <c r="J222" s="507" t="str">
        <f>IF(I222="","",IF(VLOOKUP(I222,'G-7 Rivers Data'!$AG$4:$AI$9,2,FALSE)=0,"Spatial Data Missing ⚠",VLOOKUP(I222,'G-7 Rivers Data'!$AG$4:$AI$9,2,FALSE)))</f>
        <v/>
      </c>
      <c r="K222" s="499" t="str">
        <f>IF(I222="","",IF(VLOOKUP(I222,'G-7 Rivers Data'!$AG$4:$AI$9,3,FALSE)=0,"Spatial Data Missing ⚠",VLOOKUP(I222,'G-7 Rivers Data'!$AG$4:$AI$9,3,FALSE)))</f>
        <v/>
      </c>
      <c r="L222" s="498" t="str">
        <f>IFERROR(INDEX('G-7 Rivers Data'!$O$3:$O$7,MATCH(G222,'G-7 Rivers Data'!$N$3:$N$7,0)),"")</f>
        <v/>
      </c>
      <c r="M222" s="8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565" t="str">
        <f t="shared" si="24"/>
        <v/>
      </c>
      <c r="AA222" s="149"/>
      <c r="AB222" s="150"/>
      <c r="AH222" s="31" t="str">
        <f>IFERROR(INDEX('G-7 Rivers Data'!$AZ$3:$AZ$7,MATCH(C222,'G-7 Rivers Data'!$AY$3:$AY$7,0)),"")</f>
        <v/>
      </c>
    </row>
    <row r="223" spans="2:34" ht="13.8" x14ac:dyDescent="0.25">
      <c r="B223" s="141">
        <v>212</v>
      </c>
      <c r="C223" s="171"/>
      <c r="D223" s="172"/>
      <c r="E223" s="498" t="str">
        <f>IF(C223="","",VLOOKUP(C223,'G-7 Rivers Data'!$B$2:$G$8,2,FALSE))</f>
        <v/>
      </c>
      <c r="F223" s="499" t="str">
        <f>IFERROR(VLOOKUP(E223,'G-7 Rivers Data'!$C$4:$D$8,2,FALSE),"")</f>
        <v/>
      </c>
      <c r="G223" s="145"/>
      <c r="H223" s="499" t="str">
        <f>IFERROR(INDEX('G-7 Rivers Data'!$H$4:$L$8,MATCH(C223,'G-7 Rivers Data'!$B$4:$B$8,0),MATCH(G223,'G-7 Rivers Data'!$H$3:$L$3,0)),"")</f>
        <v/>
      </c>
      <c r="I223" s="154"/>
      <c r="J223" s="507" t="str">
        <f>IF(I223="","",IF(VLOOKUP(I223,'G-7 Rivers Data'!$AG$4:$AI$9,2,FALSE)=0,"Spatial Data Missing ⚠",VLOOKUP(I223,'G-7 Rivers Data'!$AG$4:$AI$9,2,FALSE)))</f>
        <v/>
      </c>
      <c r="K223" s="499" t="str">
        <f>IF(I223="","",IF(VLOOKUP(I223,'G-7 Rivers Data'!$AG$4:$AI$9,3,FALSE)=0,"Spatial Data Missing ⚠",VLOOKUP(I223,'G-7 Rivers Data'!$AG$4:$AI$9,3,FALSE)))</f>
        <v/>
      </c>
      <c r="L223" s="498" t="str">
        <f>IFERROR(INDEX('G-7 Rivers Data'!$O$3:$O$7,MATCH(G223,'G-7 Rivers Data'!$N$3:$N$7,0)),"")</f>
        <v/>
      </c>
      <c r="M223" s="8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565" t="str">
        <f t="shared" si="24"/>
        <v/>
      </c>
      <c r="AA223" s="149"/>
      <c r="AB223" s="150"/>
      <c r="AH223" s="31" t="str">
        <f>IFERROR(INDEX('G-7 Rivers Data'!$AZ$3:$AZ$7,MATCH(C223,'G-7 Rivers Data'!$AY$3:$AY$7,0)),"")</f>
        <v/>
      </c>
    </row>
    <row r="224" spans="2:34" ht="13.8" x14ac:dyDescent="0.25">
      <c r="B224" s="141">
        <v>213</v>
      </c>
      <c r="C224" s="171"/>
      <c r="D224" s="172"/>
      <c r="E224" s="498" t="str">
        <f>IF(C224="","",VLOOKUP(C224,'G-7 Rivers Data'!$B$2:$G$8,2,FALSE))</f>
        <v/>
      </c>
      <c r="F224" s="499" t="str">
        <f>IFERROR(VLOOKUP(E224,'G-7 Rivers Data'!$C$4:$D$8,2,FALSE),"")</f>
        <v/>
      </c>
      <c r="G224" s="145"/>
      <c r="H224" s="499" t="str">
        <f>IFERROR(INDEX('G-7 Rivers Data'!$H$4:$L$8,MATCH(C224,'G-7 Rivers Data'!$B$4:$B$8,0),MATCH(G224,'G-7 Rivers Data'!$H$3:$L$3,0)),"")</f>
        <v/>
      </c>
      <c r="I224" s="154"/>
      <c r="J224" s="507" t="str">
        <f>IF(I224="","",IF(VLOOKUP(I224,'G-7 Rivers Data'!$AG$4:$AI$9,2,FALSE)=0,"Spatial Data Missing ⚠",VLOOKUP(I224,'G-7 Rivers Data'!$AG$4:$AI$9,2,FALSE)))</f>
        <v/>
      </c>
      <c r="K224" s="499" t="str">
        <f>IF(I224="","",IF(VLOOKUP(I224,'G-7 Rivers Data'!$AG$4:$AI$9,3,FALSE)=0,"Spatial Data Missing ⚠",VLOOKUP(I224,'G-7 Rivers Data'!$AG$4:$AI$9,3,FALSE)))</f>
        <v/>
      </c>
      <c r="L224" s="498" t="str">
        <f>IFERROR(INDEX('G-7 Rivers Data'!$O$3:$O$7,MATCH(G224,'G-7 Rivers Data'!$N$3:$N$7,0)),"")</f>
        <v/>
      </c>
      <c r="M224" s="8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565" t="str">
        <f t="shared" si="24"/>
        <v/>
      </c>
      <c r="AA224" s="149"/>
      <c r="AB224" s="150"/>
      <c r="AH224" s="31" t="str">
        <f>IFERROR(INDEX('G-7 Rivers Data'!$AZ$3:$AZ$7,MATCH(C224,'G-7 Rivers Data'!$AY$3:$AY$7,0)),"")</f>
        <v/>
      </c>
    </row>
    <row r="225" spans="2:34" ht="13.8" x14ac:dyDescent="0.25">
      <c r="B225" s="141">
        <v>214</v>
      </c>
      <c r="C225" s="171"/>
      <c r="D225" s="172"/>
      <c r="E225" s="498" t="str">
        <f>IF(C225="","",VLOOKUP(C225,'G-7 Rivers Data'!$B$2:$G$8,2,FALSE))</f>
        <v/>
      </c>
      <c r="F225" s="499" t="str">
        <f>IFERROR(VLOOKUP(E225,'G-7 Rivers Data'!$C$4:$D$8,2,FALSE),"")</f>
        <v/>
      </c>
      <c r="G225" s="145"/>
      <c r="H225" s="499" t="str">
        <f>IFERROR(INDEX('G-7 Rivers Data'!$H$4:$L$8,MATCH(C225,'G-7 Rivers Data'!$B$4:$B$8,0),MATCH(G225,'G-7 Rivers Data'!$H$3:$L$3,0)),"")</f>
        <v/>
      </c>
      <c r="I225" s="154"/>
      <c r="J225" s="507" t="str">
        <f>IF(I225="","",IF(VLOOKUP(I225,'G-7 Rivers Data'!$AG$4:$AI$9,2,FALSE)=0,"Spatial Data Missing ⚠",VLOOKUP(I225,'G-7 Rivers Data'!$AG$4:$AI$9,2,FALSE)))</f>
        <v/>
      </c>
      <c r="K225" s="499" t="str">
        <f>IF(I225="","",IF(VLOOKUP(I225,'G-7 Rivers Data'!$AG$4:$AI$9,3,FALSE)=0,"Spatial Data Missing ⚠",VLOOKUP(I225,'G-7 Rivers Data'!$AG$4:$AI$9,3,FALSE)))</f>
        <v/>
      </c>
      <c r="L225" s="498" t="str">
        <f>IFERROR(INDEX('G-7 Rivers Data'!$O$3:$O$7,MATCH(G225,'G-7 Rivers Data'!$N$3:$N$7,0)),"")</f>
        <v/>
      </c>
      <c r="M225" s="8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565" t="str">
        <f t="shared" si="24"/>
        <v/>
      </c>
      <c r="AA225" s="149"/>
      <c r="AB225" s="150"/>
      <c r="AH225" s="31" t="str">
        <f>IFERROR(INDEX('G-7 Rivers Data'!$AZ$3:$AZ$7,MATCH(C225,'G-7 Rivers Data'!$AY$3:$AY$7,0)),"")</f>
        <v/>
      </c>
    </row>
    <row r="226" spans="2:34" ht="13.8" x14ac:dyDescent="0.25">
      <c r="B226" s="141">
        <v>215</v>
      </c>
      <c r="C226" s="171"/>
      <c r="D226" s="172"/>
      <c r="E226" s="498" t="str">
        <f>IF(C226="","",VLOOKUP(C226,'G-7 Rivers Data'!$B$2:$G$8,2,FALSE))</f>
        <v/>
      </c>
      <c r="F226" s="499" t="str">
        <f>IFERROR(VLOOKUP(E226,'G-7 Rivers Data'!$C$4:$D$8,2,FALSE),"")</f>
        <v/>
      </c>
      <c r="G226" s="145"/>
      <c r="H226" s="499" t="str">
        <f>IFERROR(INDEX('G-7 Rivers Data'!$H$4:$L$8,MATCH(C226,'G-7 Rivers Data'!$B$4:$B$8,0),MATCH(G226,'G-7 Rivers Data'!$H$3:$L$3,0)),"")</f>
        <v/>
      </c>
      <c r="I226" s="154"/>
      <c r="J226" s="507" t="str">
        <f>IF(I226="","",IF(VLOOKUP(I226,'G-7 Rivers Data'!$AG$4:$AI$9,2,FALSE)=0,"Spatial Data Missing ⚠",VLOOKUP(I226,'G-7 Rivers Data'!$AG$4:$AI$9,2,FALSE)))</f>
        <v/>
      </c>
      <c r="K226" s="499" t="str">
        <f>IF(I226="","",IF(VLOOKUP(I226,'G-7 Rivers Data'!$AG$4:$AI$9,3,FALSE)=0,"Spatial Data Missing ⚠",VLOOKUP(I226,'G-7 Rivers Data'!$AG$4:$AI$9,3,FALSE)))</f>
        <v/>
      </c>
      <c r="L226" s="498" t="str">
        <f>IFERROR(INDEX('G-7 Rivers Data'!$O$3:$O$7,MATCH(G226,'G-7 Rivers Data'!$N$3:$N$7,0)),"")</f>
        <v/>
      </c>
      <c r="M226" s="8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565" t="str">
        <f t="shared" si="24"/>
        <v/>
      </c>
      <c r="AA226" s="149"/>
      <c r="AB226" s="150"/>
      <c r="AH226" s="31" t="str">
        <f>IFERROR(INDEX('G-7 Rivers Data'!$AZ$3:$AZ$7,MATCH(C226,'G-7 Rivers Data'!$AY$3:$AY$7,0)),"")</f>
        <v/>
      </c>
    </row>
    <row r="227" spans="2:34" ht="13.8" x14ac:dyDescent="0.25">
      <c r="B227" s="141">
        <v>216</v>
      </c>
      <c r="C227" s="171"/>
      <c r="D227" s="172"/>
      <c r="E227" s="498" t="str">
        <f>IF(C227="","",VLOOKUP(C227,'G-7 Rivers Data'!$B$2:$G$8,2,FALSE))</f>
        <v/>
      </c>
      <c r="F227" s="499" t="str">
        <f>IFERROR(VLOOKUP(E227,'G-7 Rivers Data'!$C$4:$D$8,2,FALSE),"")</f>
        <v/>
      </c>
      <c r="G227" s="145"/>
      <c r="H227" s="499" t="str">
        <f>IFERROR(INDEX('G-7 Rivers Data'!$H$4:$L$8,MATCH(C227,'G-7 Rivers Data'!$B$4:$B$8,0),MATCH(G227,'G-7 Rivers Data'!$H$3:$L$3,0)),"")</f>
        <v/>
      </c>
      <c r="I227" s="154"/>
      <c r="J227" s="507" t="str">
        <f>IF(I227="","",IF(VLOOKUP(I227,'G-7 Rivers Data'!$AG$4:$AI$9,2,FALSE)=0,"Spatial Data Missing ⚠",VLOOKUP(I227,'G-7 Rivers Data'!$AG$4:$AI$9,2,FALSE)))</f>
        <v/>
      </c>
      <c r="K227" s="499" t="str">
        <f>IF(I227="","",IF(VLOOKUP(I227,'G-7 Rivers Data'!$AG$4:$AI$9,3,FALSE)=0,"Spatial Data Missing ⚠",VLOOKUP(I227,'G-7 Rivers Data'!$AG$4:$AI$9,3,FALSE)))</f>
        <v/>
      </c>
      <c r="L227" s="498" t="str">
        <f>IFERROR(INDEX('G-7 Rivers Data'!$O$3:$O$7,MATCH(G227,'G-7 Rivers Data'!$N$3:$N$7,0)),"")</f>
        <v/>
      </c>
      <c r="M227" s="8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565" t="str">
        <f t="shared" si="24"/>
        <v/>
      </c>
      <c r="AA227" s="149"/>
      <c r="AB227" s="150"/>
      <c r="AH227" s="31" t="str">
        <f>IFERROR(INDEX('G-7 Rivers Data'!$AZ$3:$AZ$7,MATCH(C227,'G-7 Rivers Data'!$AY$3:$AY$7,0)),"")</f>
        <v/>
      </c>
    </row>
    <row r="228" spans="2:34" ht="13.8" x14ac:dyDescent="0.25">
      <c r="B228" s="141">
        <v>217</v>
      </c>
      <c r="C228" s="171"/>
      <c r="D228" s="172"/>
      <c r="E228" s="498" t="str">
        <f>IF(C228="","",VLOOKUP(C228,'G-7 Rivers Data'!$B$2:$G$8,2,FALSE))</f>
        <v/>
      </c>
      <c r="F228" s="499" t="str">
        <f>IFERROR(VLOOKUP(E228,'G-7 Rivers Data'!$C$4:$D$8,2,FALSE),"")</f>
        <v/>
      </c>
      <c r="G228" s="145"/>
      <c r="H228" s="499" t="str">
        <f>IFERROR(INDEX('G-7 Rivers Data'!$H$4:$L$8,MATCH(C228,'G-7 Rivers Data'!$B$4:$B$8,0),MATCH(G228,'G-7 Rivers Data'!$H$3:$L$3,0)),"")</f>
        <v/>
      </c>
      <c r="I228" s="154"/>
      <c r="J228" s="507" t="str">
        <f>IF(I228="","",IF(VLOOKUP(I228,'G-7 Rivers Data'!$AG$4:$AI$9,2,FALSE)=0,"Spatial Data Missing ⚠",VLOOKUP(I228,'G-7 Rivers Data'!$AG$4:$AI$9,2,FALSE)))</f>
        <v/>
      </c>
      <c r="K228" s="499" t="str">
        <f>IF(I228="","",IF(VLOOKUP(I228,'G-7 Rivers Data'!$AG$4:$AI$9,3,FALSE)=0,"Spatial Data Missing ⚠",VLOOKUP(I228,'G-7 Rivers Data'!$AG$4:$AI$9,3,FALSE)))</f>
        <v/>
      </c>
      <c r="L228" s="498" t="str">
        <f>IFERROR(INDEX('G-7 Rivers Data'!$O$3:$O$7,MATCH(G228,'G-7 Rivers Data'!$N$3:$N$7,0)),"")</f>
        <v/>
      </c>
      <c r="M228" s="8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565" t="str">
        <f t="shared" si="24"/>
        <v/>
      </c>
      <c r="AA228" s="149"/>
      <c r="AB228" s="150"/>
      <c r="AH228" s="31" t="str">
        <f>IFERROR(INDEX('G-7 Rivers Data'!$AZ$3:$AZ$7,MATCH(C228,'G-7 Rivers Data'!$AY$3:$AY$7,0)),"")</f>
        <v/>
      </c>
    </row>
    <row r="229" spans="2:34" ht="13.8" x14ac:dyDescent="0.25">
      <c r="B229" s="141">
        <v>218</v>
      </c>
      <c r="C229" s="171"/>
      <c r="D229" s="172"/>
      <c r="E229" s="498" t="str">
        <f>IF(C229="","",VLOOKUP(C229,'G-7 Rivers Data'!$B$2:$G$8,2,FALSE))</f>
        <v/>
      </c>
      <c r="F229" s="499" t="str">
        <f>IFERROR(VLOOKUP(E229,'G-7 Rivers Data'!$C$4:$D$8,2,FALSE),"")</f>
        <v/>
      </c>
      <c r="G229" s="145"/>
      <c r="H229" s="499" t="str">
        <f>IFERROR(INDEX('G-7 Rivers Data'!$H$4:$L$8,MATCH(C229,'G-7 Rivers Data'!$B$4:$B$8,0),MATCH(G229,'G-7 Rivers Data'!$H$3:$L$3,0)),"")</f>
        <v/>
      </c>
      <c r="I229" s="154"/>
      <c r="J229" s="507" t="str">
        <f>IF(I229="","",IF(VLOOKUP(I229,'G-7 Rivers Data'!$AG$4:$AI$9,2,FALSE)=0,"Spatial Data Missing ⚠",VLOOKUP(I229,'G-7 Rivers Data'!$AG$4:$AI$9,2,FALSE)))</f>
        <v/>
      </c>
      <c r="K229" s="499" t="str">
        <f>IF(I229="","",IF(VLOOKUP(I229,'G-7 Rivers Data'!$AG$4:$AI$9,3,FALSE)=0,"Spatial Data Missing ⚠",VLOOKUP(I229,'G-7 Rivers Data'!$AG$4:$AI$9,3,FALSE)))</f>
        <v/>
      </c>
      <c r="L229" s="498" t="str">
        <f>IFERROR(INDEX('G-7 Rivers Data'!$O$3:$O$7,MATCH(G229,'G-7 Rivers Data'!$N$3:$N$7,0)),"")</f>
        <v/>
      </c>
      <c r="M229" s="8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565" t="str">
        <f t="shared" si="24"/>
        <v/>
      </c>
      <c r="AA229" s="149"/>
      <c r="AB229" s="150"/>
      <c r="AH229" s="31" t="str">
        <f>IFERROR(INDEX('G-7 Rivers Data'!$AZ$3:$AZ$7,MATCH(C229,'G-7 Rivers Data'!$AY$3:$AY$7,0)),"")</f>
        <v/>
      </c>
    </row>
    <row r="230" spans="2:34" ht="13.8" x14ac:dyDescent="0.25">
      <c r="B230" s="141">
        <v>219</v>
      </c>
      <c r="C230" s="171"/>
      <c r="D230" s="172"/>
      <c r="E230" s="498" t="str">
        <f>IF(C230="","",VLOOKUP(C230,'G-7 Rivers Data'!$B$2:$G$8,2,FALSE))</f>
        <v/>
      </c>
      <c r="F230" s="499" t="str">
        <f>IFERROR(VLOOKUP(E230,'G-7 Rivers Data'!$C$4:$D$8,2,FALSE),"")</f>
        <v/>
      </c>
      <c r="G230" s="145"/>
      <c r="H230" s="499" t="str">
        <f>IFERROR(INDEX('G-7 Rivers Data'!$H$4:$L$8,MATCH(C230,'G-7 Rivers Data'!$B$4:$B$8,0),MATCH(G230,'G-7 Rivers Data'!$H$3:$L$3,0)),"")</f>
        <v/>
      </c>
      <c r="I230" s="154"/>
      <c r="J230" s="507" t="str">
        <f>IF(I230="","",IF(VLOOKUP(I230,'G-7 Rivers Data'!$AG$4:$AI$9,2,FALSE)=0,"Spatial Data Missing ⚠",VLOOKUP(I230,'G-7 Rivers Data'!$AG$4:$AI$9,2,FALSE)))</f>
        <v/>
      </c>
      <c r="K230" s="499" t="str">
        <f>IF(I230="","",IF(VLOOKUP(I230,'G-7 Rivers Data'!$AG$4:$AI$9,3,FALSE)=0,"Spatial Data Missing ⚠",VLOOKUP(I230,'G-7 Rivers Data'!$AG$4:$AI$9,3,FALSE)))</f>
        <v/>
      </c>
      <c r="L230" s="498" t="str">
        <f>IFERROR(INDEX('G-7 Rivers Data'!$O$3:$O$7,MATCH(G230,'G-7 Rivers Data'!$N$3:$N$7,0)),"")</f>
        <v/>
      </c>
      <c r="M230" s="8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565" t="str">
        <f t="shared" si="24"/>
        <v/>
      </c>
      <c r="AA230" s="149"/>
      <c r="AB230" s="150"/>
      <c r="AH230" s="31" t="str">
        <f>IFERROR(INDEX('G-7 Rivers Data'!$AZ$3:$AZ$7,MATCH(C230,'G-7 Rivers Data'!$AY$3:$AY$7,0)),"")</f>
        <v/>
      </c>
    </row>
    <row r="231" spans="2:34" ht="13.8" x14ac:dyDescent="0.25">
      <c r="B231" s="141">
        <v>220</v>
      </c>
      <c r="C231" s="171"/>
      <c r="D231" s="172"/>
      <c r="E231" s="498" t="str">
        <f>IF(C231="","",VLOOKUP(C231,'G-7 Rivers Data'!$B$2:$G$8,2,FALSE))</f>
        <v/>
      </c>
      <c r="F231" s="499" t="str">
        <f>IFERROR(VLOOKUP(E231,'G-7 Rivers Data'!$C$4:$D$8,2,FALSE),"")</f>
        <v/>
      </c>
      <c r="G231" s="145"/>
      <c r="H231" s="499" t="str">
        <f>IFERROR(INDEX('G-7 Rivers Data'!$H$4:$L$8,MATCH(C231,'G-7 Rivers Data'!$B$4:$B$8,0),MATCH(G231,'G-7 Rivers Data'!$H$3:$L$3,0)),"")</f>
        <v/>
      </c>
      <c r="I231" s="154"/>
      <c r="J231" s="507" t="str">
        <f>IF(I231="","",IF(VLOOKUP(I231,'G-7 Rivers Data'!$AG$4:$AI$9,2,FALSE)=0,"Spatial Data Missing ⚠",VLOOKUP(I231,'G-7 Rivers Data'!$AG$4:$AI$9,2,FALSE)))</f>
        <v/>
      </c>
      <c r="K231" s="499" t="str">
        <f>IF(I231="","",IF(VLOOKUP(I231,'G-7 Rivers Data'!$AG$4:$AI$9,3,FALSE)=0,"Spatial Data Missing ⚠",VLOOKUP(I231,'G-7 Rivers Data'!$AG$4:$AI$9,3,FALSE)))</f>
        <v/>
      </c>
      <c r="L231" s="498" t="str">
        <f>IFERROR(INDEX('G-7 Rivers Data'!$O$3:$O$7,MATCH(G231,'G-7 Rivers Data'!$N$3:$N$7,0)),"")</f>
        <v/>
      </c>
      <c r="M231" s="8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565" t="str">
        <f t="shared" si="24"/>
        <v/>
      </c>
      <c r="AA231" s="149"/>
      <c r="AB231" s="150"/>
      <c r="AH231" s="31" t="str">
        <f>IFERROR(INDEX('G-7 Rivers Data'!$AZ$3:$AZ$7,MATCH(C231,'G-7 Rivers Data'!$AY$3:$AY$7,0)),"")</f>
        <v/>
      </c>
    </row>
    <row r="232" spans="2:34" ht="13.8" x14ac:dyDescent="0.25">
      <c r="B232" s="141">
        <v>221</v>
      </c>
      <c r="C232" s="171"/>
      <c r="D232" s="172"/>
      <c r="E232" s="498" t="str">
        <f>IF(C232="","",VLOOKUP(C232,'G-7 Rivers Data'!$B$2:$G$8,2,FALSE))</f>
        <v/>
      </c>
      <c r="F232" s="499" t="str">
        <f>IFERROR(VLOOKUP(E232,'G-7 Rivers Data'!$C$4:$D$8,2,FALSE),"")</f>
        <v/>
      </c>
      <c r="G232" s="145"/>
      <c r="H232" s="499" t="str">
        <f>IFERROR(INDEX('G-7 Rivers Data'!$H$4:$L$8,MATCH(C232,'G-7 Rivers Data'!$B$4:$B$8,0),MATCH(G232,'G-7 Rivers Data'!$H$3:$L$3,0)),"")</f>
        <v/>
      </c>
      <c r="I232" s="154"/>
      <c r="J232" s="507" t="str">
        <f>IF(I232="","",IF(VLOOKUP(I232,'G-7 Rivers Data'!$AG$4:$AI$9,2,FALSE)=0,"Spatial Data Missing ⚠",VLOOKUP(I232,'G-7 Rivers Data'!$AG$4:$AI$9,2,FALSE)))</f>
        <v/>
      </c>
      <c r="K232" s="499" t="str">
        <f>IF(I232="","",IF(VLOOKUP(I232,'G-7 Rivers Data'!$AG$4:$AI$9,3,FALSE)=0,"Spatial Data Missing ⚠",VLOOKUP(I232,'G-7 Rivers Data'!$AG$4:$AI$9,3,FALSE)))</f>
        <v/>
      </c>
      <c r="L232" s="498" t="str">
        <f>IFERROR(INDEX('G-7 Rivers Data'!$O$3:$O$7,MATCH(G232,'G-7 Rivers Data'!$N$3:$N$7,0)),"")</f>
        <v/>
      </c>
      <c r="M232" s="8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565" t="str">
        <f t="shared" si="24"/>
        <v/>
      </c>
      <c r="AA232" s="149"/>
      <c r="AB232" s="150"/>
      <c r="AH232" s="31" t="str">
        <f>IFERROR(INDEX('G-7 Rivers Data'!$AZ$3:$AZ$7,MATCH(C232,'G-7 Rivers Data'!$AY$3:$AY$7,0)),"")</f>
        <v/>
      </c>
    </row>
    <row r="233" spans="2:34" ht="13.8" x14ac:dyDescent="0.25">
      <c r="B233" s="141">
        <v>222</v>
      </c>
      <c r="C233" s="171"/>
      <c r="D233" s="172"/>
      <c r="E233" s="498" t="str">
        <f>IF(C233="","",VLOOKUP(C233,'G-7 Rivers Data'!$B$2:$G$8,2,FALSE))</f>
        <v/>
      </c>
      <c r="F233" s="499" t="str">
        <f>IFERROR(VLOOKUP(E233,'G-7 Rivers Data'!$C$4:$D$8,2,FALSE),"")</f>
        <v/>
      </c>
      <c r="G233" s="145"/>
      <c r="H233" s="499" t="str">
        <f>IFERROR(INDEX('G-7 Rivers Data'!$H$4:$L$8,MATCH(C233,'G-7 Rivers Data'!$B$4:$B$8,0),MATCH(G233,'G-7 Rivers Data'!$H$3:$L$3,0)),"")</f>
        <v/>
      </c>
      <c r="I233" s="154"/>
      <c r="J233" s="507" t="str">
        <f>IF(I233="","",IF(VLOOKUP(I233,'G-7 Rivers Data'!$AG$4:$AI$9,2,FALSE)=0,"Spatial Data Missing ⚠",VLOOKUP(I233,'G-7 Rivers Data'!$AG$4:$AI$9,2,FALSE)))</f>
        <v/>
      </c>
      <c r="K233" s="499" t="str">
        <f>IF(I233="","",IF(VLOOKUP(I233,'G-7 Rivers Data'!$AG$4:$AI$9,3,FALSE)=0,"Spatial Data Missing ⚠",VLOOKUP(I233,'G-7 Rivers Data'!$AG$4:$AI$9,3,FALSE)))</f>
        <v/>
      </c>
      <c r="L233" s="498" t="str">
        <f>IFERROR(INDEX('G-7 Rivers Data'!$O$3:$O$7,MATCH(G233,'G-7 Rivers Data'!$N$3:$N$7,0)),"")</f>
        <v/>
      </c>
      <c r="M233" s="8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565" t="str">
        <f t="shared" si="24"/>
        <v/>
      </c>
      <c r="AA233" s="149"/>
      <c r="AB233" s="150"/>
      <c r="AH233" s="31" t="str">
        <f>IFERROR(INDEX('G-7 Rivers Data'!$AZ$3:$AZ$7,MATCH(C233,'G-7 Rivers Data'!$AY$3:$AY$7,0)),"")</f>
        <v/>
      </c>
    </row>
    <row r="234" spans="2:34" ht="13.8" x14ac:dyDescent="0.25">
      <c r="B234" s="141">
        <v>223</v>
      </c>
      <c r="C234" s="171"/>
      <c r="D234" s="172"/>
      <c r="E234" s="498" t="str">
        <f>IF(C234="","",VLOOKUP(C234,'G-7 Rivers Data'!$B$2:$G$8,2,FALSE))</f>
        <v/>
      </c>
      <c r="F234" s="499" t="str">
        <f>IFERROR(VLOOKUP(E234,'G-7 Rivers Data'!$C$4:$D$8,2,FALSE),"")</f>
        <v/>
      </c>
      <c r="G234" s="145"/>
      <c r="H234" s="499" t="str">
        <f>IFERROR(INDEX('G-7 Rivers Data'!$H$4:$L$8,MATCH(C234,'G-7 Rivers Data'!$B$4:$B$8,0),MATCH(G234,'G-7 Rivers Data'!$H$3:$L$3,0)),"")</f>
        <v/>
      </c>
      <c r="I234" s="154"/>
      <c r="J234" s="507" t="str">
        <f>IF(I234="","",IF(VLOOKUP(I234,'G-7 Rivers Data'!$AG$4:$AI$9,2,FALSE)=0,"Spatial Data Missing ⚠",VLOOKUP(I234,'G-7 Rivers Data'!$AG$4:$AI$9,2,FALSE)))</f>
        <v/>
      </c>
      <c r="K234" s="499" t="str">
        <f>IF(I234="","",IF(VLOOKUP(I234,'G-7 Rivers Data'!$AG$4:$AI$9,3,FALSE)=0,"Spatial Data Missing ⚠",VLOOKUP(I234,'G-7 Rivers Data'!$AG$4:$AI$9,3,FALSE)))</f>
        <v/>
      </c>
      <c r="L234" s="498" t="str">
        <f>IFERROR(INDEX('G-7 Rivers Data'!$O$3:$O$7,MATCH(G234,'G-7 Rivers Data'!$N$3:$N$7,0)),"")</f>
        <v/>
      </c>
      <c r="M234" s="8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565" t="str">
        <f t="shared" si="24"/>
        <v/>
      </c>
      <c r="AA234" s="149"/>
      <c r="AB234" s="150"/>
      <c r="AH234" s="31" t="str">
        <f>IFERROR(INDEX('G-7 Rivers Data'!$AZ$3:$AZ$7,MATCH(C234,'G-7 Rivers Data'!$AY$3:$AY$7,0)),"")</f>
        <v/>
      </c>
    </row>
    <row r="235" spans="2:34" ht="13.8" x14ac:dyDescent="0.25">
      <c r="B235" s="141">
        <v>224</v>
      </c>
      <c r="C235" s="171"/>
      <c r="D235" s="172"/>
      <c r="E235" s="498" t="str">
        <f>IF(C235="","",VLOOKUP(C235,'G-7 Rivers Data'!$B$2:$G$8,2,FALSE))</f>
        <v/>
      </c>
      <c r="F235" s="499" t="str">
        <f>IFERROR(VLOOKUP(E235,'G-7 Rivers Data'!$C$4:$D$8,2,FALSE),"")</f>
        <v/>
      </c>
      <c r="G235" s="145"/>
      <c r="H235" s="499" t="str">
        <f>IFERROR(INDEX('G-7 Rivers Data'!$H$4:$L$8,MATCH(C235,'G-7 Rivers Data'!$B$4:$B$8,0),MATCH(G235,'G-7 Rivers Data'!$H$3:$L$3,0)),"")</f>
        <v/>
      </c>
      <c r="I235" s="154"/>
      <c r="J235" s="507" t="str">
        <f>IF(I235="","",IF(VLOOKUP(I235,'G-7 Rivers Data'!$AG$4:$AI$9,2,FALSE)=0,"Spatial Data Missing ⚠",VLOOKUP(I235,'G-7 Rivers Data'!$AG$4:$AI$9,2,FALSE)))</f>
        <v/>
      </c>
      <c r="K235" s="499" t="str">
        <f>IF(I235="","",IF(VLOOKUP(I235,'G-7 Rivers Data'!$AG$4:$AI$9,3,FALSE)=0,"Spatial Data Missing ⚠",VLOOKUP(I235,'G-7 Rivers Data'!$AG$4:$AI$9,3,FALSE)))</f>
        <v/>
      </c>
      <c r="L235" s="498" t="str">
        <f>IFERROR(INDEX('G-7 Rivers Data'!$O$3:$O$7,MATCH(G235,'G-7 Rivers Data'!$N$3:$N$7,0)),"")</f>
        <v/>
      </c>
      <c r="M235" s="8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565" t="str">
        <f t="shared" si="24"/>
        <v/>
      </c>
      <c r="AA235" s="149"/>
      <c r="AB235" s="150"/>
      <c r="AH235" s="31" t="str">
        <f>IFERROR(INDEX('G-7 Rivers Data'!$AZ$3:$AZ$7,MATCH(C235,'G-7 Rivers Data'!$AY$3:$AY$7,0)),"")</f>
        <v/>
      </c>
    </row>
    <row r="236" spans="2:34" ht="13.8" x14ac:dyDescent="0.25">
      <c r="B236" s="141">
        <v>225</v>
      </c>
      <c r="C236" s="171"/>
      <c r="D236" s="172"/>
      <c r="E236" s="498" t="str">
        <f>IF(C236="","",VLOOKUP(C236,'G-7 Rivers Data'!$B$2:$G$8,2,FALSE))</f>
        <v/>
      </c>
      <c r="F236" s="499" t="str">
        <f>IFERROR(VLOOKUP(E236,'G-7 Rivers Data'!$C$4:$D$8,2,FALSE),"")</f>
        <v/>
      </c>
      <c r="G236" s="145"/>
      <c r="H236" s="499" t="str">
        <f>IFERROR(INDEX('G-7 Rivers Data'!$H$4:$L$8,MATCH(C236,'G-7 Rivers Data'!$B$4:$B$8,0),MATCH(G236,'G-7 Rivers Data'!$H$3:$L$3,0)),"")</f>
        <v/>
      </c>
      <c r="I236" s="154"/>
      <c r="J236" s="507" t="str">
        <f>IF(I236="","",IF(VLOOKUP(I236,'G-7 Rivers Data'!$AG$4:$AI$9,2,FALSE)=0,"Spatial Data Missing ⚠",VLOOKUP(I236,'G-7 Rivers Data'!$AG$4:$AI$9,2,FALSE)))</f>
        <v/>
      </c>
      <c r="K236" s="499" t="str">
        <f>IF(I236="","",IF(VLOOKUP(I236,'G-7 Rivers Data'!$AG$4:$AI$9,3,FALSE)=0,"Spatial Data Missing ⚠",VLOOKUP(I236,'G-7 Rivers Data'!$AG$4:$AI$9,3,FALSE)))</f>
        <v/>
      </c>
      <c r="L236" s="498" t="str">
        <f>IFERROR(INDEX('G-7 Rivers Data'!$O$3:$O$7,MATCH(G236,'G-7 Rivers Data'!$N$3:$N$7,0)),"")</f>
        <v/>
      </c>
      <c r="M236" s="8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565" t="str">
        <f t="shared" si="24"/>
        <v/>
      </c>
      <c r="AA236" s="149"/>
      <c r="AB236" s="150"/>
      <c r="AH236" s="31" t="str">
        <f>IFERROR(INDEX('G-7 Rivers Data'!$AZ$3:$AZ$7,MATCH(C236,'G-7 Rivers Data'!$AY$3:$AY$7,0)),"")</f>
        <v/>
      </c>
    </row>
    <row r="237" spans="2:34" ht="13.8" x14ac:dyDescent="0.25">
      <c r="B237" s="141">
        <v>226</v>
      </c>
      <c r="C237" s="171"/>
      <c r="D237" s="172"/>
      <c r="E237" s="498" t="str">
        <f>IF(C237="","",VLOOKUP(C237,'G-7 Rivers Data'!$B$2:$G$8,2,FALSE))</f>
        <v/>
      </c>
      <c r="F237" s="499" t="str">
        <f>IFERROR(VLOOKUP(E237,'G-7 Rivers Data'!$C$4:$D$8,2,FALSE),"")</f>
        <v/>
      </c>
      <c r="G237" s="145"/>
      <c r="H237" s="499" t="str">
        <f>IFERROR(INDEX('G-7 Rivers Data'!$H$4:$L$8,MATCH(C237,'G-7 Rivers Data'!$B$4:$B$8,0),MATCH(G237,'G-7 Rivers Data'!$H$3:$L$3,0)),"")</f>
        <v/>
      </c>
      <c r="I237" s="154"/>
      <c r="J237" s="507" t="str">
        <f>IF(I237="","",IF(VLOOKUP(I237,'G-7 Rivers Data'!$AG$4:$AI$9,2,FALSE)=0,"Spatial Data Missing ⚠",VLOOKUP(I237,'G-7 Rivers Data'!$AG$4:$AI$9,2,FALSE)))</f>
        <v/>
      </c>
      <c r="K237" s="499" t="str">
        <f>IF(I237="","",IF(VLOOKUP(I237,'G-7 Rivers Data'!$AG$4:$AI$9,3,FALSE)=0,"Spatial Data Missing ⚠",VLOOKUP(I237,'G-7 Rivers Data'!$AG$4:$AI$9,3,FALSE)))</f>
        <v/>
      </c>
      <c r="L237" s="498" t="str">
        <f>IFERROR(INDEX('G-7 Rivers Data'!$O$3:$O$7,MATCH(G237,'G-7 Rivers Data'!$N$3:$N$7,0)),"")</f>
        <v/>
      </c>
      <c r="M237" s="8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565" t="str">
        <f t="shared" si="24"/>
        <v/>
      </c>
      <c r="AA237" s="149"/>
      <c r="AB237" s="150"/>
      <c r="AH237" s="31" t="str">
        <f>IFERROR(INDEX('G-7 Rivers Data'!$AZ$3:$AZ$7,MATCH(C237,'G-7 Rivers Data'!$AY$3:$AY$7,0)),"")</f>
        <v/>
      </c>
    </row>
    <row r="238" spans="2:34" ht="13.8" x14ac:dyDescent="0.25">
      <c r="B238" s="141">
        <v>227</v>
      </c>
      <c r="C238" s="171"/>
      <c r="D238" s="172"/>
      <c r="E238" s="498" t="str">
        <f>IF(C238="","",VLOOKUP(C238,'G-7 Rivers Data'!$B$2:$G$8,2,FALSE))</f>
        <v/>
      </c>
      <c r="F238" s="499" t="str">
        <f>IFERROR(VLOOKUP(E238,'G-7 Rivers Data'!$C$4:$D$8,2,FALSE),"")</f>
        <v/>
      </c>
      <c r="G238" s="145"/>
      <c r="H238" s="499" t="str">
        <f>IFERROR(INDEX('G-7 Rivers Data'!$H$4:$L$8,MATCH(C238,'G-7 Rivers Data'!$B$4:$B$8,0),MATCH(G238,'G-7 Rivers Data'!$H$3:$L$3,0)),"")</f>
        <v/>
      </c>
      <c r="I238" s="154"/>
      <c r="J238" s="507" t="str">
        <f>IF(I238="","",IF(VLOOKUP(I238,'G-7 Rivers Data'!$AG$4:$AI$9,2,FALSE)=0,"Spatial Data Missing ⚠",VLOOKUP(I238,'G-7 Rivers Data'!$AG$4:$AI$9,2,FALSE)))</f>
        <v/>
      </c>
      <c r="K238" s="499" t="str">
        <f>IF(I238="","",IF(VLOOKUP(I238,'G-7 Rivers Data'!$AG$4:$AI$9,3,FALSE)=0,"Spatial Data Missing ⚠",VLOOKUP(I238,'G-7 Rivers Data'!$AG$4:$AI$9,3,FALSE)))</f>
        <v/>
      </c>
      <c r="L238" s="498" t="str">
        <f>IFERROR(INDEX('G-7 Rivers Data'!$O$3:$O$7,MATCH(G238,'G-7 Rivers Data'!$N$3:$N$7,0)),"")</f>
        <v/>
      </c>
      <c r="M238" s="8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565" t="str">
        <f t="shared" si="24"/>
        <v/>
      </c>
      <c r="AA238" s="149"/>
      <c r="AB238" s="150"/>
      <c r="AH238" s="31" t="str">
        <f>IFERROR(INDEX('G-7 Rivers Data'!$AZ$3:$AZ$7,MATCH(C238,'G-7 Rivers Data'!$AY$3:$AY$7,0)),"")</f>
        <v/>
      </c>
    </row>
    <row r="239" spans="2:34" ht="13.8" x14ac:dyDescent="0.25">
      <c r="B239" s="141">
        <v>228</v>
      </c>
      <c r="C239" s="171"/>
      <c r="D239" s="172"/>
      <c r="E239" s="498" t="str">
        <f>IF(C239="","",VLOOKUP(C239,'G-7 Rivers Data'!$B$2:$G$8,2,FALSE))</f>
        <v/>
      </c>
      <c r="F239" s="499" t="str">
        <f>IFERROR(VLOOKUP(E239,'G-7 Rivers Data'!$C$4:$D$8,2,FALSE),"")</f>
        <v/>
      </c>
      <c r="G239" s="145"/>
      <c r="H239" s="499" t="str">
        <f>IFERROR(INDEX('G-7 Rivers Data'!$H$4:$L$8,MATCH(C239,'G-7 Rivers Data'!$B$4:$B$8,0),MATCH(G239,'G-7 Rivers Data'!$H$3:$L$3,0)),"")</f>
        <v/>
      </c>
      <c r="I239" s="154"/>
      <c r="J239" s="507" t="str">
        <f>IF(I239="","",IF(VLOOKUP(I239,'G-7 Rivers Data'!$AG$4:$AI$9,2,FALSE)=0,"Spatial Data Missing ⚠",VLOOKUP(I239,'G-7 Rivers Data'!$AG$4:$AI$9,2,FALSE)))</f>
        <v/>
      </c>
      <c r="K239" s="499" t="str">
        <f>IF(I239="","",IF(VLOOKUP(I239,'G-7 Rivers Data'!$AG$4:$AI$9,3,FALSE)=0,"Spatial Data Missing ⚠",VLOOKUP(I239,'G-7 Rivers Data'!$AG$4:$AI$9,3,FALSE)))</f>
        <v/>
      </c>
      <c r="L239" s="498" t="str">
        <f>IFERROR(INDEX('G-7 Rivers Data'!$O$3:$O$7,MATCH(G239,'G-7 Rivers Data'!$N$3:$N$7,0)),"")</f>
        <v/>
      </c>
      <c r="M239" s="8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565" t="str">
        <f t="shared" si="24"/>
        <v/>
      </c>
      <c r="AA239" s="149"/>
      <c r="AB239" s="150"/>
      <c r="AH239" s="31" t="str">
        <f>IFERROR(INDEX('G-7 Rivers Data'!$AZ$3:$AZ$7,MATCH(C239,'G-7 Rivers Data'!$AY$3:$AY$7,0)),"")</f>
        <v/>
      </c>
    </row>
    <row r="240" spans="2:34" ht="13.8" x14ac:dyDescent="0.25">
      <c r="B240" s="141">
        <v>229</v>
      </c>
      <c r="C240" s="171"/>
      <c r="D240" s="172"/>
      <c r="E240" s="498" t="str">
        <f>IF(C240="","",VLOOKUP(C240,'G-7 Rivers Data'!$B$2:$G$8,2,FALSE))</f>
        <v/>
      </c>
      <c r="F240" s="499" t="str">
        <f>IFERROR(VLOOKUP(E240,'G-7 Rivers Data'!$C$4:$D$8,2,FALSE),"")</f>
        <v/>
      </c>
      <c r="G240" s="145"/>
      <c r="H240" s="499" t="str">
        <f>IFERROR(INDEX('G-7 Rivers Data'!$H$4:$L$8,MATCH(C240,'G-7 Rivers Data'!$B$4:$B$8,0),MATCH(G240,'G-7 Rivers Data'!$H$3:$L$3,0)),"")</f>
        <v/>
      </c>
      <c r="I240" s="154"/>
      <c r="J240" s="507" t="str">
        <f>IF(I240="","",IF(VLOOKUP(I240,'G-7 Rivers Data'!$AG$4:$AI$9,2,FALSE)=0,"Spatial Data Missing ⚠",VLOOKUP(I240,'G-7 Rivers Data'!$AG$4:$AI$9,2,FALSE)))</f>
        <v/>
      </c>
      <c r="K240" s="499" t="str">
        <f>IF(I240="","",IF(VLOOKUP(I240,'G-7 Rivers Data'!$AG$4:$AI$9,3,FALSE)=0,"Spatial Data Missing ⚠",VLOOKUP(I240,'G-7 Rivers Data'!$AG$4:$AI$9,3,FALSE)))</f>
        <v/>
      </c>
      <c r="L240" s="498" t="str">
        <f>IFERROR(INDEX('G-7 Rivers Data'!$O$3:$O$7,MATCH(G240,'G-7 Rivers Data'!$N$3:$N$7,0)),"")</f>
        <v/>
      </c>
      <c r="M240" s="8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565" t="str">
        <f t="shared" si="24"/>
        <v/>
      </c>
      <c r="AA240" s="149"/>
      <c r="AB240" s="150"/>
      <c r="AH240" s="31" t="str">
        <f>IFERROR(INDEX('G-7 Rivers Data'!$AZ$3:$AZ$7,MATCH(C240,'G-7 Rivers Data'!$AY$3:$AY$7,0)),"")</f>
        <v/>
      </c>
    </row>
    <row r="241" spans="2:34" ht="13.8" x14ac:dyDescent="0.25">
      <c r="B241" s="141">
        <v>230</v>
      </c>
      <c r="C241" s="171"/>
      <c r="D241" s="172"/>
      <c r="E241" s="498" t="str">
        <f>IF(C241="","",VLOOKUP(C241,'G-7 Rivers Data'!$B$2:$G$8,2,FALSE))</f>
        <v/>
      </c>
      <c r="F241" s="499" t="str">
        <f>IFERROR(VLOOKUP(E241,'G-7 Rivers Data'!$C$4:$D$8,2,FALSE),"")</f>
        <v/>
      </c>
      <c r="G241" s="145"/>
      <c r="H241" s="499" t="str">
        <f>IFERROR(INDEX('G-7 Rivers Data'!$H$4:$L$8,MATCH(C241,'G-7 Rivers Data'!$B$4:$B$8,0),MATCH(G241,'G-7 Rivers Data'!$H$3:$L$3,0)),"")</f>
        <v/>
      </c>
      <c r="I241" s="154"/>
      <c r="J241" s="507" t="str">
        <f>IF(I241="","",IF(VLOOKUP(I241,'G-7 Rivers Data'!$AG$4:$AI$9,2,FALSE)=0,"Spatial Data Missing ⚠",VLOOKUP(I241,'G-7 Rivers Data'!$AG$4:$AI$9,2,FALSE)))</f>
        <v/>
      </c>
      <c r="K241" s="499" t="str">
        <f>IF(I241="","",IF(VLOOKUP(I241,'G-7 Rivers Data'!$AG$4:$AI$9,3,FALSE)=0,"Spatial Data Missing ⚠",VLOOKUP(I241,'G-7 Rivers Data'!$AG$4:$AI$9,3,FALSE)))</f>
        <v/>
      </c>
      <c r="L241" s="498" t="str">
        <f>IFERROR(INDEX('G-7 Rivers Data'!$O$3:$O$7,MATCH(G241,'G-7 Rivers Data'!$N$3:$N$7,0)),"")</f>
        <v/>
      </c>
      <c r="M241" s="8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565" t="str">
        <f t="shared" si="24"/>
        <v/>
      </c>
      <c r="AA241" s="149"/>
      <c r="AB241" s="150"/>
      <c r="AH241" s="31" t="str">
        <f>IFERROR(INDEX('G-7 Rivers Data'!$AZ$3:$AZ$7,MATCH(C241,'G-7 Rivers Data'!$AY$3:$AY$7,0)),"")</f>
        <v/>
      </c>
    </row>
    <row r="242" spans="2:34" ht="13.8" x14ac:dyDescent="0.25">
      <c r="B242" s="141">
        <v>231</v>
      </c>
      <c r="C242" s="171"/>
      <c r="D242" s="172"/>
      <c r="E242" s="498" t="str">
        <f>IF(C242="","",VLOOKUP(C242,'G-7 Rivers Data'!$B$2:$G$8,2,FALSE))</f>
        <v/>
      </c>
      <c r="F242" s="499" t="str">
        <f>IFERROR(VLOOKUP(E242,'G-7 Rivers Data'!$C$4:$D$8,2,FALSE),"")</f>
        <v/>
      </c>
      <c r="G242" s="145"/>
      <c r="H242" s="499" t="str">
        <f>IFERROR(INDEX('G-7 Rivers Data'!$H$4:$L$8,MATCH(C242,'G-7 Rivers Data'!$B$4:$B$8,0),MATCH(G242,'G-7 Rivers Data'!$H$3:$L$3,0)),"")</f>
        <v/>
      </c>
      <c r="I242" s="154"/>
      <c r="J242" s="507" t="str">
        <f>IF(I242="","",IF(VLOOKUP(I242,'G-7 Rivers Data'!$AG$4:$AI$9,2,FALSE)=0,"Spatial Data Missing ⚠",VLOOKUP(I242,'G-7 Rivers Data'!$AG$4:$AI$9,2,FALSE)))</f>
        <v/>
      </c>
      <c r="K242" s="499" t="str">
        <f>IF(I242="","",IF(VLOOKUP(I242,'G-7 Rivers Data'!$AG$4:$AI$9,3,FALSE)=0,"Spatial Data Missing ⚠",VLOOKUP(I242,'G-7 Rivers Data'!$AG$4:$AI$9,3,FALSE)))</f>
        <v/>
      </c>
      <c r="L242" s="498" t="str">
        <f>IFERROR(INDEX('G-7 Rivers Data'!$O$3:$O$7,MATCH(G242,'G-7 Rivers Data'!$N$3:$N$7,0)),"")</f>
        <v/>
      </c>
      <c r="M242" s="8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565" t="str">
        <f t="shared" si="24"/>
        <v/>
      </c>
      <c r="AA242" s="149"/>
      <c r="AB242" s="150"/>
      <c r="AH242" s="31" t="str">
        <f>IFERROR(INDEX('G-7 Rivers Data'!$AZ$3:$AZ$7,MATCH(C242,'G-7 Rivers Data'!$AY$3:$AY$7,0)),"")</f>
        <v/>
      </c>
    </row>
    <row r="243" spans="2:34" ht="13.8" x14ac:dyDescent="0.25">
      <c r="B243" s="141">
        <v>232</v>
      </c>
      <c r="C243" s="171"/>
      <c r="D243" s="172"/>
      <c r="E243" s="498" t="str">
        <f>IF(C243="","",VLOOKUP(C243,'G-7 Rivers Data'!$B$2:$G$8,2,FALSE))</f>
        <v/>
      </c>
      <c r="F243" s="499" t="str">
        <f>IFERROR(VLOOKUP(E243,'G-7 Rivers Data'!$C$4:$D$8,2,FALSE),"")</f>
        <v/>
      </c>
      <c r="G243" s="145"/>
      <c r="H243" s="499" t="str">
        <f>IFERROR(INDEX('G-7 Rivers Data'!$H$4:$L$8,MATCH(C243,'G-7 Rivers Data'!$B$4:$B$8,0),MATCH(G243,'G-7 Rivers Data'!$H$3:$L$3,0)),"")</f>
        <v/>
      </c>
      <c r="I243" s="154"/>
      <c r="J243" s="507" t="str">
        <f>IF(I243="","",IF(VLOOKUP(I243,'G-7 Rivers Data'!$AG$4:$AI$9,2,FALSE)=0,"Spatial Data Missing ⚠",VLOOKUP(I243,'G-7 Rivers Data'!$AG$4:$AI$9,2,FALSE)))</f>
        <v/>
      </c>
      <c r="K243" s="499" t="str">
        <f>IF(I243="","",IF(VLOOKUP(I243,'G-7 Rivers Data'!$AG$4:$AI$9,3,FALSE)=0,"Spatial Data Missing ⚠",VLOOKUP(I243,'G-7 Rivers Data'!$AG$4:$AI$9,3,FALSE)))</f>
        <v/>
      </c>
      <c r="L243" s="498" t="str">
        <f>IFERROR(INDEX('G-7 Rivers Data'!$O$3:$O$7,MATCH(G243,'G-7 Rivers Data'!$N$3:$N$7,0)),"")</f>
        <v/>
      </c>
      <c r="M243" s="8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565" t="str">
        <f t="shared" si="24"/>
        <v/>
      </c>
      <c r="AA243" s="149"/>
      <c r="AB243" s="150"/>
      <c r="AH243" s="31" t="str">
        <f>IFERROR(INDEX('G-7 Rivers Data'!$AZ$3:$AZ$7,MATCH(C243,'G-7 Rivers Data'!$AY$3:$AY$7,0)),"")</f>
        <v/>
      </c>
    </row>
    <row r="244" spans="2:34" ht="13.8" x14ac:dyDescent="0.25">
      <c r="B244" s="141">
        <v>233</v>
      </c>
      <c r="C244" s="171"/>
      <c r="D244" s="172"/>
      <c r="E244" s="498" t="str">
        <f>IF(C244="","",VLOOKUP(C244,'G-7 Rivers Data'!$B$2:$G$8,2,FALSE))</f>
        <v/>
      </c>
      <c r="F244" s="499" t="str">
        <f>IFERROR(VLOOKUP(E244,'G-7 Rivers Data'!$C$4:$D$8,2,FALSE),"")</f>
        <v/>
      </c>
      <c r="G244" s="145"/>
      <c r="H244" s="499" t="str">
        <f>IFERROR(INDEX('G-7 Rivers Data'!$H$4:$L$8,MATCH(C244,'G-7 Rivers Data'!$B$4:$B$8,0),MATCH(G244,'G-7 Rivers Data'!$H$3:$L$3,0)),"")</f>
        <v/>
      </c>
      <c r="I244" s="154"/>
      <c r="J244" s="507" t="str">
        <f>IF(I244="","",IF(VLOOKUP(I244,'G-7 Rivers Data'!$AG$4:$AI$9,2,FALSE)=0,"Spatial Data Missing ⚠",VLOOKUP(I244,'G-7 Rivers Data'!$AG$4:$AI$9,2,FALSE)))</f>
        <v/>
      </c>
      <c r="K244" s="499" t="str">
        <f>IF(I244="","",IF(VLOOKUP(I244,'G-7 Rivers Data'!$AG$4:$AI$9,3,FALSE)=0,"Spatial Data Missing ⚠",VLOOKUP(I244,'G-7 Rivers Data'!$AG$4:$AI$9,3,FALSE)))</f>
        <v/>
      </c>
      <c r="L244" s="498" t="str">
        <f>IFERROR(INDEX('G-7 Rivers Data'!$O$3:$O$7,MATCH(G244,'G-7 Rivers Data'!$N$3:$N$7,0)),"")</f>
        <v/>
      </c>
      <c r="M244" s="8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565" t="str">
        <f t="shared" si="24"/>
        <v/>
      </c>
      <c r="AA244" s="149"/>
      <c r="AB244" s="150"/>
      <c r="AH244" s="31" t="str">
        <f>IFERROR(INDEX('G-7 Rivers Data'!$AZ$3:$AZ$7,MATCH(C244,'G-7 Rivers Data'!$AY$3:$AY$7,0)),"")</f>
        <v/>
      </c>
    </row>
    <row r="245" spans="2:34" ht="13.8" x14ac:dyDescent="0.25">
      <c r="B245" s="141">
        <v>234</v>
      </c>
      <c r="C245" s="171"/>
      <c r="D245" s="172"/>
      <c r="E245" s="498" t="str">
        <f>IF(C245="","",VLOOKUP(C245,'G-7 Rivers Data'!$B$2:$G$8,2,FALSE))</f>
        <v/>
      </c>
      <c r="F245" s="499" t="str">
        <f>IFERROR(VLOOKUP(E245,'G-7 Rivers Data'!$C$4:$D$8,2,FALSE),"")</f>
        <v/>
      </c>
      <c r="G245" s="145"/>
      <c r="H245" s="499" t="str">
        <f>IFERROR(INDEX('G-7 Rivers Data'!$H$4:$L$8,MATCH(C245,'G-7 Rivers Data'!$B$4:$B$8,0),MATCH(G245,'G-7 Rivers Data'!$H$3:$L$3,0)),"")</f>
        <v/>
      </c>
      <c r="I245" s="154"/>
      <c r="J245" s="507" t="str">
        <f>IF(I245="","",IF(VLOOKUP(I245,'G-7 Rivers Data'!$AG$4:$AI$9,2,FALSE)=0,"Spatial Data Missing ⚠",VLOOKUP(I245,'G-7 Rivers Data'!$AG$4:$AI$9,2,FALSE)))</f>
        <v/>
      </c>
      <c r="K245" s="499" t="str">
        <f>IF(I245="","",IF(VLOOKUP(I245,'G-7 Rivers Data'!$AG$4:$AI$9,3,FALSE)=0,"Spatial Data Missing ⚠",VLOOKUP(I245,'G-7 Rivers Data'!$AG$4:$AI$9,3,FALSE)))</f>
        <v/>
      </c>
      <c r="L245" s="498" t="str">
        <f>IFERROR(INDEX('G-7 Rivers Data'!$O$3:$O$7,MATCH(G245,'G-7 Rivers Data'!$N$3:$N$7,0)),"")</f>
        <v/>
      </c>
      <c r="M245" s="8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565" t="str">
        <f t="shared" si="24"/>
        <v/>
      </c>
      <c r="AA245" s="149"/>
      <c r="AB245" s="150"/>
      <c r="AH245" s="31" t="str">
        <f>IFERROR(INDEX('G-7 Rivers Data'!$AZ$3:$AZ$7,MATCH(C245,'G-7 Rivers Data'!$AY$3:$AY$7,0)),"")</f>
        <v/>
      </c>
    </row>
    <row r="246" spans="2:34" ht="13.8" x14ac:dyDescent="0.25">
      <c r="B246" s="141">
        <v>235</v>
      </c>
      <c r="C246" s="171"/>
      <c r="D246" s="172"/>
      <c r="E246" s="498" t="str">
        <f>IF(C246="","",VLOOKUP(C246,'G-7 Rivers Data'!$B$2:$G$8,2,FALSE))</f>
        <v/>
      </c>
      <c r="F246" s="499" t="str">
        <f>IFERROR(VLOOKUP(E246,'G-7 Rivers Data'!$C$4:$D$8,2,FALSE),"")</f>
        <v/>
      </c>
      <c r="G246" s="145"/>
      <c r="H246" s="499" t="str">
        <f>IFERROR(INDEX('G-7 Rivers Data'!$H$4:$L$8,MATCH(C246,'G-7 Rivers Data'!$B$4:$B$8,0),MATCH(G246,'G-7 Rivers Data'!$H$3:$L$3,0)),"")</f>
        <v/>
      </c>
      <c r="I246" s="154"/>
      <c r="J246" s="507" t="str">
        <f>IF(I246="","",IF(VLOOKUP(I246,'G-7 Rivers Data'!$AG$4:$AI$9,2,FALSE)=0,"Spatial Data Missing ⚠",VLOOKUP(I246,'G-7 Rivers Data'!$AG$4:$AI$9,2,FALSE)))</f>
        <v/>
      </c>
      <c r="K246" s="499" t="str">
        <f>IF(I246="","",IF(VLOOKUP(I246,'G-7 Rivers Data'!$AG$4:$AI$9,3,FALSE)=0,"Spatial Data Missing ⚠",VLOOKUP(I246,'G-7 Rivers Data'!$AG$4:$AI$9,3,FALSE)))</f>
        <v/>
      </c>
      <c r="L246" s="498" t="str">
        <f>IFERROR(INDEX('G-7 Rivers Data'!$O$3:$O$7,MATCH(G246,'G-7 Rivers Data'!$N$3:$N$7,0)),"")</f>
        <v/>
      </c>
      <c r="M246" s="8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565" t="str">
        <f t="shared" si="24"/>
        <v/>
      </c>
      <c r="AA246" s="149"/>
      <c r="AB246" s="150"/>
      <c r="AH246" s="31" t="str">
        <f>IFERROR(INDEX('G-7 Rivers Data'!$AZ$3:$AZ$7,MATCH(C246,'G-7 Rivers Data'!$AY$3:$AY$7,0)),"")</f>
        <v/>
      </c>
    </row>
    <row r="247" spans="2:34" ht="13.8" x14ac:dyDescent="0.25">
      <c r="B247" s="141">
        <v>236</v>
      </c>
      <c r="C247" s="171"/>
      <c r="D247" s="172"/>
      <c r="E247" s="498" t="str">
        <f>IF(C247="","",VLOOKUP(C247,'G-7 Rivers Data'!$B$2:$G$8,2,FALSE))</f>
        <v/>
      </c>
      <c r="F247" s="499" t="str">
        <f>IFERROR(VLOOKUP(E247,'G-7 Rivers Data'!$C$4:$D$8,2,FALSE),"")</f>
        <v/>
      </c>
      <c r="G247" s="145"/>
      <c r="H247" s="499" t="str">
        <f>IFERROR(INDEX('G-7 Rivers Data'!$H$4:$L$8,MATCH(C247,'G-7 Rivers Data'!$B$4:$B$8,0),MATCH(G247,'G-7 Rivers Data'!$H$3:$L$3,0)),"")</f>
        <v/>
      </c>
      <c r="I247" s="154"/>
      <c r="J247" s="507" t="str">
        <f>IF(I247="","",IF(VLOOKUP(I247,'G-7 Rivers Data'!$AG$4:$AI$9,2,FALSE)=0,"Spatial Data Missing ⚠",VLOOKUP(I247,'G-7 Rivers Data'!$AG$4:$AI$9,2,FALSE)))</f>
        <v/>
      </c>
      <c r="K247" s="499" t="str">
        <f>IF(I247="","",IF(VLOOKUP(I247,'G-7 Rivers Data'!$AG$4:$AI$9,3,FALSE)=0,"Spatial Data Missing ⚠",VLOOKUP(I247,'G-7 Rivers Data'!$AG$4:$AI$9,3,FALSE)))</f>
        <v/>
      </c>
      <c r="L247" s="498" t="str">
        <f>IFERROR(INDEX('G-7 Rivers Data'!$O$3:$O$7,MATCH(G247,'G-7 Rivers Data'!$N$3:$N$7,0)),"")</f>
        <v/>
      </c>
      <c r="M247" s="8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565" t="str">
        <f t="shared" si="24"/>
        <v/>
      </c>
      <c r="AA247" s="149"/>
      <c r="AB247" s="150"/>
      <c r="AH247" s="31" t="str">
        <f>IFERROR(INDEX('G-7 Rivers Data'!$AZ$3:$AZ$7,MATCH(C247,'G-7 Rivers Data'!$AY$3:$AY$7,0)),"")</f>
        <v/>
      </c>
    </row>
    <row r="248" spans="2:34" ht="13.8" x14ac:dyDescent="0.25">
      <c r="B248" s="141">
        <v>237</v>
      </c>
      <c r="C248" s="171"/>
      <c r="D248" s="172"/>
      <c r="E248" s="498" t="str">
        <f>IF(C248="","",VLOOKUP(C248,'G-7 Rivers Data'!$B$2:$G$8,2,FALSE))</f>
        <v/>
      </c>
      <c r="F248" s="499" t="str">
        <f>IFERROR(VLOOKUP(E248,'G-7 Rivers Data'!$C$4:$D$8,2,FALSE),"")</f>
        <v/>
      </c>
      <c r="G248" s="145"/>
      <c r="H248" s="499" t="str">
        <f>IFERROR(INDEX('G-7 Rivers Data'!$H$4:$L$8,MATCH(C248,'G-7 Rivers Data'!$B$4:$B$8,0),MATCH(G248,'G-7 Rivers Data'!$H$3:$L$3,0)),"")</f>
        <v/>
      </c>
      <c r="I248" s="154"/>
      <c r="J248" s="507" t="str">
        <f>IF(I248="","",IF(VLOOKUP(I248,'G-7 Rivers Data'!$AG$4:$AI$9,2,FALSE)=0,"Spatial Data Missing ⚠",VLOOKUP(I248,'G-7 Rivers Data'!$AG$4:$AI$9,2,FALSE)))</f>
        <v/>
      </c>
      <c r="K248" s="499" t="str">
        <f>IF(I248="","",IF(VLOOKUP(I248,'G-7 Rivers Data'!$AG$4:$AI$9,3,FALSE)=0,"Spatial Data Missing ⚠",VLOOKUP(I248,'G-7 Rivers Data'!$AG$4:$AI$9,3,FALSE)))</f>
        <v/>
      </c>
      <c r="L248" s="498" t="str">
        <f>IFERROR(INDEX('G-7 Rivers Data'!$O$3:$O$7,MATCH(G248,'G-7 Rivers Data'!$N$3:$N$7,0)),"")</f>
        <v/>
      </c>
      <c r="M248" s="8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565" t="str">
        <f t="shared" si="24"/>
        <v/>
      </c>
      <c r="AA248" s="149"/>
      <c r="AB248" s="150"/>
      <c r="AH248" s="31" t="str">
        <f>IFERROR(INDEX('G-7 Rivers Data'!$AZ$3:$AZ$7,MATCH(C248,'G-7 Rivers Data'!$AY$3:$AY$7,0)),"")</f>
        <v/>
      </c>
    </row>
    <row r="249" spans="2:34" ht="13.8" x14ac:dyDescent="0.25">
      <c r="B249" s="141">
        <v>238</v>
      </c>
      <c r="C249" s="171"/>
      <c r="D249" s="172"/>
      <c r="E249" s="498" t="str">
        <f>IF(C249="","",VLOOKUP(C249,'G-7 Rivers Data'!$B$2:$G$8,2,FALSE))</f>
        <v/>
      </c>
      <c r="F249" s="499" t="str">
        <f>IFERROR(VLOOKUP(E249,'G-7 Rivers Data'!$C$4:$D$8,2,FALSE),"")</f>
        <v/>
      </c>
      <c r="G249" s="145"/>
      <c r="H249" s="499" t="str">
        <f>IFERROR(INDEX('G-7 Rivers Data'!$H$4:$L$8,MATCH(C249,'G-7 Rivers Data'!$B$4:$B$8,0),MATCH(G249,'G-7 Rivers Data'!$H$3:$L$3,0)),"")</f>
        <v/>
      </c>
      <c r="I249" s="154"/>
      <c r="J249" s="507" t="str">
        <f>IF(I249="","",IF(VLOOKUP(I249,'G-7 Rivers Data'!$AG$4:$AI$9,2,FALSE)=0,"Spatial Data Missing ⚠",VLOOKUP(I249,'G-7 Rivers Data'!$AG$4:$AI$9,2,FALSE)))</f>
        <v/>
      </c>
      <c r="K249" s="499" t="str">
        <f>IF(I249="","",IF(VLOOKUP(I249,'G-7 Rivers Data'!$AG$4:$AI$9,3,FALSE)=0,"Spatial Data Missing ⚠",VLOOKUP(I249,'G-7 Rivers Data'!$AG$4:$AI$9,3,FALSE)))</f>
        <v/>
      </c>
      <c r="L249" s="498" t="str">
        <f>IFERROR(INDEX('G-7 Rivers Data'!$O$3:$O$7,MATCH(G249,'G-7 Rivers Data'!$N$3:$N$7,0)),"")</f>
        <v/>
      </c>
      <c r="M249" s="8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565" t="str">
        <f t="shared" si="24"/>
        <v/>
      </c>
      <c r="AA249" s="149"/>
      <c r="AB249" s="150"/>
      <c r="AH249" s="31" t="str">
        <f>IFERROR(INDEX('G-7 Rivers Data'!$AZ$3:$AZ$7,MATCH(C249,'G-7 Rivers Data'!$AY$3:$AY$7,0)),"")</f>
        <v/>
      </c>
    </row>
    <row r="250" spans="2:34" ht="13.8" x14ac:dyDescent="0.25">
      <c r="B250" s="141">
        <v>239</v>
      </c>
      <c r="C250" s="171"/>
      <c r="D250" s="172"/>
      <c r="E250" s="498" t="str">
        <f>IF(C250="","",VLOOKUP(C250,'G-7 Rivers Data'!$B$2:$G$8,2,FALSE))</f>
        <v/>
      </c>
      <c r="F250" s="499" t="str">
        <f>IFERROR(VLOOKUP(E250,'G-7 Rivers Data'!$C$4:$D$8,2,FALSE),"")</f>
        <v/>
      </c>
      <c r="G250" s="145"/>
      <c r="H250" s="499" t="str">
        <f>IFERROR(INDEX('G-7 Rivers Data'!$H$4:$L$8,MATCH(C250,'G-7 Rivers Data'!$B$4:$B$8,0),MATCH(G250,'G-7 Rivers Data'!$H$3:$L$3,0)),"")</f>
        <v/>
      </c>
      <c r="I250" s="154"/>
      <c r="J250" s="507" t="str">
        <f>IF(I250="","",IF(VLOOKUP(I250,'G-7 Rivers Data'!$AG$4:$AI$9,2,FALSE)=0,"Spatial Data Missing ⚠",VLOOKUP(I250,'G-7 Rivers Data'!$AG$4:$AI$9,2,FALSE)))</f>
        <v/>
      </c>
      <c r="K250" s="499" t="str">
        <f>IF(I250="","",IF(VLOOKUP(I250,'G-7 Rivers Data'!$AG$4:$AI$9,3,FALSE)=0,"Spatial Data Missing ⚠",VLOOKUP(I250,'G-7 Rivers Data'!$AG$4:$AI$9,3,FALSE)))</f>
        <v/>
      </c>
      <c r="L250" s="498" t="str">
        <f>IFERROR(INDEX('G-7 Rivers Data'!$O$3:$O$7,MATCH(G250,'G-7 Rivers Data'!$N$3:$N$7,0)),"")</f>
        <v/>
      </c>
      <c r="M250" s="8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565" t="str">
        <f t="shared" si="24"/>
        <v/>
      </c>
      <c r="AA250" s="149"/>
      <c r="AB250" s="150"/>
      <c r="AH250" s="31" t="str">
        <f>IFERROR(INDEX('G-7 Rivers Data'!$AZ$3:$AZ$7,MATCH(C250,'G-7 Rivers Data'!$AY$3:$AY$7,0)),"")</f>
        <v/>
      </c>
    </row>
    <row r="251" spans="2:34" ht="13.8" x14ac:dyDescent="0.25">
      <c r="B251" s="141">
        <v>240</v>
      </c>
      <c r="C251" s="171"/>
      <c r="D251" s="172"/>
      <c r="E251" s="498" t="str">
        <f>IF(C251="","",VLOOKUP(C251,'G-7 Rivers Data'!$B$2:$G$8,2,FALSE))</f>
        <v/>
      </c>
      <c r="F251" s="499" t="str">
        <f>IFERROR(VLOOKUP(E251,'G-7 Rivers Data'!$C$4:$D$8,2,FALSE),"")</f>
        <v/>
      </c>
      <c r="G251" s="145"/>
      <c r="H251" s="499" t="str">
        <f>IFERROR(INDEX('G-7 Rivers Data'!$H$4:$L$8,MATCH(C251,'G-7 Rivers Data'!$B$4:$B$8,0),MATCH(G251,'G-7 Rivers Data'!$H$3:$L$3,0)),"")</f>
        <v/>
      </c>
      <c r="I251" s="154"/>
      <c r="J251" s="507" t="str">
        <f>IF(I251="","",IF(VLOOKUP(I251,'G-7 Rivers Data'!$AG$4:$AI$9,2,FALSE)=0,"Spatial Data Missing ⚠",VLOOKUP(I251,'G-7 Rivers Data'!$AG$4:$AI$9,2,FALSE)))</f>
        <v/>
      </c>
      <c r="K251" s="499" t="str">
        <f>IF(I251="","",IF(VLOOKUP(I251,'G-7 Rivers Data'!$AG$4:$AI$9,3,FALSE)=0,"Spatial Data Missing ⚠",VLOOKUP(I251,'G-7 Rivers Data'!$AG$4:$AI$9,3,FALSE)))</f>
        <v/>
      </c>
      <c r="L251" s="498" t="str">
        <f>IFERROR(INDEX('G-7 Rivers Data'!$O$3:$O$7,MATCH(G251,'G-7 Rivers Data'!$N$3:$N$7,0)),"")</f>
        <v/>
      </c>
      <c r="M251" s="8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565" t="str">
        <f t="shared" si="24"/>
        <v/>
      </c>
      <c r="AA251" s="149"/>
      <c r="AB251" s="150"/>
      <c r="AH251" s="31" t="str">
        <f>IFERROR(INDEX('G-7 Rivers Data'!$AZ$3:$AZ$7,MATCH(C251,'G-7 Rivers Data'!$AY$3:$AY$7,0)),"")</f>
        <v/>
      </c>
    </row>
    <row r="252" spans="2:34" ht="13.8" x14ac:dyDescent="0.25">
      <c r="B252" s="141">
        <v>241</v>
      </c>
      <c r="C252" s="171"/>
      <c r="D252" s="172"/>
      <c r="E252" s="498" t="str">
        <f>IF(C252="","",VLOOKUP(C252,'G-7 Rivers Data'!$B$2:$G$8,2,FALSE))</f>
        <v/>
      </c>
      <c r="F252" s="499" t="str">
        <f>IFERROR(VLOOKUP(E252,'G-7 Rivers Data'!$C$4:$D$8,2,FALSE),"")</f>
        <v/>
      </c>
      <c r="G252" s="145"/>
      <c r="H252" s="499" t="str">
        <f>IFERROR(INDEX('G-7 Rivers Data'!$H$4:$L$8,MATCH(C252,'G-7 Rivers Data'!$B$4:$B$8,0),MATCH(G252,'G-7 Rivers Data'!$H$3:$L$3,0)),"")</f>
        <v/>
      </c>
      <c r="I252" s="154"/>
      <c r="J252" s="507" t="str">
        <f>IF(I252="","",IF(VLOOKUP(I252,'G-7 Rivers Data'!$AG$4:$AI$9,2,FALSE)=0,"Spatial Data Missing ⚠",VLOOKUP(I252,'G-7 Rivers Data'!$AG$4:$AI$9,2,FALSE)))</f>
        <v/>
      </c>
      <c r="K252" s="499" t="str">
        <f>IF(I252="","",IF(VLOOKUP(I252,'G-7 Rivers Data'!$AG$4:$AI$9,3,FALSE)=0,"Spatial Data Missing ⚠",VLOOKUP(I252,'G-7 Rivers Data'!$AG$4:$AI$9,3,FALSE)))</f>
        <v/>
      </c>
      <c r="L252" s="498" t="str">
        <f>IFERROR(INDEX('G-7 Rivers Data'!$O$3:$O$7,MATCH(G252,'G-7 Rivers Data'!$N$3:$N$7,0)),"")</f>
        <v/>
      </c>
      <c r="M252" s="8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565" t="str">
        <f t="shared" si="24"/>
        <v/>
      </c>
      <c r="AA252" s="149"/>
      <c r="AB252" s="150"/>
      <c r="AH252" s="31" t="str">
        <f>IFERROR(INDEX('G-7 Rivers Data'!$AZ$3:$AZ$7,MATCH(C252,'G-7 Rivers Data'!$AY$3:$AY$7,0)),"")</f>
        <v/>
      </c>
    </row>
    <row r="253" spans="2:34" ht="13.8" x14ac:dyDescent="0.25">
      <c r="B253" s="141">
        <v>242</v>
      </c>
      <c r="C253" s="171"/>
      <c r="D253" s="172"/>
      <c r="E253" s="498" t="str">
        <f>IF(C253="","",VLOOKUP(C253,'G-7 Rivers Data'!$B$2:$G$8,2,FALSE))</f>
        <v/>
      </c>
      <c r="F253" s="499" t="str">
        <f>IFERROR(VLOOKUP(E253,'G-7 Rivers Data'!$C$4:$D$8,2,FALSE),"")</f>
        <v/>
      </c>
      <c r="G253" s="145"/>
      <c r="H253" s="499" t="str">
        <f>IFERROR(INDEX('G-7 Rivers Data'!$H$4:$L$8,MATCH(C253,'G-7 Rivers Data'!$B$4:$B$8,0),MATCH(G253,'G-7 Rivers Data'!$H$3:$L$3,0)),"")</f>
        <v/>
      </c>
      <c r="I253" s="154"/>
      <c r="J253" s="507" t="str">
        <f>IF(I253="","",IF(VLOOKUP(I253,'G-7 Rivers Data'!$AG$4:$AI$9,2,FALSE)=0,"Spatial Data Missing ⚠",VLOOKUP(I253,'G-7 Rivers Data'!$AG$4:$AI$9,2,FALSE)))</f>
        <v/>
      </c>
      <c r="K253" s="499" t="str">
        <f>IF(I253="","",IF(VLOOKUP(I253,'G-7 Rivers Data'!$AG$4:$AI$9,3,FALSE)=0,"Spatial Data Missing ⚠",VLOOKUP(I253,'G-7 Rivers Data'!$AG$4:$AI$9,3,FALSE)))</f>
        <v/>
      </c>
      <c r="L253" s="498" t="str">
        <f>IFERROR(INDEX('G-7 Rivers Data'!$O$3:$O$7,MATCH(G253,'G-7 Rivers Data'!$N$3:$N$7,0)),"")</f>
        <v/>
      </c>
      <c r="M253" s="8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565" t="str">
        <f t="shared" si="24"/>
        <v/>
      </c>
      <c r="AA253" s="149"/>
      <c r="AB253" s="150"/>
      <c r="AH253" s="31" t="str">
        <f>IFERROR(INDEX('G-7 Rivers Data'!$AZ$3:$AZ$7,MATCH(C253,'G-7 Rivers Data'!$AY$3:$AY$7,0)),"")</f>
        <v/>
      </c>
    </row>
    <row r="254" spans="2:34" ht="13.8" x14ac:dyDescent="0.25">
      <c r="B254" s="141">
        <v>243</v>
      </c>
      <c r="C254" s="171"/>
      <c r="D254" s="172"/>
      <c r="E254" s="498" t="str">
        <f>IF(C254="","",VLOOKUP(C254,'G-7 Rivers Data'!$B$2:$G$8,2,FALSE))</f>
        <v/>
      </c>
      <c r="F254" s="499" t="str">
        <f>IFERROR(VLOOKUP(E254,'G-7 Rivers Data'!$C$4:$D$8,2,FALSE),"")</f>
        <v/>
      </c>
      <c r="G254" s="145"/>
      <c r="H254" s="499" t="str">
        <f>IFERROR(INDEX('G-7 Rivers Data'!$H$4:$L$8,MATCH(C254,'G-7 Rivers Data'!$B$4:$B$8,0),MATCH(G254,'G-7 Rivers Data'!$H$3:$L$3,0)),"")</f>
        <v/>
      </c>
      <c r="I254" s="154"/>
      <c r="J254" s="507" t="str">
        <f>IF(I254="","",IF(VLOOKUP(I254,'G-7 Rivers Data'!$AG$4:$AI$9,2,FALSE)=0,"Spatial Data Missing ⚠",VLOOKUP(I254,'G-7 Rivers Data'!$AG$4:$AI$9,2,FALSE)))</f>
        <v/>
      </c>
      <c r="K254" s="499" t="str">
        <f>IF(I254="","",IF(VLOOKUP(I254,'G-7 Rivers Data'!$AG$4:$AI$9,3,FALSE)=0,"Spatial Data Missing ⚠",VLOOKUP(I254,'G-7 Rivers Data'!$AG$4:$AI$9,3,FALSE)))</f>
        <v/>
      </c>
      <c r="L254" s="498" t="str">
        <f>IFERROR(INDEX('G-7 Rivers Data'!$O$3:$O$7,MATCH(G254,'G-7 Rivers Data'!$N$3:$N$7,0)),"")</f>
        <v/>
      </c>
      <c r="M254" s="8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565" t="str">
        <f t="shared" si="24"/>
        <v/>
      </c>
      <c r="AA254" s="149"/>
      <c r="AB254" s="150"/>
      <c r="AH254" s="31" t="str">
        <f>IFERROR(INDEX('G-7 Rivers Data'!$AZ$3:$AZ$7,MATCH(C254,'G-7 Rivers Data'!$AY$3:$AY$7,0)),"")</f>
        <v/>
      </c>
    </row>
    <row r="255" spans="2:34" ht="13.8" x14ac:dyDescent="0.25">
      <c r="B255" s="141">
        <v>244</v>
      </c>
      <c r="C255" s="171"/>
      <c r="D255" s="172"/>
      <c r="E255" s="498" t="str">
        <f>IF(C255="","",VLOOKUP(C255,'G-7 Rivers Data'!$B$2:$G$8,2,FALSE))</f>
        <v/>
      </c>
      <c r="F255" s="499" t="str">
        <f>IFERROR(VLOOKUP(E255,'G-7 Rivers Data'!$C$4:$D$8,2,FALSE),"")</f>
        <v/>
      </c>
      <c r="G255" s="145"/>
      <c r="H255" s="499" t="str">
        <f>IFERROR(INDEX('G-7 Rivers Data'!$H$4:$L$8,MATCH(C255,'G-7 Rivers Data'!$B$4:$B$8,0),MATCH(G255,'G-7 Rivers Data'!$H$3:$L$3,0)),"")</f>
        <v/>
      </c>
      <c r="I255" s="154"/>
      <c r="J255" s="507" t="str">
        <f>IF(I255="","",IF(VLOOKUP(I255,'G-7 Rivers Data'!$AG$4:$AI$9,2,FALSE)=0,"Spatial Data Missing ⚠",VLOOKUP(I255,'G-7 Rivers Data'!$AG$4:$AI$9,2,FALSE)))</f>
        <v/>
      </c>
      <c r="K255" s="499" t="str">
        <f>IF(I255="","",IF(VLOOKUP(I255,'G-7 Rivers Data'!$AG$4:$AI$9,3,FALSE)=0,"Spatial Data Missing ⚠",VLOOKUP(I255,'G-7 Rivers Data'!$AG$4:$AI$9,3,FALSE)))</f>
        <v/>
      </c>
      <c r="L255" s="498" t="str">
        <f>IFERROR(INDEX('G-7 Rivers Data'!$O$3:$O$7,MATCH(G255,'G-7 Rivers Data'!$N$3:$N$7,0)),"")</f>
        <v/>
      </c>
      <c r="M255" s="8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565" t="str">
        <f t="shared" si="24"/>
        <v/>
      </c>
      <c r="AA255" s="149"/>
      <c r="AB255" s="150"/>
      <c r="AH255" s="31" t="str">
        <f>IFERROR(INDEX('G-7 Rivers Data'!$AZ$3:$AZ$7,MATCH(C255,'G-7 Rivers Data'!$AY$3:$AY$7,0)),"")</f>
        <v/>
      </c>
    </row>
    <row r="256" spans="2:34" ht="13.8" x14ac:dyDescent="0.25">
      <c r="B256" s="141">
        <v>245</v>
      </c>
      <c r="C256" s="171"/>
      <c r="D256" s="172"/>
      <c r="E256" s="498" t="str">
        <f>IF(C256="","",VLOOKUP(C256,'G-7 Rivers Data'!$B$2:$G$8,2,FALSE))</f>
        <v/>
      </c>
      <c r="F256" s="499" t="str">
        <f>IFERROR(VLOOKUP(E256,'G-7 Rivers Data'!$C$4:$D$8,2,FALSE),"")</f>
        <v/>
      </c>
      <c r="G256" s="145"/>
      <c r="H256" s="499" t="str">
        <f>IFERROR(INDEX('G-7 Rivers Data'!$H$4:$L$8,MATCH(C256,'G-7 Rivers Data'!$B$4:$B$8,0),MATCH(G256,'G-7 Rivers Data'!$H$3:$L$3,0)),"")</f>
        <v/>
      </c>
      <c r="I256" s="154"/>
      <c r="J256" s="507" t="str">
        <f>IF(I256="","",IF(VLOOKUP(I256,'G-7 Rivers Data'!$AG$4:$AI$9,2,FALSE)=0,"Spatial Data Missing ⚠",VLOOKUP(I256,'G-7 Rivers Data'!$AG$4:$AI$9,2,FALSE)))</f>
        <v/>
      </c>
      <c r="K256" s="499" t="str">
        <f>IF(I256="","",IF(VLOOKUP(I256,'G-7 Rivers Data'!$AG$4:$AI$9,3,FALSE)=0,"Spatial Data Missing ⚠",VLOOKUP(I256,'G-7 Rivers Data'!$AG$4:$AI$9,3,FALSE)))</f>
        <v/>
      </c>
      <c r="L256" s="498" t="str">
        <f>IFERROR(INDEX('G-7 Rivers Data'!$O$3:$O$7,MATCH(G256,'G-7 Rivers Data'!$N$3:$N$7,0)),"")</f>
        <v/>
      </c>
      <c r="M256" s="8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565" t="str">
        <f t="shared" si="24"/>
        <v/>
      </c>
      <c r="AA256" s="149"/>
      <c r="AB256" s="150"/>
      <c r="AH256" s="31" t="str">
        <f>IFERROR(INDEX('G-7 Rivers Data'!$AZ$3:$AZ$7,MATCH(C256,'G-7 Rivers Data'!$AY$3:$AY$7,0)),"")</f>
        <v/>
      </c>
    </row>
    <row r="257" spans="2:34" ht="13.8" x14ac:dyDescent="0.25">
      <c r="B257" s="141">
        <v>246</v>
      </c>
      <c r="C257" s="171"/>
      <c r="D257" s="172"/>
      <c r="E257" s="498" t="str">
        <f>IF(C257="","",VLOOKUP(C257,'G-7 Rivers Data'!$B$2:$G$8,2,FALSE))</f>
        <v/>
      </c>
      <c r="F257" s="499" t="str">
        <f>IFERROR(VLOOKUP(E257,'G-7 Rivers Data'!$C$4:$D$8,2,FALSE),"")</f>
        <v/>
      </c>
      <c r="G257" s="145"/>
      <c r="H257" s="499" t="str">
        <f>IFERROR(INDEX('G-7 Rivers Data'!$H$4:$L$8,MATCH(C257,'G-7 Rivers Data'!$B$4:$B$8,0),MATCH(G257,'G-7 Rivers Data'!$H$3:$L$3,0)),"")</f>
        <v/>
      </c>
      <c r="I257" s="154"/>
      <c r="J257" s="507" t="str">
        <f>IF(I257="","",IF(VLOOKUP(I257,'G-7 Rivers Data'!$AG$4:$AI$9,2,FALSE)=0,"Spatial Data Missing ⚠",VLOOKUP(I257,'G-7 Rivers Data'!$AG$4:$AI$9,2,FALSE)))</f>
        <v/>
      </c>
      <c r="K257" s="499" t="str">
        <f>IF(I257="","",IF(VLOOKUP(I257,'G-7 Rivers Data'!$AG$4:$AI$9,3,FALSE)=0,"Spatial Data Missing ⚠",VLOOKUP(I257,'G-7 Rivers Data'!$AG$4:$AI$9,3,FALSE)))</f>
        <v/>
      </c>
      <c r="L257" s="498" t="str">
        <f>IFERROR(INDEX('G-7 Rivers Data'!$O$3:$O$7,MATCH(G257,'G-7 Rivers Data'!$N$3:$N$7,0)),"")</f>
        <v/>
      </c>
      <c r="M257" s="8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565" t="str">
        <f t="shared" si="24"/>
        <v/>
      </c>
      <c r="AA257" s="149"/>
      <c r="AB257" s="150"/>
      <c r="AH257" s="31" t="str">
        <f>IFERROR(INDEX('G-7 Rivers Data'!$AZ$3:$AZ$7,MATCH(C257,'G-7 Rivers Data'!$AY$3:$AY$7,0)),"")</f>
        <v/>
      </c>
    </row>
    <row r="258" spans="2:34" ht="13.8" x14ac:dyDescent="0.25">
      <c r="B258" s="141">
        <v>247</v>
      </c>
      <c r="C258" s="171"/>
      <c r="D258" s="172"/>
      <c r="E258" s="498" t="str">
        <f>IF(C258="","",VLOOKUP(C258,'G-7 Rivers Data'!$B$2:$G$8,2,FALSE))</f>
        <v/>
      </c>
      <c r="F258" s="499" t="str">
        <f>IFERROR(VLOOKUP(E258,'G-7 Rivers Data'!$C$4:$D$8,2,FALSE),"")</f>
        <v/>
      </c>
      <c r="G258" s="145"/>
      <c r="H258" s="499" t="str">
        <f>IFERROR(INDEX('G-7 Rivers Data'!$H$4:$L$8,MATCH(C258,'G-7 Rivers Data'!$B$4:$B$8,0),MATCH(G258,'G-7 Rivers Data'!$H$3:$L$3,0)),"")</f>
        <v/>
      </c>
      <c r="I258" s="154"/>
      <c r="J258" s="507" t="str">
        <f>IF(I258="","",IF(VLOOKUP(I258,'G-7 Rivers Data'!$AG$4:$AI$9,2,FALSE)=0,"Spatial Data Missing ⚠",VLOOKUP(I258,'G-7 Rivers Data'!$AG$4:$AI$9,2,FALSE)))</f>
        <v/>
      </c>
      <c r="K258" s="499" t="str">
        <f>IF(I258="","",IF(VLOOKUP(I258,'G-7 Rivers Data'!$AG$4:$AI$9,3,FALSE)=0,"Spatial Data Missing ⚠",VLOOKUP(I258,'G-7 Rivers Data'!$AG$4:$AI$9,3,FALSE)))</f>
        <v/>
      </c>
      <c r="L258" s="498" t="str">
        <f>IFERROR(INDEX('G-7 Rivers Data'!$O$3:$O$7,MATCH(G258,'G-7 Rivers Data'!$N$3:$N$7,0)),"")</f>
        <v/>
      </c>
      <c r="M258" s="82"/>
      <c r="N258" s="195"/>
      <c r="O258" s="507" t="str">
        <f t="shared" si="19"/>
        <v/>
      </c>
      <c r="P258" s="521" t="str">
        <f t="shared" si="20"/>
        <v/>
      </c>
      <c r="Q258" s="564" t="str">
        <f>IFERROR(IF(P258="Check Data ⚠","Check Data ⚠",VLOOKUP(P258,'G-4 Temporal multipliers'!$A$4:$C$37,3,FALSE)),"")</f>
        <v/>
      </c>
      <c r="R258" s="498" t="str">
        <f>IF(C258="","",VLOOKUP(C258,'G-7 Rivers Data'!$B$4:$G$8,4,FALSE))</f>
        <v/>
      </c>
      <c r="S258" s="507" t="str">
        <f t="shared" si="21"/>
        <v/>
      </c>
      <c r="T258" s="540" t="str">
        <f t="shared" si="22"/>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565" t="str">
        <f t="shared" si="24"/>
        <v/>
      </c>
      <c r="AA258" s="149"/>
      <c r="AB258" s="150"/>
      <c r="AH258" s="31" t="str">
        <f>IFERROR(INDEX('G-7 Rivers Data'!$AZ$3:$AZ$7,MATCH(C258,'G-7 Rivers Data'!$AY$3:$AY$7,0)),"")</f>
        <v/>
      </c>
    </row>
    <row r="259" spans="2:34" ht="14.4" thickBot="1" x14ac:dyDescent="0.3">
      <c r="B259" s="158">
        <v>248</v>
      </c>
      <c r="C259" s="159"/>
      <c r="D259" s="160"/>
      <c r="E259" s="500" t="str">
        <f>IF(C259="","",VLOOKUP(C259,'G-7 Rivers Data'!$B$2:$G$8,2,FALSE))</f>
        <v/>
      </c>
      <c r="F259" s="501" t="str">
        <f>IFERROR(VLOOKUP(E259,'G-7 Rivers Data'!$C$4:$D$8,2,FALSE),"")</f>
        <v/>
      </c>
      <c r="G259" s="161"/>
      <c r="H259" s="501" t="str">
        <f>IFERROR(INDEX('G-7 Rivers Data'!$H$4:$L$8,MATCH(C259,'G-7 Rivers Data'!$B$4:$B$8,0),MATCH(G259,'G-7 Rivers Data'!$H$3:$L$3,0)),"")</f>
        <v/>
      </c>
      <c r="I259" s="161"/>
      <c r="J259" s="507" t="str">
        <f>IF(I259="","",IF(VLOOKUP(I259,'G-7 Rivers Data'!$AG$4:$AI$9,2,FALSE)=0,"Spatial Data Missing ⚠",VLOOKUP(I259,'G-7 Rivers Data'!$AG$4:$AI$9,2,FALSE)))</f>
        <v/>
      </c>
      <c r="K259" s="499" t="str">
        <f>IF(I259="","",IF(VLOOKUP(I259,'G-7 Rivers Data'!$AG$4:$AI$9,3,FALSE)=0,"Spatial Data Missing ⚠",VLOOKUP(I259,'G-7 Rivers Data'!$AG$4:$AI$9,3,FALSE)))</f>
        <v/>
      </c>
      <c r="L259" s="500" t="str">
        <f>IFERROR(INDEX('G-7 Rivers Data'!$O$3:$O$7,MATCH(G259,'G-7 Rivers Data'!$N$3:$N$7,0)),"")</f>
        <v/>
      </c>
      <c r="M259" s="8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487" t="str">
        <f t="shared" si="24"/>
        <v/>
      </c>
      <c r="AA259" s="163"/>
      <c r="AB259" s="164"/>
      <c r="AH259" s="31" t="str">
        <f>IFERROR(INDEX('G-7 Rivers Data'!$AZ$3:$AZ$7,MATCH(C259,'G-7 Rivers Data'!$AY$3:$AY$7,0)),"")</f>
        <v/>
      </c>
    </row>
    <row r="260" spans="2:34" ht="14.4" thickBot="1" x14ac:dyDescent="0.3">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1014"/>
      <c r="Y260" s="1014"/>
      <c r="Z260" s="503">
        <f>SUM(Z12:Z259)</f>
        <v>0</v>
      </c>
      <c r="AA260" s="46"/>
      <c r="AB260" s="46"/>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41.33203125" style="31" customWidth="1"/>
    <col min="4" max="4" width="9" style="31" hidden="1" customWidth="1"/>
    <col min="5" max="5" width="18.88671875" style="31" hidden="1" customWidth="1"/>
    <col min="6" max="6" width="18.33203125" style="31" hidden="1" customWidth="1"/>
    <col min="7" max="7" width="18.109375" style="31" hidden="1" customWidth="1"/>
    <col min="8" max="8" width="19.33203125" style="31" hidden="1" customWidth="1"/>
    <col min="9" max="9" width="25.88671875" style="31" hidden="1" customWidth="1"/>
    <col min="10" max="13" width="19.33203125" style="31" hidden="1" customWidth="1"/>
    <col min="14" max="14" width="45.6640625" style="31" customWidth="1"/>
    <col min="15" max="16" width="34.33203125" style="31" customWidth="1"/>
    <col min="17" max="17" width="10" style="31" customWidth="1"/>
    <col min="18" max="18" width="19.44140625" style="31" customWidth="1"/>
    <col min="19" max="19" width="13.109375" style="31" hidden="1" customWidth="1"/>
    <col min="20" max="20" width="12.5546875" style="31" bestFit="1" customWidth="1"/>
    <col min="21" max="21" width="12.5546875" style="31" hidden="1" customWidth="1"/>
    <col min="22" max="22" width="33.6640625" style="31" customWidth="1"/>
    <col min="23" max="23" width="15.44140625" style="31" hidden="1" customWidth="1"/>
    <col min="24" max="24" width="12.33203125" style="31" hidden="1" customWidth="1"/>
    <col min="25" max="25" width="18.44140625" style="31" hidden="1" customWidth="1"/>
    <col min="26" max="26" width="21" style="31" hidden="1" customWidth="1"/>
    <col min="27" max="27" width="24.44140625" style="31" hidden="1" customWidth="1"/>
    <col min="28" max="28" width="34.44140625" style="31" customWidth="1"/>
    <col min="29" max="29" width="18.44140625" style="31" customWidth="1"/>
    <col min="30" max="30" width="15.33203125" style="31" hidden="1" customWidth="1"/>
    <col min="31" max="31" width="16.5546875" style="31" hidden="1" customWidth="1"/>
    <col min="32" max="32" width="28.33203125" style="31" hidden="1" customWidth="1"/>
    <col min="33" max="33" width="16.33203125" style="31" customWidth="1"/>
    <col min="34" max="34" width="15.33203125" style="31" hidden="1" customWidth="1"/>
    <col min="35" max="35" width="17.5546875" style="31" customWidth="1"/>
    <col min="36" max="36" width="15.33203125" style="31" hidden="1" customWidth="1"/>
    <col min="37" max="37" width="19.5546875" style="31" customWidth="1"/>
    <col min="38" max="38" width="12.6640625" style="31" hidden="1" customWidth="1"/>
    <col min="39" max="39" width="12.6640625" style="31" customWidth="1"/>
    <col min="40" max="41" width="34.88671875" style="31" customWidth="1"/>
    <col min="42" max="47" width="8.88671875" style="31" customWidth="1"/>
    <col min="48" max="48" width="10.88671875" style="31" hidden="1" customWidth="1"/>
    <col min="49" max="56" width="0" style="31" hidden="1" customWidth="1"/>
    <col min="57" max="16384" width="8.88671875" style="31" hidden="1"/>
  </cols>
  <sheetData>
    <row r="1" spans="2:48" ht="20.399999999999999" customHeight="1" thickBot="1" x14ac:dyDescent="0.3"/>
    <row r="2" spans="2:48" ht="27" customHeight="1" thickBot="1" x14ac:dyDescent="0.3">
      <c r="B2" s="987" t="str">
        <f>IF([2]Start!F12="","",[2]Start!F12)</f>
        <v/>
      </c>
      <c r="C2" s="988"/>
      <c r="D2" s="988"/>
      <c r="E2" s="989"/>
      <c r="R2" s="132"/>
      <c r="Y2" s="909" t="str">
        <f>IF(OR(COUNTIF($Y$12:Y259,"*30+*")&gt;0,COUNTIF($AC$12:AC259,"*30+*")&gt;0),"Note; Habitat selected has a time to target condition greater than 30 years. Non standard agreement may be required. ⚠","")</f>
        <v/>
      </c>
      <c r="Z2" s="909"/>
      <c r="AA2" s="909"/>
      <c r="AB2" s="909"/>
      <c r="AC2" s="909"/>
      <c r="AD2" s="909"/>
    </row>
    <row r="3" spans="2:48" ht="18" customHeight="1" thickBot="1" x14ac:dyDescent="0.3">
      <c r="B3" s="1020" t="str">
        <f ca="1">MID(CELL("filename",A1),FIND("]",CELL("filename",A1))+1,256)</f>
        <v>C-3 Site River Enhancement</v>
      </c>
      <c r="C3" s="1021"/>
      <c r="D3" s="1021"/>
      <c r="E3" s="1022"/>
      <c r="Y3" s="909"/>
      <c r="Z3" s="909"/>
      <c r="AA3" s="909"/>
      <c r="AB3" s="909"/>
      <c r="AC3" s="909"/>
      <c r="AD3" s="909"/>
    </row>
    <row r="4" spans="2:48" ht="21" customHeight="1" thickBot="1" x14ac:dyDescent="0.3">
      <c r="B4" s="1020"/>
      <c r="C4" s="1021"/>
      <c r="D4" s="1021"/>
      <c r="E4" s="1022"/>
      <c r="Y4" s="909"/>
      <c r="Z4" s="909"/>
      <c r="AA4" s="909"/>
      <c r="AB4" s="909"/>
      <c r="AC4" s="909"/>
      <c r="AD4" s="909"/>
    </row>
    <row r="5" spans="2:48" ht="15.6" customHeight="1" x14ac:dyDescent="0.3">
      <c r="AH5" s="193"/>
      <c r="AI5" s="193"/>
      <c r="AJ5" s="193"/>
      <c r="AK5" s="193"/>
      <c r="AL5" s="193"/>
    </row>
    <row r="6" spans="2:48" ht="16.2" customHeight="1" x14ac:dyDescent="0.25">
      <c r="F6" s="131"/>
    </row>
    <row r="7" spans="2:48" ht="13.8" x14ac:dyDescent="0.25"/>
    <row r="8" spans="2:48" ht="14.4" thickBot="1" x14ac:dyDescent="0.3"/>
    <row r="9" spans="2:48" ht="14.4" thickBot="1" x14ac:dyDescent="0.3">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50"/>
    </row>
    <row r="10" spans="2:48" s="42" customFormat="1" ht="27" customHeight="1" thickBot="1" x14ac:dyDescent="0.3">
      <c r="C10" s="939" t="s">
        <v>247</v>
      </c>
      <c r="D10" s="939"/>
      <c r="E10" s="939"/>
      <c r="F10" s="939"/>
      <c r="G10" s="939"/>
      <c r="H10" s="939"/>
      <c r="I10" s="939"/>
      <c r="J10" s="939"/>
      <c r="K10" s="939"/>
      <c r="L10" s="939"/>
      <c r="M10" s="939"/>
      <c r="N10" s="970" t="s">
        <v>331</v>
      </c>
      <c r="O10" s="993" t="s">
        <v>249</v>
      </c>
      <c r="P10" s="993"/>
      <c r="Q10" s="949" t="s">
        <v>294</v>
      </c>
      <c r="R10" s="949" t="s">
        <v>272</v>
      </c>
      <c r="S10" s="949"/>
      <c r="T10" s="949" t="s">
        <v>273</v>
      </c>
      <c r="U10" s="949"/>
      <c r="V10" s="970" t="s">
        <v>191</v>
      </c>
      <c r="W10" s="971"/>
      <c r="X10" s="972"/>
      <c r="Y10" s="970" t="s">
        <v>228</v>
      </c>
      <c r="Z10" s="971"/>
      <c r="AA10" s="971"/>
      <c r="AB10" s="971"/>
      <c r="AC10" s="971"/>
      <c r="AD10" s="972"/>
      <c r="AE10" s="970" t="s">
        <v>229</v>
      </c>
      <c r="AF10" s="971"/>
      <c r="AG10" s="971"/>
      <c r="AH10" s="972"/>
      <c r="AI10" s="949" t="s">
        <v>319</v>
      </c>
      <c r="AJ10" s="949"/>
      <c r="AK10" s="970" t="s">
        <v>320</v>
      </c>
      <c r="AL10" s="972"/>
      <c r="AM10" s="949" t="s">
        <v>329</v>
      </c>
      <c r="AN10" s="872" t="s">
        <v>196</v>
      </c>
      <c r="AO10" s="870"/>
    </row>
    <row r="11" spans="2:48" ht="62.25" customHeight="1" x14ac:dyDescent="0.25">
      <c r="B11" s="135" t="s">
        <v>254</v>
      </c>
      <c r="C11" s="201" t="s">
        <v>255</v>
      </c>
      <c r="D11" s="201" t="s">
        <v>294</v>
      </c>
      <c r="E11" s="201" t="s">
        <v>257</v>
      </c>
      <c r="F11" s="201" t="s">
        <v>258</v>
      </c>
      <c r="G11" s="201" t="s">
        <v>259</v>
      </c>
      <c r="H11" s="201" t="s">
        <v>260</v>
      </c>
      <c r="I11" s="201" t="s">
        <v>261</v>
      </c>
      <c r="J11" s="201" t="s">
        <v>191</v>
      </c>
      <c r="K11" s="201" t="s">
        <v>332</v>
      </c>
      <c r="L11" s="201" t="s">
        <v>309</v>
      </c>
      <c r="M11" s="202" t="s">
        <v>333</v>
      </c>
      <c r="N11" s="1023"/>
      <c r="O11" s="141" t="s">
        <v>310</v>
      </c>
      <c r="P11" s="359" t="s">
        <v>311</v>
      </c>
      <c r="Q11" s="985"/>
      <c r="R11" s="141" t="s">
        <v>189</v>
      </c>
      <c r="S11" s="359" t="s">
        <v>206</v>
      </c>
      <c r="T11" s="141" t="s">
        <v>190</v>
      </c>
      <c r="U11" s="359" t="s">
        <v>206</v>
      </c>
      <c r="V11" s="141" t="s">
        <v>191</v>
      </c>
      <c r="W11" s="103" t="s">
        <v>191</v>
      </c>
      <c r="X11" s="359" t="s">
        <v>231</v>
      </c>
      <c r="Y11" s="141" t="s">
        <v>304</v>
      </c>
      <c r="Z11" s="103" t="s">
        <v>268</v>
      </c>
      <c r="AA11" s="103" t="s">
        <v>269</v>
      </c>
      <c r="AB11" s="103" t="s">
        <v>235</v>
      </c>
      <c r="AC11" s="103" t="s">
        <v>236</v>
      </c>
      <c r="AD11" s="359" t="s">
        <v>312</v>
      </c>
      <c r="AE11" s="141" t="s">
        <v>313</v>
      </c>
      <c r="AF11" s="103" t="s">
        <v>305</v>
      </c>
      <c r="AG11" s="103" t="s">
        <v>271</v>
      </c>
      <c r="AH11" s="359" t="s">
        <v>241</v>
      </c>
      <c r="AI11" s="141" t="s">
        <v>322</v>
      </c>
      <c r="AJ11" s="359" t="s">
        <v>323</v>
      </c>
      <c r="AK11" s="141" t="s">
        <v>322</v>
      </c>
      <c r="AL11" s="359" t="s">
        <v>323</v>
      </c>
      <c r="AM11" s="985"/>
      <c r="AN11" s="141" t="s">
        <v>215</v>
      </c>
      <c r="AO11" s="359" t="s">
        <v>216</v>
      </c>
      <c r="AV11" s="261" t="s">
        <v>200</v>
      </c>
    </row>
    <row r="12" spans="2:48" ht="13.8" x14ac:dyDescent="0.25">
      <c r="B12" s="531" t="str">
        <f>'C-1 Site River Baseline'!AN10</f>
        <v/>
      </c>
      <c r="C12" s="507" t="str">
        <f>IF(B12="","",VLOOKUP($B12,'C-1 Site River Baseline'!$C$9:$R$257,2,FALSE))</f>
        <v/>
      </c>
      <c r="D12" s="507" t="str">
        <f>IF(C12="","",VLOOKUP($B12,'C-1 Site River Baseline'!$C$9:$R$257,3,FALSE))</f>
        <v/>
      </c>
      <c r="E12" s="507" t="str">
        <f>IF(D12="","",VLOOKUP($B12,'C-1 Site River Baseline'!$C$9:$R$257,4,FALSE))</f>
        <v/>
      </c>
      <c r="F12" s="507" t="str">
        <f>IF(E12="","",VLOOKUP($B12,'C-1 Site River Baseline'!$C$9:$R$257,5,FALSE))</f>
        <v/>
      </c>
      <c r="G12" s="507" t="str">
        <f>IF(F12="","",VLOOKUP($B12,'C-1 Site River Baseline'!$C$9:$R$257,6,FALSE))</f>
        <v/>
      </c>
      <c r="H12" s="507" t="str">
        <f>IF(G12="","",VLOOKUP($B12,'C-1 Site River Baseline'!$C$9:$R$257,7,FALSE))</f>
        <v/>
      </c>
      <c r="I12" s="507" t="str">
        <f>IF(H12="","",VLOOKUP($B12,'C-1 Site River Baseline'!$C$9:$R$257,8,FALSE))</f>
        <v/>
      </c>
      <c r="J12" s="507" t="str">
        <f>IF(I12="","",VLOOKUP($B12,'C-1 Site River Baseline'!$C$9:$R$257,9,FALSE))</f>
        <v/>
      </c>
      <c r="K12" s="507" t="str">
        <f>IF(J12="","",VLOOKUP($B12,'C-1 Site River Baseline'!$C$9:$R$257,10,FALSE))</f>
        <v/>
      </c>
      <c r="L12" s="507" t="str">
        <f>IF(B12="","",VLOOKUP($B12,'C-1 Site River Baseline'!$C$9:$R$257,15,FALSE))</f>
        <v/>
      </c>
      <c r="M12" s="499" t="str">
        <f>IF(L12="","",VLOOKUP($B12,'C-1 Site River Baseline'!$C$9:$R$257,16,FALSE))</f>
        <v/>
      </c>
      <c r="N12" s="426"/>
      <c r="O12" s="498" t="str">
        <f>IF(B12="","",IF(S12&lt;F12,"Error Trading Down ▲",E12&amp;" - "&amp;R12))</f>
        <v/>
      </c>
      <c r="P12" s="499"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7" t="str">
        <f>IF(N12="","",VLOOKUP(B12,'C-1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45"/>
      <c r="W12" s="507" t="str">
        <f>IF(V12="","",IF(VLOOKUP(V12,'G-7 Rivers Data'!$AG$4:$AI$9,2,FALSE)=0,"Spatial Data Missing ⚠",VLOOKUP(V12,'G-7 Rivers Data'!$AG$4:$AI$9,2,FALSE)))</f>
        <v/>
      </c>
      <c r="X12" s="499" t="str">
        <f>IF(V12="","",IF(VLOOKUP(V12,'G-7 Rivers Data'!$AG$4:$AI$9,3,FALSE)=0,"Spatial Data Missing ⚠",VLOOKUP(V12,'G-7 Rivers Data'!$AG$4:$AI$9,3,FALSE)))</f>
        <v/>
      </c>
      <c r="Y12" s="498" t="str">
        <f>IFERROR(IF(OR(LEFT(P12,5)="Error ▲",LEFT(O12,5)="Error ▲"),"Check Data ⚠",IF(F12&lt;S12,'G-7 Rivers Data'!$R$3,INDEX('G-7 Rivers Data'!$U$5:$Y$9,MATCH(G12,'G-7 Rivers Data'!$T$5:$T$9,0),MATCH(T12,'G-7 Rivers Data'!$U$4:$Y$4,0)))),"")</f>
        <v/>
      </c>
      <c r="Z12" s="195"/>
      <c r="AA12" s="195"/>
      <c r="AB12" s="50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IF(LEFT(AB12,5)="Error ▲","Check Data ⚠",IF(AB12="Check Data ⚠","Check Data ⚠",IF(Y12="","",IF(Z12="30+",0,IF(AA12="30+","30+ ⚠",IF(Y12+AA12&gt;30,"30+ ⚠",IF(Y12+AA12-Z12&gt;0,Y12+AA12-Z12,IF(Y12-Z12&lt;0,0,Y12+AA12-Z12))))))))</f>
        <v/>
      </c>
      <c r="AD12" s="564" t="str">
        <f>IFERROR(IF(AC12="Check Data ⚠","Check Data ⚠",VLOOKUP(AC12,'G-4 Temporal multipliers'!$A$4:$C$37,3,FALSE)),"")</f>
        <v/>
      </c>
      <c r="AE12" s="498" t="str">
        <f>IF(N12="","",VLOOKUP(N12,'G-7 Rivers Data'!$B$4:$G$8,5,FALSE))</f>
        <v/>
      </c>
      <c r="AF12" s="507" t="str">
        <f>IF(N12="","",IF(AC12="Check Data ⚠","Check Data ⚠",IF(T12="","",IF($AB12="Check details - Is there evidence that habitat has reached target condition? ⚠","Low Difficulty - only applicable if all habitat created before losses ⚠","Standard difficulty applied"))))</f>
        <v/>
      </c>
      <c r="AG12" s="540" t="str">
        <f>(IF(AND(AF12="Standard difficulty applied",Y12&gt;Z12),AE12,IF(AND(AF12="Low Difficulty - only applicable if all habitat created before losses ⚠",Z12&gt;=Y12),"Low",AE12)))</f>
        <v/>
      </c>
      <c r="AH12" s="499" t="str">
        <f t="shared" ref="AH12:AH75" si="0">IF(N12="","",VLOOKUP(AE12,Difficulty,2,FALSE))</f>
        <v/>
      </c>
      <c r="AI12" s="154"/>
      <c r="AJ12" s="499" t="str">
        <f>IF(AI12="","",IF(VLOOKUP(AI12,'G-7 Rivers Data'!$AA$4:$AB$7,2,FALSE)=0,"Spatial Data Missing ⚠",VLOOKUP(AI12,'G-7 Rivers Data'!$AA$4:$AB$7,2,FALSE)))</f>
        <v/>
      </c>
      <c r="AK12" s="155"/>
      <c r="AL12" s="499" t="str">
        <f>IF(AK12="","",IF(VLOOKUP(AK12,'G-7 Rivers Data'!$AD$4:$AE$8,2,FALSE)=0,"Spatial Data Missing ⚠",VLOOKUP(AK12,'G-7 Rivers Data'!$AD$4:$AE$8,2,FALSE)))</f>
        <v/>
      </c>
      <c r="AM12" s="545" t="str">
        <f>IFERROR(IF(C12="","",IF(Q12&gt;D12,((((Q12*S12*U12)-(D12*F12*H12))*(AH12*AD12))+(D12*F12*H12))*(AL12*X12*AJ12),((((Q12*S12*U12)-(Q12*F12*H12))*(AH12*AD12))+(Q12*F12*H12))*(AL12*X12*AJ12))),"")</f>
        <v/>
      </c>
      <c r="AN12" s="149"/>
      <c r="AO12" s="150"/>
      <c r="AV12" s="31" t="str">
        <f>IFERROR(INDEX('G-7 Rivers Data'!$AZ$3:$AZ$7,MATCH(N12,'G-7 Rivers Data'!$AY$3:$AY$7,0)),"")</f>
        <v/>
      </c>
    </row>
    <row r="13" spans="2:48" ht="13.8" x14ac:dyDescent="0.25">
      <c r="B13" s="531" t="str">
        <f>'C-1 Site River Baseline'!AN11</f>
        <v/>
      </c>
      <c r="C13" s="520" t="str">
        <f>IF(B13="","",VLOOKUP($B13,'C-1 Site River Baseline'!$C$9:$R$257,2,FALSE))</f>
        <v/>
      </c>
      <c r="D13" s="520" t="str">
        <f>IF(C13="","",VLOOKUP($B13,'C-1 Site River Baseline'!$C$9:$R$257,3,FALSE))</f>
        <v/>
      </c>
      <c r="E13" s="520" t="str">
        <f>IF(D13="","",VLOOKUP($B13,'C-1 Site River Baseline'!$C$9:$R$257,4,FALSE))</f>
        <v/>
      </c>
      <c r="F13" s="520" t="str">
        <f>IF(E13="","",VLOOKUP($B13,'C-1 Site River Baseline'!$C$9:$R$257,5,FALSE))</f>
        <v/>
      </c>
      <c r="G13" s="520" t="str">
        <f>IF(F13="","",VLOOKUP($B13,'C-1 Site River Baseline'!$C$9:$R$257,6,FALSE))</f>
        <v/>
      </c>
      <c r="H13" s="520" t="str">
        <f>IF(G13="","",VLOOKUP($B13,'C-1 Site River Baseline'!$C$9:$R$257,7,FALSE))</f>
        <v/>
      </c>
      <c r="I13" s="520" t="str">
        <f>IF(H13="","",VLOOKUP($B13,'C-1 Site River Baseline'!$C$9:$R$257,8,FALSE))</f>
        <v/>
      </c>
      <c r="J13" s="520" t="str">
        <f>IF(I13="","",VLOOKUP($B13,'C-1 Site River Baseline'!$C$9:$R$257,9,FALSE))</f>
        <v/>
      </c>
      <c r="K13" s="520" t="str">
        <f>IF(J13="","",VLOOKUP($B13,'C-1 Site River Baseline'!$C$9:$R$257,10,FALSE))</f>
        <v/>
      </c>
      <c r="L13" s="520" t="str">
        <f>IF(B13="","",VLOOKUP($B13,'C-1 Site River Baseline'!$C$9:$R$257,15,FALSE))</f>
        <v/>
      </c>
      <c r="M13" s="524" t="str">
        <f>IF(L13="","",VLOOKUP($B13,'C-1 Site River Baseline'!$C$9:$R$257,16,FALSE))</f>
        <v/>
      </c>
      <c r="N13" s="426"/>
      <c r="O13" s="498" t="str">
        <f t="shared" ref="O13:O76" si="1">IF(B13="","",IF(S13&lt;F13,"Error Trading Down ▲",E13&amp;" - "&amp;R13))</f>
        <v/>
      </c>
      <c r="P13" s="499"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7" t="str">
        <f>IF(N13="","",VLOOKUP(B13,'C-1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07" t="str">
        <f>IF(V13="","",IF(VLOOKUP(V13,'G-7 Rivers Data'!$AG$4:$AI$9,2,FALSE)=0,"Spatial Data Missing ⚠",VLOOKUP(V13,'G-7 Rivers Data'!$AG$4:$AI$9,2,FALSE)))</f>
        <v/>
      </c>
      <c r="X13" s="499" t="str">
        <f>IF(V13="","",IF(VLOOKUP(V13,'G-7 Rivers Data'!$AG$4:$AI$9,3,FALSE)=0,"Spatial Data Missing ⚠",VLOOKUP(V13,'G-7 Rivers Data'!$AG$4:$AI$9,3,FALSE)))</f>
        <v/>
      </c>
      <c r="Y13" s="498" t="str">
        <f>IFERROR(IF(OR(LEFT(P13,5)="Error ▲",LEFT(O13,5)="Error ▲"),"Check Data ⚠",IF(F13&lt;S13,'G-7 Rivers Data'!$R$3,INDEX('G-7 Rivers Data'!$U$5:$Y$9,MATCH(G13,'G-7 Rivers Data'!$T$5:$T$9,0),MATCH(T13,'G-7 Rivers Data'!$U$4:$Y$4,0)))),"")</f>
        <v/>
      </c>
      <c r="Z13" s="195"/>
      <c r="AA13" s="195"/>
      <c r="AB13" s="507"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1" t="str">
        <f t="shared" ref="AC13:AC76" si="3">IF(LEFT(AB13,5)="Error ▲","Check Data ⚠",IF(AB13="Check Data ⚠","Check Data ⚠",IF(Y13="","",IF(Z13="30+",0,IF(AA13="30+","30+ ⚠",IF(Y13+AA13&gt;30,"30+ ⚠",IF(Y13+AA13-Z13&gt;0,Y13+AA13-Z13,IF(Y13-Z13&lt;0,0,Y13+AA13-Z13))))))))</f>
        <v/>
      </c>
      <c r="AD13" s="564" t="str">
        <f>IFERROR(IF(AC13="Check Data ⚠","Check Data ⚠",VLOOKUP(AC13,'G-4 Temporal multipliers'!$A$4:$C$37,3,FALSE)),"")</f>
        <v/>
      </c>
      <c r="AE13" s="498" t="str">
        <f>IF(N13="","",VLOOKUP(N13,'G-7 Rivers Data'!$B$4:$G$8,5,FALSE))</f>
        <v/>
      </c>
      <c r="AF13" s="507" t="str">
        <f t="shared" ref="AF13:AF76" si="4">IF(N13="","",IF(AC13="Check Data ⚠","Check Data ⚠",IF(T13="","",IF($AB13="Check details - Is there evidence that habitat has reached target condition? ⚠","Low Difficulty - only applicable if all habitat created before losses ⚠","Standard difficulty applied"))))</f>
        <v/>
      </c>
      <c r="AG13" s="540" t="str">
        <f t="shared" ref="AG13:AG76" si="5">(IF(AND(AF13="Standard difficulty applied",Y13&gt;Z13),AE13,IF(AND(AF13="Low Difficulty - only applicable if all habitat created before losses ⚠",Z13&gt;=Y13),"Low",AE13)))</f>
        <v/>
      </c>
      <c r="AH13" s="499" t="str">
        <f t="shared" si="0"/>
        <v/>
      </c>
      <c r="AI13" s="145"/>
      <c r="AJ13" s="499" t="str">
        <f>IF(AI13="","",IF(VLOOKUP(AI13,'G-7 Rivers Data'!$AA$4:$AB$7,2,FALSE)=0,"Spatial Data Missing ⚠",VLOOKUP(AI13,'G-7 Rivers Data'!$AA$4:$AB$7,2,FALSE)))</f>
        <v/>
      </c>
      <c r="AK13" s="155"/>
      <c r="AL13" s="499" t="str">
        <f>IF(AK13="","",IF(VLOOKUP(AK13,'G-7 Rivers Data'!$AD$4:$AE$8,2,FALSE)=0,"Spatial Data Missing ⚠",VLOOKUP(AK13,'G-7 Rivers Data'!$AD$4:$AE$8,2,FALSE)))</f>
        <v/>
      </c>
      <c r="AM13" s="545" t="str">
        <f>IFERROR(IF(C13="","",IF(Q13&gt;D13,((((Q13*S13*U13)-(D13*F13*H13))*(AH13*AD13))+(D13*F13*H13))*(AL13*X13*AJ13),((((Q13*S13*U13)-(Q13*F13*H13))*(AH13*AD13))+(Q13*F13*H13))*(AL13*X13*AJ13))),"")</f>
        <v/>
      </c>
      <c r="AN13" s="149"/>
      <c r="AO13" s="150"/>
      <c r="AV13" s="31" t="str">
        <f>IFERROR(INDEX('G-7 Rivers Data'!$AZ$3:$AZ$7,MATCH(N13,'G-7 Rivers Data'!$AY$3:$AY$7,0)),"")</f>
        <v/>
      </c>
    </row>
    <row r="14" spans="2:48" ht="13.8" x14ac:dyDescent="0.25">
      <c r="B14" s="531" t="str">
        <f>'C-1 Site River Baseline'!AN12</f>
        <v/>
      </c>
      <c r="C14" s="520" t="str">
        <f>IF(B14="","",VLOOKUP($B14,'C-1 Site River Baseline'!$C$9:$R$257,2,FALSE))</f>
        <v/>
      </c>
      <c r="D14" s="520" t="str">
        <f>IF(C14="","",VLOOKUP($B14,'C-1 Site River Baseline'!$C$9:$R$257,3,FALSE))</f>
        <v/>
      </c>
      <c r="E14" s="520" t="str">
        <f>IF(D14="","",VLOOKUP($B14,'C-1 Site River Baseline'!$C$9:$R$257,4,FALSE))</f>
        <v/>
      </c>
      <c r="F14" s="520" t="str">
        <f>IF(E14="","",VLOOKUP($B14,'C-1 Site River Baseline'!$C$9:$R$257,5,FALSE))</f>
        <v/>
      </c>
      <c r="G14" s="520" t="str">
        <f>IF(F14="","",VLOOKUP($B14,'C-1 Site River Baseline'!$C$9:$R$257,6,FALSE))</f>
        <v/>
      </c>
      <c r="H14" s="520" t="str">
        <f>IF(G14="","",VLOOKUP($B14,'C-1 Site River Baseline'!$C$9:$R$257,7,FALSE))</f>
        <v/>
      </c>
      <c r="I14" s="520" t="str">
        <f>IF(H14="","",VLOOKUP($B14,'C-1 Site River Baseline'!$C$9:$R$257,8,FALSE))</f>
        <v/>
      </c>
      <c r="J14" s="520" t="str">
        <f>IF(I14="","",VLOOKUP($B14,'C-1 Site River Baseline'!$C$9:$R$257,9,FALSE))</f>
        <v/>
      </c>
      <c r="K14" s="520" t="str">
        <f>IF(J14="","",VLOOKUP($B14,'C-1 Site River Baseline'!$C$9:$R$257,10,FALSE))</f>
        <v/>
      </c>
      <c r="L14" s="520" t="str">
        <f>IF(B14="","",VLOOKUP($B14,'C-1 Site River Baseline'!$C$9:$R$257,15,FALSE))</f>
        <v/>
      </c>
      <c r="M14" s="524" t="str">
        <f>IF(L14="","",VLOOKUP($B14,'C-1 Site River Baseline'!$C$9:$R$257,16,FALSE))</f>
        <v/>
      </c>
      <c r="N14" s="426" t="str">
        <f t="shared" ref="N14:N76" si="6">C14</f>
        <v/>
      </c>
      <c r="O14" s="498" t="str">
        <f t="shared" si="1"/>
        <v/>
      </c>
      <c r="P14" s="499"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7" t="str">
        <f>IF(N14="","",VLOOKUP(B14,'C-1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07" t="str">
        <f>IF(V14="","",IF(VLOOKUP(V14,'G-7 Rivers Data'!$AG$4:$AI$9,2,FALSE)=0,"Spatial Data Missing ⚠",VLOOKUP(V14,'G-7 Rivers Data'!$AG$4:$AI$9,2,FALSE)))</f>
        <v/>
      </c>
      <c r="X14" s="499" t="str">
        <f>IF(V14="","",IF(VLOOKUP(V14,'G-7 Rivers Data'!$AG$4:$AI$9,3,FALSE)=0,"Spatial Data Missing ⚠",VLOOKUP(V14,'G-7 Rivers Data'!$AG$4:$AI$9,3,FALSE)))</f>
        <v/>
      </c>
      <c r="Y14" s="498" t="str">
        <f>IFERROR(IF(OR(LEFT(P14,5)="Error ▲",LEFT(O14,5)="Error ▲"),"Check Data ⚠",IF(F14&lt;S14,'G-7 Rivers Data'!$R$3,INDEX('G-7 Rivers Data'!$U$5:$Y$9,MATCH(G14,'G-7 Rivers Data'!$T$5:$T$9,0),MATCH(T14,'G-7 Rivers Data'!$U$4:$Y$4,0)))),"")</f>
        <v/>
      </c>
      <c r="Z14" s="195"/>
      <c r="AA14" s="195"/>
      <c r="AB14" s="507" t="str">
        <f t="shared" si="2"/>
        <v/>
      </c>
      <c r="AC14" s="521" t="str">
        <f t="shared" si="3"/>
        <v/>
      </c>
      <c r="AD14" s="564" t="str">
        <f>IFERROR(IF(AC14="Check Data ⚠","Check Data ⚠",VLOOKUP(AC14,'G-4 Temporal multipliers'!$A$4:$C$37,3,FALSE)),"")</f>
        <v/>
      </c>
      <c r="AE14" s="498" t="str">
        <f>IF(N14="","",VLOOKUP(N14,'G-7 Rivers Data'!$B$4:$G$8,5,FALSE))</f>
        <v/>
      </c>
      <c r="AF14" s="507" t="str">
        <f t="shared" si="4"/>
        <v/>
      </c>
      <c r="AG14" s="540" t="str">
        <f t="shared" si="5"/>
        <v/>
      </c>
      <c r="AH14" s="499" t="str">
        <f t="shared" si="0"/>
        <v/>
      </c>
      <c r="AI14" s="145"/>
      <c r="AJ14" s="499" t="str">
        <f>IF(AI14="","",IF(VLOOKUP(AI14,'G-7 Rivers Data'!$AA$4:$AB$7,2,FALSE)=0,"Spatial Data Missing ⚠",VLOOKUP(AI14,'G-7 Rivers Data'!$AA$4:$AB$7,2,FALSE)))</f>
        <v/>
      </c>
      <c r="AK14" s="155"/>
      <c r="AL14" s="499" t="str">
        <f>IF(AK14="","",IF(VLOOKUP(AK14,'G-7 Rivers Data'!$AD$4:$AE$8,2,FALSE)=0,"Spatial Data Missing ⚠",VLOOKUP(AK14,'G-7 Rivers Data'!$AD$4:$AE$8,2,FALSE)))</f>
        <v/>
      </c>
      <c r="AM14" s="545"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8" x14ac:dyDescent="0.25">
      <c r="B15" s="531" t="str">
        <f>'C-1 Site River Baseline'!AN13</f>
        <v/>
      </c>
      <c r="C15" s="520" t="str">
        <f>IF(B15="","",VLOOKUP($B15,'C-1 Site River Baseline'!$C$9:$R$257,2,FALSE))</f>
        <v/>
      </c>
      <c r="D15" s="520" t="str">
        <f>IF(C15="","",VLOOKUP($B15,'C-1 Site River Baseline'!$C$9:$R$257,3,FALSE))</f>
        <v/>
      </c>
      <c r="E15" s="520" t="str">
        <f>IF(D15="","",VLOOKUP($B15,'C-1 Site River Baseline'!$C$9:$R$257,4,FALSE))</f>
        <v/>
      </c>
      <c r="F15" s="520" t="str">
        <f>IF(E15="","",VLOOKUP($B15,'C-1 Site River Baseline'!$C$9:$R$257,5,FALSE))</f>
        <v/>
      </c>
      <c r="G15" s="520" t="str">
        <f>IF(F15="","",VLOOKUP($B15,'C-1 Site River Baseline'!$C$9:$R$257,6,FALSE))</f>
        <v/>
      </c>
      <c r="H15" s="520" t="str">
        <f>IF(G15="","",VLOOKUP($B15,'C-1 Site River Baseline'!$C$9:$R$257,7,FALSE))</f>
        <v/>
      </c>
      <c r="I15" s="520" t="str">
        <f>IF(H15="","",VLOOKUP($B15,'C-1 Site River Baseline'!$C$9:$R$257,8,FALSE))</f>
        <v/>
      </c>
      <c r="J15" s="520" t="str">
        <f>IF(I15="","",VLOOKUP($B15,'C-1 Site River Baseline'!$C$9:$R$257,9,FALSE))</f>
        <v/>
      </c>
      <c r="K15" s="520" t="str">
        <f>IF(J15="","",VLOOKUP($B15,'C-1 Site River Baseline'!$C$9:$R$257,10,FALSE))</f>
        <v/>
      </c>
      <c r="L15" s="520" t="str">
        <f>IF(B15="","",VLOOKUP($B15,'C-1 Site River Baseline'!$C$9:$R$257,15,FALSE))</f>
        <v/>
      </c>
      <c r="M15" s="524" t="str">
        <f>IF(L15="","",VLOOKUP($B15,'C-1 Site River Baseline'!$C$9:$R$257,16,FALSE))</f>
        <v/>
      </c>
      <c r="N15" s="426" t="str">
        <f t="shared" si="6"/>
        <v/>
      </c>
      <c r="O15" s="498" t="str">
        <f t="shared" si="1"/>
        <v/>
      </c>
      <c r="P15" s="499"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7" t="str">
        <f>IF(N15="","",VLOOKUP(B15,'C-1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07" t="str">
        <f>IF(V15="","",IF(VLOOKUP(V15,'G-7 Rivers Data'!$AG$4:$AI$9,2,FALSE)=0,"Spatial Data Missing ⚠",VLOOKUP(V15,'G-7 Rivers Data'!$AG$4:$AI$9,2,FALSE)))</f>
        <v/>
      </c>
      <c r="X15" s="499" t="str">
        <f>IF(V15="","",IF(VLOOKUP(V15,'G-7 Rivers Data'!$AG$4:$AI$9,3,FALSE)=0,"Spatial Data Missing ⚠",VLOOKUP(V15,'G-7 Rivers Data'!$AG$4:$AI$9,3,FALSE)))</f>
        <v/>
      </c>
      <c r="Y15" s="498" t="str">
        <f>IFERROR(IF(OR(LEFT(P15,5)="Error ▲",LEFT(O15,5)="Error ▲"),"Check Data ⚠",IF(F15&lt;S15,'G-7 Rivers Data'!$R$3,INDEX('G-7 Rivers Data'!$U$5:$Y$9,MATCH(G15,'G-7 Rivers Data'!$T$5:$T$9,0),MATCH(T15,'G-7 Rivers Data'!$U$4:$Y$4,0)))),"")</f>
        <v/>
      </c>
      <c r="Z15" s="195"/>
      <c r="AA15" s="195"/>
      <c r="AB15" s="507" t="str">
        <f t="shared" si="2"/>
        <v/>
      </c>
      <c r="AC15" s="521" t="str">
        <f t="shared" si="3"/>
        <v/>
      </c>
      <c r="AD15" s="564" t="str">
        <f>IFERROR(IF(AC15="Check Data ⚠","Check Data ⚠",VLOOKUP(AC15,'G-4 Temporal multipliers'!$A$4:$C$37,3,FALSE)),"")</f>
        <v/>
      </c>
      <c r="AE15" s="498" t="str">
        <f>IF(N15="","",VLOOKUP(N15,'G-7 Rivers Data'!$B$4:$G$8,5,FALSE))</f>
        <v/>
      </c>
      <c r="AF15" s="507" t="str">
        <f t="shared" si="4"/>
        <v/>
      </c>
      <c r="AG15" s="540" t="str">
        <f t="shared" si="5"/>
        <v/>
      </c>
      <c r="AH15" s="499" t="str">
        <f t="shared" si="0"/>
        <v/>
      </c>
      <c r="AI15" s="145"/>
      <c r="AJ15" s="499" t="str">
        <f>IF(AI15="","",IF(VLOOKUP(AI15,'G-7 Rivers Data'!$AA$4:$AB$7,2,FALSE)=0,"Spatial Data Missing ⚠",VLOOKUP(AI15,'G-7 Rivers Data'!$AA$4:$AB$7,2,FALSE)))</f>
        <v/>
      </c>
      <c r="AK15" s="155"/>
      <c r="AL15" s="499" t="str">
        <f>IF(AK15="","",IF(VLOOKUP(AK15,'G-7 Rivers Data'!$AD$4:$AE$8,2,FALSE)=0,"Spatial Data Missing ⚠",VLOOKUP(AK15,'G-7 Rivers Data'!$AD$4:$AE$8,2,FALSE)))</f>
        <v/>
      </c>
      <c r="AM15" s="545" t="str">
        <f t="shared" si="7"/>
        <v/>
      </c>
      <c r="AN15" s="149"/>
      <c r="AO15" s="150"/>
      <c r="AV15" s="31" t="str">
        <f>IFERROR(INDEX('G-7 Rivers Data'!$AZ$3:$AZ$7,MATCH(N15,'G-7 Rivers Data'!$AY$3:$AY$7,0)),"")</f>
        <v/>
      </c>
    </row>
    <row r="16" spans="2:48" ht="13.8" x14ac:dyDescent="0.25">
      <c r="B16" s="531" t="str">
        <f>'C-1 Site River Baseline'!AN14</f>
        <v/>
      </c>
      <c r="C16" s="520" t="str">
        <f>IF(B16="","",VLOOKUP($B16,'C-1 Site River Baseline'!$C$9:$R$257,2,FALSE))</f>
        <v/>
      </c>
      <c r="D16" s="520" t="str">
        <f>IF(C16="","",VLOOKUP($B16,'C-1 Site River Baseline'!$C$9:$R$257,3,FALSE))</f>
        <v/>
      </c>
      <c r="E16" s="520" t="str">
        <f>IF(D16="","",VLOOKUP($B16,'C-1 Site River Baseline'!$C$9:$R$257,4,FALSE))</f>
        <v/>
      </c>
      <c r="F16" s="520" t="str">
        <f>IF(E16="","",VLOOKUP($B16,'C-1 Site River Baseline'!$C$9:$R$257,5,FALSE))</f>
        <v/>
      </c>
      <c r="G16" s="520" t="str">
        <f>IF(F16="","",VLOOKUP($B16,'C-1 Site River Baseline'!$C$9:$R$257,6,FALSE))</f>
        <v/>
      </c>
      <c r="H16" s="520" t="str">
        <f>IF(G16="","",VLOOKUP($B16,'C-1 Site River Baseline'!$C$9:$R$257,7,FALSE))</f>
        <v/>
      </c>
      <c r="I16" s="520" t="str">
        <f>IF(H16="","",VLOOKUP($B16,'C-1 Site River Baseline'!$C$9:$R$257,8,FALSE))</f>
        <v/>
      </c>
      <c r="J16" s="520" t="str">
        <f>IF(I16="","",VLOOKUP($B16,'C-1 Site River Baseline'!$C$9:$R$257,9,FALSE))</f>
        <v/>
      </c>
      <c r="K16" s="520" t="str">
        <f>IF(J16="","",VLOOKUP($B16,'C-1 Site River Baseline'!$C$9:$R$257,10,FALSE))</f>
        <v/>
      </c>
      <c r="L16" s="520" t="str">
        <f>IF(B16="","",VLOOKUP($B16,'C-1 Site River Baseline'!$C$9:$R$257,15,FALSE))</f>
        <v/>
      </c>
      <c r="M16" s="524" t="str">
        <f>IF(L16="","",VLOOKUP($B16,'C-1 Site River Baseline'!$C$9:$R$257,16,FALSE))</f>
        <v/>
      </c>
      <c r="N16" s="426" t="str">
        <f t="shared" si="6"/>
        <v/>
      </c>
      <c r="O16" s="498" t="str">
        <f t="shared" si="1"/>
        <v/>
      </c>
      <c r="P16" s="499"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7" t="str">
        <f>IF(N16="","",VLOOKUP(B16,'C-1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07" t="str">
        <f>IF(V16="","",IF(VLOOKUP(V16,'G-7 Rivers Data'!$AG$4:$AI$9,2,FALSE)=0,"Spatial Data Missing ⚠",VLOOKUP(V16,'G-7 Rivers Data'!$AG$4:$AI$9,2,FALSE)))</f>
        <v/>
      </c>
      <c r="X16" s="499" t="str">
        <f>IF(V16="","",IF(VLOOKUP(V16,'G-7 Rivers Data'!$AG$4:$AI$9,3,FALSE)=0,"Spatial Data Missing ⚠",VLOOKUP(V16,'G-7 Rivers Data'!$AG$4:$AI$9,3,FALSE)))</f>
        <v/>
      </c>
      <c r="Y16" s="498" t="str">
        <f>IFERROR(IF(OR(LEFT(P16,5)="Error ▲",LEFT(O16,5)="Error ▲"),"Check Data ⚠",IF(F16&lt;S16,'G-7 Rivers Data'!$R$3,INDEX('G-7 Rivers Data'!$U$5:$Y$9,MATCH(G16,'G-7 Rivers Data'!$T$5:$T$9,0),MATCH(T16,'G-7 Rivers Data'!$U$4:$Y$4,0)))),"")</f>
        <v/>
      </c>
      <c r="Z16" s="195"/>
      <c r="AA16" s="195"/>
      <c r="AB16" s="507" t="str">
        <f t="shared" si="2"/>
        <v/>
      </c>
      <c r="AC16" s="521" t="str">
        <f t="shared" si="3"/>
        <v/>
      </c>
      <c r="AD16" s="564" t="str">
        <f>IFERROR(IF(AC16="Check Data ⚠","Check Data ⚠",VLOOKUP(AC16,'G-4 Temporal multipliers'!$A$4:$C$37,3,FALSE)),"")</f>
        <v/>
      </c>
      <c r="AE16" s="498" t="str">
        <f>IF(N16="","",VLOOKUP(N16,'G-7 Rivers Data'!$B$4:$G$8,5,FALSE))</f>
        <v/>
      </c>
      <c r="AF16" s="507" t="str">
        <f t="shared" si="4"/>
        <v/>
      </c>
      <c r="AG16" s="540" t="str">
        <f t="shared" si="5"/>
        <v/>
      </c>
      <c r="AH16" s="499" t="str">
        <f t="shared" si="0"/>
        <v/>
      </c>
      <c r="AI16" s="145"/>
      <c r="AJ16" s="499" t="str">
        <f>IF(AI16="","",IF(VLOOKUP(AI16,'G-7 Rivers Data'!$AA$4:$AB$7,2,FALSE)=0,"Spatial Data Missing ⚠",VLOOKUP(AI16,'G-7 Rivers Data'!$AA$4:$AB$7,2,FALSE)))</f>
        <v/>
      </c>
      <c r="AK16" s="155"/>
      <c r="AL16" s="499" t="str">
        <f>IF(AK16="","",IF(VLOOKUP(AK16,'G-7 Rivers Data'!$AD$4:$AE$8,2,FALSE)=0,"Spatial Data Missing ⚠",VLOOKUP(AK16,'G-7 Rivers Data'!$AD$4:$AE$8,2,FALSE)))</f>
        <v/>
      </c>
      <c r="AM16" s="545" t="str">
        <f t="shared" si="7"/>
        <v/>
      </c>
      <c r="AN16" s="149"/>
      <c r="AO16" s="150"/>
      <c r="AV16" s="31" t="str">
        <f>IFERROR(INDEX('G-7 Rivers Data'!$AZ$3:$AZ$7,MATCH(N16,'G-7 Rivers Data'!$AY$3:$AY$7,0)),"")</f>
        <v/>
      </c>
    </row>
    <row r="17" spans="2:48" ht="13.8" x14ac:dyDescent="0.25">
      <c r="B17" s="531" t="str">
        <f>'C-1 Site River Baseline'!AN15</f>
        <v/>
      </c>
      <c r="C17" s="520" t="str">
        <f>IF(B17="","",VLOOKUP($B17,'C-1 Site River Baseline'!$C$9:$R$257,2,FALSE))</f>
        <v/>
      </c>
      <c r="D17" s="520" t="str">
        <f>IF(C17="","",VLOOKUP($B17,'C-1 Site River Baseline'!$C$9:$R$257,3,FALSE))</f>
        <v/>
      </c>
      <c r="E17" s="520" t="str">
        <f>IF(D17="","",VLOOKUP($B17,'C-1 Site River Baseline'!$C$9:$R$257,4,FALSE))</f>
        <v/>
      </c>
      <c r="F17" s="520" t="str">
        <f>IF(E17="","",VLOOKUP($B17,'C-1 Site River Baseline'!$C$9:$R$257,5,FALSE))</f>
        <v/>
      </c>
      <c r="G17" s="520" t="str">
        <f>IF(F17="","",VLOOKUP($B17,'C-1 Site River Baseline'!$C$9:$R$257,6,FALSE))</f>
        <v/>
      </c>
      <c r="H17" s="520" t="str">
        <f>IF(G17="","",VLOOKUP($B17,'C-1 Site River Baseline'!$C$9:$R$257,7,FALSE))</f>
        <v/>
      </c>
      <c r="I17" s="520" t="str">
        <f>IF(H17="","",VLOOKUP($B17,'C-1 Site River Baseline'!$C$9:$R$257,8,FALSE))</f>
        <v/>
      </c>
      <c r="J17" s="520" t="str">
        <f>IF(I17="","",VLOOKUP($B17,'C-1 Site River Baseline'!$C$9:$R$257,9,FALSE))</f>
        <v/>
      </c>
      <c r="K17" s="520" t="str">
        <f>IF(J17="","",VLOOKUP($B17,'C-1 Site River Baseline'!$C$9:$R$257,10,FALSE))</f>
        <v/>
      </c>
      <c r="L17" s="520" t="str">
        <f>IF(B17="","",VLOOKUP($B17,'C-1 Site River Baseline'!$C$9:$R$257,15,FALSE))</f>
        <v/>
      </c>
      <c r="M17" s="524" t="str">
        <f>IF(L17="","",VLOOKUP($B17,'C-1 Site River Baseline'!$C$9:$R$257,16,FALSE))</f>
        <v/>
      </c>
      <c r="N17" s="426" t="str">
        <f t="shared" si="6"/>
        <v/>
      </c>
      <c r="O17" s="498" t="str">
        <f t="shared" si="1"/>
        <v/>
      </c>
      <c r="P17" s="499"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7" t="str">
        <f>IF(N17="","",VLOOKUP(B17,'C-1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07" t="str">
        <f>IF(V17="","",IF(VLOOKUP(V17,'G-7 Rivers Data'!$AG$4:$AI$9,2,FALSE)=0,"Spatial Data Missing ⚠",VLOOKUP(V17,'G-7 Rivers Data'!$AG$4:$AI$9,2,FALSE)))</f>
        <v/>
      </c>
      <c r="X17" s="499" t="str">
        <f>IF(V17="","",IF(VLOOKUP(V17,'G-7 Rivers Data'!$AG$4:$AI$9,3,FALSE)=0,"Spatial Data Missing ⚠",VLOOKUP(V17,'G-7 Rivers Data'!$AG$4:$AI$9,3,FALSE)))</f>
        <v/>
      </c>
      <c r="Y17" s="498" t="str">
        <f>IFERROR(IF(OR(LEFT(P17,5)="Error ▲",LEFT(O17,5)="Error ▲"),"Check Data ⚠",IF(F17&lt;S17,'G-7 Rivers Data'!$R$3,INDEX('G-7 Rivers Data'!$U$5:$Y$9,MATCH(G17,'G-7 Rivers Data'!$T$5:$T$9,0),MATCH(T17,'G-7 Rivers Data'!$U$4:$Y$4,0)))),"")</f>
        <v/>
      </c>
      <c r="Z17" s="195"/>
      <c r="AA17" s="195"/>
      <c r="AB17" s="507" t="str">
        <f t="shared" si="2"/>
        <v/>
      </c>
      <c r="AC17" s="521" t="str">
        <f t="shared" si="3"/>
        <v/>
      </c>
      <c r="AD17" s="564" t="str">
        <f>IFERROR(IF(AC17="Check Data ⚠","Check Data ⚠",VLOOKUP(AC17,'G-4 Temporal multipliers'!$A$4:$C$37,3,FALSE)),"")</f>
        <v/>
      </c>
      <c r="AE17" s="498" t="str">
        <f>IF(N17="","",VLOOKUP(N17,'G-7 Rivers Data'!$B$4:$G$8,5,FALSE))</f>
        <v/>
      </c>
      <c r="AF17" s="507" t="str">
        <f t="shared" si="4"/>
        <v/>
      </c>
      <c r="AG17" s="540" t="str">
        <f t="shared" si="5"/>
        <v/>
      </c>
      <c r="AH17" s="499" t="str">
        <f t="shared" si="0"/>
        <v/>
      </c>
      <c r="AI17" s="145"/>
      <c r="AJ17" s="499" t="str">
        <f>IF(AI17="","",IF(VLOOKUP(AI17,'G-7 Rivers Data'!$AA$4:$AB$7,2,FALSE)=0,"Spatial Data Missing ⚠",VLOOKUP(AI17,'G-7 Rivers Data'!$AA$4:$AB$7,2,FALSE)))</f>
        <v/>
      </c>
      <c r="AK17" s="155"/>
      <c r="AL17" s="499" t="str">
        <f>IF(AK17="","",IF(VLOOKUP(AK17,'G-7 Rivers Data'!$AD$4:$AE$8,2,FALSE)=0,"Spatial Data Missing ⚠",VLOOKUP(AK17,'G-7 Rivers Data'!$AD$4:$AE$8,2,FALSE)))</f>
        <v/>
      </c>
      <c r="AM17" s="545" t="str">
        <f t="shared" si="7"/>
        <v/>
      </c>
      <c r="AN17" s="149"/>
      <c r="AO17" s="150"/>
      <c r="AV17" s="31" t="str">
        <f>IFERROR(INDEX('G-7 Rivers Data'!$AZ$3:$AZ$7,MATCH(N17,'G-7 Rivers Data'!$AY$3:$AY$7,0)),"")</f>
        <v/>
      </c>
    </row>
    <row r="18" spans="2:48" ht="13.8" x14ac:dyDescent="0.25">
      <c r="B18" s="531" t="str">
        <f>'C-1 Site River Baseline'!AN16</f>
        <v/>
      </c>
      <c r="C18" s="520" t="str">
        <f>IF(B18="","",VLOOKUP($B18,'C-1 Site River Baseline'!$C$9:$R$257,2,FALSE))</f>
        <v/>
      </c>
      <c r="D18" s="520" t="str">
        <f>IF(C18="","",VLOOKUP($B18,'C-1 Site River Baseline'!$C$9:$R$257,3,FALSE))</f>
        <v/>
      </c>
      <c r="E18" s="520" t="str">
        <f>IF(D18="","",VLOOKUP($B18,'C-1 Site River Baseline'!$C$9:$R$257,4,FALSE))</f>
        <v/>
      </c>
      <c r="F18" s="520" t="str">
        <f>IF(E18="","",VLOOKUP($B18,'C-1 Site River Baseline'!$C$9:$R$257,5,FALSE))</f>
        <v/>
      </c>
      <c r="G18" s="520" t="str">
        <f>IF(F18="","",VLOOKUP($B18,'C-1 Site River Baseline'!$C$9:$R$257,6,FALSE))</f>
        <v/>
      </c>
      <c r="H18" s="520" t="str">
        <f>IF(G18="","",VLOOKUP($B18,'C-1 Site River Baseline'!$C$9:$R$257,7,FALSE))</f>
        <v/>
      </c>
      <c r="I18" s="520" t="str">
        <f>IF(H18="","",VLOOKUP($B18,'C-1 Site River Baseline'!$C$9:$R$257,8,FALSE))</f>
        <v/>
      </c>
      <c r="J18" s="520" t="str">
        <f>IF(I18="","",VLOOKUP($B18,'C-1 Site River Baseline'!$C$9:$R$257,9,FALSE))</f>
        <v/>
      </c>
      <c r="K18" s="520" t="str">
        <f>IF(J18="","",VLOOKUP($B18,'C-1 Site River Baseline'!$C$9:$R$257,10,FALSE))</f>
        <v/>
      </c>
      <c r="L18" s="520" t="str">
        <f>IF(B18="","",VLOOKUP($B18,'C-1 Site River Baseline'!$C$9:$R$257,15,FALSE))</f>
        <v/>
      </c>
      <c r="M18" s="524" t="str">
        <f>IF(L18="","",VLOOKUP($B18,'C-1 Site River Baseline'!$C$9:$R$257,16,FALSE))</f>
        <v/>
      </c>
      <c r="N18" s="426" t="str">
        <f t="shared" si="6"/>
        <v/>
      </c>
      <c r="O18" s="498" t="str">
        <f t="shared" si="1"/>
        <v/>
      </c>
      <c r="P18" s="499"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7" t="str">
        <f>IF(N18="","",VLOOKUP(B18,'C-1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07" t="str">
        <f>IF(V18="","",IF(VLOOKUP(V18,'G-7 Rivers Data'!$AG$4:$AI$9,2,FALSE)=0,"Spatial Data Missing ⚠",VLOOKUP(V18,'G-7 Rivers Data'!$AG$4:$AI$9,2,FALSE)))</f>
        <v/>
      </c>
      <c r="X18" s="499" t="str">
        <f>IF(V18="","",IF(VLOOKUP(V18,'G-7 Rivers Data'!$AG$4:$AI$9,3,FALSE)=0,"Spatial Data Missing ⚠",VLOOKUP(V18,'G-7 Rivers Data'!$AG$4:$AI$9,3,FALSE)))</f>
        <v/>
      </c>
      <c r="Y18" s="498" t="str">
        <f>IFERROR(IF(OR(LEFT(P18,5)="Error ▲",LEFT(O18,5)="Error ▲"),"Check Data ⚠",IF(F18&lt;S18,'G-7 Rivers Data'!$R$3,INDEX('G-7 Rivers Data'!$U$5:$Y$9,MATCH(G18,'G-7 Rivers Data'!$T$5:$T$9,0),MATCH(T18,'G-7 Rivers Data'!$U$4:$Y$4,0)))),"")</f>
        <v/>
      </c>
      <c r="Z18" s="195"/>
      <c r="AA18" s="195"/>
      <c r="AB18" s="507" t="str">
        <f t="shared" si="2"/>
        <v/>
      </c>
      <c r="AC18" s="521" t="str">
        <f t="shared" si="3"/>
        <v/>
      </c>
      <c r="AD18" s="564" t="str">
        <f>IFERROR(IF(AC18="Check Data ⚠","Check Data ⚠",VLOOKUP(AC18,'G-4 Temporal multipliers'!$A$4:$C$37,3,FALSE)),"")</f>
        <v/>
      </c>
      <c r="AE18" s="498" t="str">
        <f>IF(N18="","",VLOOKUP(N18,'G-7 Rivers Data'!$B$4:$G$8,5,FALSE))</f>
        <v/>
      </c>
      <c r="AF18" s="507" t="str">
        <f t="shared" si="4"/>
        <v/>
      </c>
      <c r="AG18" s="540" t="str">
        <f t="shared" si="5"/>
        <v/>
      </c>
      <c r="AH18" s="499" t="str">
        <f t="shared" si="0"/>
        <v/>
      </c>
      <c r="AI18" s="145"/>
      <c r="AJ18" s="499" t="str">
        <f>IF(AI18="","",IF(VLOOKUP(AI18,'G-7 Rivers Data'!$AA$4:$AB$7,2,FALSE)=0,"Spatial Data Missing ⚠",VLOOKUP(AI18,'G-7 Rivers Data'!$AA$4:$AB$7,2,FALSE)))</f>
        <v/>
      </c>
      <c r="AK18" s="155"/>
      <c r="AL18" s="499" t="str">
        <f>IF(AK18="","",IF(VLOOKUP(AK18,'G-7 Rivers Data'!$AD$4:$AE$8,2,FALSE)=0,"Spatial Data Missing ⚠",VLOOKUP(AK18,'G-7 Rivers Data'!$AD$4:$AE$8,2,FALSE)))</f>
        <v/>
      </c>
      <c r="AM18" s="545" t="str">
        <f t="shared" si="7"/>
        <v/>
      </c>
      <c r="AN18" s="149"/>
      <c r="AO18" s="150"/>
      <c r="AV18" s="31" t="str">
        <f>IFERROR(INDEX('G-7 Rivers Data'!$AZ$3:$AZ$7,MATCH(N18,'G-7 Rivers Data'!$AY$3:$AY$7,0)),"")</f>
        <v/>
      </c>
    </row>
    <row r="19" spans="2:48" ht="13.8" x14ac:dyDescent="0.25">
      <c r="B19" s="531" t="str">
        <f>'C-1 Site River Baseline'!AN17</f>
        <v/>
      </c>
      <c r="C19" s="520" t="str">
        <f>IF(B19="","",VLOOKUP($B19,'C-1 Site River Baseline'!$C$9:$R$257,2,FALSE))</f>
        <v/>
      </c>
      <c r="D19" s="520" t="str">
        <f>IF(C19="","",VLOOKUP($B19,'C-1 Site River Baseline'!$C$9:$R$257,3,FALSE))</f>
        <v/>
      </c>
      <c r="E19" s="520" t="str">
        <f>IF(D19="","",VLOOKUP($B19,'C-1 Site River Baseline'!$C$9:$R$257,4,FALSE))</f>
        <v/>
      </c>
      <c r="F19" s="520" t="str">
        <f>IF(E19="","",VLOOKUP($B19,'C-1 Site River Baseline'!$C$9:$R$257,5,FALSE))</f>
        <v/>
      </c>
      <c r="G19" s="520" t="str">
        <f>IF(F19="","",VLOOKUP($B19,'C-1 Site River Baseline'!$C$9:$R$257,6,FALSE))</f>
        <v/>
      </c>
      <c r="H19" s="520" t="str">
        <f>IF(G19="","",VLOOKUP($B19,'C-1 Site River Baseline'!$C$9:$R$257,7,FALSE))</f>
        <v/>
      </c>
      <c r="I19" s="520" t="str">
        <f>IF(H19="","",VLOOKUP($B19,'C-1 Site River Baseline'!$C$9:$R$257,8,FALSE))</f>
        <v/>
      </c>
      <c r="J19" s="520" t="str">
        <f>IF(I19="","",VLOOKUP($B19,'C-1 Site River Baseline'!$C$9:$R$257,9,FALSE))</f>
        <v/>
      </c>
      <c r="K19" s="520" t="str">
        <f>IF(J19="","",VLOOKUP($B19,'C-1 Site River Baseline'!$C$9:$R$257,10,FALSE))</f>
        <v/>
      </c>
      <c r="L19" s="520" t="str">
        <f>IF(B19="","",VLOOKUP($B19,'C-1 Site River Baseline'!$C$9:$R$257,15,FALSE))</f>
        <v/>
      </c>
      <c r="M19" s="524" t="str">
        <f>IF(L19="","",VLOOKUP($B19,'C-1 Site River Baseline'!$C$9:$R$257,16,FALSE))</f>
        <v/>
      </c>
      <c r="N19" s="426" t="str">
        <f t="shared" si="6"/>
        <v/>
      </c>
      <c r="O19" s="498" t="str">
        <f t="shared" si="1"/>
        <v/>
      </c>
      <c r="P19" s="499"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7" t="str">
        <f>IF(N19="","",VLOOKUP(B19,'C-1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07" t="str">
        <f>IF(V19="","",IF(VLOOKUP(V19,'G-7 Rivers Data'!$AG$4:$AI$9,2,FALSE)=0,"Spatial Data Missing ⚠",VLOOKUP(V19,'G-7 Rivers Data'!$AG$4:$AI$9,2,FALSE)))</f>
        <v/>
      </c>
      <c r="X19" s="499" t="str">
        <f>IF(V19="","",IF(VLOOKUP(V19,'G-7 Rivers Data'!$AG$4:$AI$9,3,FALSE)=0,"Spatial Data Missing ⚠",VLOOKUP(V19,'G-7 Rivers Data'!$AG$4:$AI$9,3,FALSE)))</f>
        <v/>
      </c>
      <c r="Y19" s="498" t="str">
        <f>IFERROR(IF(OR(LEFT(P19,5)="Error ▲",LEFT(O19,5)="Error ▲"),"Check Data ⚠",IF(F19&lt;S19,'G-7 Rivers Data'!$R$3,INDEX('G-7 Rivers Data'!$U$5:$Y$9,MATCH(G19,'G-7 Rivers Data'!$T$5:$T$9,0),MATCH(T19,'G-7 Rivers Data'!$U$4:$Y$4,0)))),"")</f>
        <v/>
      </c>
      <c r="Z19" s="195"/>
      <c r="AA19" s="195"/>
      <c r="AB19" s="507" t="str">
        <f t="shared" si="2"/>
        <v/>
      </c>
      <c r="AC19" s="521" t="str">
        <f t="shared" si="3"/>
        <v/>
      </c>
      <c r="AD19" s="564" t="str">
        <f>IFERROR(IF(AC19="Check Data ⚠","Check Data ⚠",VLOOKUP(AC19,'G-4 Temporal multipliers'!$A$4:$C$37,3,FALSE)),"")</f>
        <v/>
      </c>
      <c r="AE19" s="498" t="str">
        <f>IF(N19="","",VLOOKUP(N19,'G-7 Rivers Data'!$B$4:$G$8,5,FALSE))</f>
        <v/>
      </c>
      <c r="AF19" s="507" t="str">
        <f t="shared" si="4"/>
        <v/>
      </c>
      <c r="AG19" s="540" t="str">
        <f t="shared" si="5"/>
        <v/>
      </c>
      <c r="AH19" s="499" t="str">
        <f t="shared" si="0"/>
        <v/>
      </c>
      <c r="AI19" s="145"/>
      <c r="AJ19" s="499" t="str">
        <f>IF(AI19="","",IF(VLOOKUP(AI19,'G-7 Rivers Data'!$AA$4:$AB$7,2,FALSE)=0,"Spatial Data Missing ⚠",VLOOKUP(AI19,'G-7 Rivers Data'!$AA$4:$AB$7,2,FALSE)))</f>
        <v/>
      </c>
      <c r="AK19" s="155"/>
      <c r="AL19" s="499" t="str">
        <f>IF(AK19="","",IF(VLOOKUP(AK19,'G-7 Rivers Data'!$AD$4:$AE$8,2,FALSE)=0,"Spatial Data Missing ⚠",VLOOKUP(AK19,'G-7 Rivers Data'!$AD$4:$AE$8,2,FALSE)))</f>
        <v/>
      </c>
      <c r="AM19" s="545" t="str">
        <f t="shared" si="7"/>
        <v/>
      </c>
      <c r="AN19" s="149"/>
      <c r="AO19" s="150"/>
      <c r="AV19" s="31" t="str">
        <f>IFERROR(INDEX('G-7 Rivers Data'!$AZ$3:$AZ$7,MATCH(N19,'G-7 Rivers Data'!$AY$3:$AY$7,0)),"")</f>
        <v/>
      </c>
    </row>
    <row r="20" spans="2:48" ht="13.8" x14ac:dyDescent="0.25">
      <c r="B20" s="531" t="str">
        <f>'C-1 Site River Baseline'!AN18</f>
        <v/>
      </c>
      <c r="C20" s="520" t="str">
        <f>IF(B20="","",VLOOKUP($B20,'C-1 Site River Baseline'!$C$9:$R$257,2,FALSE))</f>
        <v/>
      </c>
      <c r="D20" s="520" t="str">
        <f>IF(C20="","",VLOOKUP($B20,'C-1 Site River Baseline'!$C$9:$R$257,3,FALSE))</f>
        <v/>
      </c>
      <c r="E20" s="520" t="str">
        <f>IF(D20="","",VLOOKUP($B20,'C-1 Site River Baseline'!$C$9:$R$257,4,FALSE))</f>
        <v/>
      </c>
      <c r="F20" s="520" t="str">
        <f>IF(E20="","",VLOOKUP($B20,'C-1 Site River Baseline'!$C$9:$R$257,5,FALSE))</f>
        <v/>
      </c>
      <c r="G20" s="520" t="str">
        <f>IF(F20="","",VLOOKUP($B20,'C-1 Site River Baseline'!$C$9:$R$257,6,FALSE))</f>
        <v/>
      </c>
      <c r="H20" s="520" t="str">
        <f>IF(G20="","",VLOOKUP($B20,'C-1 Site River Baseline'!$C$9:$R$257,7,FALSE))</f>
        <v/>
      </c>
      <c r="I20" s="520" t="str">
        <f>IF(H20="","",VLOOKUP($B20,'C-1 Site River Baseline'!$C$9:$R$257,8,FALSE))</f>
        <v/>
      </c>
      <c r="J20" s="520" t="str">
        <f>IF(I20="","",VLOOKUP($B20,'C-1 Site River Baseline'!$C$9:$R$257,9,FALSE))</f>
        <v/>
      </c>
      <c r="K20" s="520" t="str">
        <f>IF(J20="","",VLOOKUP($B20,'C-1 Site River Baseline'!$C$9:$R$257,10,FALSE))</f>
        <v/>
      </c>
      <c r="L20" s="520" t="str">
        <f>IF(B20="","",VLOOKUP($B20,'C-1 Site River Baseline'!$C$9:$R$257,15,FALSE))</f>
        <v/>
      </c>
      <c r="M20" s="524" t="str">
        <f>IF(L20="","",VLOOKUP($B20,'C-1 Site River Baseline'!$C$9:$R$257,16,FALSE))</f>
        <v/>
      </c>
      <c r="N20" s="426" t="str">
        <f t="shared" si="6"/>
        <v/>
      </c>
      <c r="O20" s="498" t="str">
        <f t="shared" si="1"/>
        <v/>
      </c>
      <c r="P20" s="499"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7" t="str">
        <f>IF(N20="","",VLOOKUP(B20,'C-1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07" t="str">
        <f>IF(V20="","",IF(VLOOKUP(V20,'G-7 Rivers Data'!$AG$4:$AI$9,2,FALSE)=0,"Spatial Data Missing ⚠",VLOOKUP(V20,'G-7 Rivers Data'!$AG$4:$AI$9,2,FALSE)))</f>
        <v/>
      </c>
      <c r="X20" s="499" t="str">
        <f>IF(V20="","",IF(VLOOKUP(V20,'G-7 Rivers Data'!$AG$4:$AI$9,3,FALSE)=0,"Spatial Data Missing ⚠",VLOOKUP(V20,'G-7 Rivers Data'!$AG$4:$AI$9,3,FALSE)))</f>
        <v/>
      </c>
      <c r="Y20" s="498" t="str">
        <f>IFERROR(IF(OR(LEFT(P20,5)="Error ▲",LEFT(O20,5)="Error ▲"),"Check Data ⚠",IF(F20&lt;S20,'G-7 Rivers Data'!$R$3,INDEX('G-7 Rivers Data'!$U$5:$Y$9,MATCH(G20,'G-7 Rivers Data'!$T$5:$T$9,0),MATCH(T20,'G-7 Rivers Data'!$U$4:$Y$4,0)))),"")</f>
        <v/>
      </c>
      <c r="Z20" s="195"/>
      <c r="AA20" s="195"/>
      <c r="AB20" s="507" t="str">
        <f t="shared" si="2"/>
        <v/>
      </c>
      <c r="AC20" s="521" t="str">
        <f t="shared" si="3"/>
        <v/>
      </c>
      <c r="AD20" s="564" t="str">
        <f>IFERROR(IF(AC20="Check Data ⚠","Check Data ⚠",VLOOKUP(AC20,'G-4 Temporal multipliers'!$A$4:$C$37,3,FALSE)),"")</f>
        <v/>
      </c>
      <c r="AE20" s="498" t="str">
        <f>IF(N20="","",VLOOKUP(N20,'G-7 Rivers Data'!$B$4:$G$8,5,FALSE))</f>
        <v/>
      </c>
      <c r="AF20" s="507" t="str">
        <f t="shared" si="4"/>
        <v/>
      </c>
      <c r="AG20" s="540" t="str">
        <f t="shared" si="5"/>
        <v/>
      </c>
      <c r="AH20" s="499" t="str">
        <f t="shared" si="0"/>
        <v/>
      </c>
      <c r="AI20" s="145"/>
      <c r="AJ20" s="499" t="str">
        <f>IF(AI20="","",IF(VLOOKUP(AI20,'G-7 Rivers Data'!$AA$4:$AB$7,2,FALSE)=0,"Spatial Data Missing ⚠",VLOOKUP(AI20,'G-7 Rivers Data'!$AA$4:$AB$7,2,FALSE)))</f>
        <v/>
      </c>
      <c r="AK20" s="155"/>
      <c r="AL20" s="499" t="str">
        <f>IF(AK20="","",IF(VLOOKUP(AK20,'G-7 Rivers Data'!$AD$4:$AE$8,2,FALSE)=0,"Spatial Data Missing ⚠",VLOOKUP(AK20,'G-7 Rivers Data'!$AD$4:$AE$8,2,FALSE)))</f>
        <v/>
      </c>
      <c r="AM20" s="545" t="str">
        <f t="shared" si="7"/>
        <v/>
      </c>
      <c r="AN20" s="149"/>
      <c r="AO20" s="150"/>
      <c r="AV20" s="31" t="str">
        <f>IFERROR(INDEX('G-7 Rivers Data'!$AZ$3:$AZ$7,MATCH(N20,'G-7 Rivers Data'!$AY$3:$AY$7,0)),"")</f>
        <v/>
      </c>
    </row>
    <row r="21" spans="2:48" ht="13.8" x14ac:dyDescent="0.25">
      <c r="B21" s="531" t="str">
        <f>'C-1 Site River Baseline'!AN19</f>
        <v/>
      </c>
      <c r="C21" s="520" t="str">
        <f>IF(B21="","",VLOOKUP($B21,'C-1 Site River Baseline'!$C$9:$R$257,2,FALSE))</f>
        <v/>
      </c>
      <c r="D21" s="520" t="str">
        <f>IF(C21="","",VLOOKUP($B21,'C-1 Site River Baseline'!$C$9:$R$257,3,FALSE))</f>
        <v/>
      </c>
      <c r="E21" s="520" t="str">
        <f>IF(D21="","",VLOOKUP($B21,'C-1 Site River Baseline'!$C$9:$R$257,4,FALSE))</f>
        <v/>
      </c>
      <c r="F21" s="520" t="str">
        <f>IF(E21="","",VLOOKUP($B21,'C-1 Site River Baseline'!$C$9:$R$257,5,FALSE))</f>
        <v/>
      </c>
      <c r="G21" s="520" t="str">
        <f>IF(F21="","",VLOOKUP($B21,'C-1 Site River Baseline'!$C$9:$R$257,6,FALSE))</f>
        <v/>
      </c>
      <c r="H21" s="520" t="str">
        <f>IF(G21="","",VLOOKUP($B21,'C-1 Site River Baseline'!$C$9:$R$257,7,FALSE))</f>
        <v/>
      </c>
      <c r="I21" s="520" t="str">
        <f>IF(H21="","",VLOOKUP($B21,'C-1 Site River Baseline'!$C$9:$R$257,8,FALSE))</f>
        <v/>
      </c>
      <c r="J21" s="520" t="str">
        <f>IF(I21="","",VLOOKUP($B21,'C-1 Site River Baseline'!$C$9:$R$257,9,FALSE))</f>
        <v/>
      </c>
      <c r="K21" s="520" t="str">
        <f>IF(J21="","",VLOOKUP($B21,'C-1 Site River Baseline'!$C$9:$R$257,10,FALSE))</f>
        <v/>
      </c>
      <c r="L21" s="520" t="str">
        <f>IF(B21="","",VLOOKUP($B21,'C-1 Site River Baseline'!$C$9:$R$257,15,FALSE))</f>
        <v/>
      </c>
      <c r="M21" s="524" t="str">
        <f>IF(L21="","",VLOOKUP($B21,'C-1 Site River Baseline'!$C$9:$R$257,16,FALSE))</f>
        <v/>
      </c>
      <c r="N21" s="426" t="str">
        <f t="shared" si="6"/>
        <v/>
      </c>
      <c r="O21" s="498" t="str">
        <f t="shared" si="1"/>
        <v/>
      </c>
      <c r="P21" s="499"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7" t="str">
        <f>IF(N21="","",VLOOKUP(B21,'C-1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07" t="str">
        <f>IF(V21="","",IF(VLOOKUP(V21,'G-7 Rivers Data'!$AG$4:$AI$9,2,FALSE)=0,"Spatial Data Missing ⚠",VLOOKUP(V21,'G-7 Rivers Data'!$AG$4:$AI$9,2,FALSE)))</f>
        <v/>
      </c>
      <c r="X21" s="499" t="str">
        <f>IF(V21="","",IF(VLOOKUP(V21,'G-7 Rivers Data'!$AG$4:$AI$9,3,FALSE)=0,"Spatial Data Missing ⚠",VLOOKUP(V21,'G-7 Rivers Data'!$AG$4:$AI$9,3,FALSE)))</f>
        <v/>
      </c>
      <c r="Y21" s="498" t="str">
        <f>IFERROR(IF(OR(LEFT(P21,5)="Error ▲",LEFT(O21,5)="Error ▲"),"Check Data ⚠",IF(F21&lt;S21,'G-7 Rivers Data'!$R$3,INDEX('G-7 Rivers Data'!$U$5:$Y$9,MATCH(G21,'G-7 Rivers Data'!$T$5:$T$9,0),MATCH(T21,'G-7 Rivers Data'!$U$4:$Y$4,0)))),"")</f>
        <v/>
      </c>
      <c r="Z21" s="195"/>
      <c r="AA21" s="195"/>
      <c r="AB21" s="507" t="str">
        <f t="shared" si="2"/>
        <v/>
      </c>
      <c r="AC21" s="521" t="str">
        <f t="shared" si="3"/>
        <v/>
      </c>
      <c r="AD21" s="564" t="str">
        <f>IFERROR(IF(AC21="Check Data ⚠","Check Data ⚠",VLOOKUP(AC21,'G-4 Temporal multipliers'!$A$4:$C$37,3,FALSE)),"")</f>
        <v/>
      </c>
      <c r="AE21" s="498" t="str">
        <f>IF(N21="","",VLOOKUP(N21,'G-7 Rivers Data'!$B$4:$G$8,5,FALSE))</f>
        <v/>
      </c>
      <c r="AF21" s="507" t="str">
        <f t="shared" si="4"/>
        <v/>
      </c>
      <c r="AG21" s="540" t="str">
        <f t="shared" si="5"/>
        <v/>
      </c>
      <c r="AH21" s="499" t="str">
        <f t="shared" si="0"/>
        <v/>
      </c>
      <c r="AI21" s="145"/>
      <c r="AJ21" s="499" t="str">
        <f>IF(AI21="","",IF(VLOOKUP(AI21,'G-7 Rivers Data'!$AA$4:$AB$7,2,FALSE)=0,"Spatial Data Missing ⚠",VLOOKUP(AI21,'G-7 Rivers Data'!$AA$4:$AB$7,2,FALSE)))</f>
        <v/>
      </c>
      <c r="AK21" s="155"/>
      <c r="AL21" s="499" t="str">
        <f>IF(AK21="","",IF(VLOOKUP(AK21,'G-7 Rivers Data'!$AD$4:$AE$8,2,FALSE)=0,"Spatial Data Missing ⚠",VLOOKUP(AK21,'G-7 Rivers Data'!$AD$4:$AE$8,2,FALSE)))</f>
        <v/>
      </c>
      <c r="AM21" s="545" t="str">
        <f t="shared" si="7"/>
        <v/>
      </c>
      <c r="AN21" s="149"/>
      <c r="AO21" s="150"/>
      <c r="AV21" s="31" t="str">
        <f>IFERROR(INDEX('G-7 Rivers Data'!$AZ$3:$AZ$7,MATCH(N21,'G-7 Rivers Data'!$AY$3:$AY$7,0)),"")</f>
        <v/>
      </c>
    </row>
    <row r="22" spans="2:48" ht="13.8" x14ac:dyDescent="0.25">
      <c r="B22" s="531" t="str">
        <f>'C-1 Site River Baseline'!AN20</f>
        <v/>
      </c>
      <c r="C22" s="520" t="str">
        <f>IF(B22="","",VLOOKUP($B22,'C-1 Site River Baseline'!$C$9:$R$257,2,FALSE))</f>
        <v/>
      </c>
      <c r="D22" s="520" t="str">
        <f>IF(C22="","",VLOOKUP($B22,'C-1 Site River Baseline'!$C$9:$R$257,3,FALSE))</f>
        <v/>
      </c>
      <c r="E22" s="520" t="str">
        <f>IF(D22="","",VLOOKUP($B22,'C-1 Site River Baseline'!$C$9:$R$257,4,FALSE))</f>
        <v/>
      </c>
      <c r="F22" s="520" t="str">
        <f>IF(E22="","",VLOOKUP($B22,'C-1 Site River Baseline'!$C$9:$R$257,5,FALSE))</f>
        <v/>
      </c>
      <c r="G22" s="520" t="str">
        <f>IF(F22="","",VLOOKUP($B22,'C-1 Site River Baseline'!$C$9:$R$257,6,FALSE))</f>
        <v/>
      </c>
      <c r="H22" s="520" t="str">
        <f>IF(G22="","",VLOOKUP($B22,'C-1 Site River Baseline'!$C$9:$R$257,7,FALSE))</f>
        <v/>
      </c>
      <c r="I22" s="520" t="str">
        <f>IF(H22="","",VLOOKUP($B22,'C-1 Site River Baseline'!$C$9:$R$257,8,FALSE))</f>
        <v/>
      </c>
      <c r="J22" s="520" t="str">
        <f>IF(I22="","",VLOOKUP($B22,'C-1 Site River Baseline'!$C$9:$R$257,9,FALSE))</f>
        <v/>
      </c>
      <c r="K22" s="520" t="str">
        <f>IF(J22="","",VLOOKUP($B22,'C-1 Site River Baseline'!$C$9:$R$257,10,FALSE))</f>
        <v/>
      </c>
      <c r="L22" s="520" t="str">
        <f>IF(B22="","",VLOOKUP($B22,'C-1 Site River Baseline'!$C$9:$R$257,15,FALSE))</f>
        <v/>
      </c>
      <c r="M22" s="524" t="str">
        <f>IF(L22="","",VLOOKUP($B22,'C-1 Site River Baseline'!$C$9:$R$257,16,FALSE))</f>
        <v/>
      </c>
      <c r="N22" s="426" t="str">
        <f t="shared" si="6"/>
        <v/>
      </c>
      <c r="O22" s="498" t="str">
        <f t="shared" si="1"/>
        <v/>
      </c>
      <c r="P22" s="499"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7" t="str">
        <f>IF(N22="","",VLOOKUP(B22,'C-1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07" t="str">
        <f>IF(V22="","",IF(VLOOKUP(V22,'G-7 Rivers Data'!$AG$4:$AI$9,2,FALSE)=0,"Spatial Data Missing ⚠",VLOOKUP(V22,'G-7 Rivers Data'!$AG$4:$AI$9,2,FALSE)))</f>
        <v/>
      </c>
      <c r="X22" s="499" t="str">
        <f>IF(V22="","",IF(VLOOKUP(V22,'G-7 Rivers Data'!$AG$4:$AI$9,3,FALSE)=0,"Spatial Data Missing ⚠",VLOOKUP(V22,'G-7 Rivers Data'!$AG$4:$AI$9,3,FALSE)))</f>
        <v/>
      </c>
      <c r="Y22" s="498" t="str">
        <f>IFERROR(IF(OR(LEFT(P22,5)="Error ▲",LEFT(O22,5)="Error ▲"),"Check Data ⚠",IF(F22&lt;S22,'G-7 Rivers Data'!$R$3,INDEX('G-7 Rivers Data'!$U$5:$Y$9,MATCH(G22,'G-7 Rivers Data'!$T$5:$T$9,0),MATCH(T22,'G-7 Rivers Data'!$U$4:$Y$4,0)))),"")</f>
        <v/>
      </c>
      <c r="Z22" s="195"/>
      <c r="AA22" s="195"/>
      <c r="AB22" s="507" t="str">
        <f t="shared" si="2"/>
        <v/>
      </c>
      <c r="AC22" s="521" t="str">
        <f t="shared" si="3"/>
        <v/>
      </c>
      <c r="AD22" s="564" t="str">
        <f>IFERROR(IF(AC22="Check Data ⚠","Check Data ⚠",VLOOKUP(AC22,'G-4 Temporal multipliers'!$A$4:$C$37,3,FALSE)),"")</f>
        <v/>
      </c>
      <c r="AE22" s="498" t="str">
        <f>IF(N22="","",VLOOKUP(N22,'G-7 Rivers Data'!$B$4:$G$8,5,FALSE))</f>
        <v/>
      </c>
      <c r="AF22" s="507" t="str">
        <f t="shared" si="4"/>
        <v/>
      </c>
      <c r="AG22" s="540" t="str">
        <f t="shared" si="5"/>
        <v/>
      </c>
      <c r="AH22" s="499" t="str">
        <f t="shared" si="0"/>
        <v/>
      </c>
      <c r="AI22" s="145"/>
      <c r="AJ22" s="499" t="str">
        <f>IF(AI22="","",IF(VLOOKUP(AI22,'G-7 Rivers Data'!$AA$4:$AB$7,2,FALSE)=0,"Spatial Data Missing ⚠",VLOOKUP(AI22,'G-7 Rivers Data'!$AA$4:$AB$7,2,FALSE)))</f>
        <v/>
      </c>
      <c r="AK22" s="155"/>
      <c r="AL22" s="499" t="str">
        <f>IF(AK22="","",IF(VLOOKUP(AK22,'G-7 Rivers Data'!$AD$4:$AE$8,2,FALSE)=0,"Spatial Data Missing ⚠",VLOOKUP(AK22,'G-7 Rivers Data'!$AD$4:$AE$8,2,FALSE)))</f>
        <v/>
      </c>
      <c r="AM22" s="545" t="str">
        <f t="shared" si="7"/>
        <v/>
      </c>
      <c r="AN22" s="149"/>
      <c r="AO22" s="150"/>
      <c r="AV22" s="31" t="str">
        <f>IFERROR(INDEX('G-7 Rivers Data'!$AZ$3:$AZ$7,MATCH(N22,'G-7 Rivers Data'!$AY$3:$AY$7,0)),"")</f>
        <v/>
      </c>
    </row>
    <row r="23" spans="2:48" ht="13.8" x14ac:dyDescent="0.25">
      <c r="B23" s="531" t="str">
        <f>'C-1 Site River Baseline'!AN21</f>
        <v/>
      </c>
      <c r="C23" s="520" t="str">
        <f>IF(B23="","",VLOOKUP($B23,'C-1 Site River Baseline'!$C$9:$R$257,2,FALSE))</f>
        <v/>
      </c>
      <c r="D23" s="520" t="str">
        <f>IF(C23="","",VLOOKUP($B23,'C-1 Site River Baseline'!$C$9:$R$257,3,FALSE))</f>
        <v/>
      </c>
      <c r="E23" s="520" t="str">
        <f>IF(D23="","",VLOOKUP($B23,'C-1 Site River Baseline'!$C$9:$R$257,4,FALSE))</f>
        <v/>
      </c>
      <c r="F23" s="520" t="str">
        <f>IF(E23="","",VLOOKUP($B23,'C-1 Site River Baseline'!$C$9:$R$257,5,FALSE))</f>
        <v/>
      </c>
      <c r="G23" s="520" t="str">
        <f>IF(F23="","",VLOOKUP($B23,'C-1 Site River Baseline'!$C$9:$R$257,6,FALSE))</f>
        <v/>
      </c>
      <c r="H23" s="520" t="str">
        <f>IF(G23="","",VLOOKUP($B23,'C-1 Site River Baseline'!$C$9:$R$257,7,FALSE))</f>
        <v/>
      </c>
      <c r="I23" s="520" t="str">
        <f>IF(H23="","",VLOOKUP($B23,'C-1 Site River Baseline'!$C$9:$R$257,8,FALSE))</f>
        <v/>
      </c>
      <c r="J23" s="520" t="str">
        <f>IF(I23="","",VLOOKUP($B23,'C-1 Site River Baseline'!$C$9:$R$257,9,FALSE))</f>
        <v/>
      </c>
      <c r="K23" s="520" t="str">
        <f>IF(J23="","",VLOOKUP($B23,'C-1 Site River Baseline'!$C$9:$R$257,10,FALSE))</f>
        <v/>
      </c>
      <c r="L23" s="520" t="str">
        <f>IF(B23="","",VLOOKUP($B23,'C-1 Site River Baseline'!$C$9:$R$257,15,FALSE))</f>
        <v/>
      </c>
      <c r="M23" s="524" t="str">
        <f>IF(L23="","",VLOOKUP($B23,'C-1 Site River Baseline'!$C$9:$R$257,16,FALSE))</f>
        <v/>
      </c>
      <c r="N23" s="426" t="str">
        <f t="shared" si="6"/>
        <v/>
      </c>
      <c r="O23" s="498" t="str">
        <f t="shared" si="1"/>
        <v/>
      </c>
      <c r="P23" s="499"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7" t="str">
        <f>IF(N23="","",VLOOKUP(B23,'C-1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07" t="str">
        <f>IF(V23="","",IF(VLOOKUP(V23,'G-7 Rivers Data'!$AG$4:$AI$9,2,FALSE)=0,"Spatial Data Missing ⚠",VLOOKUP(V23,'G-7 Rivers Data'!$AG$4:$AI$9,2,FALSE)))</f>
        <v/>
      </c>
      <c r="X23" s="499" t="str">
        <f>IF(V23="","",IF(VLOOKUP(V23,'G-7 Rivers Data'!$AG$4:$AI$9,3,FALSE)=0,"Spatial Data Missing ⚠",VLOOKUP(V23,'G-7 Rivers Data'!$AG$4:$AI$9,3,FALSE)))</f>
        <v/>
      </c>
      <c r="Y23" s="498" t="str">
        <f>IFERROR(IF(OR(LEFT(P23,5)="Error ▲",LEFT(O23,5)="Error ▲"),"Check Data ⚠",IF(F23&lt;S23,'G-7 Rivers Data'!$R$3,INDEX('G-7 Rivers Data'!$U$5:$Y$9,MATCH(G23,'G-7 Rivers Data'!$T$5:$T$9,0),MATCH(T23,'G-7 Rivers Data'!$U$4:$Y$4,0)))),"")</f>
        <v/>
      </c>
      <c r="Z23" s="195"/>
      <c r="AA23" s="195"/>
      <c r="AB23" s="507" t="str">
        <f t="shared" si="2"/>
        <v/>
      </c>
      <c r="AC23" s="521" t="str">
        <f t="shared" si="3"/>
        <v/>
      </c>
      <c r="AD23" s="564" t="str">
        <f>IFERROR(IF(AC23="Check Data ⚠","Check Data ⚠",VLOOKUP(AC23,'G-4 Temporal multipliers'!$A$4:$C$37,3,FALSE)),"")</f>
        <v/>
      </c>
      <c r="AE23" s="498" t="str">
        <f>IF(N23="","",VLOOKUP(N23,'G-7 Rivers Data'!$B$4:$G$8,5,FALSE))</f>
        <v/>
      </c>
      <c r="AF23" s="507" t="str">
        <f t="shared" si="4"/>
        <v/>
      </c>
      <c r="AG23" s="540" t="str">
        <f t="shared" si="5"/>
        <v/>
      </c>
      <c r="AH23" s="499" t="str">
        <f t="shared" si="0"/>
        <v/>
      </c>
      <c r="AI23" s="145"/>
      <c r="AJ23" s="499" t="str">
        <f>IF(AI23="","",IF(VLOOKUP(AI23,'G-7 Rivers Data'!$AA$4:$AB$7,2,FALSE)=0,"Spatial Data Missing ⚠",VLOOKUP(AI23,'G-7 Rivers Data'!$AA$4:$AB$7,2,FALSE)))</f>
        <v/>
      </c>
      <c r="AK23" s="155"/>
      <c r="AL23" s="499" t="str">
        <f>IF(AK23="","",IF(VLOOKUP(AK23,'G-7 Rivers Data'!$AD$4:$AE$8,2,FALSE)=0,"Spatial Data Missing ⚠",VLOOKUP(AK23,'G-7 Rivers Data'!$AD$4:$AE$8,2,FALSE)))</f>
        <v/>
      </c>
      <c r="AM23" s="545" t="str">
        <f t="shared" si="7"/>
        <v/>
      </c>
      <c r="AN23" s="149"/>
      <c r="AO23" s="150"/>
      <c r="AV23" s="31" t="str">
        <f>IFERROR(INDEX('G-7 Rivers Data'!$AZ$3:$AZ$7,MATCH(N23,'G-7 Rivers Data'!$AY$3:$AY$7,0)),"")</f>
        <v/>
      </c>
    </row>
    <row r="24" spans="2:48" ht="13.8" x14ac:dyDescent="0.25">
      <c r="B24" s="531" t="str">
        <f>'C-1 Site River Baseline'!AN22</f>
        <v/>
      </c>
      <c r="C24" s="520" t="str">
        <f>IF(B24="","",VLOOKUP($B24,'C-1 Site River Baseline'!$C$9:$R$257,2,FALSE))</f>
        <v/>
      </c>
      <c r="D24" s="520" t="str">
        <f>IF(C24="","",VLOOKUP($B24,'C-1 Site River Baseline'!$C$9:$R$257,3,FALSE))</f>
        <v/>
      </c>
      <c r="E24" s="520" t="str">
        <f>IF(D24="","",VLOOKUP($B24,'C-1 Site River Baseline'!$C$9:$R$257,4,FALSE))</f>
        <v/>
      </c>
      <c r="F24" s="520" t="str">
        <f>IF(E24="","",VLOOKUP($B24,'C-1 Site River Baseline'!$C$9:$R$257,5,FALSE))</f>
        <v/>
      </c>
      <c r="G24" s="520" t="str">
        <f>IF(F24="","",VLOOKUP($B24,'C-1 Site River Baseline'!$C$9:$R$257,6,FALSE))</f>
        <v/>
      </c>
      <c r="H24" s="520" t="str">
        <f>IF(G24="","",VLOOKUP($B24,'C-1 Site River Baseline'!$C$9:$R$257,7,FALSE))</f>
        <v/>
      </c>
      <c r="I24" s="520" t="str">
        <f>IF(H24="","",VLOOKUP($B24,'C-1 Site River Baseline'!$C$9:$R$257,8,FALSE))</f>
        <v/>
      </c>
      <c r="J24" s="520" t="str">
        <f>IF(I24="","",VLOOKUP($B24,'C-1 Site River Baseline'!$C$9:$R$257,9,FALSE))</f>
        <v/>
      </c>
      <c r="K24" s="520" t="str">
        <f>IF(J24="","",VLOOKUP($B24,'C-1 Site River Baseline'!$C$9:$R$257,10,FALSE))</f>
        <v/>
      </c>
      <c r="L24" s="520" t="str">
        <f>IF(B24="","",VLOOKUP($B24,'C-1 Site River Baseline'!$C$9:$R$257,15,FALSE))</f>
        <v/>
      </c>
      <c r="M24" s="524" t="str">
        <f>IF(L24="","",VLOOKUP($B24,'C-1 Site River Baseline'!$C$9:$R$257,16,FALSE))</f>
        <v/>
      </c>
      <c r="N24" s="426" t="str">
        <f t="shared" si="6"/>
        <v/>
      </c>
      <c r="O24" s="498" t="str">
        <f t="shared" si="1"/>
        <v/>
      </c>
      <c r="P24" s="499"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7" t="str">
        <f>IF(N24="","",VLOOKUP(B24,'C-1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07" t="str">
        <f>IF(V24="","",IF(VLOOKUP(V24,'G-7 Rivers Data'!$AG$4:$AI$9,2,FALSE)=0,"Spatial Data Missing ⚠",VLOOKUP(V24,'G-7 Rivers Data'!$AG$4:$AI$9,2,FALSE)))</f>
        <v/>
      </c>
      <c r="X24" s="499" t="str">
        <f>IF(V24="","",IF(VLOOKUP(V24,'G-7 Rivers Data'!$AG$4:$AI$9,3,FALSE)=0,"Spatial Data Missing ⚠",VLOOKUP(V24,'G-7 Rivers Data'!$AG$4:$AI$9,3,FALSE)))</f>
        <v/>
      </c>
      <c r="Y24" s="498" t="str">
        <f>IFERROR(IF(OR(LEFT(P24,5)="Error ▲",LEFT(O24,5)="Error ▲"),"Check Data ⚠",IF(F24&lt;S24,'G-7 Rivers Data'!$R$3,INDEX('G-7 Rivers Data'!$U$5:$Y$9,MATCH(G24,'G-7 Rivers Data'!$T$5:$T$9,0),MATCH(T24,'G-7 Rivers Data'!$U$4:$Y$4,0)))),"")</f>
        <v/>
      </c>
      <c r="Z24" s="195"/>
      <c r="AA24" s="195"/>
      <c r="AB24" s="507" t="str">
        <f t="shared" si="2"/>
        <v/>
      </c>
      <c r="AC24" s="521" t="str">
        <f t="shared" si="3"/>
        <v/>
      </c>
      <c r="AD24" s="564" t="str">
        <f>IFERROR(IF(AC24="Check Data ⚠","Check Data ⚠",VLOOKUP(AC24,'G-4 Temporal multipliers'!$A$4:$C$37,3,FALSE)),"")</f>
        <v/>
      </c>
      <c r="AE24" s="498" t="str">
        <f>IF(N24="","",VLOOKUP(N24,'G-7 Rivers Data'!$B$4:$G$8,5,FALSE))</f>
        <v/>
      </c>
      <c r="AF24" s="507" t="str">
        <f t="shared" si="4"/>
        <v/>
      </c>
      <c r="AG24" s="540" t="str">
        <f t="shared" si="5"/>
        <v/>
      </c>
      <c r="AH24" s="499" t="str">
        <f t="shared" si="0"/>
        <v/>
      </c>
      <c r="AI24" s="145"/>
      <c r="AJ24" s="499" t="str">
        <f>IF(AI24="","",IF(VLOOKUP(AI24,'G-7 Rivers Data'!$AA$4:$AB$7,2,FALSE)=0,"Spatial Data Missing ⚠",VLOOKUP(AI24,'G-7 Rivers Data'!$AA$4:$AB$7,2,FALSE)))</f>
        <v/>
      </c>
      <c r="AK24" s="155"/>
      <c r="AL24" s="499" t="str">
        <f>IF(AK24="","",IF(VLOOKUP(AK24,'G-7 Rivers Data'!$AD$4:$AE$8,2,FALSE)=0,"Spatial Data Missing ⚠",VLOOKUP(AK24,'G-7 Rivers Data'!$AD$4:$AE$8,2,FALSE)))</f>
        <v/>
      </c>
      <c r="AM24" s="545" t="str">
        <f t="shared" si="7"/>
        <v/>
      </c>
      <c r="AN24" s="149"/>
      <c r="AO24" s="150"/>
      <c r="AV24" s="31" t="str">
        <f>IFERROR(INDEX('G-7 Rivers Data'!$AZ$3:$AZ$7,MATCH(N24,'G-7 Rivers Data'!$AY$3:$AY$7,0)),"")</f>
        <v/>
      </c>
    </row>
    <row r="25" spans="2:48" ht="13.8" x14ac:dyDescent="0.25">
      <c r="B25" s="531" t="str">
        <f>'C-1 Site River Baseline'!AN23</f>
        <v/>
      </c>
      <c r="C25" s="520" t="str">
        <f>IF(B25="","",VLOOKUP($B25,'C-1 Site River Baseline'!$C$9:$R$257,2,FALSE))</f>
        <v/>
      </c>
      <c r="D25" s="520" t="str">
        <f>IF(C25="","",VLOOKUP($B25,'C-1 Site River Baseline'!$C$9:$R$257,3,FALSE))</f>
        <v/>
      </c>
      <c r="E25" s="520" t="str">
        <f>IF(D25="","",VLOOKUP($B25,'C-1 Site River Baseline'!$C$9:$R$257,4,FALSE))</f>
        <v/>
      </c>
      <c r="F25" s="520" t="str">
        <f>IF(E25="","",VLOOKUP($B25,'C-1 Site River Baseline'!$C$9:$R$257,5,FALSE))</f>
        <v/>
      </c>
      <c r="G25" s="520" t="str">
        <f>IF(F25="","",VLOOKUP($B25,'C-1 Site River Baseline'!$C$9:$R$257,6,FALSE))</f>
        <v/>
      </c>
      <c r="H25" s="520" t="str">
        <f>IF(G25="","",VLOOKUP($B25,'C-1 Site River Baseline'!$C$9:$R$257,7,FALSE))</f>
        <v/>
      </c>
      <c r="I25" s="520" t="str">
        <f>IF(H25="","",VLOOKUP($B25,'C-1 Site River Baseline'!$C$9:$R$257,8,FALSE))</f>
        <v/>
      </c>
      <c r="J25" s="520" t="str">
        <f>IF(I25="","",VLOOKUP($B25,'C-1 Site River Baseline'!$C$9:$R$257,9,FALSE))</f>
        <v/>
      </c>
      <c r="K25" s="520" t="str">
        <f>IF(J25="","",VLOOKUP($B25,'C-1 Site River Baseline'!$C$9:$R$257,10,FALSE))</f>
        <v/>
      </c>
      <c r="L25" s="520" t="str">
        <f>IF(B25="","",VLOOKUP($B25,'C-1 Site River Baseline'!$C$9:$R$257,15,FALSE))</f>
        <v/>
      </c>
      <c r="M25" s="524" t="str">
        <f>IF(L25="","",VLOOKUP($B25,'C-1 Site River Baseline'!$C$9:$R$257,16,FALSE))</f>
        <v/>
      </c>
      <c r="N25" s="426" t="str">
        <f t="shared" si="6"/>
        <v/>
      </c>
      <c r="O25" s="498" t="str">
        <f t="shared" si="1"/>
        <v/>
      </c>
      <c r="P25" s="499"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7" t="str">
        <f>IF(N25="","",VLOOKUP(B25,'C-1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07" t="str">
        <f>IF(V25="","",IF(VLOOKUP(V25,'G-7 Rivers Data'!$AG$4:$AI$9,2,FALSE)=0,"Spatial Data Missing ⚠",VLOOKUP(V25,'G-7 Rivers Data'!$AG$4:$AI$9,2,FALSE)))</f>
        <v/>
      </c>
      <c r="X25" s="499" t="str">
        <f>IF(V25="","",IF(VLOOKUP(V25,'G-7 Rivers Data'!$AG$4:$AI$9,3,FALSE)=0,"Spatial Data Missing ⚠",VLOOKUP(V25,'G-7 Rivers Data'!$AG$4:$AI$9,3,FALSE)))</f>
        <v/>
      </c>
      <c r="Y25" s="498" t="str">
        <f>IFERROR(IF(OR(LEFT(P25,5)="Error ▲",LEFT(O25,5)="Error ▲"),"Check Data ⚠",IF(F25&lt;S25,'G-7 Rivers Data'!$R$3,INDEX('G-7 Rivers Data'!$U$5:$Y$9,MATCH(G25,'G-7 Rivers Data'!$T$5:$T$9,0),MATCH(T25,'G-7 Rivers Data'!$U$4:$Y$4,0)))),"")</f>
        <v/>
      </c>
      <c r="Z25" s="195"/>
      <c r="AA25" s="195"/>
      <c r="AB25" s="507" t="str">
        <f t="shared" si="2"/>
        <v/>
      </c>
      <c r="AC25" s="521" t="str">
        <f t="shared" si="3"/>
        <v/>
      </c>
      <c r="AD25" s="564" t="str">
        <f>IFERROR(IF(AC25="Check Data ⚠","Check Data ⚠",VLOOKUP(AC25,'G-4 Temporal multipliers'!$A$4:$C$37,3,FALSE)),"")</f>
        <v/>
      </c>
      <c r="AE25" s="498" t="str">
        <f>IF(N25="","",VLOOKUP(N25,'G-7 Rivers Data'!$B$4:$G$8,5,FALSE))</f>
        <v/>
      </c>
      <c r="AF25" s="507" t="str">
        <f t="shared" si="4"/>
        <v/>
      </c>
      <c r="AG25" s="540" t="str">
        <f t="shared" si="5"/>
        <v/>
      </c>
      <c r="AH25" s="499" t="str">
        <f t="shared" si="0"/>
        <v/>
      </c>
      <c r="AI25" s="145"/>
      <c r="AJ25" s="499" t="str">
        <f>IF(AI25="","",IF(VLOOKUP(AI25,'G-7 Rivers Data'!$AA$4:$AB$7,2,FALSE)=0,"Spatial Data Missing ⚠",VLOOKUP(AI25,'G-7 Rivers Data'!$AA$4:$AB$7,2,FALSE)))</f>
        <v/>
      </c>
      <c r="AK25" s="155"/>
      <c r="AL25" s="499" t="str">
        <f>IF(AK25="","",IF(VLOOKUP(AK25,'G-7 Rivers Data'!$AD$4:$AE$8,2,FALSE)=0,"Spatial Data Missing ⚠",VLOOKUP(AK25,'G-7 Rivers Data'!$AD$4:$AE$8,2,FALSE)))</f>
        <v/>
      </c>
      <c r="AM25" s="545" t="str">
        <f t="shared" si="7"/>
        <v/>
      </c>
      <c r="AN25" s="149"/>
      <c r="AO25" s="150"/>
      <c r="AV25" s="31" t="str">
        <f>IFERROR(INDEX('G-7 Rivers Data'!$AZ$3:$AZ$7,MATCH(N25,'G-7 Rivers Data'!$AY$3:$AY$7,0)),"")</f>
        <v/>
      </c>
    </row>
    <row r="26" spans="2:48" ht="13.8" x14ac:dyDescent="0.25">
      <c r="B26" s="531" t="str">
        <f>'C-1 Site River Baseline'!AN24</f>
        <v/>
      </c>
      <c r="C26" s="520" t="str">
        <f>IF(B26="","",VLOOKUP($B26,'C-1 Site River Baseline'!$C$9:$R$257,2,FALSE))</f>
        <v/>
      </c>
      <c r="D26" s="520" t="str">
        <f>IF(C26="","",VLOOKUP($B26,'C-1 Site River Baseline'!$C$9:$R$257,3,FALSE))</f>
        <v/>
      </c>
      <c r="E26" s="520" t="str">
        <f>IF(D26="","",VLOOKUP($B26,'C-1 Site River Baseline'!$C$9:$R$257,4,FALSE))</f>
        <v/>
      </c>
      <c r="F26" s="520" t="str">
        <f>IF(E26="","",VLOOKUP($B26,'C-1 Site River Baseline'!$C$9:$R$257,5,FALSE))</f>
        <v/>
      </c>
      <c r="G26" s="520" t="str">
        <f>IF(F26="","",VLOOKUP($B26,'C-1 Site River Baseline'!$C$9:$R$257,6,FALSE))</f>
        <v/>
      </c>
      <c r="H26" s="520" t="str">
        <f>IF(G26="","",VLOOKUP($B26,'C-1 Site River Baseline'!$C$9:$R$257,7,FALSE))</f>
        <v/>
      </c>
      <c r="I26" s="520" t="str">
        <f>IF(H26="","",VLOOKUP($B26,'C-1 Site River Baseline'!$C$9:$R$257,8,FALSE))</f>
        <v/>
      </c>
      <c r="J26" s="520" t="str">
        <f>IF(I26="","",VLOOKUP($B26,'C-1 Site River Baseline'!$C$9:$R$257,9,FALSE))</f>
        <v/>
      </c>
      <c r="K26" s="520" t="str">
        <f>IF(J26="","",VLOOKUP($B26,'C-1 Site River Baseline'!$C$9:$R$257,10,FALSE))</f>
        <v/>
      </c>
      <c r="L26" s="520" t="str">
        <f>IF(B26="","",VLOOKUP($B26,'C-1 Site River Baseline'!$C$9:$R$257,15,FALSE))</f>
        <v/>
      </c>
      <c r="M26" s="524" t="str">
        <f>IF(L26="","",VLOOKUP($B26,'C-1 Site River Baseline'!$C$9:$R$257,16,FALSE))</f>
        <v/>
      </c>
      <c r="N26" s="426" t="str">
        <f t="shared" si="6"/>
        <v/>
      </c>
      <c r="O26" s="498" t="str">
        <f t="shared" si="1"/>
        <v/>
      </c>
      <c r="P26" s="499"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7" t="str">
        <f>IF(N26="","",VLOOKUP(B26,'C-1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07" t="str">
        <f>IF(V26="","",IF(VLOOKUP(V26,'G-7 Rivers Data'!$AG$4:$AI$9,2,FALSE)=0,"Spatial Data Missing ⚠",VLOOKUP(V26,'G-7 Rivers Data'!$AG$4:$AI$9,2,FALSE)))</f>
        <v/>
      </c>
      <c r="X26" s="499" t="str">
        <f>IF(V26="","",IF(VLOOKUP(V26,'G-7 Rivers Data'!$AG$4:$AI$9,3,FALSE)=0,"Spatial Data Missing ⚠",VLOOKUP(V26,'G-7 Rivers Data'!$AG$4:$AI$9,3,FALSE)))</f>
        <v/>
      </c>
      <c r="Y26" s="498" t="str">
        <f>IFERROR(IF(OR(LEFT(P26,5)="Error ▲",LEFT(O26,5)="Error ▲"),"Check Data ⚠",IF(F26&lt;S26,'G-7 Rivers Data'!$R$3,INDEX('G-7 Rivers Data'!$U$5:$Y$9,MATCH(G26,'G-7 Rivers Data'!$T$5:$T$9,0),MATCH(T26,'G-7 Rivers Data'!$U$4:$Y$4,0)))),"")</f>
        <v/>
      </c>
      <c r="Z26" s="195"/>
      <c r="AA26" s="195"/>
      <c r="AB26" s="507" t="str">
        <f t="shared" si="2"/>
        <v/>
      </c>
      <c r="AC26" s="521" t="str">
        <f t="shared" si="3"/>
        <v/>
      </c>
      <c r="AD26" s="564" t="str">
        <f>IFERROR(IF(AC26="Check Data ⚠","Check Data ⚠",VLOOKUP(AC26,'G-4 Temporal multipliers'!$A$4:$C$37,3,FALSE)),"")</f>
        <v/>
      </c>
      <c r="AE26" s="498" t="str">
        <f>IF(N26="","",VLOOKUP(N26,'G-7 Rivers Data'!$B$4:$G$8,5,FALSE))</f>
        <v/>
      </c>
      <c r="AF26" s="507" t="str">
        <f t="shared" si="4"/>
        <v/>
      </c>
      <c r="AG26" s="540" t="str">
        <f t="shared" si="5"/>
        <v/>
      </c>
      <c r="AH26" s="499" t="str">
        <f t="shared" si="0"/>
        <v/>
      </c>
      <c r="AI26" s="145"/>
      <c r="AJ26" s="499" t="str">
        <f>IF(AI26="","",IF(VLOOKUP(AI26,'G-7 Rivers Data'!$AA$4:$AB$7,2,FALSE)=0,"Spatial Data Missing ⚠",VLOOKUP(AI26,'G-7 Rivers Data'!$AA$4:$AB$7,2,FALSE)))</f>
        <v/>
      </c>
      <c r="AK26" s="155"/>
      <c r="AL26" s="499" t="str">
        <f>IF(AK26="","",IF(VLOOKUP(AK26,'G-7 Rivers Data'!$AD$4:$AE$8,2,FALSE)=0,"Spatial Data Missing ⚠",VLOOKUP(AK26,'G-7 Rivers Data'!$AD$4:$AE$8,2,FALSE)))</f>
        <v/>
      </c>
      <c r="AM26" s="545" t="str">
        <f t="shared" si="7"/>
        <v/>
      </c>
      <c r="AN26" s="149"/>
      <c r="AO26" s="150"/>
      <c r="AV26" s="31" t="str">
        <f>IFERROR(INDEX('G-7 Rivers Data'!$AZ$3:$AZ$7,MATCH(N26,'G-7 Rivers Data'!$AY$3:$AY$7,0)),"")</f>
        <v/>
      </c>
    </row>
    <row r="27" spans="2:48" ht="13.8" x14ac:dyDescent="0.25">
      <c r="B27" s="531" t="str">
        <f>'C-1 Site River Baseline'!AN25</f>
        <v/>
      </c>
      <c r="C27" s="520" t="str">
        <f>IF(B27="","",VLOOKUP($B27,'C-1 Site River Baseline'!$C$9:$R$257,2,FALSE))</f>
        <v/>
      </c>
      <c r="D27" s="520" t="str">
        <f>IF(C27="","",VLOOKUP($B27,'C-1 Site River Baseline'!$C$9:$R$257,3,FALSE))</f>
        <v/>
      </c>
      <c r="E27" s="520" t="str">
        <f>IF(D27="","",VLOOKUP($B27,'C-1 Site River Baseline'!$C$9:$R$257,4,FALSE))</f>
        <v/>
      </c>
      <c r="F27" s="520" t="str">
        <f>IF(E27="","",VLOOKUP($B27,'C-1 Site River Baseline'!$C$9:$R$257,5,FALSE))</f>
        <v/>
      </c>
      <c r="G27" s="520" t="str">
        <f>IF(F27="","",VLOOKUP($B27,'C-1 Site River Baseline'!$C$9:$R$257,6,FALSE))</f>
        <v/>
      </c>
      <c r="H27" s="520" t="str">
        <f>IF(G27="","",VLOOKUP($B27,'C-1 Site River Baseline'!$C$9:$R$257,7,FALSE))</f>
        <v/>
      </c>
      <c r="I27" s="520" t="str">
        <f>IF(H27="","",VLOOKUP($B27,'C-1 Site River Baseline'!$C$9:$R$257,8,FALSE))</f>
        <v/>
      </c>
      <c r="J27" s="520" t="str">
        <f>IF(I27="","",VLOOKUP($B27,'C-1 Site River Baseline'!$C$9:$R$257,9,FALSE))</f>
        <v/>
      </c>
      <c r="K27" s="520" t="str">
        <f>IF(J27="","",VLOOKUP($B27,'C-1 Site River Baseline'!$C$9:$R$257,10,FALSE))</f>
        <v/>
      </c>
      <c r="L27" s="520" t="str">
        <f>IF(B27="","",VLOOKUP($B27,'C-1 Site River Baseline'!$C$9:$R$257,15,FALSE))</f>
        <v/>
      </c>
      <c r="M27" s="524" t="str">
        <f>IF(L27="","",VLOOKUP($B27,'C-1 Site River Baseline'!$C$9:$R$257,16,FALSE))</f>
        <v/>
      </c>
      <c r="N27" s="426" t="str">
        <f t="shared" si="6"/>
        <v/>
      </c>
      <c r="O27" s="498" t="str">
        <f t="shared" si="1"/>
        <v/>
      </c>
      <c r="P27" s="499"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7" t="str">
        <f>IF(N27="","",VLOOKUP(B27,'C-1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07" t="str">
        <f>IF(V27="","",IF(VLOOKUP(V27,'G-7 Rivers Data'!$AG$4:$AI$9,2,FALSE)=0,"Spatial Data Missing ⚠",VLOOKUP(V27,'G-7 Rivers Data'!$AG$4:$AI$9,2,FALSE)))</f>
        <v/>
      </c>
      <c r="X27" s="499" t="str">
        <f>IF(V27="","",IF(VLOOKUP(V27,'G-7 Rivers Data'!$AG$4:$AI$9,3,FALSE)=0,"Spatial Data Missing ⚠",VLOOKUP(V27,'G-7 Rivers Data'!$AG$4:$AI$9,3,FALSE)))</f>
        <v/>
      </c>
      <c r="Y27" s="498" t="str">
        <f>IFERROR(IF(OR(LEFT(P27,5)="Error ▲",LEFT(O27,5)="Error ▲"),"Check Data ⚠",IF(F27&lt;S27,'G-7 Rivers Data'!$R$3,INDEX('G-7 Rivers Data'!$U$5:$Y$9,MATCH(G27,'G-7 Rivers Data'!$T$5:$T$9,0),MATCH(T27,'G-7 Rivers Data'!$U$4:$Y$4,0)))),"")</f>
        <v/>
      </c>
      <c r="Z27" s="195"/>
      <c r="AA27" s="195"/>
      <c r="AB27" s="507" t="str">
        <f t="shared" si="2"/>
        <v/>
      </c>
      <c r="AC27" s="521" t="str">
        <f t="shared" si="3"/>
        <v/>
      </c>
      <c r="AD27" s="564" t="str">
        <f>IFERROR(IF(AC27="Check Data ⚠","Check Data ⚠",VLOOKUP(AC27,'G-4 Temporal multipliers'!$A$4:$C$37,3,FALSE)),"")</f>
        <v/>
      </c>
      <c r="AE27" s="498" t="str">
        <f>IF(N27="","",VLOOKUP(N27,'G-7 Rivers Data'!$B$4:$G$8,5,FALSE))</f>
        <v/>
      </c>
      <c r="AF27" s="507" t="str">
        <f t="shared" si="4"/>
        <v/>
      </c>
      <c r="AG27" s="540" t="str">
        <f t="shared" si="5"/>
        <v/>
      </c>
      <c r="AH27" s="499" t="str">
        <f t="shared" si="0"/>
        <v/>
      </c>
      <c r="AI27" s="145"/>
      <c r="AJ27" s="499" t="str">
        <f>IF(AI27="","",IF(VLOOKUP(AI27,'G-7 Rivers Data'!$AA$4:$AB$7,2,FALSE)=0,"Spatial Data Missing ⚠",VLOOKUP(AI27,'G-7 Rivers Data'!$AA$4:$AB$7,2,FALSE)))</f>
        <v/>
      </c>
      <c r="AK27" s="155"/>
      <c r="AL27" s="499" t="str">
        <f>IF(AK27="","",IF(VLOOKUP(AK27,'G-7 Rivers Data'!$AD$4:$AE$8,2,FALSE)=0,"Spatial Data Missing ⚠",VLOOKUP(AK27,'G-7 Rivers Data'!$AD$4:$AE$8,2,FALSE)))</f>
        <v/>
      </c>
      <c r="AM27" s="545" t="str">
        <f t="shared" si="7"/>
        <v/>
      </c>
      <c r="AN27" s="149"/>
      <c r="AO27" s="150"/>
      <c r="AV27" s="31" t="str">
        <f>IFERROR(INDEX('G-7 Rivers Data'!$AZ$3:$AZ$7,MATCH(N27,'G-7 Rivers Data'!$AY$3:$AY$7,0)),"")</f>
        <v/>
      </c>
    </row>
    <row r="28" spans="2:48" ht="13.8" x14ac:dyDescent="0.25">
      <c r="B28" s="531" t="str">
        <f>'C-1 Site River Baseline'!AN26</f>
        <v/>
      </c>
      <c r="C28" s="520" t="str">
        <f>IF(B28="","",VLOOKUP($B28,'C-1 Site River Baseline'!$C$9:$R$257,2,FALSE))</f>
        <v/>
      </c>
      <c r="D28" s="520" t="str">
        <f>IF(C28="","",VLOOKUP($B28,'C-1 Site River Baseline'!$C$9:$R$257,3,FALSE))</f>
        <v/>
      </c>
      <c r="E28" s="520" t="str">
        <f>IF(D28="","",VLOOKUP($B28,'C-1 Site River Baseline'!$C$9:$R$257,4,FALSE))</f>
        <v/>
      </c>
      <c r="F28" s="520" t="str">
        <f>IF(E28="","",VLOOKUP($B28,'C-1 Site River Baseline'!$C$9:$R$257,5,FALSE))</f>
        <v/>
      </c>
      <c r="G28" s="520" t="str">
        <f>IF(F28="","",VLOOKUP($B28,'C-1 Site River Baseline'!$C$9:$R$257,6,FALSE))</f>
        <v/>
      </c>
      <c r="H28" s="520" t="str">
        <f>IF(G28="","",VLOOKUP($B28,'C-1 Site River Baseline'!$C$9:$R$257,7,FALSE))</f>
        <v/>
      </c>
      <c r="I28" s="520" t="str">
        <f>IF(H28="","",VLOOKUP($B28,'C-1 Site River Baseline'!$C$9:$R$257,8,FALSE))</f>
        <v/>
      </c>
      <c r="J28" s="520" t="str">
        <f>IF(I28="","",VLOOKUP($B28,'C-1 Site River Baseline'!$C$9:$R$257,9,FALSE))</f>
        <v/>
      </c>
      <c r="K28" s="520" t="str">
        <f>IF(J28="","",VLOOKUP($B28,'C-1 Site River Baseline'!$C$9:$R$257,10,FALSE))</f>
        <v/>
      </c>
      <c r="L28" s="520" t="str">
        <f>IF(B28="","",VLOOKUP($B28,'C-1 Site River Baseline'!$C$9:$R$257,15,FALSE))</f>
        <v/>
      </c>
      <c r="M28" s="524" t="str">
        <f>IF(L28="","",VLOOKUP($B28,'C-1 Site River Baseline'!$C$9:$R$257,16,FALSE))</f>
        <v/>
      </c>
      <c r="N28" s="426" t="str">
        <f t="shared" si="6"/>
        <v/>
      </c>
      <c r="O28" s="498" t="str">
        <f t="shared" si="1"/>
        <v/>
      </c>
      <c r="P28" s="499"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7" t="str">
        <f>IF(N28="","",VLOOKUP(B28,'C-1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07" t="str">
        <f>IF(V28="","",IF(VLOOKUP(V28,'G-7 Rivers Data'!$AG$4:$AI$9,2,FALSE)=0,"Spatial Data Missing ⚠",VLOOKUP(V28,'G-7 Rivers Data'!$AG$4:$AI$9,2,FALSE)))</f>
        <v/>
      </c>
      <c r="X28" s="499" t="str">
        <f>IF(V28="","",IF(VLOOKUP(V28,'G-7 Rivers Data'!$AG$4:$AI$9,3,FALSE)=0,"Spatial Data Missing ⚠",VLOOKUP(V28,'G-7 Rivers Data'!$AG$4:$AI$9,3,FALSE)))</f>
        <v/>
      </c>
      <c r="Y28" s="498" t="str">
        <f>IFERROR(IF(OR(LEFT(P28,5)="Error ▲",LEFT(O28,5)="Error ▲"),"Check Data ⚠",IF(F28&lt;S28,'G-7 Rivers Data'!$R$3,INDEX('G-7 Rivers Data'!$U$5:$Y$9,MATCH(G28,'G-7 Rivers Data'!$T$5:$T$9,0),MATCH(T28,'G-7 Rivers Data'!$U$4:$Y$4,0)))),"")</f>
        <v/>
      </c>
      <c r="Z28" s="195"/>
      <c r="AA28" s="195"/>
      <c r="AB28" s="507" t="str">
        <f t="shared" si="2"/>
        <v/>
      </c>
      <c r="AC28" s="521" t="str">
        <f t="shared" si="3"/>
        <v/>
      </c>
      <c r="AD28" s="564" t="str">
        <f>IFERROR(IF(AC28="Check Data ⚠","Check Data ⚠",VLOOKUP(AC28,'G-4 Temporal multipliers'!$A$4:$C$37,3,FALSE)),"")</f>
        <v/>
      </c>
      <c r="AE28" s="498" t="str">
        <f>IF(N28="","",VLOOKUP(N28,'G-7 Rivers Data'!$B$4:$G$8,5,FALSE))</f>
        <v/>
      </c>
      <c r="AF28" s="507" t="str">
        <f t="shared" si="4"/>
        <v/>
      </c>
      <c r="AG28" s="540" t="str">
        <f t="shared" si="5"/>
        <v/>
      </c>
      <c r="AH28" s="499" t="str">
        <f t="shared" si="0"/>
        <v/>
      </c>
      <c r="AI28" s="145"/>
      <c r="AJ28" s="499" t="str">
        <f>IF(AI28="","",IF(VLOOKUP(AI28,'G-7 Rivers Data'!$AA$4:$AB$7,2,FALSE)=0,"Spatial Data Missing ⚠",VLOOKUP(AI28,'G-7 Rivers Data'!$AA$4:$AB$7,2,FALSE)))</f>
        <v/>
      </c>
      <c r="AK28" s="155"/>
      <c r="AL28" s="499" t="str">
        <f>IF(AK28="","",IF(VLOOKUP(AK28,'G-7 Rivers Data'!$AD$4:$AE$8,2,FALSE)=0,"Spatial Data Missing ⚠",VLOOKUP(AK28,'G-7 Rivers Data'!$AD$4:$AE$8,2,FALSE)))</f>
        <v/>
      </c>
      <c r="AM28" s="545" t="str">
        <f t="shared" si="7"/>
        <v/>
      </c>
      <c r="AN28" s="149"/>
      <c r="AO28" s="150"/>
      <c r="AV28" s="31" t="str">
        <f>IFERROR(INDEX('G-7 Rivers Data'!$AZ$3:$AZ$7,MATCH(N28,'G-7 Rivers Data'!$AY$3:$AY$7,0)),"")</f>
        <v/>
      </c>
    </row>
    <row r="29" spans="2:48" ht="13.8" x14ac:dyDescent="0.25">
      <c r="B29" s="531" t="str">
        <f>'C-1 Site River Baseline'!AN27</f>
        <v/>
      </c>
      <c r="C29" s="520" t="str">
        <f>IF(B29="","",VLOOKUP($B29,'C-1 Site River Baseline'!$C$9:$R$257,2,FALSE))</f>
        <v/>
      </c>
      <c r="D29" s="520" t="str">
        <f>IF(C29="","",VLOOKUP($B29,'C-1 Site River Baseline'!$C$9:$R$257,3,FALSE))</f>
        <v/>
      </c>
      <c r="E29" s="520" t="str">
        <f>IF(D29="","",VLOOKUP($B29,'C-1 Site River Baseline'!$C$9:$R$257,4,FALSE))</f>
        <v/>
      </c>
      <c r="F29" s="520" t="str">
        <f>IF(E29="","",VLOOKUP($B29,'C-1 Site River Baseline'!$C$9:$R$257,5,FALSE))</f>
        <v/>
      </c>
      <c r="G29" s="520" t="str">
        <f>IF(F29="","",VLOOKUP($B29,'C-1 Site River Baseline'!$C$9:$R$257,6,FALSE))</f>
        <v/>
      </c>
      <c r="H29" s="520" t="str">
        <f>IF(G29="","",VLOOKUP($B29,'C-1 Site River Baseline'!$C$9:$R$257,7,FALSE))</f>
        <v/>
      </c>
      <c r="I29" s="520" t="str">
        <f>IF(H29="","",VLOOKUP($B29,'C-1 Site River Baseline'!$C$9:$R$257,8,FALSE))</f>
        <v/>
      </c>
      <c r="J29" s="520" t="str">
        <f>IF(I29="","",VLOOKUP($B29,'C-1 Site River Baseline'!$C$9:$R$257,9,FALSE))</f>
        <v/>
      </c>
      <c r="K29" s="520" t="str">
        <f>IF(J29="","",VLOOKUP($B29,'C-1 Site River Baseline'!$C$9:$R$257,10,FALSE))</f>
        <v/>
      </c>
      <c r="L29" s="520" t="str">
        <f>IF(B29="","",VLOOKUP($B29,'C-1 Site River Baseline'!$C$9:$R$257,15,FALSE))</f>
        <v/>
      </c>
      <c r="M29" s="524" t="str">
        <f>IF(L29="","",VLOOKUP($B29,'C-1 Site River Baseline'!$C$9:$R$257,16,FALSE))</f>
        <v/>
      </c>
      <c r="N29" s="426" t="str">
        <f t="shared" si="6"/>
        <v/>
      </c>
      <c r="O29" s="498" t="str">
        <f t="shared" si="1"/>
        <v/>
      </c>
      <c r="P29" s="499"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7" t="str">
        <f>IF(N29="","",VLOOKUP(B29,'C-1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07" t="str">
        <f>IF(V29="","",IF(VLOOKUP(V29,'G-7 Rivers Data'!$AG$4:$AI$9,2,FALSE)=0,"Spatial Data Missing ⚠",VLOOKUP(V29,'G-7 Rivers Data'!$AG$4:$AI$9,2,FALSE)))</f>
        <v/>
      </c>
      <c r="X29" s="499" t="str">
        <f>IF(V29="","",IF(VLOOKUP(V29,'G-7 Rivers Data'!$AG$4:$AI$9,3,FALSE)=0,"Spatial Data Missing ⚠",VLOOKUP(V29,'G-7 Rivers Data'!$AG$4:$AI$9,3,FALSE)))</f>
        <v/>
      </c>
      <c r="Y29" s="498" t="str">
        <f>IFERROR(IF(OR(LEFT(P29,5)="Error ▲",LEFT(O29,5)="Error ▲"),"Check Data ⚠",IF(F29&lt;S29,'G-7 Rivers Data'!$R$3,INDEX('G-7 Rivers Data'!$U$5:$Y$9,MATCH(G29,'G-7 Rivers Data'!$T$5:$T$9,0),MATCH(T29,'G-7 Rivers Data'!$U$4:$Y$4,0)))),"")</f>
        <v/>
      </c>
      <c r="Z29" s="195"/>
      <c r="AA29" s="195"/>
      <c r="AB29" s="507" t="str">
        <f t="shared" si="2"/>
        <v/>
      </c>
      <c r="AC29" s="521" t="str">
        <f t="shared" si="3"/>
        <v/>
      </c>
      <c r="AD29" s="564" t="str">
        <f>IFERROR(IF(AC29="Check Data ⚠","Check Data ⚠",VLOOKUP(AC29,'G-4 Temporal multipliers'!$A$4:$C$37,3,FALSE)),"")</f>
        <v/>
      </c>
      <c r="AE29" s="498" t="str">
        <f>IF(N29="","",VLOOKUP(N29,'G-7 Rivers Data'!$B$4:$G$8,5,FALSE))</f>
        <v/>
      </c>
      <c r="AF29" s="507" t="str">
        <f t="shared" si="4"/>
        <v/>
      </c>
      <c r="AG29" s="540" t="str">
        <f t="shared" si="5"/>
        <v/>
      </c>
      <c r="AH29" s="499" t="str">
        <f t="shared" si="0"/>
        <v/>
      </c>
      <c r="AI29" s="145"/>
      <c r="AJ29" s="499" t="str">
        <f>IF(AI29="","",IF(VLOOKUP(AI29,'G-7 Rivers Data'!$AA$4:$AB$7,2,FALSE)=0,"Spatial Data Missing ⚠",VLOOKUP(AI29,'G-7 Rivers Data'!$AA$4:$AB$7,2,FALSE)))</f>
        <v/>
      </c>
      <c r="AK29" s="155"/>
      <c r="AL29" s="499" t="str">
        <f>IF(AK29="","",IF(VLOOKUP(AK29,'G-7 Rivers Data'!$AD$4:$AE$8,2,FALSE)=0,"Spatial Data Missing ⚠",VLOOKUP(AK29,'G-7 Rivers Data'!$AD$4:$AE$8,2,FALSE)))</f>
        <v/>
      </c>
      <c r="AM29" s="545" t="str">
        <f t="shared" si="7"/>
        <v/>
      </c>
      <c r="AN29" s="149"/>
      <c r="AO29" s="150"/>
      <c r="AV29" s="31" t="str">
        <f>IFERROR(INDEX('G-7 Rivers Data'!$AZ$3:$AZ$7,MATCH(N29,'G-7 Rivers Data'!$AY$3:$AY$7,0)),"")</f>
        <v/>
      </c>
    </row>
    <row r="30" spans="2:48" ht="13.8" x14ac:dyDescent="0.25">
      <c r="B30" s="531" t="str">
        <f>'C-1 Site River Baseline'!AN28</f>
        <v/>
      </c>
      <c r="C30" s="520" t="str">
        <f>IF(B30="","",VLOOKUP($B30,'C-1 Site River Baseline'!$C$9:$R$257,2,FALSE))</f>
        <v/>
      </c>
      <c r="D30" s="520" t="str">
        <f>IF(C30="","",VLOOKUP($B30,'C-1 Site River Baseline'!$C$9:$R$257,3,FALSE))</f>
        <v/>
      </c>
      <c r="E30" s="520" t="str">
        <f>IF(D30="","",VLOOKUP($B30,'C-1 Site River Baseline'!$C$9:$R$257,4,FALSE))</f>
        <v/>
      </c>
      <c r="F30" s="520" t="str">
        <f>IF(E30="","",VLOOKUP($B30,'C-1 Site River Baseline'!$C$9:$R$257,5,FALSE))</f>
        <v/>
      </c>
      <c r="G30" s="520" t="str">
        <f>IF(F30="","",VLOOKUP($B30,'C-1 Site River Baseline'!$C$9:$R$257,6,FALSE))</f>
        <v/>
      </c>
      <c r="H30" s="520" t="str">
        <f>IF(G30="","",VLOOKUP($B30,'C-1 Site River Baseline'!$C$9:$R$257,7,FALSE))</f>
        <v/>
      </c>
      <c r="I30" s="520" t="str">
        <f>IF(H30="","",VLOOKUP($B30,'C-1 Site River Baseline'!$C$9:$R$257,8,FALSE))</f>
        <v/>
      </c>
      <c r="J30" s="520" t="str">
        <f>IF(I30="","",VLOOKUP($B30,'C-1 Site River Baseline'!$C$9:$R$257,9,FALSE))</f>
        <v/>
      </c>
      <c r="K30" s="520" t="str">
        <f>IF(J30="","",VLOOKUP($B30,'C-1 Site River Baseline'!$C$9:$R$257,10,FALSE))</f>
        <v/>
      </c>
      <c r="L30" s="520" t="str">
        <f>IF(B30="","",VLOOKUP($B30,'C-1 Site River Baseline'!$C$9:$R$257,15,FALSE))</f>
        <v/>
      </c>
      <c r="M30" s="524" t="str">
        <f>IF(L30="","",VLOOKUP($B30,'C-1 Site River Baseline'!$C$9:$R$257,16,FALSE))</f>
        <v/>
      </c>
      <c r="N30" s="426" t="str">
        <f t="shared" si="6"/>
        <v/>
      </c>
      <c r="O30" s="498" t="str">
        <f t="shared" si="1"/>
        <v/>
      </c>
      <c r="P30" s="499"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7" t="str">
        <f>IF(N30="","",VLOOKUP(B30,'C-1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07" t="str">
        <f>IF(V30="","",IF(VLOOKUP(V30,'G-7 Rivers Data'!$AG$4:$AI$9,2,FALSE)=0,"Spatial Data Missing ⚠",VLOOKUP(V30,'G-7 Rivers Data'!$AG$4:$AI$9,2,FALSE)))</f>
        <v/>
      </c>
      <c r="X30" s="499" t="str">
        <f>IF(V30="","",IF(VLOOKUP(V30,'G-7 Rivers Data'!$AG$4:$AI$9,3,FALSE)=0,"Spatial Data Missing ⚠",VLOOKUP(V30,'G-7 Rivers Data'!$AG$4:$AI$9,3,FALSE)))</f>
        <v/>
      </c>
      <c r="Y30" s="498" t="str">
        <f>IFERROR(IF(OR(LEFT(P30,5)="Error ▲",LEFT(O30,5)="Error ▲"),"Check Data ⚠",IF(F30&lt;S30,'G-7 Rivers Data'!$R$3,INDEX('G-7 Rivers Data'!$U$5:$Y$9,MATCH(G30,'G-7 Rivers Data'!$T$5:$T$9,0),MATCH(T30,'G-7 Rivers Data'!$U$4:$Y$4,0)))),"")</f>
        <v/>
      </c>
      <c r="Z30" s="195"/>
      <c r="AA30" s="195"/>
      <c r="AB30" s="507" t="str">
        <f t="shared" si="2"/>
        <v/>
      </c>
      <c r="AC30" s="521" t="str">
        <f t="shared" si="3"/>
        <v/>
      </c>
      <c r="AD30" s="564" t="str">
        <f>IFERROR(IF(AC30="Check Data ⚠","Check Data ⚠",VLOOKUP(AC30,'G-4 Temporal multipliers'!$A$4:$C$37,3,FALSE)),"")</f>
        <v/>
      </c>
      <c r="AE30" s="498" t="str">
        <f>IF(N30="","",VLOOKUP(N30,'G-7 Rivers Data'!$B$4:$G$8,5,FALSE))</f>
        <v/>
      </c>
      <c r="AF30" s="507" t="str">
        <f t="shared" si="4"/>
        <v/>
      </c>
      <c r="AG30" s="540" t="str">
        <f t="shared" si="5"/>
        <v/>
      </c>
      <c r="AH30" s="499" t="str">
        <f t="shared" si="0"/>
        <v/>
      </c>
      <c r="AI30" s="145"/>
      <c r="AJ30" s="499" t="str">
        <f>IF(AI30="","",IF(VLOOKUP(AI30,'G-7 Rivers Data'!$AA$4:$AB$7,2,FALSE)=0,"Spatial Data Missing ⚠",VLOOKUP(AI30,'G-7 Rivers Data'!$AA$4:$AB$7,2,FALSE)))</f>
        <v/>
      </c>
      <c r="AK30" s="155"/>
      <c r="AL30" s="499" t="str">
        <f>IF(AK30="","",IF(VLOOKUP(AK30,'G-7 Rivers Data'!$AD$4:$AE$8,2,FALSE)=0,"Spatial Data Missing ⚠",VLOOKUP(AK30,'G-7 Rivers Data'!$AD$4:$AE$8,2,FALSE)))</f>
        <v/>
      </c>
      <c r="AM30" s="545" t="str">
        <f t="shared" si="7"/>
        <v/>
      </c>
      <c r="AN30" s="149"/>
      <c r="AO30" s="150"/>
      <c r="AV30" s="31" t="str">
        <f>IFERROR(INDEX('G-7 Rivers Data'!$AZ$3:$AZ$7,MATCH(N30,'G-7 Rivers Data'!$AY$3:$AY$7,0)),"")</f>
        <v/>
      </c>
    </row>
    <row r="31" spans="2:48" ht="13.8" x14ac:dyDescent="0.25">
      <c r="B31" s="531" t="str">
        <f>'C-1 Site River Baseline'!AN29</f>
        <v/>
      </c>
      <c r="C31" s="520" t="str">
        <f>IF(B31="","",VLOOKUP($B31,'C-1 Site River Baseline'!$C$9:$R$257,2,FALSE))</f>
        <v/>
      </c>
      <c r="D31" s="520" t="str">
        <f>IF(C31="","",VLOOKUP($B31,'C-1 Site River Baseline'!$C$9:$R$257,3,FALSE))</f>
        <v/>
      </c>
      <c r="E31" s="520" t="str">
        <f>IF(D31="","",VLOOKUP($B31,'C-1 Site River Baseline'!$C$9:$R$257,4,FALSE))</f>
        <v/>
      </c>
      <c r="F31" s="520" t="str">
        <f>IF(E31="","",VLOOKUP($B31,'C-1 Site River Baseline'!$C$9:$R$257,5,FALSE))</f>
        <v/>
      </c>
      <c r="G31" s="520" t="str">
        <f>IF(F31="","",VLOOKUP($B31,'C-1 Site River Baseline'!$C$9:$R$257,6,FALSE))</f>
        <v/>
      </c>
      <c r="H31" s="520" t="str">
        <f>IF(G31="","",VLOOKUP($B31,'C-1 Site River Baseline'!$C$9:$R$257,7,FALSE))</f>
        <v/>
      </c>
      <c r="I31" s="520" t="str">
        <f>IF(H31="","",VLOOKUP($B31,'C-1 Site River Baseline'!$C$9:$R$257,8,FALSE))</f>
        <v/>
      </c>
      <c r="J31" s="520" t="str">
        <f>IF(I31="","",VLOOKUP($B31,'C-1 Site River Baseline'!$C$9:$R$257,9,FALSE))</f>
        <v/>
      </c>
      <c r="K31" s="520" t="str">
        <f>IF(J31="","",VLOOKUP($B31,'C-1 Site River Baseline'!$C$9:$R$257,10,FALSE))</f>
        <v/>
      </c>
      <c r="L31" s="520" t="str">
        <f>IF(B31="","",VLOOKUP($B31,'C-1 Site River Baseline'!$C$9:$R$257,15,FALSE))</f>
        <v/>
      </c>
      <c r="M31" s="524" t="str">
        <f>IF(L31="","",VLOOKUP($B31,'C-1 Site River Baseline'!$C$9:$R$257,16,FALSE))</f>
        <v/>
      </c>
      <c r="N31" s="426" t="str">
        <f t="shared" si="6"/>
        <v/>
      </c>
      <c r="O31" s="498" t="str">
        <f t="shared" si="1"/>
        <v/>
      </c>
      <c r="P31" s="499"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7" t="str">
        <f>IF(N31="","",VLOOKUP(B31,'C-1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07" t="str">
        <f>IF(V31="","",IF(VLOOKUP(V31,'G-7 Rivers Data'!$AG$4:$AI$9,2,FALSE)=0,"Spatial Data Missing ⚠",VLOOKUP(V31,'G-7 Rivers Data'!$AG$4:$AI$9,2,FALSE)))</f>
        <v/>
      </c>
      <c r="X31" s="499" t="str">
        <f>IF(V31="","",IF(VLOOKUP(V31,'G-7 Rivers Data'!$AG$4:$AI$9,3,FALSE)=0,"Spatial Data Missing ⚠",VLOOKUP(V31,'G-7 Rivers Data'!$AG$4:$AI$9,3,FALSE)))</f>
        <v/>
      </c>
      <c r="Y31" s="498" t="str">
        <f>IFERROR(IF(OR(LEFT(P31,5)="Error ▲",LEFT(O31,5)="Error ▲"),"Check Data ⚠",IF(F31&lt;S31,'G-7 Rivers Data'!$R$3,INDEX('G-7 Rivers Data'!$U$5:$Y$9,MATCH(G31,'G-7 Rivers Data'!$T$5:$T$9,0),MATCH(T31,'G-7 Rivers Data'!$U$4:$Y$4,0)))),"")</f>
        <v/>
      </c>
      <c r="Z31" s="195"/>
      <c r="AA31" s="195"/>
      <c r="AB31" s="507" t="str">
        <f t="shared" si="2"/>
        <v/>
      </c>
      <c r="AC31" s="521" t="str">
        <f t="shared" si="3"/>
        <v/>
      </c>
      <c r="AD31" s="564" t="str">
        <f>IFERROR(IF(AC31="Check Data ⚠","Check Data ⚠",VLOOKUP(AC31,'G-4 Temporal multipliers'!$A$4:$C$37,3,FALSE)),"")</f>
        <v/>
      </c>
      <c r="AE31" s="498" t="str">
        <f>IF(N31="","",VLOOKUP(N31,'G-7 Rivers Data'!$B$4:$G$8,5,FALSE))</f>
        <v/>
      </c>
      <c r="AF31" s="507" t="str">
        <f t="shared" si="4"/>
        <v/>
      </c>
      <c r="AG31" s="540" t="str">
        <f t="shared" si="5"/>
        <v/>
      </c>
      <c r="AH31" s="499" t="str">
        <f t="shared" si="0"/>
        <v/>
      </c>
      <c r="AI31" s="145"/>
      <c r="AJ31" s="499" t="str">
        <f>IF(AI31="","",IF(VLOOKUP(AI31,'G-7 Rivers Data'!$AA$4:$AB$7,2,FALSE)=0,"Spatial Data Missing ⚠",VLOOKUP(AI31,'G-7 Rivers Data'!$AA$4:$AB$7,2,FALSE)))</f>
        <v/>
      </c>
      <c r="AK31" s="155"/>
      <c r="AL31" s="499" t="str">
        <f>IF(AK31="","",IF(VLOOKUP(AK31,'G-7 Rivers Data'!$AD$4:$AE$8,2,FALSE)=0,"Spatial Data Missing ⚠",VLOOKUP(AK31,'G-7 Rivers Data'!$AD$4:$AE$8,2,FALSE)))</f>
        <v/>
      </c>
      <c r="AM31" s="545" t="str">
        <f t="shared" si="7"/>
        <v/>
      </c>
      <c r="AN31" s="149"/>
      <c r="AO31" s="150"/>
      <c r="AV31" s="31" t="str">
        <f>IFERROR(INDEX('G-7 Rivers Data'!$AZ$3:$AZ$7,MATCH(N31,'G-7 Rivers Data'!$AY$3:$AY$7,0)),"")</f>
        <v/>
      </c>
    </row>
    <row r="32" spans="2:48" ht="13.8" x14ac:dyDescent="0.25">
      <c r="B32" s="531" t="str">
        <f>'C-1 Site River Baseline'!AN30</f>
        <v/>
      </c>
      <c r="C32" s="520" t="str">
        <f>IF(B32="","",VLOOKUP($B32,'C-1 Site River Baseline'!$C$9:$R$257,2,FALSE))</f>
        <v/>
      </c>
      <c r="D32" s="520" t="str">
        <f>IF(C32="","",VLOOKUP($B32,'C-1 Site River Baseline'!$C$9:$R$257,3,FALSE))</f>
        <v/>
      </c>
      <c r="E32" s="520" t="str">
        <f>IF(D32="","",VLOOKUP($B32,'C-1 Site River Baseline'!$C$9:$R$257,4,FALSE))</f>
        <v/>
      </c>
      <c r="F32" s="520" t="str">
        <f>IF(E32="","",VLOOKUP($B32,'C-1 Site River Baseline'!$C$9:$R$257,5,FALSE))</f>
        <v/>
      </c>
      <c r="G32" s="520" t="str">
        <f>IF(F32="","",VLOOKUP($B32,'C-1 Site River Baseline'!$C$9:$R$257,6,FALSE))</f>
        <v/>
      </c>
      <c r="H32" s="520" t="str">
        <f>IF(G32="","",VLOOKUP($B32,'C-1 Site River Baseline'!$C$9:$R$257,7,FALSE))</f>
        <v/>
      </c>
      <c r="I32" s="520" t="str">
        <f>IF(H32="","",VLOOKUP($B32,'C-1 Site River Baseline'!$C$9:$R$257,8,FALSE))</f>
        <v/>
      </c>
      <c r="J32" s="520" t="str">
        <f>IF(I32="","",VLOOKUP($B32,'C-1 Site River Baseline'!$C$9:$R$257,9,FALSE))</f>
        <v/>
      </c>
      <c r="K32" s="520" t="str">
        <f>IF(J32="","",VLOOKUP($B32,'C-1 Site River Baseline'!$C$9:$R$257,10,FALSE))</f>
        <v/>
      </c>
      <c r="L32" s="520" t="str">
        <f>IF(B32="","",VLOOKUP($B32,'C-1 Site River Baseline'!$C$9:$R$257,15,FALSE))</f>
        <v/>
      </c>
      <c r="M32" s="524" t="str">
        <f>IF(L32="","",VLOOKUP($B32,'C-1 Site River Baseline'!$C$9:$R$257,16,FALSE))</f>
        <v/>
      </c>
      <c r="N32" s="426" t="str">
        <f t="shared" si="6"/>
        <v/>
      </c>
      <c r="O32" s="498" t="str">
        <f t="shared" si="1"/>
        <v/>
      </c>
      <c r="P32" s="499"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7" t="str">
        <f>IF(N32="","",VLOOKUP(B32,'C-1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07" t="str">
        <f>IF(V32="","",IF(VLOOKUP(V32,'G-7 Rivers Data'!$AG$4:$AI$9,2,FALSE)=0,"Spatial Data Missing ⚠",VLOOKUP(V32,'G-7 Rivers Data'!$AG$4:$AI$9,2,FALSE)))</f>
        <v/>
      </c>
      <c r="X32" s="499" t="str">
        <f>IF(V32="","",IF(VLOOKUP(V32,'G-7 Rivers Data'!$AG$4:$AI$9,3,FALSE)=0,"Spatial Data Missing ⚠",VLOOKUP(V32,'G-7 Rivers Data'!$AG$4:$AI$9,3,FALSE)))</f>
        <v/>
      </c>
      <c r="Y32" s="498" t="str">
        <f>IFERROR(IF(OR(LEFT(P32,5)="Error ▲",LEFT(O32,5)="Error ▲"),"Check Data ⚠",IF(F32&lt;S32,'G-7 Rivers Data'!$R$3,INDEX('G-7 Rivers Data'!$U$5:$Y$9,MATCH(G32,'G-7 Rivers Data'!$T$5:$T$9,0),MATCH(T32,'G-7 Rivers Data'!$U$4:$Y$4,0)))),"")</f>
        <v/>
      </c>
      <c r="Z32" s="195"/>
      <c r="AA32" s="195"/>
      <c r="AB32" s="507" t="str">
        <f t="shared" si="2"/>
        <v/>
      </c>
      <c r="AC32" s="521" t="str">
        <f t="shared" si="3"/>
        <v/>
      </c>
      <c r="AD32" s="564" t="str">
        <f>IFERROR(IF(AC32="Check Data ⚠","Check Data ⚠",VLOOKUP(AC32,'G-4 Temporal multipliers'!$A$4:$C$37,3,FALSE)),"")</f>
        <v/>
      </c>
      <c r="AE32" s="498" t="str">
        <f>IF(N32="","",VLOOKUP(N32,'G-7 Rivers Data'!$B$4:$G$8,5,FALSE))</f>
        <v/>
      </c>
      <c r="AF32" s="507" t="str">
        <f t="shared" si="4"/>
        <v/>
      </c>
      <c r="AG32" s="540" t="str">
        <f t="shared" si="5"/>
        <v/>
      </c>
      <c r="AH32" s="499" t="str">
        <f t="shared" si="0"/>
        <v/>
      </c>
      <c r="AI32" s="145"/>
      <c r="AJ32" s="499" t="str">
        <f>IF(AI32="","",IF(VLOOKUP(AI32,'G-7 Rivers Data'!$AA$4:$AB$7,2,FALSE)=0,"Spatial Data Missing ⚠",VLOOKUP(AI32,'G-7 Rivers Data'!$AA$4:$AB$7,2,FALSE)))</f>
        <v/>
      </c>
      <c r="AK32" s="155"/>
      <c r="AL32" s="499" t="str">
        <f>IF(AK32="","",IF(VLOOKUP(AK32,'G-7 Rivers Data'!$AD$4:$AE$8,2,FALSE)=0,"Spatial Data Missing ⚠",VLOOKUP(AK32,'G-7 Rivers Data'!$AD$4:$AE$8,2,FALSE)))</f>
        <v/>
      </c>
      <c r="AM32" s="545" t="str">
        <f t="shared" si="7"/>
        <v/>
      </c>
      <c r="AN32" s="149"/>
      <c r="AO32" s="150"/>
      <c r="AV32" s="31" t="str">
        <f>IFERROR(INDEX('G-7 Rivers Data'!$AZ$3:$AZ$7,MATCH(N32,'G-7 Rivers Data'!$AY$3:$AY$7,0)),"")</f>
        <v/>
      </c>
    </row>
    <row r="33" spans="2:48" ht="13.8" x14ac:dyDescent="0.25">
      <c r="B33" s="531" t="str">
        <f>'C-1 Site River Baseline'!AN31</f>
        <v/>
      </c>
      <c r="C33" s="520" t="str">
        <f>IF(B33="","",VLOOKUP($B33,'C-1 Site River Baseline'!$C$9:$R$257,2,FALSE))</f>
        <v/>
      </c>
      <c r="D33" s="520" t="str">
        <f>IF(C33="","",VLOOKUP($B33,'C-1 Site River Baseline'!$C$9:$R$257,3,FALSE))</f>
        <v/>
      </c>
      <c r="E33" s="520" t="str">
        <f>IF(D33="","",VLOOKUP($B33,'C-1 Site River Baseline'!$C$9:$R$257,4,FALSE))</f>
        <v/>
      </c>
      <c r="F33" s="520" t="str">
        <f>IF(E33="","",VLOOKUP($B33,'C-1 Site River Baseline'!$C$9:$R$257,5,FALSE))</f>
        <v/>
      </c>
      <c r="G33" s="520" t="str">
        <f>IF(F33="","",VLOOKUP($B33,'C-1 Site River Baseline'!$C$9:$R$257,6,FALSE))</f>
        <v/>
      </c>
      <c r="H33" s="520" t="str">
        <f>IF(G33="","",VLOOKUP($B33,'C-1 Site River Baseline'!$C$9:$R$257,7,FALSE))</f>
        <v/>
      </c>
      <c r="I33" s="520" t="str">
        <f>IF(H33="","",VLOOKUP($B33,'C-1 Site River Baseline'!$C$9:$R$257,8,FALSE))</f>
        <v/>
      </c>
      <c r="J33" s="520" t="str">
        <f>IF(I33="","",VLOOKUP($B33,'C-1 Site River Baseline'!$C$9:$R$257,9,FALSE))</f>
        <v/>
      </c>
      <c r="K33" s="520" t="str">
        <f>IF(J33="","",VLOOKUP($B33,'C-1 Site River Baseline'!$C$9:$R$257,10,FALSE))</f>
        <v/>
      </c>
      <c r="L33" s="520" t="str">
        <f>IF(B33="","",VLOOKUP($B33,'C-1 Site River Baseline'!$C$9:$R$257,15,FALSE))</f>
        <v/>
      </c>
      <c r="M33" s="524" t="str">
        <f>IF(L33="","",VLOOKUP($B33,'C-1 Site River Baseline'!$C$9:$R$257,16,FALSE))</f>
        <v/>
      </c>
      <c r="N33" s="426" t="str">
        <f t="shared" si="6"/>
        <v/>
      </c>
      <c r="O33" s="498" t="str">
        <f t="shared" si="1"/>
        <v/>
      </c>
      <c r="P33" s="499"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7" t="str">
        <f>IF(N33="","",VLOOKUP(B33,'C-1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07" t="str">
        <f>IF(V33="","",IF(VLOOKUP(V33,'G-7 Rivers Data'!$AG$4:$AI$9,2,FALSE)=0,"Spatial Data Missing ⚠",VLOOKUP(V33,'G-7 Rivers Data'!$AG$4:$AI$9,2,FALSE)))</f>
        <v/>
      </c>
      <c r="X33" s="499" t="str">
        <f>IF(V33="","",IF(VLOOKUP(V33,'G-7 Rivers Data'!$AG$4:$AI$9,3,FALSE)=0,"Spatial Data Missing ⚠",VLOOKUP(V33,'G-7 Rivers Data'!$AG$4:$AI$9,3,FALSE)))</f>
        <v/>
      </c>
      <c r="Y33" s="498" t="str">
        <f>IFERROR(IF(OR(LEFT(P33,5)="Error ▲",LEFT(O33,5)="Error ▲"),"Check Data ⚠",IF(F33&lt;S33,'G-7 Rivers Data'!$R$3,INDEX('G-7 Rivers Data'!$U$5:$Y$9,MATCH(G33,'G-7 Rivers Data'!$T$5:$T$9,0),MATCH(T33,'G-7 Rivers Data'!$U$4:$Y$4,0)))),"")</f>
        <v/>
      </c>
      <c r="Z33" s="195"/>
      <c r="AA33" s="195"/>
      <c r="AB33" s="507" t="str">
        <f t="shared" si="2"/>
        <v/>
      </c>
      <c r="AC33" s="521" t="str">
        <f t="shared" si="3"/>
        <v/>
      </c>
      <c r="AD33" s="564" t="str">
        <f>IFERROR(IF(AC33="Check Data ⚠","Check Data ⚠",VLOOKUP(AC33,'G-4 Temporal multipliers'!$A$4:$C$37,3,FALSE)),"")</f>
        <v/>
      </c>
      <c r="AE33" s="498" t="str">
        <f>IF(N33="","",VLOOKUP(N33,'G-7 Rivers Data'!$B$4:$G$8,5,FALSE))</f>
        <v/>
      </c>
      <c r="AF33" s="507" t="str">
        <f t="shared" si="4"/>
        <v/>
      </c>
      <c r="AG33" s="540" t="str">
        <f t="shared" si="5"/>
        <v/>
      </c>
      <c r="AH33" s="499" t="str">
        <f t="shared" si="0"/>
        <v/>
      </c>
      <c r="AI33" s="145"/>
      <c r="AJ33" s="499" t="str">
        <f>IF(AI33="","",IF(VLOOKUP(AI33,'G-7 Rivers Data'!$AA$4:$AB$7,2,FALSE)=0,"Spatial Data Missing ⚠",VLOOKUP(AI33,'G-7 Rivers Data'!$AA$4:$AB$7,2,FALSE)))</f>
        <v/>
      </c>
      <c r="AK33" s="155"/>
      <c r="AL33" s="499" t="str">
        <f>IF(AK33="","",IF(VLOOKUP(AK33,'G-7 Rivers Data'!$AD$4:$AE$8,2,FALSE)=0,"Spatial Data Missing ⚠",VLOOKUP(AK33,'G-7 Rivers Data'!$AD$4:$AE$8,2,FALSE)))</f>
        <v/>
      </c>
      <c r="AM33" s="545" t="str">
        <f t="shared" si="7"/>
        <v/>
      </c>
      <c r="AN33" s="149"/>
      <c r="AO33" s="150"/>
      <c r="AV33" s="31" t="str">
        <f>IFERROR(INDEX('G-7 Rivers Data'!$AZ$3:$AZ$7,MATCH(N33,'G-7 Rivers Data'!$AY$3:$AY$7,0)),"")</f>
        <v/>
      </c>
    </row>
    <row r="34" spans="2:48" ht="13.8" x14ac:dyDescent="0.25">
      <c r="B34" s="531" t="str">
        <f>'C-1 Site River Baseline'!AN32</f>
        <v/>
      </c>
      <c r="C34" s="520" t="str">
        <f>IF(B34="","",VLOOKUP($B34,'C-1 Site River Baseline'!$C$9:$R$257,2,FALSE))</f>
        <v/>
      </c>
      <c r="D34" s="520" t="str">
        <f>IF(C34="","",VLOOKUP($B34,'C-1 Site River Baseline'!$C$9:$R$257,3,FALSE))</f>
        <v/>
      </c>
      <c r="E34" s="520" t="str">
        <f>IF(D34="","",VLOOKUP($B34,'C-1 Site River Baseline'!$C$9:$R$257,4,FALSE))</f>
        <v/>
      </c>
      <c r="F34" s="520" t="str">
        <f>IF(E34="","",VLOOKUP($B34,'C-1 Site River Baseline'!$C$9:$R$257,5,FALSE))</f>
        <v/>
      </c>
      <c r="G34" s="520" t="str">
        <f>IF(F34="","",VLOOKUP($B34,'C-1 Site River Baseline'!$C$9:$R$257,6,FALSE))</f>
        <v/>
      </c>
      <c r="H34" s="520" t="str">
        <f>IF(G34="","",VLOOKUP($B34,'C-1 Site River Baseline'!$C$9:$R$257,7,FALSE))</f>
        <v/>
      </c>
      <c r="I34" s="520" t="str">
        <f>IF(H34="","",VLOOKUP($B34,'C-1 Site River Baseline'!$C$9:$R$257,8,FALSE))</f>
        <v/>
      </c>
      <c r="J34" s="520" t="str">
        <f>IF(I34="","",VLOOKUP($B34,'C-1 Site River Baseline'!$C$9:$R$257,9,FALSE))</f>
        <v/>
      </c>
      <c r="K34" s="520" t="str">
        <f>IF(J34="","",VLOOKUP($B34,'C-1 Site River Baseline'!$C$9:$R$257,10,FALSE))</f>
        <v/>
      </c>
      <c r="L34" s="520" t="str">
        <f>IF(B34="","",VLOOKUP($B34,'C-1 Site River Baseline'!$C$9:$R$257,15,FALSE))</f>
        <v/>
      </c>
      <c r="M34" s="524" t="str">
        <f>IF(L34="","",VLOOKUP($B34,'C-1 Site River Baseline'!$C$9:$R$257,16,FALSE))</f>
        <v/>
      </c>
      <c r="N34" s="426" t="str">
        <f t="shared" si="6"/>
        <v/>
      </c>
      <c r="O34" s="498" t="str">
        <f t="shared" si="1"/>
        <v/>
      </c>
      <c r="P34" s="499"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7" t="str">
        <f>IF(N34="","",VLOOKUP(B34,'C-1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07" t="str">
        <f>IF(V34="","",IF(VLOOKUP(V34,'G-7 Rivers Data'!$AG$4:$AI$9,2,FALSE)=0,"Spatial Data Missing ⚠",VLOOKUP(V34,'G-7 Rivers Data'!$AG$4:$AI$9,2,FALSE)))</f>
        <v/>
      </c>
      <c r="X34" s="499" t="str">
        <f>IF(V34="","",IF(VLOOKUP(V34,'G-7 Rivers Data'!$AG$4:$AI$9,3,FALSE)=0,"Spatial Data Missing ⚠",VLOOKUP(V34,'G-7 Rivers Data'!$AG$4:$AI$9,3,FALSE)))</f>
        <v/>
      </c>
      <c r="Y34" s="498" t="str">
        <f>IFERROR(IF(OR(LEFT(P34,5)="Error ▲",LEFT(O34,5)="Error ▲"),"Check Data ⚠",IF(F34&lt;S34,'G-7 Rivers Data'!$R$3,INDEX('G-7 Rivers Data'!$U$5:$Y$9,MATCH(G34,'G-7 Rivers Data'!$T$5:$T$9,0),MATCH(T34,'G-7 Rivers Data'!$U$4:$Y$4,0)))),"")</f>
        <v/>
      </c>
      <c r="Z34" s="195"/>
      <c r="AA34" s="195"/>
      <c r="AB34" s="507" t="str">
        <f t="shared" si="2"/>
        <v/>
      </c>
      <c r="AC34" s="521" t="str">
        <f t="shared" si="3"/>
        <v/>
      </c>
      <c r="AD34" s="564" t="str">
        <f>IFERROR(IF(AC34="Check Data ⚠","Check Data ⚠",VLOOKUP(AC34,'G-4 Temporal multipliers'!$A$4:$C$37,3,FALSE)),"")</f>
        <v/>
      </c>
      <c r="AE34" s="498" t="str">
        <f>IF(N34="","",VLOOKUP(N34,'G-7 Rivers Data'!$B$4:$G$8,5,FALSE))</f>
        <v/>
      </c>
      <c r="AF34" s="507" t="str">
        <f t="shared" si="4"/>
        <v/>
      </c>
      <c r="AG34" s="540" t="str">
        <f t="shared" si="5"/>
        <v/>
      </c>
      <c r="AH34" s="499" t="str">
        <f t="shared" si="0"/>
        <v/>
      </c>
      <c r="AI34" s="145"/>
      <c r="AJ34" s="499" t="str">
        <f>IF(AI34="","",IF(VLOOKUP(AI34,'G-7 Rivers Data'!$AA$4:$AB$7,2,FALSE)=0,"Spatial Data Missing ⚠",VLOOKUP(AI34,'G-7 Rivers Data'!$AA$4:$AB$7,2,FALSE)))</f>
        <v/>
      </c>
      <c r="AK34" s="155"/>
      <c r="AL34" s="499" t="str">
        <f>IF(AK34="","",IF(VLOOKUP(AK34,'G-7 Rivers Data'!$AD$4:$AE$8,2,FALSE)=0,"Spatial Data Missing ⚠",VLOOKUP(AK34,'G-7 Rivers Data'!$AD$4:$AE$8,2,FALSE)))</f>
        <v/>
      </c>
      <c r="AM34" s="545" t="str">
        <f t="shared" si="7"/>
        <v/>
      </c>
      <c r="AN34" s="149"/>
      <c r="AO34" s="150"/>
      <c r="AV34" s="31" t="str">
        <f>IFERROR(INDEX('G-7 Rivers Data'!$AZ$3:$AZ$7,MATCH(N34,'G-7 Rivers Data'!$AY$3:$AY$7,0)),"")</f>
        <v/>
      </c>
    </row>
    <row r="35" spans="2:48" ht="13.8" x14ac:dyDescent="0.25">
      <c r="B35" s="531" t="str">
        <f>'C-1 Site River Baseline'!AN33</f>
        <v/>
      </c>
      <c r="C35" s="520" t="str">
        <f>IF(B35="","",VLOOKUP($B35,'C-1 Site River Baseline'!$C$9:$R$257,2,FALSE))</f>
        <v/>
      </c>
      <c r="D35" s="520" t="str">
        <f>IF(C35="","",VLOOKUP($B35,'C-1 Site River Baseline'!$C$9:$R$257,3,FALSE))</f>
        <v/>
      </c>
      <c r="E35" s="520" t="str">
        <f>IF(D35="","",VLOOKUP($B35,'C-1 Site River Baseline'!$C$9:$R$257,4,FALSE))</f>
        <v/>
      </c>
      <c r="F35" s="520" t="str">
        <f>IF(E35="","",VLOOKUP($B35,'C-1 Site River Baseline'!$C$9:$R$257,5,FALSE))</f>
        <v/>
      </c>
      <c r="G35" s="520" t="str">
        <f>IF(F35="","",VLOOKUP($B35,'C-1 Site River Baseline'!$C$9:$R$257,6,FALSE))</f>
        <v/>
      </c>
      <c r="H35" s="520" t="str">
        <f>IF(G35="","",VLOOKUP($B35,'C-1 Site River Baseline'!$C$9:$R$257,7,FALSE))</f>
        <v/>
      </c>
      <c r="I35" s="520" t="str">
        <f>IF(H35="","",VLOOKUP($B35,'C-1 Site River Baseline'!$C$9:$R$257,8,FALSE))</f>
        <v/>
      </c>
      <c r="J35" s="520" t="str">
        <f>IF(I35="","",VLOOKUP($B35,'C-1 Site River Baseline'!$C$9:$R$257,9,FALSE))</f>
        <v/>
      </c>
      <c r="K35" s="520" t="str">
        <f>IF(J35="","",VLOOKUP($B35,'C-1 Site River Baseline'!$C$9:$R$257,10,FALSE))</f>
        <v/>
      </c>
      <c r="L35" s="520" t="str">
        <f>IF(B35="","",VLOOKUP($B35,'C-1 Site River Baseline'!$C$9:$R$257,15,FALSE))</f>
        <v/>
      </c>
      <c r="M35" s="524" t="str">
        <f>IF(L35="","",VLOOKUP($B35,'C-1 Site River Baseline'!$C$9:$R$257,16,FALSE))</f>
        <v/>
      </c>
      <c r="N35" s="426" t="str">
        <f t="shared" si="6"/>
        <v/>
      </c>
      <c r="O35" s="498" t="str">
        <f t="shared" si="1"/>
        <v/>
      </c>
      <c r="P35" s="499"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7" t="str">
        <f>IF(N35="","",VLOOKUP(B35,'C-1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07" t="str">
        <f>IF(V35="","",IF(VLOOKUP(V35,'G-7 Rivers Data'!$AG$4:$AI$9,2,FALSE)=0,"Spatial Data Missing ⚠",VLOOKUP(V35,'G-7 Rivers Data'!$AG$4:$AI$9,2,FALSE)))</f>
        <v/>
      </c>
      <c r="X35" s="499" t="str">
        <f>IF(V35="","",IF(VLOOKUP(V35,'G-7 Rivers Data'!$AG$4:$AI$9,3,FALSE)=0,"Spatial Data Missing ⚠",VLOOKUP(V35,'G-7 Rivers Data'!$AG$4:$AI$9,3,FALSE)))</f>
        <v/>
      </c>
      <c r="Y35" s="498" t="str">
        <f>IFERROR(IF(OR(LEFT(P35,5)="Error ▲",LEFT(O35,5)="Error ▲"),"Check Data ⚠",IF(F35&lt;S35,'G-7 Rivers Data'!$R$3,INDEX('G-7 Rivers Data'!$U$5:$Y$9,MATCH(G35,'G-7 Rivers Data'!$T$5:$T$9,0),MATCH(T35,'G-7 Rivers Data'!$U$4:$Y$4,0)))),"")</f>
        <v/>
      </c>
      <c r="Z35" s="195"/>
      <c r="AA35" s="195"/>
      <c r="AB35" s="507" t="str">
        <f t="shared" si="2"/>
        <v/>
      </c>
      <c r="AC35" s="521" t="str">
        <f t="shared" si="3"/>
        <v/>
      </c>
      <c r="AD35" s="564" t="str">
        <f>IFERROR(IF(AC35="Check Data ⚠","Check Data ⚠",VLOOKUP(AC35,'G-4 Temporal multipliers'!$A$4:$C$37,3,FALSE)),"")</f>
        <v/>
      </c>
      <c r="AE35" s="498" t="str">
        <f>IF(N35="","",VLOOKUP(N35,'G-7 Rivers Data'!$B$4:$G$8,5,FALSE))</f>
        <v/>
      </c>
      <c r="AF35" s="507" t="str">
        <f t="shared" si="4"/>
        <v/>
      </c>
      <c r="AG35" s="540" t="str">
        <f t="shared" si="5"/>
        <v/>
      </c>
      <c r="AH35" s="499" t="str">
        <f t="shared" si="0"/>
        <v/>
      </c>
      <c r="AI35" s="145"/>
      <c r="AJ35" s="499" t="str">
        <f>IF(AI35="","",IF(VLOOKUP(AI35,'G-7 Rivers Data'!$AA$4:$AB$7,2,FALSE)=0,"Spatial Data Missing ⚠",VLOOKUP(AI35,'G-7 Rivers Data'!$AA$4:$AB$7,2,FALSE)))</f>
        <v/>
      </c>
      <c r="AK35" s="155"/>
      <c r="AL35" s="499" t="str">
        <f>IF(AK35="","",IF(VLOOKUP(AK35,'G-7 Rivers Data'!$AD$4:$AE$8,2,FALSE)=0,"Spatial Data Missing ⚠",VLOOKUP(AK35,'G-7 Rivers Data'!$AD$4:$AE$8,2,FALSE)))</f>
        <v/>
      </c>
      <c r="AM35" s="545" t="str">
        <f t="shared" si="7"/>
        <v/>
      </c>
      <c r="AN35" s="149"/>
      <c r="AO35" s="150"/>
      <c r="AV35" s="31" t="str">
        <f>IFERROR(INDEX('G-7 Rivers Data'!$AZ$3:$AZ$7,MATCH(N35,'G-7 Rivers Data'!$AY$3:$AY$7,0)),"")</f>
        <v/>
      </c>
    </row>
    <row r="36" spans="2:48" ht="13.8" x14ac:dyDescent="0.25">
      <c r="B36" s="531" t="str">
        <f>'C-1 Site River Baseline'!AN34</f>
        <v/>
      </c>
      <c r="C36" s="520" t="str">
        <f>IF(B36="","",VLOOKUP($B36,'C-1 Site River Baseline'!$C$9:$R$257,2,FALSE))</f>
        <v/>
      </c>
      <c r="D36" s="520" t="str">
        <f>IF(C36="","",VLOOKUP($B36,'C-1 Site River Baseline'!$C$9:$R$257,3,FALSE))</f>
        <v/>
      </c>
      <c r="E36" s="520" t="str">
        <f>IF(D36="","",VLOOKUP($B36,'C-1 Site River Baseline'!$C$9:$R$257,4,FALSE))</f>
        <v/>
      </c>
      <c r="F36" s="520" t="str">
        <f>IF(E36="","",VLOOKUP($B36,'C-1 Site River Baseline'!$C$9:$R$257,5,FALSE))</f>
        <v/>
      </c>
      <c r="G36" s="520" t="str">
        <f>IF(F36="","",VLOOKUP($B36,'C-1 Site River Baseline'!$C$9:$R$257,6,FALSE))</f>
        <v/>
      </c>
      <c r="H36" s="520" t="str">
        <f>IF(G36="","",VLOOKUP($B36,'C-1 Site River Baseline'!$C$9:$R$257,7,FALSE))</f>
        <v/>
      </c>
      <c r="I36" s="520" t="str">
        <f>IF(H36="","",VLOOKUP($B36,'C-1 Site River Baseline'!$C$9:$R$257,8,FALSE))</f>
        <v/>
      </c>
      <c r="J36" s="520" t="str">
        <f>IF(I36="","",VLOOKUP($B36,'C-1 Site River Baseline'!$C$9:$R$257,9,FALSE))</f>
        <v/>
      </c>
      <c r="K36" s="520" t="str">
        <f>IF(J36="","",VLOOKUP($B36,'C-1 Site River Baseline'!$C$9:$R$257,10,FALSE))</f>
        <v/>
      </c>
      <c r="L36" s="520" t="str">
        <f>IF(B36="","",VLOOKUP($B36,'C-1 Site River Baseline'!$C$9:$R$257,15,FALSE))</f>
        <v/>
      </c>
      <c r="M36" s="524" t="str">
        <f>IF(L36="","",VLOOKUP($B36,'C-1 Site River Baseline'!$C$9:$R$257,16,FALSE))</f>
        <v/>
      </c>
      <c r="N36" s="426" t="str">
        <f t="shared" si="6"/>
        <v/>
      </c>
      <c r="O36" s="498" t="str">
        <f t="shared" si="1"/>
        <v/>
      </c>
      <c r="P36" s="499"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7" t="str">
        <f>IF(N36="","",VLOOKUP(B36,'C-1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07" t="str">
        <f>IF(V36="","",IF(VLOOKUP(V36,'G-7 Rivers Data'!$AG$4:$AI$9,2,FALSE)=0,"Spatial Data Missing ⚠",VLOOKUP(V36,'G-7 Rivers Data'!$AG$4:$AI$9,2,FALSE)))</f>
        <v/>
      </c>
      <c r="X36" s="499" t="str">
        <f>IF(V36="","",IF(VLOOKUP(V36,'G-7 Rivers Data'!$AG$4:$AI$9,3,FALSE)=0,"Spatial Data Missing ⚠",VLOOKUP(V36,'G-7 Rivers Data'!$AG$4:$AI$9,3,FALSE)))</f>
        <v/>
      </c>
      <c r="Y36" s="498" t="str">
        <f>IFERROR(IF(OR(LEFT(P36,5)="Error ▲",LEFT(O36,5)="Error ▲"),"Check Data ⚠",IF(F36&lt;S36,'G-7 Rivers Data'!$R$3,INDEX('G-7 Rivers Data'!$U$5:$Y$9,MATCH(G36,'G-7 Rivers Data'!$T$5:$T$9,0),MATCH(T36,'G-7 Rivers Data'!$U$4:$Y$4,0)))),"")</f>
        <v/>
      </c>
      <c r="Z36" s="195"/>
      <c r="AA36" s="195"/>
      <c r="AB36" s="507" t="str">
        <f t="shared" si="2"/>
        <v/>
      </c>
      <c r="AC36" s="521" t="str">
        <f t="shared" si="3"/>
        <v/>
      </c>
      <c r="AD36" s="564" t="str">
        <f>IFERROR(IF(AC36="Check Data ⚠","Check Data ⚠",VLOOKUP(AC36,'G-4 Temporal multipliers'!$A$4:$C$37,3,FALSE)),"")</f>
        <v/>
      </c>
      <c r="AE36" s="498" t="str">
        <f>IF(N36="","",VLOOKUP(N36,'G-7 Rivers Data'!$B$4:$G$8,5,FALSE))</f>
        <v/>
      </c>
      <c r="AF36" s="507" t="str">
        <f t="shared" si="4"/>
        <v/>
      </c>
      <c r="AG36" s="540" t="str">
        <f t="shared" si="5"/>
        <v/>
      </c>
      <c r="AH36" s="499" t="str">
        <f t="shared" si="0"/>
        <v/>
      </c>
      <c r="AI36" s="145"/>
      <c r="AJ36" s="499" t="str">
        <f>IF(AI36="","",IF(VLOOKUP(AI36,'G-7 Rivers Data'!$AA$4:$AB$7,2,FALSE)=0,"Spatial Data Missing ⚠",VLOOKUP(AI36,'G-7 Rivers Data'!$AA$4:$AB$7,2,FALSE)))</f>
        <v/>
      </c>
      <c r="AK36" s="155"/>
      <c r="AL36" s="499" t="str">
        <f>IF(AK36="","",IF(VLOOKUP(AK36,'G-7 Rivers Data'!$AD$4:$AE$8,2,FALSE)=0,"Spatial Data Missing ⚠",VLOOKUP(AK36,'G-7 Rivers Data'!$AD$4:$AE$8,2,FALSE)))</f>
        <v/>
      </c>
      <c r="AM36" s="545" t="str">
        <f t="shared" si="7"/>
        <v/>
      </c>
      <c r="AN36" s="149"/>
      <c r="AO36" s="150"/>
      <c r="AV36" s="31" t="str">
        <f>IFERROR(INDEX('G-7 Rivers Data'!$AZ$3:$AZ$7,MATCH(N36,'G-7 Rivers Data'!$AY$3:$AY$7,0)),"")</f>
        <v/>
      </c>
    </row>
    <row r="37" spans="2:48" ht="13.8" x14ac:dyDescent="0.25">
      <c r="B37" s="531" t="str">
        <f>'C-1 Site River Baseline'!AN35</f>
        <v/>
      </c>
      <c r="C37" s="520" t="str">
        <f>IF(B37="","",VLOOKUP($B37,'C-1 Site River Baseline'!$C$9:$R$257,2,FALSE))</f>
        <v/>
      </c>
      <c r="D37" s="520" t="str">
        <f>IF(C37="","",VLOOKUP($B37,'C-1 Site River Baseline'!$C$9:$R$257,3,FALSE))</f>
        <v/>
      </c>
      <c r="E37" s="520" t="str">
        <f>IF(D37="","",VLOOKUP($B37,'C-1 Site River Baseline'!$C$9:$R$257,4,FALSE))</f>
        <v/>
      </c>
      <c r="F37" s="520" t="str">
        <f>IF(E37="","",VLOOKUP($B37,'C-1 Site River Baseline'!$C$9:$R$257,5,FALSE))</f>
        <v/>
      </c>
      <c r="G37" s="520" t="str">
        <f>IF(F37="","",VLOOKUP($B37,'C-1 Site River Baseline'!$C$9:$R$257,6,FALSE))</f>
        <v/>
      </c>
      <c r="H37" s="520" t="str">
        <f>IF(G37="","",VLOOKUP($B37,'C-1 Site River Baseline'!$C$9:$R$257,7,FALSE))</f>
        <v/>
      </c>
      <c r="I37" s="520" t="str">
        <f>IF(H37="","",VLOOKUP($B37,'C-1 Site River Baseline'!$C$9:$R$257,8,FALSE))</f>
        <v/>
      </c>
      <c r="J37" s="520" t="str">
        <f>IF(I37="","",VLOOKUP($B37,'C-1 Site River Baseline'!$C$9:$R$257,9,FALSE))</f>
        <v/>
      </c>
      <c r="K37" s="520" t="str">
        <f>IF(J37="","",VLOOKUP($B37,'C-1 Site River Baseline'!$C$9:$R$257,10,FALSE))</f>
        <v/>
      </c>
      <c r="L37" s="520" t="str">
        <f>IF(B37="","",VLOOKUP($B37,'C-1 Site River Baseline'!$C$9:$R$257,15,FALSE))</f>
        <v/>
      </c>
      <c r="M37" s="524" t="str">
        <f>IF(L37="","",VLOOKUP($B37,'C-1 Site River Baseline'!$C$9:$R$257,16,FALSE))</f>
        <v/>
      </c>
      <c r="N37" s="426" t="str">
        <f t="shared" si="6"/>
        <v/>
      </c>
      <c r="O37" s="498" t="str">
        <f t="shared" si="1"/>
        <v/>
      </c>
      <c r="P37" s="499"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7" t="str">
        <f>IF(N37="","",VLOOKUP(B37,'C-1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07" t="str">
        <f>IF(V37="","",IF(VLOOKUP(V37,'G-7 Rivers Data'!$AG$4:$AI$9,2,FALSE)=0,"Spatial Data Missing ⚠",VLOOKUP(V37,'G-7 Rivers Data'!$AG$4:$AI$9,2,FALSE)))</f>
        <v/>
      </c>
      <c r="X37" s="499" t="str">
        <f>IF(V37="","",IF(VLOOKUP(V37,'G-7 Rivers Data'!$AG$4:$AI$9,3,FALSE)=0,"Spatial Data Missing ⚠",VLOOKUP(V37,'G-7 Rivers Data'!$AG$4:$AI$9,3,FALSE)))</f>
        <v/>
      </c>
      <c r="Y37" s="498" t="str">
        <f>IFERROR(IF(OR(LEFT(P37,5)="Error ▲",LEFT(O37,5)="Error ▲"),"Check Data ⚠",IF(F37&lt;S37,'G-7 Rivers Data'!$R$3,INDEX('G-7 Rivers Data'!$U$5:$Y$9,MATCH(G37,'G-7 Rivers Data'!$T$5:$T$9,0),MATCH(T37,'G-7 Rivers Data'!$U$4:$Y$4,0)))),"")</f>
        <v/>
      </c>
      <c r="Z37" s="195"/>
      <c r="AA37" s="195"/>
      <c r="AB37" s="507" t="str">
        <f t="shared" si="2"/>
        <v/>
      </c>
      <c r="AC37" s="521" t="str">
        <f t="shared" si="3"/>
        <v/>
      </c>
      <c r="AD37" s="564" t="str">
        <f>IFERROR(IF(AC37="Check Data ⚠","Check Data ⚠",VLOOKUP(AC37,'G-4 Temporal multipliers'!$A$4:$C$37,3,FALSE)),"")</f>
        <v/>
      </c>
      <c r="AE37" s="498" t="str">
        <f>IF(N37="","",VLOOKUP(N37,'G-7 Rivers Data'!$B$4:$G$8,5,FALSE))</f>
        <v/>
      </c>
      <c r="AF37" s="507" t="str">
        <f t="shared" si="4"/>
        <v/>
      </c>
      <c r="AG37" s="540" t="str">
        <f t="shared" si="5"/>
        <v/>
      </c>
      <c r="AH37" s="499" t="str">
        <f t="shared" si="0"/>
        <v/>
      </c>
      <c r="AI37" s="145"/>
      <c r="AJ37" s="499" t="str">
        <f>IF(AI37="","",IF(VLOOKUP(AI37,'G-7 Rivers Data'!$AA$4:$AB$7,2,FALSE)=0,"Spatial Data Missing ⚠",VLOOKUP(AI37,'G-7 Rivers Data'!$AA$4:$AB$7,2,FALSE)))</f>
        <v/>
      </c>
      <c r="AK37" s="155"/>
      <c r="AL37" s="499" t="str">
        <f>IF(AK37="","",IF(VLOOKUP(AK37,'G-7 Rivers Data'!$AD$4:$AE$8,2,FALSE)=0,"Spatial Data Missing ⚠",VLOOKUP(AK37,'G-7 Rivers Data'!$AD$4:$AE$8,2,FALSE)))</f>
        <v/>
      </c>
      <c r="AM37" s="545" t="str">
        <f t="shared" si="7"/>
        <v/>
      </c>
      <c r="AN37" s="149"/>
      <c r="AO37" s="150"/>
      <c r="AV37" s="31" t="str">
        <f>IFERROR(INDEX('G-7 Rivers Data'!$AZ$3:$AZ$7,MATCH(N37,'G-7 Rivers Data'!$AY$3:$AY$7,0)),"")</f>
        <v/>
      </c>
    </row>
    <row r="38" spans="2:48" ht="13.8" x14ac:dyDescent="0.25">
      <c r="B38" s="531" t="str">
        <f>'C-1 Site River Baseline'!AN36</f>
        <v/>
      </c>
      <c r="C38" s="520" t="str">
        <f>IF(B38="","",VLOOKUP($B38,'C-1 Site River Baseline'!$C$9:$R$257,2,FALSE))</f>
        <v/>
      </c>
      <c r="D38" s="520" t="str">
        <f>IF(C38="","",VLOOKUP($B38,'C-1 Site River Baseline'!$C$9:$R$257,3,FALSE))</f>
        <v/>
      </c>
      <c r="E38" s="520" t="str">
        <f>IF(D38="","",VLOOKUP($B38,'C-1 Site River Baseline'!$C$9:$R$257,4,FALSE))</f>
        <v/>
      </c>
      <c r="F38" s="520" t="str">
        <f>IF(E38="","",VLOOKUP($B38,'C-1 Site River Baseline'!$C$9:$R$257,5,FALSE))</f>
        <v/>
      </c>
      <c r="G38" s="520" t="str">
        <f>IF(F38="","",VLOOKUP($B38,'C-1 Site River Baseline'!$C$9:$R$257,6,FALSE))</f>
        <v/>
      </c>
      <c r="H38" s="520" t="str">
        <f>IF(G38="","",VLOOKUP($B38,'C-1 Site River Baseline'!$C$9:$R$257,7,FALSE))</f>
        <v/>
      </c>
      <c r="I38" s="520" t="str">
        <f>IF(H38="","",VLOOKUP($B38,'C-1 Site River Baseline'!$C$9:$R$257,8,FALSE))</f>
        <v/>
      </c>
      <c r="J38" s="520" t="str">
        <f>IF(I38="","",VLOOKUP($B38,'C-1 Site River Baseline'!$C$9:$R$257,9,FALSE))</f>
        <v/>
      </c>
      <c r="K38" s="520" t="str">
        <f>IF(J38="","",VLOOKUP($B38,'C-1 Site River Baseline'!$C$9:$R$257,10,FALSE))</f>
        <v/>
      </c>
      <c r="L38" s="520" t="str">
        <f>IF(B38="","",VLOOKUP($B38,'C-1 Site River Baseline'!$C$9:$R$257,15,FALSE))</f>
        <v/>
      </c>
      <c r="M38" s="524" t="str">
        <f>IF(L38="","",VLOOKUP($B38,'C-1 Site River Baseline'!$C$9:$R$257,16,FALSE))</f>
        <v/>
      </c>
      <c r="N38" s="426" t="str">
        <f t="shared" si="6"/>
        <v/>
      </c>
      <c r="O38" s="498" t="str">
        <f t="shared" si="1"/>
        <v/>
      </c>
      <c r="P38" s="499"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7" t="str">
        <f>IF(N38="","",VLOOKUP(B38,'C-1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07" t="str">
        <f>IF(V38="","",IF(VLOOKUP(V38,'G-7 Rivers Data'!$AG$4:$AI$9,2,FALSE)=0,"Spatial Data Missing ⚠",VLOOKUP(V38,'G-7 Rivers Data'!$AG$4:$AI$9,2,FALSE)))</f>
        <v/>
      </c>
      <c r="X38" s="499" t="str">
        <f>IF(V38="","",IF(VLOOKUP(V38,'G-7 Rivers Data'!$AG$4:$AI$9,3,FALSE)=0,"Spatial Data Missing ⚠",VLOOKUP(V38,'G-7 Rivers Data'!$AG$4:$AI$9,3,FALSE)))</f>
        <v/>
      </c>
      <c r="Y38" s="498" t="str">
        <f>IFERROR(IF(OR(LEFT(P38,5)="Error ▲",LEFT(O38,5)="Error ▲"),"Check Data ⚠",IF(F38&lt;S38,'G-7 Rivers Data'!$R$3,INDEX('G-7 Rivers Data'!$U$5:$Y$9,MATCH(G38,'G-7 Rivers Data'!$T$5:$T$9,0),MATCH(T38,'G-7 Rivers Data'!$U$4:$Y$4,0)))),"")</f>
        <v/>
      </c>
      <c r="Z38" s="195"/>
      <c r="AA38" s="195"/>
      <c r="AB38" s="507" t="str">
        <f t="shared" si="2"/>
        <v/>
      </c>
      <c r="AC38" s="521" t="str">
        <f t="shared" si="3"/>
        <v/>
      </c>
      <c r="AD38" s="564" t="str">
        <f>IFERROR(IF(AC38="Check Data ⚠","Check Data ⚠",VLOOKUP(AC38,'G-4 Temporal multipliers'!$A$4:$C$37,3,FALSE)),"")</f>
        <v/>
      </c>
      <c r="AE38" s="498" t="str">
        <f>IF(N38="","",VLOOKUP(N38,'G-7 Rivers Data'!$B$4:$G$8,5,FALSE))</f>
        <v/>
      </c>
      <c r="AF38" s="507" t="str">
        <f t="shared" si="4"/>
        <v/>
      </c>
      <c r="AG38" s="540" t="str">
        <f t="shared" si="5"/>
        <v/>
      </c>
      <c r="AH38" s="499" t="str">
        <f t="shared" si="0"/>
        <v/>
      </c>
      <c r="AI38" s="145"/>
      <c r="AJ38" s="499" t="str">
        <f>IF(AI38="","",IF(VLOOKUP(AI38,'G-7 Rivers Data'!$AA$4:$AB$7,2,FALSE)=0,"Spatial Data Missing ⚠",VLOOKUP(AI38,'G-7 Rivers Data'!$AA$4:$AB$7,2,FALSE)))</f>
        <v/>
      </c>
      <c r="AK38" s="155"/>
      <c r="AL38" s="499" t="str">
        <f>IF(AK38="","",IF(VLOOKUP(AK38,'G-7 Rivers Data'!$AD$4:$AE$8,2,FALSE)=0,"Spatial Data Missing ⚠",VLOOKUP(AK38,'G-7 Rivers Data'!$AD$4:$AE$8,2,FALSE)))</f>
        <v/>
      </c>
      <c r="AM38" s="545" t="str">
        <f t="shared" si="7"/>
        <v/>
      </c>
      <c r="AN38" s="149"/>
      <c r="AO38" s="150"/>
      <c r="AV38" s="31" t="str">
        <f>IFERROR(INDEX('G-7 Rivers Data'!$AZ$3:$AZ$7,MATCH(N38,'G-7 Rivers Data'!$AY$3:$AY$7,0)),"")</f>
        <v/>
      </c>
    </row>
    <row r="39" spans="2:48" ht="13.8" x14ac:dyDescent="0.25">
      <c r="B39" s="531" t="str">
        <f>'C-1 Site River Baseline'!AN37</f>
        <v/>
      </c>
      <c r="C39" s="520" t="str">
        <f>IF(B39="","",VLOOKUP($B39,'C-1 Site River Baseline'!$C$9:$R$257,2,FALSE))</f>
        <v/>
      </c>
      <c r="D39" s="520" t="str">
        <f>IF(C39="","",VLOOKUP($B39,'C-1 Site River Baseline'!$C$9:$R$257,3,FALSE))</f>
        <v/>
      </c>
      <c r="E39" s="520" t="str">
        <f>IF(D39="","",VLOOKUP($B39,'C-1 Site River Baseline'!$C$9:$R$257,4,FALSE))</f>
        <v/>
      </c>
      <c r="F39" s="520" t="str">
        <f>IF(E39="","",VLOOKUP($B39,'C-1 Site River Baseline'!$C$9:$R$257,5,FALSE))</f>
        <v/>
      </c>
      <c r="G39" s="520" t="str">
        <f>IF(F39="","",VLOOKUP($B39,'C-1 Site River Baseline'!$C$9:$R$257,6,FALSE))</f>
        <v/>
      </c>
      <c r="H39" s="520" t="str">
        <f>IF(G39="","",VLOOKUP($B39,'C-1 Site River Baseline'!$C$9:$R$257,7,FALSE))</f>
        <v/>
      </c>
      <c r="I39" s="520" t="str">
        <f>IF(H39="","",VLOOKUP($B39,'C-1 Site River Baseline'!$C$9:$R$257,8,FALSE))</f>
        <v/>
      </c>
      <c r="J39" s="520" t="str">
        <f>IF(I39="","",VLOOKUP($B39,'C-1 Site River Baseline'!$C$9:$R$257,9,FALSE))</f>
        <v/>
      </c>
      <c r="K39" s="520" t="str">
        <f>IF(J39="","",VLOOKUP($B39,'C-1 Site River Baseline'!$C$9:$R$257,10,FALSE))</f>
        <v/>
      </c>
      <c r="L39" s="520" t="str">
        <f>IF(B39="","",VLOOKUP($B39,'C-1 Site River Baseline'!$C$9:$R$257,15,FALSE))</f>
        <v/>
      </c>
      <c r="M39" s="524" t="str">
        <f>IF(L39="","",VLOOKUP($B39,'C-1 Site River Baseline'!$C$9:$R$257,16,FALSE))</f>
        <v/>
      </c>
      <c r="N39" s="426" t="str">
        <f t="shared" si="6"/>
        <v/>
      </c>
      <c r="O39" s="498" t="str">
        <f t="shared" si="1"/>
        <v/>
      </c>
      <c r="P39" s="499"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7" t="str">
        <f>IF(N39="","",VLOOKUP(B39,'C-1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07" t="str">
        <f>IF(V39="","",IF(VLOOKUP(V39,'G-7 Rivers Data'!$AG$4:$AI$9,2,FALSE)=0,"Spatial Data Missing ⚠",VLOOKUP(V39,'G-7 Rivers Data'!$AG$4:$AI$9,2,FALSE)))</f>
        <v/>
      </c>
      <c r="X39" s="499" t="str">
        <f>IF(V39="","",IF(VLOOKUP(V39,'G-7 Rivers Data'!$AG$4:$AI$9,3,FALSE)=0,"Spatial Data Missing ⚠",VLOOKUP(V39,'G-7 Rivers Data'!$AG$4:$AI$9,3,FALSE)))</f>
        <v/>
      </c>
      <c r="Y39" s="498" t="str">
        <f>IFERROR(IF(OR(LEFT(P39,5)="Error ▲",LEFT(O39,5)="Error ▲"),"Check Data ⚠",IF(F39&lt;S39,'G-7 Rivers Data'!$R$3,INDEX('G-7 Rivers Data'!$U$5:$Y$9,MATCH(G39,'G-7 Rivers Data'!$T$5:$T$9,0),MATCH(T39,'G-7 Rivers Data'!$U$4:$Y$4,0)))),"")</f>
        <v/>
      </c>
      <c r="Z39" s="195"/>
      <c r="AA39" s="195"/>
      <c r="AB39" s="507" t="str">
        <f t="shared" si="2"/>
        <v/>
      </c>
      <c r="AC39" s="521" t="str">
        <f t="shared" si="3"/>
        <v/>
      </c>
      <c r="AD39" s="564" t="str">
        <f>IFERROR(IF(AC39="Check Data ⚠","Check Data ⚠",VLOOKUP(AC39,'G-4 Temporal multipliers'!$A$4:$C$37,3,FALSE)),"")</f>
        <v/>
      </c>
      <c r="AE39" s="498" t="str">
        <f>IF(N39="","",VLOOKUP(N39,'G-7 Rivers Data'!$B$4:$G$8,5,FALSE))</f>
        <v/>
      </c>
      <c r="AF39" s="507" t="str">
        <f t="shared" si="4"/>
        <v/>
      </c>
      <c r="AG39" s="540" t="str">
        <f t="shared" si="5"/>
        <v/>
      </c>
      <c r="AH39" s="499" t="str">
        <f t="shared" si="0"/>
        <v/>
      </c>
      <c r="AI39" s="145"/>
      <c r="AJ39" s="499" t="str">
        <f>IF(AI39="","",IF(VLOOKUP(AI39,'G-7 Rivers Data'!$AA$4:$AB$7,2,FALSE)=0,"Spatial Data Missing ⚠",VLOOKUP(AI39,'G-7 Rivers Data'!$AA$4:$AB$7,2,FALSE)))</f>
        <v/>
      </c>
      <c r="AK39" s="155"/>
      <c r="AL39" s="499" t="str">
        <f>IF(AK39="","",IF(VLOOKUP(AK39,'G-7 Rivers Data'!$AD$4:$AE$8,2,FALSE)=0,"Spatial Data Missing ⚠",VLOOKUP(AK39,'G-7 Rivers Data'!$AD$4:$AE$8,2,FALSE)))</f>
        <v/>
      </c>
      <c r="AM39" s="545" t="str">
        <f t="shared" si="7"/>
        <v/>
      </c>
      <c r="AN39" s="149"/>
      <c r="AO39" s="150"/>
      <c r="AV39" s="31" t="str">
        <f>IFERROR(INDEX('G-7 Rivers Data'!$AZ$3:$AZ$7,MATCH(N39,'G-7 Rivers Data'!$AY$3:$AY$7,0)),"")</f>
        <v/>
      </c>
    </row>
    <row r="40" spans="2:48" ht="13.8" x14ac:dyDescent="0.25">
      <c r="B40" s="531" t="str">
        <f>'C-1 Site River Baseline'!AN38</f>
        <v/>
      </c>
      <c r="C40" s="520" t="str">
        <f>IF(B40="","",VLOOKUP($B40,'C-1 Site River Baseline'!$C$9:$R$257,2,FALSE))</f>
        <v/>
      </c>
      <c r="D40" s="520" t="str">
        <f>IF(C40="","",VLOOKUP($B40,'C-1 Site River Baseline'!$C$9:$R$257,3,FALSE))</f>
        <v/>
      </c>
      <c r="E40" s="520" t="str">
        <f>IF(D40="","",VLOOKUP($B40,'C-1 Site River Baseline'!$C$9:$R$257,4,FALSE))</f>
        <v/>
      </c>
      <c r="F40" s="520" t="str">
        <f>IF(E40="","",VLOOKUP($B40,'C-1 Site River Baseline'!$C$9:$R$257,5,FALSE))</f>
        <v/>
      </c>
      <c r="G40" s="520" t="str">
        <f>IF(F40="","",VLOOKUP($B40,'C-1 Site River Baseline'!$C$9:$R$257,6,FALSE))</f>
        <v/>
      </c>
      <c r="H40" s="520" t="str">
        <f>IF(G40="","",VLOOKUP($B40,'C-1 Site River Baseline'!$C$9:$R$257,7,FALSE))</f>
        <v/>
      </c>
      <c r="I40" s="520" t="str">
        <f>IF(H40="","",VLOOKUP($B40,'C-1 Site River Baseline'!$C$9:$R$257,8,FALSE))</f>
        <v/>
      </c>
      <c r="J40" s="520" t="str">
        <f>IF(I40="","",VLOOKUP($B40,'C-1 Site River Baseline'!$C$9:$R$257,9,FALSE))</f>
        <v/>
      </c>
      <c r="K40" s="520" t="str">
        <f>IF(J40="","",VLOOKUP($B40,'C-1 Site River Baseline'!$C$9:$R$257,10,FALSE))</f>
        <v/>
      </c>
      <c r="L40" s="520" t="str">
        <f>IF(B40="","",VLOOKUP($B40,'C-1 Site River Baseline'!$C$9:$R$257,15,FALSE))</f>
        <v/>
      </c>
      <c r="M40" s="524" t="str">
        <f>IF(L40="","",VLOOKUP($B40,'C-1 Site River Baseline'!$C$9:$R$257,16,FALSE))</f>
        <v/>
      </c>
      <c r="N40" s="418"/>
      <c r="O40" s="498" t="str">
        <f t="shared" si="1"/>
        <v/>
      </c>
      <c r="P40" s="499"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7" t="str">
        <f>IF(N40="","",VLOOKUP(B40,'C-1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07" t="str">
        <f>IF(V40="","",IF(VLOOKUP(V40,'G-7 Rivers Data'!$AG$4:$AI$9,2,FALSE)=0,"Spatial Data Missing ⚠",VLOOKUP(V40,'G-7 Rivers Data'!$AG$4:$AI$9,2,FALSE)))</f>
        <v/>
      </c>
      <c r="X40" s="499" t="str">
        <f>IF(V40="","",IF(VLOOKUP(V40,'G-7 Rivers Data'!$AG$4:$AI$9,3,FALSE)=0,"Spatial Data Missing ⚠",VLOOKUP(V40,'G-7 Rivers Data'!$AG$4:$AI$9,3,FALSE)))</f>
        <v/>
      </c>
      <c r="Y40" s="498" t="str">
        <f>IFERROR(IF(OR(LEFT(P40,5)="Error ▲",LEFT(O40,5)="Error ▲"),"Check Data ⚠",IF(F40&lt;S40,'G-7 Rivers Data'!$R$3,INDEX('G-7 Rivers Data'!$U$5:$Y$9,MATCH(G40,'G-7 Rivers Data'!$T$5:$T$9,0),MATCH(T40,'G-7 Rivers Data'!$U$4:$Y$4,0)))),"")</f>
        <v/>
      </c>
      <c r="Z40" s="195"/>
      <c r="AA40" s="195"/>
      <c r="AB40" s="507" t="str">
        <f t="shared" si="2"/>
        <v/>
      </c>
      <c r="AC40" s="521" t="str">
        <f t="shared" si="3"/>
        <v/>
      </c>
      <c r="AD40" s="564" t="str">
        <f>IFERROR(IF(AC40="Check Data ⚠","Check Data ⚠",VLOOKUP(AC40,'G-4 Temporal multipliers'!$A$4:$C$37,3,FALSE)),"")</f>
        <v/>
      </c>
      <c r="AE40" s="498" t="str">
        <f>IF(N40="","",VLOOKUP(N40,'G-7 Rivers Data'!$B$4:$G$8,5,FALSE))</f>
        <v/>
      </c>
      <c r="AF40" s="507" t="str">
        <f t="shared" si="4"/>
        <v/>
      </c>
      <c r="AG40" s="540" t="str">
        <f t="shared" si="5"/>
        <v/>
      </c>
      <c r="AH40" s="499" t="str">
        <f t="shared" si="0"/>
        <v/>
      </c>
      <c r="AI40" s="145"/>
      <c r="AJ40" s="499" t="str">
        <f>IF(AI40="","",IF(VLOOKUP(AI40,'G-7 Rivers Data'!$AA$4:$AB$7,2,FALSE)=0,"Spatial Data Missing ⚠",VLOOKUP(AI40,'G-7 Rivers Data'!$AA$4:$AB$7,2,FALSE)))</f>
        <v/>
      </c>
      <c r="AK40" s="155"/>
      <c r="AL40" s="499" t="str">
        <f>IF(AK40="","",IF(VLOOKUP(AK40,'G-7 Rivers Data'!$AD$4:$AE$8,2,FALSE)=0,"Spatial Data Missing ⚠",VLOOKUP(AK40,'G-7 Rivers Data'!$AD$4:$AE$8,2,FALSE)))</f>
        <v/>
      </c>
      <c r="AM40" s="545" t="str">
        <f t="shared" si="7"/>
        <v/>
      </c>
      <c r="AN40" s="149"/>
      <c r="AO40" s="150"/>
      <c r="AV40" s="31" t="str">
        <f>IFERROR(INDEX('G-7 Rivers Data'!$AZ$3:$AZ$7,MATCH(N40,'G-7 Rivers Data'!$AY$3:$AY$7,0)),"")</f>
        <v/>
      </c>
    </row>
    <row r="41" spans="2:48" ht="13.8" x14ac:dyDescent="0.25">
      <c r="B41" s="531" t="str">
        <f>'C-1 Site River Baseline'!AN39</f>
        <v/>
      </c>
      <c r="C41" s="520" t="str">
        <f>IF(B41="","",VLOOKUP($B41,'C-1 Site River Baseline'!$C$9:$R$257,2,FALSE))</f>
        <v/>
      </c>
      <c r="D41" s="520" t="str">
        <f>IF(C41="","",VLOOKUP($B41,'C-1 Site River Baseline'!$C$9:$R$257,3,FALSE))</f>
        <v/>
      </c>
      <c r="E41" s="520" t="str">
        <f>IF(D41="","",VLOOKUP($B41,'C-1 Site River Baseline'!$C$9:$R$257,4,FALSE))</f>
        <v/>
      </c>
      <c r="F41" s="520" t="str">
        <f>IF(E41="","",VLOOKUP($B41,'C-1 Site River Baseline'!$C$9:$R$257,5,FALSE))</f>
        <v/>
      </c>
      <c r="G41" s="520" t="str">
        <f>IF(F41="","",VLOOKUP($B41,'C-1 Site River Baseline'!$C$9:$R$257,6,FALSE))</f>
        <v/>
      </c>
      <c r="H41" s="520" t="str">
        <f>IF(G41="","",VLOOKUP($B41,'C-1 Site River Baseline'!$C$9:$R$257,7,FALSE))</f>
        <v/>
      </c>
      <c r="I41" s="520" t="str">
        <f>IF(H41="","",VLOOKUP($B41,'C-1 Site River Baseline'!$C$9:$R$257,8,FALSE))</f>
        <v/>
      </c>
      <c r="J41" s="520" t="str">
        <f>IF(I41="","",VLOOKUP($B41,'C-1 Site River Baseline'!$C$9:$R$257,9,FALSE))</f>
        <v/>
      </c>
      <c r="K41" s="520" t="str">
        <f>IF(J41="","",VLOOKUP($B41,'C-1 Site River Baseline'!$C$9:$R$257,10,FALSE))</f>
        <v/>
      </c>
      <c r="L41" s="520" t="str">
        <f>IF(B41="","",VLOOKUP($B41,'C-1 Site River Baseline'!$C$9:$R$257,15,FALSE))</f>
        <v/>
      </c>
      <c r="M41" s="524" t="str">
        <f>IF(L41="","",VLOOKUP($B41,'C-1 Site River Baseline'!$C$9:$R$257,16,FALSE))</f>
        <v/>
      </c>
      <c r="N41" s="418" t="str">
        <f t="shared" si="6"/>
        <v/>
      </c>
      <c r="O41" s="498" t="str">
        <f t="shared" si="1"/>
        <v/>
      </c>
      <c r="P41" s="499"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7" t="str">
        <f>IF(N41="","",VLOOKUP(B41,'C-1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07" t="str">
        <f>IF(V41="","",IF(VLOOKUP(V41,'G-7 Rivers Data'!$AG$4:$AI$9,2,FALSE)=0,"Spatial Data Missing ⚠",VLOOKUP(V41,'G-7 Rivers Data'!$AG$4:$AI$9,2,FALSE)))</f>
        <v/>
      </c>
      <c r="X41" s="499" t="str">
        <f>IF(V41="","",IF(VLOOKUP(V41,'G-7 Rivers Data'!$AG$4:$AI$9,3,FALSE)=0,"Spatial Data Missing ⚠",VLOOKUP(V41,'G-7 Rivers Data'!$AG$4:$AI$9,3,FALSE)))</f>
        <v/>
      </c>
      <c r="Y41" s="498" t="str">
        <f>IFERROR(IF(OR(LEFT(P41,5)="Error ▲",LEFT(O41,5)="Error ▲"),"Check Data ⚠",IF(F41&lt;S41,'G-7 Rivers Data'!$R$3,INDEX('G-7 Rivers Data'!$U$5:$Y$9,MATCH(G41,'G-7 Rivers Data'!$T$5:$T$9,0),MATCH(T41,'G-7 Rivers Data'!$U$4:$Y$4,0)))),"")</f>
        <v/>
      </c>
      <c r="Z41" s="195"/>
      <c r="AA41" s="195"/>
      <c r="AB41" s="507" t="str">
        <f t="shared" si="2"/>
        <v/>
      </c>
      <c r="AC41" s="521" t="str">
        <f t="shared" si="3"/>
        <v/>
      </c>
      <c r="AD41" s="564" t="str">
        <f>IFERROR(IF(AC41="Check Data ⚠","Check Data ⚠",VLOOKUP(AC41,'G-4 Temporal multipliers'!$A$4:$C$37,3,FALSE)),"")</f>
        <v/>
      </c>
      <c r="AE41" s="498" t="str">
        <f>IF(N41="","",VLOOKUP(N41,'G-7 Rivers Data'!$B$4:$G$8,5,FALSE))</f>
        <v/>
      </c>
      <c r="AF41" s="507" t="str">
        <f t="shared" si="4"/>
        <v/>
      </c>
      <c r="AG41" s="540" t="str">
        <f t="shared" si="5"/>
        <v/>
      </c>
      <c r="AH41" s="499" t="str">
        <f t="shared" si="0"/>
        <v/>
      </c>
      <c r="AI41" s="145"/>
      <c r="AJ41" s="499" t="str">
        <f>IF(AI41="","",IF(VLOOKUP(AI41,'G-7 Rivers Data'!$AA$4:$AB$7,2,FALSE)=0,"Spatial Data Missing ⚠",VLOOKUP(AI41,'G-7 Rivers Data'!$AA$4:$AB$7,2,FALSE)))</f>
        <v/>
      </c>
      <c r="AK41" s="155"/>
      <c r="AL41" s="499" t="str">
        <f>IF(AK41="","",IF(VLOOKUP(AK41,'G-7 Rivers Data'!$AD$4:$AE$8,2,FALSE)=0,"Spatial Data Missing ⚠",VLOOKUP(AK41,'G-7 Rivers Data'!$AD$4:$AE$8,2,FALSE)))</f>
        <v/>
      </c>
      <c r="AM41" s="545" t="str">
        <f t="shared" si="7"/>
        <v/>
      </c>
      <c r="AN41" s="149"/>
      <c r="AO41" s="150"/>
      <c r="AV41" s="31" t="str">
        <f>IFERROR(INDEX('G-7 Rivers Data'!$AZ$3:$AZ$7,MATCH(N41,'G-7 Rivers Data'!$AY$3:$AY$7,0)),"")</f>
        <v/>
      </c>
    </row>
    <row r="42" spans="2:48" ht="13.8" x14ac:dyDescent="0.25">
      <c r="B42" s="531" t="str">
        <f>'C-1 Site River Baseline'!AN40</f>
        <v/>
      </c>
      <c r="C42" s="520" t="str">
        <f>IF(B42="","",VLOOKUP($B42,'C-1 Site River Baseline'!$C$9:$R$257,2,FALSE))</f>
        <v/>
      </c>
      <c r="D42" s="520" t="str">
        <f>IF(C42="","",VLOOKUP($B42,'C-1 Site River Baseline'!$C$9:$R$257,3,FALSE))</f>
        <v/>
      </c>
      <c r="E42" s="520" t="str">
        <f>IF(D42="","",VLOOKUP($B42,'C-1 Site River Baseline'!$C$9:$R$257,4,FALSE))</f>
        <v/>
      </c>
      <c r="F42" s="520" t="str">
        <f>IF(E42="","",VLOOKUP($B42,'C-1 Site River Baseline'!$C$9:$R$257,5,FALSE))</f>
        <v/>
      </c>
      <c r="G42" s="520" t="str">
        <f>IF(F42="","",VLOOKUP($B42,'C-1 Site River Baseline'!$C$9:$R$257,6,FALSE))</f>
        <v/>
      </c>
      <c r="H42" s="520" t="str">
        <f>IF(G42="","",VLOOKUP($B42,'C-1 Site River Baseline'!$C$9:$R$257,7,FALSE))</f>
        <v/>
      </c>
      <c r="I42" s="520" t="str">
        <f>IF(H42="","",VLOOKUP($B42,'C-1 Site River Baseline'!$C$9:$R$257,8,FALSE))</f>
        <v/>
      </c>
      <c r="J42" s="520" t="str">
        <f>IF(I42="","",VLOOKUP($B42,'C-1 Site River Baseline'!$C$9:$R$257,9,FALSE))</f>
        <v/>
      </c>
      <c r="K42" s="520" t="str">
        <f>IF(J42="","",VLOOKUP($B42,'C-1 Site River Baseline'!$C$9:$R$257,10,FALSE))</f>
        <v/>
      </c>
      <c r="L42" s="520" t="str">
        <f>IF(B42="","",VLOOKUP($B42,'C-1 Site River Baseline'!$C$9:$R$257,15,FALSE))</f>
        <v/>
      </c>
      <c r="M42" s="524" t="str">
        <f>IF(L42="","",VLOOKUP($B42,'C-1 Site River Baseline'!$C$9:$R$257,16,FALSE))</f>
        <v/>
      </c>
      <c r="N42" s="418" t="str">
        <f t="shared" si="6"/>
        <v/>
      </c>
      <c r="O42" s="498" t="str">
        <f t="shared" si="1"/>
        <v/>
      </c>
      <c r="P42" s="499"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7" t="str">
        <f>IF(N42="","",VLOOKUP(B42,'C-1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07" t="str">
        <f>IF(V42="","",IF(VLOOKUP(V42,'G-7 Rivers Data'!$AG$4:$AI$9,2,FALSE)=0,"Spatial Data Missing ⚠",VLOOKUP(V42,'G-7 Rivers Data'!$AG$4:$AI$9,2,FALSE)))</f>
        <v/>
      </c>
      <c r="X42" s="499" t="str">
        <f>IF(V42="","",IF(VLOOKUP(V42,'G-7 Rivers Data'!$AG$4:$AI$9,3,FALSE)=0,"Spatial Data Missing ⚠",VLOOKUP(V42,'G-7 Rivers Data'!$AG$4:$AI$9,3,FALSE)))</f>
        <v/>
      </c>
      <c r="Y42" s="498" t="str">
        <f>IFERROR(IF(OR(LEFT(P42,5)="Error ▲",LEFT(O42,5)="Error ▲"),"Check Data ⚠",IF(F42&lt;S42,'G-7 Rivers Data'!$R$3,INDEX('G-7 Rivers Data'!$U$5:$Y$9,MATCH(G42,'G-7 Rivers Data'!$T$5:$T$9,0),MATCH(T42,'G-7 Rivers Data'!$U$4:$Y$4,0)))),"")</f>
        <v/>
      </c>
      <c r="Z42" s="195"/>
      <c r="AA42" s="195"/>
      <c r="AB42" s="507" t="str">
        <f t="shared" si="2"/>
        <v/>
      </c>
      <c r="AC42" s="521" t="str">
        <f t="shared" si="3"/>
        <v/>
      </c>
      <c r="AD42" s="564" t="str">
        <f>IFERROR(IF(AC42="Check Data ⚠","Check Data ⚠",VLOOKUP(AC42,'G-4 Temporal multipliers'!$A$4:$C$37,3,FALSE)),"")</f>
        <v/>
      </c>
      <c r="AE42" s="498" t="str">
        <f>IF(N42="","",VLOOKUP(N42,'G-7 Rivers Data'!$B$4:$G$8,5,FALSE))</f>
        <v/>
      </c>
      <c r="AF42" s="507" t="str">
        <f t="shared" si="4"/>
        <v/>
      </c>
      <c r="AG42" s="540" t="str">
        <f t="shared" si="5"/>
        <v/>
      </c>
      <c r="AH42" s="499" t="str">
        <f t="shared" si="0"/>
        <v/>
      </c>
      <c r="AI42" s="145"/>
      <c r="AJ42" s="499" t="str">
        <f>IF(AI42="","",IF(VLOOKUP(AI42,'G-7 Rivers Data'!$AA$4:$AB$7,2,FALSE)=0,"Spatial Data Missing ⚠",VLOOKUP(AI42,'G-7 Rivers Data'!$AA$4:$AB$7,2,FALSE)))</f>
        <v/>
      </c>
      <c r="AK42" s="155"/>
      <c r="AL42" s="499" t="str">
        <f>IF(AK42="","",IF(VLOOKUP(AK42,'G-7 Rivers Data'!$AD$4:$AE$8,2,FALSE)=0,"Spatial Data Missing ⚠",VLOOKUP(AK42,'G-7 Rivers Data'!$AD$4:$AE$8,2,FALSE)))</f>
        <v/>
      </c>
      <c r="AM42" s="545" t="str">
        <f t="shared" si="7"/>
        <v/>
      </c>
      <c r="AN42" s="149"/>
      <c r="AO42" s="150"/>
      <c r="AV42" s="31" t="str">
        <f>IFERROR(INDEX('G-7 Rivers Data'!$AZ$3:$AZ$7,MATCH(N42,'G-7 Rivers Data'!$AY$3:$AY$7,0)),"")</f>
        <v/>
      </c>
    </row>
    <row r="43" spans="2:48" ht="13.8" x14ac:dyDescent="0.25">
      <c r="B43" s="531" t="str">
        <f>'C-1 Site River Baseline'!AN41</f>
        <v/>
      </c>
      <c r="C43" s="520" t="str">
        <f>IF(B43="","",VLOOKUP($B43,'C-1 Site River Baseline'!$C$9:$R$257,2,FALSE))</f>
        <v/>
      </c>
      <c r="D43" s="520" t="str">
        <f>IF(C43="","",VLOOKUP($B43,'C-1 Site River Baseline'!$C$9:$R$257,3,FALSE))</f>
        <v/>
      </c>
      <c r="E43" s="520" t="str">
        <f>IF(D43="","",VLOOKUP($B43,'C-1 Site River Baseline'!$C$9:$R$257,4,FALSE))</f>
        <v/>
      </c>
      <c r="F43" s="520" t="str">
        <f>IF(E43="","",VLOOKUP($B43,'C-1 Site River Baseline'!$C$9:$R$257,5,FALSE))</f>
        <v/>
      </c>
      <c r="G43" s="520" t="str">
        <f>IF(F43="","",VLOOKUP($B43,'C-1 Site River Baseline'!$C$9:$R$257,6,FALSE))</f>
        <v/>
      </c>
      <c r="H43" s="520" t="str">
        <f>IF(G43="","",VLOOKUP($B43,'C-1 Site River Baseline'!$C$9:$R$257,7,FALSE))</f>
        <v/>
      </c>
      <c r="I43" s="520" t="str">
        <f>IF(H43="","",VLOOKUP($B43,'C-1 Site River Baseline'!$C$9:$R$257,8,FALSE))</f>
        <v/>
      </c>
      <c r="J43" s="520" t="str">
        <f>IF(I43="","",VLOOKUP($B43,'C-1 Site River Baseline'!$C$9:$R$257,9,FALSE))</f>
        <v/>
      </c>
      <c r="K43" s="520" t="str">
        <f>IF(J43="","",VLOOKUP($B43,'C-1 Site River Baseline'!$C$9:$R$257,10,FALSE))</f>
        <v/>
      </c>
      <c r="L43" s="520" t="str">
        <f>IF(B43="","",VLOOKUP($B43,'C-1 Site River Baseline'!$C$9:$R$257,15,FALSE))</f>
        <v/>
      </c>
      <c r="M43" s="524" t="str">
        <f>IF(L43="","",VLOOKUP($B43,'C-1 Site River Baseline'!$C$9:$R$257,16,FALSE))</f>
        <v/>
      </c>
      <c r="N43" s="418" t="str">
        <f t="shared" si="6"/>
        <v/>
      </c>
      <c r="O43" s="498" t="str">
        <f t="shared" si="1"/>
        <v/>
      </c>
      <c r="P43" s="499"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7" t="str">
        <f>IF(N43="","",VLOOKUP(B43,'C-1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07" t="str">
        <f>IF(V43="","",IF(VLOOKUP(V43,'G-7 Rivers Data'!$AG$4:$AI$9,2,FALSE)=0,"Spatial Data Missing ⚠",VLOOKUP(V43,'G-7 Rivers Data'!$AG$4:$AI$9,2,FALSE)))</f>
        <v/>
      </c>
      <c r="X43" s="499" t="str">
        <f>IF(V43="","",IF(VLOOKUP(V43,'G-7 Rivers Data'!$AG$4:$AI$9,3,FALSE)=0,"Spatial Data Missing ⚠",VLOOKUP(V43,'G-7 Rivers Data'!$AG$4:$AI$9,3,FALSE)))</f>
        <v/>
      </c>
      <c r="Y43" s="498" t="str">
        <f>IFERROR(IF(OR(LEFT(P43,5)="Error ▲",LEFT(O43,5)="Error ▲"),"Check Data ⚠",IF(F43&lt;S43,'G-7 Rivers Data'!$R$3,INDEX('G-7 Rivers Data'!$U$5:$Y$9,MATCH(G43,'G-7 Rivers Data'!$T$5:$T$9,0),MATCH(T43,'G-7 Rivers Data'!$U$4:$Y$4,0)))),"")</f>
        <v/>
      </c>
      <c r="Z43" s="195"/>
      <c r="AA43" s="195"/>
      <c r="AB43" s="507" t="str">
        <f t="shared" si="2"/>
        <v/>
      </c>
      <c r="AC43" s="521" t="str">
        <f t="shared" si="3"/>
        <v/>
      </c>
      <c r="AD43" s="564" t="str">
        <f>IFERROR(IF(AC43="Check Data ⚠","Check Data ⚠",VLOOKUP(AC43,'G-4 Temporal multipliers'!$A$4:$C$37,3,FALSE)),"")</f>
        <v/>
      </c>
      <c r="AE43" s="498" t="str">
        <f>IF(N43="","",VLOOKUP(N43,'G-7 Rivers Data'!$B$4:$G$8,5,FALSE))</f>
        <v/>
      </c>
      <c r="AF43" s="507" t="str">
        <f t="shared" si="4"/>
        <v/>
      </c>
      <c r="AG43" s="540" t="str">
        <f t="shared" si="5"/>
        <v/>
      </c>
      <c r="AH43" s="499" t="str">
        <f t="shared" si="0"/>
        <v/>
      </c>
      <c r="AI43" s="145"/>
      <c r="AJ43" s="499" t="str">
        <f>IF(AI43="","",IF(VLOOKUP(AI43,'G-7 Rivers Data'!$AA$4:$AB$7,2,FALSE)=0,"Spatial Data Missing ⚠",VLOOKUP(AI43,'G-7 Rivers Data'!$AA$4:$AB$7,2,FALSE)))</f>
        <v/>
      </c>
      <c r="AK43" s="155"/>
      <c r="AL43" s="499" t="str">
        <f>IF(AK43="","",IF(VLOOKUP(AK43,'G-7 Rivers Data'!$AD$4:$AE$8,2,FALSE)=0,"Spatial Data Missing ⚠",VLOOKUP(AK43,'G-7 Rivers Data'!$AD$4:$AE$8,2,FALSE)))</f>
        <v/>
      </c>
      <c r="AM43" s="545" t="str">
        <f t="shared" si="7"/>
        <v/>
      </c>
      <c r="AN43" s="149"/>
      <c r="AO43" s="150"/>
      <c r="AV43" s="31" t="str">
        <f>IFERROR(INDEX('G-7 Rivers Data'!$AZ$3:$AZ$7,MATCH(N43,'G-7 Rivers Data'!$AY$3:$AY$7,0)),"")</f>
        <v/>
      </c>
    </row>
    <row r="44" spans="2:48" ht="13.8" x14ac:dyDescent="0.25">
      <c r="B44" s="531" t="str">
        <f>'C-1 Site River Baseline'!AN42</f>
        <v/>
      </c>
      <c r="C44" s="520" t="str">
        <f>IF(B44="","",VLOOKUP($B44,'C-1 Site River Baseline'!$C$9:$R$257,2,FALSE))</f>
        <v/>
      </c>
      <c r="D44" s="520" t="str">
        <f>IF(C44="","",VLOOKUP($B44,'C-1 Site River Baseline'!$C$9:$R$257,3,FALSE))</f>
        <v/>
      </c>
      <c r="E44" s="520" t="str">
        <f>IF(D44="","",VLOOKUP($B44,'C-1 Site River Baseline'!$C$9:$R$257,4,FALSE))</f>
        <v/>
      </c>
      <c r="F44" s="520" t="str">
        <f>IF(E44="","",VLOOKUP($B44,'C-1 Site River Baseline'!$C$9:$R$257,5,FALSE))</f>
        <v/>
      </c>
      <c r="G44" s="520" t="str">
        <f>IF(F44="","",VLOOKUP($B44,'C-1 Site River Baseline'!$C$9:$R$257,6,FALSE))</f>
        <v/>
      </c>
      <c r="H44" s="520" t="str">
        <f>IF(G44="","",VLOOKUP($B44,'C-1 Site River Baseline'!$C$9:$R$257,7,FALSE))</f>
        <v/>
      </c>
      <c r="I44" s="520" t="str">
        <f>IF(H44="","",VLOOKUP($B44,'C-1 Site River Baseline'!$C$9:$R$257,8,FALSE))</f>
        <v/>
      </c>
      <c r="J44" s="520" t="str">
        <f>IF(I44="","",VLOOKUP($B44,'C-1 Site River Baseline'!$C$9:$R$257,9,FALSE))</f>
        <v/>
      </c>
      <c r="K44" s="520" t="str">
        <f>IF(J44="","",VLOOKUP($B44,'C-1 Site River Baseline'!$C$9:$R$257,10,FALSE))</f>
        <v/>
      </c>
      <c r="L44" s="520" t="str">
        <f>IF(B44="","",VLOOKUP($B44,'C-1 Site River Baseline'!$C$9:$R$257,15,FALSE))</f>
        <v/>
      </c>
      <c r="M44" s="524" t="str">
        <f>IF(L44="","",VLOOKUP($B44,'C-1 Site River Baseline'!$C$9:$R$257,16,FALSE))</f>
        <v/>
      </c>
      <c r="N44" s="418" t="str">
        <f t="shared" si="6"/>
        <v/>
      </c>
      <c r="O44" s="498" t="str">
        <f t="shared" si="1"/>
        <v/>
      </c>
      <c r="P44" s="499"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7" t="str">
        <f>IF(N44="","",VLOOKUP(B44,'C-1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07" t="str">
        <f>IF(V44="","",IF(VLOOKUP(V44,'G-7 Rivers Data'!$AG$4:$AI$9,2,FALSE)=0,"Spatial Data Missing ⚠",VLOOKUP(V44,'G-7 Rivers Data'!$AG$4:$AI$9,2,FALSE)))</f>
        <v/>
      </c>
      <c r="X44" s="499" t="str">
        <f>IF(V44="","",IF(VLOOKUP(V44,'G-7 Rivers Data'!$AG$4:$AI$9,3,FALSE)=0,"Spatial Data Missing ⚠",VLOOKUP(V44,'G-7 Rivers Data'!$AG$4:$AI$9,3,FALSE)))</f>
        <v/>
      </c>
      <c r="Y44" s="498" t="str">
        <f>IFERROR(IF(OR(LEFT(P44,5)="Error ▲",LEFT(O44,5)="Error ▲"),"Check Data ⚠",IF(F44&lt;S44,'G-7 Rivers Data'!$R$3,INDEX('G-7 Rivers Data'!$U$5:$Y$9,MATCH(G44,'G-7 Rivers Data'!$T$5:$T$9,0),MATCH(T44,'G-7 Rivers Data'!$U$4:$Y$4,0)))),"")</f>
        <v/>
      </c>
      <c r="Z44" s="195"/>
      <c r="AA44" s="195"/>
      <c r="AB44" s="507" t="str">
        <f t="shared" si="2"/>
        <v/>
      </c>
      <c r="AC44" s="521" t="str">
        <f t="shared" si="3"/>
        <v/>
      </c>
      <c r="AD44" s="564" t="str">
        <f>IFERROR(IF(AC44="Check Data ⚠","Check Data ⚠",VLOOKUP(AC44,'G-4 Temporal multipliers'!$A$4:$C$37,3,FALSE)),"")</f>
        <v/>
      </c>
      <c r="AE44" s="498" t="str">
        <f>IF(N44="","",VLOOKUP(N44,'G-7 Rivers Data'!$B$4:$G$8,5,FALSE))</f>
        <v/>
      </c>
      <c r="AF44" s="507" t="str">
        <f t="shared" si="4"/>
        <v/>
      </c>
      <c r="AG44" s="540" t="str">
        <f t="shared" si="5"/>
        <v/>
      </c>
      <c r="AH44" s="499" t="str">
        <f t="shared" si="0"/>
        <v/>
      </c>
      <c r="AI44" s="145"/>
      <c r="AJ44" s="499" t="str">
        <f>IF(AI44="","",IF(VLOOKUP(AI44,'G-7 Rivers Data'!$AA$4:$AB$7,2,FALSE)=0,"Spatial Data Missing ⚠",VLOOKUP(AI44,'G-7 Rivers Data'!$AA$4:$AB$7,2,FALSE)))</f>
        <v/>
      </c>
      <c r="AK44" s="155"/>
      <c r="AL44" s="499" t="str">
        <f>IF(AK44="","",IF(VLOOKUP(AK44,'G-7 Rivers Data'!$AD$4:$AE$8,2,FALSE)=0,"Spatial Data Missing ⚠",VLOOKUP(AK44,'G-7 Rivers Data'!$AD$4:$AE$8,2,FALSE)))</f>
        <v/>
      </c>
      <c r="AM44" s="545" t="str">
        <f t="shared" si="7"/>
        <v/>
      </c>
      <c r="AN44" s="149"/>
      <c r="AO44" s="150"/>
      <c r="AV44" s="31" t="str">
        <f>IFERROR(INDEX('G-7 Rivers Data'!$AZ$3:$AZ$7,MATCH(N44,'G-7 Rivers Data'!$AY$3:$AY$7,0)),"")</f>
        <v/>
      </c>
    </row>
    <row r="45" spans="2:48" ht="13.8" x14ac:dyDescent="0.25">
      <c r="B45" s="531" t="str">
        <f>'C-1 Site River Baseline'!AN43</f>
        <v/>
      </c>
      <c r="C45" s="520" t="str">
        <f>IF(B45="","",VLOOKUP($B45,'C-1 Site River Baseline'!$C$9:$R$257,2,FALSE))</f>
        <v/>
      </c>
      <c r="D45" s="520" t="str">
        <f>IF(C45="","",VLOOKUP($B45,'C-1 Site River Baseline'!$C$9:$R$257,3,FALSE))</f>
        <v/>
      </c>
      <c r="E45" s="520" t="str">
        <f>IF(D45="","",VLOOKUP($B45,'C-1 Site River Baseline'!$C$9:$R$257,4,FALSE))</f>
        <v/>
      </c>
      <c r="F45" s="520" t="str">
        <f>IF(E45="","",VLOOKUP($B45,'C-1 Site River Baseline'!$C$9:$R$257,5,FALSE))</f>
        <v/>
      </c>
      <c r="G45" s="520" t="str">
        <f>IF(F45="","",VLOOKUP($B45,'C-1 Site River Baseline'!$C$9:$R$257,6,FALSE))</f>
        <v/>
      </c>
      <c r="H45" s="520" t="str">
        <f>IF(G45="","",VLOOKUP($B45,'C-1 Site River Baseline'!$C$9:$R$257,7,FALSE))</f>
        <v/>
      </c>
      <c r="I45" s="520" t="str">
        <f>IF(H45="","",VLOOKUP($B45,'C-1 Site River Baseline'!$C$9:$R$257,8,FALSE))</f>
        <v/>
      </c>
      <c r="J45" s="520" t="str">
        <f>IF(I45="","",VLOOKUP($B45,'C-1 Site River Baseline'!$C$9:$R$257,9,FALSE))</f>
        <v/>
      </c>
      <c r="K45" s="520" t="str">
        <f>IF(J45="","",VLOOKUP($B45,'C-1 Site River Baseline'!$C$9:$R$257,10,FALSE))</f>
        <v/>
      </c>
      <c r="L45" s="520" t="str">
        <f>IF(B45="","",VLOOKUP($B45,'C-1 Site River Baseline'!$C$9:$R$257,15,FALSE))</f>
        <v/>
      </c>
      <c r="M45" s="524" t="str">
        <f>IF(L45="","",VLOOKUP($B45,'C-1 Site River Baseline'!$C$9:$R$257,16,FALSE))</f>
        <v/>
      </c>
      <c r="N45" s="418" t="str">
        <f t="shared" si="6"/>
        <v/>
      </c>
      <c r="O45" s="498" t="str">
        <f t="shared" si="1"/>
        <v/>
      </c>
      <c r="P45" s="499"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7" t="str">
        <f>IF(N45="","",VLOOKUP(B45,'C-1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07" t="str">
        <f>IF(V45="","",IF(VLOOKUP(V45,'G-7 Rivers Data'!$AG$4:$AI$9,2,FALSE)=0,"Spatial Data Missing ⚠",VLOOKUP(V45,'G-7 Rivers Data'!$AG$4:$AI$9,2,FALSE)))</f>
        <v/>
      </c>
      <c r="X45" s="499" t="str">
        <f>IF(V45="","",IF(VLOOKUP(V45,'G-7 Rivers Data'!$AG$4:$AI$9,3,FALSE)=0,"Spatial Data Missing ⚠",VLOOKUP(V45,'G-7 Rivers Data'!$AG$4:$AI$9,3,FALSE)))</f>
        <v/>
      </c>
      <c r="Y45" s="498" t="str">
        <f>IFERROR(IF(OR(LEFT(P45,5)="Error ▲",LEFT(O45,5)="Error ▲"),"Check Data ⚠",IF(F45&lt;S45,'G-7 Rivers Data'!$R$3,INDEX('G-7 Rivers Data'!$U$5:$Y$9,MATCH(G45,'G-7 Rivers Data'!$T$5:$T$9,0),MATCH(T45,'G-7 Rivers Data'!$U$4:$Y$4,0)))),"")</f>
        <v/>
      </c>
      <c r="Z45" s="195"/>
      <c r="AA45" s="195"/>
      <c r="AB45" s="507" t="str">
        <f t="shared" si="2"/>
        <v/>
      </c>
      <c r="AC45" s="521" t="str">
        <f t="shared" si="3"/>
        <v/>
      </c>
      <c r="AD45" s="564" t="str">
        <f>IFERROR(IF(AC45="Check Data ⚠","Check Data ⚠",VLOOKUP(AC45,'G-4 Temporal multipliers'!$A$4:$C$37,3,FALSE)),"")</f>
        <v/>
      </c>
      <c r="AE45" s="498" t="str">
        <f>IF(N45="","",VLOOKUP(N45,'G-7 Rivers Data'!$B$4:$G$8,5,FALSE))</f>
        <v/>
      </c>
      <c r="AF45" s="507" t="str">
        <f t="shared" si="4"/>
        <v/>
      </c>
      <c r="AG45" s="540" t="str">
        <f t="shared" si="5"/>
        <v/>
      </c>
      <c r="AH45" s="499" t="str">
        <f t="shared" si="0"/>
        <v/>
      </c>
      <c r="AI45" s="145"/>
      <c r="AJ45" s="499" t="str">
        <f>IF(AI45="","",IF(VLOOKUP(AI45,'G-7 Rivers Data'!$AA$4:$AB$7,2,FALSE)=0,"Spatial Data Missing ⚠",VLOOKUP(AI45,'G-7 Rivers Data'!$AA$4:$AB$7,2,FALSE)))</f>
        <v/>
      </c>
      <c r="AK45" s="155"/>
      <c r="AL45" s="499" t="str">
        <f>IF(AK45="","",IF(VLOOKUP(AK45,'G-7 Rivers Data'!$AD$4:$AE$8,2,FALSE)=0,"Spatial Data Missing ⚠",VLOOKUP(AK45,'G-7 Rivers Data'!$AD$4:$AE$8,2,FALSE)))</f>
        <v/>
      </c>
      <c r="AM45" s="545" t="str">
        <f t="shared" si="7"/>
        <v/>
      </c>
      <c r="AN45" s="149"/>
      <c r="AO45" s="150"/>
      <c r="AV45" s="31" t="str">
        <f>IFERROR(INDEX('G-7 Rivers Data'!$AZ$3:$AZ$7,MATCH(N45,'G-7 Rivers Data'!$AY$3:$AY$7,0)),"")</f>
        <v/>
      </c>
    </row>
    <row r="46" spans="2:48" ht="13.8" x14ac:dyDescent="0.25">
      <c r="B46" s="531" t="str">
        <f>'C-1 Site River Baseline'!AN44</f>
        <v/>
      </c>
      <c r="C46" s="520" t="str">
        <f>IF(B46="","",VLOOKUP($B46,'C-1 Site River Baseline'!$C$9:$R$257,2,FALSE))</f>
        <v/>
      </c>
      <c r="D46" s="520" t="str">
        <f>IF(C46="","",VLOOKUP($B46,'C-1 Site River Baseline'!$C$9:$R$257,3,FALSE))</f>
        <v/>
      </c>
      <c r="E46" s="520" t="str">
        <f>IF(D46="","",VLOOKUP($B46,'C-1 Site River Baseline'!$C$9:$R$257,4,FALSE))</f>
        <v/>
      </c>
      <c r="F46" s="520" t="str">
        <f>IF(E46="","",VLOOKUP($B46,'C-1 Site River Baseline'!$C$9:$R$257,5,FALSE))</f>
        <v/>
      </c>
      <c r="G46" s="520" t="str">
        <f>IF(F46="","",VLOOKUP($B46,'C-1 Site River Baseline'!$C$9:$R$257,6,FALSE))</f>
        <v/>
      </c>
      <c r="H46" s="520" t="str">
        <f>IF(G46="","",VLOOKUP($B46,'C-1 Site River Baseline'!$C$9:$R$257,7,FALSE))</f>
        <v/>
      </c>
      <c r="I46" s="520" t="str">
        <f>IF(H46="","",VLOOKUP($B46,'C-1 Site River Baseline'!$C$9:$R$257,8,FALSE))</f>
        <v/>
      </c>
      <c r="J46" s="520" t="str">
        <f>IF(I46="","",VLOOKUP($B46,'C-1 Site River Baseline'!$C$9:$R$257,9,FALSE))</f>
        <v/>
      </c>
      <c r="K46" s="520" t="str">
        <f>IF(J46="","",VLOOKUP($B46,'C-1 Site River Baseline'!$C$9:$R$257,10,FALSE))</f>
        <v/>
      </c>
      <c r="L46" s="520" t="str">
        <f>IF(B46="","",VLOOKUP($B46,'C-1 Site River Baseline'!$C$9:$R$257,15,FALSE))</f>
        <v/>
      </c>
      <c r="M46" s="524" t="str">
        <f>IF(L46="","",VLOOKUP($B46,'C-1 Site River Baseline'!$C$9:$R$257,16,FALSE))</f>
        <v/>
      </c>
      <c r="N46" s="418" t="str">
        <f t="shared" si="6"/>
        <v/>
      </c>
      <c r="O46" s="498" t="str">
        <f t="shared" si="1"/>
        <v/>
      </c>
      <c r="P46" s="499"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7" t="str">
        <f>IF(N46="","",VLOOKUP(B46,'C-1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07" t="str">
        <f>IF(V46="","",IF(VLOOKUP(V46,'G-7 Rivers Data'!$AG$4:$AI$9,2,FALSE)=0,"Spatial Data Missing ⚠",VLOOKUP(V46,'G-7 Rivers Data'!$AG$4:$AI$9,2,FALSE)))</f>
        <v/>
      </c>
      <c r="X46" s="499" t="str">
        <f>IF(V46="","",IF(VLOOKUP(V46,'G-7 Rivers Data'!$AG$4:$AI$9,3,FALSE)=0,"Spatial Data Missing ⚠",VLOOKUP(V46,'G-7 Rivers Data'!$AG$4:$AI$9,3,FALSE)))</f>
        <v/>
      </c>
      <c r="Y46" s="498" t="str">
        <f>IFERROR(IF(OR(LEFT(P46,5)="Error ▲",LEFT(O46,5)="Error ▲"),"Check Data ⚠",IF(F46&lt;S46,'G-7 Rivers Data'!$R$3,INDEX('G-7 Rivers Data'!$U$5:$Y$9,MATCH(G46,'G-7 Rivers Data'!$T$5:$T$9,0),MATCH(T46,'G-7 Rivers Data'!$U$4:$Y$4,0)))),"")</f>
        <v/>
      </c>
      <c r="Z46" s="195"/>
      <c r="AA46" s="195"/>
      <c r="AB46" s="507" t="str">
        <f t="shared" si="2"/>
        <v/>
      </c>
      <c r="AC46" s="521" t="str">
        <f t="shared" si="3"/>
        <v/>
      </c>
      <c r="AD46" s="564" t="str">
        <f>IFERROR(IF(AC46="Check Data ⚠","Check Data ⚠",VLOOKUP(AC46,'G-4 Temporal multipliers'!$A$4:$C$37,3,FALSE)),"")</f>
        <v/>
      </c>
      <c r="AE46" s="498" t="str">
        <f>IF(N46="","",VLOOKUP(N46,'G-7 Rivers Data'!$B$4:$G$8,5,FALSE))</f>
        <v/>
      </c>
      <c r="AF46" s="507" t="str">
        <f t="shared" si="4"/>
        <v/>
      </c>
      <c r="AG46" s="540" t="str">
        <f t="shared" si="5"/>
        <v/>
      </c>
      <c r="AH46" s="499" t="str">
        <f t="shared" si="0"/>
        <v/>
      </c>
      <c r="AI46" s="145"/>
      <c r="AJ46" s="499" t="str">
        <f>IF(AI46="","",IF(VLOOKUP(AI46,'G-7 Rivers Data'!$AA$4:$AB$7,2,FALSE)=0,"Spatial Data Missing ⚠",VLOOKUP(AI46,'G-7 Rivers Data'!$AA$4:$AB$7,2,FALSE)))</f>
        <v/>
      </c>
      <c r="AK46" s="155"/>
      <c r="AL46" s="499" t="str">
        <f>IF(AK46="","",IF(VLOOKUP(AK46,'G-7 Rivers Data'!$AD$4:$AE$8,2,FALSE)=0,"Spatial Data Missing ⚠",VLOOKUP(AK46,'G-7 Rivers Data'!$AD$4:$AE$8,2,FALSE)))</f>
        <v/>
      </c>
      <c r="AM46" s="545" t="str">
        <f t="shared" si="7"/>
        <v/>
      </c>
      <c r="AN46" s="149"/>
      <c r="AO46" s="150"/>
      <c r="AV46" s="31" t="str">
        <f>IFERROR(INDEX('G-7 Rivers Data'!$AZ$3:$AZ$7,MATCH(N46,'G-7 Rivers Data'!$AY$3:$AY$7,0)),"")</f>
        <v/>
      </c>
    </row>
    <row r="47" spans="2:48" ht="13.8" x14ac:dyDescent="0.25">
      <c r="B47" s="531" t="str">
        <f>'C-1 Site River Baseline'!AN45</f>
        <v/>
      </c>
      <c r="C47" s="520" t="str">
        <f>IF(B47="","",VLOOKUP($B47,'C-1 Site River Baseline'!$C$9:$R$257,2,FALSE))</f>
        <v/>
      </c>
      <c r="D47" s="520" t="str">
        <f>IF(C47="","",VLOOKUP($B47,'C-1 Site River Baseline'!$C$9:$R$257,3,FALSE))</f>
        <v/>
      </c>
      <c r="E47" s="520" t="str">
        <f>IF(D47="","",VLOOKUP($B47,'C-1 Site River Baseline'!$C$9:$R$257,4,FALSE))</f>
        <v/>
      </c>
      <c r="F47" s="520" t="str">
        <f>IF(E47="","",VLOOKUP($B47,'C-1 Site River Baseline'!$C$9:$R$257,5,FALSE))</f>
        <v/>
      </c>
      <c r="G47" s="520" t="str">
        <f>IF(F47="","",VLOOKUP($B47,'C-1 Site River Baseline'!$C$9:$R$257,6,FALSE))</f>
        <v/>
      </c>
      <c r="H47" s="520" t="str">
        <f>IF(G47="","",VLOOKUP($B47,'C-1 Site River Baseline'!$C$9:$R$257,7,FALSE))</f>
        <v/>
      </c>
      <c r="I47" s="520" t="str">
        <f>IF(H47="","",VLOOKUP($B47,'C-1 Site River Baseline'!$C$9:$R$257,8,FALSE))</f>
        <v/>
      </c>
      <c r="J47" s="520" t="str">
        <f>IF(I47="","",VLOOKUP($B47,'C-1 Site River Baseline'!$C$9:$R$257,9,FALSE))</f>
        <v/>
      </c>
      <c r="K47" s="520" t="str">
        <f>IF(J47="","",VLOOKUP($B47,'C-1 Site River Baseline'!$C$9:$R$257,10,FALSE))</f>
        <v/>
      </c>
      <c r="L47" s="520" t="str">
        <f>IF(B47="","",VLOOKUP($B47,'C-1 Site River Baseline'!$C$9:$R$257,15,FALSE))</f>
        <v/>
      </c>
      <c r="M47" s="524" t="str">
        <f>IF(L47="","",VLOOKUP($B47,'C-1 Site River Baseline'!$C$9:$R$257,16,FALSE))</f>
        <v/>
      </c>
      <c r="N47" s="418" t="str">
        <f t="shared" si="6"/>
        <v/>
      </c>
      <c r="O47" s="498" t="str">
        <f t="shared" si="1"/>
        <v/>
      </c>
      <c r="P47" s="499"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7" t="str">
        <f>IF(N47="","",VLOOKUP(B47,'C-1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07" t="str">
        <f>IF(V47="","",IF(VLOOKUP(V47,'G-7 Rivers Data'!$AG$4:$AI$9,2,FALSE)=0,"Spatial Data Missing ⚠",VLOOKUP(V47,'G-7 Rivers Data'!$AG$4:$AI$9,2,FALSE)))</f>
        <v/>
      </c>
      <c r="X47" s="499" t="str">
        <f>IF(V47="","",IF(VLOOKUP(V47,'G-7 Rivers Data'!$AG$4:$AI$9,3,FALSE)=0,"Spatial Data Missing ⚠",VLOOKUP(V47,'G-7 Rivers Data'!$AG$4:$AI$9,3,FALSE)))</f>
        <v/>
      </c>
      <c r="Y47" s="498" t="str">
        <f>IFERROR(IF(OR(LEFT(P47,5)="Error ▲",LEFT(O47,5)="Error ▲"),"Check Data ⚠",IF(F47&lt;S47,'G-7 Rivers Data'!$R$3,INDEX('G-7 Rivers Data'!$U$5:$Y$9,MATCH(G47,'G-7 Rivers Data'!$T$5:$T$9,0),MATCH(T47,'G-7 Rivers Data'!$U$4:$Y$4,0)))),"")</f>
        <v/>
      </c>
      <c r="Z47" s="195"/>
      <c r="AA47" s="195"/>
      <c r="AB47" s="507" t="str">
        <f t="shared" si="2"/>
        <v/>
      </c>
      <c r="AC47" s="521" t="str">
        <f t="shared" si="3"/>
        <v/>
      </c>
      <c r="AD47" s="564" t="str">
        <f>IFERROR(IF(AC47="Check Data ⚠","Check Data ⚠",VLOOKUP(AC47,'G-4 Temporal multipliers'!$A$4:$C$37,3,FALSE)),"")</f>
        <v/>
      </c>
      <c r="AE47" s="498" t="str">
        <f>IF(N47="","",VLOOKUP(N47,'G-7 Rivers Data'!$B$4:$G$8,5,FALSE))</f>
        <v/>
      </c>
      <c r="AF47" s="507" t="str">
        <f t="shared" si="4"/>
        <v/>
      </c>
      <c r="AG47" s="540" t="str">
        <f t="shared" si="5"/>
        <v/>
      </c>
      <c r="AH47" s="499" t="str">
        <f t="shared" si="0"/>
        <v/>
      </c>
      <c r="AI47" s="145"/>
      <c r="AJ47" s="499" t="str">
        <f>IF(AI47="","",IF(VLOOKUP(AI47,'G-7 Rivers Data'!$AA$4:$AB$7,2,FALSE)=0,"Spatial Data Missing ⚠",VLOOKUP(AI47,'G-7 Rivers Data'!$AA$4:$AB$7,2,FALSE)))</f>
        <v/>
      </c>
      <c r="AK47" s="155"/>
      <c r="AL47" s="499" t="str">
        <f>IF(AK47="","",IF(VLOOKUP(AK47,'G-7 Rivers Data'!$AD$4:$AE$8,2,FALSE)=0,"Spatial Data Missing ⚠",VLOOKUP(AK47,'G-7 Rivers Data'!$AD$4:$AE$8,2,FALSE)))</f>
        <v/>
      </c>
      <c r="AM47" s="545" t="str">
        <f t="shared" si="7"/>
        <v/>
      </c>
      <c r="AN47" s="149"/>
      <c r="AO47" s="150"/>
      <c r="AV47" s="31" t="str">
        <f>IFERROR(INDEX('G-7 Rivers Data'!$AZ$3:$AZ$7,MATCH(N47,'G-7 Rivers Data'!$AY$3:$AY$7,0)),"")</f>
        <v/>
      </c>
    </row>
    <row r="48" spans="2:48" ht="13.8" x14ac:dyDescent="0.25">
      <c r="B48" s="531" t="str">
        <f>'C-1 Site River Baseline'!AN46</f>
        <v/>
      </c>
      <c r="C48" s="520" t="str">
        <f>IF(B48="","",VLOOKUP($B48,'C-1 Site River Baseline'!$C$9:$R$257,2,FALSE))</f>
        <v/>
      </c>
      <c r="D48" s="520" t="str">
        <f>IF(C48="","",VLOOKUP($B48,'C-1 Site River Baseline'!$C$9:$R$257,3,FALSE))</f>
        <v/>
      </c>
      <c r="E48" s="520" t="str">
        <f>IF(D48="","",VLOOKUP($B48,'C-1 Site River Baseline'!$C$9:$R$257,4,FALSE))</f>
        <v/>
      </c>
      <c r="F48" s="520" t="str">
        <f>IF(E48="","",VLOOKUP($B48,'C-1 Site River Baseline'!$C$9:$R$257,5,FALSE))</f>
        <v/>
      </c>
      <c r="G48" s="520" t="str">
        <f>IF(F48="","",VLOOKUP($B48,'C-1 Site River Baseline'!$C$9:$R$257,6,FALSE))</f>
        <v/>
      </c>
      <c r="H48" s="520" t="str">
        <f>IF(G48="","",VLOOKUP($B48,'C-1 Site River Baseline'!$C$9:$R$257,7,FALSE))</f>
        <v/>
      </c>
      <c r="I48" s="520" t="str">
        <f>IF(H48="","",VLOOKUP($B48,'C-1 Site River Baseline'!$C$9:$R$257,8,FALSE))</f>
        <v/>
      </c>
      <c r="J48" s="520" t="str">
        <f>IF(I48="","",VLOOKUP($B48,'C-1 Site River Baseline'!$C$9:$R$257,9,FALSE))</f>
        <v/>
      </c>
      <c r="K48" s="520" t="str">
        <f>IF(J48="","",VLOOKUP($B48,'C-1 Site River Baseline'!$C$9:$R$257,10,FALSE))</f>
        <v/>
      </c>
      <c r="L48" s="520" t="str">
        <f>IF(B48="","",VLOOKUP($B48,'C-1 Site River Baseline'!$C$9:$R$257,15,FALSE))</f>
        <v/>
      </c>
      <c r="M48" s="524" t="str">
        <f>IF(L48="","",VLOOKUP($B48,'C-1 Site River Baseline'!$C$9:$R$257,16,FALSE))</f>
        <v/>
      </c>
      <c r="N48" s="418" t="str">
        <f t="shared" si="6"/>
        <v/>
      </c>
      <c r="O48" s="498" t="str">
        <f t="shared" si="1"/>
        <v/>
      </c>
      <c r="P48" s="499"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7" t="str">
        <f>IF(N48="","",VLOOKUP(B48,'C-1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07" t="str">
        <f>IF(V48="","",IF(VLOOKUP(V48,'G-7 Rivers Data'!$AG$4:$AI$9,2,FALSE)=0,"Spatial Data Missing ⚠",VLOOKUP(V48,'G-7 Rivers Data'!$AG$4:$AI$9,2,FALSE)))</f>
        <v/>
      </c>
      <c r="X48" s="499" t="str">
        <f>IF(V48="","",IF(VLOOKUP(V48,'G-7 Rivers Data'!$AG$4:$AI$9,3,FALSE)=0,"Spatial Data Missing ⚠",VLOOKUP(V48,'G-7 Rivers Data'!$AG$4:$AI$9,3,FALSE)))</f>
        <v/>
      </c>
      <c r="Y48" s="498" t="str">
        <f>IFERROR(IF(OR(LEFT(P48,5)="Error ▲",LEFT(O48,5)="Error ▲"),"Check Data ⚠",IF(F48&lt;S48,'G-7 Rivers Data'!$R$3,INDEX('G-7 Rivers Data'!$U$5:$Y$9,MATCH(G48,'G-7 Rivers Data'!$T$5:$T$9,0),MATCH(T48,'G-7 Rivers Data'!$U$4:$Y$4,0)))),"")</f>
        <v/>
      </c>
      <c r="Z48" s="195"/>
      <c r="AA48" s="195"/>
      <c r="AB48" s="507" t="str">
        <f t="shared" si="2"/>
        <v/>
      </c>
      <c r="AC48" s="521" t="str">
        <f t="shared" si="3"/>
        <v/>
      </c>
      <c r="AD48" s="564" t="str">
        <f>IFERROR(IF(AC48="Check Data ⚠","Check Data ⚠",VLOOKUP(AC48,'G-4 Temporal multipliers'!$A$4:$C$37,3,FALSE)),"")</f>
        <v/>
      </c>
      <c r="AE48" s="498" t="str">
        <f>IF(N48="","",VLOOKUP(N48,'G-7 Rivers Data'!$B$4:$G$8,5,FALSE))</f>
        <v/>
      </c>
      <c r="AF48" s="507" t="str">
        <f t="shared" si="4"/>
        <v/>
      </c>
      <c r="AG48" s="540" t="str">
        <f t="shared" si="5"/>
        <v/>
      </c>
      <c r="AH48" s="499" t="str">
        <f t="shared" si="0"/>
        <v/>
      </c>
      <c r="AI48" s="145"/>
      <c r="AJ48" s="499" t="str">
        <f>IF(AI48="","",IF(VLOOKUP(AI48,'G-7 Rivers Data'!$AA$4:$AB$7,2,FALSE)=0,"Spatial Data Missing ⚠",VLOOKUP(AI48,'G-7 Rivers Data'!$AA$4:$AB$7,2,FALSE)))</f>
        <v/>
      </c>
      <c r="AK48" s="155"/>
      <c r="AL48" s="499" t="str">
        <f>IF(AK48="","",IF(VLOOKUP(AK48,'G-7 Rivers Data'!$AD$4:$AE$8,2,FALSE)=0,"Spatial Data Missing ⚠",VLOOKUP(AK48,'G-7 Rivers Data'!$AD$4:$AE$8,2,FALSE)))</f>
        <v/>
      </c>
      <c r="AM48" s="545" t="str">
        <f t="shared" si="7"/>
        <v/>
      </c>
      <c r="AN48" s="149"/>
      <c r="AO48" s="150"/>
      <c r="AV48" s="31" t="str">
        <f>IFERROR(INDEX('G-7 Rivers Data'!$AZ$3:$AZ$7,MATCH(N48,'G-7 Rivers Data'!$AY$3:$AY$7,0)),"")</f>
        <v/>
      </c>
    </row>
    <row r="49" spans="2:48" ht="13.8" x14ac:dyDescent="0.25">
      <c r="B49" s="531" t="str">
        <f>'C-1 Site River Baseline'!AN47</f>
        <v/>
      </c>
      <c r="C49" s="520" t="str">
        <f>IF(B49="","",VLOOKUP($B49,'C-1 Site River Baseline'!$C$9:$R$257,2,FALSE))</f>
        <v/>
      </c>
      <c r="D49" s="520" t="str">
        <f>IF(C49="","",VLOOKUP($B49,'C-1 Site River Baseline'!$C$9:$R$257,3,FALSE))</f>
        <v/>
      </c>
      <c r="E49" s="520" t="str">
        <f>IF(D49="","",VLOOKUP($B49,'C-1 Site River Baseline'!$C$9:$R$257,4,FALSE))</f>
        <v/>
      </c>
      <c r="F49" s="520" t="str">
        <f>IF(E49="","",VLOOKUP($B49,'C-1 Site River Baseline'!$C$9:$R$257,5,FALSE))</f>
        <v/>
      </c>
      <c r="G49" s="520" t="str">
        <f>IF(F49="","",VLOOKUP($B49,'C-1 Site River Baseline'!$C$9:$R$257,6,FALSE))</f>
        <v/>
      </c>
      <c r="H49" s="520" t="str">
        <f>IF(G49="","",VLOOKUP($B49,'C-1 Site River Baseline'!$C$9:$R$257,7,FALSE))</f>
        <v/>
      </c>
      <c r="I49" s="520" t="str">
        <f>IF(H49="","",VLOOKUP($B49,'C-1 Site River Baseline'!$C$9:$R$257,8,FALSE))</f>
        <v/>
      </c>
      <c r="J49" s="520" t="str">
        <f>IF(I49="","",VLOOKUP($B49,'C-1 Site River Baseline'!$C$9:$R$257,9,FALSE))</f>
        <v/>
      </c>
      <c r="K49" s="520" t="str">
        <f>IF(J49="","",VLOOKUP($B49,'C-1 Site River Baseline'!$C$9:$R$257,10,FALSE))</f>
        <v/>
      </c>
      <c r="L49" s="520" t="str">
        <f>IF(B49="","",VLOOKUP($B49,'C-1 Site River Baseline'!$C$9:$R$257,15,FALSE))</f>
        <v/>
      </c>
      <c r="M49" s="524" t="str">
        <f>IF(L49="","",VLOOKUP($B49,'C-1 Site River Baseline'!$C$9:$R$257,16,FALSE))</f>
        <v/>
      </c>
      <c r="N49" s="418" t="str">
        <f t="shared" si="6"/>
        <v/>
      </c>
      <c r="O49" s="498" t="str">
        <f t="shared" si="1"/>
        <v/>
      </c>
      <c r="P49" s="499"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7" t="str">
        <f>IF(N49="","",VLOOKUP(B49,'C-1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07" t="str">
        <f>IF(V49="","",IF(VLOOKUP(V49,'G-7 Rivers Data'!$AG$4:$AI$9,2,FALSE)=0,"Spatial Data Missing ⚠",VLOOKUP(V49,'G-7 Rivers Data'!$AG$4:$AI$9,2,FALSE)))</f>
        <v/>
      </c>
      <c r="X49" s="499" t="str">
        <f>IF(V49="","",IF(VLOOKUP(V49,'G-7 Rivers Data'!$AG$4:$AI$9,3,FALSE)=0,"Spatial Data Missing ⚠",VLOOKUP(V49,'G-7 Rivers Data'!$AG$4:$AI$9,3,FALSE)))</f>
        <v/>
      </c>
      <c r="Y49" s="498" t="str">
        <f>IFERROR(IF(OR(LEFT(P49,5)="Error ▲",LEFT(O49,5)="Error ▲"),"Check Data ⚠",IF(F49&lt;S49,'G-7 Rivers Data'!$R$3,INDEX('G-7 Rivers Data'!$U$5:$Y$9,MATCH(G49,'G-7 Rivers Data'!$T$5:$T$9,0),MATCH(T49,'G-7 Rivers Data'!$U$4:$Y$4,0)))),"")</f>
        <v/>
      </c>
      <c r="Z49" s="195"/>
      <c r="AA49" s="195"/>
      <c r="AB49" s="507" t="str">
        <f t="shared" si="2"/>
        <v/>
      </c>
      <c r="AC49" s="521" t="str">
        <f t="shared" si="3"/>
        <v/>
      </c>
      <c r="AD49" s="564" t="str">
        <f>IFERROR(IF(AC49="Check Data ⚠","Check Data ⚠",VLOOKUP(AC49,'G-4 Temporal multipliers'!$A$4:$C$37,3,FALSE)),"")</f>
        <v/>
      </c>
      <c r="AE49" s="498" t="str">
        <f>IF(N49="","",VLOOKUP(N49,'G-7 Rivers Data'!$B$4:$G$8,5,FALSE))</f>
        <v/>
      </c>
      <c r="AF49" s="507" t="str">
        <f t="shared" si="4"/>
        <v/>
      </c>
      <c r="AG49" s="540" t="str">
        <f t="shared" si="5"/>
        <v/>
      </c>
      <c r="AH49" s="499" t="str">
        <f t="shared" si="0"/>
        <v/>
      </c>
      <c r="AI49" s="145"/>
      <c r="AJ49" s="499" t="str">
        <f>IF(AI49="","",IF(VLOOKUP(AI49,'G-7 Rivers Data'!$AA$4:$AB$7,2,FALSE)=0,"Spatial Data Missing ⚠",VLOOKUP(AI49,'G-7 Rivers Data'!$AA$4:$AB$7,2,FALSE)))</f>
        <v/>
      </c>
      <c r="AK49" s="155"/>
      <c r="AL49" s="499" t="str">
        <f>IF(AK49="","",IF(VLOOKUP(AK49,'G-7 Rivers Data'!$AD$4:$AE$8,2,FALSE)=0,"Spatial Data Missing ⚠",VLOOKUP(AK49,'G-7 Rivers Data'!$AD$4:$AE$8,2,FALSE)))</f>
        <v/>
      </c>
      <c r="AM49" s="545" t="str">
        <f t="shared" si="7"/>
        <v/>
      </c>
      <c r="AN49" s="149"/>
      <c r="AO49" s="150"/>
      <c r="AV49" s="31" t="str">
        <f>IFERROR(INDEX('G-7 Rivers Data'!$AZ$3:$AZ$7,MATCH(N49,'G-7 Rivers Data'!$AY$3:$AY$7,0)),"")</f>
        <v/>
      </c>
    </row>
    <row r="50" spans="2:48" ht="13.8" x14ac:dyDescent="0.25">
      <c r="B50" s="531" t="str">
        <f>'C-1 Site River Baseline'!AN48</f>
        <v/>
      </c>
      <c r="C50" s="520" t="str">
        <f>IF(B50="","",VLOOKUP($B50,'C-1 Site River Baseline'!$C$9:$R$257,2,FALSE))</f>
        <v/>
      </c>
      <c r="D50" s="520" t="str">
        <f>IF(C50="","",VLOOKUP($B50,'C-1 Site River Baseline'!$C$9:$R$257,3,FALSE))</f>
        <v/>
      </c>
      <c r="E50" s="520" t="str">
        <f>IF(D50="","",VLOOKUP($B50,'C-1 Site River Baseline'!$C$9:$R$257,4,FALSE))</f>
        <v/>
      </c>
      <c r="F50" s="520" t="str">
        <f>IF(E50="","",VLOOKUP($B50,'C-1 Site River Baseline'!$C$9:$R$257,5,FALSE))</f>
        <v/>
      </c>
      <c r="G50" s="520" t="str">
        <f>IF(F50="","",VLOOKUP($B50,'C-1 Site River Baseline'!$C$9:$R$257,6,FALSE))</f>
        <v/>
      </c>
      <c r="H50" s="520" t="str">
        <f>IF(G50="","",VLOOKUP($B50,'C-1 Site River Baseline'!$C$9:$R$257,7,FALSE))</f>
        <v/>
      </c>
      <c r="I50" s="520" t="str">
        <f>IF(H50="","",VLOOKUP($B50,'C-1 Site River Baseline'!$C$9:$R$257,8,FALSE))</f>
        <v/>
      </c>
      <c r="J50" s="520" t="str">
        <f>IF(I50="","",VLOOKUP($B50,'C-1 Site River Baseline'!$C$9:$R$257,9,FALSE))</f>
        <v/>
      </c>
      <c r="K50" s="520" t="str">
        <f>IF(J50="","",VLOOKUP($B50,'C-1 Site River Baseline'!$C$9:$R$257,10,FALSE))</f>
        <v/>
      </c>
      <c r="L50" s="520" t="str">
        <f>IF(B50="","",VLOOKUP($B50,'C-1 Site River Baseline'!$C$9:$R$257,15,FALSE))</f>
        <v/>
      </c>
      <c r="M50" s="524" t="str">
        <f>IF(L50="","",VLOOKUP($B50,'C-1 Site River Baseline'!$C$9:$R$257,16,FALSE))</f>
        <v/>
      </c>
      <c r="N50" s="418" t="str">
        <f t="shared" si="6"/>
        <v/>
      </c>
      <c r="O50" s="498" t="str">
        <f t="shared" si="1"/>
        <v/>
      </c>
      <c r="P50" s="499"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7" t="str">
        <f>IF(N50="","",VLOOKUP(B50,'C-1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07" t="str">
        <f>IF(V50="","",IF(VLOOKUP(V50,'G-7 Rivers Data'!$AG$4:$AI$9,2,FALSE)=0,"Spatial Data Missing ⚠",VLOOKUP(V50,'G-7 Rivers Data'!$AG$4:$AI$9,2,FALSE)))</f>
        <v/>
      </c>
      <c r="X50" s="499" t="str">
        <f>IF(V50="","",IF(VLOOKUP(V50,'G-7 Rivers Data'!$AG$4:$AI$9,3,FALSE)=0,"Spatial Data Missing ⚠",VLOOKUP(V50,'G-7 Rivers Data'!$AG$4:$AI$9,3,FALSE)))</f>
        <v/>
      </c>
      <c r="Y50" s="498" t="str">
        <f>IFERROR(IF(OR(LEFT(P50,5)="Error ▲",LEFT(O50,5)="Error ▲"),"Check Data ⚠",IF(F50&lt;S50,'G-7 Rivers Data'!$R$3,INDEX('G-7 Rivers Data'!$U$5:$Y$9,MATCH(G50,'G-7 Rivers Data'!$T$5:$T$9,0),MATCH(T50,'G-7 Rivers Data'!$U$4:$Y$4,0)))),"")</f>
        <v/>
      </c>
      <c r="Z50" s="195"/>
      <c r="AA50" s="195"/>
      <c r="AB50" s="507" t="str">
        <f t="shared" si="2"/>
        <v/>
      </c>
      <c r="AC50" s="521" t="str">
        <f t="shared" si="3"/>
        <v/>
      </c>
      <c r="AD50" s="564" t="str">
        <f>IFERROR(IF(AC50="Check Data ⚠","Check Data ⚠",VLOOKUP(AC50,'G-4 Temporal multipliers'!$A$4:$C$37,3,FALSE)),"")</f>
        <v/>
      </c>
      <c r="AE50" s="498" t="str">
        <f>IF(N50="","",VLOOKUP(N50,'G-7 Rivers Data'!$B$4:$G$8,5,FALSE))</f>
        <v/>
      </c>
      <c r="AF50" s="507" t="str">
        <f t="shared" si="4"/>
        <v/>
      </c>
      <c r="AG50" s="540" t="str">
        <f t="shared" si="5"/>
        <v/>
      </c>
      <c r="AH50" s="499" t="str">
        <f t="shared" si="0"/>
        <v/>
      </c>
      <c r="AI50" s="145"/>
      <c r="AJ50" s="499" t="str">
        <f>IF(AI50="","",IF(VLOOKUP(AI50,'G-7 Rivers Data'!$AA$4:$AB$7,2,FALSE)=0,"Spatial Data Missing ⚠",VLOOKUP(AI50,'G-7 Rivers Data'!$AA$4:$AB$7,2,FALSE)))</f>
        <v/>
      </c>
      <c r="AK50" s="155"/>
      <c r="AL50" s="499" t="str">
        <f>IF(AK50="","",IF(VLOOKUP(AK50,'G-7 Rivers Data'!$AD$4:$AE$8,2,FALSE)=0,"Spatial Data Missing ⚠",VLOOKUP(AK50,'G-7 Rivers Data'!$AD$4:$AE$8,2,FALSE)))</f>
        <v/>
      </c>
      <c r="AM50" s="545" t="str">
        <f t="shared" si="7"/>
        <v/>
      </c>
      <c r="AN50" s="149"/>
      <c r="AO50" s="150"/>
      <c r="AV50" s="31" t="str">
        <f>IFERROR(INDEX('G-7 Rivers Data'!$AZ$3:$AZ$7,MATCH(N50,'G-7 Rivers Data'!$AY$3:$AY$7,0)),"")</f>
        <v/>
      </c>
    </row>
    <row r="51" spans="2:48" ht="13.8" x14ac:dyDescent="0.25">
      <c r="B51" s="531" t="str">
        <f>'C-1 Site River Baseline'!AN49</f>
        <v/>
      </c>
      <c r="C51" s="520" t="str">
        <f>IF(B51="","",VLOOKUP($B51,'C-1 Site River Baseline'!$C$9:$R$257,2,FALSE))</f>
        <v/>
      </c>
      <c r="D51" s="520" t="str">
        <f>IF(C51="","",VLOOKUP($B51,'C-1 Site River Baseline'!$C$9:$R$257,3,FALSE))</f>
        <v/>
      </c>
      <c r="E51" s="520" t="str">
        <f>IF(D51="","",VLOOKUP($B51,'C-1 Site River Baseline'!$C$9:$R$257,4,FALSE))</f>
        <v/>
      </c>
      <c r="F51" s="520" t="str">
        <f>IF(E51="","",VLOOKUP($B51,'C-1 Site River Baseline'!$C$9:$R$257,5,FALSE))</f>
        <v/>
      </c>
      <c r="G51" s="520" t="str">
        <f>IF(F51="","",VLOOKUP($B51,'C-1 Site River Baseline'!$C$9:$R$257,6,FALSE))</f>
        <v/>
      </c>
      <c r="H51" s="520" t="str">
        <f>IF(G51="","",VLOOKUP($B51,'C-1 Site River Baseline'!$C$9:$R$257,7,FALSE))</f>
        <v/>
      </c>
      <c r="I51" s="520" t="str">
        <f>IF(H51="","",VLOOKUP($B51,'C-1 Site River Baseline'!$C$9:$R$257,8,FALSE))</f>
        <v/>
      </c>
      <c r="J51" s="520" t="str">
        <f>IF(I51="","",VLOOKUP($B51,'C-1 Site River Baseline'!$C$9:$R$257,9,FALSE))</f>
        <v/>
      </c>
      <c r="K51" s="520" t="str">
        <f>IF(J51="","",VLOOKUP($B51,'C-1 Site River Baseline'!$C$9:$R$257,10,FALSE))</f>
        <v/>
      </c>
      <c r="L51" s="520" t="str">
        <f>IF(B51="","",VLOOKUP($B51,'C-1 Site River Baseline'!$C$9:$R$257,15,FALSE))</f>
        <v/>
      </c>
      <c r="M51" s="524" t="str">
        <f>IF(L51="","",VLOOKUP($B51,'C-1 Site River Baseline'!$C$9:$R$257,16,FALSE))</f>
        <v/>
      </c>
      <c r="N51" s="418"/>
      <c r="O51" s="498" t="str">
        <f t="shared" si="1"/>
        <v/>
      </c>
      <c r="P51" s="499"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7" t="str">
        <f>IF(N51="","",VLOOKUP(B51,'C-1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07" t="str">
        <f>IF(V51="","",IF(VLOOKUP(V51,'G-7 Rivers Data'!$AG$4:$AI$9,2,FALSE)=0,"Spatial Data Missing ⚠",VLOOKUP(V51,'G-7 Rivers Data'!$AG$4:$AI$9,2,FALSE)))</f>
        <v/>
      </c>
      <c r="X51" s="499" t="str">
        <f>IF(V51="","",IF(VLOOKUP(V51,'G-7 Rivers Data'!$AG$4:$AI$9,3,FALSE)=0,"Spatial Data Missing ⚠",VLOOKUP(V51,'G-7 Rivers Data'!$AG$4:$AI$9,3,FALSE)))</f>
        <v/>
      </c>
      <c r="Y51" s="498" t="str">
        <f>IFERROR(IF(OR(LEFT(P51,5)="Error ▲",LEFT(O51,5)="Error ▲"),"Check Data ⚠",IF(F51&lt;S51,'G-7 Rivers Data'!$R$3,INDEX('G-7 Rivers Data'!$U$5:$Y$9,MATCH(G51,'G-7 Rivers Data'!$T$5:$T$9,0),MATCH(T51,'G-7 Rivers Data'!$U$4:$Y$4,0)))),"")</f>
        <v/>
      </c>
      <c r="Z51" s="195"/>
      <c r="AA51" s="195"/>
      <c r="AB51" s="507" t="str">
        <f t="shared" si="2"/>
        <v/>
      </c>
      <c r="AC51" s="521" t="str">
        <f t="shared" si="3"/>
        <v/>
      </c>
      <c r="AD51" s="564" t="str">
        <f>IFERROR(IF(AC51="Check Data ⚠","Check Data ⚠",VLOOKUP(AC51,'G-4 Temporal multipliers'!$A$4:$C$37,3,FALSE)),"")</f>
        <v/>
      </c>
      <c r="AE51" s="498" t="str">
        <f>IF(N51="","",VLOOKUP(N51,'G-7 Rivers Data'!$B$4:$G$8,5,FALSE))</f>
        <v/>
      </c>
      <c r="AF51" s="507" t="str">
        <f t="shared" si="4"/>
        <v/>
      </c>
      <c r="AG51" s="540" t="str">
        <f t="shared" si="5"/>
        <v/>
      </c>
      <c r="AH51" s="499" t="str">
        <f t="shared" si="0"/>
        <v/>
      </c>
      <c r="AI51" s="145"/>
      <c r="AJ51" s="499" t="str">
        <f>IF(AI51="","",IF(VLOOKUP(AI51,'G-7 Rivers Data'!$AA$4:$AB$7,2,FALSE)=0,"Spatial Data Missing ⚠",VLOOKUP(AI51,'G-7 Rivers Data'!$AA$4:$AB$7,2,FALSE)))</f>
        <v/>
      </c>
      <c r="AK51" s="155"/>
      <c r="AL51" s="499" t="str">
        <f>IF(AK51="","",IF(VLOOKUP(AK51,'G-7 Rivers Data'!$AD$4:$AE$8,2,FALSE)=0,"Spatial Data Missing ⚠",VLOOKUP(AK51,'G-7 Rivers Data'!$AD$4:$AE$8,2,FALSE)))</f>
        <v/>
      </c>
      <c r="AM51" s="545" t="str">
        <f t="shared" si="7"/>
        <v/>
      </c>
      <c r="AN51" s="149"/>
      <c r="AO51" s="150"/>
      <c r="AV51" s="31" t="str">
        <f>IFERROR(INDEX('G-7 Rivers Data'!$AZ$3:$AZ$7,MATCH(N51,'G-7 Rivers Data'!$AY$3:$AY$7,0)),"")</f>
        <v/>
      </c>
    </row>
    <row r="52" spans="2:48" ht="13.8" x14ac:dyDescent="0.25">
      <c r="B52" s="531" t="str">
        <f>'C-1 Site River Baseline'!AN50</f>
        <v/>
      </c>
      <c r="C52" s="520" t="str">
        <f>IF(B52="","",VLOOKUP($B52,'C-1 Site River Baseline'!$C$9:$R$257,2,FALSE))</f>
        <v/>
      </c>
      <c r="D52" s="520" t="str">
        <f>IF(C52="","",VLOOKUP($B52,'C-1 Site River Baseline'!$C$9:$R$257,3,FALSE))</f>
        <v/>
      </c>
      <c r="E52" s="520" t="str">
        <f>IF(D52="","",VLOOKUP($B52,'C-1 Site River Baseline'!$C$9:$R$257,4,FALSE))</f>
        <v/>
      </c>
      <c r="F52" s="520" t="str">
        <f>IF(E52="","",VLOOKUP($B52,'C-1 Site River Baseline'!$C$9:$R$257,5,FALSE))</f>
        <v/>
      </c>
      <c r="G52" s="520" t="str">
        <f>IF(F52="","",VLOOKUP($B52,'C-1 Site River Baseline'!$C$9:$R$257,6,FALSE))</f>
        <v/>
      </c>
      <c r="H52" s="520" t="str">
        <f>IF(G52="","",VLOOKUP($B52,'C-1 Site River Baseline'!$C$9:$R$257,7,FALSE))</f>
        <v/>
      </c>
      <c r="I52" s="520" t="str">
        <f>IF(H52="","",VLOOKUP($B52,'C-1 Site River Baseline'!$C$9:$R$257,8,FALSE))</f>
        <v/>
      </c>
      <c r="J52" s="520" t="str">
        <f>IF(I52="","",VLOOKUP($B52,'C-1 Site River Baseline'!$C$9:$R$257,9,FALSE))</f>
        <v/>
      </c>
      <c r="K52" s="520" t="str">
        <f>IF(J52="","",VLOOKUP($B52,'C-1 Site River Baseline'!$C$9:$R$257,10,FALSE))</f>
        <v/>
      </c>
      <c r="L52" s="520" t="str">
        <f>IF(B52="","",VLOOKUP($B52,'C-1 Site River Baseline'!$C$9:$R$257,15,FALSE))</f>
        <v/>
      </c>
      <c r="M52" s="524" t="str">
        <f>IF(L52="","",VLOOKUP($B52,'C-1 Site River Baseline'!$C$9:$R$257,16,FALSE))</f>
        <v/>
      </c>
      <c r="N52" s="418" t="str">
        <f t="shared" si="6"/>
        <v/>
      </c>
      <c r="O52" s="498" t="str">
        <f t="shared" si="1"/>
        <v/>
      </c>
      <c r="P52" s="499"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7" t="str">
        <f>IF(N52="","",VLOOKUP(B52,'C-1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07" t="str">
        <f>IF(V52="","",IF(VLOOKUP(V52,'G-7 Rivers Data'!$AG$4:$AI$9,2,FALSE)=0,"Spatial Data Missing ⚠",VLOOKUP(V52,'G-7 Rivers Data'!$AG$4:$AI$9,2,FALSE)))</f>
        <v/>
      </c>
      <c r="X52" s="499" t="str">
        <f>IF(V52="","",IF(VLOOKUP(V52,'G-7 Rivers Data'!$AG$4:$AI$9,3,FALSE)=0,"Spatial Data Missing ⚠",VLOOKUP(V52,'G-7 Rivers Data'!$AG$4:$AI$9,3,FALSE)))</f>
        <v/>
      </c>
      <c r="Y52" s="498" t="str">
        <f>IFERROR(IF(OR(LEFT(P52,5)="Error ▲",LEFT(O52,5)="Error ▲"),"Check Data ⚠",IF(F52&lt;S52,'G-7 Rivers Data'!$R$3,INDEX('G-7 Rivers Data'!$U$5:$Y$9,MATCH(G52,'G-7 Rivers Data'!$T$5:$T$9,0),MATCH(T52,'G-7 Rivers Data'!$U$4:$Y$4,0)))),"")</f>
        <v/>
      </c>
      <c r="Z52" s="195"/>
      <c r="AA52" s="195"/>
      <c r="AB52" s="507" t="str">
        <f t="shared" si="2"/>
        <v/>
      </c>
      <c r="AC52" s="521" t="str">
        <f t="shared" si="3"/>
        <v/>
      </c>
      <c r="AD52" s="564" t="str">
        <f>IFERROR(IF(AC52="Check Data ⚠","Check Data ⚠",VLOOKUP(AC52,'G-4 Temporal multipliers'!$A$4:$C$37,3,FALSE)),"")</f>
        <v/>
      </c>
      <c r="AE52" s="498" t="str">
        <f>IF(N52="","",VLOOKUP(N52,'G-7 Rivers Data'!$B$4:$G$8,5,FALSE))</f>
        <v/>
      </c>
      <c r="AF52" s="507" t="str">
        <f t="shared" si="4"/>
        <v/>
      </c>
      <c r="AG52" s="540" t="str">
        <f t="shared" si="5"/>
        <v/>
      </c>
      <c r="AH52" s="499" t="str">
        <f t="shared" si="0"/>
        <v/>
      </c>
      <c r="AI52" s="145"/>
      <c r="AJ52" s="499" t="str">
        <f>IF(AI52="","",IF(VLOOKUP(AI52,'G-7 Rivers Data'!$AA$4:$AB$7,2,FALSE)=0,"Spatial Data Missing ⚠",VLOOKUP(AI52,'G-7 Rivers Data'!$AA$4:$AB$7,2,FALSE)))</f>
        <v/>
      </c>
      <c r="AK52" s="155"/>
      <c r="AL52" s="499" t="str">
        <f>IF(AK52="","",IF(VLOOKUP(AK52,'G-7 Rivers Data'!$AD$4:$AE$8,2,FALSE)=0,"Spatial Data Missing ⚠",VLOOKUP(AK52,'G-7 Rivers Data'!$AD$4:$AE$8,2,FALSE)))</f>
        <v/>
      </c>
      <c r="AM52" s="545" t="str">
        <f t="shared" si="7"/>
        <v/>
      </c>
      <c r="AN52" s="149"/>
      <c r="AO52" s="150"/>
      <c r="AV52" s="31" t="str">
        <f>IFERROR(INDEX('G-7 Rivers Data'!$AZ$3:$AZ$7,MATCH(N52,'G-7 Rivers Data'!$AY$3:$AY$7,0)),"")</f>
        <v/>
      </c>
    </row>
    <row r="53" spans="2:48" ht="13.8" x14ac:dyDescent="0.25">
      <c r="B53" s="531" t="str">
        <f>'C-1 Site River Baseline'!AN51</f>
        <v/>
      </c>
      <c r="C53" s="520" t="str">
        <f>IF(B53="","",VLOOKUP($B53,'C-1 Site River Baseline'!$C$9:$R$257,2,FALSE))</f>
        <v/>
      </c>
      <c r="D53" s="520" t="str">
        <f>IF(C53="","",VLOOKUP($B53,'C-1 Site River Baseline'!$C$9:$R$257,3,FALSE))</f>
        <v/>
      </c>
      <c r="E53" s="520" t="str">
        <f>IF(D53="","",VLOOKUP($B53,'C-1 Site River Baseline'!$C$9:$R$257,4,FALSE))</f>
        <v/>
      </c>
      <c r="F53" s="520" t="str">
        <f>IF(E53="","",VLOOKUP($B53,'C-1 Site River Baseline'!$C$9:$R$257,5,FALSE))</f>
        <v/>
      </c>
      <c r="G53" s="520" t="str">
        <f>IF(F53="","",VLOOKUP($B53,'C-1 Site River Baseline'!$C$9:$R$257,6,FALSE))</f>
        <v/>
      </c>
      <c r="H53" s="520" t="str">
        <f>IF(G53="","",VLOOKUP($B53,'C-1 Site River Baseline'!$C$9:$R$257,7,FALSE))</f>
        <v/>
      </c>
      <c r="I53" s="520" t="str">
        <f>IF(H53="","",VLOOKUP($B53,'C-1 Site River Baseline'!$C$9:$R$257,8,FALSE))</f>
        <v/>
      </c>
      <c r="J53" s="520" t="str">
        <f>IF(I53="","",VLOOKUP($B53,'C-1 Site River Baseline'!$C$9:$R$257,9,FALSE))</f>
        <v/>
      </c>
      <c r="K53" s="520" t="str">
        <f>IF(J53="","",VLOOKUP($B53,'C-1 Site River Baseline'!$C$9:$R$257,10,FALSE))</f>
        <v/>
      </c>
      <c r="L53" s="520" t="str">
        <f>IF(B53="","",VLOOKUP($B53,'C-1 Site River Baseline'!$C$9:$R$257,15,FALSE))</f>
        <v/>
      </c>
      <c r="M53" s="524" t="str">
        <f>IF(L53="","",VLOOKUP($B53,'C-1 Site River Baseline'!$C$9:$R$257,16,FALSE))</f>
        <v/>
      </c>
      <c r="N53" s="418" t="str">
        <f t="shared" si="6"/>
        <v/>
      </c>
      <c r="O53" s="498" t="str">
        <f t="shared" si="1"/>
        <v/>
      </c>
      <c r="P53" s="499"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7" t="str">
        <f>IF(N53="","",VLOOKUP(B53,'C-1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07" t="str">
        <f>IF(V53="","",IF(VLOOKUP(V53,'G-7 Rivers Data'!$AG$4:$AI$9,2,FALSE)=0,"Spatial Data Missing ⚠",VLOOKUP(V53,'G-7 Rivers Data'!$AG$4:$AI$9,2,FALSE)))</f>
        <v/>
      </c>
      <c r="X53" s="499" t="str">
        <f>IF(V53="","",IF(VLOOKUP(V53,'G-7 Rivers Data'!$AG$4:$AI$9,3,FALSE)=0,"Spatial Data Missing ⚠",VLOOKUP(V53,'G-7 Rivers Data'!$AG$4:$AI$9,3,FALSE)))</f>
        <v/>
      </c>
      <c r="Y53" s="498" t="str">
        <f>IFERROR(IF(OR(LEFT(P53,5)="Error ▲",LEFT(O53,5)="Error ▲"),"Check Data ⚠",IF(F53&lt;S53,'G-7 Rivers Data'!$R$3,INDEX('G-7 Rivers Data'!$U$5:$Y$9,MATCH(G53,'G-7 Rivers Data'!$T$5:$T$9,0),MATCH(T53,'G-7 Rivers Data'!$U$4:$Y$4,0)))),"")</f>
        <v/>
      </c>
      <c r="Z53" s="195"/>
      <c r="AA53" s="195"/>
      <c r="AB53" s="507" t="str">
        <f t="shared" si="2"/>
        <v/>
      </c>
      <c r="AC53" s="521" t="str">
        <f t="shared" si="3"/>
        <v/>
      </c>
      <c r="AD53" s="564" t="str">
        <f>IFERROR(IF(AC53="Check Data ⚠","Check Data ⚠",VLOOKUP(AC53,'G-4 Temporal multipliers'!$A$4:$C$37,3,FALSE)),"")</f>
        <v/>
      </c>
      <c r="AE53" s="498" t="str">
        <f>IF(N53="","",VLOOKUP(N53,'G-7 Rivers Data'!$B$4:$G$8,5,FALSE))</f>
        <v/>
      </c>
      <c r="AF53" s="507" t="str">
        <f t="shared" si="4"/>
        <v/>
      </c>
      <c r="AG53" s="540" t="str">
        <f t="shared" si="5"/>
        <v/>
      </c>
      <c r="AH53" s="499" t="str">
        <f t="shared" si="0"/>
        <v/>
      </c>
      <c r="AI53" s="145"/>
      <c r="AJ53" s="499" t="str">
        <f>IF(AI53="","",IF(VLOOKUP(AI53,'G-7 Rivers Data'!$AA$4:$AB$7,2,FALSE)=0,"Spatial Data Missing ⚠",VLOOKUP(AI53,'G-7 Rivers Data'!$AA$4:$AB$7,2,FALSE)))</f>
        <v/>
      </c>
      <c r="AK53" s="155"/>
      <c r="AL53" s="499" t="str">
        <f>IF(AK53="","",IF(VLOOKUP(AK53,'G-7 Rivers Data'!$AD$4:$AE$8,2,FALSE)=0,"Spatial Data Missing ⚠",VLOOKUP(AK53,'G-7 Rivers Data'!$AD$4:$AE$8,2,FALSE)))</f>
        <v/>
      </c>
      <c r="AM53" s="545" t="str">
        <f t="shared" si="7"/>
        <v/>
      </c>
      <c r="AN53" s="149"/>
      <c r="AO53" s="150"/>
      <c r="AV53" s="31" t="str">
        <f>IFERROR(INDEX('G-7 Rivers Data'!$AZ$3:$AZ$7,MATCH(N53,'G-7 Rivers Data'!$AY$3:$AY$7,0)),"")</f>
        <v/>
      </c>
    </row>
    <row r="54" spans="2:48" ht="13.8" x14ac:dyDescent="0.25">
      <c r="B54" s="531" t="str">
        <f>'C-1 Site River Baseline'!AN52</f>
        <v/>
      </c>
      <c r="C54" s="520" t="str">
        <f>IF(B54="","",VLOOKUP($B54,'C-1 Site River Baseline'!$C$9:$R$257,2,FALSE))</f>
        <v/>
      </c>
      <c r="D54" s="520" t="str">
        <f>IF(C54="","",VLOOKUP($B54,'C-1 Site River Baseline'!$C$9:$R$257,3,FALSE))</f>
        <v/>
      </c>
      <c r="E54" s="520" t="str">
        <f>IF(D54="","",VLOOKUP($B54,'C-1 Site River Baseline'!$C$9:$R$257,4,FALSE))</f>
        <v/>
      </c>
      <c r="F54" s="520" t="str">
        <f>IF(E54="","",VLOOKUP($B54,'C-1 Site River Baseline'!$C$9:$R$257,5,FALSE))</f>
        <v/>
      </c>
      <c r="G54" s="520" t="str">
        <f>IF(F54="","",VLOOKUP($B54,'C-1 Site River Baseline'!$C$9:$R$257,6,FALSE))</f>
        <v/>
      </c>
      <c r="H54" s="520" t="str">
        <f>IF(G54="","",VLOOKUP($B54,'C-1 Site River Baseline'!$C$9:$R$257,7,FALSE))</f>
        <v/>
      </c>
      <c r="I54" s="520" t="str">
        <f>IF(H54="","",VLOOKUP($B54,'C-1 Site River Baseline'!$C$9:$R$257,8,FALSE))</f>
        <v/>
      </c>
      <c r="J54" s="520" t="str">
        <f>IF(I54="","",VLOOKUP($B54,'C-1 Site River Baseline'!$C$9:$R$257,9,FALSE))</f>
        <v/>
      </c>
      <c r="K54" s="520" t="str">
        <f>IF(J54="","",VLOOKUP($B54,'C-1 Site River Baseline'!$C$9:$R$257,10,FALSE))</f>
        <v/>
      </c>
      <c r="L54" s="520" t="str">
        <f>IF(B54="","",VLOOKUP($B54,'C-1 Site River Baseline'!$C$9:$R$257,15,FALSE))</f>
        <v/>
      </c>
      <c r="M54" s="524" t="str">
        <f>IF(L54="","",VLOOKUP($B54,'C-1 Site River Baseline'!$C$9:$R$257,16,FALSE))</f>
        <v/>
      </c>
      <c r="N54" s="418" t="str">
        <f t="shared" si="6"/>
        <v/>
      </c>
      <c r="O54" s="498" t="str">
        <f t="shared" si="1"/>
        <v/>
      </c>
      <c r="P54" s="499"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7" t="str">
        <f>IF(N54="","",VLOOKUP(B54,'C-1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07" t="str">
        <f>IF(V54="","",IF(VLOOKUP(V54,'G-7 Rivers Data'!$AG$4:$AI$9,2,FALSE)=0,"Spatial Data Missing ⚠",VLOOKUP(V54,'G-7 Rivers Data'!$AG$4:$AI$9,2,FALSE)))</f>
        <v/>
      </c>
      <c r="X54" s="499" t="str">
        <f>IF(V54="","",IF(VLOOKUP(V54,'G-7 Rivers Data'!$AG$4:$AI$9,3,FALSE)=0,"Spatial Data Missing ⚠",VLOOKUP(V54,'G-7 Rivers Data'!$AG$4:$AI$9,3,FALSE)))</f>
        <v/>
      </c>
      <c r="Y54" s="498" t="str">
        <f>IFERROR(IF(OR(LEFT(P54,5)="Error ▲",LEFT(O54,5)="Error ▲"),"Check Data ⚠",IF(F54&lt;S54,'G-7 Rivers Data'!$R$3,INDEX('G-7 Rivers Data'!$U$5:$Y$9,MATCH(G54,'G-7 Rivers Data'!$T$5:$T$9,0),MATCH(T54,'G-7 Rivers Data'!$U$4:$Y$4,0)))),"")</f>
        <v/>
      </c>
      <c r="Z54" s="195"/>
      <c r="AA54" s="195"/>
      <c r="AB54" s="507" t="str">
        <f t="shared" si="2"/>
        <v/>
      </c>
      <c r="AC54" s="521" t="str">
        <f t="shared" si="3"/>
        <v/>
      </c>
      <c r="AD54" s="564" t="str">
        <f>IFERROR(IF(AC54="Check Data ⚠","Check Data ⚠",VLOOKUP(AC54,'G-4 Temporal multipliers'!$A$4:$C$37,3,FALSE)),"")</f>
        <v/>
      </c>
      <c r="AE54" s="498" t="str">
        <f>IF(N54="","",VLOOKUP(N54,'G-7 Rivers Data'!$B$4:$G$8,5,FALSE))</f>
        <v/>
      </c>
      <c r="AF54" s="507" t="str">
        <f t="shared" si="4"/>
        <v/>
      </c>
      <c r="AG54" s="540" t="str">
        <f t="shared" si="5"/>
        <v/>
      </c>
      <c r="AH54" s="499" t="str">
        <f t="shared" si="0"/>
        <v/>
      </c>
      <c r="AI54" s="145"/>
      <c r="AJ54" s="499" t="str">
        <f>IF(AI54="","",IF(VLOOKUP(AI54,'G-7 Rivers Data'!$AA$4:$AB$7,2,FALSE)=0,"Spatial Data Missing ⚠",VLOOKUP(AI54,'G-7 Rivers Data'!$AA$4:$AB$7,2,FALSE)))</f>
        <v/>
      </c>
      <c r="AK54" s="155"/>
      <c r="AL54" s="499" t="str">
        <f>IF(AK54="","",IF(VLOOKUP(AK54,'G-7 Rivers Data'!$AD$4:$AE$8,2,FALSE)=0,"Spatial Data Missing ⚠",VLOOKUP(AK54,'G-7 Rivers Data'!$AD$4:$AE$8,2,FALSE)))</f>
        <v/>
      </c>
      <c r="AM54" s="545" t="str">
        <f t="shared" si="7"/>
        <v/>
      </c>
      <c r="AN54" s="149"/>
      <c r="AO54" s="150"/>
      <c r="AV54" s="31" t="str">
        <f>IFERROR(INDEX('G-7 Rivers Data'!$AZ$3:$AZ$7,MATCH(N54,'G-7 Rivers Data'!$AY$3:$AY$7,0)),"")</f>
        <v/>
      </c>
    </row>
    <row r="55" spans="2:48" ht="13.8" x14ac:dyDescent="0.25">
      <c r="B55" s="531" t="str">
        <f>'C-1 Site River Baseline'!AN53</f>
        <v/>
      </c>
      <c r="C55" s="520" t="str">
        <f>IF(B55="","",VLOOKUP($B55,'C-1 Site River Baseline'!$C$9:$R$257,2,FALSE))</f>
        <v/>
      </c>
      <c r="D55" s="520" t="str">
        <f>IF(C55="","",VLOOKUP($B55,'C-1 Site River Baseline'!$C$9:$R$257,3,FALSE))</f>
        <v/>
      </c>
      <c r="E55" s="520" t="str">
        <f>IF(D55="","",VLOOKUP($B55,'C-1 Site River Baseline'!$C$9:$R$257,4,FALSE))</f>
        <v/>
      </c>
      <c r="F55" s="520" t="str">
        <f>IF(E55="","",VLOOKUP($B55,'C-1 Site River Baseline'!$C$9:$R$257,5,FALSE))</f>
        <v/>
      </c>
      <c r="G55" s="520" t="str">
        <f>IF(F55="","",VLOOKUP($B55,'C-1 Site River Baseline'!$C$9:$R$257,6,FALSE))</f>
        <v/>
      </c>
      <c r="H55" s="520" t="str">
        <f>IF(G55="","",VLOOKUP($B55,'C-1 Site River Baseline'!$C$9:$R$257,7,FALSE))</f>
        <v/>
      </c>
      <c r="I55" s="520" t="str">
        <f>IF(H55="","",VLOOKUP($B55,'C-1 Site River Baseline'!$C$9:$R$257,8,FALSE))</f>
        <v/>
      </c>
      <c r="J55" s="520" t="str">
        <f>IF(I55="","",VLOOKUP($B55,'C-1 Site River Baseline'!$C$9:$R$257,9,FALSE))</f>
        <v/>
      </c>
      <c r="K55" s="520" t="str">
        <f>IF(J55="","",VLOOKUP($B55,'C-1 Site River Baseline'!$C$9:$R$257,10,FALSE))</f>
        <v/>
      </c>
      <c r="L55" s="520" t="str">
        <f>IF(B55="","",VLOOKUP($B55,'C-1 Site River Baseline'!$C$9:$R$257,15,FALSE))</f>
        <v/>
      </c>
      <c r="M55" s="524" t="str">
        <f>IF(L55="","",VLOOKUP($B55,'C-1 Site River Baseline'!$C$9:$R$257,16,FALSE))</f>
        <v/>
      </c>
      <c r="N55" s="418" t="str">
        <f t="shared" si="6"/>
        <v/>
      </c>
      <c r="O55" s="498" t="str">
        <f t="shared" si="1"/>
        <v/>
      </c>
      <c r="P55" s="499"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7" t="str">
        <f>IF(N55="","",VLOOKUP(B55,'C-1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07" t="str">
        <f>IF(V55="","",IF(VLOOKUP(V55,'G-7 Rivers Data'!$AG$4:$AI$9,2,FALSE)=0,"Spatial Data Missing ⚠",VLOOKUP(V55,'G-7 Rivers Data'!$AG$4:$AI$9,2,FALSE)))</f>
        <v/>
      </c>
      <c r="X55" s="499" t="str">
        <f>IF(V55="","",IF(VLOOKUP(V55,'G-7 Rivers Data'!$AG$4:$AI$9,3,FALSE)=0,"Spatial Data Missing ⚠",VLOOKUP(V55,'G-7 Rivers Data'!$AG$4:$AI$9,3,FALSE)))</f>
        <v/>
      </c>
      <c r="Y55" s="498" t="str">
        <f>IFERROR(IF(OR(LEFT(P55,5)="Error ▲",LEFT(O55,5)="Error ▲"),"Check Data ⚠",IF(F55&lt;S55,'G-7 Rivers Data'!$R$3,INDEX('G-7 Rivers Data'!$U$5:$Y$9,MATCH(G55,'G-7 Rivers Data'!$T$5:$T$9,0),MATCH(T55,'G-7 Rivers Data'!$U$4:$Y$4,0)))),"")</f>
        <v/>
      </c>
      <c r="Z55" s="195"/>
      <c r="AA55" s="195"/>
      <c r="AB55" s="507" t="str">
        <f t="shared" si="2"/>
        <v/>
      </c>
      <c r="AC55" s="521" t="str">
        <f t="shared" si="3"/>
        <v/>
      </c>
      <c r="AD55" s="564" t="str">
        <f>IFERROR(IF(AC55="Check Data ⚠","Check Data ⚠",VLOOKUP(AC55,'G-4 Temporal multipliers'!$A$4:$C$37,3,FALSE)),"")</f>
        <v/>
      </c>
      <c r="AE55" s="498" t="str">
        <f>IF(N55="","",VLOOKUP(N55,'G-7 Rivers Data'!$B$4:$G$8,5,FALSE))</f>
        <v/>
      </c>
      <c r="AF55" s="507" t="str">
        <f t="shared" si="4"/>
        <v/>
      </c>
      <c r="AG55" s="540" t="str">
        <f t="shared" si="5"/>
        <v/>
      </c>
      <c r="AH55" s="499" t="str">
        <f t="shared" si="0"/>
        <v/>
      </c>
      <c r="AI55" s="145"/>
      <c r="AJ55" s="499" t="str">
        <f>IF(AI55="","",IF(VLOOKUP(AI55,'G-7 Rivers Data'!$AA$4:$AB$7,2,FALSE)=0,"Spatial Data Missing ⚠",VLOOKUP(AI55,'G-7 Rivers Data'!$AA$4:$AB$7,2,FALSE)))</f>
        <v/>
      </c>
      <c r="AK55" s="155"/>
      <c r="AL55" s="499" t="str">
        <f>IF(AK55="","",IF(VLOOKUP(AK55,'G-7 Rivers Data'!$AD$4:$AE$8,2,FALSE)=0,"Spatial Data Missing ⚠",VLOOKUP(AK55,'G-7 Rivers Data'!$AD$4:$AE$8,2,FALSE)))</f>
        <v/>
      </c>
      <c r="AM55" s="545" t="str">
        <f t="shared" si="7"/>
        <v/>
      </c>
      <c r="AN55" s="149"/>
      <c r="AO55" s="150"/>
      <c r="AV55" s="31" t="str">
        <f>IFERROR(INDEX('G-7 Rivers Data'!$AZ$3:$AZ$7,MATCH(N55,'G-7 Rivers Data'!$AY$3:$AY$7,0)),"")</f>
        <v/>
      </c>
    </row>
    <row r="56" spans="2:48" ht="13.8" x14ac:dyDescent="0.25">
      <c r="B56" s="531" t="str">
        <f>'C-1 Site River Baseline'!AN54</f>
        <v/>
      </c>
      <c r="C56" s="520" t="str">
        <f>IF(B56="","",VLOOKUP($B56,'C-1 Site River Baseline'!$C$9:$R$257,2,FALSE))</f>
        <v/>
      </c>
      <c r="D56" s="520" t="str">
        <f>IF(C56="","",VLOOKUP($B56,'C-1 Site River Baseline'!$C$9:$R$257,3,FALSE))</f>
        <v/>
      </c>
      <c r="E56" s="520" t="str">
        <f>IF(D56="","",VLOOKUP($B56,'C-1 Site River Baseline'!$C$9:$R$257,4,FALSE))</f>
        <v/>
      </c>
      <c r="F56" s="520" t="str">
        <f>IF(E56="","",VLOOKUP($B56,'C-1 Site River Baseline'!$C$9:$R$257,5,FALSE))</f>
        <v/>
      </c>
      <c r="G56" s="520" t="str">
        <f>IF(F56="","",VLOOKUP($B56,'C-1 Site River Baseline'!$C$9:$R$257,6,FALSE))</f>
        <v/>
      </c>
      <c r="H56" s="520" t="str">
        <f>IF(G56="","",VLOOKUP($B56,'C-1 Site River Baseline'!$C$9:$R$257,7,FALSE))</f>
        <v/>
      </c>
      <c r="I56" s="520" t="str">
        <f>IF(H56="","",VLOOKUP($B56,'C-1 Site River Baseline'!$C$9:$R$257,8,FALSE))</f>
        <v/>
      </c>
      <c r="J56" s="520" t="str">
        <f>IF(I56="","",VLOOKUP($B56,'C-1 Site River Baseline'!$C$9:$R$257,9,FALSE))</f>
        <v/>
      </c>
      <c r="K56" s="520" t="str">
        <f>IF(J56="","",VLOOKUP($B56,'C-1 Site River Baseline'!$C$9:$R$257,10,FALSE))</f>
        <v/>
      </c>
      <c r="L56" s="520" t="str">
        <f>IF(B56="","",VLOOKUP($B56,'C-1 Site River Baseline'!$C$9:$R$257,15,FALSE))</f>
        <v/>
      </c>
      <c r="M56" s="524" t="str">
        <f>IF(L56="","",VLOOKUP($B56,'C-1 Site River Baseline'!$C$9:$R$257,16,FALSE))</f>
        <v/>
      </c>
      <c r="N56" s="418" t="str">
        <f t="shared" si="6"/>
        <v/>
      </c>
      <c r="O56" s="498" t="str">
        <f t="shared" si="1"/>
        <v/>
      </c>
      <c r="P56" s="499"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7" t="str">
        <f>IF(N56="","",VLOOKUP(B56,'C-1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07" t="str">
        <f>IF(V56="","",IF(VLOOKUP(V56,'G-7 Rivers Data'!$AG$4:$AI$9,2,FALSE)=0,"Spatial Data Missing ⚠",VLOOKUP(V56,'G-7 Rivers Data'!$AG$4:$AI$9,2,FALSE)))</f>
        <v/>
      </c>
      <c r="X56" s="499" t="str">
        <f>IF(V56="","",IF(VLOOKUP(V56,'G-7 Rivers Data'!$AG$4:$AI$9,3,FALSE)=0,"Spatial Data Missing ⚠",VLOOKUP(V56,'G-7 Rivers Data'!$AG$4:$AI$9,3,FALSE)))</f>
        <v/>
      </c>
      <c r="Y56" s="498" t="str">
        <f>IFERROR(IF(OR(LEFT(P56,5)="Error ▲",LEFT(O56,5)="Error ▲"),"Check Data ⚠",IF(F56&lt;S56,'G-7 Rivers Data'!$R$3,INDEX('G-7 Rivers Data'!$U$5:$Y$9,MATCH(G56,'G-7 Rivers Data'!$T$5:$T$9,0),MATCH(T56,'G-7 Rivers Data'!$U$4:$Y$4,0)))),"")</f>
        <v/>
      </c>
      <c r="Z56" s="195"/>
      <c r="AA56" s="195"/>
      <c r="AB56" s="507" t="str">
        <f t="shared" si="2"/>
        <v/>
      </c>
      <c r="AC56" s="521" t="str">
        <f t="shared" si="3"/>
        <v/>
      </c>
      <c r="AD56" s="564" t="str">
        <f>IFERROR(IF(AC56="Check Data ⚠","Check Data ⚠",VLOOKUP(AC56,'G-4 Temporal multipliers'!$A$4:$C$37,3,FALSE)),"")</f>
        <v/>
      </c>
      <c r="AE56" s="498" t="str">
        <f>IF(N56="","",VLOOKUP(N56,'G-7 Rivers Data'!$B$4:$G$8,5,FALSE))</f>
        <v/>
      </c>
      <c r="AF56" s="507" t="str">
        <f t="shared" si="4"/>
        <v/>
      </c>
      <c r="AG56" s="540" t="str">
        <f t="shared" si="5"/>
        <v/>
      </c>
      <c r="AH56" s="499" t="str">
        <f t="shared" si="0"/>
        <v/>
      </c>
      <c r="AI56" s="145"/>
      <c r="AJ56" s="499" t="str">
        <f>IF(AI56="","",IF(VLOOKUP(AI56,'G-7 Rivers Data'!$AA$4:$AB$7,2,FALSE)=0,"Spatial Data Missing ⚠",VLOOKUP(AI56,'G-7 Rivers Data'!$AA$4:$AB$7,2,FALSE)))</f>
        <v/>
      </c>
      <c r="AK56" s="155"/>
      <c r="AL56" s="499" t="str">
        <f>IF(AK56="","",IF(VLOOKUP(AK56,'G-7 Rivers Data'!$AD$4:$AE$8,2,FALSE)=0,"Spatial Data Missing ⚠",VLOOKUP(AK56,'G-7 Rivers Data'!$AD$4:$AE$8,2,FALSE)))</f>
        <v/>
      </c>
      <c r="AM56" s="545" t="str">
        <f t="shared" si="7"/>
        <v/>
      </c>
      <c r="AN56" s="149"/>
      <c r="AO56" s="150"/>
      <c r="AV56" s="31" t="str">
        <f>IFERROR(INDEX('G-7 Rivers Data'!$AZ$3:$AZ$7,MATCH(N56,'G-7 Rivers Data'!$AY$3:$AY$7,0)),"")</f>
        <v/>
      </c>
    </row>
    <row r="57" spans="2:48" ht="13.8" x14ac:dyDescent="0.25">
      <c r="B57" s="531" t="str">
        <f>'C-1 Site River Baseline'!AN55</f>
        <v/>
      </c>
      <c r="C57" s="520" t="str">
        <f>IF(B57="","",VLOOKUP($B57,'C-1 Site River Baseline'!$C$9:$R$257,2,FALSE))</f>
        <v/>
      </c>
      <c r="D57" s="520" t="str">
        <f>IF(C57="","",VLOOKUP($B57,'C-1 Site River Baseline'!$C$9:$R$257,3,FALSE))</f>
        <v/>
      </c>
      <c r="E57" s="520" t="str">
        <f>IF(D57="","",VLOOKUP($B57,'C-1 Site River Baseline'!$C$9:$R$257,4,FALSE))</f>
        <v/>
      </c>
      <c r="F57" s="520" t="str">
        <f>IF(E57="","",VLOOKUP($B57,'C-1 Site River Baseline'!$C$9:$R$257,5,FALSE))</f>
        <v/>
      </c>
      <c r="G57" s="520" t="str">
        <f>IF(F57="","",VLOOKUP($B57,'C-1 Site River Baseline'!$C$9:$R$257,6,FALSE))</f>
        <v/>
      </c>
      <c r="H57" s="520" t="str">
        <f>IF(G57="","",VLOOKUP($B57,'C-1 Site River Baseline'!$C$9:$R$257,7,FALSE))</f>
        <v/>
      </c>
      <c r="I57" s="520" t="str">
        <f>IF(H57="","",VLOOKUP($B57,'C-1 Site River Baseline'!$C$9:$R$257,8,FALSE))</f>
        <v/>
      </c>
      <c r="J57" s="520" t="str">
        <f>IF(I57="","",VLOOKUP($B57,'C-1 Site River Baseline'!$C$9:$R$257,9,FALSE))</f>
        <v/>
      </c>
      <c r="K57" s="520" t="str">
        <f>IF(J57="","",VLOOKUP($B57,'C-1 Site River Baseline'!$C$9:$R$257,10,FALSE))</f>
        <v/>
      </c>
      <c r="L57" s="520" t="str">
        <f>IF(B57="","",VLOOKUP($B57,'C-1 Site River Baseline'!$C$9:$R$257,15,FALSE))</f>
        <v/>
      </c>
      <c r="M57" s="524" t="str">
        <f>IF(L57="","",VLOOKUP($B57,'C-1 Site River Baseline'!$C$9:$R$257,16,FALSE))</f>
        <v/>
      </c>
      <c r="N57" s="418" t="str">
        <f t="shared" si="6"/>
        <v/>
      </c>
      <c r="O57" s="498" t="str">
        <f t="shared" si="1"/>
        <v/>
      </c>
      <c r="P57" s="499"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7" t="str">
        <f>IF(N57="","",VLOOKUP(B57,'C-1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07" t="str">
        <f>IF(V57="","",IF(VLOOKUP(V57,'G-7 Rivers Data'!$AG$4:$AI$9,2,FALSE)=0,"Spatial Data Missing ⚠",VLOOKUP(V57,'G-7 Rivers Data'!$AG$4:$AI$9,2,FALSE)))</f>
        <v/>
      </c>
      <c r="X57" s="499" t="str">
        <f>IF(V57="","",IF(VLOOKUP(V57,'G-7 Rivers Data'!$AG$4:$AI$9,3,FALSE)=0,"Spatial Data Missing ⚠",VLOOKUP(V57,'G-7 Rivers Data'!$AG$4:$AI$9,3,FALSE)))</f>
        <v/>
      </c>
      <c r="Y57" s="498" t="str">
        <f>IFERROR(IF(OR(LEFT(P57,5)="Error ▲",LEFT(O57,5)="Error ▲"),"Check Data ⚠",IF(F57&lt;S57,'G-7 Rivers Data'!$R$3,INDEX('G-7 Rivers Data'!$U$5:$Y$9,MATCH(G57,'G-7 Rivers Data'!$T$5:$T$9,0),MATCH(T57,'G-7 Rivers Data'!$U$4:$Y$4,0)))),"")</f>
        <v/>
      </c>
      <c r="Z57" s="195"/>
      <c r="AA57" s="195"/>
      <c r="AB57" s="507" t="str">
        <f t="shared" si="2"/>
        <v/>
      </c>
      <c r="AC57" s="521" t="str">
        <f t="shared" si="3"/>
        <v/>
      </c>
      <c r="AD57" s="564" t="str">
        <f>IFERROR(IF(AC57="Check Data ⚠","Check Data ⚠",VLOOKUP(AC57,'G-4 Temporal multipliers'!$A$4:$C$37,3,FALSE)),"")</f>
        <v/>
      </c>
      <c r="AE57" s="498" t="str">
        <f>IF(N57="","",VLOOKUP(N57,'G-7 Rivers Data'!$B$4:$G$8,5,FALSE))</f>
        <v/>
      </c>
      <c r="AF57" s="507" t="str">
        <f t="shared" si="4"/>
        <v/>
      </c>
      <c r="AG57" s="540" t="str">
        <f t="shared" si="5"/>
        <v/>
      </c>
      <c r="AH57" s="499" t="str">
        <f t="shared" si="0"/>
        <v/>
      </c>
      <c r="AI57" s="145"/>
      <c r="AJ57" s="499" t="str">
        <f>IF(AI57="","",IF(VLOOKUP(AI57,'G-7 Rivers Data'!$AA$4:$AB$7,2,FALSE)=0,"Spatial Data Missing ⚠",VLOOKUP(AI57,'G-7 Rivers Data'!$AA$4:$AB$7,2,FALSE)))</f>
        <v/>
      </c>
      <c r="AK57" s="155"/>
      <c r="AL57" s="499" t="str">
        <f>IF(AK57="","",IF(VLOOKUP(AK57,'G-7 Rivers Data'!$AD$4:$AE$8,2,FALSE)=0,"Spatial Data Missing ⚠",VLOOKUP(AK57,'G-7 Rivers Data'!$AD$4:$AE$8,2,FALSE)))</f>
        <v/>
      </c>
      <c r="AM57" s="545" t="str">
        <f t="shared" si="7"/>
        <v/>
      </c>
      <c r="AN57" s="149"/>
      <c r="AO57" s="150"/>
      <c r="AV57" s="31" t="str">
        <f>IFERROR(INDEX('G-7 Rivers Data'!$AZ$3:$AZ$7,MATCH(N57,'G-7 Rivers Data'!$AY$3:$AY$7,0)),"")</f>
        <v/>
      </c>
    </row>
    <row r="58" spans="2:48" ht="13.8" x14ac:dyDescent="0.25">
      <c r="B58" s="531" t="str">
        <f>'C-1 Site River Baseline'!AN56</f>
        <v/>
      </c>
      <c r="C58" s="520" t="str">
        <f>IF(B58="","",VLOOKUP($B58,'C-1 Site River Baseline'!$C$9:$R$257,2,FALSE))</f>
        <v/>
      </c>
      <c r="D58" s="520" t="str">
        <f>IF(C58="","",VLOOKUP($B58,'C-1 Site River Baseline'!$C$9:$R$257,3,FALSE))</f>
        <v/>
      </c>
      <c r="E58" s="520" t="str">
        <f>IF(D58="","",VLOOKUP($B58,'C-1 Site River Baseline'!$C$9:$R$257,4,FALSE))</f>
        <v/>
      </c>
      <c r="F58" s="520" t="str">
        <f>IF(E58="","",VLOOKUP($B58,'C-1 Site River Baseline'!$C$9:$R$257,5,FALSE))</f>
        <v/>
      </c>
      <c r="G58" s="520" t="str">
        <f>IF(F58="","",VLOOKUP($B58,'C-1 Site River Baseline'!$C$9:$R$257,6,FALSE))</f>
        <v/>
      </c>
      <c r="H58" s="520" t="str">
        <f>IF(G58="","",VLOOKUP($B58,'C-1 Site River Baseline'!$C$9:$R$257,7,FALSE))</f>
        <v/>
      </c>
      <c r="I58" s="520" t="str">
        <f>IF(H58="","",VLOOKUP($B58,'C-1 Site River Baseline'!$C$9:$R$257,8,FALSE))</f>
        <v/>
      </c>
      <c r="J58" s="520" t="str">
        <f>IF(I58="","",VLOOKUP($B58,'C-1 Site River Baseline'!$C$9:$R$257,9,FALSE))</f>
        <v/>
      </c>
      <c r="K58" s="520" t="str">
        <f>IF(J58="","",VLOOKUP($B58,'C-1 Site River Baseline'!$C$9:$R$257,10,FALSE))</f>
        <v/>
      </c>
      <c r="L58" s="520" t="str">
        <f>IF(B58="","",VLOOKUP($B58,'C-1 Site River Baseline'!$C$9:$R$257,15,FALSE))</f>
        <v/>
      </c>
      <c r="M58" s="524" t="str">
        <f>IF(L58="","",VLOOKUP($B58,'C-1 Site River Baseline'!$C$9:$R$257,16,FALSE))</f>
        <v/>
      </c>
      <c r="N58" s="418" t="str">
        <f t="shared" si="6"/>
        <v/>
      </c>
      <c r="O58" s="498" t="str">
        <f t="shared" si="1"/>
        <v/>
      </c>
      <c r="P58" s="499"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7" t="str">
        <f>IF(N58="","",VLOOKUP(B58,'C-1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07" t="str">
        <f>IF(V58="","",IF(VLOOKUP(V58,'G-7 Rivers Data'!$AG$4:$AI$9,2,FALSE)=0,"Spatial Data Missing ⚠",VLOOKUP(V58,'G-7 Rivers Data'!$AG$4:$AI$9,2,FALSE)))</f>
        <v/>
      </c>
      <c r="X58" s="499" t="str">
        <f>IF(V58="","",IF(VLOOKUP(V58,'G-7 Rivers Data'!$AG$4:$AI$9,3,FALSE)=0,"Spatial Data Missing ⚠",VLOOKUP(V58,'G-7 Rivers Data'!$AG$4:$AI$9,3,FALSE)))</f>
        <v/>
      </c>
      <c r="Y58" s="498" t="str">
        <f>IFERROR(IF(OR(LEFT(P58,5)="Error ▲",LEFT(O58,5)="Error ▲"),"Check Data ⚠",IF(F58&lt;S58,'G-7 Rivers Data'!$R$3,INDEX('G-7 Rivers Data'!$U$5:$Y$9,MATCH(G58,'G-7 Rivers Data'!$T$5:$T$9,0),MATCH(T58,'G-7 Rivers Data'!$U$4:$Y$4,0)))),"")</f>
        <v/>
      </c>
      <c r="Z58" s="195"/>
      <c r="AA58" s="195"/>
      <c r="AB58" s="507" t="str">
        <f t="shared" si="2"/>
        <v/>
      </c>
      <c r="AC58" s="521" t="str">
        <f t="shared" si="3"/>
        <v/>
      </c>
      <c r="AD58" s="564" t="str">
        <f>IFERROR(IF(AC58="Check Data ⚠","Check Data ⚠",VLOOKUP(AC58,'G-4 Temporal multipliers'!$A$4:$C$37,3,FALSE)),"")</f>
        <v/>
      </c>
      <c r="AE58" s="498" t="str">
        <f>IF(N58="","",VLOOKUP(N58,'G-7 Rivers Data'!$B$4:$G$8,5,FALSE))</f>
        <v/>
      </c>
      <c r="AF58" s="507" t="str">
        <f t="shared" si="4"/>
        <v/>
      </c>
      <c r="AG58" s="540" t="str">
        <f t="shared" si="5"/>
        <v/>
      </c>
      <c r="AH58" s="499" t="str">
        <f t="shared" si="0"/>
        <v/>
      </c>
      <c r="AI58" s="145"/>
      <c r="AJ58" s="499" t="str">
        <f>IF(AI58="","",IF(VLOOKUP(AI58,'G-7 Rivers Data'!$AA$4:$AB$7,2,FALSE)=0,"Spatial Data Missing ⚠",VLOOKUP(AI58,'G-7 Rivers Data'!$AA$4:$AB$7,2,FALSE)))</f>
        <v/>
      </c>
      <c r="AK58" s="155"/>
      <c r="AL58" s="499" t="str">
        <f>IF(AK58="","",IF(VLOOKUP(AK58,'G-7 Rivers Data'!$AD$4:$AE$8,2,FALSE)=0,"Spatial Data Missing ⚠",VLOOKUP(AK58,'G-7 Rivers Data'!$AD$4:$AE$8,2,FALSE)))</f>
        <v/>
      </c>
      <c r="AM58" s="545" t="str">
        <f t="shared" si="7"/>
        <v/>
      </c>
      <c r="AN58" s="149"/>
      <c r="AO58" s="150"/>
      <c r="AV58" s="31" t="str">
        <f>IFERROR(INDEX('G-7 Rivers Data'!$AZ$3:$AZ$7,MATCH(N58,'G-7 Rivers Data'!$AY$3:$AY$7,0)),"")</f>
        <v/>
      </c>
    </row>
    <row r="59" spans="2:48" ht="13.8" x14ac:dyDescent="0.25">
      <c r="B59" s="531" t="str">
        <f>'C-1 Site River Baseline'!AN57</f>
        <v/>
      </c>
      <c r="C59" s="520" t="str">
        <f>IF(B59="","",VLOOKUP($B59,'C-1 Site River Baseline'!$C$9:$R$257,2,FALSE))</f>
        <v/>
      </c>
      <c r="D59" s="520" t="str">
        <f>IF(C59="","",VLOOKUP($B59,'C-1 Site River Baseline'!$C$9:$R$257,3,FALSE))</f>
        <v/>
      </c>
      <c r="E59" s="520" t="str">
        <f>IF(D59="","",VLOOKUP($B59,'C-1 Site River Baseline'!$C$9:$R$257,4,FALSE))</f>
        <v/>
      </c>
      <c r="F59" s="520" t="str">
        <f>IF(E59="","",VLOOKUP($B59,'C-1 Site River Baseline'!$C$9:$R$257,5,FALSE))</f>
        <v/>
      </c>
      <c r="G59" s="520" t="str">
        <f>IF(F59="","",VLOOKUP($B59,'C-1 Site River Baseline'!$C$9:$R$257,6,FALSE))</f>
        <v/>
      </c>
      <c r="H59" s="520" t="str">
        <f>IF(G59="","",VLOOKUP($B59,'C-1 Site River Baseline'!$C$9:$R$257,7,FALSE))</f>
        <v/>
      </c>
      <c r="I59" s="520" t="str">
        <f>IF(H59="","",VLOOKUP($B59,'C-1 Site River Baseline'!$C$9:$R$257,8,FALSE))</f>
        <v/>
      </c>
      <c r="J59" s="520" t="str">
        <f>IF(I59="","",VLOOKUP($B59,'C-1 Site River Baseline'!$C$9:$R$257,9,FALSE))</f>
        <v/>
      </c>
      <c r="K59" s="520" t="str">
        <f>IF(J59="","",VLOOKUP($B59,'C-1 Site River Baseline'!$C$9:$R$257,10,FALSE))</f>
        <v/>
      </c>
      <c r="L59" s="520" t="str">
        <f>IF(B59="","",VLOOKUP($B59,'C-1 Site River Baseline'!$C$9:$R$257,15,FALSE))</f>
        <v/>
      </c>
      <c r="M59" s="524" t="str">
        <f>IF(L59="","",VLOOKUP($B59,'C-1 Site River Baseline'!$C$9:$R$257,16,FALSE))</f>
        <v/>
      </c>
      <c r="N59" s="418" t="str">
        <f t="shared" si="6"/>
        <v/>
      </c>
      <c r="O59" s="498" t="str">
        <f t="shared" si="1"/>
        <v/>
      </c>
      <c r="P59" s="499"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7" t="str">
        <f>IF(N59="","",VLOOKUP(B59,'C-1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07" t="str">
        <f>IF(V59="","",IF(VLOOKUP(V59,'G-7 Rivers Data'!$AG$4:$AI$9,2,FALSE)=0,"Spatial Data Missing ⚠",VLOOKUP(V59,'G-7 Rivers Data'!$AG$4:$AI$9,2,FALSE)))</f>
        <v/>
      </c>
      <c r="X59" s="499" t="str">
        <f>IF(V59="","",IF(VLOOKUP(V59,'G-7 Rivers Data'!$AG$4:$AI$9,3,FALSE)=0,"Spatial Data Missing ⚠",VLOOKUP(V59,'G-7 Rivers Data'!$AG$4:$AI$9,3,FALSE)))</f>
        <v/>
      </c>
      <c r="Y59" s="498" t="str">
        <f>IFERROR(IF(OR(LEFT(P59,5)="Error ▲",LEFT(O59,5)="Error ▲"),"Check Data ⚠",IF(F59&lt;S59,'G-7 Rivers Data'!$R$3,INDEX('G-7 Rivers Data'!$U$5:$Y$9,MATCH(G59,'G-7 Rivers Data'!$T$5:$T$9,0),MATCH(T59,'G-7 Rivers Data'!$U$4:$Y$4,0)))),"")</f>
        <v/>
      </c>
      <c r="Z59" s="195"/>
      <c r="AA59" s="195"/>
      <c r="AB59" s="507" t="str">
        <f t="shared" si="2"/>
        <v/>
      </c>
      <c r="AC59" s="521" t="str">
        <f t="shared" si="3"/>
        <v/>
      </c>
      <c r="AD59" s="564" t="str">
        <f>IFERROR(IF(AC59="Check Data ⚠","Check Data ⚠",VLOOKUP(AC59,'G-4 Temporal multipliers'!$A$4:$C$37,3,FALSE)),"")</f>
        <v/>
      </c>
      <c r="AE59" s="498" t="str">
        <f>IF(N59="","",VLOOKUP(N59,'G-7 Rivers Data'!$B$4:$G$8,5,FALSE))</f>
        <v/>
      </c>
      <c r="AF59" s="507" t="str">
        <f t="shared" si="4"/>
        <v/>
      </c>
      <c r="AG59" s="540" t="str">
        <f t="shared" si="5"/>
        <v/>
      </c>
      <c r="AH59" s="499" t="str">
        <f t="shared" si="0"/>
        <v/>
      </c>
      <c r="AI59" s="145"/>
      <c r="AJ59" s="499" t="str">
        <f>IF(AI59="","",IF(VLOOKUP(AI59,'G-7 Rivers Data'!$AA$4:$AB$7,2,FALSE)=0,"Spatial Data Missing ⚠",VLOOKUP(AI59,'G-7 Rivers Data'!$AA$4:$AB$7,2,FALSE)))</f>
        <v/>
      </c>
      <c r="AK59" s="155"/>
      <c r="AL59" s="499" t="str">
        <f>IF(AK59="","",IF(VLOOKUP(AK59,'G-7 Rivers Data'!$AD$4:$AE$8,2,FALSE)=0,"Spatial Data Missing ⚠",VLOOKUP(AK59,'G-7 Rivers Data'!$AD$4:$AE$8,2,FALSE)))</f>
        <v/>
      </c>
      <c r="AM59" s="545" t="str">
        <f t="shared" si="7"/>
        <v/>
      </c>
      <c r="AN59" s="149"/>
      <c r="AO59" s="150"/>
      <c r="AV59" s="31" t="str">
        <f>IFERROR(INDEX('G-7 Rivers Data'!$AZ$3:$AZ$7,MATCH(N59,'G-7 Rivers Data'!$AY$3:$AY$7,0)),"")</f>
        <v/>
      </c>
    </row>
    <row r="60" spans="2:48" ht="13.8" x14ac:dyDescent="0.25">
      <c r="B60" s="531" t="str">
        <f>'C-1 Site River Baseline'!AN58</f>
        <v/>
      </c>
      <c r="C60" s="520" t="str">
        <f>IF(B60="","",VLOOKUP($B60,'C-1 Site River Baseline'!$C$9:$R$257,2,FALSE))</f>
        <v/>
      </c>
      <c r="D60" s="520" t="str">
        <f>IF(C60="","",VLOOKUP($B60,'C-1 Site River Baseline'!$C$9:$R$257,3,FALSE))</f>
        <v/>
      </c>
      <c r="E60" s="520" t="str">
        <f>IF(D60="","",VLOOKUP($B60,'C-1 Site River Baseline'!$C$9:$R$257,4,FALSE))</f>
        <v/>
      </c>
      <c r="F60" s="520" t="str">
        <f>IF(E60="","",VLOOKUP($B60,'C-1 Site River Baseline'!$C$9:$R$257,5,FALSE))</f>
        <v/>
      </c>
      <c r="G60" s="520" t="str">
        <f>IF(F60="","",VLOOKUP($B60,'C-1 Site River Baseline'!$C$9:$R$257,6,FALSE))</f>
        <v/>
      </c>
      <c r="H60" s="520" t="str">
        <f>IF(G60="","",VLOOKUP($B60,'C-1 Site River Baseline'!$C$9:$R$257,7,FALSE))</f>
        <v/>
      </c>
      <c r="I60" s="520" t="str">
        <f>IF(H60="","",VLOOKUP($B60,'C-1 Site River Baseline'!$C$9:$R$257,8,FALSE))</f>
        <v/>
      </c>
      <c r="J60" s="520" t="str">
        <f>IF(I60="","",VLOOKUP($B60,'C-1 Site River Baseline'!$C$9:$R$257,9,FALSE))</f>
        <v/>
      </c>
      <c r="K60" s="520" t="str">
        <f>IF(J60="","",VLOOKUP($B60,'C-1 Site River Baseline'!$C$9:$R$257,10,FALSE))</f>
        <v/>
      </c>
      <c r="L60" s="520" t="str">
        <f>IF(B60="","",VLOOKUP($B60,'C-1 Site River Baseline'!$C$9:$R$257,15,FALSE))</f>
        <v/>
      </c>
      <c r="M60" s="524" t="str">
        <f>IF(L60="","",VLOOKUP($B60,'C-1 Site River Baseline'!$C$9:$R$257,16,FALSE))</f>
        <v/>
      </c>
      <c r="N60" s="418" t="str">
        <f t="shared" si="6"/>
        <v/>
      </c>
      <c r="O60" s="498" t="str">
        <f t="shared" si="1"/>
        <v/>
      </c>
      <c r="P60" s="499"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7" t="str">
        <f>IF(N60="","",VLOOKUP(B60,'C-1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07" t="str">
        <f>IF(V60="","",IF(VLOOKUP(V60,'G-7 Rivers Data'!$AG$4:$AI$9,2,FALSE)=0,"Spatial Data Missing ⚠",VLOOKUP(V60,'G-7 Rivers Data'!$AG$4:$AI$9,2,FALSE)))</f>
        <v/>
      </c>
      <c r="X60" s="499" t="str">
        <f>IF(V60="","",IF(VLOOKUP(V60,'G-7 Rivers Data'!$AG$4:$AI$9,3,FALSE)=0,"Spatial Data Missing ⚠",VLOOKUP(V60,'G-7 Rivers Data'!$AG$4:$AI$9,3,FALSE)))</f>
        <v/>
      </c>
      <c r="Y60" s="498" t="str">
        <f>IFERROR(IF(OR(LEFT(P60,5)="Error ▲",LEFT(O60,5)="Error ▲"),"Check Data ⚠",IF(F60&lt;S60,'G-7 Rivers Data'!$R$3,INDEX('G-7 Rivers Data'!$U$5:$Y$9,MATCH(G60,'G-7 Rivers Data'!$T$5:$T$9,0),MATCH(T60,'G-7 Rivers Data'!$U$4:$Y$4,0)))),"")</f>
        <v/>
      </c>
      <c r="Z60" s="195"/>
      <c r="AA60" s="195"/>
      <c r="AB60" s="507" t="str">
        <f t="shared" si="2"/>
        <v/>
      </c>
      <c r="AC60" s="521" t="str">
        <f t="shared" si="3"/>
        <v/>
      </c>
      <c r="AD60" s="564" t="str">
        <f>IFERROR(IF(AC60="Check Data ⚠","Check Data ⚠",VLOOKUP(AC60,'G-4 Temporal multipliers'!$A$4:$C$37,3,FALSE)),"")</f>
        <v/>
      </c>
      <c r="AE60" s="498" t="str">
        <f>IF(N60="","",VLOOKUP(N60,'G-7 Rivers Data'!$B$4:$G$8,5,FALSE))</f>
        <v/>
      </c>
      <c r="AF60" s="507" t="str">
        <f t="shared" si="4"/>
        <v/>
      </c>
      <c r="AG60" s="540" t="str">
        <f t="shared" si="5"/>
        <v/>
      </c>
      <c r="AH60" s="499" t="str">
        <f t="shared" si="0"/>
        <v/>
      </c>
      <c r="AI60" s="145"/>
      <c r="AJ60" s="499" t="str">
        <f>IF(AI60="","",IF(VLOOKUP(AI60,'G-7 Rivers Data'!$AA$4:$AB$7,2,FALSE)=0,"Spatial Data Missing ⚠",VLOOKUP(AI60,'G-7 Rivers Data'!$AA$4:$AB$7,2,FALSE)))</f>
        <v/>
      </c>
      <c r="AK60" s="155"/>
      <c r="AL60" s="499" t="str">
        <f>IF(AK60="","",IF(VLOOKUP(AK60,'G-7 Rivers Data'!$AD$4:$AE$8,2,FALSE)=0,"Spatial Data Missing ⚠",VLOOKUP(AK60,'G-7 Rivers Data'!$AD$4:$AE$8,2,FALSE)))</f>
        <v/>
      </c>
      <c r="AM60" s="545" t="str">
        <f t="shared" si="7"/>
        <v/>
      </c>
      <c r="AN60" s="149"/>
      <c r="AO60" s="150"/>
      <c r="AV60" s="31" t="str">
        <f>IFERROR(INDEX('G-7 Rivers Data'!$AZ$3:$AZ$7,MATCH(N60,'G-7 Rivers Data'!$AY$3:$AY$7,0)),"")</f>
        <v/>
      </c>
    </row>
    <row r="61" spans="2:48" ht="13.8" x14ac:dyDescent="0.25">
      <c r="B61" s="531" t="str">
        <f>'C-1 Site River Baseline'!AN59</f>
        <v/>
      </c>
      <c r="C61" s="520" t="str">
        <f>IF(B61="","",VLOOKUP($B61,'C-1 Site River Baseline'!$C$9:$R$257,2,FALSE))</f>
        <v/>
      </c>
      <c r="D61" s="520" t="str">
        <f>IF(C61="","",VLOOKUP($B61,'C-1 Site River Baseline'!$C$9:$R$257,3,FALSE))</f>
        <v/>
      </c>
      <c r="E61" s="520" t="str">
        <f>IF(D61="","",VLOOKUP($B61,'C-1 Site River Baseline'!$C$9:$R$257,4,FALSE))</f>
        <v/>
      </c>
      <c r="F61" s="520" t="str">
        <f>IF(E61="","",VLOOKUP($B61,'C-1 Site River Baseline'!$C$9:$R$257,5,FALSE))</f>
        <v/>
      </c>
      <c r="G61" s="520" t="str">
        <f>IF(F61="","",VLOOKUP($B61,'C-1 Site River Baseline'!$C$9:$R$257,6,FALSE))</f>
        <v/>
      </c>
      <c r="H61" s="520" t="str">
        <f>IF(G61="","",VLOOKUP($B61,'C-1 Site River Baseline'!$C$9:$R$257,7,FALSE))</f>
        <v/>
      </c>
      <c r="I61" s="520" t="str">
        <f>IF(H61="","",VLOOKUP($B61,'C-1 Site River Baseline'!$C$9:$R$257,8,FALSE))</f>
        <v/>
      </c>
      <c r="J61" s="520" t="str">
        <f>IF(I61="","",VLOOKUP($B61,'C-1 Site River Baseline'!$C$9:$R$257,9,FALSE))</f>
        <v/>
      </c>
      <c r="K61" s="520" t="str">
        <f>IF(J61="","",VLOOKUP($B61,'C-1 Site River Baseline'!$C$9:$R$257,10,FALSE))</f>
        <v/>
      </c>
      <c r="L61" s="520" t="str">
        <f>IF(B61="","",VLOOKUP($B61,'C-1 Site River Baseline'!$C$9:$R$257,15,FALSE))</f>
        <v/>
      </c>
      <c r="M61" s="524" t="str">
        <f>IF(L61="","",VLOOKUP($B61,'C-1 Site River Baseline'!$C$9:$R$257,16,FALSE))</f>
        <v/>
      </c>
      <c r="N61" s="418" t="str">
        <f t="shared" si="6"/>
        <v/>
      </c>
      <c r="O61" s="498" t="str">
        <f t="shared" si="1"/>
        <v/>
      </c>
      <c r="P61" s="499"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7" t="str">
        <f>IF(N61="","",VLOOKUP(B61,'C-1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07" t="str">
        <f>IF(V61="","",IF(VLOOKUP(V61,'G-7 Rivers Data'!$AG$4:$AI$9,2,FALSE)=0,"Spatial Data Missing ⚠",VLOOKUP(V61,'G-7 Rivers Data'!$AG$4:$AI$9,2,FALSE)))</f>
        <v/>
      </c>
      <c r="X61" s="499" t="str">
        <f>IF(V61="","",IF(VLOOKUP(V61,'G-7 Rivers Data'!$AG$4:$AI$9,3,FALSE)=0,"Spatial Data Missing ⚠",VLOOKUP(V61,'G-7 Rivers Data'!$AG$4:$AI$9,3,FALSE)))</f>
        <v/>
      </c>
      <c r="Y61" s="498" t="str">
        <f>IFERROR(IF(OR(LEFT(P61,5)="Error ▲",LEFT(O61,5)="Error ▲"),"Check Data ⚠",IF(F61&lt;S61,'G-7 Rivers Data'!$R$3,INDEX('G-7 Rivers Data'!$U$5:$Y$9,MATCH(G61,'G-7 Rivers Data'!$T$5:$T$9,0),MATCH(T61,'G-7 Rivers Data'!$U$4:$Y$4,0)))),"")</f>
        <v/>
      </c>
      <c r="Z61" s="195"/>
      <c r="AA61" s="195"/>
      <c r="AB61" s="507" t="str">
        <f t="shared" si="2"/>
        <v/>
      </c>
      <c r="AC61" s="521" t="str">
        <f t="shared" si="3"/>
        <v/>
      </c>
      <c r="AD61" s="564" t="str">
        <f>IFERROR(IF(AC61="Check Data ⚠","Check Data ⚠",VLOOKUP(AC61,'G-4 Temporal multipliers'!$A$4:$C$37,3,FALSE)),"")</f>
        <v/>
      </c>
      <c r="AE61" s="498" t="str">
        <f>IF(N61="","",VLOOKUP(N61,'G-7 Rivers Data'!$B$4:$G$8,5,FALSE))</f>
        <v/>
      </c>
      <c r="AF61" s="507" t="str">
        <f t="shared" si="4"/>
        <v/>
      </c>
      <c r="AG61" s="540" t="str">
        <f t="shared" si="5"/>
        <v/>
      </c>
      <c r="AH61" s="499" t="str">
        <f t="shared" si="0"/>
        <v/>
      </c>
      <c r="AI61" s="145"/>
      <c r="AJ61" s="499" t="str">
        <f>IF(AI61="","",IF(VLOOKUP(AI61,'G-7 Rivers Data'!$AA$4:$AB$7,2,FALSE)=0,"Spatial Data Missing ⚠",VLOOKUP(AI61,'G-7 Rivers Data'!$AA$4:$AB$7,2,FALSE)))</f>
        <v/>
      </c>
      <c r="AK61" s="155"/>
      <c r="AL61" s="499" t="str">
        <f>IF(AK61="","",IF(VLOOKUP(AK61,'G-7 Rivers Data'!$AD$4:$AE$8,2,FALSE)=0,"Spatial Data Missing ⚠",VLOOKUP(AK61,'G-7 Rivers Data'!$AD$4:$AE$8,2,FALSE)))</f>
        <v/>
      </c>
      <c r="AM61" s="545" t="str">
        <f t="shared" si="7"/>
        <v/>
      </c>
      <c r="AN61" s="149"/>
      <c r="AO61" s="150"/>
      <c r="AV61" s="31" t="str">
        <f>IFERROR(INDEX('G-7 Rivers Data'!$AZ$3:$AZ$7,MATCH(N61,'G-7 Rivers Data'!$AY$3:$AY$7,0)),"")</f>
        <v/>
      </c>
    </row>
    <row r="62" spans="2:48" ht="13.8" x14ac:dyDescent="0.25">
      <c r="B62" s="531" t="str">
        <f>'C-1 Site River Baseline'!AN60</f>
        <v/>
      </c>
      <c r="C62" s="520" t="str">
        <f>IF(B62="","",VLOOKUP($B62,'C-1 Site River Baseline'!$C$9:$R$257,2,FALSE))</f>
        <v/>
      </c>
      <c r="D62" s="520" t="str">
        <f>IF(C62="","",VLOOKUP($B62,'C-1 Site River Baseline'!$C$9:$R$257,3,FALSE))</f>
        <v/>
      </c>
      <c r="E62" s="520" t="str">
        <f>IF(D62="","",VLOOKUP($B62,'C-1 Site River Baseline'!$C$9:$R$257,4,FALSE))</f>
        <v/>
      </c>
      <c r="F62" s="520" t="str">
        <f>IF(E62="","",VLOOKUP($B62,'C-1 Site River Baseline'!$C$9:$R$257,5,FALSE))</f>
        <v/>
      </c>
      <c r="G62" s="520" t="str">
        <f>IF(F62="","",VLOOKUP($B62,'C-1 Site River Baseline'!$C$9:$R$257,6,FALSE))</f>
        <v/>
      </c>
      <c r="H62" s="520" t="str">
        <f>IF(G62="","",VLOOKUP($B62,'C-1 Site River Baseline'!$C$9:$R$257,7,FALSE))</f>
        <v/>
      </c>
      <c r="I62" s="520" t="str">
        <f>IF(H62="","",VLOOKUP($B62,'C-1 Site River Baseline'!$C$9:$R$257,8,FALSE))</f>
        <v/>
      </c>
      <c r="J62" s="520" t="str">
        <f>IF(I62="","",VLOOKUP($B62,'C-1 Site River Baseline'!$C$9:$R$257,9,FALSE))</f>
        <v/>
      </c>
      <c r="K62" s="520" t="str">
        <f>IF(J62="","",VLOOKUP($B62,'C-1 Site River Baseline'!$C$9:$R$257,10,FALSE))</f>
        <v/>
      </c>
      <c r="L62" s="520" t="str">
        <f>IF(B62="","",VLOOKUP($B62,'C-1 Site River Baseline'!$C$9:$R$257,15,FALSE))</f>
        <v/>
      </c>
      <c r="M62" s="524" t="str">
        <f>IF(L62="","",VLOOKUP($B62,'C-1 Site River Baseline'!$C$9:$R$257,16,FALSE))</f>
        <v/>
      </c>
      <c r="N62" s="418" t="str">
        <f t="shared" si="6"/>
        <v/>
      </c>
      <c r="O62" s="498" t="str">
        <f t="shared" si="1"/>
        <v/>
      </c>
      <c r="P62" s="499"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7" t="str">
        <f>IF(N62="","",VLOOKUP(B62,'C-1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07" t="str">
        <f>IF(V62="","",IF(VLOOKUP(V62,'G-7 Rivers Data'!$AG$4:$AI$9,2,FALSE)=0,"Spatial Data Missing ⚠",VLOOKUP(V62,'G-7 Rivers Data'!$AG$4:$AI$9,2,FALSE)))</f>
        <v/>
      </c>
      <c r="X62" s="499" t="str">
        <f>IF(V62="","",IF(VLOOKUP(V62,'G-7 Rivers Data'!$AG$4:$AI$9,3,FALSE)=0,"Spatial Data Missing ⚠",VLOOKUP(V62,'G-7 Rivers Data'!$AG$4:$AI$9,3,FALSE)))</f>
        <v/>
      </c>
      <c r="Y62" s="498" t="str">
        <f>IFERROR(IF(OR(LEFT(P62,5)="Error ▲",LEFT(O62,5)="Error ▲"),"Check Data ⚠",IF(F62&lt;S62,'G-7 Rivers Data'!$R$3,INDEX('G-7 Rivers Data'!$U$5:$Y$9,MATCH(G62,'G-7 Rivers Data'!$T$5:$T$9,0),MATCH(T62,'G-7 Rivers Data'!$U$4:$Y$4,0)))),"")</f>
        <v/>
      </c>
      <c r="Z62" s="195"/>
      <c r="AA62" s="195"/>
      <c r="AB62" s="507" t="str">
        <f t="shared" si="2"/>
        <v/>
      </c>
      <c r="AC62" s="521" t="str">
        <f t="shared" si="3"/>
        <v/>
      </c>
      <c r="AD62" s="564" t="str">
        <f>IFERROR(IF(AC62="Check Data ⚠","Check Data ⚠",VLOOKUP(AC62,'G-4 Temporal multipliers'!$A$4:$C$37,3,FALSE)),"")</f>
        <v/>
      </c>
      <c r="AE62" s="498" t="str">
        <f>IF(N62="","",VLOOKUP(N62,'G-7 Rivers Data'!$B$4:$G$8,5,FALSE))</f>
        <v/>
      </c>
      <c r="AF62" s="507" t="str">
        <f t="shared" si="4"/>
        <v/>
      </c>
      <c r="AG62" s="540" t="str">
        <f t="shared" si="5"/>
        <v/>
      </c>
      <c r="AH62" s="499" t="str">
        <f t="shared" si="0"/>
        <v/>
      </c>
      <c r="AI62" s="145"/>
      <c r="AJ62" s="499" t="str">
        <f>IF(AI62="","",IF(VLOOKUP(AI62,'G-7 Rivers Data'!$AA$4:$AB$7,2,FALSE)=0,"Spatial Data Missing ⚠",VLOOKUP(AI62,'G-7 Rivers Data'!$AA$4:$AB$7,2,FALSE)))</f>
        <v/>
      </c>
      <c r="AK62" s="155"/>
      <c r="AL62" s="499" t="str">
        <f>IF(AK62="","",IF(VLOOKUP(AK62,'G-7 Rivers Data'!$AD$4:$AE$8,2,FALSE)=0,"Spatial Data Missing ⚠",VLOOKUP(AK62,'G-7 Rivers Data'!$AD$4:$AE$8,2,FALSE)))</f>
        <v/>
      </c>
      <c r="AM62" s="545" t="str">
        <f t="shared" si="7"/>
        <v/>
      </c>
      <c r="AN62" s="149"/>
      <c r="AO62" s="150"/>
      <c r="AV62" s="31" t="str">
        <f>IFERROR(INDEX('G-7 Rivers Data'!$AZ$3:$AZ$7,MATCH(N62,'G-7 Rivers Data'!$AY$3:$AY$7,0)),"")</f>
        <v/>
      </c>
    </row>
    <row r="63" spans="2:48" ht="13.8" x14ac:dyDescent="0.25">
      <c r="B63" s="531" t="str">
        <f>'C-1 Site River Baseline'!AN61</f>
        <v/>
      </c>
      <c r="C63" s="520" t="str">
        <f>IF(B63="","",VLOOKUP($B63,'C-1 Site River Baseline'!$C$9:$R$257,2,FALSE))</f>
        <v/>
      </c>
      <c r="D63" s="520" t="str">
        <f>IF(C63="","",VLOOKUP($B63,'C-1 Site River Baseline'!$C$9:$R$257,3,FALSE))</f>
        <v/>
      </c>
      <c r="E63" s="520" t="str">
        <f>IF(D63="","",VLOOKUP($B63,'C-1 Site River Baseline'!$C$9:$R$257,4,FALSE))</f>
        <v/>
      </c>
      <c r="F63" s="520" t="str">
        <f>IF(E63="","",VLOOKUP($B63,'C-1 Site River Baseline'!$C$9:$R$257,5,FALSE))</f>
        <v/>
      </c>
      <c r="G63" s="520" t="str">
        <f>IF(F63="","",VLOOKUP($B63,'C-1 Site River Baseline'!$C$9:$R$257,6,FALSE))</f>
        <v/>
      </c>
      <c r="H63" s="520" t="str">
        <f>IF(G63="","",VLOOKUP($B63,'C-1 Site River Baseline'!$C$9:$R$257,7,FALSE))</f>
        <v/>
      </c>
      <c r="I63" s="520" t="str">
        <f>IF(H63="","",VLOOKUP($B63,'C-1 Site River Baseline'!$C$9:$R$257,8,FALSE))</f>
        <v/>
      </c>
      <c r="J63" s="520" t="str">
        <f>IF(I63="","",VLOOKUP($B63,'C-1 Site River Baseline'!$C$9:$R$257,9,FALSE))</f>
        <v/>
      </c>
      <c r="K63" s="520" t="str">
        <f>IF(J63="","",VLOOKUP($B63,'C-1 Site River Baseline'!$C$9:$R$257,10,FALSE))</f>
        <v/>
      </c>
      <c r="L63" s="520" t="str">
        <f>IF(B63="","",VLOOKUP($B63,'C-1 Site River Baseline'!$C$9:$R$257,15,FALSE))</f>
        <v/>
      </c>
      <c r="M63" s="524" t="str">
        <f>IF(L63="","",VLOOKUP($B63,'C-1 Site River Baseline'!$C$9:$R$257,16,FALSE))</f>
        <v/>
      </c>
      <c r="N63" s="418" t="str">
        <f t="shared" si="6"/>
        <v/>
      </c>
      <c r="O63" s="498" t="str">
        <f t="shared" si="1"/>
        <v/>
      </c>
      <c r="P63" s="499"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7" t="str">
        <f>IF(N63="","",VLOOKUP(B63,'C-1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07" t="str">
        <f>IF(V63="","",IF(VLOOKUP(V63,'G-7 Rivers Data'!$AG$4:$AI$9,2,FALSE)=0,"Spatial Data Missing ⚠",VLOOKUP(V63,'G-7 Rivers Data'!$AG$4:$AI$9,2,FALSE)))</f>
        <v/>
      </c>
      <c r="X63" s="499" t="str">
        <f>IF(V63="","",IF(VLOOKUP(V63,'G-7 Rivers Data'!$AG$4:$AI$9,3,FALSE)=0,"Spatial Data Missing ⚠",VLOOKUP(V63,'G-7 Rivers Data'!$AG$4:$AI$9,3,FALSE)))</f>
        <v/>
      </c>
      <c r="Y63" s="498" t="str">
        <f>IFERROR(IF(OR(LEFT(P63,5)="Error ▲",LEFT(O63,5)="Error ▲"),"Check Data ⚠",IF(F63&lt;S63,'G-7 Rivers Data'!$R$3,INDEX('G-7 Rivers Data'!$U$5:$Y$9,MATCH(G63,'G-7 Rivers Data'!$T$5:$T$9,0),MATCH(T63,'G-7 Rivers Data'!$U$4:$Y$4,0)))),"")</f>
        <v/>
      </c>
      <c r="Z63" s="195"/>
      <c r="AA63" s="195"/>
      <c r="AB63" s="507" t="str">
        <f t="shared" si="2"/>
        <v/>
      </c>
      <c r="AC63" s="521" t="str">
        <f t="shared" si="3"/>
        <v/>
      </c>
      <c r="AD63" s="564" t="str">
        <f>IFERROR(IF(AC63="Check Data ⚠","Check Data ⚠",VLOOKUP(AC63,'G-4 Temporal multipliers'!$A$4:$C$37,3,FALSE)),"")</f>
        <v/>
      </c>
      <c r="AE63" s="498" t="str">
        <f>IF(N63="","",VLOOKUP(N63,'G-7 Rivers Data'!$B$4:$G$8,5,FALSE))</f>
        <v/>
      </c>
      <c r="AF63" s="507" t="str">
        <f t="shared" si="4"/>
        <v/>
      </c>
      <c r="AG63" s="540" t="str">
        <f t="shared" si="5"/>
        <v/>
      </c>
      <c r="AH63" s="499" t="str">
        <f t="shared" si="0"/>
        <v/>
      </c>
      <c r="AI63" s="145"/>
      <c r="AJ63" s="499" t="str">
        <f>IF(AI63="","",IF(VLOOKUP(AI63,'G-7 Rivers Data'!$AA$4:$AB$7,2,FALSE)=0,"Spatial Data Missing ⚠",VLOOKUP(AI63,'G-7 Rivers Data'!$AA$4:$AB$7,2,FALSE)))</f>
        <v/>
      </c>
      <c r="AK63" s="155"/>
      <c r="AL63" s="499" t="str">
        <f>IF(AK63="","",IF(VLOOKUP(AK63,'G-7 Rivers Data'!$AD$4:$AE$8,2,FALSE)=0,"Spatial Data Missing ⚠",VLOOKUP(AK63,'G-7 Rivers Data'!$AD$4:$AE$8,2,FALSE)))</f>
        <v/>
      </c>
      <c r="AM63" s="545" t="str">
        <f t="shared" si="7"/>
        <v/>
      </c>
      <c r="AN63" s="149"/>
      <c r="AO63" s="150"/>
      <c r="AV63" s="31" t="str">
        <f>IFERROR(INDEX('G-7 Rivers Data'!$AZ$3:$AZ$7,MATCH(N63,'G-7 Rivers Data'!$AY$3:$AY$7,0)),"")</f>
        <v/>
      </c>
    </row>
    <row r="64" spans="2:48" ht="13.8" x14ac:dyDescent="0.25">
      <c r="B64" s="531" t="str">
        <f>'C-1 Site River Baseline'!AN62</f>
        <v/>
      </c>
      <c r="C64" s="520" t="str">
        <f>IF(B64="","",VLOOKUP($B64,'C-1 Site River Baseline'!$C$9:$R$257,2,FALSE))</f>
        <v/>
      </c>
      <c r="D64" s="520" t="str">
        <f>IF(C64="","",VLOOKUP($B64,'C-1 Site River Baseline'!$C$9:$R$257,3,FALSE))</f>
        <v/>
      </c>
      <c r="E64" s="520" t="str">
        <f>IF(D64="","",VLOOKUP($B64,'C-1 Site River Baseline'!$C$9:$R$257,4,FALSE))</f>
        <v/>
      </c>
      <c r="F64" s="520" t="str">
        <f>IF(E64="","",VLOOKUP($B64,'C-1 Site River Baseline'!$C$9:$R$257,5,FALSE))</f>
        <v/>
      </c>
      <c r="G64" s="520" t="str">
        <f>IF(F64="","",VLOOKUP($B64,'C-1 Site River Baseline'!$C$9:$R$257,6,FALSE))</f>
        <v/>
      </c>
      <c r="H64" s="520" t="str">
        <f>IF(G64="","",VLOOKUP($B64,'C-1 Site River Baseline'!$C$9:$R$257,7,FALSE))</f>
        <v/>
      </c>
      <c r="I64" s="520" t="str">
        <f>IF(H64="","",VLOOKUP($B64,'C-1 Site River Baseline'!$C$9:$R$257,8,FALSE))</f>
        <v/>
      </c>
      <c r="J64" s="520" t="str">
        <f>IF(I64="","",VLOOKUP($B64,'C-1 Site River Baseline'!$C$9:$R$257,9,FALSE))</f>
        <v/>
      </c>
      <c r="K64" s="520" t="str">
        <f>IF(J64="","",VLOOKUP($B64,'C-1 Site River Baseline'!$C$9:$R$257,10,FALSE))</f>
        <v/>
      </c>
      <c r="L64" s="520" t="str">
        <f>IF(B64="","",VLOOKUP($B64,'C-1 Site River Baseline'!$C$9:$R$257,15,FALSE))</f>
        <v/>
      </c>
      <c r="M64" s="524" t="str">
        <f>IF(L64="","",VLOOKUP($B64,'C-1 Site River Baseline'!$C$9:$R$257,16,FALSE))</f>
        <v/>
      </c>
      <c r="N64" s="418" t="str">
        <f t="shared" si="6"/>
        <v/>
      </c>
      <c r="O64" s="498" t="str">
        <f t="shared" si="1"/>
        <v/>
      </c>
      <c r="P64" s="499"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7" t="str">
        <f>IF(N64="","",VLOOKUP(B64,'C-1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07" t="str">
        <f>IF(V64="","",IF(VLOOKUP(V64,'G-7 Rivers Data'!$AG$4:$AI$9,2,FALSE)=0,"Spatial Data Missing ⚠",VLOOKUP(V64,'G-7 Rivers Data'!$AG$4:$AI$9,2,FALSE)))</f>
        <v/>
      </c>
      <c r="X64" s="499" t="str">
        <f>IF(V64="","",IF(VLOOKUP(V64,'G-7 Rivers Data'!$AG$4:$AI$9,3,FALSE)=0,"Spatial Data Missing ⚠",VLOOKUP(V64,'G-7 Rivers Data'!$AG$4:$AI$9,3,FALSE)))</f>
        <v/>
      </c>
      <c r="Y64" s="498" t="str">
        <f>IFERROR(IF(OR(LEFT(P64,5)="Error ▲",LEFT(O64,5)="Error ▲"),"Check Data ⚠",IF(F64&lt;S64,'G-7 Rivers Data'!$R$3,INDEX('G-7 Rivers Data'!$U$5:$Y$9,MATCH(G64,'G-7 Rivers Data'!$T$5:$T$9,0),MATCH(T64,'G-7 Rivers Data'!$U$4:$Y$4,0)))),"")</f>
        <v/>
      </c>
      <c r="Z64" s="195"/>
      <c r="AA64" s="195"/>
      <c r="AB64" s="507" t="str">
        <f t="shared" si="2"/>
        <v/>
      </c>
      <c r="AC64" s="521" t="str">
        <f t="shared" si="3"/>
        <v/>
      </c>
      <c r="AD64" s="564" t="str">
        <f>IFERROR(IF(AC64="Check Data ⚠","Check Data ⚠",VLOOKUP(AC64,'G-4 Temporal multipliers'!$A$4:$C$37,3,FALSE)),"")</f>
        <v/>
      </c>
      <c r="AE64" s="498" t="str">
        <f>IF(N64="","",VLOOKUP(N64,'G-7 Rivers Data'!$B$4:$G$8,5,FALSE))</f>
        <v/>
      </c>
      <c r="AF64" s="507" t="str">
        <f t="shared" si="4"/>
        <v/>
      </c>
      <c r="AG64" s="540" t="str">
        <f t="shared" si="5"/>
        <v/>
      </c>
      <c r="AH64" s="499" t="str">
        <f t="shared" si="0"/>
        <v/>
      </c>
      <c r="AI64" s="145"/>
      <c r="AJ64" s="499" t="str">
        <f>IF(AI64="","",IF(VLOOKUP(AI64,'G-7 Rivers Data'!$AA$4:$AB$7,2,FALSE)=0,"Spatial Data Missing ⚠",VLOOKUP(AI64,'G-7 Rivers Data'!$AA$4:$AB$7,2,FALSE)))</f>
        <v/>
      </c>
      <c r="AK64" s="155"/>
      <c r="AL64" s="499" t="str">
        <f>IF(AK64="","",IF(VLOOKUP(AK64,'G-7 Rivers Data'!$AD$4:$AE$8,2,FALSE)=0,"Spatial Data Missing ⚠",VLOOKUP(AK64,'G-7 Rivers Data'!$AD$4:$AE$8,2,FALSE)))</f>
        <v/>
      </c>
      <c r="AM64" s="545" t="str">
        <f t="shared" si="7"/>
        <v/>
      </c>
      <c r="AN64" s="149"/>
      <c r="AO64" s="150"/>
      <c r="AV64" s="31" t="str">
        <f>IFERROR(INDEX('G-7 Rivers Data'!$AZ$3:$AZ$7,MATCH(N64,'G-7 Rivers Data'!$AY$3:$AY$7,0)),"")</f>
        <v/>
      </c>
    </row>
    <row r="65" spans="2:48" ht="13.8" x14ac:dyDescent="0.25">
      <c r="B65" s="531" t="str">
        <f>'C-1 Site River Baseline'!AN63</f>
        <v/>
      </c>
      <c r="C65" s="520" t="str">
        <f>IF(B65="","",VLOOKUP($B65,'C-1 Site River Baseline'!$C$9:$R$257,2,FALSE))</f>
        <v/>
      </c>
      <c r="D65" s="520" t="str">
        <f>IF(C65="","",VLOOKUP($B65,'C-1 Site River Baseline'!$C$9:$R$257,3,FALSE))</f>
        <v/>
      </c>
      <c r="E65" s="520" t="str">
        <f>IF(D65="","",VLOOKUP($B65,'C-1 Site River Baseline'!$C$9:$R$257,4,FALSE))</f>
        <v/>
      </c>
      <c r="F65" s="520" t="str">
        <f>IF(E65="","",VLOOKUP($B65,'C-1 Site River Baseline'!$C$9:$R$257,5,FALSE))</f>
        <v/>
      </c>
      <c r="G65" s="520" t="str">
        <f>IF(F65="","",VLOOKUP($B65,'C-1 Site River Baseline'!$C$9:$R$257,6,FALSE))</f>
        <v/>
      </c>
      <c r="H65" s="520" t="str">
        <f>IF(G65="","",VLOOKUP($B65,'C-1 Site River Baseline'!$C$9:$R$257,7,FALSE))</f>
        <v/>
      </c>
      <c r="I65" s="520" t="str">
        <f>IF(H65="","",VLOOKUP($B65,'C-1 Site River Baseline'!$C$9:$R$257,8,FALSE))</f>
        <v/>
      </c>
      <c r="J65" s="520" t="str">
        <f>IF(I65="","",VLOOKUP($B65,'C-1 Site River Baseline'!$C$9:$R$257,9,FALSE))</f>
        <v/>
      </c>
      <c r="K65" s="520" t="str">
        <f>IF(J65="","",VLOOKUP($B65,'C-1 Site River Baseline'!$C$9:$R$257,10,FALSE))</f>
        <v/>
      </c>
      <c r="L65" s="520" t="str">
        <f>IF(B65="","",VLOOKUP($B65,'C-1 Site River Baseline'!$C$9:$R$257,15,FALSE))</f>
        <v/>
      </c>
      <c r="M65" s="524" t="str">
        <f>IF(L65="","",VLOOKUP($B65,'C-1 Site River Baseline'!$C$9:$R$257,16,FALSE))</f>
        <v/>
      </c>
      <c r="N65" s="418" t="str">
        <f t="shared" si="6"/>
        <v/>
      </c>
      <c r="O65" s="498" t="str">
        <f t="shared" si="1"/>
        <v/>
      </c>
      <c r="P65" s="499"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7" t="str">
        <f>IF(N65="","",VLOOKUP(B65,'C-1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07" t="str">
        <f>IF(V65="","",IF(VLOOKUP(V65,'G-7 Rivers Data'!$AG$4:$AI$9,2,FALSE)=0,"Spatial Data Missing ⚠",VLOOKUP(V65,'G-7 Rivers Data'!$AG$4:$AI$9,2,FALSE)))</f>
        <v/>
      </c>
      <c r="X65" s="499" t="str">
        <f>IF(V65="","",IF(VLOOKUP(V65,'G-7 Rivers Data'!$AG$4:$AI$9,3,FALSE)=0,"Spatial Data Missing ⚠",VLOOKUP(V65,'G-7 Rivers Data'!$AG$4:$AI$9,3,FALSE)))</f>
        <v/>
      </c>
      <c r="Y65" s="498" t="str">
        <f>IFERROR(IF(OR(LEFT(P65,5)="Error ▲",LEFT(O65,5)="Error ▲"),"Check Data ⚠",IF(F65&lt;S65,'G-7 Rivers Data'!$R$3,INDEX('G-7 Rivers Data'!$U$5:$Y$9,MATCH(G65,'G-7 Rivers Data'!$T$5:$T$9,0),MATCH(T65,'G-7 Rivers Data'!$U$4:$Y$4,0)))),"")</f>
        <v/>
      </c>
      <c r="Z65" s="195"/>
      <c r="AA65" s="195"/>
      <c r="AB65" s="507" t="str">
        <f t="shared" si="2"/>
        <v/>
      </c>
      <c r="AC65" s="521" t="str">
        <f t="shared" si="3"/>
        <v/>
      </c>
      <c r="AD65" s="564" t="str">
        <f>IFERROR(IF(AC65="Check Data ⚠","Check Data ⚠",VLOOKUP(AC65,'G-4 Temporal multipliers'!$A$4:$C$37,3,FALSE)),"")</f>
        <v/>
      </c>
      <c r="AE65" s="498" t="str">
        <f>IF(N65="","",VLOOKUP(N65,'G-7 Rivers Data'!$B$4:$G$8,5,FALSE))</f>
        <v/>
      </c>
      <c r="AF65" s="507" t="str">
        <f t="shared" si="4"/>
        <v/>
      </c>
      <c r="AG65" s="540" t="str">
        <f t="shared" si="5"/>
        <v/>
      </c>
      <c r="AH65" s="499" t="str">
        <f t="shared" si="0"/>
        <v/>
      </c>
      <c r="AI65" s="145"/>
      <c r="AJ65" s="499" t="str">
        <f>IF(AI65="","",IF(VLOOKUP(AI65,'G-7 Rivers Data'!$AA$4:$AB$7,2,FALSE)=0,"Spatial Data Missing ⚠",VLOOKUP(AI65,'G-7 Rivers Data'!$AA$4:$AB$7,2,FALSE)))</f>
        <v/>
      </c>
      <c r="AK65" s="155"/>
      <c r="AL65" s="499" t="str">
        <f>IF(AK65="","",IF(VLOOKUP(AK65,'G-7 Rivers Data'!$AD$4:$AE$8,2,FALSE)=0,"Spatial Data Missing ⚠",VLOOKUP(AK65,'G-7 Rivers Data'!$AD$4:$AE$8,2,FALSE)))</f>
        <v/>
      </c>
      <c r="AM65" s="545" t="str">
        <f t="shared" si="7"/>
        <v/>
      </c>
      <c r="AN65" s="149"/>
      <c r="AO65" s="150"/>
      <c r="AV65" s="31" t="str">
        <f>IFERROR(INDEX('G-7 Rivers Data'!$AZ$3:$AZ$7,MATCH(N65,'G-7 Rivers Data'!$AY$3:$AY$7,0)),"")</f>
        <v/>
      </c>
    </row>
    <row r="66" spans="2:48" ht="13.8" x14ac:dyDescent="0.25">
      <c r="B66" s="531" t="str">
        <f>'C-1 Site River Baseline'!AN64</f>
        <v/>
      </c>
      <c r="C66" s="520" t="str">
        <f>IF(B66="","",VLOOKUP($B66,'C-1 Site River Baseline'!$C$9:$R$257,2,FALSE))</f>
        <v/>
      </c>
      <c r="D66" s="520" t="str">
        <f>IF(C66="","",VLOOKUP($B66,'C-1 Site River Baseline'!$C$9:$R$257,3,FALSE))</f>
        <v/>
      </c>
      <c r="E66" s="520" t="str">
        <f>IF(D66="","",VLOOKUP($B66,'C-1 Site River Baseline'!$C$9:$R$257,4,FALSE))</f>
        <v/>
      </c>
      <c r="F66" s="520" t="str">
        <f>IF(E66="","",VLOOKUP($B66,'C-1 Site River Baseline'!$C$9:$R$257,5,FALSE))</f>
        <v/>
      </c>
      <c r="G66" s="520" t="str">
        <f>IF(F66="","",VLOOKUP($B66,'C-1 Site River Baseline'!$C$9:$R$257,6,FALSE))</f>
        <v/>
      </c>
      <c r="H66" s="520" t="str">
        <f>IF(G66="","",VLOOKUP($B66,'C-1 Site River Baseline'!$C$9:$R$257,7,FALSE))</f>
        <v/>
      </c>
      <c r="I66" s="520" t="str">
        <f>IF(H66="","",VLOOKUP($B66,'C-1 Site River Baseline'!$C$9:$R$257,8,FALSE))</f>
        <v/>
      </c>
      <c r="J66" s="520" t="str">
        <f>IF(I66="","",VLOOKUP($B66,'C-1 Site River Baseline'!$C$9:$R$257,9,FALSE))</f>
        <v/>
      </c>
      <c r="K66" s="520" t="str">
        <f>IF(J66="","",VLOOKUP($B66,'C-1 Site River Baseline'!$C$9:$R$257,10,FALSE))</f>
        <v/>
      </c>
      <c r="L66" s="520" t="str">
        <f>IF(B66="","",VLOOKUP($B66,'C-1 Site River Baseline'!$C$9:$R$257,15,FALSE))</f>
        <v/>
      </c>
      <c r="M66" s="524" t="str">
        <f>IF(L66="","",VLOOKUP($B66,'C-1 Site River Baseline'!$C$9:$R$257,16,FALSE))</f>
        <v/>
      </c>
      <c r="N66" s="418" t="str">
        <f t="shared" si="6"/>
        <v/>
      </c>
      <c r="O66" s="498" t="str">
        <f t="shared" si="1"/>
        <v/>
      </c>
      <c r="P66" s="499"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7" t="str">
        <f>IF(N66="","",VLOOKUP(B66,'C-1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07" t="str">
        <f>IF(V66="","",IF(VLOOKUP(V66,'G-7 Rivers Data'!$AG$4:$AI$9,2,FALSE)=0,"Spatial Data Missing ⚠",VLOOKUP(V66,'G-7 Rivers Data'!$AG$4:$AI$9,2,FALSE)))</f>
        <v/>
      </c>
      <c r="X66" s="499" t="str">
        <f>IF(V66="","",IF(VLOOKUP(V66,'G-7 Rivers Data'!$AG$4:$AI$9,3,FALSE)=0,"Spatial Data Missing ⚠",VLOOKUP(V66,'G-7 Rivers Data'!$AG$4:$AI$9,3,FALSE)))</f>
        <v/>
      </c>
      <c r="Y66" s="498" t="str">
        <f>IFERROR(IF(OR(LEFT(P66,5)="Error ▲",LEFT(O66,5)="Error ▲"),"Check Data ⚠",IF(F66&lt;S66,'G-7 Rivers Data'!$R$3,INDEX('G-7 Rivers Data'!$U$5:$Y$9,MATCH(G66,'G-7 Rivers Data'!$T$5:$T$9,0),MATCH(T66,'G-7 Rivers Data'!$U$4:$Y$4,0)))),"")</f>
        <v/>
      </c>
      <c r="Z66" s="195"/>
      <c r="AA66" s="195"/>
      <c r="AB66" s="507" t="str">
        <f t="shared" si="2"/>
        <v/>
      </c>
      <c r="AC66" s="521" t="str">
        <f t="shared" si="3"/>
        <v/>
      </c>
      <c r="AD66" s="564" t="str">
        <f>IFERROR(IF(AC66="Check Data ⚠","Check Data ⚠",VLOOKUP(AC66,'G-4 Temporal multipliers'!$A$4:$C$37,3,FALSE)),"")</f>
        <v/>
      </c>
      <c r="AE66" s="498" t="str">
        <f>IF(N66="","",VLOOKUP(N66,'G-7 Rivers Data'!$B$4:$G$8,5,FALSE))</f>
        <v/>
      </c>
      <c r="AF66" s="507" t="str">
        <f t="shared" si="4"/>
        <v/>
      </c>
      <c r="AG66" s="540" t="str">
        <f t="shared" si="5"/>
        <v/>
      </c>
      <c r="AH66" s="499" t="str">
        <f t="shared" si="0"/>
        <v/>
      </c>
      <c r="AI66" s="145"/>
      <c r="AJ66" s="499" t="str">
        <f>IF(AI66="","",IF(VLOOKUP(AI66,'G-7 Rivers Data'!$AA$4:$AB$7,2,FALSE)=0,"Spatial Data Missing ⚠",VLOOKUP(AI66,'G-7 Rivers Data'!$AA$4:$AB$7,2,FALSE)))</f>
        <v/>
      </c>
      <c r="AK66" s="155"/>
      <c r="AL66" s="499" t="str">
        <f>IF(AK66="","",IF(VLOOKUP(AK66,'G-7 Rivers Data'!$AD$4:$AE$8,2,FALSE)=0,"Spatial Data Missing ⚠",VLOOKUP(AK66,'G-7 Rivers Data'!$AD$4:$AE$8,2,FALSE)))</f>
        <v/>
      </c>
      <c r="AM66" s="545" t="str">
        <f t="shared" si="7"/>
        <v/>
      </c>
      <c r="AN66" s="149"/>
      <c r="AO66" s="150"/>
      <c r="AV66" s="31" t="str">
        <f>IFERROR(INDEX('G-7 Rivers Data'!$AZ$3:$AZ$7,MATCH(N66,'G-7 Rivers Data'!$AY$3:$AY$7,0)),"")</f>
        <v/>
      </c>
    </row>
    <row r="67" spans="2:48" ht="13.8" x14ac:dyDescent="0.25">
      <c r="B67" s="531" t="str">
        <f>'C-1 Site River Baseline'!AN65</f>
        <v/>
      </c>
      <c r="C67" s="520" t="str">
        <f>IF(B67="","",VLOOKUP($B67,'C-1 Site River Baseline'!$C$9:$R$257,2,FALSE))</f>
        <v/>
      </c>
      <c r="D67" s="520" t="str">
        <f>IF(C67="","",VLOOKUP($B67,'C-1 Site River Baseline'!$C$9:$R$257,3,FALSE))</f>
        <v/>
      </c>
      <c r="E67" s="520" t="str">
        <f>IF(D67="","",VLOOKUP($B67,'C-1 Site River Baseline'!$C$9:$R$257,4,FALSE))</f>
        <v/>
      </c>
      <c r="F67" s="520" t="str">
        <f>IF(E67="","",VLOOKUP($B67,'C-1 Site River Baseline'!$C$9:$R$257,5,FALSE))</f>
        <v/>
      </c>
      <c r="G67" s="520" t="str">
        <f>IF(F67="","",VLOOKUP($B67,'C-1 Site River Baseline'!$C$9:$R$257,6,FALSE))</f>
        <v/>
      </c>
      <c r="H67" s="520" t="str">
        <f>IF(G67="","",VLOOKUP($B67,'C-1 Site River Baseline'!$C$9:$R$257,7,FALSE))</f>
        <v/>
      </c>
      <c r="I67" s="520" t="str">
        <f>IF(H67="","",VLOOKUP($B67,'C-1 Site River Baseline'!$C$9:$R$257,8,FALSE))</f>
        <v/>
      </c>
      <c r="J67" s="520" t="str">
        <f>IF(I67="","",VLOOKUP($B67,'C-1 Site River Baseline'!$C$9:$R$257,9,FALSE))</f>
        <v/>
      </c>
      <c r="K67" s="520" t="str">
        <f>IF(J67="","",VLOOKUP($B67,'C-1 Site River Baseline'!$C$9:$R$257,10,FALSE))</f>
        <v/>
      </c>
      <c r="L67" s="520" t="str">
        <f>IF(B67="","",VLOOKUP($B67,'C-1 Site River Baseline'!$C$9:$R$257,15,FALSE))</f>
        <v/>
      </c>
      <c r="M67" s="524" t="str">
        <f>IF(L67="","",VLOOKUP($B67,'C-1 Site River Baseline'!$C$9:$R$257,16,FALSE))</f>
        <v/>
      </c>
      <c r="N67" s="418" t="str">
        <f t="shared" si="6"/>
        <v/>
      </c>
      <c r="O67" s="498" t="str">
        <f t="shared" si="1"/>
        <v/>
      </c>
      <c r="P67" s="499"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7" t="str">
        <f>IF(N67="","",VLOOKUP(B67,'C-1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07" t="str">
        <f>IF(V67="","",IF(VLOOKUP(V67,'G-7 Rivers Data'!$AG$4:$AI$9,2,FALSE)=0,"Spatial Data Missing ⚠",VLOOKUP(V67,'G-7 Rivers Data'!$AG$4:$AI$9,2,FALSE)))</f>
        <v/>
      </c>
      <c r="X67" s="499" t="str">
        <f>IF(V67="","",IF(VLOOKUP(V67,'G-7 Rivers Data'!$AG$4:$AI$9,3,FALSE)=0,"Spatial Data Missing ⚠",VLOOKUP(V67,'G-7 Rivers Data'!$AG$4:$AI$9,3,FALSE)))</f>
        <v/>
      </c>
      <c r="Y67" s="498" t="str">
        <f>IFERROR(IF(OR(LEFT(P67,5)="Error ▲",LEFT(O67,5)="Error ▲"),"Check Data ⚠",IF(F67&lt;S67,'G-7 Rivers Data'!$R$3,INDEX('G-7 Rivers Data'!$U$5:$Y$9,MATCH(G67,'G-7 Rivers Data'!$T$5:$T$9,0),MATCH(T67,'G-7 Rivers Data'!$U$4:$Y$4,0)))),"")</f>
        <v/>
      </c>
      <c r="Z67" s="195"/>
      <c r="AA67" s="195"/>
      <c r="AB67" s="507" t="str">
        <f t="shared" si="2"/>
        <v/>
      </c>
      <c r="AC67" s="521" t="str">
        <f t="shared" si="3"/>
        <v/>
      </c>
      <c r="AD67" s="564" t="str">
        <f>IFERROR(IF(AC67="Check Data ⚠","Check Data ⚠",VLOOKUP(AC67,'G-4 Temporal multipliers'!$A$4:$C$37,3,FALSE)),"")</f>
        <v/>
      </c>
      <c r="AE67" s="498" t="str">
        <f>IF(N67="","",VLOOKUP(N67,'G-7 Rivers Data'!$B$4:$G$8,5,FALSE))</f>
        <v/>
      </c>
      <c r="AF67" s="507" t="str">
        <f t="shared" si="4"/>
        <v/>
      </c>
      <c r="AG67" s="540" t="str">
        <f t="shared" si="5"/>
        <v/>
      </c>
      <c r="AH67" s="499" t="str">
        <f t="shared" si="0"/>
        <v/>
      </c>
      <c r="AI67" s="145"/>
      <c r="AJ67" s="499" t="str">
        <f>IF(AI67="","",IF(VLOOKUP(AI67,'G-7 Rivers Data'!$AA$4:$AB$7,2,FALSE)=0,"Spatial Data Missing ⚠",VLOOKUP(AI67,'G-7 Rivers Data'!$AA$4:$AB$7,2,FALSE)))</f>
        <v/>
      </c>
      <c r="AK67" s="155"/>
      <c r="AL67" s="499" t="str">
        <f>IF(AK67="","",IF(VLOOKUP(AK67,'G-7 Rivers Data'!$AD$4:$AE$8,2,FALSE)=0,"Spatial Data Missing ⚠",VLOOKUP(AK67,'G-7 Rivers Data'!$AD$4:$AE$8,2,FALSE)))</f>
        <v/>
      </c>
      <c r="AM67" s="545" t="str">
        <f t="shared" si="7"/>
        <v/>
      </c>
      <c r="AN67" s="149"/>
      <c r="AO67" s="150"/>
      <c r="AV67" s="31" t="str">
        <f>IFERROR(INDEX('G-7 Rivers Data'!$AZ$3:$AZ$7,MATCH(N67,'G-7 Rivers Data'!$AY$3:$AY$7,0)),"")</f>
        <v/>
      </c>
    </row>
    <row r="68" spans="2:48" ht="13.8" x14ac:dyDescent="0.25">
      <c r="B68" s="531" t="str">
        <f>'C-1 Site River Baseline'!AN66</f>
        <v/>
      </c>
      <c r="C68" s="520" t="str">
        <f>IF(B68="","",VLOOKUP($B68,'C-1 Site River Baseline'!$C$9:$R$257,2,FALSE))</f>
        <v/>
      </c>
      <c r="D68" s="520" t="str">
        <f>IF(C68="","",VLOOKUP($B68,'C-1 Site River Baseline'!$C$9:$R$257,3,FALSE))</f>
        <v/>
      </c>
      <c r="E68" s="520" t="str">
        <f>IF(D68="","",VLOOKUP($B68,'C-1 Site River Baseline'!$C$9:$R$257,4,FALSE))</f>
        <v/>
      </c>
      <c r="F68" s="520" t="str">
        <f>IF(E68="","",VLOOKUP($B68,'C-1 Site River Baseline'!$C$9:$R$257,5,FALSE))</f>
        <v/>
      </c>
      <c r="G68" s="520" t="str">
        <f>IF(F68="","",VLOOKUP($B68,'C-1 Site River Baseline'!$C$9:$R$257,6,FALSE))</f>
        <v/>
      </c>
      <c r="H68" s="520" t="str">
        <f>IF(G68="","",VLOOKUP($B68,'C-1 Site River Baseline'!$C$9:$R$257,7,FALSE))</f>
        <v/>
      </c>
      <c r="I68" s="520" t="str">
        <f>IF(H68="","",VLOOKUP($B68,'C-1 Site River Baseline'!$C$9:$R$257,8,FALSE))</f>
        <v/>
      </c>
      <c r="J68" s="520" t="str">
        <f>IF(I68="","",VLOOKUP($B68,'C-1 Site River Baseline'!$C$9:$R$257,9,FALSE))</f>
        <v/>
      </c>
      <c r="K68" s="520" t="str">
        <f>IF(J68="","",VLOOKUP($B68,'C-1 Site River Baseline'!$C$9:$R$257,10,FALSE))</f>
        <v/>
      </c>
      <c r="L68" s="520" t="str">
        <f>IF(B68="","",VLOOKUP($B68,'C-1 Site River Baseline'!$C$9:$R$257,15,FALSE))</f>
        <v/>
      </c>
      <c r="M68" s="524" t="str">
        <f>IF(L68="","",VLOOKUP($B68,'C-1 Site River Baseline'!$C$9:$R$257,16,FALSE))</f>
        <v/>
      </c>
      <c r="N68" s="418" t="str">
        <f t="shared" si="6"/>
        <v/>
      </c>
      <c r="O68" s="498" t="str">
        <f t="shared" si="1"/>
        <v/>
      </c>
      <c r="P68" s="499"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7" t="str">
        <f>IF(N68="","",VLOOKUP(B68,'C-1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07" t="str">
        <f>IF(V68="","",IF(VLOOKUP(V68,'G-7 Rivers Data'!$AG$4:$AI$9,2,FALSE)=0,"Spatial Data Missing ⚠",VLOOKUP(V68,'G-7 Rivers Data'!$AG$4:$AI$9,2,FALSE)))</f>
        <v/>
      </c>
      <c r="X68" s="499" t="str">
        <f>IF(V68="","",IF(VLOOKUP(V68,'G-7 Rivers Data'!$AG$4:$AI$9,3,FALSE)=0,"Spatial Data Missing ⚠",VLOOKUP(V68,'G-7 Rivers Data'!$AG$4:$AI$9,3,FALSE)))</f>
        <v/>
      </c>
      <c r="Y68" s="498" t="str">
        <f>IFERROR(IF(OR(LEFT(P68,5)="Error ▲",LEFT(O68,5)="Error ▲"),"Check Data ⚠",IF(F68&lt;S68,'G-7 Rivers Data'!$R$3,INDEX('G-7 Rivers Data'!$U$5:$Y$9,MATCH(G68,'G-7 Rivers Data'!$T$5:$T$9,0),MATCH(T68,'G-7 Rivers Data'!$U$4:$Y$4,0)))),"")</f>
        <v/>
      </c>
      <c r="Z68" s="195"/>
      <c r="AA68" s="195"/>
      <c r="AB68" s="507" t="str">
        <f t="shared" si="2"/>
        <v/>
      </c>
      <c r="AC68" s="521" t="str">
        <f t="shared" si="3"/>
        <v/>
      </c>
      <c r="AD68" s="564" t="str">
        <f>IFERROR(IF(AC68="Check Data ⚠","Check Data ⚠",VLOOKUP(AC68,'G-4 Temporal multipliers'!$A$4:$C$37,3,FALSE)),"")</f>
        <v/>
      </c>
      <c r="AE68" s="498" t="str">
        <f>IF(N68="","",VLOOKUP(N68,'G-7 Rivers Data'!$B$4:$G$8,5,FALSE))</f>
        <v/>
      </c>
      <c r="AF68" s="507" t="str">
        <f t="shared" si="4"/>
        <v/>
      </c>
      <c r="AG68" s="540" t="str">
        <f t="shared" si="5"/>
        <v/>
      </c>
      <c r="AH68" s="499" t="str">
        <f t="shared" si="0"/>
        <v/>
      </c>
      <c r="AI68" s="145"/>
      <c r="AJ68" s="499" t="str">
        <f>IF(AI68="","",IF(VLOOKUP(AI68,'G-7 Rivers Data'!$AA$4:$AB$7,2,FALSE)=0,"Spatial Data Missing ⚠",VLOOKUP(AI68,'G-7 Rivers Data'!$AA$4:$AB$7,2,FALSE)))</f>
        <v/>
      </c>
      <c r="AK68" s="155"/>
      <c r="AL68" s="499" t="str">
        <f>IF(AK68="","",IF(VLOOKUP(AK68,'G-7 Rivers Data'!$AD$4:$AE$8,2,FALSE)=0,"Spatial Data Missing ⚠",VLOOKUP(AK68,'G-7 Rivers Data'!$AD$4:$AE$8,2,FALSE)))</f>
        <v/>
      </c>
      <c r="AM68" s="545" t="str">
        <f t="shared" si="7"/>
        <v/>
      </c>
      <c r="AN68" s="149"/>
      <c r="AO68" s="150"/>
      <c r="AV68" s="31" t="str">
        <f>IFERROR(INDEX('G-7 Rivers Data'!$AZ$3:$AZ$7,MATCH(N68,'G-7 Rivers Data'!$AY$3:$AY$7,0)),"")</f>
        <v/>
      </c>
    </row>
    <row r="69" spans="2:48" ht="13.8" x14ac:dyDescent="0.25">
      <c r="B69" s="531" t="str">
        <f>'C-1 Site River Baseline'!AN67</f>
        <v/>
      </c>
      <c r="C69" s="520" t="str">
        <f>IF(B69="","",VLOOKUP($B69,'C-1 Site River Baseline'!$C$9:$R$257,2,FALSE))</f>
        <v/>
      </c>
      <c r="D69" s="520" t="str">
        <f>IF(C69="","",VLOOKUP($B69,'C-1 Site River Baseline'!$C$9:$R$257,3,FALSE))</f>
        <v/>
      </c>
      <c r="E69" s="520" t="str">
        <f>IF(D69="","",VLOOKUP($B69,'C-1 Site River Baseline'!$C$9:$R$257,4,FALSE))</f>
        <v/>
      </c>
      <c r="F69" s="520" t="str">
        <f>IF(E69="","",VLOOKUP($B69,'C-1 Site River Baseline'!$C$9:$R$257,5,FALSE))</f>
        <v/>
      </c>
      <c r="G69" s="520" t="str">
        <f>IF(F69="","",VLOOKUP($B69,'C-1 Site River Baseline'!$C$9:$R$257,6,FALSE))</f>
        <v/>
      </c>
      <c r="H69" s="520" t="str">
        <f>IF(G69="","",VLOOKUP($B69,'C-1 Site River Baseline'!$C$9:$R$257,7,FALSE))</f>
        <v/>
      </c>
      <c r="I69" s="520" t="str">
        <f>IF(H69="","",VLOOKUP($B69,'C-1 Site River Baseline'!$C$9:$R$257,8,FALSE))</f>
        <v/>
      </c>
      <c r="J69" s="520" t="str">
        <f>IF(I69="","",VLOOKUP($B69,'C-1 Site River Baseline'!$C$9:$R$257,9,FALSE))</f>
        <v/>
      </c>
      <c r="K69" s="520" t="str">
        <f>IF(J69="","",VLOOKUP($B69,'C-1 Site River Baseline'!$C$9:$R$257,10,FALSE))</f>
        <v/>
      </c>
      <c r="L69" s="520" t="str">
        <f>IF(B69="","",VLOOKUP($B69,'C-1 Site River Baseline'!$C$9:$R$257,15,FALSE))</f>
        <v/>
      </c>
      <c r="M69" s="524" t="str">
        <f>IF(L69="","",VLOOKUP($B69,'C-1 Site River Baseline'!$C$9:$R$257,16,FALSE))</f>
        <v/>
      </c>
      <c r="N69" s="418" t="str">
        <f t="shared" si="6"/>
        <v/>
      </c>
      <c r="O69" s="498" t="str">
        <f t="shared" si="1"/>
        <v/>
      </c>
      <c r="P69" s="499"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7" t="str">
        <f>IF(N69="","",VLOOKUP(B69,'C-1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07" t="str">
        <f>IF(V69="","",IF(VLOOKUP(V69,'G-7 Rivers Data'!$AG$4:$AI$9,2,FALSE)=0,"Spatial Data Missing ⚠",VLOOKUP(V69,'G-7 Rivers Data'!$AG$4:$AI$9,2,FALSE)))</f>
        <v/>
      </c>
      <c r="X69" s="499" t="str">
        <f>IF(V69="","",IF(VLOOKUP(V69,'G-7 Rivers Data'!$AG$4:$AI$9,3,FALSE)=0,"Spatial Data Missing ⚠",VLOOKUP(V69,'G-7 Rivers Data'!$AG$4:$AI$9,3,FALSE)))</f>
        <v/>
      </c>
      <c r="Y69" s="498" t="str">
        <f>IFERROR(IF(OR(LEFT(P69,5)="Error ▲",LEFT(O69,5)="Error ▲"),"Check Data ⚠",IF(F69&lt;S69,'G-7 Rivers Data'!$R$3,INDEX('G-7 Rivers Data'!$U$5:$Y$9,MATCH(G69,'G-7 Rivers Data'!$T$5:$T$9,0),MATCH(T69,'G-7 Rivers Data'!$U$4:$Y$4,0)))),"")</f>
        <v/>
      </c>
      <c r="Z69" s="195"/>
      <c r="AA69" s="195"/>
      <c r="AB69" s="507" t="str">
        <f t="shared" si="2"/>
        <v/>
      </c>
      <c r="AC69" s="521" t="str">
        <f t="shared" si="3"/>
        <v/>
      </c>
      <c r="AD69" s="564" t="str">
        <f>IFERROR(IF(AC69="Check Data ⚠","Check Data ⚠",VLOOKUP(AC69,'G-4 Temporal multipliers'!$A$4:$C$37,3,FALSE)),"")</f>
        <v/>
      </c>
      <c r="AE69" s="498" t="str">
        <f>IF(N69="","",VLOOKUP(N69,'G-7 Rivers Data'!$B$4:$G$8,5,FALSE))</f>
        <v/>
      </c>
      <c r="AF69" s="507" t="str">
        <f t="shared" si="4"/>
        <v/>
      </c>
      <c r="AG69" s="540" t="str">
        <f t="shared" si="5"/>
        <v/>
      </c>
      <c r="AH69" s="499" t="str">
        <f t="shared" si="0"/>
        <v/>
      </c>
      <c r="AI69" s="145"/>
      <c r="AJ69" s="499" t="str">
        <f>IF(AI69="","",IF(VLOOKUP(AI69,'G-7 Rivers Data'!$AA$4:$AB$7,2,FALSE)=0,"Spatial Data Missing ⚠",VLOOKUP(AI69,'G-7 Rivers Data'!$AA$4:$AB$7,2,FALSE)))</f>
        <v/>
      </c>
      <c r="AK69" s="155"/>
      <c r="AL69" s="499" t="str">
        <f>IF(AK69="","",IF(VLOOKUP(AK69,'G-7 Rivers Data'!$AD$4:$AE$8,2,FALSE)=0,"Spatial Data Missing ⚠",VLOOKUP(AK69,'G-7 Rivers Data'!$AD$4:$AE$8,2,FALSE)))</f>
        <v/>
      </c>
      <c r="AM69" s="545" t="str">
        <f t="shared" si="7"/>
        <v/>
      </c>
      <c r="AN69" s="149"/>
      <c r="AO69" s="150"/>
      <c r="AV69" s="31" t="str">
        <f>IFERROR(INDEX('G-7 Rivers Data'!$AZ$3:$AZ$7,MATCH(N69,'G-7 Rivers Data'!$AY$3:$AY$7,0)),"")</f>
        <v/>
      </c>
    </row>
    <row r="70" spans="2:48" ht="13.8" x14ac:dyDescent="0.25">
      <c r="B70" s="531" t="str">
        <f>'C-1 Site River Baseline'!AN68</f>
        <v/>
      </c>
      <c r="C70" s="520" t="str">
        <f>IF(B70="","",VLOOKUP($B70,'C-1 Site River Baseline'!$C$9:$R$257,2,FALSE))</f>
        <v/>
      </c>
      <c r="D70" s="520" t="str">
        <f>IF(C70="","",VLOOKUP($B70,'C-1 Site River Baseline'!$C$9:$R$257,3,FALSE))</f>
        <v/>
      </c>
      <c r="E70" s="520" t="str">
        <f>IF(D70="","",VLOOKUP($B70,'C-1 Site River Baseline'!$C$9:$R$257,4,FALSE))</f>
        <v/>
      </c>
      <c r="F70" s="520" t="str">
        <f>IF(E70="","",VLOOKUP($B70,'C-1 Site River Baseline'!$C$9:$R$257,5,FALSE))</f>
        <v/>
      </c>
      <c r="G70" s="520" t="str">
        <f>IF(F70="","",VLOOKUP($B70,'C-1 Site River Baseline'!$C$9:$R$257,6,FALSE))</f>
        <v/>
      </c>
      <c r="H70" s="520" t="str">
        <f>IF(G70="","",VLOOKUP($B70,'C-1 Site River Baseline'!$C$9:$R$257,7,FALSE))</f>
        <v/>
      </c>
      <c r="I70" s="520" t="str">
        <f>IF(H70="","",VLOOKUP($B70,'C-1 Site River Baseline'!$C$9:$R$257,8,FALSE))</f>
        <v/>
      </c>
      <c r="J70" s="520" t="str">
        <f>IF(I70="","",VLOOKUP($B70,'C-1 Site River Baseline'!$C$9:$R$257,9,FALSE))</f>
        <v/>
      </c>
      <c r="K70" s="520" t="str">
        <f>IF(J70="","",VLOOKUP($B70,'C-1 Site River Baseline'!$C$9:$R$257,10,FALSE))</f>
        <v/>
      </c>
      <c r="L70" s="520" t="str">
        <f>IF(B70="","",VLOOKUP($B70,'C-1 Site River Baseline'!$C$9:$R$257,15,FALSE))</f>
        <v/>
      </c>
      <c r="M70" s="524" t="str">
        <f>IF(L70="","",VLOOKUP($B70,'C-1 Site River Baseline'!$C$9:$R$257,16,FALSE))</f>
        <v/>
      </c>
      <c r="N70" s="418" t="str">
        <f t="shared" si="6"/>
        <v/>
      </c>
      <c r="O70" s="498" t="str">
        <f t="shared" si="1"/>
        <v/>
      </c>
      <c r="P70" s="499"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7" t="str">
        <f>IF(N70="","",VLOOKUP(B70,'C-1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07" t="str">
        <f>IF(V70="","",IF(VLOOKUP(V70,'G-7 Rivers Data'!$AG$4:$AI$9,2,FALSE)=0,"Spatial Data Missing ⚠",VLOOKUP(V70,'G-7 Rivers Data'!$AG$4:$AI$9,2,FALSE)))</f>
        <v/>
      </c>
      <c r="X70" s="499" t="str">
        <f>IF(V70="","",IF(VLOOKUP(V70,'G-7 Rivers Data'!$AG$4:$AI$9,3,FALSE)=0,"Spatial Data Missing ⚠",VLOOKUP(V70,'G-7 Rivers Data'!$AG$4:$AI$9,3,FALSE)))</f>
        <v/>
      </c>
      <c r="Y70" s="498" t="str">
        <f>IFERROR(IF(OR(LEFT(P70,5)="Error ▲",LEFT(O70,5)="Error ▲"),"Check Data ⚠",IF(F70&lt;S70,'G-7 Rivers Data'!$R$3,INDEX('G-7 Rivers Data'!$U$5:$Y$9,MATCH(G70,'G-7 Rivers Data'!$T$5:$T$9,0),MATCH(T70,'G-7 Rivers Data'!$U$4:$Y$4,0)))),"")</f>
        <v/>
      </c>
      <c r="Z70" s="195"/>
      <c r="AA70" s="195"/>
      <c r="AB70" s="507" t="str">
        <f t="shared" si="2"/>
        <v/>
      </c>
      <c r="AC70" s="521" t="str">
        <f t="shared" si="3"/>
        <v/>
      </c>
      <c r="AD70" s="564" t="str">
        <f>IFERROR(IF(AC70="Check Data ⚠","Check Data ⚠",VLOOKUP(AC70,'G-4 Temporal multipliers'!$A$4:$C$37,3,FALSE)),"")</f>
        <v/>
      </c>
      <c r="AE70" s="498" t="str">
        <f>IF(N70="","",VLOOKUP(N70,'G-7 Rivers Data'!$B$4:$G$8,5,FALSE))</f>
        <v/>
      </c>
      <c r="AF70" s="507" t="str">
        <f t="shared" si="4"/>
        <v/>
      </c>
      <c r="AG70" s="540" t="str">
        <f t="shared" si="5"/>
        <v/>
      </c>
      <c r="AH70" s="499" t="str">
        <f t="shared" si="0"/>
        <v/>
      </c>
      <c r="AI70" s="145"/>
      <c r="AJ70" s="499" t="str">
        <f>IF(AI70="","",IF(VLOOKUP(AI70,'G-7 Rivers Data'!$AA$4:$AB$7,2,FALSE)=0,"Spatial Data Missing ⚠",VLOOKUP(AI70,'G-7 Rivers Data'!$AA$4:$AB$7,2,FALSE)))</f>
        <v/>
      </c>
      <c r="AK70" s="155"/>
      <c r="AL70" s="499" t="str">
        <f>IF(AK70="","",IF(VLOOKUP(AK70,'G-7 Rivers Data'!$AD$4:$AE$8,2,FALSE)=0,"Spatial Data Missing ⚠",VLOOKUP(AK70,'G-7 Rivers Data'!$AD$4:$AE$8,2,FALSE)))</f>
        <v/>
      </c>
      <c r="AM70" s="545" t="str">
        <f t="shared" si="7"/>
        <v/>
      </c>
      <c r="AN70" s="149"/>
      <c r="AO70" s="150"/>
      <c r="AV70" s="31" t="str">
        <f>IFERROR(INDEX('G-7 Rivers Data'!$AZ$3:$AZ$7,MATCH(N70,'G-7 Rivers Data'!$AY$3:$AY$7,0)),"")</f>
        <v/>
      </c>
    </row>
    <row r="71" spans="2:48" ht="13.8" x14ac:dyDescent="0.25">
      <c r="B71" s="531" t="str">
        <f>'C-1 Site River Baseline'!AN69</f>
        <v/>
      </c>
      <c r="C71" s="520" t="str">
        <f>IF(B71="","",VLOOKUP($B71,'C-1 Site River Baseline'!$C$9:$R$257,2,FALSE))</f>
        <v/>
      </c>
      <c r="D71" s="520" t="str">
        <f>IF(C71="","",VLOOKUP($B71,'C-1 Site River Baseline'!$C$9:$R$257,3,FALSE))</f>
        <v/>
      </c>
      <c r="E71" s="520" t="str">
        <f>IF(D71="","",VLOOKUP($B71,'C-1 Site River Baseline'!$C$9:$R$257,4,FALSE))</f>
        <v/>
      </c>
      <c r="F71" s="520" t="str">
        <f>IF(E71="","",VLOOKUP($B71,'C-1 Site River Baseline'!$C$9:$R$257,5,FALSE))</f>
        <v/>
      </c>
      <c r="G71" s="520" t="str">
        <f>IF(F71="","",VLOOKUP($B71,'C-1 Site River Baseline'!$C$9:$R$257,6,FALSE))</f>
        <v/>
      </c>
      <c r="H71" s="520" t="str">
        <f>IF(G71="","",VLOOKUP($B71,'C-1 Site River Baseline'!$C$9:$R$257,7,FALSE))</f>
        <v/>
      </c>
      <c r="I71" s="520" t="str">
        <f>IF(H71="","",VLOOKUP($B71,'C-1 Site River Baseline'!$C$9:$R$257,8,FALSE))</f>
        <v/>
      </c>
      <c r="J71" s="520" t="str">
        <f>IF(I71="","",VLOOKUP($B71,'C-1 Site River Baseline'!$C$9:$R$257,9,FALSE))</f>
        <v/>
      </c>
      <c r="K71" s="520" t="str">
        <f>IF(J71="","",VLOOKUP($B71,'C-1 Site River Baseline'!$C$9:$R$257,10,FALSE))</f>
        <v/>
      </c>
      <c r="L71" s="520" t="str">
        <f>IF(B71="","",VLOOKUP($B71,'C-1 Site River Baseline'!$C$9:$R$257,15,FALSE))</f>
        <v/>
      </c>
      <c r="M71" s="524" t="str">
        <f>IF(L71="","",VLOOKUP($B71,'C-1 Site River Baseline'!$C$9:$R$257,16,FALSE))</f>
        <v/>
      </c>
      <c r="N71" s="418" t="str">
        <f t="shared" si="6"/>
        <v/>
      </c>
      <c r="O71" s="498" t="str">
        <f t="shared" si="1"/>
        <v/>
      </c>
      <c r="P71" s="499"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7" t="str">
        <f>IF(N71="","",VLOOKUP(B71,'C-1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07" t="str">
        <f>IF(V71="","",IF(VLOOKUP(V71,'G-7 Rivers Data'!$AG$4:$AI$9,2,FALSE)=0,"Spatial Data Missing ⚠",VLOOKUP(V71,'G-7 Rivers Data'!$AG$4:$AI$9,2,FALSE)))</f>
        <v/>
      </c>
      <c r="X71" s="499" t="str">
        <f>IF(V71="","",IF(VLOOKUP(V71,'G-7 Rivers Data'!$AG$4:$AI$9,3,FALSE)=0,"Spatial Data Missing ⚠",VLOOKUP(V71,'G-7 Rivers Data'!$AG$4:$AI$9,3,FALSE)))</f>
        <v/>
      </c>
      <c r="Y71" s="498" t="str">
        <f>IFERROR(IF(OR(LEFT(P71,5)="Error ▲",LEFT(O71,5)="Error ▲"),"Check Data ⚠",IF(F71&lt;S71,'G-7 Rivers Data'!$R$3,INDEX('G-7 Rivers Data'!$U$5:$Y$9,MATCH(G71,'G-7 Rivers Data'!$T$5:$T$9,0),MATCH(T71,'G-7 Rivers Data'!$U$4:$Y$4,0)))),"")</f>
        <v/>
      </c>
      <c r="Z71" s="195"/>
      <c r="AA71" s="195"/>
      <c r="AB71" s="507" t="str">
        <f t="shared" si="2"/>
        <v/>
      </c>
      <c r="AC71" s="521" t="str">
        <f t="shared" si="3"/>
        <v/>
      </c>
      <c r="AD71" s="564" t="str">
        <f>IFERROR(IF(AC71="Check Data ⚠","Check Data ⚠",VLOOKUP(AC71,'G-4 Temporal multipliers'!$A$4:$C$37,3,FALSE)),"")</f>
        <v/>
      </c>
      <c r="AE71" s="498" t="str">
        <f>IF(N71="","",VLOOKUP(N71,'G-7 Rivers Data'!$B$4:$G$8,5,FALSE))</f>
        <v/>
      </c>
      <c r="AF71" s="507" t="str">
        <f t="shared" si="4"/>
        <v/>
      </c>
      <c r="AG71" s="540" t="str">
        <f t="shared" si="5"/>
        <v/>
      </c>
      <c r="AH71" s="499" t="str">
        <f t="shared" si="0"/>
        <v/>
      </c>
      <c r="AI71" s="145"/>
      <c r="AJ71" s="499" t="str">
        <f>IF(AI71="","",IF(VLOOKUP(AI71,'G-7 Rivers Data'!$AA$4:$AB$7,2,FALSE)=0,"Spatial Data Missing ⚠",VLOOKUP(AI71,'G-7 Rivers Data'!$AA$4:$AB$7,2,FALSE)))</f>
        <v/>
      </c>
      <c r="AK71" s="155"/>
      <c r="AL71" s="499" t="str">
        <f>IF(AK71="","",IF(VLOOKUP(AK71,'G-7 Rivers Data'!$AD$4:$AE$8,2,FALSE)=0,"Spatial Data Missing ⚠",VLOOKUP(AK71,'G-7 Rivers Data'!$AD$4:$AE$8,2,FALSE)))</f>
        <v/>
      </c>
      <c r="AM71" s="545" t="str">
        <f t="shared" si="7"/>
        <v/>
      </c>
      <c r="AN71" s="149"/>
      <c r="AO71" s="150"/>
      <c r="AV71" s="31" t="str">
        <f>IFERROR(INDEX('G-7 Rivers Data'!$AZ$3:$AZ$7,MATCH(N71,'G-7 Rivers Data'!$AY$3:$AY$7,0)),"")</f>
        <v/>
      </c>
    </row>
    <row r="72" spans="2:48" ht="13.8" x14ac:dyDescent="0.25">
      <c r="B72" s="531" t="str">
        <f>'C-1 Site River Baseline'!AN70</f>
        <v/>
      </c>
      <c r="C72" s="520" t="str">
        <f>IF(B72="","",VLOOKUP($B72,'C-1 Site River Baseline'!$C$9:$R$257,2,FALSE))</f>
        <v/>
      </c>
      <c r="D72" s="520" t="str">
        <f>IF(C72="","",VLOOKUP($B72,'C-1 Site River Baseline'!$C$9:$R$257,3,FALSE))</f>
        <v/>
      </c>
      <c r="E72" s="520" t="str">
        <f>IF(D72="","",VLOOKUP($B72,'C-1 Site River Baseline'!$C$9:$R$257,4,FALSE))</f>
        <v/>
      </c>
      <c r="F72" s="520" t="str">
        <f>IF(E72="","",VLOOKUP($B72,'C-1 Site River Baseline'!$C$9:$R$257,5,FALSE))</f>
        <v/>
      </c>
      <c r="G72" s="520" t="str">
        <f>IF(F72="","",VLOOKUP($B72,'C-1 Site River Baseline'!$C$9:$R$257,6,FALSE))</f>
        <v/>
      </c>
      <c r="H72" s="520" t="str">
        <f>IF(G72="","",VLOOKUP($B72,'C-1 Site River Baseline'!$C$9:$R$257,7,FALSE))</f>
        <v/>
      </c>
      <c r="I72" s="520" t="str">
        <f>IF(H72="","",VLOOKUP($B72,'C-1 Site River Baseline'!$C$9:$R$257,8,FALSE))</f>
        <v/>
      </c>
      <c r="J72" s="520" t="str">
        <f>IF(I72="","",VLOOKUP($B72,'C-1 Site River Baseline'!$C$9:$R$257,9,FALSE))</f>
        <v/>
      </c>
      <c r="K72" s="520" t="str">
        <f>IF(J72="","",VLOOKUP($B72,'C-1 Site River Baseline'!$C$9:$R$257,10,FALSE))</f>
        <v/>
      </c>
      <c r="L72" s="520" t="str">
        <f>IF(B72="","",VLOOKUP($B72,'C-1 Site River Baseline'!$C$9:$R$257,15,FALSE))</f>
        <v/>
      </c>
      <c r="M72" s="524" t="str">
        <f>IF(L72="","",VLOOKUP($B72,'C-1 Site River Baseline'!$C$9:$R$257,16,FALSE))</f>
        <v/>
      </c>
      <c r="N72" s="418" t="str">
        <f t="shared" si="6"/>
        <v/>
      </c>
      <c r="O72" s="498" t="str">
        <f t="shared" si="1"/>
        <v/>
      </c>
      <c r="P72" s="499"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7" t="str">
        <f>IF(N72="","",VLOOKUP(B72,'C-1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07" t="str">
        <f>IF(V72="","",IF(VLOOKUP(V72,'G-7 Rivers Data'!$AG$4:$AI$9,2,FALSE)=0,"Spatial Data Missing ⚠",VLOOKUP(V72,'G-7 Rivers Data'!$AG$4:$AI$9,2,FALSE)))</f>
        <v/>
      </c>
      <c r="X72" s="499" t="str">
        <f>IF(V72="","",IF(VLOOKUP(V72,'G-7 Rivers Data'!$AG$4:$AI$9,3,FALSE)=0,"Spatial Data Missing ⚠",VLOOKUP(V72,'G-7 Rivers Data'!$AG$4:$AI$9,3,FALSE)))</f>
        <v/>
      </c>
      <c r="Y72" s="498" t="str">
        <f>IFERROR(IF(OR(LEFT(P72,5)="Error ▲",LEFT(O72,5)="Error ▲"),"Check Data ⚠",IF(F72&lt;S72,'G-7 Rivers Data'!$R$3,INDEX('G-7 Rivers Data'!$U$5:$Y$9,MATCH(G72,'G-7 Rivers Data'!$T$5:$T$9,0),MATCH(T72,'G-7 Rivers Data'!$U$4:$Y$4,0)))),"")</f>
        <v/>
      </c>
      <c r="Z72" s="195"/>
      <c r="AA72" s="195"/>
      <c r="AB72" s="507" t="str">
        <f t="shared" si="2"/>
        <v/>
      </c>
      <c r="AC72" s="521" t="str">
        <f t="shared" si="3"/>
        <v/>
      </c>
      <c r="AD72" s="564" t="str">
        <f>IFERROR(IF(AC72="Check Data ⚠","Check Data ⚠",VLOOKUP(AC72,'G-4 Temporal multipliers'!$A$4:$C$37,3,FALSE)),"")</f>
        <v/>
      </c>
      <c r="AE72" s="498" t="str">
        <f>IF(N72="","",VLOOKUP(N72,'G-7 Rivers Data'!$B$4:$G$8,5,FALSE))</f>
        <v/>
      </c>
      <c r="AF72" s="507" t="str">
        <f t="shared" si="4"/>
        <v/>
      </c>
      <c r="AG72" s="540" t="str">
        <f t="shared" si="5"/>
        <v/>
      </c>
      <c r="AH72" s="499" t="str">
        <f t="shared" si="0"/>
        <v/>
      </c>
      <c r="AI72" s="145"/>
      <c r="AJ72" s="499" t="str">
        <f>IF(AI72="","",IF(VLOOKUP(AI72,'G-7 Rivers Data'!$AA$4:$AB$7,2,FALSE)=0,"Spatial Data Missing ⚠",VLOOKUP(AI72,'G-7 Rivers Data'!$AA$4:$AB$7,2,FALSE)))</f>
        <v/>
      </c>
      <c r="AK72" s="155"/>
      <c r="AL72" s="499" t="str">
        <f>IF(AK72="","",IF(VLOOKUP(AK72,'G-7 Rivers Data'!$AD$4:$AE$8,2,FALSE)=0,"Spatial Data Missing ⚠",VLOOKUP(AK72,'G-7 Rivers Data'!$AD$4:$AE$8,2,FALSE)))</f>
        <v/>
      </c>
      <c r="AM72" s="545" t="str">
        <f t="shared" si="7"/>
        <v/>
      </c>
      <c r="AN72" s="149"/>
      <c r="AO72" s="150"/>
      <c r="AV72" s="31" t="str">
        <f>IFERROR(INDEX('G-7 Rivers Data'!$AZ$3:$AZ$7,MATCH(N72,'G-7 Rivers Data'!$AY$3:$AY$7,0)),"")</f>
        <v/>
      </c>
    </row>
    <row r="73" spans="2:48" ht="13.8" x14ac:dyDescent="0.25">
      <c r="B73" s="531" t="str">
        <f>'C-1 Site River Baseline'!AN71</f>
        <v/>
      </c>
      <c r="C73" s="520" t="str">
        <f>IF(B73="","",VLOOKUP($B73,'C-1 Site River Baseline'!$C$9:$R$257,2,FALSE))</f>
        <v/>
      </c>
      <c r="D73" s="520" t="str">
        <f>IF(C73="","",VLOOKUP($B73,'C-1 Site River Baseline'!$C$9:$R$257,3,FALSE))</f>
        <v/>
      </c>
      <c r="E73" s="520" t="str">
        <f>IF(D73="","",VLOOKUP($B73,'C-1 Site River Baseline'!$C$9:$R$257,4,FALSE))</f>
        <v/>
      </c>
      <c r="F73" s="520" t="str">
        <f>IF(E73="","",VLOOKUP($B73,'C-1 Site River Baseline'!$C$9:$R$257,5,FALSE))</f>
        <v/>
      </c>
      <c r="G73" s="520" t="str">
        <f>IF(F73="","",VLOOKUP($B73,'C-1 Site River Baseline'!$C$9:$R$257,6,FALSE))</f>
        <v/>
      </c>
      <c r="H73" s="520" t="str">
        <f>IF(G73="","",VLOOKUP($B73,'C-1 Site River Baseline'!$C$9:$R$257,7,FALSE))</f>
        <v/>
      </c>
      <c r="I73" s="520" t="str">
        <f>IF(H73="","",VLOOKUP($B73,'C-1 Site River Baseline'!$C$9:$R$257,8,FALSE))</f>
        <v/>
      </c>
      <c r="J73" s="520" t="str">
        <f>IF(I73="","",VLOOKUP($B73,'C-1 Site River Baseline'!$C$9:$R$257,9,FALSE))</f>
        <v/>
      </c>
      <c r="K73" s="520" t="str">
        <f>IF(J73="","",VLOOKUP($B73,'C-1 Site River Baseline'!$C$9:$R$257,10,FALSE))</f>
        <v/>
      </c>
      <c r="L73" s="520" t="str">
        <f>IF(B73="","",VLOOKUP($B73,'C-1 Site River Baseline'!$C$9:$R$257,15,FALSE))</f>
        <v/>
      </c>
      <c r="M73" s="524" t="str">
        <f>IF(L73="","",VLOOKUP($B73,'C-1 Site River Baseline'!$C$9:$R$257,16,FALSE))</f>
        <v/>
      </c>
      <c r="N73" s="418" t="str">
        <f t="shared" si="6"/>
        <v/>
      </c>
      <c r="O73" s="498" t="str">
        <f t="shared" si="1"/>
        <v/>
      </c>
      <c r="P73" s="499"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7" t="str">
        <f>IF(N73="","",VLOOKUP(B73,'C-1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07" t="str">
        <f>IF(V73="","",IF(VLOOKUP(V73,'G-7 Rivers Data'!$AG$4:$AI$9,2,FALSE)=0,"Spatial Data Missing ⚠",VLOOKUP(V73,'G-7 Rivers Data'!$AG$4:$AI$9,2,FALSE)))</f>
        <v/>
      </c>
      <c r="X73" s="499" t="str">
        <f>IF(V73="","",IF(VLOOKUP(V73,'G-7 Rivers Data'!$AG$4:$AI$9,3,FALSE)=0,"Spatial Data Missing ⚠",VLOOKUP(V73,'G-7 Rivers Data'!$AG$4:$AI$9,3,FALSE)))</f>
        <v/>
      </c>
      <c r="Y73" s="498" t="str">
        <f>IFERROR(IF(OR(LEFT(P73,5)="Error ▲",LEFT(O73,5)="Error ▲"),"Check Data ⚠",IF(F73&lt;S73,'G-7 Rivers Data'!$R$3,INDEX('G-7 Rivers Data'!$U$5:$Y$9,MATCH(G73,'G-7 Rivers Data'!$T$5:$T$9,0),MATCH(T73,'G-7 Rivers Data'!$U$4:$Y$4,0)))),"")</f>
        <v/>
      </c>
      <c r="Z73" s="195"/>
      <c r="AA73" s="195"/>
      <c r="AB73" s="507" t="str">
        <f t="shared" si="2"/>
        <v/>
      </c>
      <c r="AC73" s="521" t="str">
        <f t="shared" si="3"/>
        <v/>
      </c>
      <c r="AD73" s="564" t="str">
        <f>IFERROR(IF(AC73="Check Data ⚠","Check Data ⚠",VLOOKUP(AC73,'G-4 Temporal multipliers'!$A$4:$C$37,3,FALSE)),"")</f>
        <v/>
      </c>
      <c r="AE73" s="498" t="str">
        <f>IF(N73="","",VLOOKUP(N73,'G-7 Rivers Data'!$B$4:$G$8,5,FALSE))</f>
        <v/>
      </c>
      <c r="AF73" s="507" t="str">
        <f t="shared" si="4"/>
        <v/>
      </c>
      <c r="AG73" s="540" t="str">
        <f t="shared" si="5"/>
        <v/>
      </c>
      <c r="AH73" s="499" t="str">
        <f t="shared" si="0"/>
        <v/>
      </c>
      <c r="AI73" s="145"/>
      <c r="AJ73" s="499" t="str">
        <f>IF(AI73="","",IF(VLOOKUP(AI73,'G-7 Rivers Data'!$AA$4:$AB$7,2,FALSE)=0,"Spatial Data Missing ⚠",VLOOKUP(AI73,'G-7 Rivers Data'!$AA$4:$AB$7,2,FALSE)))</f>
        <v/>
      </c>
      <c r="AK73" s="155"/>
      <c r="AL73" s="499" t="str">
        <f>IF(AK73="","",IF(VLOOKUP(AK73,'G-7 Rivers Data'!$AD$4:$AE$8,2,FALSE)=0,"Spatial Data Missing ⚠",VLOOKUP(AK73,'G-7 Rivers Data'!$AD$4:$AE$8,2,FALSE)))</f>
        <v/>
      </c>
      <c r="AM73" s="545" t="str">
        <f t="shared" si="7"/>
        <v/>
      </c>
      <c r="AN73" s="149"/>
      <c r="AO73" s="150"/>
      <c r="AV73" s="31" t="str">
        <f>IFERROR(INDEX('G-7 Rivers Data'!$AZ$3:$AZ$7,MATCH(N73,'G-7 Rivers Data'!$AY$3:$AY$7,0)),"")</f>
        <v/>
      </c>
    </row>
    <row r="74" spans="2:48" ht="13.8" x14ac:dyDescent="0.25">
      <c r="B74" s="531" t="str">
        <f>'C-1 Site River Baseline'!AN72</f>
        <v/>
      </c>
      <c r="C74" s="520" t="str">
        <f>IF(B74="","",VLOOKUP($B74,'C-1 Site River Baseline'!$C$9:$R$257,2,FALSE))</f>
        <v/>
      </c>
      <c r="D74" s="520" t="str">
        <f>IF(C74="","",VLOOKUP($B74,'C-1 Site River Baseline'!$C$9:$R$257,3,FALSE))</f>
        <v/>
      </c>
      <c r="E74" s="520" t="str">
        <f>IF(D74="","",VLOOKUP($B74,'C-1 Site River Baseline'!$C$9:$R$257,4,FALSE))</f>
        <v/>
      </c>
      <c r="F74" s="520" t="str">
        <f>IF(E74="","",VLOOKUP($B74,'C-1 Site River Baseline'!$C$9:$R$257,5,FALSE))</f>
        <v/>
      </c>
      <c r="G74" s="520" t="str">
        <f>IF(F74="","",VLOOKUP($B74,'C-1 Site River Baseline'!$C$9:$R$257,6,FALSE))</f>
        <v/>
      </c>
      <c r="H74" s="520" t="str">
        <f>IF(G74="","",VLOOKUP($B74,'C-1 Site River Baseline'!$C$9:$R$257,7,FALSE))</f>
        <v/>
      </c>
      <c r="I74" s="520" t="str">
        <f>IF(H74="","",VLOOKUP($B74,'C-1 Site River Baseline'!$C$9:$R$257,8,FALSE))</f>
        <v/>
      </c>
      <c r="J74" s="520" t="str">
        <f>IF(I74="","",VLOOKUP($B74,'C-1 Site River Baseline'!$C$9:$R$257,9,FALSE))</f>
        <v/>
      </c>
      <c r="K74" s="520" t="str">
        <f>IF(J74="","",VLOOKUP($B74,'C-1 Site River Baseline'!$C$9:$R$257,10,FALSE))</f>
        <v/>
      </c>
      <c r="L74" s="520" t="str">
        <f>IF(B74="","",VLOOKUP($B74,'C-1 Site River Baseline'!$C$9:$R$257,15,FALSE))</f>
        <v/>
      </c>
      <c r="M74" s="524" t="str">
        <f>IF(L74="","",VLOOKUP($B74,'C-1 Site River Baseline'!$C$9:$R$257,16,FALSE))</f>
        <v/>
      </c>
      <c r="N74" s="418" t="str">
        <f t="shared" si="6"/>
        <v/>
      </c>
      <c r="O74" s="498" t="str">
        <f t="shared" si="1"/>
        <v/>
      </c>
      <c r="P74" s="499"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7" t="str">
        <f>IF(N74="","",VLOOKUP(B74,'C-1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07" t="str">
        <f>IF(V74="","",IF(VLOOKUP(V74,'G-7 Rivers Data'!$AG$4:$AI$9,2,FALSE)=0,"Spatial Data Missing ⚠",VLOOKUP(V74,'G-7 Rivers Data'!$AG$4:$AI$9,2,FALSE)))</f>
        <v/>
      </c>
      <c r="X74" s="499" t="str">
        <f>IF(V74="","",IF(VLOOKUP(V74,'G-7 Rivers Data'!$AG$4:$AI$9,3,FALSE)=0,"Spatial Data Missing ⚠",VLOOKUP(V74,'G-7 Rivers Data'!$AG$4:$AI$9,3,FALSE)))</f>
        <v/>
      </c>
      <c r="Y74" s="498" t="str">
        <f>IFERROR(IF(OR(LEFT(P74,5)="Error ▲",LEFT(O74,5)="Error ▲"),"Check Data ⚠",IF(F74&lt;S74,'G-7 Rivers Data'!$R$3,INDEX('G-7 Rivers Data'!$U$5:$Y$9,MATCH(G74,'G-7 Rivers Data'!$T$5:$T$9,0),MATCH(T74,'G-7 Rivers Data'!$U$4:$Y$4,0)))),"")</f>
        <v/>
      </c>
      <c r="Z74" s="195"/>
      <c r="AA74" s="195"/>
      <c r="AB74" s="507" t="str">
        <f t="shared" si="2"/>
        <v/>
      </c>
      <c r="AC74" s="521" t="str">
        <f t="shared" si="3"/>
        <v/>
      </c>
      <c r="AD74" s="564" t="str">
        <f>IFERROR(IF(AC74="Check Data ⚠","Check Data ⚠",VLOOKUP(AC74,'G-4 Temporal multipliers'!$A$4:$C$37,3,FALSE)),"")</f>
        <v/>
      </c>
      <c r="AE74" s="498" t="str">
        <f>IF(N74="","",VLOOKUP(N74,'G-7 Rivers Data'!$B$4:$G$8,5,FALSE))</f>
        <v/>
      </c>
      <c r="AF74" s="507" t="str">
        <f t="shared" si="4"/>
        <v/>
      </c>
      <c r="AG74" s="540" t="str">
        <f t="shared" si="5"/>
        <v/>
      </c>
      <c r="AH74" s="499" t="str">
        <f t="shared" si="0"/>
        <v/>
      </c>
      <c r="AI74" s="145"/>
      <c r="AJ74" s="499" t="str">
        <f>IF(AI74="","",IF(VLOOKUP(AI74,'G-7 Rivers Data'!$AA$4:$AB$7,2,FALSE)=0,"Spatial Data Missing ⚠",VLOOKUP(AI74,'G-7 Rivers Data'!$AA$4:$AB$7,2,FALSE)))</f>
        <v/>
      </c>
      <c r="AK74" s="155"/>
      <c r="AL74" s="499" t="str">
        <f>IF(AK74="","",IF(VLOOKUP(AK74,'G-7 Rivers Data'!$AD$4:$AE$8,2,FALSE)=0,"Spatial Data Missing ⚠",VLOOKUP(AK74,'G-7 Rivers Data'!$AD$4:$AE$8,2,FALSE)))</f>
        <v/>
      </c>
      <c r="AM74" s="545" t="str">
        <f t="shared" si="7"/>
        <v/>
      </c>
      <c r="AN74" s="149"/>
      <c r="AO74" s="150"/>
      <c r="AV74" s="31" t="str">
        <f>IFERROR(INDEX('G-7 Rivers Data'!$AZ$3:$AZ$7,MATCH(N74,'G-7 Rivers Data'!$AY$3:$AY$7,0)),"")</f>
        <v/>
      </c>
    </row>
    <row r="75" spans="2:48" ht="13.8" x14ac:dyDescent="0.25">
      <c r="B75" s="531" t="str">
        <f>'C-1 Site River Baseline'!AN73</f>
        <v/>
      </c>
      <c r="C75" s="520" t="str">
        <f>IF(B75="","",VLOOKUP($B75,'C-1 Site River Baseline'!$C$9:$R$257,2,FALSE))</f>
        <v/>
      </c>
      <c r="D75" s="520" t="str">
        <f>IF(C75="","",VLOOKUP($B75,'C-1 Site River Baseline'!$C$9:$R$257,3,FALSE))</f>
        <v/>
      </c>
      <c r="E75" s="520" t="str">
        <f>IF(D75="","",VLOOKUP($B75,'C-1 Site River Baseline'!$C$9:$R$257,4,FALSE))</f>
        <v/>
      </c>
      <c r="F75" s="520" t="str">
        <f>IF(E75="","",VLOOKUP($B75,'C-1 Site River Baseline'!$C$9:$R$257,5,FALSE))</f>
        <v/>
      </c>
      <c r="G75" s="520" t="str">
        <f>IF(F75="","",VLOOKUP($B75,'C-1 Site River Baseline'!$C$9:$R$257,6,FALSE))</f>
        <v/>
      </c>
      <c r="H75" s="520" t="str">
        <f>IF(G75="","",VLOOKUP($B75,'C-1 Site River Baseline'!$C$9:$R$257,7,FALSE))</f>
        <v/>
      </c>
      <c r="I75" s="520" t="str">
        <f>IF(H75="","",VLOOKUP($B75,'C-1 Site River Baseline'!$C$9:$R$257,8,FALSE))</f>
        <v/>
      </c>
      <c r="J75" s="520" t="str">
        <f>IF(I75="","",VLOOKUP($B75,'C-1 Site River Baseline'!$C$9:$R$257,9,FALSE))</f>
        <v/>
      </c>
      <c r="K75" s="520" t="str">
        <f>IF(J75="","",VLOOKUP($B75,'C-1 Site River Baseline'!$C$9:$R$257,10,FALSE))</f>
        <v/>
      </c>
      <c r="L75" s="520" t="str">
        <f>IF(B75="","",VLOOKUP($B75,'C-1 Site River Baseline'!$C$9:$R$257,15,FALSE))</f>
        <v/>
      </c>
      <c r="M75" s="524" t="str">
        <f>IF(L75="","",VLOOKUP($B75,'C-1 Site River Baseline'!$C$9:$R$257,16,FALSE))</f>
        <v/>
      </c>
      <c r="N75" s="418" t="str">
        <f t="shared" si="6"/>
        <v/>
      </c>
      <c r="O75" s="498" t="str">
        <f t="shared" si="1"/>
        <v/>
      </c>
      <c r="P75" s="499"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7" t="str">
        <f>IF(N75="","",VLOOKUP(B75,'C-1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07" t="str">
        <f>IF(V75="","",IF(VLOOKUP(V75,'G-7 Rivers Data'!$AG$4:$AI$9,2,FALSE)=0,"Spatial Data Missing ⚠",VLOOKUP(V75,'G-7 Rivers Data'!$AG$4:$AI$9,2,FALSE)))</f>
        <v/>
      </c>
      <c r="X75" s="499" t="str">
        <f>IF(V75="","",IF(VLOOKUP(V75,'G-7 Rivers Data'!$AG$4:$AI$9,3,FALSE)=0,"Spatial Data Missing ⚠",VLOOKUP(V75,'G-7 Rivers Data'!$AG$4:$AI$9,3,FALSE)))</f>
        <v/>
      </c>
      <c r="Y75" s="498" t="str">
        <f>IFERROR(IF(OR(LEFT(P75,5)="Error ▲",LEFT(O75,5)="Error ▲"),"Check Data ⚠",IF(F75&lt;S75,'G-7 Rivers Data'!$R$3,INDEX('G-7 Rivers Data'!$U$5:$Y$9,MATCH(G75,'G-7 Rivers Data'!$T$5:$T$9,0),MATCH(T75,'G-7 Rivers Data'!$U$4:$Y$4,0)))),"")</f>
        <v/>
      </c>
      <c r="Z75" s="195"/>
      <c r="AA75" s="195"/>
      <c r="AB75" s="507" t="str">
        <f t="shared" si="2"/>
        <v/>
      </c>
      <c r="AC75" s="521" t="str">
        <f t="shared" si="3"/>
        <v/>
      </c>
      <c r="AD75" s="564" t="str">
        <f>IFERROR(IF(AC75="Check Data ⚠","Check Data ⚠",VLOOKUP(AC75,'G-4 Temporal multipliers'!$A$4:$C$37,3,FALSE)),"")</f>
        <v/>
      </c>
      <c r="AE75" s="498" t="str">
        <f>IF(N75="","",VLOOKUP(N75,'G-7 Rivers Data'!$B$4:$G$8,5,FALSE))</f>
        <v/>
      </c>
      <c r="AF75" s="507" t="str">
        <f t="shared" si="4"/>
        <v/>
      </c>
      <c r="AG75" s="540" t="str">
        <f t="shared" si="5"/>
        <v/>
      </c>
      <c r="AH75" s="499" t="str">
        <f t="shared" si="0"/>
        <v/>
      </c>
      <c r="AI75" s="145"/>
      <c r="AJ75" s="499" t="str">
        <f>IF(AI75="","",IF(VLOOKUP(AI75,'G-7 Rivers Data'!$AA$4:$AB$7,2,FALSE)=0,"Spatial Data Missing ⚠",VLOOKUP(AI75,'G-7 Rivers Data'!$AA$4:$AB$7,2,FALSE)))</f>
        <v/>
      </c>
      <c r="AK75" s="155"/>
      <c r="AL75" s="499" t="str">
        <f>IF(AK75="","",IF(VLOOKUP(AK75,'G-7 Rivers Data'!$AD$4:$AE$8,2,FALSE)=0,"Spatial Data Missing ⚠",VLOOKUP(AK75,'G-7 Rivers Data'!$AD$4:$AE$8,2,FALSE)))</f>
        <v/>
      </c>
      <c r="AM75" s="545" t="str">
        <f t="shared" si="7"/>
        <v/>
      </c>
      <c r="AN75" s="149"/>
      <c r="AO75" s="150"/>
      <c r="AV75" s="31" t="str">
        <f>IFERROR(INDEX('G-7 Rivers Data'!$AZ$3:$AZ$7,MATCH(N75,'G-7 Rivers Data'!$AY$3:$AY$7,0)),"")</f>
        <v/>
      </c>
    </row>
    <row r="76" spans="2:48" ht="13.8" x14ac:dyDescent="0.25">
      <c r="B76" s="531" t="str">
        <f>'C-1 Site River Baseline'!AN74</f>
        <v/>
      </c>
      <c r="C76" s="520" t="str">
        <f>IF(B76="","",VLOOKUP($B76,'C-1 Site River Baseline'!$C$9:$R$257,2,FALSE))</f>
        <v/>
      </c>
      <c r="D76" s="520" t="str">
        <f>IF(C76="","",VLOOKUP($B76,'C-1 Site River Baseline'!$C$9:$R$257,3,FALSE))</f>
        <v/>
      </c>
      <c r="E76" s="520" t="str">
        <f>IF(D76="","",VLOOKUP($B76,'C-1 Site River Baseline'!$C$9:$R$257,4,FALSE))</f>
        <v/>
      </c>
      <c r="F76" s="520" t="str">
        <f>IF(E76="","",VLOOKUP($B76,'C-1 Site River Baseline'!$C$9:$R$257,5,FALSE))</f>
        <v/>
      </c>
      <c r="G76" s="520" t="str">
        <f>IF(F76="","",VLOOKUP($B76,'C-1 Site River Baseline'!$C$9:$R$257,6,FALSE))</f>
        <v/>
      </c>
      <c r="H76" s="520" t="str">
        <f>IF(G76="","",VLOOKUP($B76,'C-1 Site River Baseline'!$C$9:$R$257,7,FALSE))</f>
        <v/>
      </c>
      <c r="I76" s="520" t="str">
        <f>IF(H76="","",VLOOKUP($B76,'C-1 Site River Baseline'!$C$9:$R$257,8,FALSE))</f>
        <v/>
      </c>
      <c r="J76" s="520" t="str">
        <f>IF(I76="","",VLOOKUP($B76,'C-1 Site River Baseline'!$C$9:$R$257,9,FALSE))</f>
        <v/>
      </c>
      <c r="K76" s="520" t="str">
        <f>IF(J76="","",VLOOKUP($B76,'C-1 Site River Baseline'!$C$9:$R$257,10,FALSE))</f>
        <v/>
      </c>
      <c r="L76" s="520" t="str">
        <f>IF(B76="","",VLOOKUP($B76,'C-1 Site River Baseline'!$C$9:$R$257,15,FALSE))</f>
        <v/>
      </c>
      <c r="M76" s="524" t="str">
        <f>IF(L76="","",VLOOKUP($B76,'C-1 Site River Baseline'!$C$9:$R$257,16,FALSE))</f>
        <v/>
      </c>
      <c r="N76" s="418" t="str">
        <f t="shared" si="6"/>
        <v/>
      </c>
      <c r="O76" s="498" t="str">
        <f t="shared" si="1"/>
        <v/>
      </c>
      <c r="P76" s="499"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7" t="str">
        <f>IF(N76="","",VLOOKUP(B76,'C-1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07" t="str">
        <f>IF(V76="","",IF(VLOOKUP(V76,'G-7 Rivers Data'!$AG$4:$AI$9,2,FALSE)=0,"Spatial Data Missing ⚠",VLOOKUP(V76,'G-7 Rivers Data'!$AG$4:$AI$9,2,FALSE)))</f>
        <v/>
      </c>
      <c r="X76" s="499" t="str">
        <f>IF(V76="","",IF(VLOOKUP(V76,'G-7 Rivers Data'!$AG$4:$AI$9,3,FALSE)=0,"Spatial Data Missing ⚠",VLOOKUP(V76,'G-7 Rivers Data'!$AG$4:$AI$9,3,FALSE)))</f>
        <v/>
      </c>
      <c r="Y76" s="498" t="str">
        <f>IFERROR(IF(OR(LEFT(P76,5)="Error ▲",LEFT(O76,5)="Error ▲"),"Check Data ⚠",IF(F76&lt;S76,'G-7 Rivers Data'!$R$3,INDEX('G-7 Rivers Data'!$U$5:$Y$9,MATCH(G76,'G-7 Rivers Data'!$T$5:$T$9,0),MATCH(T76,'G-7 Rivers Data'!$U$4:$Y$4,0)))),"")</f>
        <v/>
      </c>
      <c r="Z76" s="195"/>
      <c r="AA76" s="195"/>
      <c r="AB76" s="507" t="str">
        <f t="shared" si="2"/>
        <v/>
      </c>
      <c r="AC76" s="521" t="str">
        <f t="shared" si="3"/>
        <v/>
      </c>
      <c r="AD76" s="564" t="str">
        <f>IFERROR(IF(AC76="Check Data ⚠","Check Data ⚠",VLOOKUP(AC76,'G-4 Temporal multipliers'!$A$4:$C$37,3,FALSE)),"")</f>
        <v/>
      </c>
      <c r="AE76" s="498" t="str">
        <f>IF(N76="","",VLOOKUP(N76,'G-7 Rivers Data'!$B$4:$G$8,5,FALSE))</f>
        <v/>
      </c>
      <c r="AF76" s="507" t="str">
        <f t="shared" si="4"/>
        <v/>
      </c>
      <c r="AG76" s="540" t="str">
        <f t="shared" si="5"/>
        <v/>
      </c>
      <c r="AH76" s="499" t="str">
        <f t="shared" ref="AH76:AH139" si="8">IF(N76="","",VLOOKUP(AE76,Difficulty,2,FALSE))</f>
        <v/>
      </c>
      <c r="AI76" s="145"/>
      <c r="AJ76" s="499" t="str">
        <f>IF(AI76="","",IF(VLOOKUP(AI76,'G-7 Rivers Data'!$AA$4:$AB$7,2,FALSE)=0,"Spatial Data Missing ⚠",VLOOKUP(AI76,'G-7 Rivers Data'!$AA$4:$AB$7,2,FALSE)))</f>
        <v/>
      </c>
      <c r="AK76" s="155"/>
      <c r="AL76" s="499" t="str">
        <f>IF(AK76="","",IF(VLOOKUP(AK76,'G-7 Rivers Data'!$AD$4:$AE$8,2,FALSE)=0,"Spatial Data Missing ⚠",VLOOKUP(AK76,'G-7 Rivers Data'!$AD$4:$AE$8,2,FALSE)))</f>
        <v/>
      </c>
      <c r="AM76" s="545" t="str">
        <f t="shared" si="7"/>
        <v/>
      </c>
      <c r="AN76" s="149"/>
      <c r="AO76" s="150"/>
      <c r="AV76" s="31" t="str">
        <f>IFERROR(INDEX('G-7 Rivers Data'!$AZ$3:$AZ$7,MATCH(N76,'G-7 Rivers Data'!$AY$3:$AY$7,0)),"")</f>
        <v/>
      </c>
    </row>
    <row r="77" spans="2:48" ht="13.8" x14ac:dyDescent="0.25">
      <c r="B77" s="531" t="str">
        <f>'C-1 Site River Baseline'!AN75</f>
        <v/>
      </c>
      <c r="C77" s="520" t="str">
        <f>IF(B77="","",VLOOKUP($B77,'C-1 Site River Baseline'!$C$9:$R$257,2,FALSE))</f>
        <v/>
      </c>
      <c r="D77" s="520" t="str">
        <f>IF(C77="","",VLOOKUP($B77,'C-1 Site River Baseline'!$C$9:$R$257,3,FALSE))</f>
        <v/>
      </c>
      <c r="E77" s="520" t="str">
        <f>IF(D77="","",VLOOKUP($B77,'C-1 Site River Baseline'!$C$9:$R$257,4,FALSE))</f>
        <v/>
      </c>
      <c r="F77" s="520" t="str">
        <f>IF(E77="","",VLOOKUP($B77,'C-1 Site River Baseline'!$C$9:$R$257,5,FALSE))</f>
        <v/>
      </c>
      <c r="G77" s="520" t="str">
        <f>IF(F77="","",VLOOKUP($B77,'C-1 Site River Baseline'!$C$9:$R$257,6,FALSE))</f>
        <v/>
      </c>
      <c r="H77" s="520" t="str">
        <f>IF(G77="","",VLOOKUP($B77,'C-1 Site River Baseline'!$C$9:$R$257,7,FALSE))</f>
        <v/>
      </c>
      <c r="I77" s="520" t="str">
        <f>IF(H77="","",VLOOKUP($B77,'C-1 Site River Baseline'!$C$9:$R$257,8,FALSE))</f>
        <v/>
      </c>
      <c r="J77" s="520" t="str">
        <f>IF(I77="","",VLOOKUP($B77,'C-1 Site River Baseline'!$C$9:$R$257,9,FALSE))</f>
        <v/>
      </c>
      <c r="K77" s="520" t="str">
        <f>IF(J77="","",VLOOKUP($B77,'C-1 Site River Baseline'!$C$9:$R$257,10,FALSE))</f>
        <v/>
      </c>
      <c r="L77" s="520" t="str">
        <f>IF(B77="","",VLOOKUP($B77,'C-1 Site River Baseline'!$C$9:$R$257,15,FALSE))</f>
        <v/>
      </c>
      <c r="M77" s="524" t="str">
        <f>IF(L77="","",VLOOKUP($B77,'C-1 Site River Baseline'!$C$9:$R$257,16,FALSE))</f>
        <v/>
      </c>
      <c r="N77" s="418" t="str">
        <f t="shared" ref="N77:N140" si="9">C77</f>
        <v/>
      </c>
      <c r="O77" s="498" t="str">
        <f t="shared" ref="O77:O140" si="10">IF(B77="","",IF(S77&lt;F77,"Error Trading Down ▲",E77&amp;" - "&amp;R77))</f>
        <v/>
      </c>
      <c r="P77" s="499"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7" t="str">
        <f>IF(N77="","",VLOOKUP(B77,'C-1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07" t="str">
        <f>IF(V77="","",IF(VLOOKUP(V77,'G-7 Rivers Data'!$AG$4:$AI$9,2,FALSE)=0,"Spatial Data Missing ⚠",VLOOKUP(V77,'G-7 Rivers Data'!$AG$4:$AI$9,2,FALSE)))</f>
        <v/>
      </c>
      <c r="X77" s="499" t="str">
        <f>IF(V77="","",IF(VLOOKUP(V77,'G-7 Rivers Data'!$AG$4:$AI$9,3,FALSE)=0,"Spatial Data Missing ⚠",VLOOKUP(V77,'G-7 Rivers Data'!$AG$4:$AI$9,3,FALSE)))</f>
        <v/>
      </c>
      <c r="Y77" s="498" t="str">
        <f>IFERROR(IF(OR(LEFT(P77,5)="Error ▲",LEFT(O77,5)="Error ▲"),"Check Data ⚠",IF(F77&lt;S77,'G-7 Rivers Data'!$R$3,INDEX('G-7 Rivers Data'!$U$5:$Y$9,MATCH(G77,'G-7 Rivers Data'!$T$5:$T$9,0),MATCH(T77,'G-7 Rivers Data'!$U$4:$Y$4,0)))),"")</f>
        <v/>
      </c>
      <c r="Z77" s="195"/>
      <c r="AA77" s="195"/>
      <c r="AB77" s="507"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1" t="str">
        <f t="shared" ref="AC77:AC140" si="12">IF(LEFT(AB77,5)="Error ▲","Check Data ⚠",IF(AB77="Check Data ⚠","Check Data ⚠",IF(Y77="","",IF(Z77="30+",0,IF(AA77="30+","30+ ⚠",IF(Y77+AA77&gt;30,"30+ ⚠",IF(Y77+AA77-Z77&gt;0,Y77+AA77-Z77,IF(Y77-Z77&lt;0,0,Y77+AA77-Z77))))))))</f>
        <v/>
      </c>
      <c r="AD77" s="564" t="str">
        <f>IFERROR(IF(AC77="Check Data ⚠","Check Data ⚠",VLOOKUP(AC77,'G-4 Temporal multipliers'!$A$4:$C$37,3,FALSE)),"")</f>
        <v/>
      </c>
      <c r="AE77" s="498" t="str">
        <f>IF(N77="","",VLOOKUP(N77,'G-7 Rivers Data'!$B$4:$G$8,5,FALSE))</f>
        <v/>
      </c>
      <c r="AF77" s="507" t="str">
        <f t="shared" ref="AF77:AF140" si="13">IF(N77="","",IF(AC77="Check Data ⚠","Check Data ⚠",IF(T77="","",IF($AB77="Check details - Is there evidence that habitat has reached target condition? ⚠","Low Difficulty - only applicable if all habitat created before losses ⚠","Standard difficulty applied"))))</f>
        <v/>
      </c>
      <c r="AG77" s="540" t="str">
        <f t="shared" ref="AG77:AG140" si="14">(IF(AND(AF77="Standard difficulty applied",Y77&gt;Z77),AE77,IF(AND(AF77="Low Difficulty - only applicable if all habitat created before losses ⚠",Z77&gt;=Y77),"Low",AE77)))</f>
        <v/>
      </c>
      <c r="AH77" s="499" t="str">
        <f t="shared" si="8"/>
        <v/>
      </c>
      <c r="AI77" s="145"/>
      <c r="AJ77" s="499" t="str">
        <f>IF(AI77="","",IF(VLOOKUP(AI77,'G-7 Rivers Data'!$AA$4:$AB$7,2,FALSE)=0,"Spatial Data Missing ⚠",VLOOKUP(AI77,'G-7 Rivers Data'!$AA$4:$AB$7,2,FALSE)))</f>
        <v/>
      </c>
      <c r="AK77" s="155"/>
      <c r="AL77" s="499" t="str">
        <f>IF(AK77="","",IF(VLOOKUP(AK77,'G-7 Rivers Data'!$AD$4:$AE$8,2,FALSE)=0,"Spatial Data Missing ⚠",VLOOKUP(AK77,'G-7 Rivers Data'!$AD$4:$AE$8,2,FALSE)))</f>
        <v/>
      </c>
      <c r="AM77" s="545" t="str">
        <f t="shared" si="7"/>
        <v/>
      </c>
      <c r="AN77" s="149"/>
      <c r="AO77" s="150"/>
      <c r="AV77" s="31" t="str">
        <f>IFERROR(INDEX('G-7 Rivers Data'!$AZ$3:$AZ$7,MATCH(N77,'G-7 Rivers Data'!$AY$3:$AY$7,0)),"")</f>
        <v/>
      </c>
    </row>
    <row r="78" spans="2:48" ht="13.8" x14ac:dyDescent="0.25">
      <c r="B78" s="531" t="str">
        <f>'C-1 Site River Baseline'!AN76</f>
        <v/>
      </c>
      <c r="C78" s="520" t="str">
        <f>IF(B78="","",VLOOKUP($B78,'C-1 Site River Baseline'!$C$9:$R$257,2,FALSE))</f>
        <v/>
      </c>
      <c r="D78" s="520" t="str">
        <f>IF(C78="","",VLOOKUP($B78,'C-1 Site River Baseline'!$C$9:$R$257,3,FALSE))</f>
        <v/>
      </c>
      <c r="E78" s="520" t="str">
        <f>IF(D78="","",VLOOKUP($B78,'C-1 Site River Baseline'!$C$9:$R$257,4,FALSE))</f>
        <v/>
      </c>
      <c r="F78" s="520" t="str">
        <f>IF(E78="","",VLOOKUP($B78,'C-1 Site River Baseline'!$C$9:$R$257,5,FALSE))</f>
        <v/>
      </c>
      <c r="G78" s="520" t="str">
        <f>IF(F78="","",VLOOKUP($B78,'C-1 Site River Baseline'!$C$9:$R$257,6,FALSE))</f>
        <v/>
      </c>
      <c r="H78" s="520" t="str">
        <f>IF(G78="","",VLOOKUP($B78,'C-1 Site River Baseline'!$C$9:$R$257,7,FALSE))</f>
        <v/>
      </c>
      <c r="I78" s="520" t="str">
        <f>IF(H78="","",VLOOKUP($B78,'C-1 Site River Baseline'!$C$9:$R$257,8,FALSE))</f>
        <v/>
      </c>
      <c r="J78" s="520" t="str">
        <f>IF(I78="","",VLOOKUP($B78,'C-1 Site River Baseline'!$C$9:$R$257,9,FALSE))</f>
        <v/>
      </c>
      <c r="K78" s="520" t="str">
        <f>IF(J78="","",VLOOKUP($B78,'C-1 Site River Baseline'!$C$9:$R$257,10,FALSE))</f>
        <v/>
      </c>
      <c r="L78" s="520" t="str">
        <f>IF(B78="","",VLOOKUP($B78,'C-1 Site River Baseline'!$C$9:$R$257,15,FALSE))</f>
        <v/>
      </c>
      <c r="M78" s="524" t="str">
        <f>IF(L78="","",VLOOKUP($B78,'C-1 Site River Baseline'!$C$9:$R$257,16,FALSE))</f>
        <v/>
      </c>
      <c r="N78" s="418" t="str">
        <f t="shared" si="9"/>
        <v/>
      </c>
      <c r="O78" s="498" t="str">
        <f t="shared" si="10"/>
        <v/>
      </c>
      <c r="P78" s="499"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7" t="str">
        <f>IF(N78="","",VLOOKUP(B78,'C-1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07" t="str">
        <f>IF(V78="","",IF(VLOOKUP(V78,'G-7 Rivers Data'!$AG$4:$AI$9,2,FALSE)=0,"Spatial Data Missing ⚠",VLOOKUP(V78,'G-7 Rivers Data'!$AG$4:$AI$9,2,FALSE)))</f>
        <v/>
      </c>
      <c r="X78" s="499" t="str">
        <f>IF(V78="","",IF(VLOOKUP(V78,'G-7 Rivers Data'!$AG$4:$AI$9,3,FALSE)=0,"Spatial Data Missing ⚠",VLOOKUP(V78,'G-7 Rivers Data'!$AG$4:$AI$9,3,FALSE)))</f>
        <v/>
      </c>
      <c r="Y78" s="498" t="str">
        <f>IFERROR(IF(OR(LEFT(P78,5)="Error ▲",LEFT(O78,5)="Error ▲"),"Check Data ⚠",IF(F78&lt;S78,'G-7 Rivers Data'!$R$3,INDEX('G-7 Rivers Data'!$U$5:$Y$9,MATCH(G78,'G-7 Rivers Data'!$T$5:$T$9,0),MATCH(T78,'G-7 Rivers Data'!$U$4:$Y$4,0)))),"")</f>
        <v/>
      </c>
      <c r="Z78" s="195"/>
      <c r="AA78" s="195"/>
      <c r="AB78" s="507" t="str">
        <f t="shared" si="11"/>
        <v/>
      </c>
      <c r="AC78" s="521" t="str">
        <f t="shared" si="12"/>
        <v/>
      </c>
      <c r="AD78" s="564" t="str">
        <f>IFERROR(IF(AC78="Check Data ⚠","Check Data ⚠",VLOOKUP(AC78,'G-4 Temporal multipliers'!$A$4:$C$37,3,FALSE)),"")</f>
        <v/>
      </c>
      <c r="AE78" s="498" t="str">
        <f>IF(N78="","",VLOOKUP(N78,'G-7 Rivers Data'!$B$4:$G$8,5,FALSE))</f>
        <v/>
      </c>
      <c r="AF78" s="507" t="str">
        <f t="shared" si="13"/>
        <v/>
      </c>
      <c r="AG78" s="540" t="str">
        <f t="shared" si="14"/>
        <v/>
      </c>
      <c r="AH78" s="499" t="str">
        <f t="shared" si="8"/>
        <v/>
      </c>
      <c r="AI78" s="145"/>
      <c r="AJ78" s="499" t="str">
        <f>IF(AI78="","",IF(VLOOKUP(AI78,'G-7 Rivers Data'!$AA$4:$AB$7,2,FALSE)=0,"Spatial Data Missing ⚠",VLOOKUP(AI78,'G-7 Rivers Data'!$AA$4:$AB$7,2,FALSE)))</f>
        <v/>
      </c>
      <c r="AK78" s="155"/>
      <c r="AL78" s="499" t="str">
        <f>IF(AK78="","",IF(VLOOKUP(AK78,'G-7 Rivers Data'!$AD$4:$AE$8,2,FALSE)=0,"Spatial Data Missing ⚠",VLOOKUP(AK78,'G-7 Rivers Data'!$AD$4:$AE$8,2,FALSE)))</f>
        <v/>
      </c>
      <c r="AM78" s="545"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8" x14ac:dyDescent="0.25">
      <c r="B79" s="531" t="str">
        <f>'C-1 Site River Baseline'!AN77</f>
        <v/>
      </c>
      <c r="C79" s="520" t="str">
        <f>IF(B79="","",VLOOKUP($B79,'C-1 Site River Baseline'!$C$9:$R$257,2,FALSE))</f>
        <v/>
      </c>
      <c r="D79" s="520" t="str">
        <f>IF(C79="","",VLOOKUP($B79,'C-1 Site River Baseline'!$C$9:$R$257,3,FALSE))</f>
        <v/>
      </c>
      <c r="E79" s="520" t="str">
        <f>IF(D79="","",VLOOKUP($B79,'C-1 Site River Baseline'!$C$9:$R$257,4,FALSE))</f>
        <v/>
      </c>
      <c r="F79" s="520" t="str">
        <f>IF(E79="","",VLOOKUP($B79,'C-1 Site River Baseline'!$C$9:$R$257,5,FALSE))</f>
        <v/>
      </c>
      <c r="G79" s="520" t="str">
        <f>IF(F79="","",VLOOKUP($B79,'C-1 Site River Baseline'!$C$9:$R$257,6,FALSE))</f>
        <v/>
      </c>
      <c r="H79" s="520" t="str">
        <f>IF(G79="","",VLOOKUP($B79,'C-1 Site River Baseline'!$C$9:$R$257,7,FALSE))</f>
        <v/>
      </c>
      <c r="I79" s="520" t="str">
        <f>IF(H79="","",VLOOKUP($B79,'C-1 Site River Baseline'!$C$9:$R$257,8,FALSE))</f>
        <v/>
      </c>
      <c r="J79" s="520" t="str">
        <f>IF(I79="","",VLOOKUP($B79,'C-1 Site River Baseline'!$C$9:$R$257,9,FALSE))</f>
        <v/>
      </c>
      <c r="K79" s="520" t="str">
        <f>IF(J79="","",VLOOKUP($B79,'C-1 Site River Baseline'!$C$9:$R$257,10,FALSE))</f>
        <v/>
      </c>
      <c r="L79" s="520" t="str">
        <f>IF(B79="","",VLOOKUP($B79,'C-1 Site River Baseline'!$C$9:$R$257,15,FALSE))</f>
        <v/>
      </c>
      <c r="M79" s="524" t="str">
        <f>IF(L79="","",VLOOKUP($B79,'C-1 Site River Baseline'!$C$9:$R$257,16,FALSE))</f>
        <v/>
      </c>
      <c r="N79" s="418" t="str">
        <f t="shared" si="9"/>
        <v/>
      </c>
      <c r="O79" s="498" t="str">
        <f t="shared" si="10"/>
        <v/>
      </c>
      <c r="P79" s="499"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7" t="str">
        <f>IF(N79="","",VLOOKUP(B79,'C-1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07" t="str">
        <f>IF(V79="","",IF(VLOOKUP(V79,'G-7 Rivers Data'!$AG$4:$AI$9,2,FALSE)=0,"Spatial Data Missing ⚠",VLOOKUP(V79,'G-7 Rivers Data'!$AG$4:$AI$9,2,FALSE)))</f>
        <v/>
      </c>
      <c r="X79" s="499" t="str">
        <f>IF(V79="","",IF(VLOOKUP(V79,'G-7 Rivers Data'!$AG$4:$AI$9,3,FALSE)=0,"Spatial Data Missing ⚠",VLOOKUP(V79,'G-7 Rivers Data'!$AG$4:$AI$9,3,FALSE)))</f>
        <v/>
      </c>
      <c r="Y79" s="498" t="str">
        <f>IFERROR(IF(OR(LEFT(P79,5)="Error ▲",LEFT(O79,5)="Error ▲"),"Check Data ⚠",IF(F79&lt;S79,'G-7 Rivers Data'!$R$3,INDEX('G-7 Rivers Data'!$U$5:$Y$9,MATCH(G79,'G-7 Rivers Data'!$T$5:$T$9,0),MATCH(T79,'G-7 Rivers Data'!$U$4:$Y$4,0)))),"")</f>
        <v/>
      </c>
      <c r="Z79" s="195"/>
      <c r="AA79" s="195"/>
      <c r="AB79" s="507" t="str">
        <f t="shared" si="11"/>
        <v/>
      </c>
      <c r="AC79" s="521" t="str">
        <f t="shared" si="12"/>
        <v/>
      </c>
      <c r="AD79" s="564" t="str">
        <f>IFERROR(IF(AC79="Check Data ⚠","Check Data ⚠",VLOOKUP(AC79,'G-4 Temporal multipliers'!$A$4:$C$37,3,FALSE)),"")</f>
        <v/>
      </c>
      <c r="AE79" s="498" t="str">
        <f>IF(N79="","",VLOOKUP(N79,'G-7 Rivers Data'!$B$4:$G$8,5,FALSE))</f>
        <v/>
      </c>
      <c r="AF79" s="507" t="str">
        <f t="shared" si="13"/>
        <v/>
      </c>
      <c r="AG79" s="540" t="str">
        <f t="shared" si="14"/>
        <v/>
      </c>
      <c r="AH79" s="499" t="str">
        <f t="shared" si="8"/>
        <v/>
      </c>
      <c r="AI79" s="145"/>
      <c r="AJ79" s="499" t="str">
        <f>IF(AI79="","",IF(VLOOKUP(AI79,'G-7 Rivers Data'!$AA$4:$AB$7,2,FALSE)=0,"Spatial Data Missing ⚠",VLOOKUP(AI79,'G-7 Rivers Data'!$AA$4:$AB$7,2,FALSE)))</f>
        <v/>
      </c>
      <c r="AK79" s="155"/>
      <c r="AL79" s="499" t="str">
        <f>IF(AK79="","",IF(VLOOKUP(AK79,'G-7 Rivers Data'!$AD$4:$AE$8,2,FALSE)=0,"Spatial Data Missing ⚠",VLOOKUP(AK79,'G-7 Rivers Data'!$AD$4:$AE$8,2,FALSE)))</f>
        <v/>
      </c>
      <c r="AM79" s="545" t="str">
        <f t="shared" si="15"/>
        <v/>
      </c>
      <c r="AN79" s="149"/>
      <c r="AO79" s="150"/>
      <c r="AV79" s="31" t="str">
        <f>IFERROR(INDEX('G-7 Rivers Data'!$AZ$3:$AZ$7,MATCH(N79,'G-7 Rivers Data'!$AY$3:$AY$7,0)),"")</f>
        <v/>
      </c>
    </row>
    <row r="80" spans="2:48" ht="13.8" x14ac:dyDescent="0.25">
      <c r="B80" s="531" t="str">
        <f>'C-1 Site River Baseline'!AN78</f>
        <v/>
      </c>
      <c r="C80" s="520" t="str">
        <f>IF(B80="","",VLOOKUP($B80,'C-1 Site River Baseline'!$C$9:$R$257,2,FALSE))</f>
        <v/>
      </c>
      <c r="D80" s="520" t="str">
        <f>IF(C80="","",VLOOKUP($B80,'C-1 Site River Baseline'!$C$9:$R$257,3,FALSE))</f>
        <v/>
      </c>
      <c r="E80" s="520" t="str">
        <f>IF(D80="","",VLOOKUP($B80,'C-1 Site River Baseline'!$C$9:$R$257,4,FALSE))</f>
        <v/>
      </c>
      <c r="F80" s="520" t="str">
        <f>IF(E80="","",VLOOKUP($B80,'C-1 Site River Baseline'!$C$9:$R$257,5,FALSE))</f>
        <v/>
      </c>
      <c r="G80" s="520" t="str">
        <f>IF(F80="","",VLOOKUP($B80,'C-1 Site River Baseline'!$C$9:$R$257,6,FALSE))</f>
        <v/>
      </c>
      <c r="H80" s="520" t="str">
        <f>IF(G80="","",VLOOKUP($B80,'C-1 Site River Baseline'!$C$9:$R$257,7,FALSE))</f>
        <v/>
      </c>
      <c r="I80" s="520" t="str">
        <f>IF(H80="","",VLOOKUP($B80,'C-1 Site River Baseline'!$C$9:$R$257,8,FALSE))</f>
        <v/>
      </c>
      <c r="J80" s="520" t="str">
        <f>IF(I80="","",VLOOKUP($B80,'C-1 Site River Baseline'!$C$9:$R$257,9,FALSE))</f>
        <v/>
      </c>
      <c r="K80" s="520" t="str">
        <f>IF(J80="","",VLOOKUP($B80,'C-1 Site River Baseline'!$C$9:$R$257,10,FALSE))</f>
        <v/>
      </c>
      <c r="L80" s="520" t="str">
        <f>IF(B80="","",VLOOKUP($B80,'C-1 Site River Baseline'!$C$9:$R$257,15,FALSE))</f>
        <v/>
      </c>
      <c r="M80" s="524" t="str">
        <f>IF(L80="","",VLOOKUP($B80,'C-1 Site River Baseline'!$C$9:$R$257,16,FALSE))</f>
        <v/>
      </c>
      <c r="N80" s="418" t="str">
        <f t="shared" si="9"/>
        <v/>
      </c>
      <c r="O80" s="498" t="str">
        <f t="shared" si="10"/>
        <v/>
      </c>
      <c r="P80" s="499"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7" t="str">
        <f>IF(N80="","",VLOOKUP(B80,'C-1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07" t="str">
        <f>IF(V80="","",IF(VLOOKUP(V80,'G-7 Rivers Data'!$AG$4:$AI$9,2,FALSE)=0,"Spatial Data Missing ⚠",VLOOKUP(V80,'G-7 Rivers Data'!$AG$4:$AI$9,2,FALSE)))</f>
        <v/>
      </c>
      <c r="X80" s="499" t="str">
        <f>IF(V80="","",IF(VLOOKUP(V80,'G-7 Rivers Data'!$AG$4:$AI$9,3,FALSE)=0,"Spatial Data Missing ⚠",VLOOKUP(V80,'G-7 Rivers Data'!$AG$4:$AI$9,3,FALSE)))</f>
        <v/>
      </c>
      <c r="Y80" s="498" t="str">
        <f>IFERROR(IF(OR(LEFT(P80,5)="Error ▲",LEFT(O80,5)="Error ▲"),"Check Data ⚠",IF(F80&lt;S80,'G-7 Rivers Data'!$R$3,INDEX('G-7 Rivers Data'!$U$5:$Y$9,MATCH(G80,'G-7 Rivers Data'!$T$5:$T$9,0),MATCH(T80,'G-7 Rivers Data'!$U$4:$Y$4,0)))),"")</f>
        <v/>
      </c>
      <c r="Z80" s="195"/>
      <c r="AA80" s="195"/>
      <c r="AB80" s="507" t="str">
        <f t="shared" si="11"/>
        <v/>
      </c>
      <c r="AC80" s="521" t="str">
        <f t="shared" si="12"/>
        <v/>
      </c>
      <c r="AD80" s="564" t="str">
        <f>IFERROR(IF(AC80="Check Data ⚠","Check Data ⚠",VLOOKUP(AC80,'G-4 Temporal multipliers'!$A$4:$C$37,3,FALSE)),"")</f>
        <v/>
      </c>
      <c r="AE80" s="498" t="str">
        <f>IF(N80="","",VLOOKUP(N80,'G-7 Rivers Data'!$B$4:$G$8,5,FALSE))</f>
        <v/>
      </c>
      <c r="AF80" s="507" t="str">
        <f t="shared" si="13"/>
        <v/>
      </c>
      <c r="AG80" s="540" t="str">
        <f t="shared" si="14"/>
        <v/>
      </c>
      <c r="AH80" s="499" t="str">
        <f t="shared" si="8"/>
        <v/>
      </c>
      <c r="AI80" s="145"/>
      <c r="AJ80" s="499" t="str">
        <f>IF(AI80="","",IF(VLOOKUP(AI80,'G-7 Rivers Data'!$AA$4:$AB$7,2,FALSE)=0,"Spatial Data Missing ⚠",VLOOKUP(AI80,'G-7 Rivers Data'!$AA$4:$AB$7,2,FALSE)))</f>
        <v/>
      </c>
      <c r="AK80" s="155"/>
      <c r="AL80" s="499" t="str">
        <f>IF(AK80="","",IF(VLOOKUP(AK80,'G-7 Rivers Data'!$AD$4:$AE$8,2,FALSE)=0,"Spatial Data Missing ⚠",VLOOKUP(AK80,'G-7 Rivers Data'!$AD$4:$AE$8,2,FALSE)))</f>
        <v/>
      </c>
      <c r="AM80" s="545" t="str">
        <f t="shared" si="15"/>
        <v/>
      </c>
      <c r="AN80" s="149"/>
      <c r="AO80" s="150"/>
      <c r="AV80" s="31" t="str">
        <f>IFERROR(INDEX('G-7 Rivers Data'!$AZ$3:$AZ$7,MATCH(N80,'G-7 Rivers Data'!$AY$3:$AY$7,0)),"")</f>
        <v/>
      </c>
    </row>
    <row r="81" spans="2:48" ht="13.8" x14ac:dyDescent="0.25">
      <c r="B81" s="531" t="str">
        <f>'C-1 Site River Baseline'!AN79</f>
        <v/>
      </c>
      <c r="C81" s="520" t="str">
        <f>IF(B81="","",VLOOKUP($B81,'C-1 Site River Baseline'!$C$9:$R$257,2,FALSE))</f>
        <v/>
      </c>
      <c r="D81" s="520" t="str">
        <f>IF(C81="","",VLOOKUP($B81,'C-1 Site River Baseline'!$C$9:$R$257,3,FALSE))</f>
        <v/>
      </c>
      <c r="E81" s="520" t="str">
        <f>IF(D81="","",VLOOKUP($B81,'C-1 Site River Baseline'!$C$9:$R$257,4,FALSE))</f>
        <v/>
      </c>
      <c r="F81" s="520" t="str">
        <f>IF(E81="","",VLOOKUP($B81,'C-1 Site River Baseline'!$C$9:$R$257,5,FALSE))</f>
        <v/>
      </c>
      <c r="G81" s="520" t="str">
        <f>IF(F81="","",VLOOKUP($B81,'C-1 Site River Baseline'!$C$9:$R$257,6,FALSE))</f>
        <v/>
      </c>
      <c r="H81" s="520" t="str">
        <f>IF(G81="","",VLOOKUP($B81,'C-1 Site River Baseline'!$C$9:$R$257,7,FALSE))</f>
        <v/>
      </c>
      <c r="I81" s="520" t="str">
        <f>IF(H81="","",VLOOKUP($B81,'C-1 Site River Baseline'!$C$9:$R$257,8,FALSE))</f>
        <v/>
      </c>
      <c r="J81" s="520" t="str">
        <f>IF(I81="","",VLOOKUP($B81,'C-1 Site River Baseline'!$C$9:$R$257,9,FALSE))</f>
        <v/>
      </c>
      <c r="K81" s="520" t="str">
        <f>IF(J81="","",VLOOKUP($B81,'C-1 Site River Baseline'!$C$9:$R$257,10,FALSE))</f>
        <v/>
      </c>
      <c r="L81" s="520" t="str">
        <f>IF(B81="","",VLOOKUP($B81,'C-1 Site River Baseline'!$C$9:$R$257,15,FALSE))</f>
        <v/>
      </c>
      <c r="M81" s="524" t="str">
        <f>IF(L81="","",VLOOKUP($B81,'C-1 Site River Baseline'!$C$9:$R$257,16,FALSE))</f>
        <v/>
      </c>
      <c r="N81" s="418" t="str">
        <f t="shared" si="9"/>
        <v/>
      </c>
      <c r="O81" s="498" t="str">
        <f t="shared" si="10"/>
        <v/>
      </c>
      <c r="P81" s="499"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7" t="str">
        <f>IF(N81="","",VLOOKUP(B81,'C-1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07" t="str">
        <f>IF(V81="","",IF(VLOOKUP(V81,'G-7 Rivers Data'!$AG$4:$AI$9,2,FALSE)=0,"Spatial Data Missing ⚠",VLOOKUP(V81,'G-7 Rivers Data'!$AG$4:$AI$9,2,FALSE)))</f>
        <v/>
      </c>
      <c r="X81" s="499" t="str">
        <f>IF(V81="","",IF(VLOOKUP(V81,'G-7 Rivers Data'!$AG$4:$AI$9,3,FALSE)=0,"Spatial Data Missing ⚠",VLOOKUP(V81,'G-7 Rivers Data'!$AG$4:$AI$9,3,FALSE)))</f>
        <v/>
      </c>
      <c r="Y81" s="498" t="str">
        <f>IFERROR(IF(OR(LEFT(P81,5)="Error ▲",LEFT(O81,5)="Error ▲"),"Check Data ⚠",IF(F81&lt;S81,'G-7 Rivers Data'!$R$3,INDEX('G-7 Rivers Data'!$U$5:$Y$9,MATCH(G81,'G-7 Rivers Data'!$T$5:$T$9,0),MATCH(T81,'G-7 Rivers Data'!$U$4:$Y$4,0)))),"")</f>
        <v/>
      </c>
      <c r="Z81" s="195"/>
      <c r="AA81" s="195"/>
      <c r="AB81" s="507" t="str">
        <f t="shared" si="11"/>
        <v/>
      </c>
      <c r="AC81" s="521" t="str">
        <f t="shared" si="12"/>
        <v/>
      </c>
      <c r="AD81" s="564" t="str">
        <f>IFERROR(IF(AC81="Check Data ⚠","Check Data ⚠",VLOOKUP(AC81,'G-4 Temporal multipliers'!$A$4:$C$37,3,FALSE)),"")</f>
        <v/>
      </c>
      <c r="AE81" s="498" t="str">
        <f>IF(N81="","",VLOOKUP(N81,'G-7 Rivers Data'!$B$4:$G$8,5,FALSE))</f>
        <v/>
      </c>
      <c r="AF81" s="507" t="str">
        <f t="shared" si="13"/>
        <v/>
      </c>
      <c r="AG81" s="540" t="str">
        <f t="shared" si="14"/>
        <v/>
      </c>
      <c r="AH81" s="499" t="str">
        <f t="shared" si="8"/>
        <v/>
      </c>
      <c r="AI81" s="145"/>
      <c r="AJ81" s="499" t="str">
        <f>IF(AI81="","",IF(VLOOKUP(AI81,'G-7 Rivers Data'!$AA$4:$AB$7,2,FALSE)=0,"Spatial Data Missing ⚠",VLOOKUP(AI81,'G-7 Rivers Data'!$AA$4:$AB$7,2,FALSE)))</f>
        <v/>
      </c>
      <c r="AK81" s="155"/>
      <c r="AL81" s="499" t="str">
        <f>IF(AK81="","",IF(VLOOKUP(AK81,'G-7 Rivers Data'!$AD$4:$AE$8,2,FALSE)=0,"Spatial Data Missing ⚠",VLOOKUP(AK81,'G-7 Rivers Data'!$AD$4:$AE$8,2,FALSE)))</f>
        <v/>
      </c>
      <c r="AM81" s="545" t="str">
        <f t="shared" si="15"/>
        <v/>
      </c>
      <c r="AN81" s="149"/>
      <c r="AO81" s="150"/>
      <c r="AV81" s="31" t="str">
        <f>IFERROR(INDEX('G-7 Rivers Data'!$AZ$3:$AZ$7,MATCH(N81,'G-7 Rivers Data'!$AY$3:$AY$7,0)),"")</f>
        <v/>
      </c>
    </row>
    <row r="82" spans="2:48" ht="13.8" x14ac:dyDescent="0.25">
      <c r="B82" s="531" t="str">
        <f>'C-1 Site River Baseline'!AN80</f>
        <v/>
      </c>
      <c r="C82" s="520" t="str">
        <f>IF(B82="","",VLOOKUP($B82,'C-1 Site River Baseline'!$C$9:$R$257,2,FALSE))</f>
        <v/>
      </c>
      <c r="D82" s="520" t="str">
        <f>IF(C82="","",VLOOKUP($B82,'C-1 Site River Baseline'!$C$9:$R$257,3,FALSE))</f>
        <v/>
      </c>
      <c r="E82" s="520" t="str">
        <f>IF(D82="","",VLOOKUP($B82,'C-1 Site River Baseline'!$C$9:$R$257,4,FALSE))</f>
        <v/>
      </c>
      <c r="F82" s="520" t="str">
        <f>IF(E82="","",VLOOKUP($B82,'C-1 Site River Baseline'!$C$9:$R$257,5,FALSE))</f>
        <v/>
      </c>
      <c r="G82" s="520" t="str">
        <f>IF(F82="","",VLOOKUP($B82,'C-1 Site River Baseline'!$C$9:$R$257,6,FALSE))</f>
        <v/>
      </c>
      <c r="H82" s="520" t="str">
        <f>IF(G82="","",VLOOKUP($B82,'C-1 Site River Baseline'!$C$9:$R$257,7,FALSE))</f>
        <v/>
      </c>
      <c r="I82" s="520" t="str">
        <f>IF(H82="","",VLOOKUP($B82,'C-1 Site River Baseline'!$C$9:$R$257,8,FALSE))</f>
        <v/>
      </c>
      <c r="J82" s="520" t="str">
        <f>IF(I82="","",VLOOKUP($B82,'C-1 Site River Baseline'!$C$9:$R$257,9,FALSE))</f>
        <v/>
      </c>
      <c r="K82" s="520" t="str">
        <f>IF(J82="","",VLOOKUP($B82,'C-1 Site River Baseline'!$C$9:$R$257,10,FALSE))</f>
        <v/>
      </c>
      <c r="L82" s="520" t="str">
        <f>IF(B82="","",VLOOKUP($B82,'C-1 Site River Baseline'!$C$9:$R$257,15,FALSE))</f>
        <v/>
      </c>
      <c r="M82" s="524" t="str">
        <f>IF(L82="","",VLOOKUP($B82,'C-1 Site River Baseline'!$C$9:$R$257,16,FALSE))</f>
        <v/>
      </c>
      <c r="N82" s="418" t="str">
        <f t="shared" si="9"/>
        <v/>
      </c>
      <c r="O82" s="498" t="str">
        <f t="shared" si="10"/>
        <v/>
      </c>
      <c r="P82" s="499"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7" t="str">
        <f>IF(N82="","",VLOOKUP(B82,'C-1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07" t="str">
        <f>IF(V82="","",IF(VLOOKUP(V82,'G-7 Rivers Data'!$AG$4:$AI$9,2,FALSE)=0,"Spatial Data Missing ⚠",VLOOKUP(V82,'G-7 Rivers Data'!$AG$4:$AI$9,2,FALSE)))</f>
        <v/>
      </c>
      <c r="X82" s="499" t="str">
        <f>IF(V82="","",IF(VLOOKUP(V82,'G-7 Rivers Data'!$AG$4:$AI$9,3,FALSE)=0,"Spatial Data Missing ⚠",VLOOKUP(V82,'G-7 Rivers Data'!$AG$4:$AI$9,3,FALSE)))</f>
        <v/>
      </c>
      <c r="Y82" s="498" t="str">
        <f>IFERROR(IF(OR(LEFT(P82,5)="Error ▲",LEFT(O82,5)="Error ▲"),"Check Data ⚠",IF(F82&lt;S82,'G-7 Rivers Data'!$R$3,INDEX('G-7 Rivers Data'!$U$5:$Y$9,MATCH(G82,'G-7 Rivers Data'!$T$5:$T$9,0),MATCH(T82,'G-7 Rivers Data'!$U$4:$Y$4,0)))),"")</f>
        <v/>
      </c>
      <c r="Z82" s="195"/>
      <c r="AA82" s="195"/>
      <c r="AB82" s="507" t="str">
        <f t="shared" si="11"/>
        <v/>
      </c>
      <c r="AC82" s="521" t="str">
        <f t="shared" si="12"/>
        <v/>
      </c>
      <c r="AD82" s="564" t="str">
        <f>IFERROR(IF(AC82="Check Data ⚠","Check Data ⚠",VLOOKUP(AC82,'G-4 Temporal multipliers'!$A$4:$C$37,3,FALSE)),"")</f>
        <v/>
      </c>
      <c r="AE82" s="498" t="str">
        <f>IF(N82="","",VLOOKUP(N82,'G-7 Rivers Data'!$B$4:$G$8,5,FALSE))</f>
        <v/>
      </c>
      <c r="AF82" s="507" t="str">
        <f t="shared" si="13"/>
        <v/>
      </c>
      <c r="AG82" s="540" t="str">
        <f t="shared" si="14"/>
        <v/>
      </c>
      <c r="AH82" s="499" t="str">
        <f t="shared" si="8"/>
        <v/>
      </c>
      <c r="AI82" s="145"/>
      <c r="AJ82" s="499" t="str">
        <f>IF(AI82="","",IF(VLOOKUP(AI82,'G-7 Rivers Data'!$AA$4:$AB$7,2,FALSE)=0,"Spatial Data Missing ⚠",VLOOKUP(AI82,'G-7 Rivers Data'!$AA$4:$AB$7,2,FALSE)))</f>
        <v/>
      </c>
      <c r="AK82" s="155"/>
      <c r="AL82" s="499" t="str">
        <f>IF(AK82="","",IF(VLOOKUP(AK82,'G-7 Rivers Data'!$AD$4:$AE$8,2,FALSE)=0,"Spatial Data Missing ⚠",VLOOKUP(AK82,'G-7 Rivers Data'!$AD$4:$AE$8,2,FALSE)))</f>
        <v/>
      </c>
      <c r="AM82" s="545" t="str">
        <f t="shared" si="15"/>
        <v/>
      </c>
      <c r="AN82" s="149"/>
      <c r="AO82" s="150"/>
      <c r="AV82" s="31" t="str">
        <f>IFERROR(INDEX('G-7 Rivers Data'!$AZ$3:$AZ$7,MATCH(N82,'G-7 Rivers Data'!$AY$3:$AY$7,0)),"")</f>
        <v/>
      </c>
    </row>
    <row r="83" spans="2:48" ht="13.8" x14ac:dyDescent="0.25">
      <c r="B83" s="531" t="str">
        <f>'C-1 Site River Baseline'!AN81</f>
        <v/>
      </c>
      <c r="C83" s="520" t="str">
        <f>IF(B83="","",VLOOKUP($B83,'C-1 Site River Baseline'!$C$9:$R$257,2,FALSE))</f>
        <v/>
      </c>
      <c r="D83" s="520" t="str">
        <f>IF(C83="","",VLOOKUP($B83,'C-1 Site River Baseline'!$C$9:$R$257,3,FALSE))</f>
        <v/>
      </c>
      <c r="E83" s="520" t="str">
        <f>IF(D83="","",VLOOKUP($B83,'C-1 Site River Baseline'!$C$9:$R$257,4,FALSE))</f>
        <v/>
      </c>
      <c r="F83" s="520" t="str">
        <f>IF(E83="","",VLOOKUP($B83,'C-1 Site River Baseline'!$C$9:$R$257,5,FALSE))</f>
        <v/>
      </c>
      <c r="G83" s="520" t="str">
        <f>IF(F83="","",VLOOKUP($B83,'C-1 Site River Baseline'!$C$9:$R$257,6,FALSE))</f>
        <v/>
      </c>
      <c r="H83" s="520" t="str">
        <f>IF(G83="","",VLOOKUP($B83,'C-1 Site River Baseline'!$C$9:$R$257,7,FALSE))</f>
        <v/>
      </c>
      <c r="I83" s="520" t="str">
        <f>IF(H83="","",VLOOKUP($B83,'C-1 Site River Baseline'!$C$9:$R$257,8,FALSE))</f>
        <v/>
      </c>
      <c r="J83" s="520" t="str">
        <f>IF(I83="","",VLOOKUP($B83,'C-1 Site River Baseline'!$C$9:$R$257,9,FALSE))</f>
        <v/>
      </c>
      <c r="K83" s="520" t="str">
        <f>IF(J83="","",VLOOKUP($B83,'C-1 Site River Baseline'!$C$9:$R$257,10,FALSE))</f>
        <v/>
      </c>
      <c r="L83" s="520" t="str">
        <f>IF(B83="","",VLOOKUP($B83,'C-1 Site River Baseline'!$C$9:$R$257,15,FALSE))</f>
        <v/>
      </c>
      <c r="M83" s="524" t="str">
        <f>IF(L83="","",VLOOKUP($B83,'C-1 Site River Baseline'!$C$9:$R$257,16,FALSE))</f>
        <v/>
      </c>
      <c r="N83" s="418" t="str">
        <f t="shared" si="9"/>
        <v/>
      </c>
      <c r="O83" s="498" t="str">
        <f t="shared" si="10"/>
        <v/>
      </c>
      <c r="P83" s="499"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7" t="str">
        <f>IF(N83="","",VLOOKUP(B83,'C-1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07" t="str">
        <f>IF(V83="","",IF(VLOOKUP(V83,'G-7 Rivers Data'!$AG$4:$AI$9,2,FALSE)=0,"Spatial Data Missing ⚠",VLOOKUP(V83,'G-7 Rivers Data'!$AG$4:$AI$9,2,FALSE)))</f>
        <v/>
      </c>
      <c r="X83" s="499" t="str">
        <f>IF(V83="","",IF(VLOOKUP(V83,'G-7 Rivers Data'!$AG$4:$AI$9,3,FALSE)=0,"Spatial Data Missing ⚠",VLOOKUP(V83,'G-7 Rivers Data'!$AG$4:$AI$9,3,FALSE)))</f>
        <v/>
      </c>
      <c r="Y83" s="498" t="str">
        <f>IFERROR(IF(OR(LEFT(P83,5)="Error ▲",LEFT(O83,5)="Error ▲"),"Check Data ⚠",IF(F83&lt;S83,'G-7 Rivers Data'!$R$3,INDEX('G-7 Rivers Data'!$U$5:$Y$9,MATCH(G83,'G-7 Rivers Data'!$T$5:$T$9,0),MATCH(T83,'G-7 Rivers Data'!$U$4:$Y$4,0)))),"")</f>
        <v/>
      </c>
      <c r="Z83" s="195"/>
      <c r="AA83" s="195"/>
      <c r="AB83" s="507" t="str">
        <f t="shared" si="11"/>
        <v/>
      </c>
      <c r="AC83" s="521" t="str">
        <f t="shared" si="12"/>
        <v/>
      </c>
      <c r="AD83" s="564" t="str">
        <f>IFERROR(IF(AC83="Check Data ⚠","Check Data ⚠",VLOOKUP(AC83,'G-4 Temporal multipliers'!$A$4:$C$37,3,FALSE)),"")</f>
        <v/>
      </c>
      <c r="AE83" s="498" t="str">
        <f>IF(N83="","",VLOOKUP(N83,'G-7 Rivers Data'!$B$4:$G$8,5,FALSE))</f>
        <v/>
      </c>
      <c r="AF83" s="507" t="str">
        <f t="shared" si="13"/>
        <v/>
      </c>
      <c r="AG83" s="540" t="str">
        <f t="shared" si="14"/>
        <v/>
      </c>
      <c r="AH83" s="499" t="str">
        <f t="shared" si="8"/>
        <v/>
      </c>
      <c r="AI83" s="145"/>
      <c r="AJ83" s="499" t="str">
        <f>IF(AI83="","",IF(VLOOKUP(AI83,'G-7 Rivers Data'!$AA$4:$AB$7,2,FALSE)=0,"Spatial Data Missing ⚠",VLOOKUP(AI83,'G-7 Rivers Data'!$AA$4:$AB$7,2,FALSE)))</f>
        <v/>
      </c>
      <c r="AK83" s="155"/>
      <c r="AL83" s="499" t="str">
        <f>IF(AK83="","",IF(VLOOKUP(AK83,'G-7 Rivers Data'!$AD$4:$AE$8,2,FALSE)=0,"Spatial Data Missing ⚠",VLOOKUP(AK83,'G-7 Rivers Data'!$AD$4:$AE$8,2,FALSE)))</f>
        <v/>
      </c>
      <c r="AM83" s="545" t="str">
        <f t="shared" si="15"/>
        <v/>
      </c>
      <c r="AN83" s="149"/>
      <c r="AO83" s="150"/>
      <c r="AV83" s="31" t="str">
        <f>IFERROR(INDEX('G-7 Rivers Data'!$AZ$3:$AZ$7,MATCH(N83,'G-7 Rivers Data'!$AY$3:$AY$7,0)),"")</f>
        <v/>
      </c>
    </row>
    <row r="84" spans="2:48" ht="13.8" x14ac:dyDescent="0.25">
      <c r="B84" s="531" t="str">
        <f>'C-1 Site River Baseline'!AN82</f>
        <v/>
      </c>
      <c r="C84" s="520" t="str">
        <f>IF(B84="","",VLOOKUP($B84,'C-1 Site River Baseline'!$C$9:$R$257,2,FALSE))</f>
        <v/>
      </c>
      <c r="D84" s="520" t="str">
        <f>IF(C84="","",VLOOKUP($B84,'C-1 Site River Baseline'!$C$9:$R$257,3,FALSE))</f>
        <v/>
      </c>
      <c r="E84" s="520" t="str">
        <f>IF(D84="","",VLOOKUP($B84,'C-1 Site River Baseline'!$C$9:$R$257,4,FALSE))</f>
        <v/>
      </c>
      <c r="F84" s="520" t="str">
        <f>IF(E84="","",VLOOKUP($B84,'C-1 Site River Baseline'!$C$9:$R$257,5,FALSE))</f>
        <v/>
      </c>
      <c r="G84" s="520" t="str">
        <f>IF(F84="","",VLOOKUP($B84,'C-1 Site River Baseline'!$C$9:$R$257,6,FALSE))</f>
        <v/>
      </c>
      <c r="H84" s="520" t="str">
        <f>IF(G84="","",VLOOKUP($B84,'C-1 Site River Baseline'!$C$9:$R$257,7,FALSE))</f>
        <v/>
      </c>
      <c r="I84" s="520" t="str">
        <f>IF(H84="","",VLOOKUP($B84,'C-1 Site River Baseline'!$C$9:$R$257,8,FALSE))</f>
        <v/>
      </c>
      <c r="J84" s="520" t="str">
        <f>IF(I84="","",VLOOKUP($B84,'C-1 Site River Baseline'!$C$9:$R$257,9,FALSE))</f>
        <v/>
      </c>
      <c r="K84" s="520" t="str">
        <f>IF(J84="","",VLOOKUP($B84,'C-1 Site River Baseline'!$C$9:$R$257,10,FALSE))</f>
        <v/>
      </c>
      <c r="L84" s="520" t="str">
        <f>IF(B84="","",VLOOKUP($B84,'C-1 Site River Baseline'!$C$9:$R$257,15,FALSE))</f>
        <v/>
      </c>
      <c r="M84" s="524" t="str">
        <f>IF(L84="","",VLOOKUP($B84,'C-1 Site River Baseline'!$C$9:$R$257,16,FALSE))</f>
        <v/>
      </c>
      <c r="N84" s="418" t="str">
        <f t="shared" si="9"/>
        <v/>
      </c>
      <c r="O84" s="498" t="str">
        <f t="shared" si="10"/>
        <v/>
      </c>
      <c r="P84" s="499"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7" t="str">
        <f>IF(N84="","",VLOOKUP(B84,'C-1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07" t="str">
        <f>IF(V84="","",IF(VLOOKUP(V84,'G-7 Rivers Data'!$AG$4:$AI$9,2,FALSE)=0,"Spatial Data Missing ⚠",VLOOKUP(V84,'G-7 Rivers Data'!$AG$4:$AI$9,2,FALSE)))</f>
        <v/>
      </c>
      <c r="X84" s="499" t="str">
        <f>IF(V84="","",IF(VLOOKUP(V84,'G-7 Rivers Data'!$AG$4:$AI$9,3,FALSE)=0,"Spatial Data Missing ⚠",VLOOKUP(V84,'G-7 Rivers Data'!$AG$4:$AI$9,3,FALSE)))</f>
        <v/>
      </c>
      <c r="Y84" s="498" t="str">
        <f>IFERROR(IF(OR(LEFT(P84,5)="Error ▲",LEFT(O84,5)="Error ▲"),"Check Data ⚠",IF(F84&lt;S84,'G-7 Rivers Data'!$R$3,INDEX('G-7 Rivers Data'!$U$5:$Y$9,MATCH(G84,'G-7 Rivers Data'!$T$5:$T$9,0),MATCH(T84,'G-7 Rivers Data'!$U$4:$Y$4,0)))),"")</f>
        <v/>
      </c>
      <c r="Z84" s="195"/>
      <c r="AA84" s="195"/>
      <c r="AB84" s="507" t="str">
        <f t="shared" si="11"/>
        <v/>
      </c>
      <c r="AC84" s="521" t="str">
        <f t="shared" si="12"/>
        <v/>
      </c>
      <c r="AD84" s="564" t="str">
        <f>IFERROR(IF(AC84="Check Data ⚠","Check Data ⚠",VLOOKUP(AC84,'G-4 Temporal multipliers'!$A$4:$C$37,3,FALSE)),"")</f>
        <v/>
      </c>
      <c r="AE84" s="498" t="str">
        <f>IF(N84="","",VLOOKUP(N84,'G-7 Rivers Data'!$B$4:$G$8,5,FALSE))</f>
        <v/>
      </c>
      <c r="AF84" s="507" t="str">
        <f t="shared" si="13"/>
        <v/>
      </c>
      <c r="AG84" s="540" t="str">
        <f t="shared" si="14"/>
        <v/>
      </c>
      <c r="AH84" s="499" t="str">
        <f t="shared" si="8"/>
        <v/>
      </c>
      <c r="AI84" s="145"/>
      <c r="AJ84" s="499" t="str">
        <f>IF(AI84="","",IF(VLOOKUP(AI84,'G-7 Rivers Data'!$AA$4:$AB$7,2,FALSE)=0,"Spatial Data Missing ⚠",VLOOKUP(AI84,'G-7 Rivers Data'!$AA$4:$AB$7,2,FALSE)))</f>
        <v/>
      </c>
      <c r="AK84" s="155"/>
      <c r="AL84" s="499" t="str">
        <f>IF(AK84="","",IF(VLOOKUP(AK84,'G-7 Rivers Data'!$AD$4:$AE$8,2,FALSE)=0,"Spatial Data Missing ⚠",VLOOKUP(AK84,'G-7 Rivers Data'!$AD$4:$AE$8,2,FALSE)))</f>
        <v/>
      </c>
      <c r="AM84" s="545" t="str">
        <f t="shared" si="15"/>
        <v/>
      </c>
      <c r="AN84" s="149"/>
      <c r="AO84" s="150"/>
      <c r="AV84" s="31" t="str">
        <f>IFERROR(INDEX('G-7 Rivers Data'!$AZ$3:$AZ$7,MATCH(N84,'G-7 Rivers Data'!$AY$3:$AY$7,0)),"")</f>
        <v/>
      </c>
    </row>
    <row r="85" spans="2:48" ht="13.8" x14ac:dyDescent="0.25">
      <c r="B85" s="531" t="str">
        <f>'C-1 Site River Baseline'!AN83</f>
        <v/>
      </c>
      <c r="C85" s="520" t="str">
        <f>IF(B85="","",VLOOKUP($B85,'C-1 Site River Baseline'!$C$9:$R$257,2,FALSE))</f>
        <v/>
      </c>
      <c r="D85" s="520" t="str">
        <f>IF(C85="","",VLOOKUP($B85,'C-1 Site River Baseline'!$C$9:$R$257,3,FALSE))</f>
        <v/>
      </c>
      <c r="E85" s="520" t="str">
        <f>IF(D85="","",VLOOKUP($B85,'C-1 Site River Baseline'!$C$9:$R$257,4,FALSE))</f>
        <v/>
      </c>
      <c r="F85" s="520" t="str">
        <f>IF(E85="","",VLOOKUP($B85,'C-1 Site River Baseline'!$C$9:$R$257,5,FALSE))</f>
        <v/>
      </c>
      <c r="G85" s="520" t="str">
        <f>IF(F85="","",VLOOKUP($B85,'C-1 Site River Baseline'!$C$9:$R$257,6,FALSE))</f>
        <v/>
      </c>
      <c r="H85" s="520" t="str">
        <f>IF(G85="","",VLOOKUP($B85,'C-1 Site River Baseline'!$C$9:$R$257,7,FALSE))</f>
        <v/>
      </c>
      <c r="I85" s="520" t="str">
        <f>IF(H85="","",VLOOKUP($B85,'C-1 Site River Baseline'!$C$9:$R$257,8,FALSE))</f>
        <v/>
      </c>
      <c r="J85" s="520" t="str">
        <f>IF(I85="","",VLOOKUP($B85,'C-1 Site River Baseline'!$C$9:$R$257,9,FALSE))</f>
        <v/>
      </c>
      <c r="K85" s="520" t="str">
        <f>IF(J85="","",VLOOKUP($B85,'C-1 Site River Baseline'!$C$9:$R$257,10,FALSE))</f>
        <v/>
      </c>
      <c r="L85" s="520" t="str">
        <f>IF(B85="","",VLOOKUP($B85,'C-1 Site River Baseline'!$C$9:$R$257,15,FALSE))</f>
        <v/>
      </c>
      <c r="M85" s="524" t="str">
        <f>IF(L85="","",VLOOKUP($B85,'C-1 Site River Baseline'!$C$9:$R$257,16,FALSE))</f>
        <v/>
      </c>
      <c r="N85" s="418" t="str">
        <f t="shared" si="9"/>
        <v/>
      </c>
      <c r="O85" s="498" t="str">
        <f t="shared" si="10"/>
        <v/>
      </c>
      <c r="P85" s="499"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7" t="str">
        <f>IF(N85="","",VLOOKUP(B85,'C-1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07" t="str">
        <f>IF(V85="","",IF(VLOOKUP(V85,'G-7 Rivers Data'!$AG$4:$AI$9,2,FALSE)=0,"Spatial Data Missing ⚠",VLOOKUP(V85,'G-7 Rivers Data'!$AG$4:$AI$9,2,FALSE)))</f>
        <v/>
      </c>
      <c r="X85" s="499" t="str">
        <f>IF(V85="","",IF(VLOOKUP(V85,'G-7 Rivers Data'!$AG$4:$AI$9,3,FALSE)=0,"Spatial Data Missing ⚠",VLOOKUP(V85,'G-7 Rivers Data'!$AG$4:$AI$9,3,FALSE)))</f>
        <v/>
      </c>
      <c r="Y85" s="498" t="str">
        <f>IFERROR(IF(OR(LEFT(P85,5)="Error ▲",LEFT(O85,5)="Error ▲"),"Check Data ⚠",IF(F85&lt;S85,'G-7 Rivers Data'!$R$3,INDEX('G-7 Rivers Data'!$U$5:$Y$9,MATCH(G85,'G-7 Rivers Data'!$T$5:$T$9,0),MATCH(T85,'G-7 Rivers Data'!$U$4:$Y$4,0)))),"")</f>
        <v/>
      </c>
      <c r="Z85" s="195"/>
      <c r="AA85" s="195"/>
      <c r="AB85" s="507" t="str">
        <f t="shared" si="11"/>
        <v/>
      </c>
      <c r="AC85" s="521" t="str">
        <f t="shared" si="12"/>
        <v/>
      </c>
      <c r="AD85" s="564" t="str">
        <f>IFERROR(IF(AC85="Check Data ⚠","Check Data ⚠",VLOOKUP(AC85,'G-4 Temporal multipliers'!$A$4:$C$37,3,FALSE)),"")</f>
        <v/>
      </c>
      <c r="AE85" s="498" t="str">
        <f>IF(N85="","",VLOOKUP(N85,'G-7 Rivers Data'!$B$4:$G$8,5,FALSE))</f>
        <v/>
      </c>
      <c r="AF85" s="507" t="str">
        <f t="shared" si="13"/>
        <v/>
      </c>
      <c r="AG85" s="540" t="str">
        <f t="shared" si="14"/>
        <v/>
      </c>
      <c r="AH85" s="499" t="str">
        <f t="shared" si="8"/>
        <v/>
      </c>
      <c r="AI85" s="145"/>
      <c r="AJ85" s="499" t="str">
        <f>IF(AI85="","",IF(VLOOKUP(AI85,'G-7 Rivers Data'!$AA$4:$AB$7,2,FALSE)=0,"Spatial Data Missing ⚠",VLOOKUP(AI85,'G-7 Rivers Data'!$AA$4:$AB$7,2,FALSE)))</f>
        <v/>
      </c>
      <c r="AK85" s="155"/>
      <c r="AL85" s="499" t="str">
        <f>IF(AK85="","",IF(VLOOKUP(AK85,'G-7 Rivers Data'!$AD$4:$AE$8,2,FALSE)=0,"Spatial Data Missing ⚠",VLOOKUP(AK85,'G-7 Rivers Data'!$AD$4:$AE$8,2,FALSE)))</f>
        <v/>
      </c>
      <c r="AM85" s="545" t="str">
        <f t="shared" si="15"/>
        <v/>
      </c>
      <c r="AN85" s="149"/>
      <c r="AO85" s="150"/>
      <c r="AV85" s="31" t="str">
        <f>IFERROR(INDEX('G-7 Rivers Data'!$AZ$3:$AZ$7,MATCH(N85,'G-7 Rivers Data'!$AY$3:$AY$7,0)),"")</f>
        <v/>
      </c>
    </row>
    <row r="86" spans="2:48" ht="13.8" x14ac:dyDescent="0.25">
      <c r="B86" s="531" t="str">
        <f>'C-1 Site River Baseline'!AN84</f>
        <v/>
      </c>
      <c r="C86" s="520" t="str">
        <f>IF(B86="","",VLOOKUP($B86,'C-1 Site River Baseline'!$C$9:$R$257,2,FALSE))</f>
        <v/>
      </c>
      <c r="D86" s="520" t="str">
        <f>IF(C86="","",VLOOKUP($B86,'C-1 Site River Baseline'!$C$9:$R$257,3,FALSE))</f>
        <v/>
      </c>
      <c r="E86" s="520" t="str">
        <f>IF(D86="","",VLOOKUP($B86,'C-1 Site River Baseline'!$C$9:$R$257,4,FALSE))</f>
        <v/>
      </c>
      <c r="F86" s="520" t="str">
        <f>IF(E86="","",VLOOKUP($B86,'C-1 Site River Baseline'!$C$9:$R$257,5,FALSE))</f>
        <v/>
      </c>
      <c r="G86" s="520" t="str">
        <f>IF(F86="","",VLOOKUP($B86,'C-1 Site River Baseline'!$C$9:$R$257,6,FALSE))</f>
        <v/>
      </c>
      <c r="H86" s="520" t="str">
        <f>IF(G86="","",VLOOKUP($B86,'C-1 Site River Baseline'!$C$9:$R$257,7,FALSE))</f>
        <v/>
      </c>
      <c r="I86" s="520" t="str">
        <f>IF(H86="","",VLOOKUP($B86,'C-1 Site River Baseline'!$C$9:$R$257,8,FALSE))</f>
        <v/>
      </c>
      <c r="J86" s="520" t="str">
        <f>IF(I86="","",VLOOKUP($B86,'C-1 Site River Baseline'!$C$9:$R$257,9,FALSE))</f>
        <v/>
      </c>
      <c r="K86" s="520" t="str">
        <f>IF(J86="","",VLOOKUP($B86,'C-1 Site River Baseline'!$C$9:$R$257,10,FALSE))</f>
        <v/>
      </c>
      <c r="L86" s="520" t="str">
        <f>IF(B86="","",VLOOKUP($B86,'C-1 Site River Baseline'!$C$9:$R$257,15,FALSE))</f>
        <v/>
      </c>
      <c r="M86" s="524" t="str">
        <f>IF(L86="","",VLOOKUP($B86,'C-1 Site River Baseline'!$C$9:$R$257,16,FALSE))</f>
        <v/>
      </c>
      <c r="N86" s="418" t="str">
        <f t="shared" si="9"/>
        <v/>
      </c>
      <c r="O86" s="498" t="str">
        <f t="shared" si="10"/>
        <v/>
      </c>
      <c r="P86" s="499"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7" t="str">
        <f>IF(N86="","",VLOOKUP(B86,'C-1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07" t="str">
        <f>IF(V86="","",IF(VLOOKUP(V86,'G-7 Rivers Data'!$AG$4:$AI$9,2,FALSE)=0,"Spatial Data Missing ⚠",VLOOKUP(V86,'G-7 Rivers Data'!$AG$4:$AI$9,2,FALSE)))</f>
        <v/>
      </c>
      <c r="X86" s="499" t="str">
        <f>IF(V86="","",IF(VLOOKUP(V86,'G-7 Rivers Data'!$AG$4:$AI$9,3,FALSE)=0,"Spatial Data Missing ⚠",VLOOKUP(V86,'G-7 Rivers Data'!$AG$4:$AI$9,3,FALSE)))</f>
        <v/>
      </c>
      <c r="Y86" s="498" t="str">
        <f>IFERROR(IF(OR(LEFT(P86,5)="Error ▲",LEFT(O86,5)="Error ▲"),"Check Data ⚠",IF(F86&lt;S86,'G-7 Rivers Data'!$R$3,INDEX('G-7 Rivers Data'!$U$5:$Y$9,MATCH(G86,'G-7 Rivers Data'!$T$5:$T$9,0),MATCH(T86,'G-7 Rivers Data'!$U$4:$Y$4,0)))),"")</f>
        <v/>
      </c>
      <c r="Z86" s="195"/>
      <c r="AA86" s="195"/>
      <c r="AB86" s="507" t="str">
        <f t="shared" si="11"/>
        <v/>
      </c>
      <c r="AC86" s="521" t="str">
        <f t="shared" si="12"/>
        <v/>
      </c>
      <c r="AD86" s="564" t="str">
        <f>IFERROR(IF(AC86="Check Data ⚠","Check Data ⚠",VLOOKUP(AC86,'G-4 Temporal multipliers'!$A$4:$C$37,3,FALSE)),"")</f>
        <v/>
      </c>
      <c r="AE86" s="498" t="str">
        <f>IF(N86="","",VLOOKUP(N86,'G-7 Rivers Data'!$B$4:$G$8,5,FALSE))</f>
        <v/>
      </c>
      <c r="AF86" s="507" t="str">
        <f t="shared" si="13"/>
        <v/>
      </c>
      <c r="AG86" s="540" t="str">
        <f t="shared" si="14"/>
        <v/>
      </c>
      <c r="AH86" s="499" t="str">
        <f t="shared" si="8"/>
        <v/>
      </c>
      <c r="AI86" s="145"/>
      <c r="AJ86" s="499" t="str">
        <f>IF(AI86="","",IF(VLOOKUP(AI86,'G-7 Rivers Data'!$AA$4:$AB$7,2,FALSE)=0,"Spatial Data Missing ⚠",VLOOKUP(AI86,'G-7 Rivers Data'!$AA$4:$AB$7,2,FALSE)))</f>
        <v/>
      </c>
      <c r="AK86" s="155"/>
      <c r="AL86" s="499" t="str">
        <f>IF(AK86="","",IF(VLOOKUP(AK86,'G-7 Rivers Data'!$AD$4:$AE$8,2,FALSE)=0,"Spatial Data Missing ⚠",VLOOKUP(AK86,'G-7 Rivers Data'!$AD$4:$AE$8,2,FALSE)))</f>
        <v/>
      </c>
      <c r="AM86" s="545" t="str">
        <f t="shared" si="15"/>
        <v/>
      </c>
      <c r="AN86" s="149"/>
      <c r="AO86" s="150"/>
      <c r="AV86" s="31" t="str">
        <f>IFERROR(INDEX('G-7 Rivers Data'!$AZ$3:$AZ$7,MATCH(N86,'G-7 Rivers Data'!$AY$3:$AY$7,0)),"")</f>
        <v/>
      </c>
    </row>
    <row r="87" spans="2:48" ht="13.8" x14ac:dyDescent="0.25">
      <c r="B87" s="531" t="str">
        <f>'C-1 Site River Baseline'!AN85</f>
        <v/>
      </c>
      <c r="C87" s="520" t="str">
        <f>IF(B87="","",VLOOKUP($B87,'C-1 Site River Baseline'!$C$9:$R$257,2,FALSE))</f>
        <v/>
      </c>
      <c r="D87" s="520" t="str">
        <f>IF(C87="","",VLOOKUP($B87,'C-1 Site River Baseline'!$C$9:$R$257,3,FALSE))</f>
        <v/>
      </c>
      <c r="E87" s="520" t="str">
        <f>IF(D87="","",VLOOKUP($B87,'C-1 Site River Baseline'!$C$9:$R$257,4,FALSE))</f>
        <v/>
      </c>
      <c r="F87" s="520" t="str">
        <f>IF(E87="","",VLOOKUP($B87,'C-1 Site River Baseline'!$C$9:$R$257,5,FALSE))</f>
        <v/>
      </c>
      <c r="G87" s="520" t="str">
        <f>IF(F87="","",VLOOKUP($B87,'C-1 Site River Baseline'!$C$9:$R$257,6,FALSE))</f>
        <v/>
      </c>
      <c r="H87" s="520" t="str">
        <f>IF(G87="","",VLOOKUP($B87,'C-1 Site River Baseline'!$C$9:$R$257,7,FALSE))</f>
        <v/>
      </c>
      <c r="I87" s="520" t="str">
        <f>IF(H87="","",VLOOKUP($B87,'C-1 Site River Baseline'!$C$9:$R$257,8,FALSE))</f>
        <v/>
      </c>
      <c r="J87" s="520" t="str">
        <f>IF(I87="","",VLOOKUP($B87,'C-1 Site River Baseline'!$C$9:$R$257,9,FALSE))</f>
        <v/>
      </c>
      <c r="K87" s="520" t="str">
        <f>IF(J87="","",VLOOKUP($B87,'C-1 Site River Baseline'!$C$9:$R$257,10,FALSE))</f>
        <v/>
      </c>
      <c r="L87" s="520" t="str">
        <f>IF(B87="","",VLOOKUP($B87,'C-1 Site River Baseline'!$C$9:$R$257,15,FALSE))</f>
        <v/>
      </c>
      <c r="M87" s="524" t="str">
        <f>IF(L87="","",VLOOKUP($B87,'C-1 Site River Baseline'!$C$9:$R$257,16,FALSE))</f>
        <v/>
      </c>
      <c r="N87" s="418" t="str">
        <f t="shared" si="9"/>
        <v/>
      </c>
      <c r="O87" s="498" t="str">
        <f t="shared" si="10"/>
        <v/>
      </c>
      <c r="P87" s="499"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7" t="str">
        <f>IF(N87="","",VLOOKUP(B87,'C-1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07" t="str">
        <f>IF(V87="","",IF(VLOOKUP(V87,'G-7 Rivers Data'!$AG$4:$AI$9,2,FALSE)=0,"Spatial Data Missing ⚠",VLOOKUP(V87,'G-7 Rivers Data'!$AG$4:$AI$9,2,FALSE)))</f>
        <v/>
      </c>
      <c r="X87" s="499" t="str">
        <f>IF(V87="","",IF(VLOOKUP(V87,'G-7 Rivers Data'!$AG$4:$AI$9,3,FALSE)=0,"Spatial Data Missing ⚠",VLOOKUP(V87,'G-7 Rivers Data'!$AG$4:$AI$9,3,FALSE)))</f>
        <v/>
      </c>
      <c r="Y87" s="498" t="str">
        <f>IFERROR(IF(OR(LEFT(P87,5)="Error ▲",LEFT(O87,5)="Error ▲"),"Check Data ⚠",IF(F87&lt;S87,'G-7 Rivers Data'!$R$3,INDEX('G-7 Rivers Data'!$U$5:$Y$9,MATCH(G87,'G-7 Rivers Data'!$T$5:$T$9,0),MATCH(T87,'G-7 Rivers Data'!$U$4:$Y$4,0)))),"")</f>
        <v/>
      </c>
      <c r="Z87" s="195"/>
      <c r="AA87" s="195"/>
      <c r="AB87" s="507" t="str">
        <f t="shared" si="11"/>
        <v/>
      </c>
      <c r="AC87" s="521" t="str">
        <f t="shared" si="12"/>
        <v/>
      </c>
      <c r="AD87" s="564" t="str">
        <f>IFERROR(IF(AC87="Check Data ⚠","Check Data ⚠",VLOOKUP(AC87,'G-4 Temporal multipliers'!$A$4:$C$37,3,FALSE)),"")</f>
        <v/>
      </c>
      <c r="AE87" s="498" t="str">
        <f>IF(N87="","",VLOOKUP(N87,'G-7 Rivers Data'!$B$4:$G$8,5,FALSE))</f>
        <v/>
      </c>
      <c r="AF87" s="507" t="str">
        <f t="shared" si="13"/>
        <v/>
      </c>
      <c r="AG87" s="540" t="str">
        <f t="shared" si="14"/>
        <v/>
      </c>
      <c r="AH87" s="499" t="str">
        <f t="shared" si="8"/>
        <v/>
      </c>
      <c r="AI87" s="145"/>
      <c r="AJ87" s="499" t="str">
        <f>IF(AI87="","",IF(VLOOKUP(AI87,'G-7 Rivers Data'!$AA$4:$AB$7,2,FALSE)=0,"Spatial Data Missing ⚠",VLOOKUP(AI87,'G-7 Rivers Data'!$AA$4:$AB$7,2,FALSE)))</f>
        <v/>
      </c>
      <c r="AK87" s="155"/>
      <c r="AL87" s="499" t="str">
        <f>IF(AK87="","",IF(VLOOKUP(AK87,'G-7 Rivers Data'!$AD$4:$AE$8,2,FALSE)=0,"Spatial Data Missing ⚠",VLOOKUP(AK87,'G-7 Rivers Data'!$AD$4:$AE$8,2,FALSE)))</f>
        <v/>
      </c>
      <c r="AM87" s="545" t="str">
        <f t="shared" si="15"/>
        <v/>
      </c>
      <c r="AN87" s="149"/>
      <c r="AO87" s="150"/>
      <c r="AV87" s="31" t="str">
        <f>IFERROR(INDEX('G-7 Rivers Data'!$AZ$3:$AZ$7,MATCH(N87,'G-7 Rivers Data'!$AY$3:$AY$7,0)),"")</f>
        <v/>
      </c>
    </row>
    <row r="88" spans="2:48" ht="13.8" x14ac:dyDescent="0.25">
      <c r="B88" s="531" t="str">
        <f>'C-1 Site River Baseline'!AN86</f>
        <v/>
      </c>
      <c r="C88" s="520" t="str">
        <f>IF(B88="","",VLOOKUP($B88,'C-1 Site River Baseline'!$C$9:$R$257,2,FALSE))</f>
        <v/>
      </c>
      <c r="D88" s="520" t="str">
        <f>IF(C88="","",VLOOKUP($B88,'C-1 Site River Baseline'!$C$9:$R$257,3,FALSE))</f>
        <v/>
      </c>
      <c r="E88" s="520" t="str">
        <f>IF(D88="","",VLOOKUP($B88,'C-1 Site River Baseline'!$C$9:$R$257,4,FALSE))</f>
        <v/>
      </c>
      <c r="F88" s="520" t="str">
        <f>IF(E88="","",VLOOKUP($B88,'C-1 Site River Baseline'!$C$9:$R$257,5,FALSE))</f>
        <v/>
      </c>
      <c r="G88" s="520" t="str">
        <f>IF(F88="","",VLOOKUP($B88,'C-1 Site River Baseline'!$C$9:$R$257,6,FALSE))</f>
        <v/>
      </c>
      <c r="H88" s="520" t="str">
        <f>IF(G88="","",VLOOKUP($B88,'C-1 Site River Baseline'!$C$9:$R$257,7,FALSE))</f>
        <v/>
      </c>
      <c r="I88" s="520" t="str">
        <f>IF(H88="","",VLOOKUP($B88,'C-1 Site River Baseline'!$C$9:$R$257,8,FALSE))</f>
        <v/>
      </c>
      <c r="J88" s="520" t="str">
        <f>IF(I88="","",VLOOKUP($B88,'C-1 Site River Baseline'!$C$9:$R$257,9,FALSE))</f>
        <v/>
      </c>
      <c r="K88" s="520" t="str">
        <f>IF(J88="","",VLOOKUP($B88,'C-1 Site River Baseline'!$C$9:$R$257,10,FALSE))</f>
        <v/>
      </c>
      <c r="L88" s="520" t="str">
        <f>IF(B88="","",VLOOKUP($B88,'C-1 Site River Baseline'!$C$9:$R$257,15,FALSE))</f>
        <v/>
      </c>
      <c r="M88" s="524" t="str">
        <f>IF(L88="","",VLOOKUP($B88,'C-1 Site River Baseline'!$C$9:$R$257,16,FALSE))</f>
        <v/>
      </c>
      <c r="N88" s="418" t="str">
        <f t="shared" si="9"/>
        <v/>
      </c>
      <c r="O88" s="498" t="str">
        <f t="shared" si="10"/>
        <v/>
      </c>
      <c r="P88" s="499"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7" t="str">
        <f>IF(N88="","",VLOOKUP(B88,'C-1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07" t="str">
        <f>IF(V88="","",IF(VLOOKUP(V88,'G-7 Rivers Data'!$AG$4:$AI$9,2,FALSE)=0,"Spatial Data Missing ⚠",VLOOKUP(V88,'G-7 Rivers Data'!$AG$4:$AI$9,2,FALSE)))</f>
        <v/>
      </c>
      <c r="X88" s="499" t="str">
        <f>IF(V88="","",IF(VLOOKUP(V88,'G-7 Rivers Data'!$AG$4:$AI$9,3,FALSE)=0,"Spatial Data Missing ⚠",VLOOKUP(V88,'G-7 Rivers Data'!$AG$4:$AI$9,3,FALSE)))</f>
        <v/>
      </c>
      <c r="Y88" s="498" t="str">
        <f>IFERROR(IF(OR(LEFT(P88,5)="Error ▲",LEFT(O88,5)="Error ▲"),"Check Data ⚠",IF(F88&lt;S88,'G-7 Rivers Data'!$R$3,INDEX('G-7 Rivers Data'!$U$5:$Y$9,MATCH(G88,'G-7 Rivers Data'!$T$5:$T$9,0),MATCH(T88,'G-7 Rivers Data'!$U$4:$Y$4,0)))),"")</f>
        <v/>
      </c>
      <c r="Z88" s="195"/>
      <c r="AA88" s="195"/>
      <c r="AB88" s="507" t="str">
        <f t="shared" si="11"/>
        <v/>
      </c>
      <c r="AC88" s="521" t="str">
        <f t="shared" si="12"/>
        <v/>
      </c>
      <c r="AD88" s="564" t="str">
        <f>IFERROR(IF(AC88="Check Data ⚠","Check Data ⚠",VLOOKUP(AC88,'G-4 Temporal multipliers'!$A$4:$C$37,3,FALSE)),"")</f>
        <v/>
      </c>
      <c r="AE88" s="498" t="str">
        <f>IF(N88="","",VLOOKUP(N88,'G-7 Rivers Data'!$B$4:$G$8,5,FALSE))</f>
        <v/>
      </c>
      <c r="AF88" s="507" t="str">
        <f t="shared" si="13"/>
        <v/>
      </c>
      <c r="AG88" s="540" t="str">
        <f t="shared" si="14"/>
        <v/>
      </c>
      <c r="AH88" s="499" t="str">
        <f t="shared" si="8"/>
        <v/>
      </c>
      <c r="AI88" s="145"/>
      <c r="AJ88" s="499" t="str">
        <f>IF(AI88="","",IF(VLOOKUP(AI88,'G-7 Rivers Data'!$AA$4:$AB$7,2,FALSE)=0,"Spatial Data Missing ⚠",VLOOKUP(AI88,'G-7 Rivers Data'!$AA$4:$AB$7,2,FALSE)))</f>
        <v/>
      </c>
      <c r="AK88" s="155"/>
      <c r="AL88" s="499" t="str">
        <f>IF(AK88="","",IF(VLOOKUP(AK88,'G-7 Rivers Data'!$AD$4:$AE$8,2,FALSE)=0,"Spatial Data Missing ⚠",VLOOKUP(AK88,'G-7 Rivers Data'!$AD$4:$AE$8,2,FALSE)))</f>
        <v/>
      </c>
      <c r="AM88" s="545" t="str">
        <f t="shared" si="15"/>
        <v/>
      </c>
      <c r="AN88" s="149"/>
      <c r="AO88" s="150"/>
      <c r="AV88" s="31" t="str">
        <f>IFERROR(INDEX('G-7 Rivers Data'!$AZ$3:$AZ$7,MATCH(N88,'G-7 Rivers Data'!$AY$3:$AY$7,0)),"")</f>
        <v/>
      </c>
    </row>
    <row r="89" spans="2:48" ht="13.8" x14ac:dyDescent="0.25">
      <c r="B89" s="531" t="str">
        <f>'C-1 Site River Baseline'!AN87</f>
        <v/>
      </c>
      <c r="C89" s="520" t="str">
        <f>IF(B89="","",VLOOKUP($B89,'C-1 Site River Baseline'!$C$9:$R$257,2,FALSE))</f>
        <v/>
      </c>
      <c r="D89" s="520" t="str">
        <f>IF(C89="","",VLOOKUP($B89,'C-1 Site River Baseline'!$C$9:$R$257,3,FALSE))</f>
        <v/>
      </c>
      <c r="E89" s="520" t="str">
        <f>IF(D89="","",VLOOKUP($B89,'C-1 Site River Baseline'!$C$9:$R$257,4,FALSE))</f>
        <v/>
      </c>
      <c r="F89" s="520" t="str">
        <f>IF(E89="","",VLOOKUP($B89,'C-1 Site River Baseline'!$C$9:$R$257,5,FALSE))</f>
        <v/>
      </c>
      <c r="G89" s="520" t="str">
        <f>IF(F89="","",VLOOKUP($B89,'C-1 Site River Baseline'!$C$9:$R$257,6,FALSE))</f>
        <v/>
      </c>
      <c r="H89" s="520" t="str">
        <f>IF(G89="","",VLOOKUP($B89,'C-1 Site River Baseline'!$C$9:$R$257,7,FALSE))</f>
        <v/>
      </c>
      <c r="I89" s="520" t="str">
        <f>IF(H89="","",VLOOKUP($B89,'C-1 Site River Baseline'!$C$9:$R$257,8,FALSE))</f>
        <v/>
      </c>
      <c r="J89" s="520" t="str">
        <f>IF(I89="","",VLOOKUP($B89,'C-1 Site River Baseline'!$C$9:$R$257,9,FALSE))</f>
        <v/>
      </c>
      <c r="K89" s="520" t="str">
        <f>IF(J89="","",VLOOKUP($B89,'C-1 Site River Baseline'!$C$9:$R$257,10,FALSE))</f>
        <v/>
      </c>
      <c r="L89" s="520" t="str">
        <f>IF(B89="","",VLOOKUP($B89,'C-1 Site River Baseline'!$C$9:$R$257,15,FALSE))</f>
        <v/>
      </c>
      <c r="M89" s="524" t="str">
        <f>IF(L89="","",VLOOKUP($B89,'C-1 Site River Baseline'!$C$9:$R$257,16,FALSE))</f>
        <v/>
      </c>
      <c r="N89" s="418" t="str">
        <f t="shared" si="9"/>
        <v/>
      </c>
      <c r="O89" s="498" t="str">
        <f t="shared" si="10"/>
        <v/>
      </c>
      <c r="P89" s="499"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7" t="str">
        <f>IF(N89="","",VLOOKUP(B89,'C-1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07" t="str">
        <f>IF(V89="","",IF(VLOOKUP(V89,'G-7 Rivers Data'!$AG$4:$AI$9,2,FALSE)=0,"Spatial Data Missing ⚠",VLOOKUP(V89,'G-7 Rivers Data'!$AG$4:$AI$9,2,FALSE)))</f>
        <v/>
      </c>
      <c r="X89" s="499" t="str">
        <f>IF(V89="","",IF(VLOOKUP(V89,'G-7 Rivers Data'!$AG$4:$AI$9,3,FALSE)=0,"Spatial Data Missing ⚠",VLOOKUP(V89,'G-7 Rivers Data'!$AG$4:$AI$9,3,FALSE)))</f>
        <v/>
      </c>
      <c r="Y89" s="498" t="str">
        <f>IFERROR(IF(OR(LEFT(P89,5)="Error ▲",LEFT(O89,5)="Error ▲"),"Check Data ⚠",IF(F89&lt;S89,'G-7 Rivers Data'!$R$3,INDEX('G-7 Rivers Data'!$U$5:$Y$9,MATCH(G89,'G-7 Rivers Data'!$T$5:$T$9,0),MATCH(T89,'G-7 Rivers Data'!$U$4:$Y$4,0)))),"")</f>
        <v/>
      </c>
      <c r="Z89" s="195"/>
      <c r="AA89" s="195"/>
      <c r="AB89" s="507" t="str">
        <f t="shared" si="11"/>
        <v/>
      </c>
      <c r="AC89" s="521" t="str">
        <f t="shared" si="12"/>
        <v/>
      </c>
      <c r="AD89" s="564" t="str">
        <f>IFERROR(IF(AC89="Check Data ⚠","Check Data ⚠",VLOOKUP(AC89,'G-4 Temporal multipliers'!$A$4:$C$37,3,FALSE)),"")</f>
        <v/>
      </c>
      <c r="AE89" s="498" t="str">
        <f>IF(N89="","",VLOOKUP(N89,'G-7 Rivers Data'!$B$4:$G$8,5,FALSE))</f>
        <v/>
      </c>
      <c r="AF89" s="507" t="str">
        <f t="shared" si="13"/>
        <v/>
      </c>
      <c r="AG89" s="540" t="str">
        <f t="shared" si="14"/>
        <v/>
      </c>
      <c r="AH89" s="499" t="str">
        <f t="shared" si="8"/>
        <v/>
      </c>
      <c r="AI89" s="145"/>
      <c r="AJ89" s="499" t="str">
        <f>IF(AI89="","",IF(VLOOKUP(AI89,'G-7 Rivers Data'!$AA$4:$AB$7,2,FALSE)=0,"Spatial Data Missing ⚠",VLOOKUP(AI89,'G-7 Rivers Data'!$AA$4:$AB$7,2,FALSE)))</f>
        <v/>
      </c>
      <c r="AK89" s="155"/>
      <c r="AL89" s="499" t="str">
        <f>IF(AK89="","",IF(VLOOKUP(AK89,'G-7 Rivers Data'!$AD$4:$AE$8,2,FALSE)=0,"Spatial Data Missing ⚠",VLOOKUP(AK89,'G-7 Rivers Data'!$AD$4:$AE$8,2,FALSE)))</f>
        <v/>
      </c>
      <c r="AM89" s="545" t="str">
        <f t="shared" si="15"/>
        <v/>
      </c>
      <c r="AN89" s="149"/>
      <c r="AO89" s="150"/>
      <c r="AV89" s="31" t="str">
        <f>IFERROR(INDEX('G-7 Rivers Data'!$AZ$3:$AZ$7,MATCH(N89,'G-7 Rivers Data'!$AY$3:$AY$7,0)),"")</f>
        <v/>
      </c>
    </row>
    <row r="90" spans="2:48" ht="13.8" x14ac:dyDescent="0.25">
      <c r="B90" s="531" t="str">
        <f>'C-1 Site River Baseline'!AN88</f>
        <v/>
      </c>
      <c r="C90" s="520" t="str">
        <f>IF(B90="","",VLOOKUP($B90,'C-1 Site River Baseline'!$C$9:$R$257,2,FALSE))</f>
        <v/>
      </c>
      <c r="D90" s="520" t="str">
        <f>IF(C90="","",VLOOKUP($B90,'C-1 Site River Baseline'!$C$9:$R$257,3,FALSE))</f>
        <v/>
      </c>
      <c r="E90" s="520" t="str">
        <f>IF(D90="","",VLOOKUP($B90,'C-1 Site River Baseline'!$C$9:$R$257,4,FALSE))</f>
        <v/>
      </c>
      <c r="F90" s="520" t="str">
        <f>IF(E90="","",VLOOKUP($B90,'C-1 Site River Baseline'!$C$9:$R$257,5,FALSE))</f>
        <v/>
      </c>
      <c r="G90" s="520" t="str">
        <f>IF(F90="","",VLOOKUP($B90,'C-1 Site River Baseline'!$C$9:$R$257,6,FALSE))</f>
        <v/>
      </c>
      <c r="H90" s="520" t="str">
        <f>IF(G90="","",VLOOKUP($B90,'C-1 Site River Baseline'!$C$9:$R$257,7,FALSE))</f>
        <v/>
      </c>
      <c r="I90" s="520" t="str">
        <f>IF(H90="","",VLOOKUP($B90,'C-1 Site River Baseline'!$C$9:$R$257,8,FALSE))</f>
        <v/>
      </c>
      <c r="J90" s="520" t="str">
        <f>IF(I90="","",VLOOKUP($B90,'C-1 Site River Baseline'!$C$9:$R$257,9,FALSE))</f>
        <v/>
      </c>
      <c r="K90" s="520" t="str">
        <f>IF(J90="","",VLOOKUP($B90,'C-1 Site River Baseline'!$C$9:$R$257,10,FALSE))</f>
        <v/>
      </c>
      <c r="L90" s="520" t="str">
        <f>IF(B90="","",VLOOKUP($B90,'C-1 Site River Baseline'!$C$9:$R$257,15,FALSE))</f>
        <v/>
      </c>
      <c r="M90" s="524" t="str">
        <f>IF(L90="","",VLOOKUP($B90,'C-1 Site River Baseline'!$C$9:$R$257,16,FALSE))</f>
        <v/>
      </c>
      <c r="N90" s="418" t="str">
        <f t="shared" si="9"/>
        <v/>
      </c>
      <c r="O90" s="498" t="str">
        <f t="shared" si="10"/>
        <v/>
      </c>
      <c r="P90" s="499"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7" t="str">
        <f>IF(N90="","",VLOOKUP(B90,'C-1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07" t="str">
        <f>IF(V90="","",IF(VLOOKUP(V90,'G-7 Rivers Data'!$AG$4:$AI$9,2,FALSE)=0,"Spatial Data Missing ⚠",VLOOKUP(V90,'G-7 Rivers Data'!$AG$4:$AI$9,2,FALSE)))</f>
        <v/>
      </c>
      <c r="X90" s="499" t="str">
        <f>IF(V90="","",IF(VLOOKUP(V90,'G-7 Rivers Data'!$AG$4:$AI$9,3,FALSE)=0,"Spatial Data Missing ⚠",VLOOKUP(V90,'G-7 Rivers Data'!$AG$4:$AI$9,3,FALSE)))</f>
        <v/>
      </c>
      <c r="Y90" s="498" t="str">
        <f>IFERROR(IF(OR(LEFT(P90,5)="Error ▲",LEFT(O90,5)="Error ▲"),"Check Data ⚠",IF(F90&lt;S90,'G-7 Rivers Data'!$R$3,INDEX('G-7 Rivers Data'!$U$5:$Y$9,MATCH(G90,'G-7 Rivers Data'!$T$5:$T$9,0),MATCH(T90,'G-7 Rivers Data'!$U$4:$Y$4,0)))),"")</f>
        <v/>
      </c>
      <c r="Z90" s="195"/>
      <c r="AA90" s="195"/>
      <c r="AB90" s="507" t="str">
        <f t="shared" si="11"/>
        <v/>
      </c>
      <c r="AC90" s="521" t="str">
        <f t="shared" si="12"/>
        <v/>
      </c>
      <c r="AD90" s="564" t="str">
        <f>IFERROR(IF(AC90="Check Data ⚠","Check Data ⚠",VLOOKUP(AC90,'G-4 Temporal multipliers'!$A$4:$C$37,3,FALSE)),"")</f>
        <v/>
      </c>
      <c r="AE90" s="498" t="str">
        <f>IF(N90="","",VLOOKUP(N90,'G-7 Rivers Data'!$B$4:$G$8,5,FALSE))</f>
        <v/>
      </c>
      <c r="AF90" s="507" t="str">
        <f t="shared" si="13"/>
        <v/>
      </c>
      <c r="AG90" s="540" t="str">
        <f t="shared" si="14"/>
        <v/>
      </c>
      <c r="AH90" s="499" t="str">
        <f t="shared" si="8"/>
        <v/>
      </c>
      <c r="AI90" s="145"/>
      <c r="AJ90" s="499" t="str">
        <f>IF(AI90="","",IF(VLOOKUP(AI90,'G-7 Rivers Data'!$AA$4:$AB$7,2,FALSE)=0,"Spatial Data Missing ⚠",VLOOKUP(AI90,'G-7 Rivers Data'!$AA$4:$AB$7,2,FALSE)))</f>
        <v/>
      </c>
      <c r="AK90" s="155"/>
      <c r="AL90" s="499" t="str">
        <f>IF(AK90="","",IF(VLOOKUP(AK90,'G-7 Rivers Data'!$AD$4:$AE$8,2,FALSE)=0,"Spatial Data Missing ⚠",VLOOKUP(AK90,'G-7 Rivers Data'!$AD$4:$AE$8,2,FALSE)))</f>
        <v/>
      </c>
      <c r="AM90" s="545" t="str">
        <f t="shared" si="15"/>
        <v/>
      </c>
      <c r="AN90" s="149"/>
      <c r="AO90" s="150"/>
      <c r="AV90" s="31" t="str">
        <f>IFERROR(INDEX('G-7 Rivers Data'!$AZ$3:$AZ$7,MATCH(N90,'G-7 Rivers Data'!$AY$3:$AY$7,0)),"")</f>
        <v/>
      </c>
    </row>
    <row r="91" spans="2:48" ht="13.8" x14ac:dyDescent="0.25">
      <c r="B91" s="531" t="str">
        <f>'C-1 Site River Baseline'!AN89</f>
        <v/>
      </c>
      <c r="C91" s="520" t="str">
        <f>IF(B91="","",VLOOKUP($B91,'C-1 Site River Baseline'!$C$9:$R$257,2,FALSE))</f>
        <v/>
      </c>
      <c r="D91" s="520" t="str">
        <f>IF(C91="","",VLOOKUP($B91,'C-1 Site River Baseline'!$C$9:$R$257,3,FALSE))</f>
        <v/>
      </c>
      <c r="E91" s="520" t="str">
        <f>IF(D91="","",VLOOKUP($B91,'C-1 Site River Baseline'!$C$9:$R$257,4,FALSE))</f>
        <v/>
      </c>
      <c r="F91" s="520" t="str">
        <f>IF(E91="","",VLOOKUP($B91,'C-1 Site River Baseline'!$C$9:$R$257,5,FALSE))</f>
        <v/>
      </c>
      <c r="G91" s="520" t="str">
        <f>IF(F91="","",VLOOKUP($B91,'C-1 Site River Baseline'!$C$9:$R$257,6,FALSE))</f>
        <v/>
      </c>
      <c r="H91" s="520" t="str">
        <f>IF(G91="","",VLOOKUP($B91,'C-1 Site River Baseline'!$C$9:$R$257,7,FALSE))</f>
        <v/>
      </c>
      <c r="I91" s="520" t="str">
        <f>IF(H91="","",VLOOKUP($B91,'C-1 Site River Baseline'!$C$9:$R$257,8,FALSE))</f>
        <v/>
      </c>
      <c r="J91" s="520" t="str">
        <f>IF(I91="","",VLOOKUP($B91,'C-1 Site River Baseline'!$C$9:$R$257,9,FALSE))</f>
        <v/>
      </c>
      <c r="K91" s="520" t="str">
        <f>IF(J91="","",VLOOKUP($B91,'C-1 Site River Baseline'!$C$9:$R$257,10,FALSE))</f>
        <v/>
      </c>
      <c r="L91" s="520" t="str">
        <f>IF(B91="","",VLOOKUP($B91,'C-1 Site River Baseline'!$C$9:$R$257,15,FALSE))</f>
        <v/>
      </c>
      <c r="M91" s="524" t="str">
        <f>IF(L91="","",VLOOKUP($B91,'C-1 Site River Baseline'!$C$9:$R$257,16,FALSE))</f>
        <v/>
      </c>
      <c r="N91" s="418" t="str">
        <f t="shared" si="9"/>
        <v/>
      </c>
      <c r="O91" s="498" t="str">
        <f t="shared" si="10"/>
        <v/>
      </c>
      <c r="P91" s="499"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7" t="str">
        <f>IF(N91="","",VLOOKUP(B91,'C-1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07" t="str">
        <f>IF(V91="","",IF(VLOOKUP(V91,'G-7 Rivers Data'!$AG$4:$AI$9,2,FALSE)=0,"Spatial Data Missing ⚠",VLOOKUP(V91,'G-7 Rivers Data'!$AG$4:$AI$9,2,FALSE)))</f>
        <v/>
      </c>
      <c r="X91" s="499" t="str">
        <f>IF(V91="","",IF(VLOOKUP(V91,'G-7 Rivers Data'!$AG$4:$AI$9,3,FALSE)=0,"Spatial Data Missing ⚠",VLOOKUP(V91,'G-7 Rivers Data'!$AG$4:$AI$9,3,FALSE)))</f>
        <v/>
      </c>
      <c r="Y91" s="498" t="str">
        <f>IFERROR(IF(OR(LEFT(P91,5)="Error ▲",LEFT(O91,5)="Error ▲"),"Check Data ⚠",IF(F91&lt;S91,'G-7 Rivers Data'!$R$3,INDEX('G-7 Rivers Data'!$U$5:$Y$9,MATCH(G91,'G-7 Rivers Data'!$T$5:$T$9,0),MATCH(T91,'G-7 Rivers Data'!$U$4:$Y$4,0)))),"")</f>
        <v/>
      </c>
      <c r="Z91" s="195"/>
      <c r="AA91" s="195"/>
      <c r="AB91" s="507" t="str">
        <f t="shared" si="11"/>
        <v/>
      </c>
      <c r="AC91" s="521" t="str">
        <f t="shared" si="12"/>
        <v/>
      </c>
      <c r="AD91" s="564" t="str">
        <f>IFERROR(IF(AC91="Check Data ⚠","Check Data ⚠",VLOOKUP(AC91,'G-4 Temporal multipliers'!$A$4:$C$37,3,FALSE)),"")</f>
        <v/>
      </c>
      <c r="AE91" s="498" t="str">
        <f>IF(N91="","",VLOOKUP(N91,'G-7 Rivers Data'!$B$4:$G$8,5,FALSE))</f>
        <v/>
      </c>
      <c r="AF91" s="507" t="str">
        <f t="shared" si="13"/>
        <v/>
      </c>
      <c r="AG91" s="540" t="str">
        <f t="shared" si="14"/>
        <v/>
      </c>
      <c r="AH91" s="499" t="str">
        <f t="shared" si="8"/>
        <v/>
      </c>
      <c r="AI91" s="145"/>
      <c r="AJ91" s="499" t="str">
        <f>IF(AI91="","",IF(VLOOKUP(AI91,'G-7 Rivers Data'!$AA$4:$AB$7,2,FALSE)=0,"Spatial Data Missing ⚠",VLOOKUP(AI91,'G-7 Rivers Data'!$AA$4:$AB$7,2,FALSE)))</f>
        <v/>
      </c>
      <c r="AK91" s="155"/>
      <c r="AL91" s="499" t="str">
        <f>IF(AK91="","",IF(VLOOKUP(AK91,'G-7 Rivers Data'!$AD$4:$AE$8,2,FALSE)=0,"Spatial Data Missing ⚠",VLOOKUP(AK91,'G-7 Rivers Data'!$AD$4:$AE$8,2,FALSE)))</f>
        <v/>
      </c>
      <c r="AM91" s="545" t="str">
        <f t="shared" si="15"/>
        <v/>
      </c>
      <c r="AN91" s="149"/>
      <c r="AO91" s="150"/>
      <c r="AV91" s="31" t="str">
        <f>IFERROR(INDEX('G-7 Rivers Data'!$AZ$3:$AZ$7,MATCH(N91,'G-7 Rivers Data'!$AY$3:$AY$7,0)),"")</f>
        <v/>
      </c>
    </row>
    <row r="92" spans="2:48" ht="13.8" x14ac:dyDescent="0.25">
      <c r="B92" s="531" t="str">
        <f>'C-1 Site River Baseline'!AN90</f>
        <v/>
      </c>
      <c r="C92" s="520" t="str">
        <f>IF(B92="","",VLOOKUP($B92,'C-1 Site River Baseline'!$C$9:$R$257,2,FALSE))</f>
        <v/>
      </c>
      <c r="D92" s="520" t="str">
        <f>IF(C92="","",VLOOKUP($B92,'C-1 Site River Baseline'!$C$9:$R$257,3,FALSE))</f>
        <v/>
      </c>
      <c r="E92" s="520" t="str">
        <f>IF(D92="","",VLOOKUP($B92,'C-1 Site River Baseline'!$C$9:$R$257,4,FALSE))</f>
        <v/>
      </c>
      <c r="F92" s="520" t="str">
        <f>IF(E92="","",VLOOKUP($B92,'C-1 Site River Baseline'!$C$9:$R$257,5,FALSE))</f>
        <v/>
      </c>
      <c r="G92" s="520" t="str">
        <f>IF(F92="","",VLOOKUP($B92,'C-1 Site River Baseline'!$C$9:$R$257,6,FALSE))</f>
        <v/>
      </c>
      <c r="H92" s="520" t="str">
        <f>IF(G92="","",VLOOKUP($B92,'C-1 Site River Baseline'!$C$9:$R$257,7,FALSE))</f>
        <v/>
      </c>
      <c r="I92" s="520" t="str">
        <f>IF(H92="","",VLOOKUP($B92,'C-1 Site River Baseline'!$C$9:$R$257,8,FALSE))</f>
        <v/>
      </c>
      <c r="J92" s="520" t="str">
        <f>IF(I92="","",VLOOKUP($B92,'C-1 Site River Baseline'!$C$9:$R$257,9,FALSE))</f>
        <v/>
      </c>
      <c r="K92" s="520" t="str">
        <f>IF(J92="","",VLOOKUP($B92,'C-1 Site River Baseline'!$C$9:$R$257,10,FALSE))</f>
        <v/>
      </c>
      <c r="L92" s="520" t="str">
        <f>IF(B92="","",VLOOKUP($B92,'C-1 Site River Baseline'!$C$9:$R$257,15,FALSE))</f>
        <v/>
      </c>
      <c r="M92" s="524" t="str">
        <f>IF(L92="","",VLOOKUP($B92,'C-1 Site River Baseline'!$C$9:$R$257,16,FALSE))</f>
        <v/>
      </c>
      <c r="N92" s="418" t="str">
        <f t="shared" si="9"/>
        <v/>
      </c>
      <c r="O92" s="498" t="str">
        <f t="shared" si="10"/>
        <v/>
      </c>
      <c r="P92" s="499"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7" t="str">
        <f>IF(N92="","",VLOOKUP(B92,'C-1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07" t="str">
        <f>IF(V92="","",IF(VLOOKUP(V92,'G-7 Rivers Data'!$AG$4:$AI$9,2,FALSE)=0,"Spatial Data Missing ⚠",VLOOKUP(V92,'G-7 Rivers Data'!$AG$4:$AI$9,2,FALSE)))</f>
        <v/>
      </c>
      <c r="X92" s="499" t="str">
        <f>IF(V92="","",IF(VLOOKUP(V92,'G-7 Rivers Data'!$AG$4:$AI$9,3,FALSE)=0,"Spatial Data Missing ⚠",VLOOKUP(V92,'G-7 Rivers Data'!$AG$4:$AI$9,3,FALSE)))</f>
        <v/>
      </c>
      <c r="Y92" s="498" t="str">
        <f>IFERROR(IF(OR(LEFT(P92,5)="Error ▲",LEFT(O92,5)="Error ▲"),"Check Data ⚠",IF(F92&lt;S92,'G-7 Rivers Data'!$R$3,INDEX('G-7 Rivers Data'!$U$5:$Y$9,MATCH(G92,'G-7 Rivers Data'!$T$5:$T$9,0),MATCH(T92,'G-7 Rivers Data'!$U$4:$Y$4,0)))),"")</f>
        <v/>
      </c>
      <c r="Z92" s="195"/>
      <c r="AA92" s="195"/>
      <c r="AB92" s="507" t="str">
        <f t="shared" si="11"/>
        <v/>
      </c>
      <c r="AC92" s="521" t="str">
        <f t="shared" si="12"/>
        <v/>
      </c>
      <c r="AD92" s="564" t="str">
        <f>IFERROR(IF(AC92="Check Data ⚠","Check Data ⚠",VLOOKUP(AC92,'G-4 Temporal multipliers'!$A$4:$C$37,3,FALSE)),"")</f>
        <v/>
      </c>
      <c r="AE92" s="498" t="str">
        <f>IF(N92="","",VLOOKUP(N92,'G-7 Rivers Data'!$B$4:$G$8,5,FALSE))</f>
        <v/>
      </c>
      <c r="AF92" s="507" t="str">
        <f t="shared" si="13"/>
        <v/>
      </c>
      <c r="AG92" s="540" t="str">
        <f t="shared" si="14"/>
        <v/>
      </c>
      <c r="AH92" s="499" t="str">
        <f t="shared" si="8"/>
        <v/>
      </c>
      <c r="AI92" s="145"/>
      <c r="AJ92" s="499" t="str">
        <f>IF(AI92="","",IF(VLOOKUP(AI92,'G-7 Rivers Data'!$AA$4:$AB$7,2,FALSE)=0,"Spatial Data Missing ⚠",VLOOKUP(AI92,'G-7 Rivers Data'!$AA$4:$AB$7,2,FALSE)))</f>
        <v/>
      </c>
      <c r="AK92" s="155"/>
      <c r="AL92" s="499" t="str">
        <f>IF(AK92="","",IF(VLOOKUP(AK92,'G-7 Rivers Data'!$AD$4:$AE$8,2,FALSE)=0,"Spatial Data Missing ⚠",VLOOKUP(AK92,'G-7 Rivers Data'!$AD$4:$AE$8,2,FALSE)))</f>
        <v/>
      </c>
      <c r="AM92" s="545" t="str">
        <f t="shared" si="15"/>
        <v/>
      </c>
      <c r="AN92" s="149"/>
      <c r="AO92" s="150"/>
      <c r="AV92" s="31" t="str">
        <f>IFERROR(INDEX('G-7 Rivers Data'!$AZ$3:$AZ$7,MATCH(N92,'G-7 Rivers Data'!$AY$3:$AY$7,0)),"")</f>
        <v/>
      </c>
    </row>
    <row r="93" spans="2:48" ht="13.8" x14ac:dyDescent="0.25">
      <c r="B93" s="531" t="str">
        <f>'C-1 Site River Baseline'!AN91</f>
        <v/>
      </c>
      <c r="C93" s="520" t="str">
        <f>IF(B93="","",VLOOKUP($B93,'C-1 Site River Baseline'!$C$9:$R$257,2,FALSE))</f>
        <v/>
      </c>
      <c r="D93" s="520" t="str">
        <f>IF(C93="","",VLOOKUP($B93,'C-1 Site River Baseline'!$C$9:$R$257,3,FALSE))</f>
        <v/>
      </c>
      <c r="E93" s="520" t="str">
        <f>IF(D93="","",VLOOKUP($B93,'C-1 Site River Baseline'!$C$9:$R$257,4,FALSE))</f>
        <v/>
      </c>
      <c r="F93" s="520" t="str">
        <f>IF(E93="","",VLOOKUP($B93,'C-1 Site River Baseline'!$C$9:$R$257,5,FALSE))</f>
        <v/>
      </c>
      <c r="G93" s="520" t="str">
        <f>IF(F93="","",VLOOKUP($B93,'C-1 Site River Baseline'!$C$9:$R$257,6,FALSE))</f>
        <v/>
      </c>
      <c r="H93" s="520" t="str">
        <f>IF(G93="","",VLOOKUP($B93,'C-1 Site River Baseline'!$C$9:$R$257,7,FALSE))</f>
        <v/>
      </c>
      <c r="I93" s="520" t="str">
        <f>IF(H93="","",VLOOKUP($B93,'C-1 Site River Baseline'!$C$9:$R$257,8,FALSE))</f>
        <v/>
      </c>
      <c r="J93" s="520" t="str">
        <f>IF(I93="","",VLOOKUP($B93,'C-1 Site River Baseline'!$C$9:$R$257,9,FALSE))</f>
        <v/>
      </c>
      <c r="K93" s="520" t="str">
        <f>IF(J93="","",VLOOKUP($B93,'C-1 Site River Baseline'!$C$9:$R$257,10,FALSE))</f>
        <v/>
      </c>
      <c r="L93" s="520" t="str">
        <f>IF(B93="","",VLOOKUP($B93,'C-1 Site River Baseline'!$C$9:$R$257,15,FALSE))</f>
        <v/>
      </c>
      <c r="M93" s="524" t="str">
        <f>IF(L93="","",VLOOKUP($B93,'C-1 Site River Baseline'!$C$9:$R$257,16,FALSE))</f>
        <v/>
      </c>
      <c r="N93" s="418" t="str">
        <f t="shared" si="9"/>
        <v/>
      </c>
      <c r="O93" s="498" t="str">
        <f t="shared" si="10"/>
        <v/>
      </c>
      <c r="P93" s="499"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7" t="str">
        <f>IF(N93="","",VLOOKUP(B93,'C-1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07" t="str">
        <f>IF(V93="","",IF(VLOOKUP(V93,'G-7 Rivers Data'!$AG$4:$AI$9,2,FALSE)=0,"Spatial Data Missing ⚠",VLOOKUP(V93,'G-7 Rivers Data'!$AG$4:$AI$9,2,FALSE)))</f>
        <v/>
      </c>
      <c r="X93" s="499" t="str">
        <f>IF(V93="","",IF(VLOOKUP(V93,'G-7 Rivers Data'!$AG$4:$AI$9,3,FALSE)=0,"Spatial Data Missing ⚠",VLOOKUP(V93,'G-7 Rivers Data'!$AG$4:$AI$9,3,FALSE)))</f>
        <v/>
      </c>
      <c r="Y93" s="498" t="str">
        <f>IFERROR(IF(OR(LEFT(P93,5)="Error ▲",LEFT(O93,5)="Error ▲"),"Check Data ⚠",IF(F93&lt;S93,'G-7 Rivers Data'!$R$3,INDEX('G-7 Rivers Data'!$U$5:$Y$9,MATCH(G93,'G-7 Rivers Data'!$T$5:$T$9,0),MATCH(T93,'G-7 Rivers Data'!$U$4:$Y$4,0)))),"")</f>
        <v/>
      </c>
      <c r="Z93" s="195"/>
      <c r="AA93" s="195"/>
      <c r="AB93" s="507" t="str">
        <f t="shared" si="11"/>
        <v/>
      </c>
      <c r="AC93" s="521" t="str">
        <f t="shared" si="12"/>
        <v/>
      </c>
      <c r="AD93" s="564" t="str">
        <f>IFERROR(IF(AC93="Check Data ⚠","Check Data ⚠",VLOOKUP(AC93,'G-4 Temporal multipliers'!$A$4:$C$37,3,FALSE)),"")</f>
        <v/>
      </c>
      <c r="AE93" s="498" t="str">
        <f>IF(N93="","",VLOOKUP(N93,'G-7 Rivers Data'!$B$4:$G$8,5,FALSE))</f>
        <v/>
      </c>
      <c r="AF93" s="507" t="str">
        <f t="shared" si="13"/>
        <v/>
      </c>
      <c r="AG93" s="540" t="str">
        <f t="shared" si="14"/>
        <v/>
      </c>
      <c r="AH93" s="499" t="str">
        <f t="shared" si="8"/>
        <v/>
      </c>
      <c r="AI93" s="145"/>
      <c r="AJ93" s="499" t="str">
        <f>IF(AI93="","",IF(VLOOKUP(AI93,'G-7 Rivers Data'!$AA$4:$AB$7,2,FALSE)=0,"Spatial Data Missing ⚠",VLOOKUP(AI93,'G-7 Rivers Data'!$AA$4:$AB$7,2,FALSE)))</f>
        <v/>
      </c>
      <c r="AK93" s="155"/>
      <c r="AL93" s="499" t="str">
        <f>IF(AK93="","",IF(VLOOKUP(AK93,'G-7 Rivers Data'!$AD$4:$AE$8,2,FALSE)=0,"Spatial Data Missing ⚠",VLOOKUP(AK93,'G-7 Rivers Data'!$AD$4:$AE$8,2,FALSE)))</f>
        <v/>
      </c>
      <c r="AM93" s="545" t="str">
        <f t="shared" si="15"/>
        <v/>
      </c>
      <c r="AN93" s="149"/>
      <c r="AO93" s="150"/>
      <c r="AV93" s="31" t="str">
        <f>IFERROR(INDEX('G-7 Rivers Data'!$AZ$3:$AZ$7,MATCH(N93,'G-7 Rivers Data'!$AY$3:$AY$7,0)),"")</f>
        <v/>
      </c>
    </row>
    <row r="94" spans="2:48" ht="13.8" x14ac:dyDescent="0.25">
      <c r="B94" s="531" t="str">
        <f>'C-1 Site River Baseline'!AN92</f>
        <v/>
      </c>
      <c r="C94" s="520" t="str">
        <f>IF(B94="","",VLOOKUP($B94,'C-1 Site River Baseline'!$C$9:$R$257,2,FALSE))</f>
        <v/>
      </c>
      <c r="D94" s="520" t="str">
        <f>IF(C94="","",VLOOKUP($B94,'C-1 Site River Baseline'!$C$9:$R$257,3,FALSE))</f>
        <v/>
      </c>
      <c r="E94" s="520" t="str">
        <f>IF(D94="","",VLOOKUP($B94,'C-1 Site River Baseline'!$C$9:$R$257,4,FALSE))</f>
        <v/>
      </c>
      <c r="F94" s="520" t="str">
        <f>IF(E94="","",VLOOKUP($B94,'C-1 Site River Baseline'!$C$9:$R$257,5,FALSE))</f>
        <v/>
      </c>
      <c r="G94" s="520" t="str">
        <f>IF(F94="","",VLOOKUP($B94,'C-1 Site River Baseline'!$C$9:$R$257,6,FALSE))</f>
        <v/>
      </c>
      <c r="H94" s="520" t="str">
        <f>IF(G94="","",VLOOKUP($B94,'C-1 Site River Baseline'!$C$9:$R$257,7,FALSE))</f>
        <v/>
      </c>
      <c r="I94" s="520" t="str">
        <f>IF(H94="","",VLOOKUP($B94,'C-1 Site River Baseline'!$C$9:$R$257,8,FALSE))</f>
        <v/>
      </c>
      <c r="J94" s="520" t="str">
        <f>IF(I94="","",VLOOKUP($B94,'C-1 Site River Baseline'!$C$9:$R$257,9,FALSE))</f>
        <v/>
      </c>
      <c r="K94" s="520" t="str">
        <f>IF(J94="","",VLOOKUP($B94,'C-1 Site River Baseline'!$C$9:$R$257,10,FALSE))</f>
        <v/>
      </c>
      <c r="L94" s="520" t="str">
        <f>IF(B94="","",VLOOKUP($B94,'C-1 Site River Baseline'!$C$9:$R$257,15,FALSE))</f>
        <v/>
      </c>
      <c r="M94" s="524" t="str">
        <f>IF(L94="","",VLOOKUP($B94,'C-1 Site River Baseline'!$C$9:$R$257,16,FALSE))</f>
        <v/>
      </c>
      <c r="N94" s="418" t="str">
        <f t="shared" si="9"/>
        <v/>
      </c>
      <c r="O94" s="498" t="str">
        <f t="shared" si="10"/>
        <v/>
      </c>
      <c r="P94" s="499"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7" t="str">
        <f>IF(N94="","",VLOOKUP(B94,'C-1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07" t="str">
        <f>IF(V94="","",IF(VLOOKUP(V94,'G-7 Rivers Data'!$AG$4:$AI$9,2,FALSE)=0,"Spatial Data Missing ⚠",VLOOKUP(V94,'G-7 Rivers Data'!$AG$4:$AI$9,2,FALSE)))</f>
        <v/>
      </c>
      <c r="X94" s="499" t="str">
        <f>IF(V94="","",IF(VLOOKUP(V94,'G-7 Rivers Data'!$AG$4:$AI$9,3,FALSE)=0,"Spatial Data Missing ⚠",VLOOKUP(V94,'G-7 Rivers Data'!$AG$4:$AI$9,3,FALSE)))</f>
        <v/>
      </c>
      <c r="Y94" s="498" t="str">
        <f>IFERROR(IF(OR(LEFT(P94,5)="Error ▲",LEFT(O94,5)="Error ▲"),"Check Data ⚠",IF(F94&lt;S94,'G-7 Rivers Data'!$R$3,INDEX('G-7 Rivers Data'!$U$5:$Y$9,MATCH(G94,'G-7 Rivers Data'!$T$5:$T$9,0),MATCH(T94,'G-7 Rivers Data'!$U$4:$Y$4,0)))),"")</f>
        <v/>
      </c>
      <c r="Z94" s="195"/>
      <c r="AA94" s="195"/>
      <c r="AB94" s="507" t="str">
        <f t="shared" si="11"/>
        <v/>
      </c>
      <c r="AC94" s="521" t="str">
        <f t="shared" si="12"/>
        <v/>
      </c>
      <c r="AD94" s="564" t="str">
        <f>IFERROR(IF(AC94="Check Data ⚠","Check Data ⚠",VLOOKUP(AC94,'G-4 Temporal multipliers'!$A$4:$C$37,3,FALSE)),"")</f>
        <v/>
      </c>
      <c r="AE94" s="498" t="str">
        <f>IF(N94="","",VLOOKUP(N94,'G-7 Rivers Data'!$B$4:$G$8,5,FALSE))</f>
        <v/>
      </c>
      <c r="AF94" s="507" t="str">
        <f t="shared" si="13"/>
        <v/>
      </c>
      <c r="AG94" s="540" t="str">
        <f t="shared" si="14"/>
        <v/>
      </c>
      <c r="AH94" s="499" t="str">
        <f t="shared" si="8"/>
        <v/>
      </c>
      <c r="AI94" s="145"/>
      <c r="AJ94" s="499" t="str">
        <f>IF(AI94="","",IF(VLOOKUP(AI94,'G-7 Rivers Data'!$AA$4:$AB$7,2,FALSE)=0,"Spatial Data Missing ⚠",VLOOKUP(AI94,'G-7 Rivers Data'!$AA$4:$AB$7,2,FALSE)))</f>
        <v/>
      </c>
      <c r="AK94" s="155"/>
      <c r="AL94" s="499" t="str">
        <f>IF(AK94="","",IF(VLOOKUP(AK94,'G-7 Rivers Data'!$AD$4:$AE$8,2,FALSE)=0,"Spatial Data Missing ⚠",VLOOKUP(AK94,'G-7 Rivers Data'!$AD$4:$AE$8,2,FALSE)))</f>
        <v/>
      </c>
      <c r="AM94" s="545" t="str">
        <f t="shared" si="15"/>
        <v/>
      </c>
      <c r="AN94" s="149"/>
      <c r="AO94" s="150"/>
      <c r="AV94" s="31" t="str">
        <f>IFERROR(INDEX('G-7 Rivers Data'!$AZ$3:$AZ$7,MATCH(N94,'G-7 Rivers Data'!$AY$3:$AY$7,0)),"")</f>
        <v/>
      </c>
    </row>
    <row r="95" spans="2:48" ht="13.8" x14ac:dyDescent="0.25">
      <c r="B95" s="531" t="str">
        <f>'C-1 Site River Baseline'!AN93</f>
        <v/>
      </c>
      <c r="C95" s="520" t="str">
        <f>IF(B95="","",VLOOKUP($B95,'C-1 Site River Baseline'!$C$9:$R$257,2,FALSE))</f>
        <v/>
      </c>
      <c r="D95" s="520" t="str">
        <f>IF(C95="","",VLOOKUP($B95,'C-1 Site River Baseline'!$C$9:$R$257,3,FALSE))</f>
        <v/>
      </c>
      <c r="E95" s="520" t="str">
        <f>IF(D95="","",VLOOKUP($B95,'C-1 Site River Baseline'!$C$9:$R$257,4,FALSE))</f>
        <v/>
      </c>
      <c r="F95" s="520" t="str">
        <f>IF(E95="","",VLOOKUP($B95,'C-1 Site River Baseline'!$C$9:$R$257,5,FALSE))</f>
        <v/>
      </c>
      <c r="G95" s="520" t="str">
        <f>IF(F95="","",VLOOKUP($B95,'C-1 Site River Baseline'!$C$9:$R$257,6,FALSE))</f>
        <v/>
      </c>
      <c r="H95" s="520" t="str">
        <f>IF(G95="","",VLOOKUP($B95,'C-1 Site River Baseline'!$C$9:$R$257,7,FALSE))</f>
        <v/>
      </c>
      <c r="I95" s="520" t="str">
        <f>IF(H95="","",VLOOKUP($B95,'C-1 Site River Baseline'!$C$9:$R$257,8,FALSE))</f>
        <v/>
      </c>
      <c r="J95" s="520" t="str">
        <f>IF(I95="","",VLOOKUP($B95,'C-1 Site River Baseline'!$C$9:$R$257,9,FALSE))</f>
        <v/>
      </c>
      <c r="K95" s="520" t="str">
        <f>IF(J95="","",VLOOKUP($B95,'C-1 Site River Baseline'!$C$9:$R$257,10,FALSE))</f>
        <v/>
      </c>
      <c r="L95" s="520" t="str">
        <f>IF(B95="","",VLOOKUP($B95,'C-1 Site River Baseline'!$C$9:$R$257,15,FALSE))</f>
        <v/>
      </c>
      <c r="M95" s="524" t="str">
        <f>IF(L95="","",VLOOKUP($B95,'C-1 Site River Baseline'!$C$9:$R$257,16,FALSE))</f>
        <v/>
      </c>
      <c r="N95" s="418" t="str">
        <f t="shared" si="9"/>
        <v/>
      </c>
      <c r="O95" s="498" t="str">
        <f t="shared" si="10"/>
        <v/>
      </c>
      <c r="P95" s="499"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7" t="str">
        <f>IF(N95="","",VLOOKUP(B95,'C-1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07" t="str">
        <f>IF(V95="","",IF(VLOOKUP(V95,'G-7 Rivers Data'!$AG$4:$AI$9,2,FALSE)=0,"Spatial Data Missing ⚠",VLOOKUP(V95,'G-7 Rivers Data'!$AG$4:$AI$9,2,FALSE)))</f>
        <v/>
      </c>
      <c r="X95" s="499" t="str">
        <f>IF(V95="","",IF(VLOOKUP(V95,'G-7 Rivers Data'!$AG$4:$AI$9,3,FALSE)=0,"Spatial Data Missing ⚠",VLOOKUP(V95,'G-7 Rivers Data'!$AG$4:$AI$9,3,FALSE)))</f>
        <v/>
      </c>
      <c r="Y95" s="498" t="str">
        <f>IFERROR(IF(OR(LEFT(P95,5)="Error ▲",LEFT(O95,5)="Error ▲"),"Check Data ⚠",IF(F95&lt;S95,'G-7 Rivers Data'!$R$3,INDEX('G-7 Rivers Data'!$U$5:$Y$9,MATCH(G95,'G-7 Rivers Data'!$T$5:$T$9,0),MATCH(T95,'G-7 Rivers Data'!$U$4:$Y$4,0)))),"")</f>
        <v/>
      </c>
      <c r="Z95" s="195"/>
      <c r="AA95" s="195"/>
      <c r="AB95" s="507" t="str">
        <f t="shared" si="11"/>
        <v/>
      </c>
      <c r="AC95" s="521" t="str">
        <f t="shared" si="12"/>
        <v/>
      </c>
      <c r="AD95" s="564" t="str">
        <f>IFERROR(IF(AC95="Check Data ⚠","Check Data ⚠",VLOOKUP(AC95,'G-4 Temporal multipliers'!$A$4:$C$37,3,FALSE)),"")</f>
        <v/>
      </c>
      <c r="AE95" s="498" t="str">
        <f>IF(N95="","",VLOOKUP(N95,'G-7 Rivers Data'!$B$4:$G$8,5,FALSE))</f>
        <v/>
      </c>
      <c r="AF95" s="507" t="str">
        <f t="shared" si="13"/>
        <v/>
      </c>
      <c r="AG95" s="540" t="str">
        <f t="shared" si="14"/>
        <v/>
      </c>
      <c r="AH95" s="499" t="str">
        <f t="shared" si="8"/>
        <v/>
      </c>
      <c r="AI95" s="145"/>
      <c r="AJ95" s="499" t="str">
        <f>IF(AI95="","",IF(VLOOKUP(AI95,'G-7 Rivers Data'!$AA$4:$AB$7,2,FALSE)=0,"Spatial Data Missing ⚠",VLOOKUP(AI95,'G-7 Rivers Data'!$AA$4:$AB$7,2,FALSE)))</f>
        <v/>
      </c>
      <c r="AK95" s="155"/>
      <c r="AL95" s="499" t="str">
        <f>IF(AK95="","",IF(VLOOKUP(AK95,'G-7 Rivers Data'!$AD$4:$AE$8,2,FALSE)=0,"Spatial Data Missing ⚠",VLOOKUP(AK95,'G-7 Rivers Data'!$AD$4:$AE$8,2,FALSE)))</f>
        <v/>
      </c>
      <c r="AM95" s="545" t="str">
        <f t="shared" si="15"/>
        <v/>
      </c>
      <c r="AN95" s="149"/>
      <c r="AO95" s="150"/>
      <c r="AV95" s="31" t="str">
        <f>IFERROR(INDEX('G-7 Rivers Data'!$AZ$3:$AZ$7,MATCH(N95,'G-7 Rivers Data'!$AY$3:$AY$7,0)),"")</f>
        <v/>
      </c>
    </row>
    <row r="96" spans="2:48" ht="13.8" x14ac:dyDescent="0.25">
      <c r="B96" s="531" t="str">
        <f>'C-1 Site River Baseline'!AN94</f>
        <v/>
      </c>
      <c r="C96" s="520" t="str">
        <f>IF(B96="","",VLOOKUP($B96,'C-1 Site River Baseline'!$C$9:$R$257,2,FALSE))</f>
        <v/>
      </c>
      <c r="D96" s="520" t="str">
        <f>IF(C96="","",VLOOKUP($B96,'C-1 Site River Baseline'!$C$9:$R$257,3,FALSE))</f>
        <v/>
      </c>
      <c r="E96" s="520" t="str">
        <f>IF(D96="","",VLOOKUP($B96,'C-1 Site River Baseline'!$C$9:$R$257,4,FALSE))</f>
        <v/>
      </c>
      <c r="F96" s="520" t="str">
        <f>IF(E96="","",VLOOKUP($B96,'C-1 Site River Baseline'!$C$9:$R$257,5,FALSE))</f>
        <v/>
      </c>
      <c r="G96" s="520" t="str">
        <f>IF(F96="","",VLOOKUP($B96,'C-1 Site River Baseline'!$C$9:$R$257,6,FALSE))</f>
        <v/>
      </c>
      <c r="H96" s="520" t="str">
        <f>IF(G96="","",VLOOKUP($B96,'C-1 Site River Baseline'!$C$9:$R$257,7,FALSE))</f>
        <v/>
      </c>
      <c r="I96" s="520" t="str">
        <f>IF(H96="","",VLOOKUP($B96,'C-1 Site River Baseline'!$C$9:$R$257,8,FALSE))</f>
        <v/>
      </c>
      <c r="J96" s="520" t="str">
        <f>IF(I96="","",VLOOKUP($B96,'C-1 Site River Baseline'!$C$9:$R$257,9,FALSE))</f>
        <v/>
      </c>
      <c r="K96" s="520" t="str">
        <f>IF(J96="","",VLOOKUP($B96,'C-1 Site River Baseline'!$C$9:$R$257,10,FALSE))</f>
        <v/>
      </c>
      <c r="L96" s="520" t="str">
        <f>IF(B96="","",VLOOKUP($B96,'C-1 Site River Baseline'!$C$9:$R$257,15,FALSE))</f>
        <v/>
      </c>
      <c r="M96" s="524" t="str">
        <f>IF(L96="","",VLOOKUP($B96,'C-1 Site River Baseline'!$C$9:$R$257,16,FALSE))</f>
        <v/>
      </c>
      <c r="N96" s="418" t="str">
        <f t="shared" si="9"/>
        <v/>
      </c>
      <c r="O96" s="498" t="str">
        <f t="shared" si="10"/>
        <v/>
      </c>
      <c r="P96" s="499"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7" t="str">
        <f>IF(N96="","",VLOOKUP(B96,'C-1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07" t="str">
        <f>IF(V96="","",IF(VLOOKUP(V96,'G-7 Rivers Data'!$AG$4:$AI$9,2,FALSE)=0,"Spatial Data Missing ⚠",VLOOKUP(V96,'G-7 Rivers Data'!$AG$4:$AI$9,2,FALSE)))</f>
        <v/>
      </c>
      <c r="X96" s="499" t="str">
        <f>IF(V96="","",IF(VLOOKUP(V96,'G-7 Rivers Data'!$AG$4:$AI$9,3,FALSE)=0,"Spatial Data Missing ⚠",VLOOKUP(V96,'G-7 Rivers Data'!$AG$4:$AI$9,3,FALSE)))</f>
        <v/>
      </c>
      <c r="Y96" s="498" t="str">
        <f>IFERROR(IF(OR(LEFT(P96,5)="Error ▲",LEFT(O96,5)="Error ▲"),"Check Data ⚠",IF(F96&lt;S96,'G-7 Rivers Data'!$R$3,INDEX('G-7 Rivers Data'!$U$5:$Y$9,MATCH(G96,'G-7 Rivers Data'!$T$5:$T$9,0),MATCH(T96,'G-7 Rivers Data'!$U$4:$Y$4,0)))),"")</f>
        <v/>
      </c>
      <c r="Z96" s="195"/>
      <c r="AA96" s="195"/>
      <c r="AB96" s="507" t="str">
        <f t="shared" si="11"/>
        <v/>
      </c>
      <c r="AC96" s="521" t="str">
        <f t="shared" si="12"/>
        <v/>
      </c>
      <c r="AD96" s="564" t="str">
        <f>IFERROR(IF(AC96="Check Data ⚠","Check Data ⚠",VLOOKUP(AC96,'G-4 Temporal multipliers'!$A$4:$C$37,3,FALSE)),"")</f>
        <v/>
      </c>
      <c r="AE96" s="498" t="str">
        <f>IF(N96="","",VLOOKUP(N96,'G-7 Rivers Data'!$B$4:$G$8,5,FALSE))</f>
        <v/>
      </c>
      <c r="AF96" s="507" t="str">
        <f t="shared" si="13"/>
        <v/>
      </c>
      <c r="AG96" s="540" t="str">
        <f t="shared" si="14"/>
        <v/>
      </c>
      <c r="AH96" s="499" t="str">
        <f t="shared" si="8"/>
        <v/>
      </c>
      <c r="AI96" s="145"/>
      <c r="AJ96" s="499" t="str">
        <f>IF(AI96="","",IF(VLOOKUP(AI96,'G-7 Rivers Data'!$AA$4:$AB$7,2,FALSE)=0,"Spatial Data Missing ⚠",VLOOKUP(AI96,'G-7 Rivers Data'!$AA$4:$AB$7,2,FALSE)))</f>
        <v/>
      </c>
      <c r="AK96" s="155"/>
      <c r="AL96" s="499" t="str">
        <f>IF(AK96="","",IF(VLOOKUP(AK96,'G-7 Rivers Data'!$AD$4:$AE$8,2,FALSE)=0,"Spatial Data Missing ⚠",VLOOKUP(AK96,'G-7 Rivers Data'!$AD$4:$AE$8,2,FALSE)))</f>
        <v/>
      </c>
      <c r="AM96" s="545" t="str">
        <f t="shared" si="15"/>
        <v/>
      </c>
      <c r="AN96" s="149"/>
      <c r="AO96" s="150"/>
      <c r="AV96" s="31" t="str">
        <f>IFERROR(INDEX('G-7 Rivers Data'!$AZ$3:$AZ$7,MATCH(N96,'G-7 Rivers Data'!$AY$3:$AY$7,0)),"")</f>
        <v/>
      </c>
    </row>
    <row r="97" spans="2:48" ht="13.8" x14ac:dyDescent="0.25">
      <c r="B97" s="531" t="str">
        <f>'C-1 Site River Baseline'!AN95</f>
        <v/>
      </c>
      <c r="C97" s="520" t="str">
        <f>IF(B97="","",VLOOKUP($B97,'C-1 Site River Baseline'!$C$9:$R$257,2,FALSE))</f>
        <v/>
      </c>
      <c r="D97" s="520" t="str">
        <f>IF(C97="","",VLOOKUP($B97,'C-1 Site River Baseline'!$C$9:$R$257,3,FALSE))</f>
        <v/>
      </c>
      <c r="E97" s="520" t="str">
        <f>IF(D97="","",VLOOKUP($B97,'C-1 Site River Baseline'!$C$9:$R$257,4,FALSE))</f>
        <v/>
      </c>
      <c r="F97" s="520" t="str">
        <f>IF(E97="","",VLOOKUP($B97,'C-1 Site River Baseline'!$C$9:$R$257,5,FALSE))</f>
        <v/>
      </c>
      <c r="G97" s="520" t="str">
        <f>IF(F97="","",VLOOKUP($B97,'C-1 Site River Baseline'!$C$9:$R$257,6,FALSE))</f>
        <v/>
      </c>
      <c r="H97" s="520" t="str">
        <f>IF(G97="","",VLOOKUP($B97,'C-1 Site River Baseline'!$C$9:$R$257,7,FALSE))</f>
        <v/>
      </c>
      <c r="I97" s="520" t="str">
        <f>IF(H97="","",VLOOKUP($B97,'C-1 Site River Baseline'!$C$9:$R$257,8,FALSE))</f>
        <v/>
      </c>
      <c r="J97" s="520" t="str">
        <f>IF(I97="","",VLOOKUP($B97,'C-1 Site River Baseline'!$C$9:$R$257,9,FALSE))</f>
        <v/>
      </c>
      <c r="K97" s="520" t="str">
        <f>IF(J97="","",VLOOKUP($B97,'C-1 Site River Baseline'!$C$9:$R$257,10,FALSE))</f>
        <v/>
      </c>
      <c r="L97" s="520" t="str">
        <f>IF(B97="","",VLOOKUP($B97,'C-1 Site River Baseline'!$C$9:$R$257,15,FALSE))</f>
        <v/>
      </c>
      <c r="M97" s="524" t="str">
        <f>IF(L97="","",VLOOKUP($B97,'C-1 Site River Baseline'!$C$9:$R$257,16,FALSE))</f>
        <v/>
      </c>
      <c r="N97" s="418" t="str">
        <f t="shared" si="9"/>
        <v/>
      </c>
      <c r="O97" s="498" t="str">
        <f t="shared" si="10"/>
        <v/>
      </c>
      <c r="P97" s="499"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7" t="str">
        <f>IF(N97="","",VLOOKUP(B97,'C-1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07" t="str">
        <f>IF(V97="","",IF(VLOOKUP(V97,'G-7 Rivers Data'!$AG$4:$AI$9,2,FALSE)=0,"Spatial Data Missing ⚠",VLOOKUP(V97,'G-7 Rivers Data'!$AG$4:$AI$9,2,FALSE)))</f>
        <v/>
      </c>
      <c r="X97" s="499" t="str">
        <f>IF(V97="","",IF(VLOOKUP(V97,'G-7 Rivers Data'!$AG$4:$AI$9,3,FALSE)=0,"Spatial Data Missing ⚠",VLOOKUP(V97,'G-7 Rivers Data'!$AG$4:$AI$9,3,FALSE)))</f>
        <v/>
      </c>
      <c r="Y97" s="498" t="str">
        <f>IFERROR(IF(OR(LEFT(P97,5)="Error ▲",LEFT(O97,5)="Error ▲"),"Check Data ⚠",IF(F97&lt;S97,'G-7 Rivers Data'!$R$3,INDEX('G-7 Rivers Data'!$U$5:$Y$9,MATCH(G97,'G-7 Rivers Data'!$T$5:$T$9,0),MATCH(T97,'G-7 Rivers Data'!$U$4:$Y$4,0)))),"")</f>
        <v/>
      </c>
      <c r="Z97" s="195"/>
      <c r="AA97" s="195"/>
      <c r="AB97" s="507" t="str">
        <f t="shared" si="11"/>
        <v/>
      </c>
      <c r="AC97" s="521" t="str">
        <f t="shared" si="12"/>
        <v/>
      </c>
      <c r="AD97" s="564" t="str">
        <f>IFERROR(IF(AC97="Check Data ⚠","Check Data ⚠",VLOOKUP(AC97,'G-4 Temporal multipliers'!$A$4:$C$37,3,FALSE)),"")</f>
        <v/>
      </c>
      <c r="AE97" s="498" t="str">
        <f>IF(N97="","",VLOOKUP(N97,'G-7 Rivers Data'!$B$4:$G$8,5,FALSE))</f>
        <v/>
      </c>
      <c r="AF97" s="507" t="str">
        <f t="shared" si="13"/>
        <v/>
      </c>
      <c r="AG97" s="540" t="str">
        <f t="shared" si="14"/>
        <v/>
      </c>
      <c r="AH97" s="499" t="str">
        <f t="shared" si="8"/>
        <v/>
      </c>
      <c r="AI97" s="145"/>
      <c r="AJ97" s="499" t="str">
        <f>IF(AI97="","",IF(VLOOKUP(AI97,'G-7 Rivers Data'!$AA$4:$AB$7,2,FALSE)=0,"Spatial Data Missing ⚠",VLOOKUP(AI97,'G-7 Rivers Data'!$AA$4:$AB$7,2,FALSE)))</f>
        <v/>
      </c>
      <c r="AK97" s="155"/>
      <c r="AL97" s="499" t="str">
        <f>IF(AK97="","",IF(VLOOKUP(AK97,'G-7 Rivers Data'!$AD$4:$AE$8,2,FALSE)=0,"Spatial Data Missing ⚠",VLOOKUP(AK97,'G-7 Rivers Data'!$AD$4:$AE$8,2,FALSE)))</f>
        <v/>
      </c>
      <c r="AM97" s="545" t="str">
        <f t="shared" si="15"/>
        <v/>
      </c>
      <c r="AN97" s="149"/>
      <c r="AO97" s="150"/>
      <c r="AV97" s="31" t="str">
        <f>IFERROR(INDEX('G-7 Rivers Data'!$AZ$3:$AZ$7,MATCH(N97,'G-7 Rivers Data'!$AY$3:$AY$7,0)),"")</f>
        <v/>
      </c>
    </row>
    <row r="98" spans="2:48" ht="13.8" x14ac:dyDescent="0.25">
      <c r="B98" s="531" t="str">
        <f>'C-1 Site River Baseline'!AN96</f>
        <v/>
      </c>
      <c r="C98" s="520" t="str">
        <f>IF(B98="","",VLOOKUP($B98,'C-1 Site River Baseline'!$C$9:$R$257,2,FALSE))</f>
        <v/>
      </c>
      <c r="D98" s="520" t="str">
        <f>IF(C98="","",VLOOKUP($B98,'C-1 Site River Baseline'!$C$9:$R$257,3,FALSE))</f>
        <v/>
      </c>
      <c r="E98" s="520" t="str">
        <f>IF(D98="","",VLOOKUP($B98,'C-1 Site River Baseline'!$C$9:$R$257,4,FALSE))</f>
        <v/>
      </c>
      <c r="F98" s="520" t="str">
        <f>IF(E98="","",VLOOKUP($B98,'C-1 Site River Baseline'!$C$9:$R$257,5,FALSE))</f>
        <v/>
      </c>
      <c r="G98" s="520" t="str">
        <f>IF(F98="","",VLOOKUP($B98,'C-1 Site River Baseline'!$C$9:$R$257,6,FALSE))</f>
        <v/>
      </c>
      <c r="H98" s="520" t="str">
        <f>IF(G98="","",VLOOKUP($B98,'C-1 Site River Baseline'!$C$9:$R$257,7,FALSE))</f>
        <v/>
      </c>
      <c r="I98" s="520" t="str">
        <f>IF(H98="","",VLOOKUP($B98,'C-1 Site River Baseline'!$C$9:$R$257,8,FALSE))</f>
        <v/>
      </c>
      <c r="J98" s="520" t="str">
        <f>IF(I98="","",VLOOKUP($B98,'C-1 Site River Baseline'!$C$9:$R$257,9,FALSE))</f>
        <v/>
      </c>
      <c r="K98" s="520" t="str">
        <f>IF(J98="","",VLOOKUP($B98,'C-1 Site River Baseline'!$C$9:$R$257,10,FALSE))</f>
        <v/>
      </c>
      <c r="L98" s="520" t="str">
        <f>IF(B98="","",VLOOKUP($B98,'C-1 Site River Baseline'!$C$9:$R$257,15,FALSE))</f>
        <v/>
      </c>
      <c r="M98" s="524" t="str">
        <f>IF(L98="","",VLOOKUP($B98,'C-1 Site River Baseline'!$C$9:$R$257,16,FALSE))</f>
        <v/>
      </c>
      <c r="N98" s="418" t="str">
        <f t="shared" si="9"/>
        <v/>
      </c>
      <c r="O98" s="498" t="str">
        <f t="shared" si="10"/>
        <v/>
      </c>
      <c r="P98" s="499"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7" t="str">
        <f>IF(N98="","",VLOOKUP(B98,'C-1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07" t="str">
        <f>IF(V98="","",IF(VLOOKUP(V98,'G-7 Rivers Data'!$AG$4:$AI$9,2,FALSE)=0,"Spatial Data Missing ⚠",VLOOKUP(V98,'G-7 Rivers Data'!$AG$4:$AI$9,2,FALSE)))</f>
        <v/>
      </c>
      <c r="X98" s="499" t="str">
        <f>IF(V98="","",IF(VLOOKUP(V98,'G-7 Rivers Data'!$AG$4:$AI$9,3,FALSE)=0,"Spatial Data Missing ⚠",VLOOKUP(V98,'G-7 Rivers Data'!$AG$4:$AI$9,3,FALSE)))</f>
        <v/>
      </c>
      <c r="Y98" s="498" t="str">
        <f>IFERROR(IF(OR(LEFT(P98,5)="Error ▲",LEFT(O98,5)="Error ▲"),"Check Data ⚠",IF(F98&lt;S98,'G-7 Rivers Data'!$R$3,INDEX('G-7 Rivers Data'!$U$5:$Y$9,MATCH(G98,'G-7 Rivers Data'!$T$5:$T$9,0),MATCH(T98,'G-7 Rivers Data'!$U$4:$Y$4,0)))),"")</f>
        <v/>
      </c>
      <c r="Z98" s="195"/>
      <c r="AA98" s="195"/>
      <c r="AB98" s="507" t="str">
        <f t="shared" si="11"/>
        <v/>
      </c>
      <c r="AC98" s="521" t="str">
        <f t="shared" si="12"/>
        <v/>
      </c>
      <c r="AD98" s="564" t="str">
        <f>IFERROR(IF(AC98="Check Data ⚠","Check Data ⚠",VLOOKUP(AC98,'G-4 Temporal multipliers'!$A$4:$C$37,3,FALSE)),"")</f>
        <v/>
      </c>
      <c r="AE98" s="498" t="str">
        <f>IF(N98="","",VLOOKUP(N98,'G-7 Rivers Data'!$B$4:$G$8,5,FALSE))</f>
        <v/>
      </c>
      <c r="AF98" s="507" t="str">
        <f t="shared" si="13"/>
        <v/>
      </c>
      <c r="AG98" s="540" t="str">
        <f t="shared" si="14"/>
        <v/>
      </c>
      <c r="AH98" s="499" t="str">
        <f t="shared" si="8"/>
        <v/>
      </c>
      <c r="AI98" s="145"/>
      <c r="AJ98" s="499" t="str">
        <f>IF(AI98="","",IF(VLOOKUP(AI98,'G-7 Rivers Data'!$AA$4:$AB$7,2,FALSE)=0,"Spatial Data Missing ⚠",VLOOKUP(AI98,'G-7 Rivers Data'!$AA$4:$AB$7,2,FALSE)))</f>
        <v/>
      </c>
      <c r="AK98" s="155"/>
      <c r="AL98" s="499" t="str">
        <f>IF(AK98="","",IF(VLOOKUP(AK98,'G-7 Rivers Data'!$AD$4:$AE$8,2,FALSE)=0,"Spatial Data Missing ⚠",VLOOKUP(AK98,'G-7 Rivers Data'!$AD$4:$AE$8,2,FALSE)))</f>
        <v/>
      </c>
      <c r="AM98" s="545" t="str">
        <f t="shared" si="15"/>
        <v/>
      </c>
      <c r="AN98" s="149"/>
      <c r="AO98" s="150"/>
      <c r="AV98" s="31" t="str">
        <f>IFERROR(INDEX('G-7 Rivers Data'!$AZ$3:$AZ$7,MATCH(N98,'G-7 Rivers Data'!$AY$3:$AY$7,0)),"")</f>
        <v/>
      </c>
    </row>
    <row r="99" spans="2:48" ht="13.8" x14ac:dyDescent="0.25">
      <c r="B99" s="531" t="str">
        <f>'C-1 Site River Baseline'!AN97</f>
        <v/>
      </c>
      <c r="C99" s="520" t="str">
        <f>IF(B99="","",VLOOKUP($B99,'C-1 Site River Baseline'!$C$9:$R$257,2,FALSE))</f>
        <v/>
      </c>
      <c r="D99" s="520" t="str">
        <f>IF(C99="","",VLOOKUP($B99,'C-1 Site River Baseline'!$C$9:$R$257,3,FALSE))</f>
        <v/>
      </c>
      <c r="E99" s="520" t="str">
        <f>IF(D99="","",VLOOKUP($B99,'C-1 Site River Baseline'!$C$9:$R$257,4,FALSE))</f>
        <v/>
      </c>
      <c r="F99" s="520" t="str">
        <f>IF(E99="","",VLOOKUP($B99,'C-1 Site River Baseline'!$C$9:$R$257,5,FALSE))</f>
        <v/>
      </c>
      <c r="G99" s="520" t="str">
        <f>IF(F99="","",VLOOKUP($B99,'C-1 Site River Baseline'!$C$9:$R$257,6,FALSE))</f>
        <v/>
      </c>
      <c r="H99" s="520" t="str">
        <f>IF(G99="","",VLOOKUP($B99,'C-1 Site River Baseline'!$C$9:$R$257,7,FALSE))</f>
        <v/>
      </c>
      <c r="I99" s="520" t="str">
        <f>IF(H99="","",VLOOKUP($B99,'C-1 Site River Baseline'!$C$9:$R$257,8,FALSE))</f>
        <v/>
      </c>
      <c r="J99" s="520" t="str">
        <f>IF(I99="","",VLOOKUP($B99,'C-1 Site River Baseline'!$C$9:$R$257,9,FALSE))</f>
        <v/>
      </c>
      <c r="K99" s="520" t="str">
        <f>IF(J99="","",VLOOKUP($B99,'C-1 Site River Baseline'!$C$9:$R$257,10,FALSE))</f>
        <v/>
      </c>
      <c r="L99" s="520" t="str">
        <f>IF(B99="","",VLOOKUP($B99,'C-1 Site River Baseline'!$C$9:$R$257,15,FALSE))</f>
        <v/>
      </c>
      <c r="M99" s="524" t="str">
        <f>IF(L99="","",VLOOKUP($B99,'C-1 Site River Baseline'!$C$9:$R$257,16,FALSE))</f>
        <v/>
      </c>
      <c r="N99" s="418" t="str">
        <f t="shared" si="9"/>
        <v/>
      </c>
      <c r="O99" s="498" t="str">
        <f t="shared" si="10"/>
        <v/>
      </c>
      <c r="P99" s="499"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7" t="str">
        <f>IF(N99="","",VLOOKUP(B99,'C-1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07" t="str">
        <f>IF(V99="","",IF(VLOOKUP(V99,'G-7 Rivers Data'!$AG$4:$AI$9,2,FALSE)=0,"Spatial Data Missing ⚠",VLOOKUP(V99,'G-7 Rivers Data'!$AG$4:$AI$9,2,FALSE)))</f>
        <v/>
      </c>
      <c r="X99" s="499" t="str">
        <f>IF(V99="","",IF(VLOOKUP(V99,'G-7 Rivers Data'!$AG$4:$AI$9,3,FALSE)=0,"Spatial Data Missing ⚠",VLOOKUP(V99,'G-7 Rivers Data'!$AG$4:$AI$9,3,FALSE)))</f>
        <v/>
      </c>
      <c r="Y99" s="498" t="str">
        <f>IFERROR(IF(OR(LEFT(P99,5)="Error ▲",LEFT(O99,5)="Error ▲"),"Check Data ⚠",IF(F99&lt;S99,'G-7 Rivers Data'!$R$3,INDEX('G-7 Rivers Data'!$U$5:$Y$9,MATCH(G99,'G-7 Rivers Data'!$T$5:$T$9,0),MATCH(T99,'G-7 Rivers Data'!$U$4:$Y$4,0)))),"")</f>
        <v/>
      </c>
      <c r="Z99" s="195"/>
      <c r="AA99" s="195"/>
      <c r="AB99" s="507" t="str">
        <f t="shared" si="11"/>
        <v/>
      </c>
      <c r="AC99" s="521" t="str">
        <f t="shared" si="12"/>
        <v/>
      </c>
      <c r="AD99" s="564" t="str">
        <f>IFERROR(IF(AC99="Check Data ⚠","Check Data ⚠",VLOOKUP(AC99,'G-4 Temporal multipliers'!$A$4:$C$37,3,FALSE)),"")</f>
        <v/>
      </c>
      <c r="AE99" s="498" t="str">
        <f>IF(N99="","",VLOOKUP(N99,'G-7 Rivers Data'!$B$4:$G$8,5,FALSE))</f>
        <v/>
      </c>
      <c r="AF99" s="507" t="str">
        <f t="shared" si="13"/>
        <v/>
      </c>
      <c r="AG99" s="540" t="str">
        <f t="shared" si="14"/>
        <v/>
      </c>
      <c r="AH99" s="499" t="str">
        <f t="shared" si="8"/>
        <v/>
      </c>
      <c r="AI99" s="145"/>
      <c r="AJ99" s="499" t="str">
        <f>IF(AI99="","",IF(VLOOKUP(AI99,'G-7 Rivers Data'!$AA$4:$AB$7,2,FALSE)=0,"Spatial Data Missing ⚠",VLOOKUP(AI99,'G-7 Rivers Data'!$AA$4:$AB$7,2,FALSE)))</f>
        <v/>
      </c>
      <c r="AK99" s="155"/>
      <c r="AL99" s="499" t="str">
        <f>IF(AK99="","",IF(VLOOKUP(AK99,'G-7 Rivers Data'!$AD$4:$AE$8,2,FALSE)=0,"Spatial Data Missing ⚠",VLOOKUP(AK99,'G-7 Rivers Data'!$AD$4:$AE$8,2,FALSE)))</f>
        <v/>
      </c>
      <c r="AM99" s="545" t="str">
        <f t="shared" si="15"/>
        <v/>
      </c>
      <c r="AN99" s="149"/>
      <c r="AO99" s="150"/>
      <c r="AV99" s="31" t="str">
        <f>IFERROR(INDEX('G-7 Rivers Data'!$AZ$3:$AZ$7,MATCH(N99,'G-7 Rivers Data'!$AY$3:$AY$7,0)),"")</f>
        <v/>
      </c>
    </row>
    <row r="100" spans="2:48" ht="13.8" x14ac:dyDescent="0.25">
      <c r="B100" s="531" t="str">
        <f>'C-1 Site River Baseline'!AN98</f>
        <v/>
      </c>
      <c r="C100" s="520" t="str">
        <f>IF(B100="","",VLOOKUP($B100,'C-1 Site River Baseline'!$C$9:$R$257,2,FALSE))</f>
        <v/>
      </c>
      <c r="D100" s="520" t="str">
        <f>IF(C100="","",VLOOKUP($B100,'C-1 Site River Baseline'!$C$9:$R$257,3,FALSE))</f>
        <v/>
      </c>
      <c r="E100" s="520" t="str">
        <f>IF(D100="","",VLOOKUP($B100,'C-1 Site River Baseline'!$C$9:$R$257,4,FALSE))</f>
        <v/>
      </c>
      <c r="F100" s="520" t="str">
        <f>IF(E100="","",VLOOKUP($B100,'C-1 Site River Baseline'!$C$9:$R$257,5,FALSE))</f>
        <v/>
      </c>
      <c r="G100" s="520" t="str">
        <f>IF(F100="","",VLOOKUP($B100,'C-1 Site River Baseline'!$C$9:$R$257,6,FALSE))</f>
        <v/>
      </c>
      <c r="H100" s="520" t="str">
        <f>IF(G100="","",VLOOKUP($B100,'C-1 Site River Baseline'!$C$9:$R$257,7,FALSE))</f>
        <v/>
      </c>
      <c r="I100" s="520" t="str">
        <f>IF(H100="","",VLOOKUP($B100,'C-1 Site River Baseline'!$C$9:$R$257,8,FALSE))</f>
        <v/>
      </c>
      <c r="J100" s="520" t="str">
        <f>IF(I100="","",VLOOKUP($B100,'C-1 Site River Baseline'!$C$9:$R$257,9,FALSE))</f>
        <v/>
      </c>
      <c r="K100" s="520" t="str">
        <f>IF(J100="","",VLOOKUP($B100,'C-1 Site River Baseline'!$C$9:$R$257,10,FALSE))</f>
        <v/>
      </c>
      <c r="L100" s="520" t="str">
        <f>IF(B100="","",VLOOKUP($B100,'C-1 Site River Baseline'!$C$9:$R$257,15,FALSE))</f>
        <v/>
      </c>
      <c r="M100" s="524" t="str">
        <f>IF(L100="","",VLOOKUP($B100,'C-1 Site River Baseline'!$C$9:$R$257,16,FALSE))</f>
        <v/>
      </c>
      <c r="N100" s="418" t="str">
        <f t="shared" si="9"/>
        <v/>
      </c>
      <c r="O100" s="498" t="str">
        <f t="shared" si="10"/>
        <v/>
      </c>
      <c r="P100" s="499"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7" t="str">
        <f>IF(N100="","",VLOOKUP(B100,'C-1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07" t="str">
        <f>IF(V100="","",IF(VLOOKUP(V100,'G-7 Rivers Data'!$AG$4:$AI$9,2,FALSE)=0,"Spatial Data Missing ⚠",VLOOKUP(V100,'G-7 Rivers Data'!$AG$4:$AI$9,2,FALSE)))</f>
        <v/>
      </c>
      <c r="X100" s="499" t="str">
        <f>IF(V100="","",IF(VLOOKUP(V100,'G-7 Rivers Data'!$AG$4:$AI$9,3,FALSE)=0,"Spatial Data Missing ⚠",VLOOKUP(V100,'G-7 Rivers Data'!$AG$4:$AI$9,3,FALSE)))</f>
        <v/>
      </c>
      <c r="Y100" s="498" t="str">
        <f>IFERROR(IF(OR(LEFT(P100,5)="Error ▲",LEFT(O100,5)="Error ▲"),"Check Data ⚠",IF(F100&lt;S100,'G-7 Rivers Data'!$R$3,INDEX('G-7 Rivers Data'!$U$5:$Y$9,MATCH(G100,'G-7 Rivers Data'!$T$5:$T$9,0),MATCH(T100,'G-7 Rivers Data'!$U$4:$Y$4,0)))),"")</f>
        <v/>
      </c>
      <c r="Z100" s="195"/>
      <c r="AA100" s="195"/>
      <c r="AB100" s="507" t="str">
        <f t="shared" si="11"/>
        <v/>
      </c>
      <c r="AC100" s="521" t="str">
        <f t="shared" si="12"/>
        <v/>
      </c>
      <c r="AD100" s="564" t="str">
        <f>IFERROR(IF(AC100="Check Data ⚠","Check Data ⚠",VLOOKUP(AC100,'G-4 Temporal multipliers'!$A$4:$C$37,3,FALSE)),"")</f>
        <v/>
      </c>
      <c r="AE100" s="498" t="str">
        <f>IF(N100="","",VLOOKUP(N100,'G-7 Rivers Data'!$B$4:$G$8,5,FALSE))</f>
        <v/>
      </c>
      <c r="AF100" s="507" t="str">
        <f t="shared" si="13"/>
        <v/>
      </c>
      <c r="AG100" s="540" t="str">
        <f t="shared" si="14"/>
        <v/>
      </c>
      <c r="AH100" s="499" t="str">
        <f t="shared" si="8"/>
        <v/>
      </c>
      <c r="AI100" s="145"/>
      <c r="AJ100" s="499" t="str">
        <f>IF(AI100="","",IF(VLOOKUP(AI100,'G-7 Rivers Data'!$AA$4:$AB$7,2,FALSE)=0,"Spatial Data Missing ⚠",VLOOKUP(AI100,'G-7 Rivers Data'!$AA$4:$AB$7,2,FALSE)))</f>
        <v/>
      </c>
      <c r="AK100" s="155"/>
      <c r="AL100" s="499" t="str">
        <f>IF(AK100="","",IF(VLOOKUP(AK100,'G-7 Rivers Data'!$AD$4:$AE$8,2,FALSE)=0,"Spatial Data Missing ⚠",VLOOKUP(AK100,'G-7 Rivers Data'!$AD$4:$AE$8,2,FALSE)))</f>
        <v/>
      </c>
      <c r="AM100" s="545" t="str">
        <f t="shared" si="15"/>
        <v/>
      </c>
      <c r="AN100" s="149"/>
      <c r="AO100" s="150"/>
      <c r="AV100" s="31" t="str">
        <f>IFERROR(INDEX('G-7 Rivers Data'!$AZ$3:$AZ$7,MATCH(N100,'G-7 Rivers Data'!$AY$3:$AY$7,0)),"")</f>
        <v/>
      </c>
    </row>
    <row r="101" spans="2:48" ht="13.8" x14ac:dyDescent="0.25">
      <c r="B101" s="531" t="str">
        <f>'C-1 Site River Baseline'!AN99</f>
        <v/>
      </c>
      <c r="C101" s="520" t="str">
        <f>IF(B101="","",VLOOKUP($B101,'C-1 Site River Baseline'!$C$9:$R$257,2,FALSE))</f>
        <v/>
      </c>
      <c r="D101" s="520" t="str">
        <f>IF(C101="","",VLOOKUP($B101,'C-1 Site River Baseline'!$C$9:$R$257,3,FALSE))</f>
        <v/>
      </c>
      <c r="E101" s="520" t="str">
        <f>IF(D101="","",VLOOKUP($B101,'C-1 Site River Baseline'!$C$9:$R$257,4,FALSE))</f>
        <v/>
      </c>
      <c r="F101" s="520" t="str">
        <f>IF(E101="","",VLOOKUP($B101,'C-1 Site River Baseline'!$C$9:$R$257,5,FALSE))</f>
        <v/>
      </c>
      <c r="G101" s="520" t="str">
        <f>IF(F101="","",VLOOKUP($B101,'C-1 Site River Baseline'!$C$9:$R$257,6,FALSE))</f>
        <v/>
      </c>
      <c r="H101" s="520" t="str">
        <f>IF(G101="","",VLOOKUP($B101,'C-1 Site River Baseline'!$C$9:$R$257,7,FALSE))</f>
        <v/>
      </c>
      <c r="I101" s="520" t="str">
        <f>IF(H101="","",VLOOKUP($B101,'C-1 Site River Baseline'!$C$9:$R$257,8,FALSE))</f>
        <v/>
      </c>
      <c r="J101" s="520" t="str">
        <f>IF(I101="","",VLOOKUP($B101,'C-1 Site River Baseline'!$C$9:$R$257,9,FALSE))</f>
        <v/>
      </c>
      <c r="K101" s="520" t="str">
        <f>IF(J101="","",VLOOKUP($B101,'C-1 Site River Baseline'!$C$9:$R$257,10,FALSE))</f>
        <v/>
      </c>
      <c r="L101" s="520" t="str">
        <f>IF(B101="","",VLOOKUP($B101,'C-1 Site River Baseline'!$C$9:$R$257,15,FALSE))</f>
        <v/>
      </c>
      <c r="M101" s="524" t="str">
        <f>IF(L101="","",VLOOKUP($B101,'C-1 Site River Baseline'!$C$9:$R$257,16,FALSE))</f>
        <v/>
      </c>
      <c r="N101" s="418" t="str">
        <f t="shared" si="9"/>
        <v/>
      </c>
      <c r="O101" s="498" t="str">
        <f t="shared" si="10"/>
        <v/>
      </c>
      <c r="P101" s="499"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7" t="str">
        <f>IF(N101="","",VLOOKUP(B101,'C-1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07" t="str">
        <f>IF(V101="","",IF(VLOOKUP(V101,'G-7 Rivers Data'!$AG$4:$AI$9,2,FALSE)=0,"Spatial Data Missing ⚠",VLOOKUP(V101,'G-7 Rivers Data'!$AG$4:$AI$9,2,FALSE)))</f>
        <v/>
      </c>
      <c r="X101" s="499" t="str">
        <f>IF(V101="","",IF(VLOOKUP(V101,'G-7 Rivers Data'!$AG$4:$AI$9,3,FALSE)=0,"Spatial Data Missing ⚠",VLOOKUP(V101,'G-7 Rivers Data'!$AG$4:$AI$9,3,FALSE)))</f>
        <v/>
      </c>
      <c r="Y101" s="498" t="str">
        <f>IFERROR(IF(OR(LEFT(P101,5)="Error ▲",LEFT(O101,5)="Error ▲"),"Check Data ⚠",IF(F101&lt;S101,'G-7 Rivers Data'!$R$3,INDEX('G-7 Rivers Data'!$U$5:$Y$9,MATCH(G101,'G-7 Rivers Data'!$T$5:$T$9,0),MATCH(T101,'G-7 Rivers Data'!$U$4:$Y$4,0)))),"")</f>
        <v/>
      </c>
      <c r="Z101" s="195"/>
      <c r="AA101" s="195"/>
      <c r="AB101" s="507" t="str">
        <f t="shared" si="11"/>
        <v/>
      </c>
      <c r="AC101" s="521" t="str">
        <f t="shared" si="12"/>
        <v/>
      </c>
      <c r="AD101" s="564" t="str">
        <f>IFERROR(IF(AC101="Check Data ⚠","Check Data ⚠",VLOOKUP(AC101,'G-4 Temporal multipliers'!$A$4:$C$37,3,FALSE)),"")</f>
        <v/>
      </c>
      <c r="AE101" s="498" t="str">
        <f>IF(N101="","",VLOOKUP(N101,'G-7 Rivers Data'!$B$4:$G$8,5,FALSE))</f>
        <v/>
      </c>
      <c r="AF101" s="507" t="str">
        <f t="shared" si="13"/>
        <v/>
      </c>
      <c r="AG101" s="540" t="str">
        <f t="shared" si="14"/>
        <v/>
      </c>
      <c r="AH101" s="499" t="str">
        <f t="shared" si="8"/>
        <v/>
      </c>
      <c r="AI101" s="145"/>
      <c r="AJ101" s="499" t="str">
        <f>IF(AI101="","",IF(VLOOKUP(AI101,'G-7 Rivers Data'!$AA$4:$AB$7,2,FALSE)=0,"Spatial Data Missing ⚠",VLOOKUP(AI101,'G-7 Rivers Data'!$AA$4:$AB$7,2,FALSE)))</f>
        <v/>
      </c>
      <c r="AK101" s="155"/>
      <c r="AL101" s="499" t="str">
        <f>IF(AK101="","",IF(VLOOKUP(AK101,'G-7 Rivers Data'!$AD$4:$AE$8,2,FALSE)=0,"Spatial Data Missing ⚠",VLOOKUP(AK101,'G-7 Rivers Data'!$AD$4:$AE$8,2,FALSE)))</f>
        <v/>
      </c>
      <c r="AM101" s="545" t="str">
        <f t="shared" si="15"/>
        <v/>
      </c>
      <c r="AN101" s="149"/>
      <c r="AO101" s="150"/>
      <c r="AV101" s="31" t="str">
        <f>IFERROR(INDEX('G-7 Rivers Data'!$AZ$3:$AZ$7,MATCH(N101,'G-7 Rivers Data'!$AY$3:$AY$7,0)),"")</f>
        <v/>
      </c>
    </row>
    <row r="102" spans="2:48" ht="13.8" x14ac:dyDescent="0.25">
      <c r="B102" s="531" t="str">
        <f>'C-1 Site River Baseline'!AN100</f>
        <v/>
      </c>
      <c r="C102" s="520" t="str">
        <f>IF(B102="","",VLOOKUP($B102,'C-1 Site River Baseline'!$C$9:$R$257,2,FALSE))</f>
        <v/>
      </c>
      <c r="D102" s="520" t="str">
        <f>IF(C102="","",VLOOKUP($B102,'C-1 Site River Baseline'!$C$9:$R$257,3,FALSE))</f>
        <v/>
      </c>
      <c r="E102" s="520" t="str">
        <f>IF(D102="","",VLOOKUP($B102,'C-1 Site River Baseline'!$C$9:$R$257,4,FALSE))</f>
        <v/>
      </c>
      <c r="F102" s="520" t="str">
        <f>IF(E102="","",VLOOKUP($B102,'C-1 Site River Baseline'!$C$9:$R$257,5,FALSE))</f>
        <v/>
      </c>
      <c r="G102" s="520" t="str">
        <f>IF(F102="","",VLOOKUP($B102,'C-1 Site River Baseline'!$C$9:$R$257,6,FALSE))</f>
        <v/>
      </c>
      <c r="H102" s="520" t="str">
        <f>IF(G102="","",VLOOKUP($B102,'C-1 Site River Baseline'!$C$9:$R$257,7,FALSE))</f>
        <v/>
      </c>
      <c r="I102" s="520" t="str">
        <f>IF(H102="","",VLOOKUP($B102,'C-1 Site River Baseline'!$C$9:$R$257,8,FALSE))</f>
        <v/>
      </c>
      <c r="J102" s="520" t="str">
        <f>IF(I102="","",VLOOKUP($B102,'C-1 Site River Baseline'!$C$9:$R$257,9,FALSE))</f>
        <v/>
      </c>
      <c r="K102" s="520" t="str">
        <f>IF(J102="","",VLOOKUP($B102,'C-1 Site River Baseline'!$C$9:$R$257,10,FALSE))</f>
        <v/>
      </c>
      <c r="L102" s="520" t="str">
        <f>IF(B102="","",VLOOKUP($B102,'C-1 Site River Baseline'!$C$9:$R$257,15,FALSE))</f>
        <v/>
      </c>
      <c r="M102" s="524" t="str">
        <f>IF(L102="","",VLOOKUP($B102,'C-1 Site River Baseline'!$C$9:$R$257,16,FALSE))</f>
        <v/>
      </c>
      <c r="N102" s="418" t="str">
        <f t="shared" si="9"/>
        <v/>
      </c>
      <c r="O102" s="498" t="str">
        <f t="shared" si="10"/>
        <v/>
      </c>
      <c r="P102" s="499"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7" t="str">
        <f>IF(N102="","",VLOOKUP(B102,'C-1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07" t="str">
        <f>IF(V102="","",IF(VLOOKUP(V102,'G-7 Rivers Data'!$AG$4:$AI$9,2,FALSE)=0,"Spatial Data Missing ⚠",VLOOKUP(V102,'G-7 Rivers Data'!$AG$4:$AI$9,2,FALSE)))</f>
        <v/>
      </c>
      <c r="X102" s="499" t="str">
        <f>IF(V102="","",IF(VLOOKUP(V102,'G-7 Rivers Data'!$AG$4:$AI$9,3,FALSE)=0,"Spatial Data Missing ⚠",VLOOKUP(V102,'G-7 Rivers Data'!$AG$4:$AI$9,3,FALSE)))</f>
        <v/>
      </c>
      <c r="Y102" s="498" t="str">
        <f>IFERROR(IF(OR(LEFT(P102,5)="Error ▲",LEFT(O102,5)="Error ▲"),"Check Data ⚠",IF(F102&lt;S102,'G-7 Rivers Data'!$R$3,INDEX('G-7 Rivers Data'!$U$5:$Y$9,MATCH(G102,'G-7 Rivers Data'!$T$5:$T$9,0),MATCH(T102,'G-7 Rivers Data'!$U$4:$Y$4,0)))),"")</f>
        <v/>
      </c>
      <c r="Z102" s="195"/>
      <c r="AA102" s="195"/>
      <c r="AB102" s="507" t="str">
        <f t="shared" si="11"/>
        <v/>
      </c>
      <c r="AC102" s="521" t="str">
        <f t="shared" si="12"/>
        <v/>
      </c>
      <c r="AD102" s="564" t="str">
        <f>IFERROR(IF(AC102="Check Data ⚠","Check Data ⚠",VLOOKUP(AC102,'G-4 Temporal multipliers'!$A$4:$C$37,3,FALSE)),"")</f>
        <v/>
      </c>
      <c r="AE102" s="498" t="str">
        <f>IF(N102="","",VLOOKUP(N102,'G-7 Rivers Data'!$B$4:$G$8,5,FALSE))</f>
        <v/>
      </c>
      <c r="AF102" s="507" t="str">
        <f t="shared" si="13"/>
        <v/>
      </c>
      <c r="AG102" s="540" t="str">
        <f t="shared" si="14"/>
        <v/>
      </c>
      <c r="AH102" s="499" t="str">
        <f t="shared" si="8"/>
        <v/>
      </c>
      <c r="AI102" s="145"/>
      <c r="AJ102" s="499" t="str">
        <f>IF(AI102="","",IF(VLOOKUP(AI102,'G-7 Rivers Data'!$AA$4:$AB$7,2,FALSE)=0,"Spatial Data Missing ⚠",VLOOKUP(AI102,'G-7 Rivers Data'!$AA$4:$AB$7,2,FALSE)))</f>
        <v/>
      </c>
      <c r="AK102" s="155"/>
      <c r="AL102" s="499" t="str">
        <f>IF(AK102="","",IF(VLOOKUP(AK102,'G-7 Rivers Data'!$AD$4:$AE$8,2,FALSE)=0,"Spatial Data Missing ⚠",VLOOKUP(AK102,'G-7 Rivers Data'!$AD$4:$AE$8,2,FALSE)))</f>
        <v/>
      </c>
      <c r="AM102" s="545" t="str">
        <f t="shared" si="15"/>
        <v/>
      </c>
      <c r="AN102" s="149"/>
      <c r="AO102" s="150"/>
      <c r="AV102" s="31" t="str">
        <f>IFERROR(INDEX('G-7 Rivers Data'!$AZ$3:$AZ$7,MATCH(N102,'G-7 Rivers Data'!$AY$3:$AY$7,0)),"")</f>
        <v/>
      </c>
    </row>
    <row r="103" spans="2:48" ht="13.8" x14ac:dyDescent="0.25">
      <c r="B103" s="531" t="str">
        <f>'C-1 Site River Baseline'!AN101</f>
        <v/>
      </c>
      <c r="C103" s="520" t="str">
        <f>IF(B103="","",VLOOKUP($B103,'C-1 Site River Baseline'!$C$9:$R$257,2,FALSE))</f>
        <v/>
      </c>
      <c r="D103" s="520" t="str">
        <f>IF(C103="","",VLOOKUP($B103,'C-1 Site River Baseline'!$C$9:$R$257,3,FALSE))</f>
        <v/>
      </c>
      <c r="E103" s="520" t="str">
        <f>IF(D103="","",VLOOKUP($B103,'C-1 Site River Baseline'!$C$9:$R$257,4,FALSE))</f>
        <v/>
      </c>
      <c r="F103" s="520" t="str">
        <f>IF(E103="","",VLOOKUP($B103,'C-1 Site River Baseline'!$C$9:$R$257,5,FALSE))</f>
        <v/>
      </c>
      <c r="G103" s="520" t="str">
        <f>IF(F103="","",VLOOKUP($B103,'C-1 Site River Baseline'!$C$9:$R$257,6,FALSE))</f>
        <v/>
      </c>
      <c r="H103" s="520" t="str">
        <f>IF(G103="","",VLOOKUP($B103,'C-1 Site River Baseline'!$C$9:$R$257,7,FALSE))</f>
        <v/>
      </c>
      <c r="I103" s="520" t="str">
        <f>IF(H103="","",VLOOKUP($B103,'C-1 Site River Baseline'!$C$9:$R$257,8,FALSE))</f>
        <v/>
      </c>
      <c r="J103" s="520" t="str">
        <f>IF(I103="","",VLOOKUP($B103,'C-1 Site River Baseline'!$C$9:$R$257,9,FALSE))</f>
        <v/>
      </c>
      <c r="K103" s="520" t="str">
        <f>IF(J103="","",VLOOKUP($B103,'C-1 Site River Baseline'!$C$9:$R$257,10,FALSE))</f>
        <v/>
      </c>
      <c r="L103" s="520" t="str">
        <f>IF(B103="","",VLOOKUP($B103,'C-1 Site River Baseline'!$C$9:$R$257,15,FALSE))</f>
        <v/>
      </c>
      <c r="M103" s="524" t="str">
        <f>IF(L103="","",VLOOKUP($B103,'C-1 Site River Baseline'!$C$9:$R$257,16,FALSE))</f>
        <v/>
      </c>
      <c r="N103" s="418" t="str">
        <f t="shared" si="9"/>
        <v/>
      </c>
      <c r="O103" s="498" t="str">
        <f t="shared" si="10"/>
        <v/>
      </c>
      <c r="P103" s="499"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7" t="str">
        <f>IF(N103="","",VLOOKUP(B103,'C-1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07" t="str">
        <f>IF(V103="","",IF(VLOOKUP(V103,'G-7 Rivers Data'!$AG$4:$AI$9,2,FALSE)=0,"Spatial Data Missing ⚠",VLOOKUP(V103,'G-7 Rivers Data'!$AG$4:$AI$9,2,FALSE)))</f>
        <v/>
      </c>
      <c r="X103" s="499" t="str">
        <f>IF(V103="","",IF(VLOOKUP(V103,'G-7 Rivers Data'!$AG$4:$AI$9,3,FALSE)=0,"Spatial Data Missing ⚠",VLOOKUP(V103,'G-7 Rivers Data'!$AG$4:$AI$9,3,FALSE)))</f>
        <v/>
      </c>
      <c r="Y103" s="498" t="str">
        <f>IFERROR(IF(OR(LEFT(P103,5)="Error ▲",LEFT(O103,5)="Error ▲"),"Check Data ⚠",IF(F103&lt;S103,'G-7 Rivers Data'!$R$3,INDEX('G-7 Rivers Data'!$U$5:$Y$9,MATCH(G103,'G-7 Rivers Data'!$T$5:$T$9,0),MATCH(T103,'G-7 Rivers Data'!$U$4:$Y$4,0)))),"")</f>
        <v/>
      </c>
      <c r="Z103" s="195"/>
      <c r="AA103" s="195"/>
      <c r="AB103" s="507" t="str">
        <f t="shared" si="11"/>
        <v/>
      </c>
      <c r="AC103" s="521" t="str">
        <f t="shared" si="12"/>
        <v/>
      </c>
      <c r="AD103" s="564" t="str">
        <f>IFERROR(IF(AC103="Check Data ⚠","Check Data ⚠",VLOOKUP(AC103,'G-4 Temporal multipliers'!$A$4:$C$37,3,FALSE)),"")</f>
        <v/>
      </c>
      <c r="AE103" s="498" t="str">
        <f>IF(N103="","",VLOOKUP(N103,'G-7 Rivers Data'!$B$4:$G$8,5,FALSE))</f>
        <v/>
      </c>
      <c r="AF103" s="507" t="str">
        <f t="shared" si="13"/>
        <v/>
      </c>
      <c r="AG103" s="540" t="str">
        <f t="shared" si="14"/>
        <v/>
      </c>
      <c r="AH103" s="499" t="str">
        <f t="shared" si="8"/>
        <v/>
      </c>
      <c r="AI103" s="145"/>
      <c r="AJ103" s="499" t="str">
        <f>IF(AI103="","",IF(VLOOKUP(AI103,'G-7 Rivers Data'!$AA$4:$AB$7,2,FALSE)=0,"Spatial Data Missing ⚠",VLOOKUP(AI103,'G-7 Rivers Data'!$AA$4:$AB$7,2,FALSE)))</f>
        <v/>
      </c>
      <c r="AK103" s="155"/>
      <c r="AL103" s="499" t="str">
        <f>IF(AK103="","",IF(VLOOKUP(AK103,'G-7 Rivers Data'!$AD$4:$AE$8,2,FALSE)=0,"Spatial Data Missing ⚠",VLOOKUP(AK103,'G-7 Rivers Data'!$AD$4:$AE$8,2,FALSE)))</f>
        <v/>
      </c>
      <c r="AM103" s="545" t="str">
        <f t="shared" si="15"/>
        <v/>
      </c>
      <c r="AN103" s="149"/>
      <c r="AO103" s="150"/>
      <c r="AV103" s="31" t="str">
        <f>IFERROR(INDEX('G-7 Rivers Data'!$AZ$3:$AZ$7,MATCH(N103,'G-7 Rivers Data'!$AY$3:$AY$7,0)),"")</f>
        <v/>
      </c>
    </row>
    <row r="104" spans="2:48" ht="13.8" x14ac:dyDescent="0.25">
      <c r="B104" s="531" t="str">
        <f>'C-1 Site River Baseline'!AN102</f>
        <v/>
      </c>
      <c r="C104" s="520" t="str">
        <f>IF(B104="","",VLOOKUP($B104,'C-1 Site River Baseline'!$C$9:$R$257,2,FALSE))</f>
        <v/>
      </c>
      <c r="D104" s="520" t="str">
        <f>IF(C104="","",VLOOKUP($B104,'C-1 Site River Baseline'!$C$9:$R$257,3,FALSE))</f>
        <v/>
      </c>
      <c r="E104" s="520" t="str">
        <f>IF(D104="","",VLOOKUP($B104,'C-1 Site River Baseline'!$C$9:$R$257,4,FALSE))</f>
        <v/>
      </c>
      <c r="F104" s="520" t="str">
        <f>IF(E104="","",VLOOKUP($B104,'C-1 Site River Baseline'!$C$9:$R$257,5,FALSE))</f>
        <v/>
      </c>
      <c r="G104" s="520" t="str">
        <f>IF(F104="","",VLOOKUP($B104,'C-1 Site River Baseline'!$C$9:$R$257,6,FALSE))</f>
        <v/>
      </c>
      <c r="H104" s="520" t="str">
        <f>IF(G104="","",VLOOKUP($B104,'C-1 Site River Baseline'!$C$9:$R$257,7,FALSE))</f>
        <v/>
      </c>
      <c r="I104" s="520" t="str">
        <f>IF(H104="","",VLOOKUP($B104,'C-1 Site River Baseline'!$C$9:$R$257,8,FALSE))</f>
        <v/>
      </c>
      <c r="J104" s="520" t="str">
        <f>IF(I104="","",VLOOKUP($B104,'C-1 Site River Baseline'!$C$9:$R$257,9,FALSE))</f>
        <v/>
      </c>
      <c r="K104" s="520" t="str">
        <f>IF(J104="","",VLOOKUP($B104,'C-1 Site River Baseline'!$C$9:$R$257,10,FALSE))</f>
        <v/>
      </c>
      <c r="L104" s="520" t="str">
        <f>IF(B104="","",VLOOKUP($B104,'C-1 Site River Baseline'!$C$9:$R$257,15,FALSE))</f>
        <v/>
      </c>
      <c r="M104" s="524" t="str">
        <f>IF(L104="","",VLOOKUP($B104,'C-1 Site River Baseline'!$C$9:$R$257,16,FALSE))</f>
        <v/>
      </c>
      <c r="N104" s="418" t="str">
        <f t="shared" si="9"/>
        <v/>
      </c>
      <c r="O104" s="498" t="str">
        <f t="shared" si="10"/>
        <v/>
      </c>
      <c r="P104" s="499"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7" t="str">
        <f>IF(N104="","",VLOOKUP(B104,'C-1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07" t="str">
        <f>IF(V104="","",IF(VLOOKUP(V104,'G-7 Rivers Data'!$AG$4:$AI$9,2,FALSE)=0,"Spatial Data Missing ⚠",VLOOKUP(V104,'G-7 Rivers Data'!$AG$4:$AI$9,2,FALSE)))</f>
        <v/>
      </c>
      <c r="X104" s="499" t="str">
        <f>IF(V104="","",IF(VLOOKUP(V104,'G-7 Rivers Data'!$AG$4:$AI$9,3,FALSE)=0,"Spatial Data Missing ⚠",VLOOKUP(V104,'G-7 Rivers Data'!$AG$4:$AI$9,3,FALSE)))</f>
        <v/>
      </c>
      <c r="Y104" s="498" t="str">
        <f>IFERROR(IF(OR(LEFT(P104,5)="Error ▲",LEFT(O104,5)="Error ▲"),"Check Data ⚠",IF(F104&lt;S104,'G-7 Rivers Data'!$R$3,INDEX('G-7 Rivers Data'!$U$5:$Y$9,MATCH(G104,'G-7 Rivers Data'!$T$5:$T$9,0),MATCH(T104,'G-7 Rivers Data'!$U$4:$Y$4,0)))),"")</f>
        <v/>
      </c>
      <c r="Z104" s="195"/>
      <c r="AA104" s="195"/>
      <c r="AB104" s="507" t="str">
        <f t="shared" si="11"/>
        <v/>
      </c>
      <c r="AC104" s="521" t="str">
        <f t="shared" si="12"/>
        <v/>
      </c>
      <c r="AD104" s="564" t="str">
        <f>IFERROR(IF(AC104="Check Data ⚠","Check Data ⚠",VLOOKUP(AC104,'G-4 Temporal multipliers'!$A$4:$C$37,3,FALSE)),"")</f>
        <v/>
      </c>
      <c r="AE104" s="498" t="str">
        <f>IF(N104="","",VLOOKUP(N104,'G-7 Rivers Data'!$B$4:$G$8,5,FALSE))</f>
        <v/>
      </c>
      <c r="AF104" s="507" t="str">
        <f t="shared" si="13"/>
        <v/>
      </c>
      <c r="AG104" s="540" t="str">
        <f t="shared" si="14"/>
        <v/>
      </c>
      <c r="AH104" s="499" t="str">
        <f t="shared" si="8"/>
        <v/>
      </c>
      <c r="AI104" s="145"/>
      <c r="AJ104" s="499" t="str">
        <f>IF(AI104="","",IF(VLOOKUP(AI104,'G-7 Rivers Data'!$AA$4:$AB$7,2,FALSE)=0,"Spatial Data Missing ⚠",VLOOKUP(AI104,'G-7 Rivers Data'!$AA$4:$AB$7,2,FALSE)))</f>
        <v/>
      </c>
      <c r="AK104" s="155"/>
      <c r="AL104" s="499" t="str">
        <f>IF(AK104="","",IF(VLOOKUP(AK104,'G-7 Rivers Data'!$AD$4:$AE$8,2,FALSE)=0,"Spatial Data Missing ⚠",VLOOKUP(AK104,'G-7 Rivers Data'!$AD$4:$AE$8,2,FALSE)))</f>
        <v/>
      </c>
      <c r="AM104" s="545" t="str">
        <f t="shared" si="15"/>
        <v/>
      </c>
      <c r="AN104" s="149"/>
      <c r="AO104" s="150"/>
      <c r="AV104" s="31" t="str">
        <f>IFERROR(INDEX('G-7 Rivers Data'!$AZ$3:$AZ$7,MATCH(N104,'G-7 Rivers Data'!$AY$3:$AY$7,0)),"")</f>
        <v/>
      </c>
    </row>
    <row r="105" spans="2:48" ht="13.8" x14ac:dyDescent="0.25">
      <c r="B105" s="531" t="str">
        <f>'C-1 Site River Baseline'!AN103</f>
        <v/>
      </c>
      <c r="C105" s="520" t="str">
        <f>IF(B105="","",VLOOKUP($B105,'C-1 Site River Baseline'!$C$9:$R$257,2,FALSE))</f>
        <v/>
      </c>
      <c r="D105" s="520" t="str">
        <f>IF(C105="","",VLOOKUP($B105,'C-1 Site River Baseline'!$C$9:$R$257,3,FALSE))</f>
        <v/>
      </c>
      <c r="E105" s="520" t="str">
        <f>IF(D105="","",VLOOKUP($B105,'C-1 Site River Baseline'!$C$9:$R$257,4,FALSE))</f>
        <v/>
      </c>
      <c r="F105" s="520" t="str">
        <f>IF(E105="","",VLOOKUP($B105,'C-1 Site River Baseline'!$C$9:$R$257,5,FALSE))</f>
        <v/>
      </c>
      <c r="G105" s="520" t="str">
        <f>IF(F105="","",VLOOKUP($B105,'C-1 Site River Baseline'!$C$9:$R$257,6,FALSE))</f>
        <v/>
      </c>
      <c r="H105" s="520" t="str">
        <f>IF(G105="","",VLOOKUP($B105,'C-1 Site River Baseline'!$C$9:$R$257,7,FALSE))</f>
        <v/>
      </c>
      <c r="I105" s="520" t="str">
        <f>IF(H105="","",VLOOKUP($B105,'C-1 Site River Baseline'!$C$9:$R$257,8,FALSE))</f>
        <v/>
      </c>
      <c r="J105" s="520" t="str">
        <f>IF(I105="","",VLOOKUP($B105,'C-1 Site River Baseline'!$C$9:$R$257,9,FALSE))</f>
        <v/>
      </c>
      <c r="K105" s="520" t="str">
        <f>IF(J105="","",VLOOKUP($B105,'C-1 Site River Baseline'!$C$9:$R$257,10,FALSE))</f>
        <v/>
      </c>
      <c r="L105" s="520" t="str">
        <f>IF(B105="","",VLOOKUP($B105,'C-1 Site River Baseline'!$C$9:$R$257,15,FALSE))</f>
        <v/>
      </c>
      <c r="M105" s="524" t="str">
        <f>IF(L105="","",VLOOKUP($B105,'C-1 Site River Baseline'!$C$9:$R$257,16,FALSE))</f>
        <v/>
      </c>
      <c r="N105" s="418" t="str">
        <f t="shared" si="9"/>
        <v/>
      </c>
      <c r="O105" s="498" t="str">
        <f t="shared" si="10"/>
        <v/>
      </c>
      <c r="P105" s="499"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7" t="str">
        <f>IF(N105="","",VLOOKUP(B105,'C-1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07" t="str">
        <f>IF(V105="","",IF(VLOOKUP(V105,'G-7 Rivers Data'!$AG$4:$AI$9,2,FALSE)=0,"Spatial Data Missing ⚠",VLOOKUP(V105,'G-7 Rivers Data'!$AG$4:$AI$9,2,FALSE)))</f>
        <v/>
      </c>
      <c r="X105" s="499" t="str">
        <f>IF(V105="","",IF(VLOOKUP(V105,'G-7 Rivers Data'!$AG$4:$AI$9,3,FALSE)=0,"Spatial Data Missing ⚠",VLOOKUP(V105,'G-7 Rivers Data'!$AG$4:$AI$9,3,FALSE)))</f>
        <v/>
      </c>
      <c r="Y105" s="498" t="str">
        <f>IFERROR(IF(OR(LEFT(P105,5)="Error ▲",LEFT(O105,5)="Error ▲"),"Check Data ⚠",IF(F105&lt;S105,'G-7 Rivers Data'!$R$3,INDEX('G-7 Rivers Data'!$U$5:$Y$9,MATCH(G105,'G-7 Rivers Data'!$T$5:$T$9,0),MATCH(T105,'G-7 Rivers Data'!$U$4:$Y$4,0)))),"")</f>
        <v/>
      </c>
      <c r="Z105" s="195"/>
      <c r="AA105" s="195"/>
      <c r="AB105" s="507" t="str">
        <f t="shared" si="11"/>
        <v/>
      </c>
      <c r="AC105" s="521" t="str">
        <f t="shared" si="12"/>
        <v/>
      </c>
      <c r="AD105" s="564" t="str">
        <f>IFERROR(IF(AC105="Check Data ⚠","Check Data ⚠",VLOOKUP(AC105,'G-4 Temporal multipliers'!$A$4:$C$37,3,FALSE)),"")</f>
        <v/>
      </c>
      <c r="AE105" s="498" t="str">
        <f>IF(N105="","",VLOOKUP(N105,'G-7 Rivers Data'!$B$4:$G$8,5,FALSE))</f>
        <v/>
      </c>
      <c r="AF105" s="507" t="str">
        <f t="shared" si="13"/>
        <v/>
      </c>
      <c r="AG105" s="540" t="str">
        <f t="shared" si="14"/>
        <v/>
      </c>
      <c r="AH105" s="499" t="str">
        <f t="shared" si="8"/>
        <v/>
      </c>
      <c r="AI105" s="145"/>
      <c r="AJ105" s="499" t="str">
        <f>IF(AI105="","",IF(VLOOKUP(AI105,'G-7 Rivers Data'!$AA$4:$AB$7,2,FALSE)=0,"Spatial Data Missing ⚠",VLOOKUP(AI105,'G-7 Rivers Data'!$AA$4:$AB$7,2,FALSE)))</f>
        <v/>
      </c>
      <c r="AK105" s="155"/>
      <c r="AL105" s="499" t="str">
        <f>IF(AK105="","",IF(VLOOKUP(AK105,'G-7 Rivers Data'!$AD$4:$AE$8,2,FALSE)=0,"Spatial Data Missing ⚠",VLOOKUP(AK105,'G-7 Rivers Data'!$AD$4:$AE$8,2,FALSE)))</f>
        <v/>
      </c>
      <c r="AM105" s="545" t="str">
        <f t="shared" si="15"/>
        <v/>
      </c>
      <c r="AN105" s="149"/>
      <c r="AO105" s="150"/>
      <c r="AV105" s="31" t="str">
        <f>IFERROR(INDEX('G-7 Rivers Data'!$AZ$3:$AZ$7,MATCH(N105,'G-7 Rivers Data'!$AY$3:$AY$7,0)),"")</f>
        <v/>
      </c>
    </row>
    <row r="106" spans="2:48" ht="13.8" x14ac:dyDescent="0.25">
      <c r="B106" s="531" t="str">
        <f>'C-1 Site River Baseline'!AN104</f>
        <v/>
      </c>
      <c r="C106" s="520" t="str">
        <f>IF(B106="","",VLOOKUP($B106,'C-1 Site River Baseline'!$C$9:$R$257,2,FALSE))</f>
        <v/>
      </c>
      <c r="D106" s="520" t="str">
        <f>IF(C106="","",VLOOKUP($B106,'C-1 Site River Baseline'!$C$9:$R$257,3,FALSE))</f>
        <v/>
      </c>
      <c r="E106" s="520" t="str">
        <f>IF(D106="","",VLOOKUP($B106,'C-1 Site River Baseline'!$C$9:$R$257,4,FALSE))</f>
        <v/>
      </c>
      <c r="F106" s="520" t="str">
        <f>IF(E106="","",VLOOKUP($B106,'C-1 Site River Baseline'!$C$9:$R$257,5,FALSE))</f>
        <v/>
      </c>
      <c r="G106" s="520" t="str">
        <f>IF(F106="","",VLOOKUP($B106,'C-1 Site River Baseline'!$C$9:$R$257,6,FALSE))</f>
        <v/>
      </c>
      <c r="H106" s="520" t="str">
        <f>IF(G106="","",VLOOKUP($B106,'C-1 Site River Baseline'!$C$9:$R$257,7,FALSE))</f>
        <v/>
      </c>
      <c r="I106" s="520" t="str">
        <f>IF(H106="","",VLOOKUP($B106,'C-1 Site River Baseline'!$C$9:$R$257,8,FALSE))</f>
        <v/>
      </c>
      <c r="J106" s="520" t="str">
        <f>IF(I106="","",VLOOKUP($B106,'C-1 Site River Baseline'!$C$9:$R$257,9,FALSE))</f>
        <v/>
      </c>
      <c r="K106" s="520" t="str">
        <f>IF(J106="","",VLOOKUP($B106,'C-1 Site River Baseline'!$C$9:$R$257,10,FALSE))</f>
        <v/>
      </c>
      <c r="L106" s="520" t="str">
        <f>IF(B106="","",VLOOKUP($B106,'C-1 Site River Baseline'!$C$9:$R$257,15,FALSE))</f>
        <v/>
      </c>
      <c r="M106" s="524" t="str">
        <f>IF(L106="","",VLOOKUP($B106,'C-1 Site River Baseline'!$C$9:$R$257,16,FALSE))</f>
        <v/>
      </c>
      <c r="N106" s="418" t="str">
        <f t="shared" si="9"/>
        <v/>
      </c>
      <c r="O106" s="498" t="str">
        <f t="shared" si="10"/>
        <v/>
      </c>
      <c r="P106" s="499"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7" t="str">
        <f>IF(N106="","",VLOOKUP(B106,'C-1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07" t="str">
        <f>IF(V106="","",IF(VLOOKUP(V106,'G-7 Rivers Data'!$AG$4:$AI$9,2,FALSE)=0,"Spatial Data Missing ⚠",VLOOKUP(V106,'G-7 Rivers Data'!$AG$4:$AI$9,2,FALSE)))</f>
        <v/>
      </c>
      <c r="X106" s="499" t="str">
        <f>IF(V106="","",IF(VLOOKUP(V106,'G-7 Rivers Data'!$AG$4:$AI$9,3,FALSE)=0,"Spatial Data Missing ⚠",VLOOKUP(V106,'G-7 Rivers Data'!$AG$4:$AI$9,3,FALSE)))</f>
        <v/>
      </c>
      <c r="Y106" s="498" t="str">
        <f>IFERROR(IF(OR(LEFT(P106,5)="Error ▲",LEFT(O106,5)="Error ▲"),"Check Data ⚠",IF(F106&lt;S106,'G-7 Rivers Data'!$R$3,INDEX('G-7 Rivers Data'!$U$5:$Y$9,MATCH(G106,'G-7 Rivers Data'!$T$5:$T$9,0),MATCH(T106,'G-7 Rivers Data'!$U$4:$Y$4,0)))),"")</f>
        <v/>
      </c>
      <c r="Z106" s="195"/>
      <c r="AA106" s="195"/>
      <c r="AB106" s="507" t="str">
        <f t="shared" si="11"/>
        <v/>
      </c>
      <c r="AC106" s="521" t="str">
        <f t="shared" si="12"/>
        <v/>
      </c>
      <c r="AD106" s="564" t="str">
        <f>IFERROR(IF(AC106="Check Data ⚠","Check Data ⚠",VLOOKUP(AC106,'G-4 Temporal multipliers'!$A$4:$C$37,3,FALSE)),"")</f>
        <v/>
      </c>
      <c r="AE106" s="498" t="str">
        <f>IF(N106="","",VLOOKUP(N106,'G-7 Rivers Data'!$B$4:$G$8,5,FALSE))</f>
        <v/>
      </c>
      <c r="AF106" s="507" t="str">
        <f t="shared" si="13"/>
        <v/>
      </c>
      <c r="AG106" s="540" t="str">
        <f t="shared" si="14"/>
        <v/>
      </c>
      <c r="AH106" s="499" t="str">
        <f t="shared" si="8"/>
        <v/>
      </c>
      <c r="AI106" s="145"/>
      <c r="AJ106" s="499" t="str">
        <f>IF(AI106="","",IF(VLOOKUP(AI106,'G-7 Rivers Data'!$AA$4:$AB$7,2,FALSE)=0,"Spatial Data Missing ⚠",VLOOKUP(AI106,'G-7 Rivers Data'!$AA$4:$AB$7,2,FALSE)))</f>
        <v/>
      </c>
      <c r="AK106" s="155"/>
      <c r="AL106" s="499" t="str">
        <f>IF(AK106="","",IF(VLOOKUP(AK106,'G-7 Rivers Data'!$AD$4:$AE$8,2,FALSE)=0,"Spatial Data Missing ⚠",VLOOKUP(AK106,'G-7 Rivers Data'!$AD$4:$AE$8,2,FALSE)))</f>
        <v/>
      </c>
      <c r="AM106" s="545" t="str">
        <f t="shared" si="15"/>
        <v/>
      </c>
      <c r="AN106" s="149"/>
      <c r="AO106" s="150"/>
      <c r="AV106" s="31" t="str">
        <f>IFERROR(INDEX('G-7 Rivers Data'!$AZ$3:$AZ$7,MATCH(N106,'G-7 Rivers Data'!$AY$3:$AY$7,0)),"")</f>
        <v/>
      </c>
    </row>
    <row r="107" spans="2:48" ht="13.8" x14ac:dyDescent="0.25">
      <c r="B107" s="531" t="str">
        <f>'C-1 Site River Baseline'!AN105</f>
        <v/>
      </c>
      <c r="C107" s="520" t="str">
        <f>IF(B107="","",VLOOKUP($B107,'C-1 Site River Baseline'!$C$9:$R$257,2,FALSE))</f>
        <v/>
      </c>
      <c r="D107" s="520" t="str">
        <f>IF(C107="","",VLOOKUP($B107,'C-1 Site River Baseline'!$C$9:$R$257,3,FALSE))</f>
        <v/>
      </c>
      <c r="E107" s="520" t="str">
        <f>IF(D107="","",VLOOKUP($B107,'C-1 Site River Baseline'!$C$9:$R$257,4,FALSE))</f>
        <v/>
      </c>
      <c r="F107" s="520" t="str">
        <f>IF(E107="","",VLOOKUP($B107,'C-1 Site River Baseline'!$C$9:$R$257,5,FALSE))</f>
        <v/>
      </c>
      <c r="G107" s="520" t="str">
        <f>IF(F107="","",VLOOKUP($B107,'C-1 Site River Baseline'!$C$9:$R$257,6,FALSE))</f>
        <v/>
      </c>
      <c r="H107" s="520" t="str">
        <f>IF(G107="","",VLOOKUP($B107,'C-1 Site River Baseline'!$C$9:$R$257,7,FALSE))</f>
        <v/>
      </c>
      <c r="I107" s="520" t="str">
        <f>IF(H107="","",VLOOKUP($B107,'C-1 Site River Baseline'!$C$9:$R$257,8,FALSE))</f>
        <v/>
      </c>
      <c r="J107" s="520" t="str">
        <f>IF(I107="","",VLOOKUP($B107,'C-1 Site River Baseline'!$C$9:$R$257,9,FALSE))</f>
        <v/>
      </c>
      <c r="K107" s="520" t="str">
        <f>IF(J107="","",VLOOKUP($B107,'C-1 Site River Baseline'!$C$9:$R$257,10,FALSE))</f>
        <v/>
      </c>
      <c r="L107" s="520" t="str">
        <f>IF(B107="","",VLOOKUP($B107,'C-1 Site River Baseline'!$C$9:$R$257,15,FALSE))</f>
        <v/>
      </c>
      <c r="M107" s="524" t="str">
        <f>IF(L107="","",VLOOKUP($B107,'C-1 Site River Baseline'!$C$9:$R$257,16,FALSE))</f>
        <v/>
      </c>
      <c r="N107" s="418" t="str">
        <f t="shared" si="9"/>
        <v/>
      </c>
      <c r="O107" s="498" t="str">
        <f t="shared" si="10"/>
        <v/>
      </c>
      <c r="P107" s="499"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7" t="str">
        <f>IF(N107="","",VLOOKUP(B107,'C-1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07" t="str">
        <f>IF(V107="","",IF(VLOOKUP(V107,'G-7 Rivers Data'!$AG$4:$AI$9,2,FALSE)=0,"Spatial Data Missing ⚠",VLOOKUP(V107,'G-7 Rivers Data'!$AG$4:$AI$9,2,FALSE)))</f>
        <v/>
      </c>
      <c r="X107" s="499" t="str">
        <f>IF(V107="","",IF(VLOOKUP(V107,'G-7 Rivers Data'!$AG$4:$AI$9,3,FALSE)=0,"Spatial Data Missing ⚠",VLOOKUP(V107,'G-7 Rivers Data'!$AG$4:$AI$9,3,FALSE)))</f>
        <v/>
      </c>
      <c r="Y107" s="498" t="str">
        <f>IFERROR(IF(OR(LEFT(P107,5)="Error ▲",LEFT(O107,5)="Error ▲"),"Check Data ⚠",IF(F107&lt;S107,'G-7 Rivers Data'!$R$3,INDEX('G-7 Rivers Data'!$U$5:$Y$9,MATCH(G107,'G-7 Rivers Data'!$T$5:$T$9,0),MATCH(T107,'G-7 Rivers Data'!$U$4:$Y$4,0)))),"")</f>
        <v/>
      </c>
      <c r="Z107" s="195"/>
      <c r="AA107" s="195"/>
      <c r="AB107" s="507" t="str">
        <f t="shared" si="11"/>
        <v/>
      </c>
      <c r="AC107" s="521" t="str">
        <f t="shared" si="12"/>
        <v/>
      </c>
      <c r="AD107" s="564" t="str">
        <f>IFERROR(IF(AC107="Check Data ⚠","Check Data ⚠",VLOOKUP(AC107,'G-4 Temporal multipliers'!$A$4:$C$37,3,FALSE)),"")</f>
        <v/>
      </c>
      <c r="AE107" s="498" t="str">
        <f>IF(N107="","",VLOOKUP(N107,'G-7 Rivers Data'!$B$4:$G$8,5,FALSE))</f>
        <v/>
      </c>
      <c r="AF107" s="507" t="str">
        <f t="shared" si="13"/>
        <v/>
      </c>
      <c r="AG107" s="540" t="str">
        <f t="shared" si="14"/>
        <v/>
      </c>
      <c r="AH107" s="499" t="str">
        <f t="shared" si="8"/>
        <v/>
      </c>
      <c r="AI107" s="145"/>
      <c r="AJ107" s="499" t="str">
        <f>IF(AI107="","",IF(VLOOKUP(AI107,'G-7 Rivers Data'!$AA$4:$AB$7,2,FALSE)=0,"Spatial Data Missing ⚠",VLOOKUP(AI107,'G-7 Rivers Data'!$AA$4:$AB$7,2,FALSE)))</f>
        <v/>
      </c>
      <c r="AK107" s="155"/>
      <c r="AL107" s="499" t="str">
        <f>IF(AK107="","",IF(VLOOKUP(AK107,'G-7 Rivers Data'!$AD$4:$AE$8,2,FALSE)=0,"Spatial Data Missing ⚠",VLOOKUP(AK107,'G-7 Rivers Data'!$AD$4:$AE$8,2,FALSE)))</f>
        <v/>
      </c>
      <c r="AM107" s="545" t="str">
        <f t="shared" si="15"/>
        <v/>
      </c>
      <c r="AN107" s="149"/>
      <c r="AO107" s="150"/>
      <c r="AV107" s="31" t="str">
        <f>IFERROR(INDEX('G-7 Rivers Data'!$AZ$3:$AZ$7,MATCH(N107,'G-7 Rivers Data'!$AY$3:$AY$7,0)),"")</f>
        <v/>
      </c>
    </row>
    <row r="108" spans="2:48" ht="13.8" x14ac:dyDescent="0.25">
      <c r="B108" s="531" t="str">
        <f>'C-1 Site River Baseline'!AN106</f>
        <v/>
      </c>
      <c r="C108" s="520" t="str">
        <f>IF(B108="","",VLOOKUP($B108,'C-1 Site River Baseline'!$C$9:$R$257,2,FALSE))</f>
        <v/>
      </c>
      <c r="D108" s="520" t="str">
        <f>IF(C108="","",VLOOKUP($B108,'C-1 Site River Baseline'!$C$9:$R$257,3,FALSE))</f>
        <v/>
      </c>
      <c r="E108" s="520" t="str">
        <f>IF(D108="","",VLOOKUP($B108,'C-1 Site River Baseline'!$C$9:$R$257,4,FALSE))</f>
        <v/>
      </c>
      <c r="F108" s="520" t="str">
        <f>IF(E108="","",VLOOKUP($B108,'C-1 Site River Baseline'!$C$9:$R$257,5,FALSE))</f>
        <v/>
      </c>
      <c r="G108" s="520" t="str">
        <f>IF(F108="","",VLOOKUP($B108,'C-1 Site River Baseline'!$C$9:$R$257,6,FALSE))</f>
        <v/>
      </c>
      <c r="H108" s="520" t="str">
        <f>IF(G108="","",VLOOKUP($B108,'C-1 Site River Baseline'!$C$9:$R$257,7,FALSE))</f>
        <v/>
      </c>
      <c r="I108" s="520" t="str">
        <f>IF(H108="","",VLOOKUP($B108,'C-1 Site River Baseline'!$C$9:$R$257,8,FALSE))</f>
        <v/>
      </c>
      <c r="J108" s="520" t="str">
        <f>IF(I108="","",VLOOKUP($B108,'C-1 Site River Baseline'!$C$9:$R$257,9,FALSE))</f>
        <v/>
      </c>
      <c r="K108" s="520" t="str">
        <f>IF(J108="","",VLOOKUP($B108,'C-1 Site River Baseline'!$C$9:$R$257,10,FALSE))</f>
        <v/>
      </c>
      <c r="L108" s="520" t="str">
        <f>IF(B108="","",VLOOKUP($B108,'C-1 Site River Baseline'!$C$9:$R$257,15,FALSE))</f>
        <v/>
      </c>
      <c r="M108" s="524" t="str">
        <f>IF(L108="","",VLOOKUP($B108,'C-1 Site River Baseline'!$C$9:$R$257,16,FALSE))</f>
        <v/>
      </c>
      <c r="N108" s="418" t="str">
        <f t="shared" si="9"/>
        <v/>
      </c>
      <c r="O108" s="498" t="str">
        <f t="shared" si="10"/>
        <v/>
      </c>
      <c r="P108" s="499"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7" t="str">
        <f>IF(N108="","",VLOOKUP(B108,'C-1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07" t="str">
        <f>IF(V108="","",IF(VLOOKUP(V108,'G-7 Rivers Data'!$AG$4:$AI$9,2,FALSE)=0,"Spatial Data Missing ⚠",VLOOKUP(V108,'G-7 Rivers Data'!$AG$4:$AI$9,2,FALSE)))</f>
        <v/>
      </c>
      <c r="X108" s="499" t="str">
        <f>IF(V108="","",IF(VLOOKUP(V108,'G-7 Rivers Data'!$AG$4:$AI$9,3,FALSE)=0,"Spatial Data Missing ⚠",VLOOKUP(V108,'G-7 Rivers Data'!$AG$4:$AI$9,3,FALSE)))</f>
        <v/>
      </c>
      <c r="Y108" s="498" t="str">
        <f>IFERROR(IF(OR(LEFT(P108,5)="Error ▲",LEFT(O108,5)="Error ▲"),"Check Data ⚠",IF(F108&lt;S108,'G-7 Rivers Data'!$R$3,INDEX('G-7 Rivers Data'!$U$5:$Y$9,MATCH(G108,'G-7 Rivers Data'!$T$5:$T$9,0),MATCH(T108,'G-7 Rivers Data'!$U$4:$Y$4,0)))),"")</f>
        <v/>
      </c>
      <c r="Z108" s="195"/>
      <c r="AA108" s="195"/>
      <c r="AB108" s="507" t="str">
        <f t="shared" si="11"/>
        <v/>
      </c>
      <c r="AC108" s="521" t="str">
        <f t="shared" si="12"/>
        <v/>
      </c>
      <c r="AD108" s="564" t="str">
        <f>IFERROR(IF(AC108="Check Data ⚠","Check Data ⚠",VLOOKUP(AC108,'G-4 Temporal multipliers'!$A$4:$C$37,3,FALSE)),"")</f>
        <v/>
      </c>
      <c r="AE108" s="498" t="str">
        <f>IF(N108="","",VLOOKUP(N108,'G-7 Rivers Data'!$B$4:$G$8,5,FALSE))</f>
        <v/>
      </c>
      <c r="AF108" s="507" t="str">
        <f t="shared" si="13"/>
        <v/>
      </c>
      <c r="AG108" s="540" t="str">
        <f t="shared" si="14"/>
        <v/>
      </c>
      <c r="AH108" s="499" t="str">
        <f t="shared" si="8"/>
        <v/>
      </c>
      <c r="AI108" s="145"/>
      <c r="AJ108" s="499" t="str">
        <f>IF(AI108="","",IF(VLOOKUP(AI108,'G-7 Rivers Data'!$AA$4:$AB$7,2,FALSE)=0,"Spatial Data Missing ⚠",VLOOKUP(AI108,'G-7 Rivers Data'!$AA$4:$AB$7,2,FALSE)))</f>
        <v/>
      </c>
      <c r="AK108" s="155"/>
      <c r="AL108" s="499" t="str">
        <f>IF(AK108="","",IF(VLOOKUP(AK108,'G-7 Rivers Data'!$AD$4:$AE$8,2,FALSE)=0,"Spatial Data Missing ⚠",VLOOKUP(AK108,'G-7 Rivers Data'!$AD$4:$AE$8,2,FALSE)))</f>
        <v/>
      </c>
      <c r="AM108" s="545" t="str">
        <f t="shared" si="15"/>
        <v/>
      </c>
      <c r="AN108" s="149"/>
      <c r="AO108" s="150"/>
      <c r="AV108" s="31" t="str">
        <f>IFERROR(INDEX('G-7 Rivers Data'!$AZ$3:$AZ$7,MATCH(N108,'G-7 Rivers Data'!$AY$3:$AY$7,0)),"")</f>
        <v/>
      </c>
    </row>
    <row r="109" spans="2:48" ht="13.8" x14ac:dyDescent="0.25">
      <c r="B109" s="531" t="str">
        <f>'C-1 Site River Baseline'!AN107</f>
        <v/>
      </c>
      <c r="C109" s="520" t="str">
        <f>IF(B109="","",VLOOKUP($B109,'C-1 Site River Baseline'!$C$9:$R$257,2,FALSE))</f>
        <v/>
      </c>
      <c r="D109" s="520" t="str">
        <f>IF(C109="","",VLOOKUP($B109,'C-1 Site River Baseline'!$C$9:$R$257,3,FALSE))</f>
        <v/>
      </c>
      <c r="E109" s="520" t="str">
        <f>IF(D109="","",VLOOKUP($B109,'C-1 Site River Baseline'!$C$9:$R$257,4,FALSE))</f>
        <v/>
      </c>
      <c r="F109" s="520" t="str">
        <f>IF(E109="","",VLOOKUP($B109,'C-1 Site River Baseline'!$C$9:$R$257,5,FALSE))</f>
        <v/>
      </c>
      <c r="G109" s="520" t="str">
        <f>IF(F109="","",VLOOKUP($B109,'C-1 Site River Baseline'!$C$9:$R$257,6,FALSE))</f>
        <v/>
      </c>
      <c r="H109" s="520" t="str">
        <f>IF(G109="","",VLOOKUP($B109,'C-1 Site River Baseline'!$C$9:$R$257,7,FALSE))</f>
        <v/>
      </c>
      <c r="I109" s="520" t="str">
        <f>IF(H109="","",VLOOKUP($B109,'C-1 Site River Baseline'!$C$9:$R$257,8,FALSE))</f>
        <v/>
      </c>
      <c r="J109" s="520" t="str">
        <f>IF(I109="","",VLOOKUP($B109,'C-1 Site River Baseline'!$C$9:$R$257,9,FALSE))</f>
        <v/>
      </c>
      <c r="K109" s="520" t="str">
        <f>IF(J109="","",VLOOKUP($B109,'C-1 Site River Baseline'!$C$9:$R$257,10,FALSE))</f>
        <v/>
      </c>
      <c r="L109" s="520" t="str">
        <f>IF(B109="","",VLOOKUP($B109,'C-1 Site River Baseline'!$C$9:$R$257,15,FALSE))</f>
        <v/>
      </c>
      <c r="M109" s="524" t="str">
        <f>IF(L109="","",VLOOKUP($B109,'C-1 Site River Baseline'!$C$9:$R$257,16,FALSE))</f>
        <v/>
      </c>
      <c r="N109" s="418" t="str">
        <f t="shared" si="9"/>
        <v/>
      </c>
      <c r="O109" s="498" t="str">
        <f t="shared" si="10"/>
        <v/>
      </c>
      <c r="P109" s="499"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7" t="str">
        <f>IF(N109="","",VLOOKUP(B109,'C-1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07" t="str">
        <f>IF(V109="","",IF(VLOOKUP(V109,'G-7 Rivers Data'!$AG$4:$AI$9,2,FALSE)=0,"Spatial Data Missing ⚠",VLOOKUP(V109,'G-7 Rivers Data'!$AG$4:$AI$9,2,FALSE)))</f>
        <v/>
      </c>
      <c r="X109" s="499" t="str">
        <f>IF(V109="","",IF(VLOOKUP(V109,'G-7 Rivers Data'!$AG$4:$AI$9,3,FALSE)=0,"Spatial Data Missing ⚠",VLOOKUP(V109,'G-7 Rivers Data'!$AG$4:$AI$9,3,FALSE)))</f>
        <v/>
      </c>
      <c r="Y109" s="498" t="str">
        <f>IFERROR(IF(OR(LEFT(P109,5)="Error ▲",LEFT(O109,5)="Error ▲"),"Check Data ⚠",IF(F109&lt;S109,'G-7 Rivers Data'!$R$3,INDEX('G-7 Rivers Data'!$U$5:$Y$9,MATCH(G109,'G-7 Rivers Data'!$T$5:$T$9,0),MATCH(T109,'G-7 Rivers Data'!$U$4:$Y$4,0)))),"")</f>
        <v/>
      </c>
      <c r="Z109" s="195"/>
      <c r="AA109" s="195"/>
      <c r="AB109" s="507" t="str">
        <f t="shared" si="11"/>
        <v/>
      </c>
      <c r="AC109" s="521" t="str">
        <f t="shared" si="12"/>
        <v/>
      </c>
      <c r="AD109" s="564" t="str">
        <f>IFERROR(IF(AC109="Check Data ⚠","Check Data ⚠",VLOOKUP(AC109,'G-4 Temporal multipliers'!$A$4:$C$37,3,FALSE)),"")</f>
        <v/>
      </c>
      <c r="AE109" s="498" t="str">
        <f>IF(N109="","",VLOOKUP(N109,'G-7 Rivers Data'!$B$4:$G$8,5,FALSE))</f>
        <v/>
      </c>
      <c r="AF109" s="507" t="str">
        <f t="shared" si="13"/>
        <v/>
      </c>
      <c r="AG109" s="540" t="str">
        <f t="shared" si="14"/>
        <v/>
      </c>
      <c r="AH109" s="499" t="str">
        <f t="shared" si="8"/>
        <v/>
      </c>
      <c r="AI109" s="145"/>
      <c r="AJ109" s="499" t="str">
        <f>IF(AI109="","",IF(VLOOKUP(AI109,'G-7 Rivers Data'!$AA$4:$AB$7,2,FALSE)=0,"Spatial Data Missing ⚠",VLOOKUP(AI109,'G-7 Rivers Data'!$AA$4:$AB$7,2,FALSE)))</f>
        <v/>
      </c>
      <c r="AK109" s="155"/>
      <c r="AL109" s="499" t="str">
        <f>IF(AK109="","",IF(VLOOKUP(AK109,'G-7 Rivers Data'!$AD$4:$AE$8,2,FALSE)=0,"Spatial Data Missing ⚠",VLOOKUP(AK109,'G-7 Rivers Data'!$AD$4:$AE$8,2,FALSE)))</f>
        <v/>
      </c>
      <c r="AM109" s="545" t="str">
        <f t="shared" si="15"/>
        <v/>
      </c>
      <c r="AN109" s="149"/>
      <c r="AO109" s="150"/>
      <c r="AV109" s="31" t="str">
        <f>IFERROR(INDEX('G-7 Rivers Data'!$AZ$3:$AZ$7,MATCH(N109,'G-7 Rivers Data'!$AY$3:$AY$7,0)),"")</f>
        <v/>
      </c>
    </row>
    <row r="110" spans="2:48" ht="13.8" x14ac:dyDescent="0.25">
      <c r="B110" s="531" t="str">
        <f>'C-1 Site River Baseline'!AN108</f>
        <v/>
      </c>
      <c r="C110" s="520" t="str">
        <f>IF(B110="","",VLOOKUP($B110,'C-1 Site River Baseline'!$C$9:$R$257,2,FALSE))</f>
        <v/>
      </c>
      <c r="D110" s="520" t="str">
        <f>IF(C110="","",VLOOKUP($B110,'C-1 Site River Baseline'!$C$9:$R$257,3,FALSE))</f>
        <v/>
      </c>
      <c r="E110" s="520" t="str">
        <f>IF(D110="","",VLOOKUP($B110,'C-1 Site River Baseline'!$C$9:$R$257,4,FALSE))</f>
        <v/>
      </c>
      <c r="F110" s="520" t="str">
        <f>IF(E110="","",VLOOKUP($B110,'C-1 Site River Baseline'!$C$9:$R$257,5,FALSE))</f>
        <v/>
      </c>
      <c r="G110" s="520" t="str">
        <f>IF(F110="","",VLOOKUP($B110,'C-1 Site River Baseline'!$C$9:$R$257,6,FALSE))</f>
        <v/>
      </c>
      <c r="H110" s="520" t="str">
        <f>IF(G110="","",VLOOKUP($B110,'C-1 Site River Baseline'!$C$9:$R$257,7,FALSE))</f>
        <v/>
      </c>
      <c r="I110" s="520" t="str">
        <f>IF(H110="","",VLOOKUP($B110,'C-1 Site River Baseline'!$C$9:$R$257,8,FALSE))</f>
        <v/>
      </c>
      <c r="J110" s="520" t="str">
        <f>IF(I110="","",VLOOKUP($B110,'C-1 Site River Baseline'!$C$9:$R$257,9,FALSE))</f>
        <v/>
      </c>
      <c r="K110" s="520" t="str">
        <f>IF(J110="","",VLOOKUP($B110,'C-1 Site River Baseline'!$C$9:$R$257,10,FALSE))</f>
        <v/>
      </c>
      <c r="L110" s="520" t="str">
        <f>IF(B110="","",VLOOKUP($B110,'C-1 Site River Baseline'!$C$9:$R$257,15,FALSE))</f>
        <v/>
      </c>
      <c r="M110" s="524" t="str">
        <f>IF(L110="","",VLOOKUP($B110,'C-1 Site River Baseline'!$C$9:$R$257,16,FALSE))</f>
        <v/>
      </c>
      <c r="N110" s="418" t="str">
        <f t="shared" si="9"/>
        <v/>
      </c>
      <c r="O110" s="498" t="str">
        <f t="shared" si="10"/>
        <v/>
      </c>
      <c r="P110" s="499"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7" t="str">
        <f>IF(N110="","",VLOOKUP(B110,'C-1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07" t="str">
        <f>IF(V110="","",IF(VLOOKUP(V110,'G-7 Rivers Data'!$AG$4:$AI$9,2,FALSE)=0,"Spatial Data Missing ⚠",VLOOKUP(V110,'G-7 Rivers Data'!$AG$4:$AI$9,2,FALSE)))</f>
        <v/>
      </c>
      <c r="X110" s="499" t="str">
        <f>IF(V110="","",IF(VLOOKUP(V110,'G-7 Rivers Data'!$AG$4:$AI$9,3,FALSE)=0,"Spatial Data Missing ⚠",VLOOKUP(V110,'G-7 Rivers Data'!$AG$4:$AI$9,3,FALSE)))</f>
        <v/>
      </c>
      <c r="Y110" s="498" t="str">
        <f>IFERROR(IF(OR(LEFT(P110,5)="Error ▲",LEFT(O110,5)="Error ▲"),"Check Data ⚠",IF(F110&lt;S110,'G-7 Rivers Data'!$R$3,INDEX('G-7 Rivers Data'!$U$5:$Y$9,MATCH(G110,'G-7 Rivers Data'!$T$5:$T$9,0),MATCH(T110,'G-7 Rivers Data'!$U$4:$Y$4,0)))),"")</f>
        <v/>
      </c>
      <c r="Z110" s="195"/>
      <c r="AA110" s="195"/>
      <c r="AB110" s="507" t="str">
        <f t="shared" si="11"/>
        <v/>
      </c>
      <c r="AC110" s="521" t="str">
        <f t="shared" si="12"/>
        <v/>
      </c>
      <c r="AD110" s="564" t="str">
        <f>IFERROR(IF(AC110="Check Data ⚠","Check Data ⚠",VLOOKUP(AC110,'G-4 Temporal multipliers'!$A$4:$C$37,3,FALSE)),"")</f>
        <v/>
      </c>
      <c r="AE110" s="498" t="str">
        <f>IF(N110="","",VLOOKUP(N110,'G-7 Rivers Data'!$B$4:$G$8,5,FALSE))</f>
        <v/>
      </c>
      <c r="AF110" s="507" t="str">
        <f t="shared" si="13"/>
        <v/>
      </c>
      <c r="AG110" s="540" t="str">
        <f t="shared" si="14"/>
        <v/>
      </c>
      <c r="AH110" s="499" t="str">
        <f t="shared" si="8"/>
        <v/>
      </c>
      <c r="AI110" s="145"/>
      <c r="AJ110" s="499" t="str">
        <f>IF(AI110="","",IF(VLOOKUP(AI110,'G-7 Rivers Data'!$AA$4:$AB$7,2,FALSE)=0,"Spatial Data Missing ⚠",VLOOKUP(AI110,'G-7 Rivers Data'!$AA$4:$AB$7,2,FALSE)))</f>
        <v/>
      </c>
      <c r="AK110" s="155"/>
      <c r="AL110" s="499" t="str">
        <f>IF(AK110="","",IF(VLOOKUP(AK110,'G-7 Rivers Data'!$AD$4:$AE$8,2,FALSE)=0,"Spatial Data Missing ⚠",VLOOKUP(AK110,'G-7 Rivers Data'!$AD$4:$AE$8,2,FALSE)))</f>
        <v/>
      </c>
      <c r="AM110" s="545" t="str">
        <f t="shared" si="15"/>
        <v/>
      </c>
      <c r="AN110" s="149"/>
      <c r="AO110" s="150"/>
      <c r="AV110" s="31" t="str">
        <f>IFERROR(INDEX('G-7 Rivers Data'!$AZ$3:$AZ$7,MATCH(N110,'G-7 Rivers Data'!$AY$3:$AY$7,0)),"")</f>
        <v/>
      </c>
    </row>
    <row r="111" spans="2:48" ht="13.8" x14ac:dyDescent="0.25">
      <c r="B111" s="531" t="str">
        <f>'C-1 Site River Baseline'!AN109</f>
        <v/>
      </c>
      <c r="C111" s="520" t="str">
        <f>IF(B111="","",VLOOKUP($B111,'C-1 Site River Baseline'!$C$9:$R$257,2,FALSE))</f>
        <v/>
      </c>
      <c r="D111" s="520" t="str">
        <f>IF(C111="","",VLOOKUP($B111,'C-1 Site River Baseline'!$C$9:$R$257,3,FALSE))</f>
        <v/>
      </c>
      <c r="E111" s="520" t="str">
        <f>IF(D111="","",VLOOKUP($B111,'C-1 Site River Baseline'!$C$9:$R$257,4,FALSE))</f>
        <v/>
      </c>
      <c r="F111" s="520" t="str">
        <f>IF(E111="","",VLOOKUP($B111,'C-1 Site River Baseline'!$C$9:$R$257,5,FALSE))</f>
        <v/>
      </c>
      <c r="G111" s="520" t="str">
        <f>IF(F111="","",VLOOKUP($B111,'C-1 Site River Baseline'!$C$9:$R$257,6,FALSE))</f>
        <v/>
      </c>
      <c r="H111" s="520" t="str">
        <f>IF(G111="","",VLOOKUP($B111,'C-1 Site River Baseline'!$C$9:$R$257,7,FALSE))</f>
        <v/>
      </c>
      <c r="I111" s="520" t="str">
        <f>IF(H111="","",VLOOKUP($B111,'C-1 Site River Baseline'!$C$9:$R$257,8,FALSE))</f>
        <v/>
      </c>
      <c r="J111" s="520" t="str">
        <f>IF(I111="","",VLOOKUP($B111,'C-1 Site River Baseline'!$C$9:$R$257,9,FALSE))</f>
        <v/>
      </c>
      <c r="K111" s="520" t="str">
        <f>IF(J111="","",VLOOKUP($B111,'C-1 Site River Baseline'!$C$9:$R$257,10,FALSE))</f>
        <v/>
      </c>
      <c r="L111" s="520" t="str">
        <f>IF(B111="","",VLOOKUP($B111,'C-1 Site River Baseline'!$C$9:$R$257,15,FALSE))</f>
        <v/>
      </c>
      <c r="M111" s="524" t="str">
        <f>IF(L111="","",VLOOKUP($B111,'C-1 Site River Baseline'!$C$9:$R$257,16,FALSE))</f>
        <v/>
      </c>
      <c r="N111" s="418" t="str">
        <f t="shared" si="9"/>
        <v/>
      </c>
      <c r="O111" s="498" t="str">
        <f t="shared" si="10"/>
        <v/>
      </c>
      <c r="P111" s="499"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7" t="str">
        <f>IF(N111="","",VLOOKUP(B111,'C-1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07" t="str">
        <f>IF(V111="","",IF(VLOOKUP(V111,'G-7 Rivers Data'!$AG$4:$AI$9,2,FALSE)=0,"Spatial Data Missing ⚠",VLOOKUP(V111,'G-7 Rivers Data'!$AG$4:$AI$9,2,FALSE)))</f>
        <v/>
      </c>
      <c r="X111" s="499" t="str">
        <f>IF(V111="","",IF(VLOOKUP(V111,'G-7 Rivers Data'!$AG$4:$AI$9,3,FALSE)=0,"Spatial Data Missing ⚠",VLOOKUP(V111,'G-7 Rivers Data'!$AG$4:$AI$9,3,FALSE)))</f>
        <v/>
      </c>
      <c r="Y111" s="498" t="str">
        <f>IFERROR(IF(OR(LEFT(P111,5)="Error ▲",LEFT(O111,5)="Error ▲"),"Check Data ⚠",IF(F111&lt;S111,'G-7 Rivers Data'!$R$3,INDEX('G-7 Rivers Data'!$U$5:$Y$9,MATCH(G111,'G-7 Rivers Data'!$T$5:$T$9,0),MATCH(T111,'G-7 Rivers Data'!$U$4:$Y$4,0)))),"")</f>
        <v/>
      </c>
      <c r="Z111" s="195"/>
      <c r="AA111" s="195"/>
      <c r="AB111" s="507" t="str">
        <f t="shared" si="11"/>
        <v/>
      </c>
      <c r="AC111" s="521" t="str">
        <f t="shared" si="12"/>
        <v/>
      </c>
      <c r="AD111" s="564" t="str">
        <f>IFERROR(IF(AC111="Check Data ⚠","Check Data ⚠",VLOOKUP(AC111,'G-4 Temporal multipliers'!$A$4:$C$37,3,FALSE)),"")</f>
        <v/>
      </c>
      <c r="AE111" s="498" t="str">
        <f>IF(N111="","",VLOOKUP(N111,'G-7 Rivers Data'!$B$4:$G$8,5,FALSE))</f>
        <v/>
      </c>
      <c r="AF111" s="507" t="str">
        <f t="shared" si="13"/>
        <v/>
      </c>
      <c r="AG111" s="540" t="str">
        <f t="shared" si="14"/>
        <v/>
      </c>
      <c r="AH111" s="499" t="str">
        <f t="shared" si="8"/>
        <v/>
      </c>
      <c r="AI111" s="145"/>
      <c r="AJ111" s="499" t="str">
        <f>IF(AI111="","",IF(VLOOKUP(AI111,'G-7 Rivers Data'!$AA$4:$AB$7,2,FALSE)=0,"Spatial Data Missing ⚠",VLOOKUP(AI111,'G-7 Rivers Data'!$AA$4:$AB$7,2,FALSE)))</f>
        <v/>
      </c>
      <c r="AK111" s="155"/>
      <c r="AL111" s="499" t="str">
        <f>IF(AK111="","",IF(VLOOKUP(AK111,'G-7 Rivers Data'!$AD$4:$AE$8,2,FALSE)=0,"Spatial Data Missing ⚠",VLOOKUP(AK111,'G-7 Rivers Data'!$AD$4:$AE$8,2,FALSE)))</f>
        <v/>
      </c>
      <c r="AM111" s="545" t="str">
        <f t="shared" si="15"/>
        <v/>
      </c>
      <c r="AN111" s="149"/>
      <c r="AO111" s="150"/>
      <c r="AV111" s="31" t="str">
        <f>IFERROR(INDEX('G-7 Rivers Data'!$AZ$3:$AZ$7,MATCH(N111,'G-7 Rivers Data'!$AY$3:$AY$7,0)),"")</f>
        <v/>
      </c>
    </row>
    <row r="112" spans="2:48" ht="13.8" x14ac:dyDescent="0.25">
      <c r="B112" s="531" t="str">
        <f>'C-1 Site River Baseline'!AN110</f>
        <v/>
      </c>
      <c r="C112" s="520" t="str">
        <f>IF(B112="","",VLOOKUP($B112,'C-1 Site River Baseline'!$C$9:$R$257,2,FALSE))</f>
        <v/>
      </c>
      <c r="D112" s="520" t="str">
        <f>IF(C112="","",VLOOKUP($B112,'C-1 Site River Baseline'!$C$9:$R$257,3,FALSE))</f>
        <v/>
      </c>
      <c r="E112" s="520" t="str">
        <f>IF(D112="","",VLOOKUP($B112,'C-1 Site River Baseline'!$C$9:$R$257,4,FALSE))</f>
        <v/>
      </c>
      <c r="F112" s="520" t="str">
        <f>IF(E112="","",VLOOKUP($B112,'C-1 Site River Baseline'!$C$9:$R$257,5,FALSE))</f>
        <v/>
      </c>
      <c r="G112" s="520" t="str">
        <f>IF(F112="","",VLOOKUP($B112,'C-1 Site River Baseline'!$C$9:$R$257,6,FALSE))</f>
        <v/>
      </c>
      <c r="H112" s="520" t="str">
        <f>IF(G112="","",VLOOKUP($B112,'C-1 Site River Baseline'!$C$9:$R$257,7,FALSE))</f>
        <v/>
      </c>
      <c r="I112" s="520" t="str">
        <f>IF(H112="","",VLOOKUP($B112,'C-1 Site River Baseline'!$C$9:$R$257,8,FALSE))</f>
        <v/>
      </c>
      <c r="J112" s="520" t="str">
        <f>IF(I112="","",VLOOKUP($B112,'C-1 Site River Baseline'!$C$9:$R$257,9,FALSE))</f>
        <v/>
      </c>
      <c r="K112" s="520" t="str">
        <f>IF(J112="","",VLOOKUP($B112,'C-1 Site River Baseline'!$C$9:$R$257,10,FALSE))</f>
        <v/>
      </c>
      <c r="L112" s="520" t="str">
        <f>IF(B112="","",VLOOKUP($B112,'C-1 Site River Baseline'!$C$9:$R$257,15,FALSE))</f>
        <v/>
      </c>
      <c r="M112" s="524" t="str">
        <f>IF(L112="","",VLOOKUP($B112,'C-1 Site River Baseline'!$C$9:$R$257,16,FALSE))</f>
        <v/>
      </c>
      <c r="N112" s="418" t="str">
        <f t="shared" si="9"/>
        <v/>
      </c>
      <c r="O112" s="498" t="str">
        <f t="shared" si="10"/>
        <v/>
      </c>
      <c r="P112" s="499"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7" t="str">
        <f>IF(N112="","",VLOOKUP(B112,'C-1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07" t="str">
        <f>IF(V112="","",IF(VLOOKUP(V112,'G-7 Rivers Data'!$AG$4:$AI$9,2,FALSE)=0,"Spatial Data Missing ⚠",VLOOKUP(V112,'G-7 Rivers Data'!$AG$4:$AI$9,2,FALSE)))</f>
        <v/>
      </c>
      <c r="X112" s="499" t="str">
        <f>IF(V112="","",IF(VLOOKUP(V112,'G-7 Rivers Data'!$AG$4:$AI$9,3,FALSE)=0,"Spatial Data Missing ⚠",VLOOKUP(V112,'G-7 Rivers Data'!$AG$4:$AI$9,3,FALSE)))</f>
        <v/>
      </c>
      <c r="Y112" s="498" t="str">
        <f>IFERROR(IF(OR(LEFT(P112,5)="Error ▲",LEFT(O112,5)="Error ▲"),"Check Data ⚠",IF(F112&lt;S112,'G-7 Rivers Data'!$R$3,INDEX('G-7 Rivers Data'!$U$5:$Y$9,MATCH(G112,'G-7 Rivers Data'!$T$5:$T$9,0),MATCH(T112,'G-7 Rivers Data'!$U$4:$Y$4,0)))),"")</f>
        <v/>
      </c>
      <c r="Z112" s="195"/>
      <c r="AA112" s="195"/>
      <c r="AB112" s="507" t="str">
        <f t="shared" si="11"/>
        <v/>
      </c>
      <c r="AC112" s="521" t="str">
        <f t="shared" si="12"/>
        <v/>
      </c>
      <c r="AD112" s="564" t="str">
        <f>IFERROR(IF(AC112="Check Data ⚠","Check Data ⚠",VLOOKUP(AC112,'G-4 Temporal multipliers'!$A$4:$C$37,3,FALSE)),"")</f>
        <v/>
      </c>
      <c r="AE112" s="498" t="str">
        <f>IF(N112="","",VLOOKUP(N112,'G-7 Rivers Data'!$B$4:$G$8,5,FALSE))</f>
        <v/>
      </c>
      <c r="AF112" s="507" t="str">
        <f t="shared" si="13"/>
        <v/>
      </c>
      <c r="AG112" s="540" t="str">
        <f t="shared" si="14"/>
        <v/>
      </c>
      <c r="AH112" s="499" t="str">
        <f t="shared" si="8"/>
        <v/>
      </c>
      <c r="AI112" s="145"/>
      <c r="AJ112" s="499" t="str">
        <f>IF(AI112="","",IF(VLOOKUP(AI112,'G-7 Rivers Data'!$AA$4:$AB$7,2,FALSE)=0,"Spatial Data Missing ⚠",VLOOKUP(AI112,'G-7 Rivers Data'!$AA$4:$AB$7,2,FALSE)))</f>
        <v/>
      </c>
      <c r="AK112" s="155"/>
      <c r="AL112" s="499" t="str">
        <f>IF(AK112="","",IF(VLOOKUP(AK112,'G-7 Rivers Data'!$AD$4:$AE$8,2,FALSE)=0,"Spatial Data Missing ⚠",VLOOKUP(AK112,'G-7 Rivers Data'!$AD$4:$AE$8,2,FALSE)))</f>
        <v/>
      </c>
      <c r="AM112" s="545" t="str">
        <f t="shared" si="15"/>
        <v/>
      </c>
      <c r="AN112" s="149"/>
      <c r="AO112" s="150"/>
      <c r="AV112" s="31" t="str">
        <f>IFERROR(INDEX('G-7 Rivers Data'!$AZ$3:$AZ$7,MATCH(N112,'G-7 Rivers Data'!$AY$3:$AY$7,0)),"")</f>
        <v/>
      </c>
    </row>
    <row r="113" spans="2:48" ht="13.8" x14ac:dyDescent="0.25">
      <c r="B113" s="531" t="str">
        <f>'C-1 Site River Baseline'!AN111</f>
        <v/>
      </c>
      <c r="C113" s="520" t="str">
        <f>IF(B113="","",VLOOKUP($B113,'C-1 Site River Baseline'!$C$9:$R$257,2,FALSE))</f>
        <v/>
      </c>
      <c r="D113" s="520" t="str">
        <f>IF(C113="","",VLOOKUP($B113,'C-1 Site River Baseline'!$C$9:$R$257,3,FALSE))</f>
        <v/>
      </c>
      <c r="E113" s="520" t="str">
        <f>IF(D113="","",VLOOKUP($B113,'C-1 Site River Baseline'!$C$9:$R$257,4,FALSE))</f>
        <v/>
      </c>
      <c r="F113" s="520" t="str">
        <f>IF(E113="","",VLOOKUP($B113,'C-1 Site River Baseline'!$C$9:$R$257,5,FALSE))</f>
        <v/>
      </c>
      <c r="G113" s="520" t="str">
        <f>IF(F113="","",VLOOKUP($B113,'C-1 Site River Baseline'!$C$9:$R$257,6,FALSE))</f>
        <v/>
      </c>
      <c r="H113" s="520" t="str">
        <f>IF(G113="","",VLOOKUP($B113,'C-1 Site River Baseline'!$C$9:$R$257,7,FALSE))</f>
        <v/>
      </c>
      <c r="I113" s="520" t="str">
        <f>IF(H113="","",VLOOKUP($B113,'C-1 Site River Baseline'!$C$9:$R$257,8,FALSE))</f>
        <v/>
      </c>
      <c r="J113" s="520" t="str">
        <f>IF(I113="","",VLOOKUP($B113,'C-1 Site River Baseline'!$C$9:$R$257,9,FALSE))</f>
        <v/>
      </c>
      <c r="K113" s="520" t="str">
        <f>IF(J113="","",VLOOKUP($B113,'C-1 Site River Baseline'!$C$9:$R$257,10,FALSE))</f>
        <v/>
      </c>
      <c r="L113" s="520" t="str">
        <f>IF(B113="","",VLOOKUP($B113,'C-1 Site River Baseline'!$C$9:$R$257,15,FALSE))</f>
        <v/>
      </c>
      <c r="M113" s="524" t="str">
        <f>IF(L113="","",VLOOKUP($B113,'C-1 Site River Baseline'!$C$9:$R$257,16,FALSE))</f>
        <v/>
      </c>
      <c r="N113" s="418" t="str">
        <f t="shared" si="9"/>
        <v/>
      </c>
      <c r="O113" s="498" t="str">
        <f t="shared" si="10"/>
        <v/>
      </c>
      <c r="P113" s="499"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7" t="str">
        <f>IF(N113="","",VLOOKUP(B113,'C-1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07" t="str">
        <f>IF(V113="","",IF(VLOOKUP(V113,'G-7 Rivers Data'!$AG$4:$AI$9,2,FALSE)=0,"Spatial Data Missing ⚠",VLOOKUP(V113,'G-7 Rivers Data'!$AG$4:$AI$9,2,FALSE)))</f>
        <v/>
      </c>
      <c r="X113" s="499" t="str">
        <f>IF(V113="","",IF(VLOOKUP(V113,'G-7 Rivers Data'!$AG$4:$AI$9,3,FALSE)=0,"Spatial Data Missing ⚠",VLOOKUP(V113,'G-7 Rivers Data'!$AG$4:$AI$9,3,FALSE)))</f>
        <v/>
      </c>
      <c r="Y113" s="498" t="str">
        <f>IFERROR(IF(OR(LEFT(P113,5)="Error ▲",LEFT(O113,5)="Error ▲"),"Check Data ⚠",IF(F113&lt;S113,'G-7 Rivers Data'!$R$3,INDEX('G-7 Rivers Data'!$U$5:$Y$9,MATCH(G113,'G-7 Rivers Data'!$T$5:$T$9,0),MATCH(T113,'G-7 Rivers Data'!$U$4:$Y$4,0)))),"")</f>
        <v/>
      </c>
      <c r="Z113" s="195"/>
      <c r="AA113" s="195"/>
      <c r="AB113" s="507" t="str">
        <f t="shared" si="11"/>
        <v/>
      </c>
      <c r="AC113" s="521" t="str">
        <f t="shared" si="12"/>
        <v/>
      </c>
      <c r="AD113" s="564" t="str">
        <f>IFERROR(IF(AC113="Check Data ⚠","Check Data ⚠",VLOOKUP(AC113,'G-4 Temporal multipliers'!$A$4:$C$37,3,FALSE)),"")</f>
        <v/>
      </c>
      <c r="AE113" s="498" t="str">
        <f>IF(N113="","",VLOOKUP(N113,'G-7 Rivers Data'!$B$4:$G$8,5,FALSE))</f>
        <v/>
      </c>
      <c r="AF113" s="507" t="str">
        <f t="shared" si="13"/>
        <v/>
      </c>
      <c r="AG113" s="540" t="str">
        <f t="shared" si="14"/>
        <v/>
      </c>
      <c r="AH113" s="499" t="str">
        <f t="shared" si="8"/>
        <v/>
      </c>
      <c r="AI113" s="145"/>
      <c r="AJ113" s="499" t="str">
        <f>IF(AI113="","",IF(VLOOKUP(AI113,'G-7 Rivers Data'!$AA$4:$AB$7,2,FALSE)=0,"Spatial Data Missing ⚠",VLOOKUP(AI113,'G-7 Rivers Data'!$AA$4:$AB$7,2,FALSE)))</f>
        <v/>
      </c>
      <c r="AK113" s="155"/>
      <c r="AL113" s="499" t="str">
        <f>IF(AK113="","",IF(VLOOKUP(AK113,'G-7 Rivers Data'!$AD$4:$AE$8,2,FALSE)=0,"Spatial Data Missing ⚠",VLOOKUP(AK113,'G-7 Rivers Data'!$AD$4:$AE$8,2,FALSE)))</f>
        <v/>
      </c>
      <c r="AM113" s="545" t="str">
        <f t="shared" si="15"/>
        <v/>
      </c>
      <c r="AN113" s="149"/>
      <c r="AO113" s="150"/>
      <c r="AV113" s="31" t="str">
        <f>IFERROR(INDEX('G-7 Rivers Data'!$AZ$3:$AZ$7,MATCH(N113,'G-7 Rivers Data'!$AY$3:$AY$7,0)),"")</f>
        <v/>
      </c>
    </row>
    <row r="114" spans="2:48" ht="13.8" x14ac:dyDescent="0.25">
      <c r="B114" s="531" t="str">
        <f>'C-1 Site River Baseline'!AN112</f>
        <v/>
      </c>
      <c r="C114" s="520" t="str">
        <f>IF(B114="","",VLOOKUP($B114,'C-1 Site River Baseline'!$C$9:$R$257,2,FALSE))</f>
        <v/>
      </c>
      <c r="D114" s="520" t="str">
        <f>IF(C114="","",VLOOKUP($B114,'C-1 Site River Baseline'!$C$9:$R$257,3,FALSE))</f>
        <v/>
      </c>
      <c r="E114" s="520" t="str">
        <f>IF(D114="","",VLOOKUP($B114,'C-1 Site River Baseline'!$C$9:$R$257,4,FALSE))</f>
        <v/>
      </c>
      <c r="F114" s="520" t="str">
        <f>IF(E114="","",VLOOKUP($B114,'C-1 Site River Baseline'!$C$9:$R$257,5,FALSE))</f>
        <v/>
      </c>
      <c r="G114" s="520" t="str">
        <f>IF(F114="","",VLOOKUP($B114,'C-1 Site River Baseline'!$C$9:$R$257,6,FALSE))</f>
        <v/>
      </c>
      <c r="H114" s="520" t="str">
        <f>IF(G114="","",VLOOKUP($B114,'C-1 Site River Baseline'!$C$9:$R$257,7,FALSE))</f>
        <v/>
      </c>
      <c r="I114" s="520" t="str">
        <f>IF(H114="","",VLOOKUP($B114,'C-1 Site River Baseline'!$C$9:$R$257,8,FALSE))</f>
        <v/>
      </c>
      <c r="J114" s="520" t="str">
        <f>IF(I114="","",VLOOKUP($B114,'C-1 Site River Baseline'!$C$9:$R$257,9,FALSE))</f>
        <v/>
      </c>
      <c r="K114" s="520" t="str">
        <f>IF(J114="","",VLOOKUP($B114,'C-1 Site River Baseline'!$C$9:$R$257,10,FALSE))</f>
        <v/>
      </c>
      <c r="L114" s="520" t="str">
        <f>IF(B114="","",VLOOKUP($B114,'C-1 Site River Baseline'!$C$9:$R$257,15,FALSE))</f>
        <v/>
      </c>
      <c r="M114" s="524" t="str">
        <f>IF(L114="","",VLOOKUP($B114,'C-1 Site River Baseline'!$C$9:$R$257,16,FALSE))</f>
        <v/>
      </c>
      <c r="N114" s="418" t="str">
        <f t="shared" si="9"/>
        <v/>
      </c>
      <c r="O114" s="498" t="str">
        <f t="shared" si="10"/>
        <v/>
      </c>
      <c r="P114" s="499"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7" t="str">
        <f>IF(N114="","",VLOOKUP(B114,'C-1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07" t="str">
        <f>IF(V114="","",IF(VLOOKUP(V114,'G-7 Rivers Data'!$AG$4:$AI$9,2,FALSE)=0,"Spatial Data Missing ⚠",VLOOKUP(V114,'G-7 Rivers Data'!$AG$4:$AI$9,2,FALSE)))</f>
        <v/>
      </c>
      <c r="X114" s="499" t="str">
        <f>IF(V114="","",IF(VLOOKUP(V114,'G-7 Rivers Data'!$AG$4:$AI$9,3,FALSE)=0,"Spatial Data Missing ⚠",VLOOKUP(V114,'G-7 Rivers Data'!$AG$4:$AI$9,3,FALSE)))</f>
        <v/>
      </c>
      <c r="Y114" s="498" t="str">
        <f>IFERROR(IF(OR(LEFT(P114,5)="Error ▲",LEFT(O114,5)="Error ▲"),"Check Data ⚠",IF(F114&lt;S114,'G-7 Rivers Data'!$R$3,INDEX('G-7 Rivers Data'!$U$5:$Y$9,MATCH(G114,'G-7 Rivers Data'!$T$5:$T$9,0),MATCH(T114,'G-7 Rivers Data'!$U$4:$Y$4,0)))),"")</f>
        <v/>
      </c>
      <c r="Z114" s="195"/>
      <c r="AA114" s="195"/>
      <c r="AB114" s="507" t="str">
        <f t="shared" si="11"/>
        <v/>
      </c>
      <c r="AC114" s="521" t="str">
        <f t="shared" si="12"/>
        <v/>
      </c>
      <c r="AD114" s="564" t="str">
        <f>IFERROR(IF(AC114="Check Data ⚠","Check Data ⚠",VLOOKUP(AC114,'G-4 Temporal multipliers'!$A$4:$C$37,3,FALSE)),"")</f>
        <v/>
      </c>
      <c r="AE114" s="498" t="str">
        <f>IF(N114="","",VLOOKUP(N114,'G-7 Rivers Data'!$B$4:$G$8,5,FALSE))</f>
        <v/>
      </c>
      <c r="AF114" s="507" t="str">
        <f t="shared" si="13"/>
        <v/>
      </c>
      <c r="AG114" s="540" t="str">
        <f t="shared" si="14"/>
        <v/>
      </c>
      <c r="AH114" s="499" t="str">
        <f t="shared" si="8"/>
        <v/>
      </c>
      <c r="AI114" s="145"/>
      <c r="AJ114" s="499" t="str">
        <f>IF(AI114="","",IF(VLOOKUP(AI114,'G-7 Rivers Data'!$AA$4:$AB$7,2,FALSE)=0,"Spatial Data Missing ⚠",VLOOKUP(AI114,'G-7 Rivers Data'!$AA$4:$AB$7,2,FALSE)))</f>
        <v/>
      </c>
      <c r="AK114" s="155"/>
      <c r="AL114" s="499" t="str">
        <f>IF(AK114="","",IF(VLOOKUP(AK114,'G-7 Rivers Data'!$AD$4:$AE$8,2,FALSE)=0,"Spatial Data Missing ⚠",VLOOKUP(AK114,'G-7 Rivers Data'!$AD$4:$AE$8,2,FALSE)))</f>
        <v/>
      </c>
      <c r="AM114" s="545" t="str">
        <f t="shared" si="15"/>
        <v/>
      </c>
      <c r="AN114" s="149"/>
      <c r="AO114" s="150"/>
      <c r="AV114" s="31" t="str">
        <f>IFERROR(INDEX('G-7 Rivers Data'!$AZ$3:$AZ$7,MATCH(N114,'G-7 Rivers Data'!$AY$3:$AY$7,0)),"")</f>
        <v/>
      </c>
    </row>
    <row r="115" spans="2:48" ht="13.8" x14ac:dyDescent="0.25">
      <c r="B115" s="531" t="str">
        <f>'C-1 Site River Baseline'!AN113</f>
        <v/>
      </c>
      <c r="C115" s="520" t="str">
        <f>IF(B115="","",VLOOKUP($B115,'C-1 Site River Baseline'!$C$9:$R$257,2,FALSE))</f>
        <v/>
      </c>
      <c r="D115" s="520" t="str">
        <f>IF(C115="","",VLOOKUP($B115,'C-1 Site River Baseline'!$C$9:$R$257,3,FALSE))</f>
        <v/>
      </c>
      <c r="E115" s="520" t="str">
        <f>IF(D115="","",VLOOKUP($B115,'C-1 Site River Baseline'!$C$9:$R$257,4,FALSE))</f>
        <v/>
      </c>
      <c r="F115" s="520" t="str">
        <f>IF(E115="","",VLOOKUP($B115,'C-1 Site River Baseline'!$C$9:$R$257,5,FALSE))</f>
        <v/>
      </c>
      <c r="G115" s="520" t="str">
        <f>IF(F115="","",VLOOKUP($B115,'C-1 Site River Baseline'!$C$9:$R$257,6,FALSE))</f>
        <v/>
      </c>
      <c r="H115" s="520" t="str">
        <f>IF(G115="","",VLOOKUP($B115,'C-1 Site River Baseline'!$C$9:$R$257,7,FALSE))</f>
        <v/>
      </c>
      <c r="I115" s="520" t="str">
        <f>IF(H115="","",VLOOKUP($B115,'C-1 Site River Baseline'!$C$9:$R$257,8,FALSE))</f>
        <v/>
      </c>
      <c r="J115" s="520" t="str">
        <f>IF(I115="","",VLOOKUP($B115,'C-1 Site River Baseline'!$C$9:$R$257,9,FALSE))</f>
        <v/>
      </c>
      <c r="K115" s="520" t="str">
        <f>IF(J115="","",VLOOKUP($B115,'C-1 Site River Baseline'!$C$9:$R$257,10,FALSE))</f>
        <v/>
      </c>
      <c r="L115" s="520" t="str">
        <f>IF(B115="","",VLOOKUP($B115,'C-1 Site River Baseline'!$C$9:$R$257,15,FALSE))</f>
        <v/>
      </c>
      <c r="M115" s="524" t="str">
        <f>IF(L115="","",VLOOKUP($B115,'C-1 Site River Baseline'!$C$9:$R$257,16,FALSE))</f>
        <v/>
      </c>
      <c r="N115" s="418" t="str">
        <f t="shared" si="9"/>
        <v/>
      </c>
      <c r="O115" s="498" t="str">
        <f t="shared" si="10"/>
        <v/>
      </c>
      <c r="P115" s="499"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7" t="str">
        <f>IF(N115="","",VLOOKUP(B115,'C-1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07" t="str">
        <f>IF(V115="","",IF(VLOOKUP(V115,'G-7 Rivers Data'!$AG$4:$AI$9,2,FALSE)=0,"Spatial Data Missing ⚠",VLOOKUP(V115,'G-7 Rivers Data'!$AG$4:$AI$9,2,FALSE)))</f>
        <v/>
      </c>
      <c r="X115" s="499" t="str">
        <f>IF(V115="","",IF(VLOOKUP(V115,'G-7 Rivers Data'!$AG$4:$AI$9,3,FALSE)=0,"Spatial Data Missing ⚠",VLOOKUP(V115,'G-7 Rivers Data'!$AG$4:$AI$9,3,FALSE)))</f>
        <v/>
      </c>
      <c r="Y115" s="498" t="str">
        <f>IFERROR(IF(OR(LEFT(P115,5)="Error ▲",LEFT(O115,5)="Error ▲"),"Check Data ⚠",IF(F115&lt;S115,'G-7 Rivers Data'!$R$3,INDEX('G-7 Rivers Data'!$U$5:$Y$9,MATCH(G115,'G-7 Rivers Data'!$T$5:$T$9,0),MATCH(T115,'G-7 Rivers Data'!$U$4:$Y$4,0)))),"")</f>
        <v/>
      </c>
      <c r="Z115" s="195"/>
      <c r="AA115" s="195"/>
      <c r="AB115" s="507" t="str">
        <f t="shared" si="11"/>
        <v/>
      </c>
      <c r="AC115" s="521" t="str">
        <f t="shared" si="12"/>
        <v/>
      </c>
      <c r="AD115" s="564" t="str">
        <f>IFERROR(IF(AC115="Check Data ⚠","Check Data ⚠",VLOOKUP(AC115,'G-4 Temporal multipliers'!$A$4:$C$37,3,FALSE)),"")</f>
        <v/>
      </c>
      <c r="AE115" s="498" t="str">
        <f>IF(N115="","",VLOOKUP(N115,'G-7 Rivers Data'!$B$4:$G$8,5,FALSE))</f>
        <v/>
      </c>
      <c r="AF115" s="507" t="str">
        <f t="shared" si="13"/>
        <v/>
      </c>
      <c r="AG115" s="540" t="str">
        <f t="shared" si="14"/>
        <v/>
      </c>
      <c r="AH115" s="499" t="str">
        <f t="shared" si="8"/>
        <v/>
      </c>
      <c r="AI115" s="145"/>
      <c r="AJ115" s="499" t="str">
        <f>IF(AI115="","",IF(VLOOKUP(AI115,'G-7 Rivers Data'!$AA$4:$AB$7,2,FALSE)=0,"Spatial Data Missing ⚠",VLOOKUP(AI115,'G-7 Rivers Data'!$AA$4:$AB$7,2,FALSE)))</f>
        <v/>
      </c>
      <c r="AK115" s="155"/>
      <c r="AL115" s="499" t="str">
        <f>IF(AK115="","",IF(VLOOKUP(AK115,'G-7 Rivers Data'!$AD$4:$AE$8,2,FALSE)=0,"Spatial Data Missing ⚠",VLOOKUP(AK115,'G-7 Rivers Data'!$AD$4:$AE$8,2,FALSE)))</f>
        <v/>
      </c>
      <c r="AM115" s="545" t="str">
        <f t="shared" si="15"/>
        <v/>
      </c>
      <c r="AN115" s="149"/>
      <c r="AO115" s="150"/>
      <c r="AV115" s="31" t="str">
        <f>IFERROR(INDEX('G-7 Rivers Data'!$AZ$3:$AZ$7,MATCH(N115,'G-7 Rivers Data'!$AY$3:$AY$7,0)),"")</f>
        <v/>
      </c>
    </row>
    <row r="116" spans="2:48" ht="13.8" x14ac:dyDescent="0.25">
      <c r="B116" s="531" t="str">
        <f>'C-1 Site River Baseline'!AN114</f>
        <v/>
      </c>
      <c r="C116" s="520" t="str">
        <f>IF(B116="","",VLOOKUP($B116,'C-1 Site River Baseline'!$C$9:$R$257,2,FALSE))</f>
        <v/>
      </c>
      <c r="D116" s="520" t="str">
        <f>IF(C116="","",VLOOKUP($B116,'C-1 Site River Baseline'!$C$9:$R$257,3,FALSE))</f>
        <v/>
      </c>
      <c r="E116" s="520" t="str">
        <f>IF(D116="","",VLOOKUP($B116,'C-1 Site River Baseline'!$C$9:$R$257,4,FALSE))</f>
        <v/>
      </c>
      <c r="F116" s="520" t="str">
        <f>IF(E116="","",VLOOKUP($B116,'C-1 Site River Baseline'!$C$9:$R$257,5,FALSE))</f>
        <v/>
      </c>
      <c r="G116" s="520" t="str">
        <f>IF(F116="","",VLOOKUP($B116,'C-1 Site River Baseline'!$C$9:$R$257,6,FALSE))</f>
        <v/>
      </c>
      <c r="H116" s="520" t="str">
        <f>IF(G116="","",VLOOKUP($B116,'C-1 Site River Baseline'!$C$9:$R$257,7,FALSE))</f>
        <v/>
      </c>
      <c r="I116" s="520" t="str">
        <f>IF(H116="","",VLOOKUP($B116,'C-1 Site River Baseline'!$C$9:$R$257,8,FALSE))</f>
        <v/>
      </c>
      <c r="J116" s="520" t="str">
        <f>IF(I116="","",VLOOKUP($B116,'C-1 Site River Baseline'!$C$9:$R$257,9,FALSE))</f>
        <v/>
      </c>
      <c r="K116" s="520" t="str">
        <f>IF(J116="","",VLOOKUP($B116,'C-1 Site River Baseline'!$C$9:$R$257,10,FALSE))</f>
        <v/>
      </c>
      <c r="L116" s="520" t="str">
        <f>IF(B116="","",VLOOKUP($B116,'C-1 Site River Baseline'!$C$9:$R$257,15,FALSE))</f>
        <v/>
      </c>
      <c r="M116" s="524" t="str">
        <f>IF(L116="","",VLOOKUP($B116,'C-1 Site River Baseline'!$C$9:$R$257,16,FALSE))</f>
        <v/>
      </c>
      <c r="N116" s="418" t="str">
        <f t="shared" si="9"/>
        <v/>
      </c>
      <c r="O116" s="498" t="str">
        <f t="shared" si="10"/>
        <v/>
      </c>
      <c r="P116" s="499"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7" t="str">
        <f>IF(N116="","",VLOOKUP(B116,'C-1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07" t="str">
        <f>IF(V116="","",IF(VLOOKUP(V116,'G-7 Rivers Data'!$AG$4:$AI$9,2,FALSE)=0,"Spatial Data Missing ⚠",VLOOKUP(V116,'G-7 Rivers Data'!$AG$4:$AI$9,2,FALSE)))</f>
        <v/>
      </c>
      <c r="X116" s="499" t="str">
        <f>IF(V116="","",IF(VLOOKUP(V116,'G-7 Rivers Data'!$AG$4:$AI$9,3,FALSE)=0,"Spatial Data Missing ⚠",VLOOKUP(V116,'G-7 Rivers Data'!$AG$4:$AI$9,3,FALSE)))</f>
        <v/>
      </c>
      <c r="Y116" s="498" t="str">
        <f>IFERROR(IF(OR(LEFT(P116,5)="Error ▲",LEFT(O116,5)="Error ▲"),"Check Data ⚠",IF(F116&lt;S116,'G-7 Rivers Data'!$R$3,INDEX('G-7 Rivers Data'!$U$5:$Y$9,MATCH(G116,'G-7 Rivers Data'!$T$5:$T$9,0),MATCH(T116,'G-7 Rivers Data'!$U$4:$Y$4,0)))),"")</f>
        <v/>
      </c>
      <c r="Z116" s="195"/>
      <c r="AA116" s="195"/>
      <c r="AB116" s="507" t="str">
        <f t="shared" si="11"/>
        <v/>
      </c>
      <c r="AC116" s="521" t="str">
        <f t="shared" si="12"/>
        <v/>
      </c>
      <c r="AD116" s="564" t="str">
        <f>IFERROR(IF(AC116="Check Data ⚠","Check Data ⚠",VLOOKUP(AC116,'G-4 Temporal multipliers'!$A$4:$C$37,3,FALSE)),"")</f>
        <v/>
      </c>
      <c r="AE116" s="498" t="str">
        <f>IF(N116="","",VLOOKUP(N116,'G-7 Rivers Data'!$B$4:$G$8,5,FALSE))</f>
        <v/>
      </c>
      <c r="AF116" s="507" t="str">
        <f t="shared" si="13"/>
        <v/>
      </c>
      <c r="AG116" s="540" t="str">
        <f t="shared" si="14"/>
        <v/>
      </c>
      <c r="AH116" s="499" t="str">
        <f t="shared" si="8"/>
        <v/>
      </c>
      <c r="AI116" s="145"/>
      <c r="AJ116" s="499" t="str">
        <f>IF(AI116="","",IF(VLOOKUP(AI116,'G-7 Rivers Data'!$AA$4:$AB$7,2,FALSE)=0,"Spatial Data Missing ⚠",VLOOKUP(AI116,'G-7 Rivers Data'!$AA$4:$AB$7,2,FALSE)))</f>
        <v/>
      </c>
      <c r="AK116" s="155"/>
      <c r="AL116" s="499" t="str">
        <f>IF(AK116="","",IF(VLOOKUP(AK116,'G-7 Rivers Data'!$AD$4:$AE$8,2,FALSE)=0,"Spatial Data Missing ⚠",VLOOKUP(AK116,'G-7 Rivers Data'!$AD$4:$AE$8,2,FALSE)))</f>
        <v/>
      </c>
      <c r="AM116" s="545" t="str">
        <f t="shared" si="15"/>
        <v/>
      </c>
      <c r="AN116" s="149"/>
      <c r="AO116" s="150"/>
      <c r="AV116" s="31" t="str">
        <f>IFERROR(INDEX('G-7 Rivers Data'!$AZ$3:$AZ$7,MATCH(N116,'G-7 Rivers Data'!$AY$3:$AY$7,0)),"")</f>
        <v/>
      </c>
    </row>
    <row r="117" spans="2:48" ht="13.8" x14ac:dyDescent="0.25">
      <c r="B117" s="531" t="str">
        <f>'C-1 Site River Baseline'!AN115</f>
        <v/>
      </c>
      <c r="C117" s="520" t="str">
        <f>IF(B117="","",VLOOKUP($B117,'C-1 Site River Baseline'!$C$9:$R$257,2,FALSE))</f>
        <v/>
      </c>
      <c r="D117" s="520" t="str">
        <f>IF(C117="","",VLOOKUP($B117,'C-1 Site River Baseline'!$C$9:$R$257,3,FALSE))</f>
        <v/>
      </c>
      <c r="E117" s="520" t="str">
        <f>IF(D117="","",VLOOKUP($B117,'C-1 Site River Baseline'!$C$9:$R$257,4,FALSE))</f>
        <v/>
      </c>
      <c r="F117" s="520" t="str">
        <f>IF(E117="","",VLOOKUP($B117,'C-1 Site River Baseline'!$C$9:$R$257,5,FALSE))</f>
        <v/>
      </c>
      <c r="G117" s="520" t="str">
        <f>IF(F117="","",VLOOKUP($B117,'C-1 Site River Baseline'!$C$9:$R$257,6,FALSE))</f>
        <v/>
      </c>
      <c r="H117" s="520" t="str">
        <f>IF(G117="","",VLOOKUP($B117,'C-1 Site River Baseline'!$C$9:$R$257,7,FALSE))</f>
        <v/>
      </c>
      <c r="I117" s="520" t="str">
        <f>IF(H117="","",VLOOKUP($B117,'C-1 Site River Baseline'!$C$9:$R$257,8,FALSE))</f>
        <v/>
      </c>
      <c r="J117" s="520" t="str">
        <f>IF(I117="","",VLOOKUP($B117,'C-1 Site River Baseline'!$C$9:$R$257,9,FALSE))</f>
        <v/>
      </c>
      <c r="K117" s="520" t="str">
        <f>IF(J117="","",VLOOKUP($B117,'C-1 Site River Baseline'!$C$9:$R$257,10,FALSE))</f>
        <v/>
      </c>
      <c r="L117" s="520" t="str">
        <f>IF(B117="","",VLOOKUP($B117,'C-1 Site River Baseline'!$C$9:$R$257,15,FALSE))</f>
        <v/>
      </c>
      <c r="M117" s="524" t="str">
        <f>IF(L117="","",VLOOKUP($B117,'C-1 Site River Baseline'!$C$9:$R$257,16,FALSE))</f>
        <v/>
      </c>
      <c r="N117" s="418" t="str">
        <f t="shared" si="9"/>
        <v/>
      </c>
      <c r="O117" s="498" t="str">
        <f t="shared" si="10"/>
        <v/>
      </c>
      <c r="P117" s="499"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7" t="str">
        <f>IF(N117="","",VLOOKUP(B117,'C-1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07" t="str">
        <f>IF(V117="","",IF(VLOOKUP(V117,'G-7 Rivers Data'!$AG$4:$AI$9,2,FALSE)=0,"Spatial Data Missing ⚠",VLOOKUP(V117,'G-7 Rivers Data'!$AG$4:$AI$9,2,FALSE)))</f>
        <v/>
      </c>
      <c r="X117" s="499" t="str">
        <f>IF(V117="","",IF(VLOOKUP(V117,'G-7 Rivers Data'!$AG$4:$AI$9,3,FALSE)=0,"Spatial Data Missing ⚠",VLOOKUP(V117,'G-7 Rivers Data'!$AG$4:$AI$9,3,FALSE)))</f>
        <v/>
      </c>
      <c r="Y117" s="498" t="str">
        <f>IFERROR(IF(OR(LEFT(P117,5)="Error ▲",LEFT(O117,5)="Error ▲"),"Check Data ⚠",IF(F117&lt;S117,'G-7 Rivers Data'!$R$3,INDEX('G-7 Rivers Data'!$U$5:$Y$9,MATCH(G117,'G-7 Rivers Data'!$T$5:$T$9,0),MATCH(T117,'G-7 Rivers Data'!$U$4:$Y$4,0)))),"")</f>
        <v/>
      </c>
      <c r="Z117" s="195"/>
      <c r="AA117" s="195"/>
      <c r="AB117" s="507" t="str">
        <f t="shared" si="11"/>
        <v/>
      </c>
      <c r="AC117" s="521" t="str">
        <f t="shared" si="12"/>
        <v/>
      </c>
      <c r="AD117" s="564" t="str">
        <f>IFERROR(IF(AC117="Check Data ⚠","Check Data ⚠",VLOOKUP(AC117,'G-4 Temporal multipliers'!$A$4:$C$37,3,FALSE)),"")</f>
        <v/>
      </c>
      <c r="AE117" s="498" t="str">
        <f>IF(N117="","",VLOOKUP(N117,'G-7 Rivers Data'!$B$4:$G$8,5,FALSE))</f>
        <v/>
      </c>
      <c r="AF117" s="507" t="str">
        <f t="shared" si="13"/>
        <v/>
      </c>
      <c r="AG117" s="540" t="str">
        <f t="shared" si="14"/>
        <v/>
      </c>
      <c r="AH117" s="499" t="str">
        <f t="shared" si="8"/>
        <v/>
      </c>
      <c r="AI117" s="145"/>
      <c r="AJ117" s="499" t="str">
        <f>IF(AI117="","",IF(VLOOKUP(AI117,'G-7 Rivers Data'!$AA$4:$AB$7,2,FALSE)=0,"Spatial Data Missing ⚠",VLOOKUP(AI117,'G-7 Rivers Data'!$AA$4:$AB$7,2,FALSE)))</f>
        <v/>
      </c>
      <c r="AK117" s="155"/>
      <c r="AL117" s="499" t="str">
        <f>IF(AK117="","",IF(VLOOKUP(AK117,'G-7 Rivers Data'!$AD$4:$AE$8,2,FALSE)=0,"Spatial Data Missing ⚠",VLOOKUP(AK117,'G-7 Rivers Data'!$AD$4:$AE$8,2,FALSE)))</f>
        <v/>
      </c>
      <c r="AM117" s="545" t="str">
        <f t="shared" si="15"/>
        <v/>
      </c>
      <c r="AN117" s="149"/>
      <c r="AO117" s="150"/>
      <c r="AV117" s="31" t="str">
        <f>IFERROR(INDEX('G-7 Rivers Data'!$AZ$3:$AZ$7,MATCH(N117,'G-7 Rivers Data'!$AY$3:$AY$7,0)),"")</f>
        <v/>
      </c>
    </row>
    <row r="118" spans="2:48" ht="13.8" x14ac:dyDescent="0.25">
      <c r="B118" s="531" t="str">
        <f>'C-1 Site River Baseline'!AN116</f>
        <v/>
      </c>
      <c r="C118" s="520" t="str">
        <f>IF(B118="","",VLOOKUP($B118,'C-1 Site River Baseline'!$C$9:$R$257,2,FALSE))</f>
        <v/>
      </c>
      <c r="D118" s="520" t="str">
        <f>IF(C118="","",VLOOKUP($B118,'C-1 Site River Baseline'!$C$9:$R$257,3,FALSE))</f>
        <v/>
      </c>
      <c r="E118" s="520" t="str">
        <f>IF(D118="","",VLOOKUP($B118,'C-1 Site River Baseline'!$C$9:$R$257,4,FALSE))</f>
        <v/>
      </c>
      <c r="F118" s="520" t="str">
        <f>IF(E118="","",VLOOKUP($B118,'C-1 Site River Baseline'!$C$9:$R$257,5,FALSE))</f>
        <v/>
      </c>
      <c r="G118" s="520" t="str">
        <f>IF(F118="","",VLOOKUP($B118,'C-1 Site River Baseline'!$C$9:$R$257,6,FALSE))</f>
        <v/>
      </c>
      <c r="H118" s="520" t="str">
        <f>IF(G118="","",VLOOKUP($B118,'C-1 Site River Baseline'!$C$9:$R$257,7,FALSE))</f>
        <v/>
      </c>
      <c r="I118" s="520" t="str">
        <f>IF(H118="","",VLOOKUP($B118,'C-1 Site River Baseline'!$C$9:$R$257,8,FALSE))</f>
        <v/>
      </c>
      <c r="J118" s="520" t="str">
        <f>IF(I118="","",VLOOKUP($B118,'C-1 Site River Baseline'!$C$9:$R$257,9,FALSE))</f>
        <v/>
      </c>
      <c r="K118" s="520" t="str">
        <f>IF(J118="","",VLOOKUP($B118,'C-1 Site River Baseline'!$C$9:$R$257,10,FALSE))</f>
        <v/>
      </c>
      <c r="L118" s="520" t="str">
        <f>IF(B118="","",VLOOKUP($B118,'C-1 Site River Baseline'!$C$9:$R$257,15,FALSE))</f>
        <v/>
      </c>
      <c r="M118" s="524" t="str">
        <f>IF(L118="","",VLOOKUP($B118,'C-1 Site River Baseline'!$C$9:$R$257,16,FALSE))</f>
        <v/>
      </c>
      <c r="N118" s="418" t="str">
        <f t="shared" si="9"/>
        <v/>
      </c>
      <c r="O118" s="498" t="str">
        <f t="shared" si="10"/>
        <v/>
      </c>
      <c r="P118" s="499"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7" t="str">
        <f>IF(N118="","",VLOOKUP(B118,'C-1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07" t="str">
        <f>IF(V118="","",IF(VLOOKUP(V118,'G-7 Rivers Data'!$AG$4:$AI$9,2,FALSE)=0,"Spatial Data Missing ⚠",VLOOKUP(V118,'G-7 Rivers Data'!$AG$4:$AI$9,2,FALSE)))</f>
        <v/>
      </c>
      <c r="X118" s="499" t="str">
        <f>IF(V118="","",IF(VLOOKUP(V118,'G-7 Rivers Data'!$AG$4:$AI$9,3,FALSE)=0,"Spatial Data Missing ⚠",VLOOKUP(V118,'G-7 Rivers Data'!$AG$4:$AI$9,3,FALSE)))</f>
        <v/>
      </c>
      <c r="Y118" s="498" t="str">
        <f>IFERROR(IF(OR(LEFT(P118,5)="Error ▲",LEFT(O118,5)="Error ▲"),"Check Data ⚠",IF(F118&lt;S118,'G-7 Rivers Data'!$R$3,INDEX('G-7 Rivers Data'!$U$5:$Y$9,MATCH(G118,'G-7 Rivers Data'!$T$5:$T$9,0),MATCH(T118,'G-7 Rivers Data'!$U$4:$Y$4,0)))),"")</f>
        <v/>
      </c>
      <c r="Z118" s="195"/>
      <c r="AA118" s="195"/>
      <c r="AB118" s="507" t="str">
        <f t="shared" si="11"/>
        <v/>
      </c>
      <c r="AC118" s="521" t="str">
        <f t="shared" si="12"/>
        <v/>
      </c>
      <c r="AD118" s="564" t="str">
        <f>IFERROR(IF(AC118="Check Data ⚠","Check Data ⚠",VLOOKUP(AC118,'G-4 Temporal multipliers'!$A$4:$C$37,3,FALSE)),"")</f>
        <v/>
      </c>
      <c r="AE118" s="498" t="str">
        <f>IF(N118="","",VLOOKUP(N118,'G-7 Rivers Data'!$B$4:$G$8,5,FALSE))</f>
        <v/>
      </c>
      <c r="AF118" s="507" t="str">
        <f t="shared" si="13"/>
        <v/>
      </c>
      <c r="AG118" s="540" t="str">
        <f t="shared" si="14"/>
        <v/>
      </c>
      <c r="AH118" s="499" t="str">
        <f t="shared" si="8"/>
        <v/>
      </c>
      <c r="AI118" s="145"/>
      <c r="AJ118" s="499" t="str">
        <f>IF(AI118="","",IF(VLOOKUP(AI118,'G-7 Rivers Data'!$AA$4:$AB$7,2,FALSE)=0,"Spatial Data Missing ⚠",VLOOKUP(AI118,'G-7 Rivers Data'!$AA$4:$AB$7,2,FALSE)))</f>
        <v/>
      </c>
      <c r="AK118" s="155"/>
      <c r="AL118" s="499" t="str">
        <f>IF(AK118="","",IF(VLOOKUP(AK118,'G-7 Rivers Data'!$AD$4:$AE$8,2,FALSE)=0,"Spatial Data Missing ⚠",VLOOKUP(AK118,'G-7 Rivers Data'!$AD$4:$AE$8,2,FALSE)))</f>
        <v/>
      </c>
      <c r="AM118" s="545" t="str">
        <f t="shared" si="15"/>
        <v/>
      </c>
      <c r="AN118" s="149"/>
      <c r="AO118" s="150"/>
      <c r="AV118" s="31" t="str">
        <f>IFERROR(INDEX('G-7 Rivers Data'!$AZ$3:$AZ$7,MATCH(N118,'G-7 Rivers Data'!$AY$3:$AY$7,0)),"")</f>
        <v/>
      </c>
    </row>
    <row r="119" spans="2:48" ht="13.8" x14ac:dyDescent="0.25">
      <c r="B119" s="531" t="str">
        <f>'C-1 Site River Baseline'!AN117</f>
        <v/>
      </c>
      <c r="C119" s="520" t="str">
        <f>IF(B119="","",VLOOKUP($B119,'C-1 Site River Baseline'!$C$9:$R$257,2,FALSE))</f>
        <v/>
      </c>
      <c r="D119" s="520" t="str">
        <f>IF(C119="","",VLOOKUP($B119,'C-1 Site River Baseline'!$C$9:$R$257,3,FALSE))</f>
        <v/>
      </c>
      <c r="E119" s="520" t="str">
        <f>IF(D119="","",VLOOKUP($B119,'C-1 Site River Baseline'!$C$9:$R$257,4,FALSE))</f>
        <v/>
      </c>
      <c r="F119" s="520" t="str">
        <f>IF(E119="","",VLOOKUP($B119,'C-1 Site River Baseline'!$C$9:$R$257,5,FALSE))</f>
        <v/>
      </c>
      <c r="G119" s="520" t="str">
        <f>IF(F119="","",VLOOKUP($B119,'C-1 Site River Baseline'!$C$9:$R$257,6,FALSE))</f>
        <v/>
      </c>
      <c r="H119" s="520" t="str">
        <f>IF(G119="","",VLOOKUP($B119,'C-1 Site River Baseline'!$C$9:$R$257,7,FALSE))</f>
        <v/>
      </c>
      <c r="I119" s="520" t="str">
        <f>IF(H119="","",VLOOKUP($B119,'C-1 Site River Baseline'!$C$9:$R$257,8,FALSE))</f>
        <v/>
      </c>
      <c r="J119" s="520" t="str">
        <f>IF(I119="","",VLOOKUP($B119,'C-1 Site River Baseline'!$C$9:$R$257,9,FALSE))</f>
        <v/>
      </c>
      <c r="K119" s="520" t="str">
        <f>IF(J119="","",VLOOKUP($B119,'C-1 Site River Baseline'!$C$9:$R$257,10,FALSE))</f>
        <v/>
      </c>
      <c r="L119" s="520" t="str">
        <f>IF(B119="","",VLOOKUP($B119,'C-1 Site River Baseline'!$C$9:$R$257,15,FALSE))</f>
        <v/>
      </c>
      <c r="M119" s="524" t="str">
        <f>IF(L119="","",VLOOKUP($B119,'C-1 Site River Baseline'!$C$9:$R$257,16,FALSE))</f>
        <v/>
      </c>
      <c r="N119" s="418" t="str">
        <f t="shared" si="9"/>
        <v/>
      </c>
      <c r="O119" s="498" t="str">
        <f t="shared" si="10"/>
        <v/>
      </c>
      <c r="P119" s="499"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7" t="str">
        <f>IF(N119="","",VLOOKUP(B119,'C-1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07" t="str">
        <f>IF(V119="","",IF(VLOOKUP(V119,'G-7 Rivers Data'!$AG$4:$AI$9,2,FALSE)=0,"Spatial Data Missing ⚠",VLOOKUP(V119,'G-7 Rivers Data'!$AG$4:$AI$9,2,FALSE)))</f>
        <v/>
      </c>
      <c r="X119" s="499" t="str">
        <f>IF(V119="","",IF(VLOOKUP(V119,'G-7 Rivers Data'!$AG$4:$AI$9,3,FALSE)=0,"Spatial Data Missing ⚠",VLOOKUP(V119,'G-7 Rivers Data'!$AG$4:$AI$9,3,FALSE)))</f>
        <v/>
      </c>
      <c r="Y119" s="498" t="str">
        <f>IFERROR(IF(OR(LEFT(P119,5)="Error ▲",LEFT(O119,5)="Error ▲"),"Check Data ⚠",IF(F119&lt;S119,'G-7 Rivers Data'!$R$3,INDEX('G-7 Rivers Data'!$U$5:$Y$9,MATCH(G119,'G-7 Rivers Data'!$T$5:$T$9,0),MATCH(T119,'G-7 Rivers Data'!$U$4:$Y$4,0)))),"")</f>
        <v/>
      </c>
      <c r="Z119" s="195"/>
      <c r="AA119" s="195"/>
      <c r="AB119" s="507" t="str">
        <f t="shared" si="11"/>
        <v/>
      </c>
      <c r="AC119" s="521" t="str">
        <f t="shared" si="12"/>
        <v/>
      </c>
      <c r="AD119" s="564" t="str">
        <f>IFERROR(IF(AC119="Check Data ⚠","Check Data ⚠",VLOOKUP(AC119,'G-4 Temporal multipliers'!$A$4:$C$37,3,FALSE)),"")</f>
        <v/>
      </c>
      <c r="AE119" s="498" t="str">
        <f>IF(N119="","",VLOOKUP(N119,'G-7 Rivers Data'!$B$4:$G$8,5,FALSE))</f>
        <v/>
      </c>
      <c r="AF119" s="507" t="str">
        <f t="shared" si="13"/>
        <v/>
      </c>
      <c r="AG119" s="540" t="str">
        <f t="shared" si="14"/>
        <v/>
      </c>
      <c r="AH119" s="499" t="str">
        <f t="shared" si="8"/>
        <v/>
      </c>
      <c r="AI119" s="145"/>
      <c r="AJ119" s="499" t="str">
        <f>IF(AI119="","",IF(VLOOKUP(AI119,'G-7 Rivers Data'!$AA$4:$AB$7,2,FALSE)=0,"Spatial Data Missing ⚠",VLOOKUP(AI119,'G-7 Rivers Data'!$AA$4:$AB$7,2,FALSE)))</f>
        <v/>
      </c>
      <c r="AK119" s="155"/>
      <c r="AL119" s="499" t="str">
        <f>IF(AK119="","",IF(VLOOKUP(AK119,'G-7 Rivers Data'!$AD$4:$AE$8,2,FALSE)=0,"Spatial Data Missing ⚠",VLOOKUP(AK119,'G-7 Rivers Data'!$AD$4:$AE$8,2,FALSE)))</f>
        <v/>
      </c>
      <c r="AM119" s="545" t="str">
        <f t="shared" si="15"/>
        <v/>
      </c>
      <c r="AN119" s="149"/>
      <c r="AO119" s="150"/>
      <c r="AV119" s="31" t="str">
        <f>IFERROR(INDEX('G-7 Rivers Data'!$AZ$3:$AZ$7,MATCH(N119,'G-7 Rivers Data'!$AY$3:$AY$7,0)),"")</f>
        <v/>
      </c>
    </row>
    <row r="120" spans="2:48" ht="13.8" x14ac:dyDescent="0.25">
      <c r="B120" s="531" t="str">
        <f>'C-1 Site River Baseline'!AN118</f>
        <v/>
      </c>
      <c r="C120" s="520" t="str">
        <f>IF(B120="","",VLOOKUP($B120,'C-1 Site River Baseline'!$C$9:$R$257,2,FALSE))</f>
        <v/>
      </c>
      <c r="D120" s="520" t="str">
        <f>IF(C120="","",VLOOKUP($B120,'C-1 Site River Baseline'!$C$9:$R$257,3,FALSE))</f>
        <v/>
      </c>
      <c r="E120" s="520" t="str">
        <f>IF(D120="","",VLOOKUP($B120,'C-1 Site River Baseline'!$C$9:$R$257,4,FALSE))</f>
        <v/>
      </c>
      <c r="F120" s="520" t="str">
        <f>IF(E120="","",VLOOKUP($B120,'C-1 Site River Baseline'!$C$9:$R$257,5,FALSE))</f>
        <v/>
      </c>
      <c r="G120" s="520" t="str">
        <f>IF(F120="","",VLOOKUP($B120,'C-1 Site River Baseline'!$C$9:$R$257,6,FALSE))</f>
        <v/>
      </c>
      <c r="H120" s="520" t="str">
        <f>IF(G120="","",VLOOKUP($B120,'C-1 Site River Baseline'!$C$9:$R$257,7,FALSE))</f>
        <v/>
      </c>
      <c r="I120" s="520" t="str">
        <f>IF(H120="","",VLOOKUP($B120,'C-1 Site River Baseline'!$C$9:$R$257,8,FALSE))</f>
        <v/>
      </c>
      <c r="J120" s="520" t="str">
        <f>IF(I120="","",VLOOKUP($B120,'C-1 Site River Baseline'!$C$9:$R$257,9,FALSE))</f>
        <v/>
      </c>
      <c r="K120" s="520" t="str">
        <f>IF(J120="","",VLOOKUP($B120,'C-1 Site River Baseline'!$C$9:$R$257,10,FALSE))</f>
        <v/>
      </c>
      <c r="L120" s="520" t="str">
        <f>IF(B120="","",VLOOKUP($B120,'C-1 Site River Baseline'!$C$9:$R$257,15,FALSE))</f>
        <v/>
      </c>
      <c r="M120" s="524" t="str">
        <f>IF(L120="","",VLOOKUP($B120,'C-1 Site River Baseline'!$C$9:$R$257,16,FALSE))</f>
        <v/>
      </c>
      <c r="N120" s="418" t="str">
        <f t="shared" si="9"/>
        <v/>
      </c>
      <c r="O120" s="498" t="str">
        <f t="shared" si="10"/>
        <v/>
      </c>
      <c r="P120" s="499"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7" t="str">
        <f>IF(N120="","",VLOOKUP(B120,'C-1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07" t="str">
        <f>IF(V120="","",IF(VLOOKUP(V120,'G-7 Rivers Data'!$AG$4:$AI$9,2,FALSE)=0,"Spatial Data Missing ⚠",VLOOKUP(V120,'G-7 Rivers Data'!$AG$4:$AI$9,2,FALSE)))</f>
        <v/>
      </c>
      <c r="X120" s="499" t="str">
        <f>IF(V120="","",IF(VLOOKUP(V120,'G-7 Rivers Data'!$AG$4:$AI$9,3,FALSE)=0,"Spatial Data Missing ⚠",VLOOKUP(V120,'G-7 Rivers Data'!$AG$4:$AI$9,3,FALSE)))</f>
        <v/>
      </c>
      <c r="Y120" s="498" t="str">
        <f>IFERROR(IF(OR(LEFT(P120,5)="Error ▲",LEFT(O120,5)="Error ▲"),"Check Data ⚠",IF(F120&lt;S120,'G-7 Rivers Data'!$R$3,INDEX('G-7 Rivers Data'!$U$5:$Y$9,MATCH(G120,'G-7 Rivers Data'!$T$5:$T$9,0),MATCH(T120,'G-7 Rivers Data'!$U$4:$Y$4,0)))),"")</f>
        <v/>
      </c>
      <c r="Z120" s="195"/>
      <c r="AA120" s="195"/>
      <c r="AB120" s="507" t="str">
        <f t="shared" si="11"/>
        <v/>
      </c>
      <c r="AC120" s="521" t="str">
        <f t="shared" si="12"/>
        <v/>
      </c>
      <c r="AD120" s="564" t="str">
        <f>IFERROR(IF(AC120="Check Data ⚠","Check Data ⚠",VLOOKUP(AC120,'G-4 Temporal multipliers'!$A$4:$C$37,3,FALSE)),"")</f>
        <v/>
      </c>
      <c r="AE120" s="498" t="str">
        <f>IF(N120="","",VLOOKUP(N120,'G-7 Rivers Data'!$B$4:$G$8,5,FALSE))</f>
        <v/>
      </c>
      <c r="AF120" s="507" t="str">
        <f t="shared" si="13"/>
        <v/>
      </c>
      <c r="AG120" s="540" t="str">
        <f t="shared" si="14"/>
        <v/>
      </c>
      <c r="AH120" s="499" t="str">
        <f t="shared" si="8"/>
        <v/>
      </c>
      <c r="AI120" s="145"/>
      <c r="AJ120" s="499" t="str">
        <f>IF(AI120="","",IF(VLOOKUP(AI120,'G-7 Rivers Data'!$AA$4:$AB$7,2,FALSE)=0,"Spatial Data Missing ⚠",VLOOKUP(AI120,'G-7 Rivers Data'!$AA$4:$AB$7,2,FALSE)))</f>
        <v/>
      </c>
      <c r="AK120" s="155"/>
      <c r="AL120" s="499" t="str">
        <f>IF(AK120="","",IF(VLOOKUP(AK120,'G-7 Rivers Data'!$AD$4:$AE$8,2,FALSE)=0,"Spatial Data Missing ⚠",VLOOKUP(AK120,'G-7 Rivers Data'!$AD$4:$AE$8,2,FALSE)))</f>
        <v/>
      </c>
      <c r="AM120" s="545" t="str">
        <f t="shared" si="15"/>
        <v/>
      </c>
      <c r="AN120" s="149"/>
      <c r="AO120" s="150"/>
      <c r="AV120" s="31" t="str">
        <f>IFERROR(INDEX('G-7 Rivers Data'!$AZ$3:$AZ$7,MATCH(N120,'G-7 Rivers Data'!$AY$3:$AY$7,0)),"")</f>
        <v/>
      </c>
    </row>
    <row r="121" spans="2:48" ht="13.8" x14ac:dyDescent="0.25">
      <c r="B121" s="531" t="str">
        <f>'C-1 Site River Baseline'!AN119</f>
        <v/>
      </c>
      <c r="C121" s="520" t="str">
        <f>IF(B121="","",VLOOKUP($B121,'C-1 Site River Baseline'!$C$9:$R$257,2,FALSE))</f>
        <v/>
      </c>
      <c r="D121" s="520" t="str">
        <f>IF(C121="","",VLOOKUP($B121,'C-1 Site River Baseline'!$C$9:$R$257,3,FALSE))</f>
        <v/>
      </c>
      <c r="E121" s="520" t="str">
        <f>IF(D121="","",VLOOKUP($B121,'C-1 Site River Baseline'!$C$9:$R$257,4,FALSE))</f>
        <v/>
      </c>
      <c r="F121" s="520" t="str">
        <f>IF(E121="","",VLOOKUP($B121,'C-1 Site River Baseline'!$C$9:$R$257,5,FALSE))</f>
        <v/>
      </c>
      <c r="G121" s="520" t="str">
        <f>IF(F121="","",VLOOKUP($B121,'C-1 Site River Baseline'!$C$9:$R$257,6,FALSE))</f>
        <v/>
      </c>
      <c r="H121" s="520" t="str">
        <f>IF(G121="","",VLOOKUP($B121,'C-1 Site River Baseline'!$C$9:$R$257,7,FALSE))</f>
        <v/>
      </c>
      <c r="I121" s="520" t="str">
        <f>IF(H121="","",VLOOKUP($B121,'C-1 Site River Baseline'!$C$9:$R$257,8,FALSE))</f>
        <v/>
      </c>
      <c r="J121" s="520" t="str">
        <f>IF(I121="","",VLOOKUP($B121,'C-1 Site River Baseline'!$C$9:$R$257,9,FALSE))</f>
        <v/>
      </c>
      <c r="K121" s="520" t="str">
        <f>IF(J121="","",VLOOKUP($B121,'C-1 Site River Baseline'!$C$9:$R$257,10,FALSE))</f>
        <v/>
      </c>
      <c r="L121" s="520" t="str">
        <f>IF(B121="","",VLOOKUP($B121,'C-1 Site River Baseline'!$C$9:$R$257,15,FALSE))</f>
        <v/>
      </c>
      <c r="M121" s="524" t="str">
        <f>IF(L121="","",VLOOKUP($B121,'C-1 Site River Baseline'!$C$9:$R$257,16,FALSE))</f>
        <v/>
      </c>
      <c r="N121" s="418" t="str">
        <f t="shared" si="9"/>
        <v/>
      </c>
      <c r="O121" s="498" t="str">
        <f t="shared" si="10"/>
        <v/>
      </c>
      <c r="P121" s="499"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7" t="str">
        <f>IF(N121="","",VLOOKUP(B121,'C-1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07" t="str">
        <f>IF(V121="","",IF(VLOOKUP(V121,'G-7 Rivers Data'!$AG$4:$AI$9,2,FALSE)=0,"Spatial Data Missing ⚠",VLOOKUP(V121,'G-7 Rivers Data'!$AG$4:$AI$9,2,FALSE)))</f>
        <v/>
      </c>
      <c r="X121" s="499" t="str">
        <f>IF(V121="","",IF(VLOOKUP(V121,'G-7 Rivers Data'!$AG$4:$AI$9,3,FALSE)=0,"Spatial Data Missing ⚠",VLOOKUP(V121,'G-7 Rivers Data'!$AG$4:$AI$9,3,FALSE)))</f>
        <v/>
      </c>
      <c r="Y121" s="498" t="str">
        <f>IFERROR(IF(OR(LEFT(P121,5)="Error ▲",LEFT(O121,5)="Error ▲"),"Check Data ⚠",IF(F121&lt;S121,'G-7 Rivers Data'!$R$3,INDEX('G-7 Rivers Data'!$U$5:$Y$9,MATCH(G121,'G-7 Rivers Data'!$T$5:$T$9,0),MATCH(T121,'G-7 Rivers Data'!$U$4:$Y$4,0)))),"")</f>
        <v/>
      </c>
      <c r="Z121" s="195"/>
      <c r="AA121" s="195"/>
      <c r="AB121" s="507" t="str">
        <f t="shared" si="11"/>
        <v/>
      </c>
      <c r="AC121" s="521" t="str">
        <f t="shared" si="12"/>
        <v/>
      </c>
      <c r="AD121" s="564" t="str">
        <f>IFERROR(IF(AC121="Check Data ⚠","Check Data ⚠",VLOOKUP(AC121,'G-4 Temporal multipliers'!$A$4:$C$37,3,FALSE)),"")</f>
        <v/>
      </c>
      <c r="AE121" s="498" t="str">
        <f>IF(N121="","",VLOOKUP(N121,'G-7 Rivers Data'!$B$4:$G$8,5,FALSE))</f>
        <v/>
      </c>
      <c r="AF121" s="507" t="str">
        <f t="shared" si="13"/>
        <v/>
      </c>
      <c r="AG121" s="540" t="str">
        <f t="shared" si="14"/>
        <v/>
      </c>
      <c r="AH121" s="499" t="str">
        <f t="shared" si="8"/>
        <v/>
      </c>
      <c r="AI121" s="145"/>
      <c r="AJ121" s="499" t="str">
        <f>IF(AI121="","",IF(VLOOKUP(AI121,'G-7 Rivers Data'!$AA$4:$AB$7,2,FALSE)=0,"Spatial Data Missing ⚠",VLOOKUP(AI121,'G-7 Rivers Data'!$AA$4:$AB$7,2,FALSE)))</f>
        <v/>
      </c>
      <c r="AK121" s="155"/>
      <c r="AL121" s="499" t="str">
        <f>IF(AK121="","",IF(VLOOKUP(AK121,'G-7 Rivers Data'!$AD$4:$AE$8,2,FALSE)=0,"Spatial Data Missing ⚠",VLOOKUP(AK121,'G-7 Rivers Data'!$AD$4:$AE$8,2,FALSE)))</f>
        <v/>
      </c>
      <c r="AM121" s="545" t="str">
        <f t="shared" si="15"/>
        <v/>
      </c>
      <c r="AN121" s="149"/>
      <c r="AO121" s="150"/>
      <c r="AV121" s="31" t="str">
        <f>IFERROR(INDEX('G-7 Rivers Data'!$AZ$3:$AZ$7,MATCH(N121,'G-7 Rivers Data'!$AY$3:$AY$7,0)),"")</f>
        <v/>
      </c>
    </row>
    <row r="122" spans="2:48" ht="13.8" x14ac:dyDescent="0.25">
      <c r="B122" s="531" t="str">
        <f>'C-1 Site River Baseline'!AN120</f>
        <v/>
      </c>
      <c r="C122" s="520" t="str">
        <f>IF(B122="","",VLOOKUP($B122,'C-1 Site River Baseline'!$C$9:$R$257,2,FALSE))</f>
        <v/>
      </c>
      <c r="D122" s="520" t="str">
        <f>IF(C122="","",VLOOKUP($B122,'C-1 Site River Baseline'!$C$9:$R$257,3,FALSE))</f>
        <v/>
      </c>
      <c r="E122" s="520" t="str">
        <f>IF(D122="","",VLOOKUP($B122,'C-1 Site River Baseline'!$C$9:$R$257,4,FALSE))</f>
        <v/>
      </c>
      <c r="F122" s="520" t="str">
        <f>IF(E122="","",VLOOKUP($B122,'C-1 Site River Baseline'!$C$9:$R$257,5,FALSE))</f>
        <v/>
      </c>
      <c r="G122" s="520" t="str">
        <f>IF(F122="","",VLOOKUP($B122,'C-1 Site River Baseline'!$C$9:$R$257,6,FALSE))</f>
        <v/>
      </c>
      <c r="H122" s="520" t="str">
        <f>IF(G122="","",VLOOKUP($B122,'C-1 Site River Baseline'!$C$9:$R$257,7,FALSE))</f>
        <v/>
      </c>
      <c r="I122" s="520" t="str">
        <f>IF(H122="","",VLOOKUP($B122,'C-1 Site River Baseline'!$C$9:$R$257,8,FALSE))</f>
        <v/>
      </c>
      <c r="J122" s="520" t="str">
        <f>IF(I122="","",VLOOKUP($B122,'C-1 Site River Baseline'!$C$9:$R$257,9,FALSE))</f>
        <v/>
      </c>
      <c r="K122" s="520" t="str">
        <f>IF(J122="","",VLOOKUP($B122,'C-1 Site River Baseline'!$C$9:$R$257,10,FALSE))</f>
        <v/>
      </c>
      <c r="L122" s="520" t="str">
        <f>IF(B122="","",VLOOKUP($B122,'C-1 Site River Baseline'!$C$9:$R$257,15,FALSE))</f>
        <v/>
      </c>
      <c r="M122" s="524" t="str">
        <f>IF(L122="","",VLOOKUP($B122,'C-1 Site River Baseline'!$C$9:$R$257,16,FALSE))</f>
        <v/>
      </c>
      <c r="N122" s="418" t="str">
        <f t="shared" si="9"/>
        <v/>
      </c>
      <c r="O122" s="498" t="str">
        <f t="shared" si="10"/>
        <v/>
      </c>
      <c r="P122" s="499"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7" t="str">
        <f>IF(N122="","",VLOOKUP(B122,'C-1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07" t="str">
        <f>IF(V122="","",IF(VLOOKUP(V122,'G-7 Rivers Data'!$AG$4:$AI$9,2,FALSE)=0,"Spatial Data Missing ⚠",VLOOKUP(V122,'G-7 Rivers Data'!$AG$4:$AI$9,2,FALSE)))</f>
        <v/>
      </c>
      <c r="X122" s="499" t="str">
        <f>IF(V122="","",IF(VLOOKUP(V122,'G-7 Rivers Data'!$AG$4:$AI$9,3,FALSE)=0,"Spatial Data Missing ⚠",VLOOKUP(V122,'G-7 Rivers Data'!$AG$4:$AI$9,3,FALSE)))</f>
        <v/>
      </c>
      <c r="Y122" s="498" t="str">
        <f>IFERROR(IF(OR(LEFT(P122,5)="Error ▲",LEFT(O122,5)="Error ▲"),"Check Data ⚠",IF(F122&lt;S122,'G-7 Rivers Data'!$R$3,INDEX('G-7 Rivers Data'!$U$5:$Y$9,MATCH(G122,'G-7 Rivers Data'!$T$5:$T$9,0),MATCH(T122,'G-7 Rivers Data'!$U$4:$Y$4,0)))),"")</f>
        <v/>
      </c>
      <c r="Z122" s="195"/>
      <c r="AA122" s="195"/>
      <c r="AB122" s="507" t="str">
        <f t="shared" si="11"/>
        <v/>
      </c>
      <c r="AC122" s="521" t="str">
        <f t="shared" si="12"/>
        <v/>
      </c>
      <c r="AD122" s="564" t="str">
        <f>IFERROR(IF(AC122="Check Data ⚠","Check Data ⚠",VLOOKUP(AC122,'G-4 Temporal multipliers'!$A$4:$C$37,3,FALSE)),"")</f>
        <v/>
      </c>
      <c r="AE122" s="498" t="str">
        <f>IF(N122="","",VLOOKUP(N122,'G-7 Rivers Data'!$B$4:$G$8,5,FALSE))</f>
        <v/>
      </c>
      <c r="AF122" s="507" t="str">
        <f t="shared" si="13"/>
        <v/>
      </c>
      <c r="AG122" s="540" t="str">
        <f t="shared" si="14"/>
        <v/>
      </c>
      <c r="AH122" s="499" t="str">
        <f t="shared" si="8"/>
        <v/>
      </c>
      <c r="AI122" s="145"/>
      <c r="AJ122" s="499" t="str">
        <f>IF(AI122="","",IF(VLOOKUP(AI122,'G-7 Rivers Data'!$AA$4:$AB$7,2,FALSE)=0,"Spatial Data Missing ⚠",VLOOKUP(AI122,'G-7 Rivers Data'!$AA$4:$AB$7,2,FALSE)))</f>
        <v/>
      </c>
      <c r="AK122" s="155"/>
      <c r="AL122" s="499" t="str">
        <f>IF(AK122="","",IF(VLOOKUP(AK122,'G-7 Rivers Data'!$AD$4:$AE$8,2,FALSE)=0,"Spatial Data Missing ⚠",VLOOKUP(AK122,'G-7 Rivers Data'!$AD$4:$AE$8,2,FALSE)))</f>
        <v/>
      </c>
      <c r="AM122" s="545" t="str">
        <f t="shared" si="15"/>
        <v/>
      </c>
      <c r="AN122" s="149"/>
      <c r="AO122" s="150"/>
      <c r="AV122" s="31" t="str">
        <f>IFERROR(INDEX('G-7 Rivers Data'!$AZ$3:$AZ$7,MATCH(N122,'G-7 Rivers Data'!$AY$3:$AY$7,0)),"")</f>
        <v/>
      </c>
    </row>
    <row r="123" spans="2:48" ht="13.8" x14ac:dyDescent="0.25">
      <c r="B123" s="531" t="str">
        <f>'C-1 Site River Baseline'!AN121</f>
        <v/>
      </c>
      <c r="C123" s="520" t="str">
        <f>IF(B123="","",VLOOKUP($B123,'C-1 Site River Baseline'!$C$9:$R$257,2,FALSE))</f>
        <v/>
      </c>
      <c r="D123" s="520" t="str">
        <f>IF(C123="","",VLOOKUP($B123,'C-1 Site River Baseline'!$C$9:$R$257,3,FALSE))</f>
        <v/>
      </c>
      <c r="E123" s="520" t="str">
        <f>IF(D123="","",VLOOKUP($B123,'C-1 Site River Baseline'!$C$9:$R$257,4,FALSE))</f>
        <v/>
      </c>
      <c r="F123" s="520" t="str">
        <f>IF(E123="","",VLOOKUP($B123,'C-1 Site River Baseline'!$C$9:$R$257,5,FALSE))</f>
        <v/>
      </c>
      <c r="G123" s="520" t="str">
        <f>IF(F123="","",VLOOKUP($B123,'C-1 Site River Baseline'!$C$9:$R$257,6,FALSE))</f>
        <v/>
      </c>
      <c r="H123" s="520" t="str">
        <f>IF(G123="","",VLOOKUP($B123,'C-1 Site River Baseline'!$C$9:$R$257,7,FALSE))</f>
        <v/>
      </c>
      <c r="I123" s="520" t="str">
        <f>IF(H123="","",VLOOKUP($B123,'C-1 Site River Baseline'!$C$9:$R$257,8,FALSE))</f>
        <v/>
      </c>
      <c r="J123" s="520" t="str">
        <f>IF(I123="","",VLOOKUP($B123,'C-1 Site River Baseline'!$C$9:$R$257,9,FALSE))</f>
        <v/>
      </c>
      <c r="K123" s="520" t="str">
        <f>IF(J123="","",VLOOKUP($B123,'C-1 Site River Baseline'!$C$9:$R$257,10,FALSE))</f>
        <v/>
      </c>
      <c r="L123" s="520" t="str">
        <f>IF(B123="","",VLOOKUP($B123,'C-1 Site River Baseline'!$C$9:$R$257,15,FALSE))</f>
        <v/>
      </c>
      <c r="M123" s="524" t="str">
        <f>IF(L123="","",VLOOKUP($B123,'C-1 Site River Baseline'!$C$9:$R$257,16,FALSE))</f>
        <v/>
      </c>
      <c r="N123" s="418" t="str">
        <f t="shared" si="9"/>
        <v/>
      </c>
      <c r="O123" s="498" t="str">
        <f t="shared" si="10"/>
        <v/>
      </c>
      <c r="P123" s="499"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7" t="str">
        <f>IF(N123="","",VLOOKUP(B123,'C-1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07" t="str">
        <f>IF(V123="","",IF(VLOOKUP(V123,'G-7 Rivers Data'!$AG$4:$AI$9,2,FALSE)=0,"Spatial Data Missing ⚠",VLOOKUP(V123,'G-7 Rivers Data'!$AG$4:$AI$9,2,FALSE)))</f>
        <v/>
      </c>
      <c r="X123" s="499" t="str">
        <f>IF(V123="","",IF(VLOOKUP(V123,'G-7 Rivers Data'!$AG$4:$AI$9,3,FALSE)=0,"Spatial Data Missing ⚠",VLOOKUP(V123,'G-7 Rivers Data'!$AG$4:$AI$9,3,FALSE)))</f>
        <v/>
      </c>
      <c r="Y123" s="498" t="str">
        <f>IFERROR(IF(OR(LEFT(P123,5)="Error ▲",LEFT(O123,5)="Error ▲"),"Check Data ⚠",IF(F123&lt;S123,'G-7 Rivers Data'!$R$3,INDEX('G-7 Rivers Data'!$U$5:$Y$9,MATCH(G123,'G-7 Rivers Data'!$T$5:$T$9,0),MATCH(T123,'G-7 Rivers Data'!$U$4:$Y$4,0)))),"")</f>
        <v/>
      </c>
      <c r="Z123" s="195"/>
      <c r="AA123" s="195"/>
      <c r="AB123" s="507" t="str">
        <f t="shared" si="11"/>
        <v/>
      </c>
      <c r="AC123" s="521" t="str">
        <f t="shared" si="12"/>
        <v/>
      </c>
      <c r="AD123" s="564" t="str">
        <f>IFERROR(IF(AC123="Check Data ⚠","Check Data ⚠",VLOOKUP(AC123,'G-4 Temporal multipliers'!$A$4:$C$37,3,FALSE)),"")</f>
        <v/>
      </c>
      <c r="AE123" s="498" t="str">
        <f>IF(N123="","",VLOOKUP(N123,'G-7 Rivers Data'!$B$4:$G$8,5,FALSE))</f>
        <v/>
      </c>
      <c r="AF123" s="507" t="str">
        <f t="shared" si="13"/>
        <v/>
      </c>
      <c r="AG123" s="540" t="str">
        <f t="shared" si="14"/>
        <v/>
      </c>
      <c r="AH123" s="499" t="str">
        <f t="shared" si="8"/>
        <v/>
      </c>
      <c r="AI123" s="145"/>
      <c r="AJ123" s="499" t="str">
        <f>IF(AI123="","",IF(VLOOKUP(AI123,'G-7 Rivers Data'!$AA$4:$AB$7,2,FALSE)=0,"Spatial Data Missing ⚠",VLOOKUP(AI123,'G-7 Rivers Data'!$AA$4:$AB$7,2,FALSE)))</f>
        <v/>
      </c>
      <c r="AK123" s="155"/>
      <c r="AL123" s="499" t="str">
        <f>IF(AK123="","",IF(VLOOKUP(AK123,'G-7 Rivers Data'!$AD$4:$AE$8,2,FALSE)=0,"Spatial Data Missing ⚠",VLOOKUP(AK123,'G-7 Rivers Data'!$AD$4:$AE$8,2,FALSE)))</f>
        <v/>
      </c>
      <c r="AM123" s="545" t="str">
        <f t="shared" si="15"/>
        <v/>
      </c>
      <c r="AN123" s="149"/>
      <c r="AO123" s="150"/>
      <c r="AV123" s="31" t="str">
        <f>IFERROR(INDEX('G-7 Rivers Data'!$AZ$3:$AZ$7,MATCH(N123,'G-7 Rivers Data'!$AY$3:$AY$7,0)),"")</f>
        <v/>
      </c>
    </row>
    <row r="124" spans="2:48" ht="13.8" x14ac:dyDescent="0.25">
      <c r="B124" s="531" t="str">
        <f>'C-1 Site River Baseline'!AN122</f>
        <v/>
      </c>
      <c r="C124" s="520" t="str">
        <f>IF(B124="","",VLOOKUP($B124,'C-1 Site River Baseline'!$C$9:$R$257,2,FALSE))</f>
        <v/>
      </c>
      <c r="D124" s="520" t="str">
        <f>IF(C124="","",VLOOKUP($B124,'C-1 Site River Baseline'!$C$9:$R$257,3,FALSE))</f>
        <v/>
      </c>
      <c r="E124" s="520" t="str">
        <f>IF(D124="","",VLOOKUP($B124,'C-1 Site River Baseline'!$C$9:$R$257,4,FALSE))</f>
        <v/>
      </c>
      <c r="F124" s="520" t="str">
        <f>IF(E124="","",VLOOKUP($B124,'C-1 Site River Baseline'!$C$9:$R$257,5,FALSE))</f>
        <v/>
      </c>
      <c r="G124" s="520" t="str">
        <f>IF(F124="","",VLOOKUP($B124,'C-1 Site River Baseline'!$C$9:$R$257,6,FALSE))</f>
        <v/>
      </c>
      <c r="H124" s="520" t="str">
        <f>IF(G124="","",VLOOKUP($B124,'C-1 Site River Baseline'!$C$9:$R$257,7,FALSE))</f>
        <v/>
      </c>
      <c r="I124" s="520" t="str">
        <f>IF(H124="","",VLOOKUP($B124,'C-1 Site River Baseline'!$C$9:$R$257,8,FALSE))</f>
        <v/>
      </c>
      <c r="J124" s="520" t="str">
        <f>IF(I124="","",VLOOKUP($B124,'C-1 Site River Baseline'!$C$9:$R$257,9,FALSE))</f>
        <v/>
      </c>
      <c r="K124" s="520" t="str">
        <f>IF(J124="","",VLOOKUP($B124,'C-1 Site River Baseline'!$C$9:$R$257,10,FALSE))</f>
        <v/>
      </c>
      <c r="L124" s="520" t="str">
        <f>IF(B124="","",VLOOKUP($B124,'C-1 Site River Baseline'!$C$9:$R$257,15,FALSE))</f>
        <v/>
      </c>
      <c r="M124" s="524" t="str">
        <f>IF(L124="","",VLOOKUP($B124,'C-1 Site River Baseline'!$C$9:$R$257,16,FALSE))</f>
        <v/>
      </c>
      <c r="N124" s="418" t="str">
        <f t="shared" si="9"/>
        <v/>
      </c>
      <c r="O124" s="498" t="str">
        <f t="shared" si="10"/>
        <v/>
      </c>
      <c r="P124" s="499"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7" t="str">
        <f>IF(N124="","",VLOOKUP(B124,'C-1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07" t="str">
        <f>IF(V124="","",IF(VLOOKUP(V124,'G-7 Rivers Data'!$AG$4:$AI$9,2,FALSE)=0,"Spatial Data Missing ⚠",VLOOKUP(V124,'G-7 Rivers Data'!$AG$4:$AI$9,2,FALSE)))</f>
        <v/>
      </c>
      <c r="X124" s="499" t="str">
        <f>IF(V124="","",IF(VLOOKUP(V124,'G-7 Rivers Data'!$AG$4:$AI$9,3,FALSE)=0,"Spatial Data Missing ⚠",VLOOKUP(V124,'G-7 Rivers Data'!$AG$4:$AI$9,3,FALSE)))</f>
        <v/>
      </c>
      <c r="Y124" s="498" t="str">
        <f>IFERROR(IF(OR(LEFT(P124,5)="Error ▲",LEFT(O124,5)="Error ▲"),"Check Data ⚠",IF(F124&lt;S124,'G-7 Rivers Data'!$R$3,INDEX('G-7 Rivers Data'!$U$5:$Y$9,MATCH(G124,'G-7 Rivers Data'!$T$5:$T$9,0),MATCH(T124,'G-7 Rivers Data'!$U$4:$Y$4,0)))),"")</f>
        <v/>
      </c>
      <c r="Z124" s="195"/>
      <c r="AA124" s="195"/>
      <c r="AB124" s="507" t="str">
        <f t="shared" si="11"/>
        <v/>
      </c>
      <c r="AC124" s="521" t="str">
        <f t="shared" si="12"/>
        <v/>
      </c>
      <c r="AD124" s="564" t="str">
        <f>IFERROR(IF(AC124="Check Data ⚠","Check Data ⚠",VLOOKUP(AC124,'G-4 Temporal multipliers'!$A$4:$C$37,3,FALSE)),"")</f>
        <v/>
      </c>
      <c r="AE124" s="498" t="str">
        <f>IF(N124="","",VLOOKUP(N124,'G-7 Rivers Data'!$B$4:$G$8,5,FALSE))</f>
        <v/>
      </c>
      <c r="AF124" s="507" t="str">
        <f t="shared" si="13"/>
        <v/>
      </c>
      <c r="AG124" s="540" t="str">
        <f t="shared" si="14"/>
        <v/>
      </c>
      <c r="AH124" s="499" t="str">
        <f t="shared" si="8"/>
        <v/>
      </c>
      <c r="AI124" s="145"/>
      <c r="AJ124" s="499" t="str">
        <f>IF(AI124="","",IF(VLOOKUP(AI124,'G-7 Rivers Data'!$AA$4:$AB$7,2,FALSE)=0,"Spatial Data Missing ⚠",VLOOKUP(AI124,'G-7 Rivers Data'!$AA$4:$AB$7,2,FALSE)))</f>
        <v/>
      </c>
      <c r="AK124" s="155"/>
      <c r="AL124" s="499" t="str">
        <f>IF(AK124="","",IF(VLOOKUP(AK124,'G-7 Rivers Data'!$AD$4:$AE$8,2,FALSE)=0,"Spatial Data Missing ⚠",VLOOKUP(AK124,'G-7 Rivers Data'!$AD$4:$AE$8,2,FALSE)))</f>
        <v/>
      </c>
      <c r="AM124" s="545" t="str">
        <f t="shared" si="15"/>
        <v/>
      </c>
      <c r="AN124" s="149"/>
      <c r="AO124" s="150"/>
      <c r="AV124" s="31" t="str">
        <f>IFERROR(INDEX('G-7 Rivers Data'!$AZ$3:$AZ$7,MATCH(N124,'G-7 Rivers Data'!$AY$3:$AY$7,0)),"")</f>
        <v/>
      </c>
    </row>
    <row r="125" spans="2:48" ht="13.8" x14ac:dyDescent="0.25">
      <c r="B125" s="531" t="str">
        <f>'C-1 Site River Baseline'!AN123</f>
        <v/>
      </c>
      <c r="C125" s="520" t="str">
        <f>IF(B125="","",VLOOKUP($B125,'C-1 Site River Baseline'!$C$9:$R$257,2,FALSE))</f>
        <v/>
      </c>
      <c r="D125" s="520" t="str">
        <f>IF(C125="","",VLOOKUP($B125,'C-1 Site River Baseline'!$C$9:$R$257,3,FALSE))</f>
        <v/>
      </c>
      <c r="E125" s="520" t="str">
        <f>IF(D125="","",VLOOKUP($B125,'C-1 Site River Baseline'!$C$9:$R$257,4,FALSE))</f>
        <v/>
      </c>
      <c r="F125" s="520" t="str">
        <f>IF(E125="","",VLOOKUP($B125,'C-1 Site River Baseline'!$C$9:$R$257,5,FALSE))</f>
        <v/>
      </c>
      <c r="G125" s="520" t="str">
        <f>IF(F125="","",VLOOKUP($B125,'C-1 Site River Baseline'!$C$9:$R$257,6,FALSE))</f>
        <v/>
      </c>
      <c r="H125" s="520" t="str">
        <f>IF(G125="","",VLOOKUP($B125,'C-1 Site River Baseline'!$C$9:$R$257,7,FALSE))</f>
        <v/>
      </c>
      <c r="I125" s="520" t="str">
        <f>IF(H125="","",VLOOKUP($B125,'C-1 Site River Baseline'!$C$9:$R$257,8,FALSE))</f>
        <v/>
      </c>
      <c r="J125" s="520" t="str">
        <f>IF(I125="","",VLOOKUP($B125,'C-1 Site River Baseline'!$C$9:$R$257,9,FALSE))</f>
        <v/>
      </c>
      <c r="K125" s="520" t="str">
        <f>IF(J125="","",VLOOKUP($B125,'C-1 Site River Baseline'!$C$9:$R$257,10,FALSE))</f>
        <v/>
      </c>
      <c r="L125" s="520" t="str">
        <f>IF(B125="","",VLOOKUP($B125,'C-1 Site River Baseline'!$C$9:$R$257,15,FALSE))</f>
        <v/>
      </c>
      <c r="M125" s="524" t="str">
        <f>IF(L125="","",VLOOKUP($B125,'C-1 Site River Baseline'!$C$9:$R$257,16,FALSE))</f>
        <v/>
      </c>
      <c r="N125" s="418" t="str">
        <f t="shared" si="9"/>
        <v/>
      </c>
      <c r="O125" s="498" t="str">
        <f t="shared" si="10"/>
        <v/>
      </c>
      <c r="P125" s="499"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7" t="str">
        <f>IF(N125="","",VLOOKUP(B125,'C-1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07" t="str">
        <f>IF(V125="","",IF(VLOOKUP(V125,'G-7 Rivers Data'!$AG$4:$AI$9,2,FALSE)=0,"Spatial Data Missing ⚠",VLOOKUP(V125,'G-7 Rivers Data'!$AG$4:$AI$9,2,FALSE)))</f>
        <v/>
      </c>
      <c r="X125" s="499" t="str">
        <f>IF(V125="","",IF(VLOOKUP(V125,'G-7 Rivers Data'!$AG$4:$AI$9,3,FALSE)=0,"Spatial Data Missing ⚠",VLOOKUP(V125,'G-7 Rivers Data'!$AG$4:$AI$9,3,FALSE)))</f>
        <v/>
      </c>
      <c r="Y125" s="498" t="str">
        <f>IFERROR(IF(OR(LEFT(P125,5)="Error ▲",LEFT(O125,5)="Error ▲"),"Check Data ⚠",IF(F125&lt;S125,'G-7 Rivers Data'!$R$3,INDEX('G-7 Rivers Data'!$U$5:$Y$9,MATCH(G125,'G-7 Rivers Data'!$T$5:$T$9,0),MATCH(T125,'G-7 Rivers Data'!$U$4:$Y$4,0)))),"")</f>
        <v/>
      </c>
      <c r="Z125" s="195"/>
      <c r="AA125" s="195"/>
      <c r="AB125" s="507" t="str">
        <f t="shared" si="11"/>
        <v/>
      </c>
      <c r="AC125" s="521" t="str">
        <f t="shared" si="12"/>
        <v/>
      </c>
      <c r="AD125" s="564" t="str">
        <f>IFERROR(IF(AC125="Check Data ⚠","Check Data ⚠",VLOOKUP(AC125,'G-4 Temporal multipliers'!$A$4:$C$37,3,FALSE)),"")</f>
        <v/>
      </c>
      <c r="AE125" s="498" t="str">
        <f>IF(N125="","",VLOOKUP(N125,'G-7 Rivers Data'!$B$4:$G$8,5,FALSE))</f>
        <v/>
      </c>
      <c r="AF125" s="507" t="str">
        <f t="shared" si="13"/>
        <v/>
      </c>
      <c r="AG125" s="540" t="str">
        <f t="shared" si="14"/>
        <v/>
      </c>
      <c r="AH125" s="499" t="str">
        <f t="shared" si="8"/>
        <v/>
      </c>
      <c r="AI125" s="145"/>
      <c r="AJ125" s="499" t="str">
        <f>IF(AI125="","",IF(VLOOKUP(AI125,'G-7 Rivers Data'!$AA$4:$AB$7,2,FALSE)=0,"Spatial Data Missing ⚠",VLOOKUP(AI125,'G-7 Rivers Data'!$AA$4:$AB$7,2,FALSE)))</f>
        <v/>
      </c>
      <c r="AK125" s="155"/>
      <c r="AL125" s="499" t="str">
        <f>IF(AK125="","",IF(VLOOKUP(AK125,'G-7 Rivers Data'!$AD$4:$AE$8,2,FALSE)=0,"Spatial Data Missing ⚠",VLOOKUP(AK125,'G-7 Rivers Data'!$AD$4:$AE$8,2,FALSE)))</f>
        <v/>
      </c>
      <c r="AM125" s="545" t="str">
        <f t="shared" si="15"/>
        <v/>
      </c>
      <c r="AN125" s="149"/>
      <c r="AO125" s="150"/>
      <c r="AV125" s="31" t="str">
        <f>IFERROR(INDEX('G-7 Rivers Data'!$AZ$3:$AZ$7,MATCH(N125,'G-7 Rivers Data'!$AY$3:$AY$7,0)),"")</f>
        <v/>
      </c>
    </row>
    <row r="126" spans="2:48" ht="13.8" x14ac:dyDescent="0.25">
      <c r="B126" s="531" t="str">
        <f>'C-1 Site River Baseline'!AN124</f>
        <v/>
      </c>
      <c r="C126" s="520" t="str">
        <f>IF(B126="","",VLOOKUP($B126,'C-1 Site River Baseline'!$C$9:$R$257,2,FALSE))</f>
        <v/>
      </c>
      <c r="D126" s="520" t="str">
        <f>IF(C126="","",VLOOKUP($B126,'C-1 Site River Baseline'!$C$9:$R$257,3,FALSE))</f>
        <v/>
      </c>
      <c r="E126" s="520" t="str">
        <f>IF(D126="","",VLOOKUP($B126,'C-1 Site River Baseline'!$C$9:$R$257,4,FALSE))</f>
        <v/>
      </c>
      <c r="F126" s="520" t="str">
        <f>IF(E126="","",VLOOKUP($B126,'C-1 Site River Baseline'!$C$9:$R$257,5,FALSE))</f>
        <v/>
      </c>
      <c r="G126" s="520" t="str">
        <f>IF(F126="","",VLOOKUP($B126,'C-1 Site River Baseline'!$C$9:$R$257,6,FALSE))</f>
        <v/>
      </c>
      <c r="H126" s="520" t="str">
        <f>IF(G126="","",VLOOKUP($B126,'C-1 Site River Baseline'!$C$9:$R$257,7,FALSE))</f>
        <v/>
      </c>
      <c r="I126" s="520" t="str">
        <f>IF(H126="","",VLOOKUP($B126,'C-1 Site River Baseline'!$C$9:$R$257,8,FALSE))</f>
        <v/>
      </c>
      <c r="J126" s="520" t="str">
        <f>IF(I126="","",VLOOKUP($B126,'C-1 Site River Baseline'!$C$9:$R$257,9,FALSE))</f>
        <v/>
      </c>
      <c r="K126" s="520" t="str">
        <f>IF(J126="","",VLOOKUP($B126,'C-1 Site River Baseline'!$C$9:$R$257,10,FALSE))</f>
        <v/>
      </c>
      <c r="L126" s="520" t="str">
        <f>IF(B126="","",VLOOKUP($B126,'C-1 Site River Baseline'!$C$9:$R$257,15,FALSE))</f>
        <v/>
      </c>
      <c r="M126" s="524" t="str">
        <f>IF(L126="","",VLOOKUP($B126,'C-1 Site River Baseline'!$C$9:$R$257,16,FALSE))</f>
        <v/>
      </c>
      <c r="N126" s="418" t="str">
        <f t="shared" si="9"/>
        <v/>
      </c>
      <c r="O126" s="498" t="str">
        <f t="shared" si="10"/>
        <v/>
      </c>
      <c r="P126" s="499"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7" t="str">
        <f>IF(N126="","",VLOOKUP(B126,'C-1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07" t="str">
        <f>IF(V126="","",IF(VLOOKUP(V126,'G-7 Rivers Data'!$AG$4:$AI$9,2,FALSE)=0,"Spatial Data Missing ⚠",VLOOKUP(V126,'G-7 Rivers Data'!$AG$4:$AI$9,2,FALSE)))</f>
        <v/>
      </c>
      <c r="X126" s="499" t="str">
        <f>IF(V126="","",IF(VLOOKUP(V126,'G-7 Rivers Data'!$AG$4:$AI$9,3,FALSE)=0,"Spatial Data Missing ⚠",VLOOKUP(V126,'G-7 Rivers Data'!$AG$4:$AI$9,3,FALSE)))</f>
        <v/>
      </c>
      <c r="Y126" s="498" t="str">
        <f>IFERROR(IF(OR(LEFT(P126,5)="Error ▲",LEFT(O126,5)="Error ▲"),"Check Data ⚠",IF(F126&lt;S126,'G-7 Rivers Data'!$R$3,INDEX('G-7 Rivers Data'!$U$5:$Y$9,MATCH(G126,'G-7 Rivers Data'!$T$5:$T$9,0),MATCH(T126,'G-7 Rivers Data'!$U$4:$Y$4,0)))),"")</f>
        <v/>
      </c>
      <c r="Z126" s="195"/>
      <c r="AA126" s="195"/>
      <c r="AB126" s="507" t="str">
        <f t="shared" si="11"/>
        <v/>
      </c>
      <c r="AC126" s="521" t="str">
        <f t="shared" si="12"/>
        <v/>
      </c>
      <c r="AD126" s="564" t="str">
        <f>IFERROR(IF(AC126="Check Data ⚠","Check Data ⚠",VLOOKUP(AC126,'G-4 Temporal multipliers'!$A$4:$C$37,3,FALSE)),"")</f>
        <v/>
      </c>
      <c r="AE126" s="498" t="str">
        <f>IF(N126="","",VLOOKUP(N126,'G-7 Rivers Data'!$B$4:$G$8,5,FALSE))</f>
        <v/>
      </c>
      <c r="AF126" s="507" t="str">
        <f t="shared" si="13"/>
        <v/>
      </c>
      <c r="AG126" s="540" t="str">
        <f t="shared" si="14"/>
        <v/>
      </c>
      <c r="AH126" s="499" t="str">
        <f t="shared" si="8"/>
        <v/>
      </c>
      <c r="AI126" s="145"/>
      <c r="AJ126" s="499" t="str">
        <f>IF(AI126="","",IF(VLOOKUP(AI126,'G-7 Rivers Data'!$AA$4:$AB$7,2,FALSE)=0,"Spatial Data Missing ⚠",VLOOKUP(AI126,'G-7 Rivers Data'!$AA$4:$AB$7,2,FALSE)))</f>
        <v/>
      </c>
      <c r="AK126" s="155"/>
      <c r="AL126" s="499" t="str">
        <f>IF(AK126="","",IF(VLOOKUP(AK126,'G-7 Rivers Data'!$AD$4:$AE$8,2,FALSE)=0,"Spatial Data Missing ⚠",VLOOKUP(AK126,'G-7 Rivers Data'!$AD$4:$AE$8,2,FALSE)))</f>
        <v/>
      </c>
      <c r="AM126" s="545" t="str">
        <f t="shared" si="15"/>
        <v/>
      </c>
      <c r="AN126" s="149"/>
      <c r="AO126" s="150"/>
      <c r="AV126" s="31" t="str">
        <f>IFERROR(INDEX('G-7 Rivers Data'!$AZ$3:$AZ$7,MATCH(N126,'G-7 Rivers Data'!$AY$3:$AY$7,0)),"")</f>
        <v/>
      </c>
    </row>
    <row r="127" spans="2:48" ht="13.8" x14ac:dyDescent="0.25">
      <c r="B127" s="531" t="str">
        <f>'C-1 Site River Baseline'!AN125</f>
        <v/>
      </c>
      <c r="C127" s="520" t="str">
        <f>IF(B127="","",VLOOKUP($B127,'C-1 Site River Baseline'!$C$9:$R$257,2,FALSE))</f>
        <v/>
      </c>
      <c r="D127" s="520" t="str">
        <f>IF(C127="","",VLOOKUP($B127,'C-1 Site River Baseline'!$C$9:$R$257,3,FALSE))</f>
        <v/>
      </c>
      <c r="E127" s="520" t="str">
        <f>IF(D127="","",VLOOKUP($B127,'C-1 Site River Baseline'!$C$9:$R$257,4,FALSE))</f>
        <v/>
      </c>
      <c r="F127" s="520" t="str">
        <f>IF(E127="","",VLOOKUP($B127,'C-1 Site River Baseline'!$C$9:$R$257,5,FALSE))</f>
        <v/>
      </c>
      <c r="G127" s="520" t="str">
        <f>IF(F127="","",VLOOKUP($B127,'C-1 Site River Baseline'!$C$9:$R$257,6,FALSE))</f>
        <v/>
      </c>
      <c r="H127" s="520" t="str">
        <f>IF(G127="","",VLOOKUP($B127,'C-1 Site River Baseline'!$C$9:$R$257,7,FALSE))</f>
        <v/>
      </c>
      <c r="I127" s="520" t="str">
        <f>IF(H127="","",VLOOKUP($B127,'C-1 Site River Baseline'!$C$9:$R$257,8,FALSE))</f>
        <v/>
      </c>
      <c r="J127" s="520" t="str">
        <f>IF(I127="","",VLOOKUP($B127,'C-1 Site River Baseline'!$C$9:$R$257,9,FALSE))</f>
        <v/>
      </c>
      <c r="K127" s="520" t="str">
        <f>IF(J127="","",VLOOKUP($B127,'C-1 Site River Baseline'!$C$9:$R$257,10,FALSE))</f>
        <v/>
      </c>
      <c r="L127" s="520" t="str">
        <f>IF(B127="","",VLOOKUP($B127,'C-1 Site River Baseline'!$C$9:$R$257,15,FALSE))</f>
        <v/>
      </c>
      <c r="M127" s="524" t="str">
        <f>IF(L127="","",VLOOKUP($B127,'C-1 Site River Baseline'!$C$9:$R$257,16,FALSE))</f>
        <v/>
      </c>
      <c r="N127" s="418" t="str">
        <f t="shared" si="9"/>
        <v/>
      </c>
      <c r="O127" s="498" t="str">
        <f t="shared" si="10"/>
        <v/>
      </c>
      <c r="P127" s="499"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7" t="str">
        <f>IF(N127="","",VLOOKUP(B127,'C-1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07" t="str">
        <f>IF(V127="","",IF(VLOOKUP(V127,'G-7 Rivers Data'!$AG$4:$AI$9,2,FALSE)=0,"Spatial Data Missing ⚠",VLOOKUP(V127,'G-7 Rivers Data'!$AG$4:$AI$9,2,FALSE)))</f>
        <v/>
      </c>
      <c r="X127" s="499" t="str">
        <f>IF(V127="","",IF(VLOOKUP(V127,'G-7 Rivers Data'!$AG$4:$AI$9,3,FALSE)=0,"Spatial Data Missing ⚠",VLOOKUP(V127,'G-7 Rivers Data'!$AG$4:$AI$9,3,FALSE)))</f>
        <v/>
      </c>
      <c r="Y127" s="498" t="str">
        <f>IFERROR(IF(OR(LEFT(P127,5)="Error ▲",LEFT(O127,5)="Error ▲"),"Check Data ⚠",IF(F127&lt;S127,'G-7 Rivers Data'!$R$3,INDEX('G-7 Rivers Data'!$U$5:$Y$9,MATCH(G127,'G-7 Rivers Data'!$T$5:$T$9,0),MATCH(T127,'G-7 Rivers Data'!$U$4:$Y$4,0)))),"")</f>
        <v/>
      </c>
      <c r="Z127" s="195"/>
      <c r="AA127" s="195"/>
      <c r="AB127" s="507" t="str">
        <f t="shared" si="11"/>
        <v/>
      </c>
      <c r="AC127" s="521" t="str">
        <f t="shared" si="12"/>
        <v/>
      </c>
      <c r="AD127" s="564" t="str">
        <f>IFERROR(IF(AC127="Check Data ⚠","Check Data ⚠",VLOOKUP(AC127,'G-4 Temporal multipliers'!$A$4:$C$37,3,FALSE)),"")</f>
        <v/>
      </c>
      <c r="AE127" s="498" t="str">
        <f>IF(N127="","",VLOOKUP(N127,'G-7 Rivers Data'!$B$4:$G$8,5,FALSE))</f>
        <v/>
      </c>
      <c r="AF127" s="507" t="str">
        <f t="shared" si="13"/>
        <v/>
      </c>
      <c r="AG127" s="540" t="str">
        <f t="shared" si="14"/>
        <v/>
      </c>
      <c r="AH127" s="499" t="str">
        <f t="shared" si="8"/>
        <v/>
      </c>
      <c r="AI127" s="145"/>
      <c r="AJ127" s="499" t="str">
        <f>IF(AI127="","",IF(VLOOKUP(AI127,'G-7 Rivers Data'!$AA$4:$AB$7,2,FALSE)=0,"Spatial Data Missing ⚠",VLOOKUP(AI127,'G-7 Rivers Data'!$AA$4:$AB$7,2,FALSE)))</f>
        <v/>
      </c>
      <c r="AK127" s="155"/>
      <c r="AL127" s="499" t="str">
        <f>IF(AK127="","",IF(VLOOKUP(AK127,'G-7 Rivers Data'!$AD$4:$AE$8,2,FALSE)=0,"Spatial Data Missing ⚠",VLOOKUP(AK127,'G-7 Rivers Data'!$AD$4:$AE$8,2,FALSE)))</f>
        <v/>
      </c>
      <c r="AM127" s="545" t="str">
        <f t="shared" si="15"/>
        <v/>
      </c>
      <c r="AN127" s="149"/>
      <c r="AO127" s="150"/>
      <c r="AV127" s="31" t="str">
        <f>IFERROR(INDEX('G-7 Rivers Data'!$AZ$3:$AZ$7,MATCH(N127,'G-7 Rivers Data'!$AY$3:$AY$7,0)),"")</f>
        <v/>
      </c>
    </row>
    <row r="128" spans="2:48" ht="13.8" x14ac:dyDescent="0.25">
      <c r="B128" s="531" t="str">
        <f>'C-1 Site River Baseline'!AN126</f>
        <v/>
      </c>
      <c r="C128" s="520" t="str">
        <f>IF(B128="","",VLOOKUP($B128,'C-1 Site River Baseline'!$C$9:$R$257,2,FALSE))</f>
        <v/>
      </c>
      <c r="D128" s="520" t="str">
        <f>IF(C128="","",VLOOKUP($B128,'C-1 Site River Baseline'!$C$9:$R$257,3,FALSE))</f>
        <v/>
      </c>
      <c r="E128" s="520" t="str">
        <f>IF(D128="","",VLOOKUP($B128,'C-1 Site River Baseline'!$C$9:$R$257,4,FALSE))</f>
        <v/>
      </c>
      <c r="F128" s="520" t="str">
        <f>IF(E128="","",VLOOKUP($B128,'C-1 Site River Baseline'!$C$9:$R$257,5,FALSE))</f>
        <v/>
      </c>
      <c r="G128" s="520" t="str">
        <f>IF(F128="","",VLOOKUP($B128,'C-1 Site River Baseline'!$C$9:$R$257,6,FALSE))</f>
        <v/>
      </c>
      <c r="H128" s="520" t="str">
        <f>IF(G128="","",VLOOKUP($B128,'C-1 Site River Baseline'!$C$9:$R$257,7,FALSE))</f>
        <v/>
      </c>
      <c r="I128" s="520" t="str">
        <f>IF(H128="","",VLOOKUP($B128,'C-1 Site River Baseline'!$C$9:$R$257,8,FALSE))</f>
        <v/>
      </c>
      <c r="J128" s="520" t="str">
        <f>IF(I128="","",VLOOKUP($B128,'C-1 Site River Baseline'!$C$9:$R$257,9,FALSE))</f>
        <v/>
      </c>
      <c r="K128" s="520" t="str">
        <f>IF(J128="","",VLOOKUP($B128,'C-1 Site River Baseline'!$C$9:$R$257,10,FALSE))</f>
        <v/>
      </c>
      <c r="L128" s="520" t="str">
        <f>IF(B128="","",VLOOKUP($B128,'C-1 Site River Baseline'!$C$9:$R$257,15,FALSE))</f>
        <v/>
      </c>
      <c r="M128" s="524" t="str">
        <f>IF(L128="","",VLOOKUP($B128,'C-1 Site River Baseline'!$C$9:$R$257,16,FALSE))</f>
        <v/>
      </c>
      <c r="N128" s="418" t="str">
        <f t="shared" si="9"/>
        <v/>
      </c>
      <c r="O128" s="498" t="str">
        <f t="shared" si="10"/>
        <v/>
      </c>
      <c r="P128" s="499"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7" t="str">
        <f>IF(N128="","",VLOOKUP(B128,'C-1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07" t="str">
        <f>IF(V128="","",IF(VLOOKUP(V128,'G-7 Rivers Data'!$AG$4:$AI$9,2,FALSE)=0,"Spatial Data Missing ⚠",VLOOKUP(V128,'G-7 Rivers Data'!$AG$4:$AI$9,2,FALSE)))</f>
        <v/>
      </c>
      <c r="X128" s="499" t="str">
        <f>IF(V128="","",IF(VLOOKUP(V128,'G-7 Rivers Data'!$AG$4:$AI$9,3,FALSE)=0,"Spatial Data Missing ⚠",VLOOKUP(V128,'G-7 Rivers Data'!$AG$4:$AI$9,3,FALSE)))</f>
        <v/>
      </c>
      <c r="Y128" s="498" t="str">
        <f>IFERROR(IF(OR(LEFT(P128,5)="Error ▲",LEFT(O128,5)="Error ▲"),"Check Data ⚠",IF(F128&lt;S128,'G-7 Rivers Data'!$R$3,INDEX('G-7 Rivers Data'!$U$5:$Y$9,MATCH(G128,'G-7 Rivers Data'!$T$5:$T$9,0),MATCH(T128,'G-7 Rivers Data'!$U$4:$Y$4,0)))),"")</f>
        <v/>
      </c>
      <c r="Z128" s="195"/>
      <c r="AA128" s="195"/>
      <c r="AB128" s="507" t="str">
        <f t="shared" si="11"/>
        <v/>
      </c>
      <c r="AC128" s="521" t="str">
        <f t="shared" si="12"/>
        <v/>
      </c>
      <c r="AD128" s="564" t="str">
        <f>IFERROR(IF(AC128="Check Data ⚠","Check Data ⚠",VLOOKUP(AC128,'G-4 Temporal multipliers'!$A$4:$C$37,3,FALSE)),"")</f>
        <v/>
      </c>
      <c r="AE128" s="498" t="str">
        <f>IF(N128="","",VLOOKUP(N128,'G-7 Rivers Data'!$B$4:$G$8,5,FALSE))</f>
        <v/>
      </c>
      <c r="AF128" s="507" t="str">
        <f t="shared" si="13"/>
        <v/>
      </c>
      <c r="AG128" s="540" t="str">
        <f t="shared" si="14"/>
        <v/>
      </c>
      <c r="AH128" s="499" t="str">
        <f t="shared" si="8"/>
        <v/>
      </c>
      <c r="AI128" s="145"/>
      <c r="AJ128" s="499" t="str">
        <f>IF(AI128="","",IF(VLOOKUP(AI128,'G-7 Rivers Data'!$AA$4:$AB$7,2,FALSE)=0,"Spatial Data Missing ⚠",VLOOKUP(AI128,'G-7 Rivers Data'!$AA$4:$AB$7,2,FALSE)))</f>
        <v/>
      </c>
      <c r="AK128" s="155"/>
      <c r="AL128" s="499" t="str">
        <f>IF(AK128="","",IF(VLOOKUP(AK128,'G-7 Rivers Data'!$AD$4:$AE$8,2,FALSE)=0,"Spatial Data Missing ⚠",VLOOKUP(AK128,'G-7 Rivers Data'!$AD$4:$AE$8,2,FALSE)))</f>
        <v/>
      </c>
      <c r="AM128" s="545" t="str">
        <f t="shared" si="15"/>
        <v/>
      </c>
      <c r="AN128" s="149"/>
      <c r="AO128" s="150"/>
      <c r="AV128" s="31" t="str">
        <f>IFERROR(INDEX('G-7 Rivers Data'!$AZ$3:$AZ$7,MATCH(N128,'G-7 Rivers Data'!$AY$3:$AY$7,0)),"")</f>
        <v/>
      </c>
    </row>
    <row r="129" spans="2:48" ht="13.8" x14ac:dyDescent="0.25">
      <c r="B129" s="531" t="str">
        <f>'C-1 Site River Baseline'!AN127</f>
        <v/>
      </c>
      <c r="C129" s="520" t="str">
        <f>IF(B129="","",VLOOKUP($B129,'C-1 Site River Baseline'!$C$9:$R$257,2,FALSE))</f>
        <v/>
      </c>
      <c r="D129" s="520" t="str">
        <f>IF(C129="","",VLOOKUP($B129,'C-1 Site River Baseline'!$C$9:$R$257,3,FALSE))</f>
        <v/>
      </c>
      <c r="E129" s="520" t="str">
        <f>IF(D129="","",VLOOKUP($B129,'C-1 Site River Baseline'!$C$9:$R$257,4,FALSE))</f>
        <v/>
      </c>
      <c r="F129" s="520" t="str">
        <f>IF(E129="","",VLOOKUP($B129,'C-1 Site River Baseline'!$C$9:$R$257,5,FALSE))</f>
        <v/>
      </c>
      <c r="G129" s="520" t="str">
        <f>IF(F129="","",VLOOKUP($B129,'C-1 Site River Baseline'!$C$9:$R$257,6,FALSE))</f>
        <v/>
      </c>
      <c r="H129" s="520" t="str">
        <f>IF(G129="","",VLOOKUP($B129,'C-1 Site River Baseline'!$C$9:$R$257,7,FALSE))</f>
        <v/>
      </c>
      <c r="I129" s="520" t="str">
        <f>IF(H129="","",VLOOKUP($B129,'C-1 Site River Baseline'!$C$9:$R$257,8,FALSE))</f>
        <v/>
      </c>
      <c r="J129" s="520" t="str">
        <f>IF(I129="","",VLOOKUP($B129,'C-1 Site River Baseline'!$C$9:$R$257,9,FALSE))</f>
        <v/>
      </c>
      <c r="K129" s="520" t="str">
        <f>IF(J129="","",VLOOKUP($B129,'C-1 Site River Baseline'!$C$9:$R$257,10,FALSE))</f>
        <v/>
      </c>
      <c r="L129" s="520" t="str">
        <f>IF(B129="","",VLOOKUP($B129,'C-1 Site River Baseline'!$C$9:$R$257,15,FALSE))</f>
        <v/>
      </c>
      <c r="M129" s="524" t="str">
        <f>IF(L129="","",VLOOKUP($B129,'C-1 Site River Baseline'!$C$9:$R$257,16,FALSE))</f>
        <v/>
      </c>
      <c r="N129" s="418" t="str">
        <f t="shared" si="9"/>
        <v/>
      </c>
      <c r="O129" s="498" t="str">
        <f t="shared" si="10"/>
        <v/>
      </c>
      <c r="P129" s="499"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7" t="str">
        <f>IF(N129="","",VLOOKUP(B129,'C-1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07" t="str">
        <f>IF(V129="","",IF(VLOOKUP(V129,'G-7 Rivers Data'!$AG$4:$AI$9,2,FALSE)=0,"Spatial Data Missing ⚠",VLOOKUP(V129,'G-7 Rivers Data'!$AG$4:$AI$9,2,FALSE)))</f>
        <v/>
      </c>
      <c r="X129" s="499" t="str">
        <f>IF(V129="","",IF(VLOOKUP(V129,'G-7 Rivers Data'!$AG$4:$AI$9,3,FALSE)=0,"Spatial Data Missing ⚠",VLOOKUP(V129,'G-7 Rivers Data'!$AG$4:$AI$9,3,FALSE)))</f>
        <v/>
      </c>
      <c r="Y129" s="498" t="str">
        <f>IFERROR(IF(OR(LEFT(P129,5)="Error ▲",LEFT(O129,5)="Error ▲"),"Check Data ⚠",IF(F129&lt;S129,'G-7 Rivers Data'!$R$3,INDEX('G-7 Rivers Data'!$U$5:$Y$9,MATCH(G129,'G-7 Rivers Data'!$T$5:$T$9,0),MATCH(T129,'G-7 Rivers Data'!$U$4:$Y$4,0)))),"")</f>
        <v/>
      </c>
      <c r="Z129" s="195"/>
      <c r="AA129" s="195"/>
      <c r="AB129" s="507" t="str">
        <f t="shared" si="11"/>
        <v/>
      </c>
      <c r="AC129" s="521" t="str">
        <f t="shared" si="12"/>
        <v/>
      </c>
      <c r="AD129" s="564" t="str">
        <f>IFERROR(IF(AC129="Check Data ⚠","Check Data ⚠",VLOOKUP(AC129,'G-4 Temporal multipliers'!$A$4:$C$37,3,FALSE)),"")</f>
        <v/>
      </c>
      <c r="AE129" s="498" t="str">
        <f>IF(N129="","",VLOOKUP(N129,'G-7 Rivers Data'!$B$4:$G$8,5,FALSE))</f>
        <v/>
      </c>
      <c r="AF129" s="507" t="str">
        <f t="shared" si="13"/>
        <v/>
      </c>
      <c r="AG129" s="540" t="str">
        <f t="shared" si="14"/>
        <v/>
      </c>
      <c r="AH129" s="499" t="str">
        <f t="shared" si="8"/>
        <v/>
      </c>
      <c r="AI129" s="145"/>
      <c r="AJ129" s="499" t="str">
        <f>IF(AI129="","",IF(VLOOKUP(AI129,'G-7 Rivers Data'!$AA$4:$AB$7,2,FALSE)=0,"Spatial Data Missing ⚠",VLOOKUP(AI129,'G-7 Rivers Data'!$AA$4:$AB$7,2,FALSE)))</f>
        <v/>
      </c>
      <c r="AK129" s="155"/>
      <c r="AL129" s="499" t="str">
        <f>IF(AK129="","",IF(VLOOKUP(AK129,'G-7 Rivers Data'!$AD$4:$AE$8,2,FALSE)=0,"Spatial Data Missing ⚠",VLOOKUP(AK129,'G-7 Rivers Data'!$AD$4:$AE$8,2,FALSE)))</f>
        <v/>
      </c>
      <c r="AM129" s="545" t="str">
        <f t="shared" si="15"/>
        <v/>
      </c>
      <c r="AN129" s="149"/>
      <c r="AO129" s="150"/>
      <c r="AV129" s="31" t="str">
        <f>IFERROR(INDEX('G-7 Rivers Data'!$AZ$3:$AZ$7,MATCH(N129,'G-7 Rivers Data'!$AY$3:$AY$7,0)),"")</f>
        <v/>
      </c>
    </row>
    <row r="130" spans="2:48" ht="13.8" x14ac:dyDescent="0.25">
      <c r="B130" s="531" t="str">
        <f>'C-1 Site River Baseline'!AN128</f>
        <v/>
      </c>
      <c r="C130" s="520" t="str">
        <f>IF(B130="","",VLOOKUP($B130,'C-1 Site River Baseline'!$C$9:$R$257,2,FALSE))</f>
        <v/>
      </c>
      <c r="D130" s="520" t="str">
        <f>IF(C130="","",VLOOKUP($B130,'C-1 Site River Baseline'!$C$9:$R$257,3,FALSE))</f>
        <v/>
      </c>
      <c r="E130" s="520" t="str">
        <f>IF(D130="","",VLOOKUP($B130,'C-1 Site River Baseline'!$C$9:$R$257,4,FALSE))</f>
        <v/>
      </c>
      <c r="F130" s="520" t="str">
        <f>IF(E130="","",VLOOKUP($B130,'C-1 Site River Baseline'!$C$9:$R$257,5,FALSE))</f>
        <v/>
      </c>
      <c r="G130" s="520" t="str">
        <f>IF(F130="","",VLOOKUP($B130,'C-1 Site River Baseline'!$C$9:$R$257,6,FALSE))</f>
        <v/>
      </c>
      <c r="H130" s="520" t="str">
        <f>IF(G130="","",VLOOKUP($B130,'C-1 Site River Baseline'!$C$9:$R$257,7,FALSE))</f>
        <v/>
      </c>
      <c r="I130" s="520" t="str">
        <f>IF(H130="","",VLOOKUP($B130,'C-1 Site River Baseline'!$C$9:$R$257,8,FALSE))</f>
        <v/>
      </c>
      <c r="J130" s="520" t="str">
        <f>IF(I130="","",VLOOKUP($B130,'C-1 Site River Baseline'!$C$9:$R$257,9,FALSE))</f>
        <v/>
      </c>
      <c r="K130" s="520" t="str">
        <f>IF(J130="","",VLOOKUP($B130,'C-1 Site River Baseline'!$C$9:$R$257,10,FALSE))</f>
        <v/>
      </c>
      <c r="L130" s="520" t="str">
        <f>IF(B130="","",VLOOKUP($B130,'C-1 Site River Baseline'!$C$9:$R$257,15,FALSE))</f>
        <v/>
      </c>
      <c r="M130" s="524" t="str">
        <f>IF(L130="","",VLOOKUP($B130,'C-1 Site River Baseline'!$C$9:$R$257,16,FALSE))</f>
        <v/>
      </c>
      <c r="N130" s="418" t="str">
        <f t="shared" si="9"/>
        <v/>
      </c>
      <c r="O130" s="498" t="str">
        <f t="shared" si="10"/>
        <v/>
      </c>
      <c r="P130" s="499"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7" t="str">
        <f>IF(N130="","",VLOOKUP(B130,'C-1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07" t="str">
        <f>IF(V130="","",IF(VLOOKUP(V130,'G-7 Rivers Data'!$AG$4:$AI$9,2,FALSE)=0,"Spatial Data Missing ⚠",VLOOKUP(V130,'G-7 Rivers Data'!$AG$4:$AI$9,2,FALSE)))</f>
        <v/>
      </c>
      <c r="X130" s="499" t="str">
        <f>IF(V130="","",IF(VLOOKUP(V130,'G-7 Rivers Data'!$AG$4:$AI$9,3,FALSE)=0,"Spatial Data Missing ⚠",VLOOKUP(V130,'G-7 Rivers Data'!$AG$4:$AI$9,3,FALSE)))</f>
        <v/>
      </c>
      <c r="Y130" s="498" t="str">
        <f>IFERROR(IF(OR(LEFT(P130,5)="Error ▲",LEFT(O130,5)="Error ▲"),"Check Data ⚠",IF(F130&lt;S130,'G-7 Rivers Data'!$R$3,INDEX('G-7 Rivers Data'!$U$5:$Y$9,MATCH(G130,'G-7 Rivers Data'!$T$5:$T$9,0),MATCH(T130,'G-7 Rivers Data'!$U$4:$Y$4,0)))),"")</f>
        <v/>
      </c>
      <c r="Z130" s="195"/>
      <c r="AA130" s="195"/>
      <c r="AB130" s="507" t="str">
        <f t="shared" si="11"/>
        <v/>
      </c>
      <c r="AC130" s="521" t="str">
        <f t="shared" si="12"/>
        <v/>
      </c>
      <c r="AD130" s="564" t="str">
        <f>IFERROR(IF(AC130="Check Data ⚠","Check Data ⚠",VLOOKUP(AC130,'G-4 Temporal multipliers'!$A$4:$C$37,3,FALSE)),"")</f>
        <v/>
      </c>
      <c r="AE130" s="498" t="str">
        <f>IF(N130="","",VLOOKUP(N130,'G-7 Rivers Data'!$B$4:$G$8,5,FALSE))</f>
        <v/>
      </c>
      <c r="AF130" s="507" t="str">
        <f t="shared" si="13"/>
        <v/>
      </c>
      <c r="AG130" s="540" t="str">
        <f t="shared" si="14"/>
        <v/>
      </c>
      <c r="AH130" s="499" t="str">
        <f t="shared" si="8"/>
        <v/>
      </c>
      <c r="AI130" s="145"/>
      <c r="AJ130" s="499" t="str">
        <f>IF(AI130="","",IF(VLOOKUP(AI130,'G-7 Rivers Data'!$AA$4:$AB$7,2,FALSE)=0,"Spatial Data Missing ⚠",VLOOKUP(AI130,'G-7 Rivers Data'!$AA$4:$AB$7,2,FALSE)))</f>
        <v/>
      </c>
      <c r="AK130" s="155"/>
      <c r="AL130" s="499" t="str">
        <f>IF(AK130="","",IF(VLOOKUP(AK130,'G-7 Rivers Data'!$AD$4:$AE$8,2,FALSE)=0,"Spatial Data Missing ⚠",VLOOKUP(AK130,'G-7 Rivers Data'!$AD$4:$AE$8,2,FALSE)))</f>
        <v/>
      </c>
      <c r="AM130" s="545" t="str">
        <f t="shared" si="15"/>
        <v/>
      </c>
      <c r="AN130" s="149"/>
      <c r="AO130" s="150"/>
      <c r="AV130" s="31" t="str">
        <f>IFERROR(INDEX('G-7 Rivers Data'!$AZ$3:$AZ$7,MATCH(N130,'G-7 Rivers Data'!$AY$3:$AY$7,0)),"")</f>
        <v/>
      </c>
    </row>
    <row r="131" spans="2:48" ht="13.8" x14ac:dyDescent="0.25">
      <c r="B131" s="531" t="str">
        <f>'C-1 Site River Baseline'!AN129</f>
        <v/>
      </c>
      <c r="C131" s="520" t="str">
        <f>IF(B131="","",VLOOKUP($B131,'C-1 Site River Baseline'!$C$9:$R$257,2,FALSE))</f>
        <v/>
      </c>
      <c r="D131" s="520" t="str">
        <f>IF(C131="","",VLOOKUP($B131,'C-1 Site River Baseline'!$C$9:$R$257,3,FALSE))</f>
        <v/>
      </c>
      <c r="E131" s="520" t="str">
        <f>IF(D131="","",VLOOKUP($B131,'C-1 Site River Baseline'!$C$9:$R$257,4,FALSE))</f>
        <v/>
      </c>
      <c r="F131" s="520" t="str">
        <f>IF(E131="","",VLOOKUP($B131,'C-1 Site River Baseline'!$C$9:$R$257,5,FALSE))</f>
        <v/>
      </c>
      <c r="G131" s="520" t="str">
        <f>IF(F131="","",VLOOKUP($B131,'C-1 Site River Baseline'!$C$9:$R$257,6,FALSE))</f>
        <v/>
      </c>
      <c r="H131" s="520" t="str">
        <f>IF(G131="","",VLOOKUP($B131,'C-1 Site River Baseline'!$C$9:$R$257,7,FALSE))</f>
        <v/>
      </c>
      <c r="I131" s="520" t="str">
        <f>IF(H131="","",VLOOKUP($B131,'C-1 Site River Baseline'!$C$9:$R$257,8,FALSE))</f>
        <v/>
      </c>
      <c r="J131" s="520" t="str">
        <f>IF(I131="","",VLOOKUP($B131,'C-1 Site River Baseline'!$C$9:$R$257,9,FALSE))</f>
        <v/>
      </c>
      <c r="K131" s="520" t="str">
        <f>IF(J131="","",VLOOKUP($B131,'C-1 Site River Baseline'!$C$9:$R$257,10,FALSE))</f>
        <v/>
      </c>
      <c r="L131" s="520" t="str">
        <f>IF(B131="","",VLOOKUP($B131,'C-1 Site River Baseline'!$C$9:$R$257,15,FALSE))</f>
        <v/>
      </c>
      <c r="M131" s="524" t="str">
        <f>IF(L131="","",VLOOKUP($B131,'C-1 Site River Baseline'!$C$9:$R$257,16,FALSE))</f>
        <v/>
      </c>
      <c r="N131" s="418" t="str">
        <f t="shared" si="9"/>
        <v/>
      </c>
      <c r="O131" s="498" t="str">
        <f t="shared" si="10"/>
        <v/>
      </c>
      <c r="P131" s="499"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7" t="str">
        <f>IF(N131="","",VLOOKUP(B131,'C-1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07" t="str">
        <f>IF(V131="","",IF(VLOOKUP(V131,'G-7 Rivers Data'!$AG$4:$AI$9,2,FALSE)=0,"Spatial Data Missing ⚠",VLOOKUP(V131,'G-7 Rivers Data'!$AG$4:$AI$9,2,FALSE)))</f>
        <v/>
      </c>
      <c r="X131" s="499" t="str">
        <f>IF(V131="","",IF(VLOOKUP(V131,'G-7 Rivers Data'!$AG$4:$AI$9,3,FALSE)=0,"Spatial Data Missing ⚠",VLOOKUP(V131,'G-7 Rivers Data'!$AG$4:$AI$9,3,FALSE)))</f>
        <v/>
      </c>
      <c r="Y131" s="498" t="str">
        <f>IFERROR(IF(OR(LEFT(P131,5)="Error ▲",LEFT(O131,5)="Error ▲"),"Check Data ⚠",IF(F131&lt;S131,'G-7 Rivers Data'!$R$3,INDEX('G-7 Rivers Data'!$U$5:$Y$9,MATCH(G131,'G-7 Rivers Data'!$T$5:$T$9,0),MATCH(T131,'G-7 Rivers Data'!$U$4:$Y$4,0)))),"")</f>
        <v/>
      </c>
      <c r="Z131" s="195"/>
      <c r="AA131" s="195"/>
      <c r="AB131" s="507" t="str">
        <f t="shared" si="11"/>
        <v/>
      </c>
      <c r="AC131" s="521" t="str">
        <f t="shared" si="12"/>
        <v/>
      </c>
      <c r="AD131" s="564" t="str">
        <f>IFERROR(IF(AC131="Check Data ⚠","Check Data ⚠",VLOOKUP(AC131,'G-4 Temporal multipliers'!$A$4:$C$37,3,FALSE)),"")</f>
        <v/>
      </c>
      <c r="AE131" s="498" t="str">
        <f>IF(N131="","",VLOOKUP(N131,'G-7 Rivers Data'!$B$4:$G$8,5,FALSE))</f>
        <v/>
      </c>
      <c r="AF131" s="507" t="str">
        <f t="shared" si="13"/>
        <v/>
      </c>
      <c r="AG131" s="540" t="str">
        <f t="shared" si="14"/>
        <v/>
      </c>
      <c r="AH131" s="499" t="str">
        <f t="shared" si="8"/>
        <v/>
      </c>
      <c r="AI131" s="145"/>
      <c r="AJ131" s="499" t="str">
        <f>IF(AI131="","",IF(VLOOKUP(AI131,'G-7 Rivers Data'!$AA$4:$AB$7,2,FALSE)=0,"Spatial Data Missing ⚠",VLOOKUP(AI131,'G-7 Rivers Data'!$AA$4:$AB$7,2,FALSE)))</f>
        <v/>
      </c>
      <c r="AK131" s="155"/>
      <c r="AL131" s="499" t="str">
        <f>IF(AK131="","",IF(VLOOKUP(AK131,'G-7 Rivers Data'!$AD$4:$AE$8,2,FALSE)=0,"Spatial Data Missing ⚠",VLOOKUP(AK131,'G-7 Rivers Data'!$AD$4:$AE$8,2,FALSE)))</f>
        <v/>
      </c>
      <c r="AM131" s="545" t="str">
        <f t="shared" si="15"/>
        <v/>
      </c>
      <c r="AN131" s="149"/>
      <c r="AO131" s="150"/>
      <c r="AV131" s="31" t="str">
        <f>IFERROR(INDEX('G-7 Rivers Data'!$AZ$3:$AZ$7,MATCH(N131,'G-7 Rivers Data'!$AY$3:$AY$7,0)),"")</f>
        <v/>
      </c>
    </row>
    <row r="132" spans="2:48" ht="13.8" x14ac:dyDescent="0.25">
      <c r="B132" s="531" t="str">
        <f>'C-1 Site River Baseline'!AN130</f>
        <v/>
      </c>
      <c r="C132" s="520" t="str">
        <f>IF(B132="","",VLOOKUP($B132,'C-1 Site River Baseline'!$C$9:$R$257,2,FALSE))</f>
        <v/>
      </c>
      <c r="D132" s="520" t="str">
        <f>IF(C132="","",VLOOKUP($B132,'C-1 Site River Baseline'!$C$9:$R$257,3,FALSE))</f>
        <v/>
      </c>
      <c r="E132" s="520" t="str">
        <f>IF(D132="","",VLOOKUP($B132,'C-1 Site River Baseline'!$C$9:$R$257,4,FALSE))</f>
        <v/>
      </c>
      <c r="F132" s="520" t="str">
        <f>IF(E132="","",VLOOKUP($B132,'C-1 Site River Baseline'!$C$9:$R$257,5,FALSE))</f>
        <v/>
      </c>
      <c r="G132" s="520" t="str">
        <f>IF(F132="","",VLOOKUP($B132,'C-1 Site River Baseline'!$C$9:$R$257,6,FALSE))</f>
        <v/>
      </c>
      <c r="H132" s="520" t="str">
        <f>IF(G132="","",VLOOKUP($B132,'C-1 Site River Baseline'!$C$9:$R$257,7,FALSE))</f>
        <v/>
      </c>
      <c r="I132" s="520" t="str">
        <f>IF(H132="","",VLOOKUP($B132,'C-1 Site River Baseline'!$C$9:$R$257,8,FALSE))</f>
        <v/>
      </c>
      <c r="J132" s="520" t="str">
        <f>IF(I132="","",VLOOKUP($B132,'C-1 Site River Baseline'!$C$9:$R$257,9,FALSE))</f>
        <v/>
      </c>
      <c r="K132" s="520" t="str">
        <f>IF(J132="","",VLOOKUP($B132,'C-1 Site River Baseline'!$C$9:$R$257,10,FALSE))</f>
        <v/>
      </c>
      <c r="L132" s="520" t="str">
        <f>IF(B132="","",VLOOKUP($B132,'C-1 Site River Baseline'!$C$9:$R$257,15,FALSE))</f>
        <v/>
      </c>
      <c r="M132" s="524" t="str">
        <f>IF(L132="","",VLOOKUP($B132,'C-1 Site River Baseline'!$C$9:$R$257,16,FALSE))</f>
        <v/>
      </c>
      <c r="N132" s="418" t="str">
        <f t="shared" si="9"/>
        <v/>
      </c>
      <c r="O132" s="498" t="str">
        <f t="shared" si="10"/>
        <v/>
      </c>
      <c r="P132" s="499"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7" t="str">
        <f>IF(N132="","",VLOOKUP(B132,'C-1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07" t="str">
        <f>IF(V132="","",IF(VLOOKUP(V132,'G-7 Rivers Data'!$AG$4:$AI$9,2,FALSE)=0,"Spatial Data Missing ⚠",VLOOKUP(V132,'G-7 Rivers Data'!$AG$4:$AI$9,2,FALSE)))</f>
        <v/>
      </c>
      <c r="X132" s="499" t="str">
        <f>IF(V132="","",IF(VLOOKUP(V132,'G-7 Rivers Data'!$AG$4:$AI$9,3,FALSE)=0,"Spatial Data Missing ⚠",VLOOKUP(V132,'G-7 Rivers Data'!$AG$4:$AI$9,3,FALSE)))</f>
        <v/>
      </c>
      <c r="Y132" s="498" t="str">
        <f>IFERROR(IF(OR(LEFT(P132,5)="Error ▲",LEFT(O132,5)="Error ▲"),"Check Data ⚠",IF(F132&lt;S132,'G-7 Rivers Data'!$R$3,INDEX('G-7 Rivers Data'!$U$5:$Y$9,MATCH(G132,'G-7 Rivers Data'!$T$5:$T$9,0),MATCH(T132,'G-7 Rivers Data'!$U$4:$Y$4,0)))),"")</f>
        <v/>
      </c>
      <c r="Z132" s="195"/>
      <c r="AA132" s="195"/>
      <c r="AB132" s="507" t="str">
        <f t="shared" si="11"/>
        <v/>
      </c>
      <c r="AC132" s="521" t="str">
        <f t="shared" si="12"/>
        <v/>
      </c>
      <c r="AD132" s="564" t="str">
        <f>IFERROR(IF(AC132="Check Data ⚠","Check Data ⚠",VLOOKUP(AC132,'G-4 Temporal multipliers'!$A$4:$C$37,3,FALSE)),"")</f>
        <v/>
      </c>
      <c r="AE132" s="498" t="str">
        <f>IF(N132="","",VLOOKUP(N132,'G-7 Rivers Data'!$B$4:$G$8,5,FALSE))</f>
        <v/>
      </c>
      <c r="AF132" s="507" t="str">
        <f t="shared" si="13"/>
        <v/>
      </c>
      <c r="AG132" s="540" t="str">
        <f t="shared" si="14"/>
        <v/>
      </c>
      <c r="AH132" s="499" t="str">
        <f t="shared" si="8"/>
        <v/>
      </c>
      <c r="AI132" s="145"/>
      <c r="AJ132" s="499" t="str">
        <f>IF(AI132="","",IF(VLOOKUP(AI132,'G-7 Rivers Data'!$AA$4:$AB$7,2,FALSE)=0,"Spatial Data Missing ⚠",VLOOKUP(AI132,'G-7 Rivers Data'!$AA$4:$AB$7,2,FALSE)))</f>
        <v/>
      </c>
      <c r="AK132" s="155"/>
      <c r="AL132" s="499" t="str">
        <f>IF(AK132="","",IF(VLOOKUP(AK132,'G-7 Rivers Data'!$AD$4:$AE$8,2,FALSE)=0,"Spatial Data Missing ⚠",VLOOKUP(AK132,'G-7 Rivers Data'!$AD$4:$AE$8,2,FALSE)))</f>
        <v/>
      </c>
      <c r="AM132" s="545" t="str">
        <f t="shared" si="15"/>
        <v/>
      </c>
      <c r="AN132" s="149"/>
      <c r="AO132" s="150"/>
      <c r="AV132" s="31" t="str">
        <f>IFERROR(INDEX('G-7 Rivers Data'!$AZ$3:$AZ$7,MATCH(N132,'G-7 Rivers Data'!$AY$3:$AY$7,0)),"")</f>
        <v/>
      </c>
    </row>
    <row r="133" spans="2:48" ht="13.8" x14ac:dyDescent="0.25">
      <c r="B133" s="531" t="str">
        <f>'C-1 Site River Baseline'!AN131</f>
        <v/>
      </c>
      <c r="C133" s="520" t="str">
        <f>IF(B133="","",VLOOKUP($B133,'C-1 Site River Baseline'!$C$9:$R$257,2,FALSE))</f>
        <v/>
      </c>
      <c r="D133" s="520" t="str">
        <f>IF(C133="","",VLOOKUP($B133,'C-1 Site River Baseline'!$C$9:$R$257,3,FALSE))</f>
        <v/>
      </c>
      <c r="E133" s="520" t="str">
        <f>IF(D133="","",VLOOKUP($B133,'C-1 Site River Baseline'!$C$9:$R$257,4,FALSE))</f>
        <v/>
      </c>
      <c r="F133" s="520" t="str">
        <f>IF(E133="","",VLOOKUP($B133,'C-1 Site River Baseline'!$C$9:$R$257,5,FALSE))</f>
        <v/>
      </c>
      <c r="G133" s="520" t="str">
        <f>IF(F133="","",VLOOKUP($B133,'C-1 Site River Baseline'!$C$9:$R$257,6,FALSE))</f>
        <v/>
      </c>
      <c r="H133" s="520" t="str">
        <f>IF(G133="","",VLOOKUP($B133,'C-1 Site River Baseline'!$C$9:$R$257,7,FALSE))</f>
        <v/>
      </c>
      <c r="I133" s="520" t="str">
        <f>IF(H133="","",VLOOKUP($B133,'C-1 Site River Baseline'!$C$9:$R$257,8,FALSE))</f>
        <v/>
      </c>
      <c r="J133" s="520" t="str">
        <f>IF(I133="","",VLOOKUP($B133,'C-1 Site River Baseline'!$C$9:$R$257,9,FALSE))</f>
        <v/>
      </c>
      <c r="K133" s="520" t="str">
        <f>IF(J133="","",VLOOKUP($B133,'C-1 Site River Baseline'!$C$9:$R$257,10,FALSE))</f>
        <v/>
      </c>
      <c r="L133" s="520" t="str">
        <f>IF(B133="","",VLOOKUP($B133,'C-1 Site River Baseline'!$C$9:$R$257,15,FALSE))</f>
        <v/>
      </c>
      <c r="M133" s="524" t="str">
        <f>IF(L133="","",VLOOKUP($B133,'C-1 Site River Baseline'!$C$9:$R$257,16,FALSE))</f>
        <v/>
      </c>
      <c r="N133" s="418" t="str">
        <f t="shared" si="9"/>
        <v/>
      </c>
      <c r="O133" s="498" t="str">
        <f t="shared" si="10"/>
        <v/>
      </c>
      <c r="P133" s="499"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7" t="str">
        <f>IF(N133="","",VLOOKUP(B133,'C-1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07" t="str">
        <f>IF(V133="","",IF(VLOOKUP(V133,'G-7 Rivers Data'!$AG$4:$AI$9,2,FALSE)=0,"Spatial Data Missing ⚠",VLOOKUP(V133,'G-7 Rivers Data'!$AG$4:$AI$9,2,FALSE)))</f>
        <v/>
      </c>
      <c r="X133" s="499" t="str">
        <f>IF(V133="","",IF(VLOOKUP(V133,'G-7 Rivers Data'!$AG$4:$AI$9,3,FALSE)=0,"Spatial Data Missing ⚠",VLOOKUP(V133,'G-7 Rivers Data'!$AG$4:$AI$9,3,FALSE)))</f>
        <v/>
      </c>
      <c r="Y133" s="498" t="str">
        <f>IFERROR(IF(OR(LEFT(P133,5)="Error ▲",LEFT(O133,5)="Error ▲"),"Check Data ⚠",IF(F133&lt;S133,'G-7 Rivers Data'!$R$3,INDEX('G-7 Rivers Data'!$U$5:$Y$9,MATCH(G133,'G-7 Rivers Data'!$T$5:$T$9,0),MATCH(T133,'G-7 Rivers Data'!$U$4:$Y$4,0)))),"")</f>
        <v/>
      </c>
      <c r="Z133" s="195"/>
      <c r="AA133" s="195"/>
      <c r="AB133" s="507" t="str">
        <f t="shared" si="11"/>
        <v/>
      </c>
      <c r="AC133" s="521" t="str">
        <f t="shared" si="12"/>
        <v/>
      </c>
      <c r="AD133" s="564" t="str">
        <f>IFERROR(IF(AC133="Check Data ⚠","Check Data ⚠",VLOOKUP(AC133,'G-4 Temporal multipliers'!$A$4:$C$37,3,FALSE)),"")</f>
        <v/>
      </c>
      <c r="AE133" s="498" t="str">
        <f>IF(N133="","",VLOOKUP(N133,'G-7 Rivers Data'!$B$4:$G$8,5,FALSE))</f>
        <v/>
      </c>
      <c r="AF133" s="507" t="str">
        <f t="shared" si="13"/>
        <v/>
      </c>
      <c r="AG133" s="540" t="str">
        <f t="shared" si="14"/>
        <v/>
      </c>
      <c r="AH133" s="499" t="str">
        <f t="shared" si="8"/>
        <v/>
      </c>
      <c r="AI133" s="145"/>
      <c r="AJ133" s="499" t="str">
        <f>IF(AI133="","",IF(VLOOKUP(AI133,'G-7 Rivers Data'!$AA$4:$AB$7,2,FALSE)=0,"Spatial Data Missing ⚠",VLOOKUP(AI133,'G-7 Rivers Data'!$AA$4:$AB$7,2,FALSE)))</f>
        <v/>
      </c>
      <c r="AK133" s="155"/>
      <c r="AL133" s="499" t="str">
        <f>IF(AK133="","",IF(VLOOKUP(AK133,'G-7 Rivers Data'!$AD$4:$AE$8,2,FALSE)=0,"Spatial Data Missing ⚠",VLOOKUP(AK133,'G-7 Rivers Data'!$AD$4:$AE$8,2,FALSE)))</f>
        <v/>
      </c>
      <c r="AM133" s="545" t="str">
        <f t="shared" si="15"/>
        <v/>
      </c>
      <c r="AN133" s="149"/>
      <c r="AO133" s="150"/>
      <c r="AV133" s="31" t="str">
        <f>IFERROR(INDEX('G-7 Rivers Data'!$AZ$3:$AZ$7,MATCH(N133,'G-7 Rivers Data'!$AY$3:$AY$7,0)),"")</f>
        <v/>
      </c>
    </row>
    <row r="134" spans="2:48" ht="13.8" x14ac:dyDescent="0.25">
      <c r="B134" s="531" t="str">
        <f>'C-1 Site River Baseline'!AN132</f>
        <v/>
      </c>
      <c r="C134" s="520" t="str">
        <f>IF(B134="","",VLOOKUP($B134,'C-1 Site River Baseline'!$C$9:$R$257,2,FALSE))</f>
        <v/>
      </c>
      <c r="D134" s="520" t="str">
        <f>IF(C134="","",VLOOKUP($B134,'C-1 Site River Baseline'!$C$9:$R$257,3,FALSE))</f>
        <v/>
      </c>
      <c r="E134" s="520" t="str">
        <f>IF(D134="","",VLOOKUP($B134,'C-1 Site River Baseline'!$C$9:$R$257,4,FALSE))</f>
        <v/>
      </c>
      <c r="F134" s="520" t="str">
        <f>IF(E134="","",VLOOKUP($B134,'C-1 Site River Baseline'!$C$9:$R$257,5,FALSE))</f>
        <v/>
      </c>
      <c r="G134" s="520" t="str">
        <f>IF(F134="","",VLOOKUP($B134,'C-1 Site River Baseline'!$C$9:$R$257,6,FALSE))</f>
        <v/>
      </c>
      <c r="H134" s="520" t="str">
        <f>IF(G134="","",VLOOKUP($B134,'C-1 Site River Baseline'!$C$9:$R$257,7,FALSE))</f>
        <v/>
      </c>
      <c r="I134" s="520" t="str">
        <f>IF(H134="","",VLOOKUP($B134,'C-1 Site River Baseline'!$C$9:$R$257,8,FALSE))</f>
        <v/>
      </c>
      <c r="J134" s="520" t="str">
        <f>IF(I134="","",VLOOKUP($B134,'C-1 Site River Baseline'!$C$9:$R$257,9,FALSE))</f>
        <v/>
      </c>
      <c r="K134" s="520" t="str">
        <f>IF(J134="","",VLOOKUP($B134,'C-1 Site River Baseline'!$C$9:$R$257,10,FALSE))</f>
        <v/>
      </c>
      <c r="L134" s="520" t="str">
        <f>IF(B134="","",VLOOKUP($B134,'C-1 Site River Baseline'!$C$9:$R$257,15,FALSE))</f>
        <v/>
      </c>
      <c r="M134" s="524" t="str">
        <f>IF(L134="","",VLOOKUP($B134,'C-1 Site River Baseline'!$C$9:$R$257,16,FALSE))</f>
        <v/>
      </c>
      <c r="N134" s="418" t="str">
        <f t="shared" si="9"/>
        <v/>
      </c>
      <c r="O134" s="498" t="str">
        <f t="shared" si="10"/>
        <v/>
      </c>
      <c r="P134" s="499"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7" t="str">
        <f>IF(N134="","",VLOOKUP(B134,'C-1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07" t="str">
        <f>IF(V134="","",IF(VLOOKUP(V134,'G-7 Rivers Data'!$AG$4:$AI$9,2,FALSE)=0,"Spatial Data Missing ⚠",VLOOKUP(V134,'G-7 Rivers Data'!$AG$4:$AI$9,2,FALSE)))</f>
        <v/>
      </c>
      <c r="X134" s="499" t="str">
        <f>IF(V134="","",IF(VLOOKUP(V134,'G-7 Rivers Data'!$AG$4:$AI$9,3,FALSE)=0,"Spatial Data Missing ⚠",VLOOKUP(V134,'G-7 Rivers Data'!$AG$4:$AI$9,3,FALSE)))</f>
        <v/>
      </c>
      <c r="Y134" s="498" t="str">
        <f>IFERROR(IF(OR(LEFT(P134,5)="Error ▲",LEFT(O134,5)="Error ▲"),"Check Data ⚠",IF(F134&lt;S134,'G-7 Rivers Data'!$R$3,INDEX('G-7 Rivers Data'!$U$5:$Y$9,MATCH(G134,'G-7 Rivers Data'!$T$5:$T$9,0),MATCH(T134,'G-7 Rivers Data'!$U$4:$Y$4,0)))),"")</f>
        <v/>
      </c>
      <c r="Z134" s="195"/>
      <c r="AA134" s="195"/>
      <c r="AB134" s="507" t="str">
        <f t="shared" si="11"/>
        <v/>
      </c>
      <c r="AC134" s="521" t="str">
        <f t="shared" si="12"/>
        <v/>
      </c>
      <c r="AD134" s="564" t="str">
        <f>IFERROR(IF(AC134="Check Data ⚠","Check Data ⚠",VLOOKUP(AC134,'G-4 Temporal multipliers'!$A$4:$C$37,3,FALSE)),"")</f>
        <v/>
      </c>
      <c r="AE134" s="498" t="str">
        <f>IF(N134="","",VLOOKUP(N134,'G-7 Rivers Data'!$B$4:$G$8,5,FALSE))</f>
        <v/>
      </c>
      <c r="AF134" s="507" t="str">
        <f t="shared" si="13"/>
        <v/>
      </c>
      <c r="AG134" s="540" t="str">
        <f t="shared" si="14"/>
        <v/>
      </c>
      <c r="AH134" s="499" t="str">
        <f t="shared" si="8"/>
        <v/>
      </c>
      <c r="AI134" s="145"/>
      <c r="AJ134" s="499" t="str">
        <f>IF(AI134="","",IF(VLOOKUP(AI134,'G-7 Rivers Data'!$AA$4:$AB$7,2,FALSE)=0,"Spatial Data Missing ⚠",VLOOKUP(AI134,'G-7 Rivers Data'!$AA$4:$AB$7,2,FALSE)))</f>
        <v/>
      </c>
      <c r="AK134" s="155"/>
      <c r="AL134" s="499" t="str">
        <f>IF(AK134="","",IF(VLOOKUP(AK134,'G-7 Rivers Data'!$AD$4:$AE$8,2,FALSE)=0,"Spatial Data Missing ⚠",VLOOKUP(AK134,'G-7 Rivers Data'!$AD$4:$AE$8,2,FALSE)))</f>
        <v/>
      </c>
      <c r="AM134" s="545" t="str">
        <f t="shared" si="15"/>
        <v/>
      </c>
      <c r="AN134" s="149"/>
      <c r="AO134" s="150"/>
      <c r="AV134" s="31" t="str">
        <f>IFERROR(INDEX('G-7 Rivers Data'!$AZ$3:$AZ$7,MATCH(N134,'G-7 Rivers Data'!$AY$3:$AY$7,0)),"")</f>
        <v/>
      </c>
    </row>
    <row r="135" spans="2:48" ht="13.8" x14ac:dyDescent="0.25">
      <c r="B135" s="531" t="str">
        <f>'C-1 Site River Baseline'!AN133</f>
        <v/>
      </c>
      <c r="C135" s="520" t="str">
        <f>IF(B135="","",VLOOKUP($B135,'C-1 Site River Baseline'!$C$9:$R$257,2,FALSE))</f>
        <v/>
      </c>
      <c r="D135" s="520" t="str">
        <f>IF(C135="","",VLOOKUP($B135,'C-1 Site River Baseline'!$C$9:$R$257,3,FALSE))</f>
        <v/>
      </c>
      <c r="E135" s="520" t="str">
        <f>IF(D135="","",VLOOKUP($B135,'C-1 Site River Baseline'!$C$9:$R$257,4,FALSE))</f>
        <v/>
      </c>
      <c r="F135" s="520" t="str">
        <f>IF(E135="","",VLOOKUP($B135,'C-1 Site River Baseline'!$C$9:$R$257,5,FALSE))</f>
        <v/>
      </c>
      <c r="G135" s="520" t="str">
        <f>IF(F135="","",VLOOKUP($B135,'C-1 Site River Baseline'!$C$9:$R$257,6,FALSE))</f>
        <v/>
      </c>
      <c r="H135" s="520" t="str">
        <f>IF(G135="","",VLOOKUP($B135,'C-1 Site River Baseline'!$C$9:$R$257,7,FALSE))</f>
        <v/>
      </c>
      <c r="I135" s="520" t="str">
        <f>IF(H135="","",VLOOKUP($B135,'C-1 Site River Baseline'!$C$9:$R$257,8,FALSE))</f>
        <v/>
      </c>
      <c r="J135" s="520" t="str">
        <f>IF(I135="","",VLOOKUP($B135,'C-1 Site River Baseline'!$C$9:$R$257,9,FALSE))</f>
        <v/>
      </c>
      <c r="K135" s="520" t="str">
        <f>IF(J135="","",VLOOKUP($B135,'C-1 Site River Baseline'!$C$9:$R$257,10,FALSE))</f>
        <v/>
      </c>
      <c r="L135" s="520" t="str">
        <f>IF(B135="","",VLOOKUP($B135,'C-1 Site River Baseline'!$C$9:$R$257,15,FALSE))</f>
        <v/>
      </c>
      <c r="M135" s="524" t="str">
        <f>IF(L135="","",VLOOKUP($B135,'C-1 Site River Baseline'!$C$9:$R$257,16,FALSE))</f>
        <v/>
      </c>
      <c r="N135" s="418" t="str">
        <f t="shared" si="9"/>
        <v/>
      </c>
      <c r="O135" s="498" t="str">
        <f t="shared" si="10"/>
        <v/>
      </c>
      <c r="P135" s="499"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7" t="str">
        <f>IF(N135="","",VLOOKUP(B135,'C-1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07" t="str">
        <f>IF(V135="","",IF(VLOOKUP(V135,'G-7 Rivers Data'!$AG$4:$AI$9,2,FALSE)=0,"Spatial Data Missing ⚠",VLOOKUP(V135,'G-7 Rivers Data'!$AG$4:$AI$9,2,FALSE)))</f>
        <v/>
      </c>
      <c r="X135" s="499" t="str">
        <f>IF(V135="","",IF(VLOOKUP(V135,'G-7 Rivers Data'!$AG$4:$AI$9,3,FALSE)=0,"Spatial Data Missing ⚠",VLOOKUP(V135,'G-7 Rivers Data'!$AG$4:$AI$9,3,FALSE)))</f>
        <v/>
      </c>
      <c r="Y135" s="498" t="str">
        <f>IFERROR(IF(OR(LEFT(P135,5)="Error ▲",LEFT(O135,5)="Error ▲"),"Check Data ⚠",IF(F135&lt;S135,'G-7 Rivers Data'!$R$3,INDEX('G-7 Rivers Data'!$U$5:$Y$9,MATCH(G135,'G-7 Rivers Data'!$T$5:$T$9,0),MATCH(T135,'G-7 Rivers Data'!$U$4:$Y$4,0)))),"")</f>
        <v/>
      </c>
      <c r="Z135" s="195"/>
      <c r="AA135" s="195"/>
      <c r="AB135" s="507" t="str">
        <f t="shared" si="11"/>
        <v/>
      </c>
      <c r="AC135" s="521" t="str">
        <f t="shared" si="12"/>
        <v/>
      </c>
      <c r="AD135" s="564" t="str">
        <f>IFERROR(IF(AC135="Check Data ⚠","Check Data ⚠",VLOOKUP(AC135,'G-4 Temporal multipliers'!$A$4:$C$37,3,FALSE)),"")</f>
        <v/>
      </c>
      <c r="AE135" s="498" t="str">
        <f>IF(N135="","",VLOOKUP(N135,'G-7 Rivers Data'!$B$4:$G$8,5,FALSE))</f>
        <v/>
      </c>
      <c r="AF135" s="507" t="str">
        <f t="shared" si="13"/>
        <v/>
      </c>
      <c r="AG135" s="540" t="str">
        <f t="shared" si="14"/>
        <v/>
      </c>
      <c r="AH135" s="499" t="str">
        <f t="shared" si="8"/>
        <v/>
      </c>
      <c r="AI135" s="145"/>
      <c r="AJ135" s="499" t="str">
        <f>IF(AI135="","",IF(VLOOKUP(AI135,'G-7 Rivers Data'!$AA$4:$AB$7,2,FALSE)=0,"Spatial Data Missing ⚠",VLOOKUP(AI135,'G-7 Rivers Data'!$AA$4:$AB$7,2,FALSE)))</f>
        <v/>
      </c>
      <c r="AK135" s="155"/>
      <c r="AL135" s="499" t="str">
        <f>IF(AK135="","",IF(VLOOKUP(AK135,'G-7 Rivers Data'!$AD$4:$AE$8,2,FALSE)=0,"Spatial Data Missing ⚠",VLOOKUP(AK135,'G-7 Rivers Data'!$AD$4:$AE$8,2,FALSE)))</f>
        <v/>
      </c>
      <c r="AM135" s="545" t="str">
        <f t="shared" si="15"/>
        <v/>
      </c>
      <c r="AN135" s="149"/>
      <c r="AO135" s="150"/>
      <c r="AV135" s="31" t="str">
        <f>IFERROR(INDEX('G-7 Rivers Data'!$AZ$3:$AZ$7,MATCH(N135,'G-7 Rivers Data'!$AY$3:$AY$7,0)),"")</f>
        <v/>
      </c>
    </row>
    <row r="136" spans="2:48" ht="13.8" x14ac:dyDescent="0.25">
      <c r="B136" s="531" t="str">
        <f>'C-1 Site River Baseline'!AN134</f>
        <v/>
      </c>
      <c r="C136" s="520" t="str">
        <f>IF(B136="","",VLOOKUP($B136,'C-1 Site River Baseline'!$C$9:$R$257,2,FALSE))</f>
        <v/>
      </c>
      <c r="D136" s="520" t="str">
        <f>IF(C136="","",VLOOKUP($B136,'C-1 Site River Baseline'!$C$9:$R$257,3,FALSE))</f>
        <v/>
      </c>
      <c r="E136" s="520" t="str">
        <f>IF(D136="","",VLOOKUP($B136,'C-1 Site River Baseline'!$C$9:$R$257,4,FALSE))</f>
        <v/>
      </c>
      <c r="F136" s="520" t="str">
        <f>IF(E136="","",VLOOKUP($B136,'C-1 Site River Baseline'!$C$9:$R$257,5,FALSE))</f>
        <v/>
      </c>
      <c r="G136" s="520" t="str">
        <f>IF(F136="","",VLOOKUP($B136,'C-1 Site River Baseline'!$C$9:$R$257,6,FALSE))</f>
        <v/>
      </c>
      <c r="H136" s="520" t="str">
        <f>IF(G136="","",VLOOKUP($B136,'C-1 Site River Baseline'!$C$9:$R$257,7,FALSE))</f>
        <v/>
      </c>
      <c r="I136" s="520" t="str">
        <f>IF(H136="","",VLOOKUP($B136,'C-1 Site River Baseline'!$C$9:$R$257,8,FALSE))</f>
        <v/>
      </c>
      <c r="J136" s="520" t="str">
        <f>IF(I136="","",VLOOKUP($B136,'C-1 Site River Baseline'!$C$9:$R$257,9,FALSE))</f>
        <v/>
      </c>
      <c r="K136" s="520" t="str">
        <f>IF(J136="","",VLOOKUP($B136,'C-1 Site River Baseline'!$C$9:$R$257,10,FALSE))</f>
        <v/>
      </c>
      <c r="L136" s="520" t="str">
        <f>IF(B136="","",VLOOKUP($B136,'C-1 Site River Baseline'!$C$9:$R$257,15,FALSE))</f>
        <v/>
      </c>
      <c r="M136" s="524" t="str">
        <f>IF(L136="","",VLOOKUP($B136,'C-1 Site River Baseline'!$C$9:$R$257,16,FALSE))</f>
        <v/>
      </c>
      <c r="N136" s="418" t="str">
        <f t="shared" si="9"/>
        <v/>
      </c>
      <c r="O136" s="498" t="str">
        <f t="shared" si="10"/>
        <v/>
      </c>
      <c r="P136" s="499"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7" t="str">
        <f>IF(N136="","",VLOOKUP(B136,'C-1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07" t="str">
        <f>IF(V136="","",IF(VLOOKUP(V136,'G-7 Rivers Data'!$AG$4:$AI$9,2,FALSE)=0,"Spatial Data Missing ⚠",VLOOKUP(V136,'G-7 Rivers Data'!$AG$4:$AI$9,2,FALSE)))</f>
        <v/>
      </c>
      <c r="X136" s="499" t="str">
        <f>IF(V136="","",IF(VLOOKUP(V136,'G-7 Rivers Data'!$AG$4:$AI$9,3,FALSE)=0,"Spatial Data Missing ⚠",VLOOKUP(V136,'G-7 Rivers Data'!$AG$4:$AI$9,3,FALSE)))</f>
        <v/>
      </c>
      <c r="Y136" s="498" t="str">
        <f>IFERROR(IF(OR(LEFT(P136,5)="Error ▲",LEFT(O136,5)="Error ▲"),"Check Data ⚠",IF(F136&lt;S136,'G-7 Rivers Data'!$R$3,INDEX('G-7 Rivers Data'!$U$5:$Y$9,MATCH(G136,'G-7 Rivers Data'!$T$5:$T$9,0),MATCH(T136,'G-7 Rivers Data'!$U$4:$Y$4,0)))),"")</f>
        <v/>
      </c>
      <c r="Z136" s="195"/>
      <c r="AA136" s="195"/>
      <c r="AB136" s="507" t="str">
        <f t="shared" si="11"/>
        <v/>
      </c>
      <c r="AC136" s="521" t="str">
        <f t="shared" si="12"/>
        <v/>
      </c>
      <c r="AD136" s="564" t="str">
        <f>IFERROR(IF(AC136="Check Data ⚠","Check Data ⚠",VLOOKUP(AC136,'G-4 Temporal multipliers'!$A$4:$C$37,3,FALSE)),"")</f>
        <v/>
      </c>
      <c r="AE136" s="498" t="str">
        <f>IF(N136="","",VLOOKUP(N136,'G-7 Rivers Data'!$B$4:$G$8,5,FALSE))</f>
        <v/>
      </c>
      <c r="AF136" s="507" t="str">
        <f t="shared" si="13"/>
        <v/>
      </c>
      <c r="AG136" s="540" t="str">
        <f t="shared" si="14"/>
        <v/>
      </c>
      <c r="AH136" s="499" t="str">
        <f t="shared" si="8"/>
        <v/>
      </c>
      <c r="AI136" s="145"/>
      <c r="AJ136" s="499" t="str">
        <f>IF(AI136="","",IF(VLOOKUP(AI136,'G-7 Rivers Data'!$AA$4:$AB$7,2,FALSE)=0,"Spatial Data Missing ⚠",VLOOKUP(AI136,'G-7 Rivers Data'!$AA$4:$AB$7,2,FALSE)))</f>
        <v/>
      </c>
      <c r="AK136" s="155"/>
      <c r="AL136" s="499" t="str">
        <f>IF(AK136="","",IF(VLOOKUP(AK136,'G-7 Rivers Data'!$AD$4:$AE$8,2,FALSE)=0,"Spatial Data Missing ⚠",VLOOKUP(AK136,'G-7 Rivers Data'!$AD$4:$AE$8,2,FALSE)))</f>
        <v/>
      </c>
      <c r="AM136" s="545" t="str">
        <f t="shared" si="15"/>
        <v/>
      </c>
      <c r="AN136" s="149"/>
      <c r="AO136" s="150"/>
      <c r="AV136" s="31" t="str">
        <f>IFERROR(INDEX('G-7 Rivers Data'!$AZ$3:$AZ$7,MATCH(N136,'G-7 Rivers Data'!$AY$3:$AY$7,0)),"")</f>
        <v/>
      </c>
    </row>
    <row r="137" spans="2:48" ht="13.8" x14ac:dyDescent="0.25">
      <c r="B137" s="531" t="str">
        <f>'C-1 Site River Baseline'!AN135</f>
        <v/>
      </c>
      <c r="C137" s="520" t="str">
        <f>IF(B137="","",VLOOKUP($B137,'C-1 Site River Baseline'!$C$9:$R$257,2,FALSE))</f>
        <v/>
      </c>
      <c r="D137" s="520" t="str">
        <f>IF(C137="","",VLOOKUP($B137,'C-1 Site River Baseline'!$C$9:$R$257,3,FALSE))</f>
        <v/>
      </c>
      <c r="E137" s="520" t="str">
        <f>IF(D137="","",VLOOKUP($B137,'C-1 Site River Baseline'!$C$9:$R$257,4,FALSE))</f>
        <v/>
      </c>
      <c r="F137" s="520" t="str">
        <f>IF(E137="","",VLOOKUP($B137,'C-1 Site River Baseline'!$C$9:$R$257,5,FALSE))</f>
        <v/>
      </c>
      <c r="G137" s="520" t="str">
        <f>IF(F137="","",VLOOKUP($B137,'C-1 Site River Baseline'!$C$9:$R$257,6,FALSE))</f>
        <v/>
      </c>
      <c r="H137" s="520" t="str">
        <f>IF(G137="","",VLOOKUP($B137,'C-1 Site River Baseline'!$C$9:$R$257,7,FALSE))</f>
        <v/>
      </c>
      <c r="I137" s="520" t="str">
        <f>IF(H137="","",VLOOKUP($B137,'C-1 Site River Baseline'!$C$9:$R$257,8,FALSE))</f>
        <v/>
      </c>
      <c r="J137" s="520" t="str">
        <f>IF(I137="","",VLOOKUP($B137,'C-1 Site River Baseline'!$C$9:$R$257,9,FALSE))</f>
        <v/>
      </c>
      <c r="K137" s="520" t="str">
        <f>IF(J137="","",VLOOKUP($B137,'C-1 Site River Baseline'!$C$9:$R$257,10,FALSE))</f>
        <v/>
      </c>
      <c r="L137" s="520" t="str">
        <f>IF(B137="","",VLOOKUP($B137,'C-1 Site River Baseline'!$C$9:$R$257,15,FALSE))</f>
        <v/>
      </c>
      <c r="M137" s="524" t="str">
        <f>IF(L137="","",VLOOKUP($B137,'C-1 Site River Baseline'!$C$9:$R$257,16,FALSE))</f>
        <v/>
      </c>
      <c r="N137" s="418" t="str">
        <f t="shared" si="9"/>
        <v/>
      </c>
      <c r="O137" s="498" t="str">
        <f t="shared" si="10"/>
        <v/>
      </c>
      <c r="P137" s="499"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7" t="str">
        <f>IF(N137="","",VLOOKUP(B137,'C-1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07" t="str">
        <f>IF(V137="","",IF(VLOOKUP(V137,'G-7 Rivers Data'!$AG$4:$AI$9,2,FALSE)=0,"Spatial Data Missing ⚠",VLOOKUP(V137,'G-7 Rivers Data'!$AG$4:$AI$9,2,FALSE)))</f>
        <v/>
      </c>
      <c r="X137" s="499" t="str">
        <f>IF(V137="","",IF(VLOOKUP(V137,'G-7 Rivers Data'!$AG$4:$AI$9,3,FALSE)=0,"Spatial Data Missing ⚠",VLOOKUP(V137,'G-7 Rivers Data'!$AG$4:$AI$9,3,FALSE)))</f>
        <v/>
      </c>
      <c r="Y137" s="498" t="str">
        <f>IFERROR(IF(OR(LEFT(P137,5)="Error ▲",LEFT(O137,5)="Error ▲"),"Check Data ⚠",IF(F137&lt;S137,'G-7 Rivers Data'!$R$3,INDEX('G-7 Rivers Data'!$U$5:$Y$9,MATCH(G137,'G-7 Rivers Data'!$T$5:$T$9,0),MATCH(T137,'G-7 Rivers Data'!$U$4:$Y$4,0)))),"")</f>
        <v/>
      </c>
      <c r="Z137" s="195"/>
      <c r="AA137" s="195"/>
      <c r="AB137" s="507" t="str">
        <f t="shared" si="11"/>
        <v/>
      </c>
      <c r="AC137" s="521" t="str">
        <f t="shared" si="12"/>
        <v/>
      </c>
      <c r="AD137" s="564" t="str">
        <f>IFERROR(IF(AC137="Check Data ⚠","Check Data ⚠",VLOOKUP(AC137,'G-4 Temporal multipliers'!$A$4:$C$37,3,FALSE)),"")</f>
        <v/>
      </c>
      <c r="AE137" s="498" t="str">
        <f>IF(N137="","",VLOOKUP(N137,'G-7 Rivers Data'!$B$4:$G$8,5,FALSE))</f>
        <v/>
      </c>
      <c r="AF137" s="507" t="str">
        <f t="shared" si="13"/>
        <v/>
      </c>
      <c r="AG137" s="540" t="str">
        <f t="shared" si="14"/>
        <v/>
      </c>
      <c r="AH137" s="499" t="str">
        <f t="shared" si="8"/>
        <v/>
      </c>
      <c r="AI137" s="145"/>
      <c r="AJ137" s="499" t="str">
        <f>IF(AI137="","",IF(VLOOKUP(AI137,'G-7 Rivers Data'!$AA$4:$AB$7,2,FALSE)=0,"Spatial Data Missing ⚠",VLOOKUP(AI137,'G-7 Rivers Data'!$AA$4:$AB$7,2,FALSE)))</f>
        <v/>
      </c>
      <c r="AK137" s="155"/>
      <c r="AL137" s="499" t="str">
        <f>IF(AK137="","",IF(VLOOKUP(AK137,'G-7 Rivers Data'!$AD$4:$AE$8,2,FALSE)=0,"Spatial Data Missing ⚠",VLOOKUP(AK137,'G-7 Rivers Data'!$AD$4:$AE$8,2,FALSE)))</f>
        <v/>
      </c>
      <c r="AM137" s="545" t="str">
        <f t="shared" si="15"/>
        <v/>
      </c>
      <c r="AN137" s="149"/>
      <c r="AO137" s="150"/>
      <c r="AV137" s="31" t="str">
        <f>IFERROR(INDEX('G-7 Rivers Data'!$AZ$3:$AZ$7,MATCH(N137,'G-7 Rivers Data'!$AY$3:$AY$7,0)),"")</f>
        <v/>
      </c>
    </row>
    <row r="138" spans="2:48" ht="13.8" x14ac:dyDescent="0.25">
      <c r="B138" s="531" t="str">
        <f>'C-1 Site River Baseline'!AN136</f>
        <v/>
      </c>
      <c r="C138" s="520" t="str">
        <f>IF(B138="","",VLOOKUP($B138,'C-1 Site River Baseline'!$C$9:$R$257,2,FALSE))</f>
        <v/>
      </c>
      <c r="D138" s="520" t="str">
        <f>IF(C138="","",VLOOKUP($B138,'C-1 Site River Baseline'!$C$9:$R$257,3,FALSE))</f>
        <v/>
      </c>
      <c r="E138" s="520" t="str">
        <f>IF(D138="","",VLOOKUP($B138,'C-1 Site River Baseline'!$C$9:$R$257,4,FALSE))</f>
        <v/>
      </c>
      <c r="F138" s="520" t="str">
        <f>IF(E138="","",VLOOKUP($B138,'C-1 Site River Baseline'!$C$9:$R$257,5,FALSE))</f>
        <v/>
      </c>
      <c r="G138" s="520" t="str">
        <f>IF(F138="","",VLOOKUP($B138,'C-1 Site River Baseline'!$C$9:$R$257,6,FALSE))</f>
        <v/>
      </c>
      <c r="H138" s="520" t="str">
        <f>IF(G138="","",VLOOKUP($B138,'C-1 Site River Baseline'!$C$9:$R$257,7,FALSE))</f>
        <v/>
      </c>
      <c r="I138" s="520" t="str">
        <f>IF(H138="","",VLOOKUP($B138,'C-1 Site River Baseline'!$C$9:$R$257,8,FALSE))</f>
        <v/>
      </c>
      <c r="J138" s="520" t="str">
        <f>IF(I138="","",VLOOKUP($B138,'C-1 Site River Baseline'!$C$9:$R$257,9,FALSE))</f>
        <v/>
      </c>
      <c r="K138" s="520" t="str">
        <f>IF(J138="","",VLOOKUP($B138,'C-1 Site River Baseline'!$C$9:$R$257,10,FALSE))</f>
        <v/>
      </c>
      <c r="L138" s="520" t="str">
        <f>IF(B138="","",VLOOKUP($B138,'C-1 Site River Baseline'!$C$9:$R$257,15,FALSE))</f>
        <v/>
      </c>
      <c r="M138" s="524" t="str">
        <f>IF(L138="","",VLOOKUP($B138,'C-1 Site River Baseline'!$C$9:$R$257,16,FALSE))</f>
        <v/>
      </c>
      <c r="N138" s="418" t="str">
        <f t="shared" si="9"/>
        <v/>
      </c>
      <c r="O138" s="498" t="str">
        <f t="shared" si="10"/>
        <v/>
      </c>
      <c r="P138" s="499"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7" t="str">
        <f>IF(N138="","",VLOOKUP(B138,'C-1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07" t="str">
        <f>IF(V138="","",IF(VLOOKUP(V138,'G-7 Rivers Data'!$AG$4:$AI$9,2,FALSE)=0,"Spatial Data Missing ⚠",VLOOKUP(V138,'G-7 Rivers Data'!$AG$4:$AI$9,2,FALSE)))</f>
        <v/>
      </c>
      <c r="X138" s="499" t="str">
        <f>IF(V138="","",IF(VLOOKUP(V138,'G-7 Rivers Data'!$AG$4:$AI$9,3,FALSE)=0,"Spatial Data Missing ⚠",VLOOKUP(V138,'G-7 Rivers Data'!$AG$4:$AI$9,3,FALSE)))</f>
        <v/>
      </c>
      <c r="Y138" s="498" t="str">
        <f>IFERROR(IF(OR(LEFT(P138,5)="Error ▲",LEFT(O138,5)="Error ▲"),"Check Data ⚠",IF(F138&lt;S138,'G-7 Rivers Data'!$R$3,INDEX('G-7 Rivers Data'!$U$5:$Y$9,MATCH(G138,'G-7 Rivers Data'!$T$5:$T$9,0),MATCH(T138,'G-7 Rivers Data'!$U$4:$Y$4,0)))),"")</f>
        <v/>
      </c>
      <c r="Z138" s="195"/>
      <c r="AA138" s="195"/>
      <c r="AB138" s="507" t="str">
        <f t="shared" si="11"/>
        <v/>
      </c>
      <c r="AC138" s="521" t="str">
        <f t="shared" si="12"/>
        <v/>
      </c>
      <c r="AD138" s="564" t="str">
        <f>IFERROR(IF(AC138="Check Data ⚠","Check Data ⚠",VLOOKUP(AC138,'G-4 Temporal multipliers'!$A$4:$C$37,3,FALSE)),"")</f>
        <v/>
      </c>
      <c r="AE138" s="498" t="str">
        <f>IF(N138="","",VLOOKUP(N138,'G-7 Rivers Data'!$B$4:$G$8,5,FALSE))</f>
        <v/>
      </c>
      <c r="AF138" s="507" t="str">
        <f t="shared" si="13"/>
        <v/>
      </c>
      <c r="AG138" s="540" t="str">
        <f t="shared" si="14"/>
        <v/>
      </c>
      <c r="AH138" s="499" t="str">
        <f t="shared" si="8"/>
        <v/>
      </c>
      <c r="AI138" s="145"/>
      <c r="AJ138" s="499" t="str">
        <f>IF(AI138="","",IF(VLOOKUP(AI138,'G-7 Rivers Data'!$AA$4:$AB$7,2,FALSE)=0,"Spatial Data Missing ⚠",VLOOKUP(AI138,'G-7 Rivers Data'!$AA$4:$AB$7,2,FALSE)))</f>
        <v/>
      </c>
      <c r="AK138" s="155"/>
      <c r="AL138" s="499" t="str">
        <f>IF(AK138="","",IF(VLOOKUP(AK138,'G-7 Rivers Data'!$AD$4:$AE$8,2,FALSE)=0,"Spatial Data Missing ⚠",VLOOKUP(AK138,'G-7 Rivers Data'!$AD$4:$AE$8,2,FALSE)))</f>
        <v/>
      </c>
      <c r="AM138" s="545" t="str">
        <f t="shared" si="15"/>
        <v/>
      </c>
      <c r="AN138" s="149"/>
      <c r="AO138" s="150"/>
      <c r="AV138" s="31" t="str">
        <f>IFERROR(INDEX('G-7 Rivers Data'!$AZ$3:$AZ$7,MATCH(N138,'G-7 Rivers Data'!$AY$3:$AY$7,0)),"")</f>
        <v/>
      </c>
    </row>
    <row r="139" spans="2:48" ht="13.8" x14ac:dyDescent="0.25">
      <c r="B139" s="531" t="str">
        <f>'C-1 Site River Baseline'!AN137</f>
        <v/>
      </c>
      <c r="C139" s="520" t="str">
        <f>IF(B139="","",VLOOKUP($B139,'C-1 Site River Baseline'!$C$9:$R$257,2,FALSE))</f>
        <v/>
      </c>
      <c r="D139" s="520" t="str">
        <f>IF(C139="","",VLOOKUP($B139,'C-1 Site River Baseline'!$C$9:$R$257,3,FALSE))</f>
        <v/>
      </c>
      <c r="E139" s="520" t="str">
        <f>IF(D139="","",VLOOKUP($B139,'C-1 Site River Baseline'!$C$9:$R$257,4,FALSE))</f>
        <v/>
      </c>
      <c r="F139" s="520" t="str">
        <f>IF(E139="","",VLOOKUP($B139,'C-1 Site River Baseline'!$C$9:$R$257,5,FALSE))</f>
        <v/>
      </c>
      <c r="G139" s="520" t="str">
        <f>IF(F139="","",VLOOKUP($B139,'C-1 Site River Baseline'!$C$9:$R$257,6,FALSE))</f>
        <v/>
      </c>
      <c r="H139" s="520" t="str">
        <f>IF(G139="","",VLOOKUP($B139,'C-1 Site River Baseline'!$C$9:$R$257,7,FALSE))</f>
        <v/>
      </c>
      <c r="I139" s="520" t="str">
        <f>IF(H139="","",VLOOKUP($B139,'C-1 Site River Baseline'!$C$9:$R$257,8,FALSE))</f>
        <v/>
      </c>
      <c r="J139" s="520" t="str">
        <f>IF(I139="","",VLOOKUP($B139,'C-1 Site River Baseline'!$C$9:$R$257,9,FALSE))</f>
        <v/>
      </c>
      <c r="K139" s="520" t="str">
        <f>IF(J139="","",VLOOKUP($B139,'C-1 Site River Baseline'!$C$9:$R$257,10,FALSE))</f>
        <v/>
      </c>
      <c r="L139" s="520" t="str">
        <f>IF(B139="","",VLOOKUP($B139,'C-1 Site River Baseline'!$C$9:$R$257,15,FALSE))</f>
        <v/>
      </c>
      <c r="M139" s="524" t="str">
        <f>IF(L139="","",VLOOKUP($B139,'C-1 Site River Baseline'!$C$9:$R$257,16,FALSE))</f>
        <v/>
      </c>
      <c r="N139" s="418" t="str">
        <f t="shared" si="9"/>
        <v/>
      </c>
      <c r="O139" s="498" t="str">
        <f t="shared" si="10"/>
        <v/>
      </c>
      <c r="P139" s="499"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7" t="str">
        <f>IF(N139="","",VLOOKUP(B139,'C-1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07" t="str">
        <f>IF(V139="","",IF(VLOOKUP(V139,'G-7 Rivers Data'!$AG$4:$AI$9,2,FALSE)=0,"Spatial Data Missing ⚠",VLOOKUP(V139,'G-7 Rivers Data'!$AG$4:$AI$9,2,FALSE)))</f>
        <v/>
      </c>
      <c r="X139" s="499" t="str">
        <f>IF(V139="","",IF(VLOOKUP(V139,'G-7 Rivers Data'!$AG$4:$AI$9,3,FALSE)=0,"Spatial Data Missing ⚠",VLOOKUP(V139,'G-7 Rivers Data'!$AG$4:$AI$9,3,FALSE)))</f>
        <v/>
      </c>
      <c r="Y139" s="498" t="str">
        <f>IFERROR(IF(OR(LEFT(P139,5)="Error ▲",LEFT(O139,5)="Error ▲"),"Check Data ⚠",IF(F139&lt;S139,'G-7 Rivers Data'!$R$3,INDEX('G-7 Rivers Data'!$U$5:$Y$9,MATCH(G139,'G-7 Rivers Data'!$T$5:$T$9,0),MATCH(T139,'G-7 Rivers Data'!$U$4:$Y$4,0)))),"")</f>
        <v/>
      </c>
      <c r="Z139" s="195"/>
      <c r="AA139" s="195"/>
      <c r="AB139" s="507" t="str">
        <f t="shared" si="11"/>
        <v/>
      </c>
      <c r="AC139" s="521" t="str">
        <f t="shared" si="12"/>
        <v/>
      </c>
      <c r="AD139" s="564" t="str">
        <f>IFERROR(IF(AC139="Check Data ⚠","Check Data ⚠",VLOOKUP(AC139,'G-4 Temporal multipliers'!$A$4:$C$37,3,FALSE)),"")</f>
        <v/>
      </c>
      <c r="AE139" s="498" t="str">
        <f>IF(N139="","",VLOOKUP(N139,'G-7 Rivers Data'!$B$4:$G$8,5,FALSE))</f>
        <v/>
      </c>
      <c r="AF139" s="507" t="str">
        <f t="shared" si="13"/>
        <v/>
      </c>
      <c r="AG139" s="540" t="str">
        <f t="shared" si="14"/>
        <v/>
      </c>
      <c r="AH139" s="499" t="str">
        <f t="shared" si="8"/>
        <v/>
      </c>
      <c r="AI139" s="145"/>
      <c r="AJ139" s="499" t="str">
        <f>IF(AI139="","",IF(VLOOKUP(AI139,'G-7 Rivers Data'!$AA$4:$AB$7,2,FALSE)=0,"Spatial Data Missing ⚠",VLOOKUP(AI139,'G-7 Rivers Data'!$AA$4:$AB$7,2,FALSE)))</f>
        <v/>
      </c>
      <c r="AK139" s="155"/>
      <c r="AL139" s="499" t="str">
        <f>IF(AK139="","",IF(VLOOKUP(AK139,'G-7 Rivers Data'!$AD$4:$AE$8,2,FALSE)=0,"Spatial Data Missing ⚠",VLOOKUP(AK139,'G-7 Rivers Data'!$AD$4:$AE$8,2,FALSE)))</f>
        <v/>
      </c>
      <c r="AM139" s="545" t="str">
        <f t="shared" si="15"/>
        <v/>
      </c>
      <c r="AN139" s="149"/>
      <c r="AO139" s="150"/>
      <c r="AV139" s="31" t="str">
        <f>IFERROR(INDEX('G-7 Rivers Data'!$AZ$3:$AZ$7,MATCH(N139,'G-7 Rivers Data'!$AY$3:$AY$7,0)),"")</f>
        <v/>
      </c>
    </row>
    <row r="140" spans="2:48" ht="13.8" x14ac:dyDescent="0.25">
      <c r="B140" s="531" t="str">
        <f>'C-1 Site River Baseline'!AN138</f>
        <v/>
      </c>
      <c r="C140" s="520" t="str">
        <f>IF(B140="","",VLOOKUP($B140,'C-1 Site River Baseline'!$C$9:$R$257,2,FALSE))</f>
        <v/>
      </c>
      <c r="D140" s="520" t="str">
        <f>IF(C140="","",VLOOKUP($B140,'C-1 Site River Baseline'!$C$9:$R$257,3,FALSE))</f>
        <v/>
      </c>
      <c r="E140" s="520" t="str">
        <f>IF(D140="","",VLOOKUP($B140,'C-1 Site River Baseline'!$C$9:$R$257,4,FALSE))</f>
        <v/>
      </c>
      <c r="F140" s="520" t="str">
        <f>IF(E140="","",VLOOKUP($B140,'C-1 Site River Baseline'!$C$9:$R$257,5,FALSE))</f>
        <v/>
      </c>
      <c r="G140" s="520" t="str">
        <f>IF(F140="","",VLOOKUP($B140,'C-1 Site River Baseline'!$C$9:$R$257,6,FALSE))</f>
        <v/>
      </c>
      <c r="H140" s="520" t="str">
        <f>IF(G140="","",VLOOKUP($B140,'C-1 Site River Baseline'!$C$9:$R$257,7,FALSE))</f>
        <v/>
      </c>
      <c r="I140" s="520" t="str">
        <f>IF(H140="","",VLOOKUP($B140,'C-1 Site River Baseline'!$C$9:$R$257,8,FALSE))</f>
        <v/>
      </c>
      <c r="J140" s="520" t="str">
        <f>IF(I140="","",VLOOKUP($B140,'C-1 Site River Baseline'!$C$9:$R$257,9,FALSE))</f>
        <v/>
      </c>
      <c r="K140" s="520" t="str">
        <f>IF(J140="","",VLOOKUP($B140,'C-1 Site River Baseline'!$C$9:$R$257,10,FALSE))</f>
        <v/>
      </c>
      <c r="L140" s="520" t="str">
        <f>IF(B140="","",VLOOKUP($B140,'C-1 Site River Baseline'!$C$9:$R$257,15,FALSE))</f>
        <v/>
      </c>
      <c r="M140" s="524" t="str">
        <f>IF(L140="","",VLOOKUP($B140,'C-1 Site River Baseline'!$C$9:$R$257,16,FALSE))</f>
        <v/>
      </c>
      <c r="N140" s="418" t="str">
        <f t="shared" si="9"/>
        <v/>
      </c>
      <c r="O140" s="498" t="str">
        <f t="shared" si="10"/>
        <v/>
      </c>
      <c r="P140" s="499"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7" t="str">
        <f>IF(N140="","",VLOOKUP(B140,'C-1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07" t="str">
        <f>IF(V140="","",IF(VLOOKUP(V140,'G-7 Rivers Data'!$AG$4:$AI$9,2,FALSE)=0,"Spatial Data Missing ⚠",VLOOKUP(V140,'G-7 Rivers Data'!$AG$4:$AI$9,2,FALSE)))</f>
        <v/>
      </c>
      <c r="X140" s="499" t="str">
        <f>IF(V140="","",IF(VLOOKUP(V140,'G-7 Rivers Data'!$AG$4:$AI$9,3,FALSE)=0,"Spatial Data Missing ⚠",VLOOKUP(V140,'G-7 Rivers Data'!$AG$4:$AI$9,3,FALSE)))</f>
        <v/>
      </c>
      <c r="Y140" s="498" t="str">
        <f>IFERROR(IF(OR(LEFT(P140,5)="Error ▲",LEFT(O140,5)="Error ▲"),"Check Data ⚠",IF(F140&lt;S140,'G-7 Rivers Data'!$R$3,INDEX('G-7 Rivers Data'!$U$5:$Y$9,MATCH(G140,'G-7 Rivers Data'!$T$5:$T$9,0),MATCH(T140,'G-7 Rivers Data'!$U$4:$Y$4,0)))),"")</f>
        <v/>
      </c>
      <c r="Z140" s="195"/>
      <c r="AA140" s="195"/>
      <c r="AB140" s="507" t="str">
        <f t="shared" si="11"/>
        <v/>
      </c>
      <c r="AC140" s="521" t="str">
        <f t="shared" si="12"/>
        <v/>
      </c>
      <c r="AD140" s="564" t="str">
        <f>IFERROR(IF(AC140="Check Data ⚠","Check Data ⚠",VLOOKUP(AC140,'G-4 Temporal multipliers'!$A$4:$C$37,3,FALSE)),"")</f>
        <v/>
      </c>
      <c r="AE140" s="498" t="str">
        <f>IF(N140="","",VLOOKUP(N140,'G-7 Rivers Data'!$B$4:$G$8,5,FALSE))</f>
        <v/>
      </c>
      <c r="AF140" s="507" t="str">
        <f t="shared" si="13"/>
        <v/>
      </c>
      <c r="AG140" s="540" t="str">
        <f t="shared" si="14"/>
        <v/>
      </c>
      <c r="AH140" s="499" t="str">
        <f t="shared" ref="AH140:AH203" si="16">IF(N140="","",VLOOKUP(AE140,Difficulty,2,FALSE))</f>
        <v/>
      </c>
      <c r="AI140" s="145"/>
      <c r="AJ140" s="499" t="str">
        <f>IF(AI140="","",IF(VLOOKUP(AI140,'G-7 Rivers Data'!$AA$4:$AB$7,2,FALSE)=0,"Spatial Data Missing ⚠",VLOOKUP(AI140,'G-7 Rivers Data'!$AA$4:$AB$7,2,FALSE)))</f>
        <v/>
      </c>
      <c r="AK140" s="155"/>
      <c r="AL140" s="499" t="str">
        <f>IF(AK140="","",IF(VLOOKUP(AK140,'G-7 Rivers Data'!$AD$4:$AE$8,2,FALSE)=0,"Spatial Data Missing ⚠",VLOOKUP(AK140,'G-7 Rivers Data'!$AD$4:$AE$8,2,FALSE)))</f>
        <v/>
      </c>
      <c r="AM140" s="545" t="str">
        <f t="shared" si="15"/>
        <v/>
      </c>
      <c r="AN140" s="149"/>
      <c r="AO140" s="150"/>
      <c r="AV140" s="31" t="str">
        <f>IFERROR(INDEX('G-7 Rivers Data'!$AZ$3:$AZ$7,MATCH(N140,'G-7 Rivers Data'!$AY$3:$AY$7,0)),"")</f>
        <v/>
      </c>
    </row>
    <row r="141" spans="2:48" ht="13.8" x14ac:dyDescent="0.25">
      <c r="B141" s="531" t="str">
        <f>'C-1 Site River Baseline'!AN139</f>
        <v/>
      </c>
      <c r="C141" s="520" t="str">
        <f>IF(B141="","",VLOOKUP($B141,'C-1 Site River Baseline'!$C$9:$R$257,2,FALSE))</f>
        <v/>
      </c>
      <c r="D141" s="520" t="str">
        <f>IF(C141="","",VLOOKUP($B141,'C-1 Site River Baseline'!$C$9:$R$257,3,FALSE))</f>
        <v/>
      </c>
      <c r="E141" s="520" t="str">
        <f>IF(D141="","",VLOOKUP($B141,'C-1 Site River Baseline'!$C$9:$R$257,4,FALSE))</f>
        <v/>
      </c>
      <c r="F141" s="520" t="str">
        <f>IF(E141="","",VLOOKUP($B141,'C-1 Site River Baseline'!$C$9:$R$257,5,FALSE))</f>
        <v/>
      </c>
      <c r="G141" s="520" t="str">
        <f>IF(F141="","",VLOOKUP($B141,'C-1 Site River Baseline'!$C$9:$R$257,6,FALSE))</f>
        <v/>
      </c>
      <c r="H141" s="520" t="str">
        <f>IF(G141="","",VLOOKUP($B141,'C-1 Site River Baseline'!$C$9:$R$257,7,FALSE))</f>
        <v/>
      </c>
      <c r="I141" s="520" t="str">
        <f>IF(H141="","",VLOOKUP($B141,'C-1 Site River Baseline'!$C$9:$R$257,8,FALSE))</f>
        <v/>
      </c>
      <c r="J141" s="520" t="str">
        <f>IF(I141="","",VLOOKUP($B141,'C-1 Site River Baseline'!$C$9:$R$257,9,FALSE))</f>
        <v/>
      </c>
      <c r="K141" s="520" t="str">
        <f>IF(J141="","",VLOOKUP($B141,'C-1 Site River Baseline'!$C$9:$R$257,10,FALSE))</f>
        <v/>
      </c>
      <c r="L141" s="520" t="str">
        <f>IF(B141="","",VLOOKUP($B141,'C-1 Site River Baseline'!$C$9:$R$257,15,FALSE))</f>
        <v/>
      </c>
      <c r="M141" s="524" t="str">
        <f>IF(L141="","",VLOOKUP($B141,'C-1 Site River Baseline'!$C$9:$R$257,16,FALSE))</f>
        <v/>
      </c>
      <c r="N141" s="418" t="str">
        <f t="shared" ref="N141:N204" si="17">C141</f>
        <v/>
      </c>
      <c r="O141" s="498" t="str">
        <f t="shared" ref="O141:O204" si="18">IF(B141="","",IF(S141&lt;F141,"Error Trading Down ▲",E141&amp;" - "&amp;R141))</f>
        <v/>
      </c>
      <c r="P141" s="499"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7" t="str">
        <f>IF(N141="","",VLOOKUP(B141,'C-1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07" t="str">
        <f>IF(V141="","",IF(VLOOKUP(V141,'G-7 Rivers Data'!$AG$4:$AI$9,2,FALSE)=0,"Spatial Data Missing ⚠",VLOOKUP(V141,'G-7 Rivers Data'!$AG$4:$AI$9,2,FALSE)))</f>
        <v/>
      </c>
      <c r="X141" s="499" t="str">
        <f>IF(V141="","",IF(VLOOKUP(V141,'G-7 Rivers Data'!$AG$4:$AI$9,3,FALSE)=0,"Spatial Data Missing ⚠",VLOOKUP(V141,'G-7 Rivers Data'!$AG$4:$AI$9,3,FALSE)))</f>
        <v/>
      </c>
      <c r="Y141" s="498" t="str">
        <f>IFERROR(IF(OR(LEFT(P141,5)="Error ▲",LEFT(O141,5)="Error ▲"),"Check Data ⚠",IF(F141&lt;S141,'G-7 Rivers Data'!$R$3,INDEX('G-7 Rivers Data'!$U$5:$Y$9,MATCH(G141,'G-7 Rivers Data'!$T$5:$T$9,0),MATCH(T141,'G-7 Rivers Data'!$U$4:$Y$4,0)))),"")</f>
        <v/>
      </c>
      <c r="Z141" s="195"/>
      <c r="AA141" s="195"/>
      <c r="AB141" s="507"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1" t="str">
        <f t="shared" ref="AC141:AC204" si="20">IF(LEFT(AB141,5)="Error ▲","Check Data ⚠",IF(AB141="Check Data ⚠","Check Data ⚠",IF(Y141="","",IF(Z141="30+",0,IF(AA141="30+","30+ ⚠",IF(Y141+AA141&gt;30,"30+ ⚠",IF(Y141+AA141-Z141&gt;0,Y141+AA141-Z141,IF(Y141-Z141&lt;0,0,Y141+AA141-Z141))))))))</f>
        <v/>
      </c>
      <c r="AD141" s="564" t="str">
        <f>IFERROR(IF(AC141="Check Data ⚠","Check Data ⚠",VLOOKUP(AC141,'G-4 Temporal multipliers'!$A$4:$C$37,3,FALSE)),"")</f>
        <v/>
      </c>
      <c r="AE141" s="498" t="str">
        <f>IF(N141="","",VLOOKUP(N141,'G-7 Rivers Data'!$B$4:$G$8,5,FALSE))</f>
        <v/>
      </c>
      <c r="AF141" s="507" t="str">
        <f t="shared" ref="AF141:AF204" si="21">IF(N141="","",IF(AC141="Check Data ⚠","Check Data ⚠",IF(T141="","",IF($AB141="Check details - Is there evidence that habitat has reached target condition? ⚠","Low Difficulty - only applicable if all habitat created before losses ⚠","Standard difficulty applied"))))</f>
        <v/>
      </c>
      <c r="AG141" s="540" t="str">
        <f t="shared" ref="AG141:AG204" si="22">(IF(AND(AF141="Standard difficulty applied",Y141&gt;Z141),AE141,IF(AND(AF141="Low Difficulty - only applicable if all habitat created before losses ⚠",Z141&gt;=Y141),"Low",AE141)))</f>
        <v/>
      </c>
      <c r="AH141" s="499" t="str">
        <f t="shared" si="16"/>
        <v/>
      </c>
      <c r="AI141" s="145"/>
      <c r="AJ141" s="499" t="str">
        <f>IF(AI141="","",IF(VLOOKUP(AI141,'G-7 Rivers Data'!$AA$4:$AB$7,2,FALSE)=0,"Spatial Data Missing ⚠",VLOOKUP(AI141,'G-7 Rivers Data'!$AA$4:$AB$7,2,FALSE)))</f>
        <v/>
      </c>
      <c r="AK141" s="155"/>
      <c r="AL141" s="499" t="str">
        <f>IF(AK141="","",IF(VLOOKUP(AK141,'G-7 Rivers Data'!$AD$4:$AE$8,2,FALSE)=0,"Spatial Data Missing ⚠",VLOOKUP(AK141,'G-7 Rivers Data'!$AD$4:$AE$8,2,FALSE)))</f>
        <v/>
      </c>
      <c r="AM141" s="545" t="str">
        <f t="shared" si="15"/>
        <v/>
      </c>
      <c r="AN141" s="149"/>
      <c r="AO141" s="150"/>
      <c r="AV141" s="31" t="str">
        <f>IFERROR(INDEX('G-7 Rivers Data'!$AZ$3:$AZ$7,MATCH(N141,'G-7 Rivers Data'!$AY$3:$AY$7,0)),"")</f>
        <v/>
      </c>
    </row>
    <row r="142" spans="2:48" ht="13.8" x14ac:dyDescent="0.25">
      <c r="B142" s="531" t="str">
        <f>'C-1 Site River Baseline'!AN140</f>
        <v/>
      </c>
      <c r="C142" s="520" t="str">
        <f>IF(B142="","",VLOOKUP($B142,'C-1 Site River Baseline'!$C$9:$R$257,2,FALSE))</f>
        <v/>
      </c>
      <c r="D142" s="520" t="str">
        <f>IF(C142="","",VLOOKUP($B142,'C-1 Site River Baseline'!$C$9:$R$257,3,FALSE))</f>
        <v/>
      </c>
      <c r="E142" s="520" t="str">
        <f>IF(D142="","",VLOOKUP($B142,'C-1 Site River Baseline'!$C$9:$R$257,4,FALSE))</f>
        <v/>
      </c>
      <c r="F142" s="520" t="str">
        <f>IF(E142="","",VLOOKUP($B142,'C-1 Site River Baseline'!$C$9:$R$257,5,FALSE))</f>
        <v/>
      </c>
      <c r="G142" s="520" t="str">
        <f>IF(F142="","",VLOOKUP($B142,'C-1 Site River Baseline'!$C$9:$R$257,6,FALSE))</f>
        <v/>
      </c>
      <c r="H142" s="520" t="str">
        <f>IF(G142="","",VLOOKUP($B142,'C-1 Site River Baseline'!$C$9:$R$257,7,FALSE))</f>
        <v/>
      </c>
      <c r="I142" s="520" t="str">
        <f>IF(H142="","",VLOOKUP($B142,'C-1 Site River Baseline'!$C$9:$R$257,8,FALSE))</f>
        <v/>
      </c>
      <c r="J142" s="520" t="str">
        <f>IF(I142="","",VLOOKUP($B142,'C-1 Site River Baseline'!$C$9:$R$257,9,FALSE))</f>
        <v/>
      </c>
      <c r="K142" s="520" t="str">
        <f>IF(J142="","",VLOOKUP($B142,'C-1 Site River Baseline'!$C$9:$R$257,10,FALSE))</f>
        <v/>
      </c>
      <c r="L142" s="520" t="str">
        <f>IF(B142="","",VLOOKUP($B142,'C-1 Site River Baseline'!$C$9:$R$257,15,FALSE))</f>
        <v/>
      </c>
      <c r="M142" s="524" t="str">
        <f>IF(L142="","",VLOOKUP($B142,'C-1 Site River Baseline'!$C$9:$R$257,16,FALSE))</f>
        <v/>
      </c>
      <c r="N142" s="418" t="str">
        <f t="shared" si="17"/>
        <v/>
      </c>
      <c r="O142" s="498" t="str">
        <f t="shared" si="18"/>
        <v/>
      </c>
      <c r="P142" s="499"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7" t="str">
        <f>IF(N142="","",VLOOKUP(B142,'C-1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07" t="str">
        <f>IF(V142="","",IF(VLOOKUP(V142,'G-7 Rivers Data'!$AG$4:$AI$9,2,FALSE)=0,"Spatial Data Missing ⚠",VLOOKUP(V142,'G-7 Rivers Data'!$AG$4:$AI$9,2,FALSE)))</f>
        <v/>
      </c>
      <c r="X142" s="499" t="str">
        <f>IF(V142="","",IF(VLOOKUP(V142,'G-7 Rivers Data'!$AG$4:$AI$9,3,FALSE)=0,"Spatial Data Missing ⚠",VLOOKUP(V142,'G-7 Rivers Data'!$AG$4:$AI$9,3,FALSE)))</f>
        <v/>
      </c>
      <c r="Y142" s="498" t="str">
        <f>IFERROR(IF(OR(LEFT(P142,5)="Error ▲",LEFT(O142,5)="Error ▲"),"Check Data ⚠",IF(F142&lt;S142,'G-7 Rivers Data'!$R$3,INDEX('G-7 Rivers Data'!$U$5:$Y$9,MATCH(G142,'G-7 Rivers Data'!$T$5:$T$9,0),MATCH(T142,'G-7 Rivers Data'!$U$4:$Y$4,0)))),"")</f>
        <v/>
      </c>
      <c r="Z142" s="195"/>
      <c r="AA142" s="195"/>
      <c r="AB142" s="507" t="str">
        <f t="shared" si="19"/>
        <v/>
      </c>
      <c r="AC142" s="521" t="str">
        <f t="shared" si="20"/>
        <v/>
      </c>
      <c r="AD142" s="564" t="str">
        <f>IFERROR(IF(AC142="Check Data ⚠","Check Data ⚠",VLOOKUP(AC142,'G-4 Temporal multipliers'!$A$4:$C$37,3,FALSE)),"")</f>
        <v/>
      </c>
      <c r="AE142" s="498" t="str">
        <f>IF(N142="","",VLOOKUP(N142,'G-7 Rivers Data'!$B$4:$G$8,5,FALSE))</f>
        <v/>
      </c>
      <c r="AF142" s="507" t="str">
        <f t="shared" si="21"/>
        <v/>
      </c>
      <c r="AG142" s="540" t="str">
        <f t="shared" si="22"/>
        <v/>
      </c>
      <c r="AH142" s="499" t="str">
        <f t="shared" si="16"/>
        <v/>
      </c>
      <c r="AI142" s="145"/>
      <c r="AJ142" s="499" t="str">
        <f>IF(AI142="","",IF(VLOOKUP(AI142,'G-7 Rivers Data'!$AA$4:$AB$7,2,FALSE)=0,"Spatial Data Missing ⚠",VLOOKUP(AI142,'G-7 Rivers Data'!$AA$4:$AB$7,2,FALSE)))</f>
        <v/>
      </c>
      <c r="AK142" s="155"/>
      <c r="AL142" s="499" t="str">
        <f>IF(AK142="","",IF(VLOOKUP(AK142,'G-7 Rivers Data'!$AD$4:$AE$8,2,FALSE)=0,"Spatial Data Missing ⚠",VLOOKUP(AK142,'G-7 Rivers Data'!$AD$4:$AE$8,2,FALSE)))</f>
        <v/>
      </c>
      <c r="AM142" s="545"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8" x14ac:dyDescent="0.25">
      <c r="B143" s="531" t="str">
        <f>'C-1 Site River Baseline'!AN141</f>
        <v/>
      </c>
      <c r="C143" s="520" t="str">
        <f>IF(B143="","",VLOOKUP($B143,'C-1 Site River Baseline'!$C$9:$R$257,2,FALSE))</f>
        <v/>
      </c>
      <c r="D143" s="520" t="str">
        <f>IF(C143="","",VLOOKUP($B143,'C-1 Site River Baseline'!$C$9:$R$257,3,FALSE))</f>
        <v/>
      </c>
      <c r="E143" s="520" t="str">
        <f>IF(D143="","",VLOOKUP($B143,'C-1 Site River Baseline'!$C$9:$R$257,4,FALSE))</f>
        <v/>
      </c>
      <c r="F143" s="520" t="str">
        <f>IF(E143="","",VLOOKUP($B143,'C-1 Site River Baseline'!$C$9:$R$257,5,FALSE))</f>
        <v/>
      </c>
      <c r="G143" s="520" t="str">
        <f>IF(F143="","",VLOOKUP($B143,'C-1 Site River Baseline'!$C$9:$R$257,6,FALSE))</f>
        <v/>
      </c>
      <c r="H143" s="520" t="str">
        <f>IF(G143="","",VLOOKUP($B143,'C-1 Site River Baseline'!$C$9:$R$257,7,FALSE))</f>
        <v/>
      </c>
      <c r="I143" s="520" t="str">
        <f>IF(H143="","",VLOOKUP($B143,'C-1 Site River Baseline'!$C$9:$R$257,8,FALSE))</f>
        <v/>
      </c>
      <c r="J143" s="520" t="str">
        <f>IF(I143="","",VLOOKUP($B143,'C-1 Site River Baseline'!$C$9:$R$257,9,FALSE))</f>
        <v/>
      </c>
      <c r="K143" s="520" t="str">
        <f>IF(J143="","",VLOOKUP($B143,'C-1 Site River Baseline'!$C$9:$R$257,10,FALSE))</f>
        <v/>
      </c>
      <c r="L143" s="520" t="str">
        <f>IF(B143="","",VLOOKUP($B143,'C-1 Site River Baseline'!$C$9:$R$257,15,FALSE))</f>
        <v/>
      </c>
      <c r="M143" s="524" t="str">
        <f>IF(L143="","",VLOOKUP($B143,'C-1 Site River Baseline'!$C$9:$R$257,16,FALSE))</f>
        <v/>
      </c>
      <c r="N143" s="418" t="str">
        <f t="shared" si="17"/>
        <v/>
      </c>
      <c r="O143" s="498" t="str">
        <f t="shared" si="18"/>
        <v/>
      </c>
      <c r="P143" s="499"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7" t="str">
        <f>IF(N143="","",VLOOKUP(B143,'C-1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07" t="str">
        <f>IF(V143="","",IF(VLOOKUP(V143,'G-7 Rivers Data'!$AG$4:$AI$9,2,FALSE)=0,"Spatial Data Missing ⚠",VLOOKUP(V143,'G-7 Rivers Data'!$AG$4:$AI$9,2,FALSE)))</f>
        <v/>
      </c>
      <c r="X143" s="499" t="str">
        <f>IF(V143="","",IF(VLOOKUP(V143,'G-7 Rivers Data'!$AG$4:$AI$9,3,FALSE)=0,"Spatial Data Missing ⚠",VLOOKUP(V143,'G-7 Rivers Data'!$AG$4:$AI$9,3,FALSE)))</f>
        <v/>
      </c>
      <c r="Y143" s="498" t="str">
        <f>IFERROR(IF(OR(LEFT(P143,5)="Error ▲",LEFT(O143,5)="Error ▲"),"Check Data ⚠",IF(F143&lt;S143,'G-7 Rivers Data'!$R$3,INDEX('G-7 Rivers Data'!$U$5:$Y$9,MATCH(G143,'G-7 Rivers Data'!$T$5:$T$9,0),MATCH(T143,'G-7 Rivers Data'!$U$4:$Y$4,0)))),"")</f>
        <v/>
      </c>
      <c r="Z143" s="195"/>
      <c r="AA143" s="195"/>
      <c r="AB143" s="507" t="str">
        <f t="shared" si="19"/>
        <v/>
      </c>
      <c r="AC143" s="521" t="str">
        <f t="shared" si="20"/>
        <v/>
      </c>
      <c r="AD143" s="564" t="str">
        <f>IFERROR(IF(AC143="Check Data ⚠","Check Data ⚠",VLOOKUP(AC143,'G-4 Temporal multipliers'!$A$4:$C$37,3,FALSE)),"")</f>
        <v/>
      </c>
      <c r="AE143" s="498" t="str">
        <f>IF(N143="","",VLOOKUP(N143,'G-7 Rivers Data'!$B$4:$G$8,5,FALSE))</f>
        <v/>
      </c>
      <c r="AF143" s="507" t="str">
        <f t="shared" si="21"/>
        <v/>
      </c>
      <c r="AG143" s="540" t="str">
        <f t="shared" si="22"/>
        <v/>
      </c>
      <c r="AH143" s="499" t="str">
        <f t="shared" si="16"/>
        <v/>
      </c>
      <c r="AI143" s="145"/>
      <c r="AJ143" s="499" t="str">
        <f>IF(AI143="","",IF(VLOOKUP(AI143,'G-7 Rivers Data'!$AA$4:$AB$7,2,FALSE)=0,"Spatial Data Missing ⚠",VLOOKUP(AI143,'G-7 Rivers Data'!$AA$4:$AB$7,2,FALSE)))</f>
        <v/>
      </c>
      <c r="AK143" s="155"/>
      <c r="AL143" s="499" t="str">
        <f>IF(AK143="","",IF(VLOOKUP(AK143,'G-7 Rivers Data'!$AD$4:$AE$8,2,FALSE)=0,"Spatial Data Missing ⚠",VLOOKUP(AK143,'G-7 Rivers Data'!$AD$4:$AE$8,2,FALSE)))</f>
        <v/>
      </c>
      <c r="AM143" s="545" t="str">
        <f t="shared" si="23"/>
        <v/>
      </c>
      <c r="AN143" s="149"/>
      <c r="AO143" s="150"/>
      <c r="AV143" s="31" t="str">
        <f>IFERROR(INDEX('G-7 Rivers Data'!$AZ$3:$AZ$7,MATCH(N143,'G-7 Rivers Data'!$AY$3:$AY$7,0)),"")</f>
        <v/>
      </c>
    </row>
    <row r="144" spans="2:48" ht="13.8" x14ac:dyDescent="0.25">
      <c r="B144" s="531" t="str">
        <f>'C-1 Site River Baseline'!AN142</f>
        <v/>
      </c>
      <c r="C144" s="520" t="str">
        <f>IF(B144="","",VLOOKUP($B144,'C-1 Site River Baseline'!$C$9:$R$257,2,FALSE))</f>
        <v/>
      </c>
      <c r="D144" s="520" t="str">
        <f>IF(C144="","",VLOOKUP($B144,'C-1 Site River Baseline'!$C$9:$R$257,3,FALSE))</f>
        <v/>
      </c>
      <c r="E144" s="520" t="str">
        <f>IF(D144="","",VLOOKUP($B144,'C-1 Site River Baseline'!$C$9:$R$257,4,FALSE))</f>
        <v/>
      </c>
      <c r="F144" s="520" t="str">
        <f>IF(E144="","",VLOOKUP($B144,'C-1 Site River Baseline'!$C$9:$R$257,5,FALSE))</f>
        <v/>
      </c>
      <c r="G144" s="520" t="str">
        <f>IF(F144="","",VLOOKUP($B144,'C-1 Site River Baseline'!$C$9:$R$257,6,FALSE))</f>
        <v/>
      </c>
      <c r="H144" s="520" t="str">
        <f>IF(G144="","",VLOOKUP($B144,'C-1 Site River Baseline'!$C$9:$R$257,7,FALSE))</f>
        <v/>
      </c>
      <c r="I144" s="520" t="str">
        <f>IF(H144="","",VLOOKUP($B144,'C-1 Site River Baseline'!$C$9:$R$257,8,FALSE))</f>
        <v/>
      </c>
      <c r="J144" s="520" t="str">
        <f>IF(I144="","",VLOOKUP($B144,'C-1 Site River Baseline'!$C$9:$R$257,9,FALSE))</f>
        <v/>
      </c>
      <c r="K144" s="520" t="str">
        <f>IF(J144="","",VLOOKUP($B144,'C-1 Site River Baseline'!$C$9:$R$257,10,FALSE))</f>
        <v/>
      </c>
      <c r="L144" s="520" t="str">
        <f>IF(B144="","",VLOOKUP($B144,'C-1 Site River Baseline'!$C$9:$R$257,15,FALSE))</f>
        <v/>
      </c>
      <c r="M144" s="524" t="str">
        <f>IF(L144="","",VLOOKUP($B144,'C-1 Site River Baseline'!$C$9:$R$257,16,FALSE))</f>
        <v/>
      </c>
      <c r="N144" s="418" t="str">
        <f t="shared" si="17"/>
        <v/>
      </c>
      <c r="O144" s="498" t="str">
        <f t="shared" si="18"/>
        <v/>
      </c>
      <c r="P144" s="499"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7" t="str">
        <f>IF(N144="","",VLOOKUP(B144,'C-1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07" t="str">
        <f>IF(V144="","",IF(VLOOKUP(V144,'G-7 Rivers Data'!$AG$4:$AI$9,2,FALSE)=0,"Spatial Data Missing ⚠",VLOOKUP(V144,'G-7 Rivers Data'!$AG$4:$AI$9,2,FALSE)))</f>
        <v/>
      </c>
      <c r="X144" s="499" t="str">
        <f>IF(V144="","",IF(VLOOKUP(V144,'G-7 Rivers Data'!$AG$4:$AI$9,3,FALSE)=0,"Spatial Data Missing ⚠",VLOOKUP(V144,'G-7 Rivers Data'!$AG$4:$AI$9,3,FALSE)))</f>
        <v/>
      </c>
      <c r="Y144" s="498" t="str">
        <f>IFERROR(IF(OR(LEFT(P144,5)="Error ▲",LEFT(O144,5)="Error ▲"),"Check Data ⚠",IF(F144&lt;S144,'G-7 Rivers Data'!$R$3,INDEX('G-7 Rivers Data'!$U$5:$Y$9,MATCH(G144,'G-7 Rivers Data'!$T$5:$T$9,0),MATCH(T144,'G-7 Rivers Data'!$U$4:$Y$4,0)))),"")</f>
        <v/>
      </c>
      <c r="Z144" s="195"/>
      <c r="AA144" s="195"/>
      <c r="AB144" s="507" t="str">
        <f t="shared" si="19"/>
        <v/>
      </c>
      <c r="AC144" s="521" t="str">
        <f t="shared" si="20"/>
        <v/>
      </c>
      <c r="AD144" s="564" t="str">
        <f>IFERROR(IF(AC144="Check Data ⚠","Check Data ⚠",VLOOKUP(AC144,'G-4 Temporal multipliers'!$A$4:$C$37,3,FALSE)),"")</f>
        <v/>
      </c>
      <c r="AE144" s="498" t="str">
        <f>IF(N144="","",VLOOKUP(N144,'G-7 Rivers Data'!$B$4:$G$8,5,FALSE))</f>
        <v/>
      </c>
      <c r="AF144" s="507" t="str">
        <f t="shared" si="21"/>
        <v/>
      </c>
      <c r="AG144" s="540" t="str">
        <f t="shared" si="22"/>
        <v/>
      </c>
      <c r="AH144" s="499" t="str">
        <f t="shared" si="16"/>
        <v/>
      </c>
      <c r="AI144" s="145"/>
      <c r="AJ144" s="499" t="str">
        <f>IF(AI144="","",IF(VLOOKUP(AI144,'G-7 Rivers Data'!$AA$4:$AB$7,2,FALSE)=0,"Spatial Data Missing ⚠",VLOOKUP(AI144,'G-7 Rivers Data'!$AA$4:$AB$7,2,FALSE)))</f>
        <v/>
      </c>
      <c r="AK144" s="155"/>
      <c r="AL144" s="499" t="str">
        <f>IF(AK144="","",IF(VLOOKUP(AK144,'G-7 Rivers Data'!$AD$4:$AE$8,2,FALSE)=0,"Spatial Data Missing ⚠",VLOOKUP(AK144,'G-7 Rivers Data'!$AD$4:$AE$8,2,FALSE)))</f>
        <v/>
      </c>
      <c r="AM144" s="545" t="str">
        <f t="shared" si="23"/>
        <v/>
      </c>
      <c r="AN144" s="149"/>
      <c r="AO144" s="150"/>
      <c r="AV144" s="31" t="str">
        <f>IFERROR(INDEX('G-7 Rivers Data'!$AZ$3:$AZ$7,MATCH(N144,'G-7 Rivers Data'!$AY$3:$AY$7,0)),"")</f>
        <v/>
      </c>
    </row>
    <row r="145" spans="2:48" ht="13.8" x14ac:dyDescent="0.25">
      <c r="B145" s="531" t="str">
        <f>'C-1 Site River Baseline'!AN143</f>
        <v/>
      </c>
      <c r="C145" s="520" t="str">
        <f>IF(B145="","",VLOOKUP($B145,'C-1 Site River Baseline'!$C$9:$R$257,2,FALSE))</f>
        <v/>
      </c>
      <c r="D145" s="520" t="str">
        <f>IF(C145="","",VLOOKUP($B145,'C-1 Site River Baseline'!$C$9:$R$257,3,FALSE))</f>
        <v/>
      </c>
      <c r="E145" s="520" t="str">
        <f>IF(D145="","",VLOOKUP($B145,'C-1 Site River Baseline'!$C$9:$R$257,4,FALSE))</f>
        <v/>
      </c>
      <c r="F145" s="520" t="str">
        <f>IF(E145="","",VLOOKUP($B145,'C-1 Site River Baseline'!$C$9:$R$257,5,FALSE))</f>
        <v/>
      </c>
      <c r="G145" s="520" t="str">
        <f>IF(F145="","",VLOOKUP($B145,'C-1 Site River Baseline'!$C$9:$R$257,6,FALSE))</f>
        <v/>
      </c>
      <c r="H145" s="520" t="str">
        <f>IF(G145="","",VLOOKUP($B145,'C-1 Site River Baseline'!$C$9:$R$257,7,FALSE))</f>
        <v/>
      </c>
      <c r="I145" s="520" t="str">
        <f>IF(H145="","",VLOOKUP($B145,'C-1 Site River Baseline'!$C$9:$R$257,8,FALSE))</f>
        <v/>
      </c>
      <c r="J145" s="520" t="str">
        <f>IF(I145="","",VLOOKUP($B145,'C-1 Site River Baseline'!$C$9:$R$257,9,FALSE))</f>
        <v/>
      </c>
      <c r="K145" s="520" t="str">
        <f>IF(J145="","",VLOOKUP($B145,'C-1 Site River Baseline'!$C$9:$R$257,10,FALSE))</f>
        <v/>
      </c>
      <c r="L145" s="520" t="str">
        <f>IF(B145="","",VLOOKUP($B145,'C-1 Site River Baseline'!$C$9:$R$257,15,FALSE))</f>
        <v/>
      </c>
      <c r="M145" s="524" t="str">
        <f>IF(L145="","",VLOOKUP($B145,'C-1 Site River Baseline'!$C$9:$R$257,16,FALSE))</f>
        <v/>
      </c>
      <c r="N145" s="418" t="str">
        <f t="shared" si="17"/>
        <v/>
      </c>
      <c r="O145" s="498" t="str">
        <f t="shared" si="18"/>
        <v/>
      </c>
      <c r="P145" s="499"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7" t="str">
        <f>IF(N145="","",VLOOKUP(B145,'C-1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07" t="str">
        <f>IF(V145="","",IF(VLOOKUP(V145,'G-7 Rivers Data'!$AG$4:$AI$9,2,FALSE)=0,"Spatial Data Missing ⚠",VLOOKUP(V145,'G-7 Rivers Data'!$AG$4:$AI$9,2,FALSE)))</f>
        <v/>
      </c>
      <c r="X145" s="499" t="str">
        <f>IF(V145="","",IF(VLOOKUP(V145,'G-7 Rivers Data'!$AG$4:$AI$9,3,FALSE)=0,"Spatial Data Missing ⚠",VLOOKUP(V145,'G-7 Rivers Data'!$AG$4:$AI$9,3,FALSE)))</f>
        <v/>
      </c>
      <c r="Y145" s="498" t="str">
        <f>IFERROR(IF(OR(LEFT(P145,5)="Error ▲",LEFT(O145,5)="Error ▲"),"Check Data ⚠",IF(F145&lt;S145,'G-7 Rivers Data'!$R$3,INDEX('G-7 Rivers Data'!$U$5:$Y$9,MATCH(G145,'G-7 Rivers Data'!$T$5:$T$9,0),MATCH(T145,'G-7 Rivers Data'!$U$4:$Y$4,0)))),"")</f>
        <v/>
      </c>
      <c r="Z145" s="195"/>
      <c r="AA145" s="195"/>
      <c r="AB145" s="507" t="str">
        <f t="shared" si="19"/>
        <v/>
      </c>
      <c r="AC145" s="521" t="str">
        <f t="shared" si="20"/>
        <v/>
      </c>
      <c r="AD145" s="564" t="str">
        <f>IFERROR(IF(AC145="Check Data ⚠","Check Data ⚠",VLOOKUP(AC145,'G-4 Temporal multipliers'!$A$4:$C$37,3,FALSE)),"")</f>
        <v/>
      </c>
      <c r="AE145" s="498" t="str">
        <f>IF(N145="","",VLOOKUP(N145,'G-7 Rivers Data'!$B$4:$G$8,5,FALSE))</f>
        <v/>
      </c>
      <c r="AF145" s="507" t="str">
        <f t="shared" si="21"/>
        <v/>
      </c>
      <c r="AG145" s="540" t="str">
        <f t="shared" si="22"/>
        <v/>
      </c>
      <c r="AH145" s="499" t="str">
        <f t="shared" si="16"/>
        <v/>
      </c>
      <c r="AI145" s="145"/>
      <c r="AJ145" s="499" t="str">
        <f>IF(AI145="","",IF(VLOOKUP(AI145,'G-7 Rivers Data'!$AA$4:$AB$7,2,FALSE)=0,"Spatial Data Missing ⚠",VLOOKUP(AI145,'G-7 Rivers Data'!$AA$4:$AB$7,2,FALSE)))</f>
        <v/>
      </c>
      <c r="AK145" s="155"/>
      <c r="AL145" s="499" t="str">
        <f>IF(AK145="","",IF(VLOOKUP(AK145,'G-7 Rivers Data'!$AD$4:$AE$8,2,FALSE)=0,"Spatial Data Missing ⚠",VLOOKUP(AK145,'G-7 Rivers Data'!$AD$4:$AE$8,2,FALSE)))</f>
        <v/>
      </c>
      <c r="AM145" s="545" t="str">
        <f t="shared" si="23"/>
        <v/>
      </c>
      <c r="AN145" s="149"/>
      <c r="AO145" s="150"/>
      <c r="AV145" s="31" t="str">
        <f>IFERROR(INDEX('G-7 Rivers Data'!$AZ$3:$AZ$7,MATCH(N145,'G-7 Rivers Data'!$AY$3:$AY$7,0)),"")</f>
        <v/>
      </c>
    </row>
    <row r="146" spans="2:48" ht="13.8" x14ac:dyDescent="0.25">
      <c r="B146" s="531" t="str">
        <f>'C-1 Site River Baseline'!AN144</f>
        <v/>
      </c>
      <c r="C146" s="520" t="str">
        <f>IF(B146="","",VLOOKUP($B146,'C-1 Site River Baseline'!$C$9:$R$257,2,FALSE))</f>
        <v/>
      </c>
      <c r="D146" s="520" t="str">
        <f>IF(C146="","",VLOOKUP($B146,'C-1 Site River Baseline'!$C$9:$R$257,3,FALSE))</f>
        <v/>
      </c>
      <c r="E146" s="520" t="str">
        <f>IF(D146="","",VLOOKUP($B146,'C-1 Site River Baseline'!$C$9:$R$257,4,FALSE))</f>
        <v/>
      </c>
      <c r="F146" s="520" t="str">
        <f>IF(E146="","",VLOOKUP($B146,'C-1 Site River Baseline'!$C$9:$R$257,5,FALSE))</f>
        <v/>
      </c>
      <c r="G146" s="520" t="str">
        <f>IF(F146="","",VLOOKUP($B146,'C-1 Site River Baseline'!$C$9:$R$257,6,FALSE))</f>
        <v/>
      </c>
      <c r="H146" s="520" t="str">
        <f>IF(G146="","",VLOOKUP($B146,'C-1 Site River Baseline'!$C$9:$R$257,7,FALSE))</f>
        <v/>
      </c>
      <c r="I146" s="520" t="str">
        <f>IF(H146="","",VLOOKUP($B146,'C-1 Site River Baseline'!$C$9:$R$257,8,FALSE))</f>
        <v/>
      </c>
      <c r="J146" s="520" t="str">
        <f>IF(I146="","",VLOOKUP($B146,'C-1 Site River Baseline'!$C$9:$R$257,9,FALSE))</f>
        <v/>
      </c>
      <c r="K146" s="520" t="str">
        <f>IF(J146="","",VLOOKUP($B146,'C-1 Site River Baseline'!$C$9:$R$257,10,FALSE))</f>
        <v/>
      </c>
      <c r="L146" s="520" t="str">
        <f>IF(B146="","",VLOOKUP($B146,'C-1 Site River Baseline'!$C$9:$R$257,15,FALSE))</f>
        <v/>
      </c>
      <c r="M146" s="524" t="str">
        <f>IF(L146="","",VLOOKUP($B146,'C-1 Site River Baseline'!$C$9:$R$257,16,FALSE))</f>
        <v/>
      </c>
      <c r="N146" s="418" t="str">
        <f t="shared" si="17"/>
        <v/>
      </c>
      <c r="O146" s="498" t="str">
        <f t="shared" si="18"/>
        <v/>
      </c>
      <c r="P146" s="499"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7" t="str">
        <f>IF(N146="","",VLOOKUP(B146,'C-1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07" t="str">
        <f>IF(V146="","",IF(VLOOKUP(V146,'G-7 Rivers Data'!$AG$4:$AI$9,2,FALSE)=0,"Spatial Data Missing ⚠",VLOOKUP(V146,'G-7 Rivers Data'!$AG$4:$AI$9,2,FALSE)))</f>
        <v/>
      </c>
      <c r="X146" s="499" t="str">
        <f>IF(V146="","",IF(VLOOKUP(V146,'G-7 Rivers Data'!$AG$4:$AI$9,3,FALSE)=0,"Spatial Data Missing ⚠",VLOOKUP(V146,'G-7 Rivers Data'!$AG$4:$AI$9,3,FALSE)))</f>
        <v/>
      </c>
      <c r="Y146" s="498" t="str">
        <f>IFERROR(IF(OR(LEFT(P146,5)="Error ▲",LEFT(O146,5)="Error ▲"),"Check Data ⚠",IF(F146&lt;S146,'G-7 Rivers Data'!$R$3,INDEX('G-7 Rivers Data'!$U$5:$Y$9,MATCH(G146,'G-7 Rivers Data'!$T$5:$T$9,0),MATCH(T146,'G-7 Rivers Data'!$U$4:$Y$4,0)))),"")</f>
        <v/>
      </c>
      <c r="Z146" s="195"/>
      <c r="AA146" s="195"/>
      <c r="AB146" s="507" t="str">
        <f t="shared" si="19"/>
        <v/>
      </c>
      <c r="AC146" s="521" t="str">
        <f t="shared" si="20"/>
        <v/>
      </c>
      <c r="AD146" s="564" t="str">
        <f>IFERROR(IF(AC146="Check Data ⚠","Check Data ⚠",VLOOKUP(AC146,'G-4 Temporal multipliers'!$A$4:$C$37,3,FALSE)),"")</f>
        <v/>
      </c>
      <c r="AE146" s="498" t="str">
        <f>IF(N146="","",VLOOKUP(N146,'G-7 Rivers Data'!$B$4:$G$8,5,FALSE))</f>
        <v/>
      </c>
      <c r="AF146" s="507" t="str">
        <f t="shared" si="21"/>
        <v/>
      </c>
      <c r="AG146" s="540" t="str">
        <f t="shared" si="22"/>
        <v/>
      </c>
      <c r="AH146" s="499" t="str">
        <f t="shared" si="16"/>
        <v/>
      </c>
      <c r="AI146" s="145"/>
      <c r="AJ146" s="499" t="str">
        <f>IF(AI146="","",IF(VLOOKUP(AI146,'G-7 Rivers Data'!$AA$4:$AB$7,2,FALSE)=0,"Spatial Data Missing ⚠",VLOOKUP(AI146,'G-7 Rivers Data'!$AA$4:$AB$7,2,FALSE)))</f>
        <v/>
      </c>
      <c r="AK146" s="155"/>
      <c r="AL146" s="499" t="str">
        <f>IF(AK146="","",IF(VLOOKUP(AK146,'G-7 Rivers Data'!$AD$4:$AE$8,2,FALSE)=0,"Spatial Data Missing ⚠",VLOOKUP(AK146,'G-7 Rivers Data'!$AD$4:$AE$8,2,FALSE)))</f>
        <v/>
      </c>
      <c r="AM146" s="545" t="str">
        <f t="shared" si="23"/>
        <v/>
      </c>
      <c r="AN146" s="149"/>
      <c r="AO146" s="150"/>
      <c r="AV146" s="31" t="str">
        <f>IFERROR(INDEX('G-7 Rivers Data'!$AZ$3:$AZ$7,MATCH(N146,'G-7 Rivers Data'!$AY$3:$AY$7,0)),"")</f>
        <v/>
      </c>
    </row>
    <row r="147" spans="2:48" ht="13.8" x14ac:dyDescent="0.25">
      <c r="B147" s="531" t="str">
        <f>'C-1 Site River Baseline'!AN145</f>
        <v/>
      </c>
      <c r="C147" s="520" t="str">
        <f>IF(B147="","",VLOOKUP($B147,'C-1 Site River Baseline'!$C$9:$R$257,2,FALSE))</f>
        <v/>
      </c>
      <c r="D147" s="520" t="str">
        <f>IF(C147="","",VLOOKUP($B147,'C-1 Site River Baseline'!$C$9:$R$257,3,FALSE))</f>
        <v/>
      </c>
      <c r="E147" s="520" t="str">
        <f>IF(D147="","",VLOOKUP($B147,'C-1 Site River Baseline'!$C$9:$R$257,4,FALSE))</f>
        <v/>
      </c>
      <c r="F147" s="520" t="str">
        <f>IF(E147="","",VLOOKUP($B147,'C-1 Site River Baseline'!$C$9:$R$257,5,FALSE))</f>
        <v/>
      </c>
      <c r="G147" s="520" t="str">
        <f>IF(F147="","",VLOOKUP($B147,'C-1 Site River Baseline'!$C$9:$R$257,6,FALSE))</f>
        <v/>
      </c>
      <c r="H147" s="520" t="str">
        <f>IF(G147="","",VLOOKUP($B147,'C-1 Site River Baseline'!$C$9:$R$257,7,FALSE))</f>
        <v/>
      </c>
      <c r="I147" s="520" t="str">
        <f>IF(H147="","",VLOOKUP($B147,'C-1 Site River Baseline'!$C$9:$R$257,8,FALSE))</f>
        <v/>
      </c>
      <c r="J147" s="520" t="str">
        <f>IF(I147="","",VLOOKUP($B147,'C-1 Site River Baseline'!$C$9:$R$257,9,FALSE))</f>
        <v/>
      </c>
      <c r="K147" s="520" t="str">
        <f>IF(J147="","",VLOOKUP($B147,'C-1 Site River Baseline'!$C$9:$R$257,10,FALSE))</f>
        <v/>
      </c>
      <c r="L147" s="520" t="str">
        <f>IF(B147="","",VLOOKUP($B147,'C-1 Site River Baseline'!$C$9:$R$257,15,FALSE))</f>
        <v/>
      </c>
      <c r="M147" s="524" t="str">
        <f>IF(L147="","",VLOOKUP($B147,'C-1 Site River Baseline'!$C$9:$R$257,16,FALSE))</f>
        <v/>
      </c>
      <c r="N147" s="418" t="str">
        <f t="shared" si="17"/>
        <v/>
      </c>
      <c r="O147" s="498" t="str">
        <f t="shared" si="18"/>
        <v/>
      </c>
      <c r="P147" s="499"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7" t="str">
        <f>IF(N147="","",VLOOKUP(B147,'C-1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07" t="str">
        <f>IF(V147="","",IF(VLOOKUP(V147,'G-7 Rivers Data'!$AG$4:$AI$9,2,FALSE)=0,"Spatial Data Missing ⚠",VLOOKUP(V147,'G-7 Rivers Data'!$AG$4:$AI$9,2,FALSE)))</f>
        <v/>
      </c>
      <c r="X147" s="499" t="str">
        <f>IF(V147="","",IF(VLOOKUP(V147,'G-7 Rivers Data'!$AG$4:$AI$9,3,FALSE)=0,"Spatial Data Missing ⚠",VLOOKUP(V147,'G-7 Rivers Data'!$AG$4:$AI$9,3,FALSE)))</f>
        <v/>
      </c>
      <c r="Y147" s="498" t="str">
        <f>IFERROR(IF(OR(LEFT(P147,5)="Error ▲",LEFT(O147,5)="Error ▲"),"Check Data ⚠",IF(F147&lt;S147,'G-7 Rivers Data'!$R$3,INDEX('G-7 Rivers Data'!$U$5:$Y$9,MATCH(G147,'G-7 Rivers Data'!$T$5:$T$9,0),MATCH(T147,'G-7 Rivers Data'!$U$4:$Y$4,0)))),"")</f>
        <v/>
      </c>
      <c r="Z147" s="195"/>
      <c r="AA147" s="195"/>
      <c r="AB147" s="507" t="str">
        <f t="shared" si="19"/>
        <v/>
      </c>
      <c r="AC147" s="521" t="str">
        <f t="shared" si="20"/>
        <v/>
      </c>
      <c r="AD147" s="564" t="str">
        <f>IFERROR(IF(AC147="Check Data ⚠","Check Data ⚠",VLOOKUP(AC147,'G-4 Temporal multipliers'!$A$4:$C$37,3,FALSE)),"")</f>
        <v/>
      </c>
      <c r="AE147" s="498" t="str">
        <f>IF(N147="","",VLOOKUP(N147,'G-7 Rivers Data'!$B$4:$G$8,5,FALSE))</f>
        <v/>
      </c>
      <c r="AF147" s="507" t="str">
        <f t="shared" si="21"/>
        <v/>
      </c>
      <c r="AG147" s="540" t="str">
        <f t="shared" si="22"/>
        <v/>
      </c>
      <c r="AH147" s="499" t="str">
        <f t="shared" si="16"/>
        <v/>
      </c>
      <c r="AI147" s="145"/>
      <c r="AJ147" s="499" t="str">
        <f>IF(AI147="","",IF(VLOOKUP(AI147,'G-7 Rivers Data'!$AA$4:$AB$7,2,FALSE)=0,"Spatial Data Missing ⚠",VLOOKUP(AI147,'G-7 Rivers Data'!$AA$4:$AB$7,2,FALSE)))</f>
        <v/>
      </c>
      <c r="AK147" s="155"/>
      <c r="AL147" s="499" t="str">
        <f>IF(AK147="","",IF(VLOOKUP(AK147,'G-7 Rivers Data'!$AD$4:$AE$8,2,FALSE)=0,"Spatial Data Missing ⚠",VLOOKUP(AK147,'G-7 Rivers Data'!$AD$4:$AE$8,2,FALSE)))</f>
        <v/>
      </c>
      <c r="AM147" s="545" t="str">
        <f t="shared" si="23"/>
        <v/>
      </c>
      <c r="AN147" s="149"/>
      <c r="AO147" s="150"/>
      <c r="AV147" s="31" t="str">
        <f>IFERROR(INDEX('G-7 Rivers Data'!$AZ$3:$AZ$7,MATCH(N147,'G-7 Rivers Data'!$AY$3:$AY$7,0)),"")</f>
        <v/>
      </c>
    </row>
    <row r="148" spans="2:48" ht="13.8" x14ac:dyDescent="0.25">
      <c r="B148" s="531" t="str">
        <f>'C-1 Site River Baseline'!AN146</f>
        <v/>
      </c>
      <c r="C148" s="520" t="str">
        <f>IF(B148="","",VLOOKUP($B148,'C-1 Site River Baseline'!$C$9:$R$257,2,FALSE))</f>
        <v/>
      </c>
      <c r="D148" s="520" t="str">
        <f>IF(C148="","",VLOOKUP($B148,'C-1 Site River Baseline'!$C$9:$R$257,3,FALSE))</f>
        <v/>
      </c>
      <c r="E148" s="520" t="str">
        <f>IF(D148="","",VLOOKUP($B148,'C-1 Site River Baseline'!$C$9:$R$257,4,FALSE))</f>
        <v/>
      </c>
      <c r="F148" s="520" t="str">
        <f>IF(E148="","",VLOOKUP($B148,'C-1 Site River Baseline'!$C$9:$R$257,5,FALSE))</f>
        <v/>
      </c>
      <c r="G148" s="520" t="str">
        <f>IF(F148="","",VLOOKUP($B148,'C-1 Site River Baseline'!$C$9:$R$257,6,FALSE))</f>
        <v/>
      </c>
      <c r="H148" s="520" t="str">
        <f>IF(G148="","",VLOOKUP($B148,'C-1 Site River Baseline'!$C$9:$R$257,7,FALSE))</f>
        <v/>
      </c>
      <c r="I148" s="520" t="str">
        <f>IF(H148="","",VLOOKUP($B148,'C-1 Site River Baseline'!$C$9:$R$257,8,FALSE))</f>
        <v/>
      </c>
      <c r="J148" s="520" t="str">
        <f>IF(I148="","",VLOOKUP($B148,'C-1 Site River Baseline'!$C$9:$R$257,9,FALSE))</f>
        <v/>
      </c>
      <c r="K148" s="520" t="str">
        <f>IF(J148="","",VLOOKUP($B148,'C-1 Site River Baseline'!$C$9:$R$257,10,FALSE))</f>
        <v/>
      </c>
      <c r="L148" s="520" t="str">
        <f>IF(B148="","",VLOOKUP($B148,'C-1 Site River Baseline'!$C$9:$R$257,15,FALSE))</f>
        <v/>
      </c>
      <c r="M148" s="524" t="str">
        <f>IF(L148="","",VLOOKUP($B148,'C-1 Site River Baseline'!$C$9:$R$257,16,FALSE))</f>
        <v/>
      </c>
      <c r="N148" s="418" t="str">
        <f t="shared" si="17"/>
        <v/>
      </c>
      <c r="O148" s="498" t="str">
        <f t="shared" si="18"/>
        <v/>
      </c>
      <c r="P148" s="499"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7" t="str">
        <f>IF(N148="","",VLOOKUP(B148,'C-1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07" t="str">
        <f>IF(V148="","",IF(VLOOKUP(V148,'G-7 Rivers Data'!$AG$4:$AI$9,2,FALSE)=0,"Spatial Data Missing ⚠",VLOOKUP(V148,'G-7 Rivers Data'!$AG$4:$AI$9,2,FALSE)))</f>
        <v/>
      </c>
      <c r="X148" s="499" t="str">
        <f>IF(V148="","",IF(VLOOKUP(V148,'G-7 Rivers Data'!$AG$4:$AI$9,3,FALSE)=0,"Spatial Data Missing ⚠",VLOOKUP(V148,'G-7 Rivers Data'!$AG$4:$AI$9,3,FALSE)))</f>
        <v/>
      </c>
      <c r="Y148" s="498" t="str">
        <f>IFERROR(IF(OR(LEFT(P148,5)="Error ▲",LEFT(O148,5)="Error ▲"),"Check Data ⚠",IF(F148&lt;S148,'G-7 Rivers Data'!$R$3,INDEX('G-7 Rivers Data'!$U$5:$Y$9,MATCH(G148,'G-7 Rivers Data'!$T$5:$T$9,0),MATCH(T148,'G-7 Rivers Data'!$U$4:$Y$4,0)))),"")</f>
        <v/>
      </c>
      <c r="Z148" s="195"/>
      <c r="AA148" s="195"/>
      <c r="AB148" s="507" t="str">
        <f t="shared" si="19"/>
        <v/>
      </c>
      <c r="AC148" s="521" t="str">
        <f t="shared" si="20"/>
        <v/>
      </c>
      <c r="AD148" s="564" t="str">
        <f>IFERROR(IF(AC148="Check Data ⚠","Check Data ⚠",VLOOKUP(AC148,'G-4 Temporal multipliers'!$A$4:$C$37,3,FALSE)),"")</f>
        <v/>
      </c>
      <c r="AE148" s="498" t="str">
        <f>IF(N148="","",VLOOKUP(N148,'G-7 Rivers Data'!$B$4:$G$8,5,FALSE))</f>
        <v/>
      </c>
      <c r="AF148" s="507" t="str">
        <f t="shared" si="21"/>
        <v/>
      </c>
      <c r="AG148" s="540" t="str">
        <f t="shared" si="22"/>
        <v/>
      </c>
      <c r="AH148" s="499" t="str">
        <f t="shared" si="16"/>
        <v/>
      </c>
      <c r="AI148" s="145"/>
      <c r="AJ148" s="499" t="str">
        <f>IF(AI148="","",IF(VLOOKUP(AI148,'G-7 Rivers Data'!$AA$4:$AB$7,2,FALSE)=0,"Spatial Data Missing ⚠",VLOOKUP(AI148,'G-7 Rivers Data'!$AA$4:$AB$7,2,FALSE)))</f>
        <v/>
      </c>
      <c r="AK148" s="155"/>
      <c r="AL148" s="499" t="str">
        <f>IF(AK148="","",IF(VLOOKUP(AK148,'G-7 Rivers Data'!$AD$4:$AE$8,2,FALSE)=0,"Spatial Data Missing ⚠",VLOOKUP(AK148,'G-7 Rivers Data'!$AD$4:$AE$8,2,FALSE)))</f>
        <v/>
      </c>
      <c r="AM148" s="545" t="str">
        <f t="shared" si="23"/>
        <v/>
      </c>
      <c r="AN148" s="149"/>
      <c r="AO148" s="150"/>
      <c r="AV148" s="31" t="str">
        <f>IFERROR(INDEX('G-7 Rivers Data'!$AZ$3:$AZ$7,MATCH(N148,'G-7 Rivers Data'!$AY$3:$AY$7,0)),"")</f>
        <v/>
      </c>
    </row>
    <row r="149" spans="2:48" ht="13.8" x14ac:dyDescent="0.25">
      <c r="B149" s="531" t="str">
        <f>'C-1 Site River Baseline'!AN147</f>
        <v/>
      </c>
      <c r="C149" s="520" t="str">
        <f>IF(B149="","",VLOOKUP($B149,'C-1 Site River Baseline'!$C$9:$R$257,2,FALSE))</f>
        <v/>
      </c>
      <c r="D149" s="520" t="str">
        <f>IF(C149="","",VLOOKUP($B149,'C-1 Site River Baseline'!$C$9:$R$257,3,FALSE))</f>
        <v/>
      </c>
      <c r="E149" s="520" t="str">
        <f>IF(D149="","",VLOOKUP($B149,'C-1 Site River Baseline'!$C$9:$R$257,4,FALSE))</f>
        <v/>
      </c>
      <c r="F149" s="520" t="str">
        <f>IF(E149="","",VLOOKUP($B149,'C-1 Site River Baseline'!$C$9:$R$257,5,FALSE))</f>
        <v/>
      </c>
      <c r="G149" s="520" t="str">
        <f>IF(F149="","",VLOOKUP($B149,'C-1 Site River Baseline'!$C$9:$R$257,6,FALSE))</f>
        <v/>
      </c>
      <c r="H149" s="520" t="str">
        <f>IF(G149="","",VLOOKUP($B149,'C-1 Site River Baseline'!$C$9:$R$257,7,FALSE))</f>
        <v/>
      </c>
      <c r="I149" s="520" t="str">
        <f>IF(H149="","",VLOOKUP($B149,'C-1 Site River Baseline'!$C$9:$R$257,8,FALSE))</f>
        <v/>
      </c>
      <c r="J149" s="520" t="str">
        <f>IF(I149="","",VLOOKUP($B149,'C-1 Site River Baseline'!$C$9:$R$257,9,FALSE))</f>
        <v/>
      </c>
      <c r="K149" s="520" t="str">
        <f>IF(J149="","",VLOOKUP($B149,'C-1 Site River Baseline'!$C$9:$R$257,10,FALSE))</f>
        <v/>
      </c>
      <c r="L149" s="520" t="str">
        <f>IF(B149="","",VLOOKUP($B149,'C-1 Site River Baseline'!$C$9:$R$257,15,FALSE))</f>
        <v/>
      </c>
      <c r="M149" s="524" t="str">
        <f>IF(L149="","",VLOOKUP($B149,'C-1 Site River Baseline'!$C$9:$R$257,16,FALSE))</f>
        <v/>
      </c>
      <c r="N149" s="418"/>
      <c r="O149" s="498" t="str">
        <f t="shared" si="18"/>
        <v/>
      </c>
      <c r="P149" s="499"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7" t="str">
        <f>IF(N149="","",VLOOKUP(B149,'C-1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07" t="str">
        <f>IF(V149="","",IF(VLOOKUP(V149,'G-7 Rivers Data'!$AG$4:$AI$9,2,FALSE)=0,"Spatial Data Missing ⚠",VLOOKUP(V149,'G-7 Rivers Data'!$AG$4:$AI$9,2,FALSE)))</f>
        <v/>
      </c>
      <c r="X149" s="499" t="str">
        <f>IF(V149="","",IF(VLOOKUP(V149,'G-7 Rivers Data'!$AG$4:$AI$9,3,FALSE)=0,"Spatial Data Missing ⚠",VLOOKUP(V149,'G-7 Rivers Data'!$AG$4:$AI$9,3,FALSE)))</f>
        <v/>
      </c>
      <c r="Y149" s="498" t="str">
        <f>IFERROR(IF(OR(LEFT(P149,5)="Error ▲",LEFT(O149,5)="Error ▲"),"Check Data ⚠",IF(F149&lt;S149,'G-7 Rivers Data'!$R$3,INDEX('G-7 Rivers Data'!$U$5:$Y$9,MATCH(G149,'G-7 Rivers Data'!$T$5:$T$9,0),MATCH(T149,'G-7 Rivers Data'!$U$4:$Y$4,0)))),"")</f>
        <v/>
      </c>
      <c r="Z149" s="195"/>
      <c r="AA149" s="195"/>
      <c r="AB149" s="507" t="str">
        <f t="shared" si="19"/>
        <v/>
      </c>
      <c r="AC149" s="521" t="str">
        <f t="shared" si="20"/>
        <v/>
      </c>
      <c r="AD149" s="564" t="str">
        <f>IFERROR(IF(AC149="Check Data ⚠","Check Data ⚠",VLOOKUP(AC149,'G-4 Temporal multipliers'!$A$4:$C$37,3,FALSE)),"")</f>
        <v/>
      </c>
      <c r="AE149" s="498" t="str">
        <f>IF(N149="","",VLOOKUP(N149,'G-7 Rivers Data'!$B$4:$G$8,5,FALSE))</f>
        <v/>
      </c>
      <c r="AF149" s="507" t="str">
        <f t="shared" si="21"/>
        <v/>
      </c>
      <c r="AG149" s="540" t="str">
        <f t="shared" si="22"/>
        <v/>
      </c>
      <c r="AH149" s="499" t="str">
        <f t="shared" si="16"/>
        <v/>
      </c>
      <c r="AI149" s="145"/>
      <c r="AJ149" s="499" t="str">
        <f>IF(AI149="","",IF(VLOOKUP(AI149,'G-7 Rivers Data'!$AA$4:$AB$7,2,FALSE)=0,"Spatial Data Missing ⚠",VLOOKUP(AI149,'G-7 Rivers Data'!$AA$4:$AB$7,2,FALSE)))</f>
        <v/>
      </c>
      <c r="AK149" s="155"/>
      <c r="AL149" s="499" t="str">
        <f>IF(AK149="","",IF(VLOOKUP(AK149,'G-7 Rivers Data'!$AD$4:$AE$8,2,FALSE)=0,"Spatial Data Missing ⚠",VLOOKUP(AK149,'G-7 Rivers Data'!$AD$4:$AE$8,2,FALSE)))</f>
        <v/>
      </c>
      <c r="AM149" s="545" t="str">
        <f t="shared" si="23"/>
        <v/>
      </c>
      <c r="AN149" s="149"/>
      <c r="AO149" s="150"/>
      <c r="AV149" s="31" t="str">
        <f>IFERROR(INDEX('G-7 Rivers Data'!$AZ$3:$AZ$7,MATCH(N149,'G-7 Rivers Data'!$AY$3:$AY$7,0)),"")</f>
        <v/>
      </c>
    </row>
    <row r="150" spans="2:48" ht="13.8" x14ac:dyDescent="0.25">
      <c r="B150" s="531" t="str">
        <f>'C-1 Site River Baseline'!AN148</f>
        <v/>
      </c>
      <c r="C150" s="520" t="str">
        <f>IF(B150="","",VLOOKUP($B150,'C-1 Site River Baseline'!$C$9:$R$257,2,FALSE))</f>
        <v/>
      </c>
      <c r="D150" s="520" t="str">
        <f>IF(C150="","",VLOOKUP($B150,'C-1 Site River Baseline'!$C$9:$R$257,3,FALSE))</f>
        <v/>
      </c>
      <c r="E150" s="520" t="str">
        <f>IF(D150="","",VLOOKUP($B150,'C-1 Site River Baseline'!$C$9:$R$257,4,FALSE))</f>
        <v/>
      </c>
      <c r="F150" s="520" t="str">
        <f>IF(E150="","",VLOOKUP($B150,'C-1 Site River Baseline'!$C$9:$R$257,5,FALSE))</f>
        <v/>
      </c>
      <c r="G150" s="520" t="str">
        <f>IF(F150="","",VLOOKUP($B150,'C-1 Site River Baseline'!$C$9:$R$257,6,FALSE))</f>
        <v/>
      </c>
      <c r="H150" s="520" t="str">
        <f>IF(G150="","",VLOOKUP($B150,'C-1 Site River Baseline'!$C$9:$R$257,7,FALSE))</f>
        <v/>
      </c>
      <c r="I150" s="520" t="str">
        <f>IF(H150="","",VLOOKUP($B150,'C-1 Site River Baseline'!$C$9:$R$257,8,FALSE))</f>
        <v/>
      </c>
      <c r="J150" s="520" t="str">
        <f>IF(I150="","",VLOOKUP($B150,'C-1 Site River Baseline'!$C$9:$R$257,9,FALSE))</f>
        <v/>
      </c>
      <c r="K150" s="520" t="str">
        <f>IF(J150="","",VLOOKUP($B150,'C-1 Site River Baseline'!$C$9:$R$257,10,FALSE))</f>
        <v/>
      </c>
      <c r="L150" s="520" t="str">
        <f>IF(B150="","",VLOOKUP($B150,'C-1 Site River Baseline'!$C$9:$R$257,15,FALSE))</f>
        <v/>
      </c>
      <c r="M150" s="524" t="str">
        <f>IF(L150="","",VLOOKUP($B150,'C-1 Site River Baseline'!$C$9:$R$257,16,FALSE))</f>
        <v/>
      </c>
      <c r="N150" s="418" t="str">
        <f t="shared" si="17"/>
        <v/>
      </c>
      <c r="O150" s="498" t="str">
        <f t="shared" si="18"/>
        <v/>
      </c>
      <c r="P150" s="499"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7" t="str">
        <f>IF(N150="","",VLOOKUP(B150,'C-1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07" t="str">
        <f>IF(V150="","",IF(VLOOKUP(V150,'G-7 Rivers Data'!$AG$4:$AI$9,2,FALSE)=0,"Spatial Data Missing ⚠",VLOOKUP(V150,'G-7 Rivers Data'!$AG$4:$AI$9,2,FALSE)))</f>
        <v/>
      </c>
      <c r="X150" s="499" t="str">
        <f>IF(V150="","",IF(VLOOKUP(V150,'G-7 Rivers Data'!$AG$4:$AI$9,3,FALSE)=0,"Spatial Data Missing ⚠",VLOOKUP(V150,'G-7 Rivers Data'!$AG$4:$AI$9,3,FALSE)))</f>
        <v/>
      </c>
      <c r="Y150" s="498" t="str">
        <f>IFERROR(IF(OR(LEFT(P150,5)="Error ▲",LEFT(O150,5)="Error ▲"),"Check Data ⚠",IF(F150&lt;S150,'G-7 Rivers Data'!$R$3,INDEX('G-7 Rivers Data'!$U$5:$Y$9,MATCH(G150,'G-7 Rivers Data'!$T$5:$T$9,0),MATCH(T150,'G-7 Rivers Data'!$U$4:$Y$4,0)))),"")</f>
        <v/>
      </c>
      <c r="Z150" s="195"/>
      <c r="AA150" s="195"/>
      <c r="AB150" s="507" t="str">
        <f t="shared" si="19"/>
        <v/>
      </c>
      <c r="AC150" s="521" t="str">
        <f t="shared" si="20"/>
        <v/>
      </c>
      <c r="AD150" s="564" t="str">
        <f>IFERROR(IF(AC150="Check Data ⚠","Check Data ⚠",VLOOKUP(AC150,'G-4 Temporal multipliers'!$A$4:$C$37,3,FALSE)),"")</f>
        <v/>
      </c>
      <c r="AE150" s="498" t="str">
        <f>IF(N150="","",VLOOKUP(N150,'G-7 Rivers Data'!$B$4:$G$8,5,FALSE))</f>
        <v/>
      </c>
      <c r="AF150" s="507" t="str">
        <f t="shared" si="21"/>
        <v/>
      </c>
      <c r="AG150" s="540" t="str">
        <f t="shared" si="22"/>
        <v/>
      </c>
      <c r="AH150" s="499" t="str">
        <f t="shared" si="16"/>
        <v/>
      </c>
      <c r="AI150" s="145"/>
      <c r="AJ150" s="499" t="str">
        <f>IF(AI150="","",IF(VLOOKUP(AI150,'G-7 Rivers Data'!$AA$4:$AB$7,2,FALSE)=0,"Spatial Data Missing ⚠",VLOOKUP(AI150,'G-7 Rivers Data'!$AA$4:$AB$7,2,FALSE)))</f>
        <v/>
      </c>
      <c r="AK150" s="155"/>
      <c r="AL150" s="499" t="str">
        <f>IF(AK150="","",IF(VLOOKUP(AK150,'G-7 Rivers Data'!$AD$4:$AE$8,2,FALSE)=0,"Spatial Data Missing ⚠",VLOOKUP(AK150,'G-7 Rivers Data'!$AD$4:$AE$8,2,FALSE)))</f>
        <v/>
      </c>
      <c r="AM150" s="545" t="str">
        <f t="shared" si="23"/>
        <v/>
      </c>
      <c r="AN150" s="149"/>
      <c r="AO150" s="150"/>
      <c r="AV150" s="31" t="str">
        <f>IFERROR(INDEX('G-7 Rivers Data'!$AZ$3:$AZ$7,MATCH(N150,'G-7 Rivers Data'!$AY$3:$AY$7,0)),"")</f>
        <v/>
      </c>
    </row>
    <row r="151" spans="2:48" ht="13.8" x14ac:dyDescent="0.25">
      <c r="B151" s="531" t="str">
        <f>'C-1 Site River Baseline'!AN149</f>
        <v/>
      </c>
      <c r="C151" s="520" t="str">
        <f>IF(B151="","",VLOOKUP($B151,'C-1 Site River Baseline'!$C$9:$R$257,2,FALSE))</f>
        <v/>
      </c>
      <c r="D151" s="520" t="str">
        <f>IF(C151="","",VLOOKUP($B151,'C-1 Site River Baseline'!$C$9:$R$257,3,FALSE))</f>
        <v/>
      </c>
      <c r="E151" s="520" t="str">
        <f>IF(D151="","",VLOOKUP($B151,'C-1 Site River Baseline'!$C$9:$R$257,4,FALSE))</f>
        <v/>
      </c>
      <c r="F151" s="520" t="str">
        <f>IF(E151="","",VLOOKUP($B151,'C-1 Site River Baseline'!$C$9:$R$257,5,FALSE))</f>
        <v/>
      </c>
      <c r="G151" s="520" t="str">
        <f>IF(F151="","",VLOOKUP($B151,'C-1 Site River Baseline'!$C$9:$R$257,6,FALSE))</f>
        <v/>
      </c>
      <c r="H151" s="520" t="str">
        <f>IF(G151="","",VLOOKUP($B151,'C-1 Site River Baseline'!$C$9:$R$257,7,FALSE))</f>
        <v/>
      </c>
      <c r="I151" s="520" t="str">
        <f>IF(H151="","",VLOOKUP($B151,'C-1 Site River Baseline'!$C$9:$R$257,8,FALSE))</f>
        <v/>
      </c>
      <c r="J151" s="520" t="str">
        <f>IF(I151="","",VLOOKUP($B151,'C-1 Site River Baseline'!$C$9:$R$257,9,FALSE))</f>
        <v/>
      </c>
      <c r="K151" s="520" t="str">
        <f>IF(J151="","",VLOOKUP($B151,'C-1 Site River Baseline'!$C$9:$R$257,10,FALSE))</f>
        <v/>
      </c>
      <c r="L151" s="520" t="str">
        <f>IF(B151="","",VLOOKUP($B151,'C-1 Site River Baseline'!$C$9:$R$257,15,FALSE))</f>
        <v/>
      </c>
      <c r="M151" s="524" t="str">
        <f>IF(L151="","",VLOOKUP($B151,'C-1 Site River Baseline'!$C$9:$R$257,16,FALSE))</f>
        <v/>
      </c>
      <c r="N151" s="418" t="str">
        <f t="shared" si="17"/>
        <v/>
      </c>
      <c r="O151" s="498" t="str">
        <f t="shared" si="18"/>
        <v/>
      </c>
      <c r="P151" s="499"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7" t="str">
        <f>IF(N151="","",VLOOKUP(B151,'C-1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07" t="str">
        <f>IF(V151="","",IF(VLOOKUP(V151,'G-7 Rivers Data'!$AG$4:$AI$9,2,FALSE)=0,"Spatial Data Missing ⚠",VLOOKUP(V151,'G-7 Rivers Data'!$AG$4:$AI$9,2,FALSE)))</f>
        <v/>
      </c>
      <c r="X151" s="499" t="str">
        <f>IF(V151="","",IF(VLOOKUP(V151,'G-7 Rivers Data'!$AG$4:$AI$9,3,FALSE)=0,"Spatial Data Missing ⚠",VLOOKUP(V151,'G-7 Rivers Data'!$AG$4:$AI$9,3,FALSE)))</f>
        <v/>
      </c>
      <c r="Y151" s="498" t="str">
        <f>IFERROR(IF(OR(LEFT(P151,5)="Error ▲",LEFT(O151,5)="Error ▲"),"Check Data ⚠",IF(F151&lt;S151,'G-7 Rivers Data'!$R$3,INDEX('G-7 Rivers Data'!$U$5:$Y$9,MATCH(G151,'G-7 Rivers Data'!$T$5:$T$9,0),MATCH(T151,'G-7 Rivers Data'!$U$4:$Y$4,0)))),"")</f>
        <v/>
      </c>
      <c r="Z151" s="195"/>
      <c r="AA151" s="195"/>
      <c r="AB151" s="507" t="str">
        <f t="shared" si="19"/>
        <v/>
      </c>
      <c r="AC151" s="521" t="str">
        <f t="shared" si="20"/>
        <v/>
      </c>
      <c r="AD151" s="564" t="str">
        <f>IFERROR(IF(AC151="Check Data ⚠","Check Data ⚠",VLOOKUP(AC151,'G-4 Temporal multipliers'!$A$4:$C$37,3,FALSE)),"")</f>
        <v/>
      </c>
      <c r="AE151" s="498" t="str">
        <f>IF(N151="","",VLOOKUP(N151,'G-7 Rivers Data'!$B$4:$G$8,5,FALSE))</f>
        <v/>
      </c>
      <c r="AF151" s="507" t="str">
        <f t="shared" si="21"/>
        <v/>
      </c>
      <c r="AG151" s="540" t="str">
        <f t="shared" si="22"/>
        <v/>
      </c>
      <c r="AH151" s="499" t="str">
        <f t="shared" si="16"/>
        <v/>
      </c>
      <c r="AI151" s="145"/>
      <c r="AJ151" s="499" t="str">
        <f>IF(AI151="","",IF(VLOOKUP(AI151,'G-7 Rivers Data'!$AA$4:$AB$7,2,FALSE)=0,"Spatial Data Missing ⚠",VLOOKUP(AI151,'G-7 Rivers Data'!$AA$4:$AB$7,2,FALSE)))</f>
        <v/>
      </c>
      <c r="AK151" s="155"/>
      <c r="AL151" s="499" t="str">
        <f>IF(AK151="","",IF(VLOOKUP(AK151,'G-7 Rivers Data'!$AD$4:$AE$8,2,FALSE)=0,"Spatial Data Missing ⚠",VLOOKUP(AK151,'G-7 Rivers Data'!$AD$4:$AE$8,2,FALSE)))</f>
        <v/>
      </c>
      <c r="AM151" s="545" t="str">
        <f t="shared" si="23"/>
        <v/>
      </c>
      <c r="AN151" s="149"/>
      <c r="AO151" s="150"/>
      <c r="AV151" s="31" t="str">
        <f>IFERROR(INDEX('G-7 Rivers Data'!$AZ$3:$AZ$7,MATCH(N151,'G-7 Rivers Data'!$AY$3:$AY$7,0)),"")</f>
        <v/>
      </c>
    </row>
    <row r="152" spans="2:48" ht="13.8" x14ac:dyDescent="0.25">
      <c r="B152" s="531" t="str">
        <f>'C-1 Site River Baseline'!AN150</f>
        <v/>
      </c>
      <c r="C152" s="520" t="str">
        <f>IF(B152="","",VLOOKUP($B152,'C-1 Site River Baseline'!$C$9:$R$257,2,FALSE))</f>
        <v/>
      </c>
      <c r="D152" s="520" t="str">
        <f>IF(C152="","",VLOOKUP($B152,'C-1 Site River Baseline'!$C$9:$R$257,3,FALSE))</f>
        <v/>
      </c>
      <c r="E152" s="520" t="str">
        <f>IF(D152="","",VLOOKUP($B152,'C-1 Site River Baseline'!$C$9:$R$257,4,FALSE))</f>
        <v/>
      </c>
      <c r="F152" s="520" t="str">
        <f>IF(E152="","",VLOOKUP($B152,'C-1 Site River Baseline'!$C$9:$R$257,5,FALSE))</f>
        <v/>
      </c>
      <c r="G152" s="520" t="str">
        <f>IF(F152="","",VLOOKUP($B152,'C-1 Site River Baseline'!$C$9:$R$257,6,FALSE))</f>
        <v/>
      </c>
      <c r="H152" s="520" t="str">
        <f>IF(G152="","",VLOOKUP($B152,'C-1 Site River Baseline'!$C$9:$R$257,7,FALSE))</f>
        <v/>
      </c>
      <c r="I152" s="520" t="str">
        <f>IF(H152="","",VLOOKUP($B152,'C-1 Site River Baseline'!$C$9:$R$257,8,FALSE))</f>
        <v/>
      </c>
      <c r="J152" s="520" t="str">
        <f>IF(I152="","",VLOOKUP($B152,'C-1 Site River Baseline'!$C$9:$R$257,9,FALSE))</f>
        <v/>
      </c>
      <c r="K152" s="520" t="str">
        <f>IF(J152="","",VLOOKUP($B152,'C-1 Site River Baseline'!$C$9:$R$257,10,FALSE))</f>
        <v/>
      </c>
      <c r="L152" s="520" t="str">
        <f>IF(B152="","",VLOOKUP($B152,'C-1 Site River Baseline'!$C$9:$R$257,15,FALSE))</f>
        <v/>
      </c>
      <c r="M152" s="524" t="str">
        <f>IF(L152="","",VLOOKUP($B152,'C-1 Site River Baseline'!$C$9:$R$257,16,FALSE))</f>
        <v/>
      </c>
      <c r="N152" s="418" t="str">
        <f t="shared" si="17"/>
        <v/>
      </c>
      <c r="O152" s="498" t="str">
        <f t="shared" si="18"/>
        <v/>
      </c>
      <c r="P152" s="499"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7" t="str">
        <f>IF(N152="","",VLOOKUP(B152,'C-1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07" t="str">
        <f>IF(V152="","",IF(VLOOKUP(V152,'G-7 Rivers Data'!$AG$4:$AI$9,2,FALSE)=0,"Spatial Data Missing ⚠",VLOOKUP(V152,'G-7 Rivers Data'!$AG$4:$AI$9,2,FALSE)))</f>
        <v/>
      </c>
      <c r="X152" s="499" t="str">
        <f>IF(V152="","",IF(VLOOKUP(V152,'G-7 Rivers Data'!$AG$4:$AI$9,3,FALSE)=0,"Spatial Data Missing ⚠",VLOOKUP(V152,'G-7 Rivers Data'!$AG$4:$AI$9,3,FALSE)))</f>
        <v/>
      </c>
      <c r="Y152" s="498" t="str">
        <f>IFERROR(IF(OR(LEFT(P152,5)="Error ▲",LEFT(O152,5)="Error ▲"),"Check Data ⚠",IF(F152&lt;S152,'G-7 Rivers Data'!$R$3,INDEX('G-7 Rivers Data'!$U$5:$Y$9,MATCH(G152,'G-7 Rivers Data'!$T$5:$T$9,0),MATCH(T152,'G-7 Rivers Data'!$U$4:$Y$4,0)))),"")</f>
        <v/>
      </c>
      <c r="Z152" s="195"/>
      <c r="AA152" s="195"/>
      <c r="AB152" s="507" t="str">
        <f t="shared" si="19"/>
        <v/>
      </c>
      <c r="AC152" s="521" t="str">
        <f t="shared" si="20"/>
        <v/>
      </c>
      <c r="AD152" s="564" t="str">
        <f>IFERROR(IF(AC152="Check Data ⚠","Check Data ⚠",VLOOKUP(AC152,'G-4 Temporal multipliers'!$A$4:$C$37,3,FALSE)),"")</f>
        <v/>
      </c>
      <c r="AE152" s="498" t="str">
        <f>IF(N152="","",VLOOKUP(N152,'G-7 Rivers Data'!$B$4:$G$8,5,FALSE))</f>
        <v/>
      </c>
      <c r="AF152" s="507" t="str">
        <f t="shared" si="21"/>
        <v/>
      </c>
      <c r="AG152" s="540" t="str">
        <f t="shared" si="22"/>
        <v/>
      </c>
      <c r="AH152" s="499" t="str">
        <f t="shared" si="16"/>
        <v/>
      </c>
      <c r="AI152" s="145"/>
      <c r="AJ152" s="499" t="str">
        <f>IF(AI152="","",IF(VLOOKUP(AI152,'G-7 Rivers Data'!$AA$4:$AB$7,2,FALSE)=0,"Spatial Data Missing ⚠",VLOOKUP(AI152,'G-7 Rivers Data'!$AA$4:$AB$7,2,FALSE)))</f>
        <v/>
      </c>
      <c r="AK152" s="155"/>
      <c r="AL152" s="499" t="str">
        <f>IF(AK152="","",IF(VLOOKUP(AK152,'G-7 Rivers Data'!$AD$4:$AE$8,2,FALSE)=0,"Spatial Data Missing ⚠",VLOOKUP(AK152,'G-7 Rivers Data'!$AD$4:$AE$8,2,FALSE)))</f>
        <v/>
      </c>
      <c r="AM152" s="545" t="str">
        <f t="shared" si="23"/>
        <v/>
      </c>
      <c r="AN152" s="149"/>
      <c r="AO152" s="150"/>
      <c r="AV152" s="31" t="str">
        <f>IFERROR(INDEX('G-7 Rivers Data'!$AZ$3:$AZ$7,MATCH(N152,'G-7 Rivers Data'!$AY$3:$AY$7,0)),"")</f>
        <v/>
      </c>
    </row>
    <row r="153" spans="2:48" ht="13.8" x14ac:dyDescent="0.25">
      <c r="B153" s="531" t="str">
        <f>'C-1 Site River Baseline'!AN151</f>
        <v/>
      </c>
      <c r="C153" s="520" t="str">
        <f>IF(B153="","",VLOOKUP($B153,'C-1 Site River Baseline'!$C$9:$R$257,2,FALSE))</f>
        <v/>
      </c>
      <c r="D153" s="520" t="str">
        <f>IF(C153="","",VLOOKUP($B153,'C-1 Site River Baseline'!$C$9:$R$257,3,FALSE))</f>
        <v/>
      </c>
      <c r="E153" s="520" t="str">
        <f>IF(D153="","",VLOOKUP($B153,'C-1 Site River Baseline'!$C$9:$R$257,4,FALSE))</f>
        <v/>
      </c>
      <c r="F153" s="520" t="str">
        <f>IF(E153="","",VLOOKUP($B153,'C-1 Site River Baseline'!$C$9:$R$257,5,FALSE))</f>
        <v/>
      </c>
      <c r="G153" s="520" t="str">
        <f>IF(F153="","",VLOOKUP($B153,'C-1 Site River Baseline'!$C$9:$R$257,6,FALSE))</f>
        <v/>
      </c>
      <c r="H153" s="520" t="str">
        <f>IF(G153="","",VLOOKUP($B153,'C-1 Site River Baseline'!$C$9:$R$257,7,FALSE))</f>
        <v/>
      </c>
      <c r="I153" s="520" t="str">
        <f>IF(H153="","",VLOOKUP($B153,'C-1 Site River Baseline'!$C$9:$R$257,8,FALSE))</f>
        <v/>
      </c>
      <c r="J153" s="520" t="str">
        <f>IF(I153="","",VLOOKUP($B153,'C-1 Site River Baseline'!$C$9:$R$257,9,FALSE))</f>
        <v/>
      </c>
      <c r="K153" s="520" t="str">
        <f>IF(J153="","",VLOOKUP($B153,'C-1 Site River Baseline'!$C$9:$R$257,10,FALSE))</f>
        <v/>
      </c>
      <c r="L153" s="520" t="str">
        <f>IF(B153="","",VLOOKUP($B153,'C-1 Site River Baseline'!$C$9:$R$257,15,FALSE))</f>
        <v/>
      </c>
      <c r="M153" s="524" t="str">
        <f>IF(L153="","",VLOOKUP($B153,'C-1 Site River Baseline'!$C$9:$R$257,16,FALSE))</f>
        <v/>
      </c>
      <c r="N153" s="418" t="str">
        <f t="shared" si="17"/>
        <v/>
      </c>
      <c r="O153" s="498" t="str">
        <f t="shared" si="18"/>
        <v/>
      </c>
      <c r="P153" s="499"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7" t="str">
        <f>IF(N153="","",VLOOKUP(B153,'C-1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07" t="str">
        <f>IF(V153="","",IF(VLOOKUP(V153,'G-7 Rivers Data'!$AG$4:$AI$9,2,FALSE)=0,"Spatial Data Missing ⚠",VLOOKUP(V153,'G-7 Rivers Data'!$AG$4:$AI$9,2,FALSE)))</f>
        <v/>
      </c>
      <c r="X153" s="499" t="str">
        <f>IF(V153="","",IF(VLOOKUP(V153,'G-7 Rivers Data'!$AG$4:$AI$9,3,FALSE)=0,"Spatial Data Missing ⚠",VLOOKUP(V153,'G-7 Rivers Data'!$AG$4:$AI$9,3,FALSE)))</f>
        <v/>
      </c>
      <c r="Y153" s="498" t="str">
        <f>IFERROR(IF(OR(LEFT(P153,5)="Error ▲",LEFT(O153,5)="Error ▲"),"Check Data ⚠",IF(F153&lt;S153,'G-7 Rivers Data'!$R$3,INDEX('G-7 Rivers Data'!$U$5:$Y$9,MATCH(G153,'G-7 Rivers Data'!$T$5:$T$9,0),MATCH(T153,'G-7 Rivers Data'!$U$4:$Y$4,0)))),"")</f>
        <v/>
      </c>
      <c r="Z153" s="195"/>
      <c r="AA153" s="195"/>
      <c r="AB153" s="507" t="str">
        <f t="shared" si="19"/>
        <v/>
      </c>
      <c r="AC153" s="521" t="str">
        <f t="shared" si="20"/>
        <v/>
      </c>
      <c r="AD153" s="564" t="str">
        <f>IFERROR(IF(AC153="Check Data ⚠","Check Data ⚠",VLOOKUP(AC153,'G-4 Temporal multipliers'!$A$4:$C$37,3,FALSE)),"")</f>
        <v/>
      </c>
      <c r="AE153" s="498" t="str">
        <f>IF(N153="","",VLOOKUP(N153,'G-7 Rivers Data'!$B$4:$G$8,5,FALSE))</f>
        <v/>
      </c>
      <c r="AF153" s="507" t="str">
        <f t="shared" si="21"/>
        <v/>
      </c>
      <c r="AG153" s="540" t="str">
        <f t="shared" si="22"/>
        <v/>
      </c>
      <c r="AH153" s="499" t="str">
        <f t="shared" si="16"/>
        <v/>
      </c>
      <c r="AI153" s="145"/>
      <c r="AJ153" s="499" t="str">
        <f>IF(AI153="","",IF(VLOOKUP(AI153,'G-7 Rivers Data'!$AA$4:$AB$7,2,FALSE)=0,"Spatial Data Missing ⚠",VLOOKUP(AI153,'G-7 Rivers Data'!$AA$4:$AB$7,2,FALSE)))</f>
        <v/>
      </c>
      <c r="AK153" s="155"/>
      <c r="AL153" s="499" t="str">
        <f>IF(AK153="","",IF(VLOOKUP(AK153,'G-7 Rivers Data'!$AD$4:$AE$8,2,FALSE)=0,"Spatial Data Missing ⚠",VLOOKUP(AK153,'G-7 Rivers Data'!$AD$4:$AE$8,2,FALSE)))</f>
        <v/>
      </c>
      <c r="AM153" s="545" t="str">
        <f t="shared" si="23"/>
        <v/>
      </c>
      <c r="AN153" s="149"/>
      <c r="AO153" s="150"/>
      <c r="AV153" s="31" t="str">
        <f>IFERROR(INDEX('G-7 Rivers Data'!$AZ$3:$AZ$7,MATCH(N153,'G-7 Rivers Data'!$AY$3:$AY$7,0)),"")</f>
        <v/>
      </c>
    </row>
    <row r="154" spans="2:48" ht="13.8" x14ac:dyDescent="0.25">
      <c r="B154" s="531" t="str">
        <f>'C-1 Site River Baseline'!AN152</f>
        <v/>
      </c>
      <c r="C154" s="520" t="str">
        <f>IF(B154="","",VLOOKUP($B154,'C-1 Site River Baseline'!$C$9:$R$257,2,FALSE))</f>
        <v/>
      </c>
      <c r="D154" s="520" t="str">
        <f>IF(C154="","",VLOOKUP($B154,'C-1 Site River Baseline'!$C$9:$R$257,3,FALSE))</f>
        <v/>
      </c>
      <c r="E154" s="520" t="str">
        <f>IF(D154="","",VLOOKUP($B154,'C-1 Site River Baseline'!$C$9:$R$257,4,FALSE))</f>
        <v/>
      </c>
      <c r="F154" s="520" t="str">
        <f>IF(E154="","",VLOOKUP($B154,'C-1 Site River Baseline'!$C$9:$R$257,5,FALSE))</f>
        <v/>
      </c>
      <c r="G154" s="520" t="str">
        <f>IF(F154="","",VLOOKUP($B154,'C-1 Site River Baseline'!$C$9:$R$257,6,FALSE))</f>
        <v/>
      </c>
      <c r="H154" s="520" t="str">
        <f>IF(G154="","",VLOOKUP($B154,'C-1 Site River Baseline'!$C$9:$R$257,7,FALSE))</f>
        <v/>
      </c>
      <c r="I154" s="520" t="str">
        <f>IF(H154="","",VLOOKUP($B154,'C-1 Site River Baseline'!$C$9:$R$257,8,FALSE))</f>
        <v/>
      </c>
      <c r="J154" s="520" t="str">
        <f>IF(I154="","",VLOOKUP($B154,'C-1 Site River Baseline'!$C$9:$R$257,9,FALSE))</f>
        <v/>
      </c>
      <c r="K154" s="520" t="str">
        <f>IF(J154="","",VLOOKUP($B154,'C-1 Site River Baseline'!$C$9:$R$257,10,FALSE))</f>
        <v/>
      </c>
      <c r="L154" s="520" t="str">
        <f>IF(B154="","",VLOOKUP($B154,'C-1 Site River Baseline'!$C$9:$R$257,15,FALSE))</f>
        <v/>
      </c>
      <c r="M154" s="524" t="str">
        <f>IF(L154="","",VLOOKUP($B154,'C-1 Site River Baseline'!$C$9:$R$257,16,FALSE))</f>
        <v/>
      </c>
      <c r="N154" s="418" t="str">
        <f t="shared" si="17"/>
        <v/>
      </c>
      <c r="O154" s="498" t="str">
        <f t="shared" si="18"/>
        <v/>
      </c>
      <c r="P154" s="499"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7" t="str">
        <f>IF(N154="","",VLOOKUP(B154,'C-1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07" t="str">
        <f>IF(V154="","",IF(VLOOKUP(V154,'G-7 Rivers Data'!$AG$4:$AI$9,2,FALSE)=0,"Spatial Data Missing ⚠",VLOOKUP(V154,'G-7 Rivers Data'!$AG$4:$AI$9,2,FALSE)))</f>
        <v/>
      </c>
      <c r="X154" s="499" t="str">
        <f>IF(V154="","",IF(VLOOKUP(V154,'G-7 Rivers Data'!$AG$4:$AI$9,3,FALSE)=0,"Spatial Data Missing ⚠",VLOOKUP(V154,'G-7 Rivers Data'!$AG$4:$AI$9,3,FALSE)))</f>
        <v/>
      </c>
      <c r="Y154" s="498" t="str">
        <f>IFERROR(IF(OR(LEFT(P154,5)="Error ▲",LEFT(O154,5)="Error ▲"),"Check Data ⚠",IF(F154&lt;S154,'G-7 Rivers Data'!$R$3,INDEX('G-7 Rivers Data'!$U$5:$Y$9,MATCH(G154,'G-7 Rivers Data'!$T$5:$T$9,0),MATCH(T154,'G-7 Rivers Data'!$U$4:$Y$4,0)))),"")</f>
        <v/>
      </c>
      <c r="Z154" s="195"/>
      <c r="AA154" s="195"/>
      <c r="AB154" s="507" t="str">
        <f t="shared" si="19"/>
        <v/>
      </c>
      <c r="AC154" s="521" t="str">
        <f t="shared" si="20"/>
        <v/>
      </c>
      <c r="AD154" s="564" t="str">
        <f>IFERROR(IF(AC154="Check Data ⚠","Check Data ⚠",VLOOKUP(AC154,'G-4 Temporal multipliers'!$A$4:$C$37,3,FALSE)),"")</f>
        <v/>
      </c>
      <c r="AE154" s="498" t="str">
        <f>IF(N154="","",VLOOKUP(N154,'G-7 Rivers Data'!$B$4:$G$8,5,FALSE))</f>
        <v/>
      </c>
      <c r="AF154" s="507" t="str">
        <f t="shared" si="21"/>
        <v/>
      </c>
      <c r="AG154" s="540" t="str">
        <f t="shared" si="22"/>
        <v/>
      </c>
      <c r="AH154" s="499" t="str">
        <f t="shared" si="16"/>
        <v/>
      </c>
      <c r="AI154" s="145"/>
      <c r="AJ154" s="499" t="str">
        <f>IF(AI154="","",IF(VLOOKUP(AI154,'G-7 Rivers Data'!$AA$4:$AB$7,2,FALSE)=0,"Spatial Data Missing ⚠",VLOOKUP(AI154,'G-7 Rivers Data'!$AA$4:$AB$7,2,FALSE)))</f>
        <v/>
      </c>
      <c r="AK154" s="155"/>
      <c r="AL154" s="499" t="str">
        <f>IF(AK154="","",IF(VLOOKUP(AK154,'G-7 Rivers Data'!$AD$4:$AE$8,2,FALSE)=0,"Spatial Data Missing ⚠",VLOOKUP(AK154,'G-7 Rivers Data'!$AD$4:$AE$8,2,FALSE)))</f>
        <v/>
      </c>
      <c r="AM154" s="545" t="str">
        <f t="shared" si="23"/>
        <v/>
      </c>
      <c r="AN154" s="149"/>
      <c r="AO154" s="150"/>
      <c r="AV154" s="31" t="str">
        <f>IFERROR(INDEX('G-7 Rivers Data'!$AZ$3:$AZ$7,MATCH(N154,'G-7 Rivers Data'!$AY$3:$AY$7,0)),"")</f>
        <v/>
      </c>
    </row>
    <row r="155" spans="2:48" ht="13.8" x14ac:dyDescent="0.25">
      <c r="B155" s="531" t="str">
        <f>'C-1 Site River Baseline'!AN153</f>
        <v/>
      </c>
      <c r="C155" s="520" t="str">
        <f>IF(B155="","",VLOOKUP($B155,'C-1 Site River Baseline'!$C$9:$R$257,2,FALSE))</f>
        <v/>
      </c>
      <c r="D155" s="520" t="str">
        <f>IF(C155="","",VLOOKUP($B155,'C-1 Site River Baseline'!$C$9:$R$257,3,FALSE))</f>
        <v/>
      </c>
      <c r="E155" s="520" t="str">
        <f>IF(D155="","",VLOOKUP($B155,'C-1 Site River Baseline'!$C$9:$R$257,4,FALSE))</f>
        <v/>
      </c>
      <c r="F155" s="520" t="str">
        <f>IF(E155="","",VLOOKUP($B155,'C-1 Site River Baseline'!$C$9:$R$257,5,FALSE))</f>
        <v/>
      </c>
      <c r="G155" s="520" t="str">
        <f>IF(F155="","",VLOOKUP($B155,'C-1 Site River Baseline'!$C$9:$R$257,6,FALSE))</f>
        <v/>
      </c>
      <c r="H155" s="520" t="str">
        <f>IF(G155="","",VLOOKUP($B155,'C-1 Site River Baseline'!$C$9:$R$257,7,FALSE))</f>
        <v/>
      </c>
      <c r="I155" s="520" t="str">
        <f>IF(H155="","",VLOOKUP($B155,'C-1 Site River Baseline'!$C$9:$R$257,8,FALSE))</f>
        <v/>
      </c>
      <c r="J155" s="520" t="str">
        <f>IF(I155="","",VLOOKUP($B155,'C-1 Site River Baseline'!$C$9:$R$257,9,FALSE))</f>
        <v/>
      </c>
      <c r="K155" s="520" t="str">
        <f>IF(J155="","",VLOOKUP($B155,'C-1 Site River Baseline'!$C$9:$R$257,10,FALSE))</f>
        <v/>
      </c>
      <c r="L155" s="520" t="str">
        <f>IF(B155="","",VLOOKUP($B155,'C-1 Site River Baseline'!$C$9:$R$257,15,FALSE))</f>
        <v/>
      </c>
      <c r="M155" s="524" t="str">
        <f>IF(L155="","",VLOOKUP($B155,'C-1 Site River Baseline'!$C$9:$R$257,16,FALSE))</f>
        <v/>
      </c>
      <c r="N155" s="418" t="str">
        <f t="shared" si="17"/>
        <v/>
      </c>
      <c r="O155" s="498" t="str">
        <f t="shared" si="18"/>
        <v/>
      </c>
      <c r="P155" s="499"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7" t="str">
        <f>IF(N155="","",VLOOKUP(B155,'C-1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07" t="str">
        <f>IF(V155="","",IF(VLOOKUP(V155,'G-7 Rivers Data'!$AG$4:$AI$9,2,FALSE)=0,"Spatial Data Missing ⚠",VLOOKUP(V155,'G-7 Rivers Data'!$AG$4:$AI$9,2,FALSE)))</f>
        <v/>
      </c>
      <c r="X155" s="499" t="str">
        <f>IF(V155="","",IF(VLOOKUP(V155,'G-7 Rivers Data'!$AG$4:$AI$9,3,FALSE)=0,"Spatial Data Missing ⚠",VLOOKUP(V155,'G-7 Rivers Data'!$AG$4:$AI$9,3,FALSE)))</f>
        <v/>
      </c>
      <c r="Y155" s="498" t="str">
        <f>IFERROR(IF(OR(LEFT(P155,5)="Error ▲",LEFT(O155,5)="Error ▲"),"Check Data ⚠",IF(F155&lt;S155,'G-7 Rivers Data'!$R$3,INDEX('G-7 Rivers Data'!$U$5:$Y$9,MATCH(G155,'G-7 Rivers Data'!$T$5:$T$9,0),MATCH(T155,'G-7 Rivers Data'!$U$4:$Y$4,0)))),"")</f>
        <v/>
      </c>
      <c r="Z155" s="195"/>
      <c r="AA155" s="195"/>
      <c r="AB155" s="507" t="str">
        <f t="shared" si="19"/>
        <v/>
      </c>
      <c r="AC155" s="521" t="str">
        <f t="shared" si="20"/>
        <v/>
      </c>
      <c r="AD155" s="564" t="str">
        <f>IFERROR(IF(AC155="Check Data ⚠","Check Data ⚠",VLOOKUP(AC155,'G-4 Temporal multipliers'!$A$4:$C$37,3,FALSE)),"")</f>
        <v/>
      </c>
      <c r="AE155" s="498" t="str">
        <f>IF(N155="","",VLOOKUP(N155,'G-7 Rivers Data'!$B$4:$G$8,5,FALSE))</f>
        <v/>
      </c>
      <c r="AF155" s="507" t="str">
        <f t="shared" si="21"/>
        <v/>
      </c>
      <c r="AG155" s="540" t="str">
        <f t="shared" si="22"/>
        <v/>
      </c>
      <c r="AH155" s="499" t="str">
        <f t="shared" si="16"/>
        <v/>
      </c>
      <c r="AI155" s="145"/>
      <c r="AJ155" s="499" t="str">
        <f>IF(AI155="","",IF(VLOOKUP(AI155,'G-7 Rivers Data'!$AA$4:$AB$7,2,FALSE)=0,"Spatial Data Missing ⚠",VLOOKUP(AI155,'G-7 Rivers Data'!$AA$4:$AB$7,2,FALSE)))</f>
        <v/>
      </c>
      <c r="AK155" s="155"/>
      <c r="AL155" s="499" t="str">
        <f>IF(AK155="","",IF(VLOOKUP(AK155,'G-7 Rivers Data'!$AD$4:$AE$8,2,FALSE)=0,"Spatial Data Missing ⚠",VLOOKUP(AK155,'G-7 Rivers Data'!$AD$4:$AE$8,2,FALSE)))</f>
        <v/>
      </c>
      <c r="AM155" s="545" t="str">
        <f t="shared" si="23"/>
        <v/>
      </c>
      <c r="AN155" s="149"/>
      <c r="AO155" s="150"/>
      <c r="AV155" s="31" t="str">
        <f>IFERROR(INDEX('G-7 Rivers Data'!$AZ$3:$AZ$7,MATCH(N155,'G-7 Rivers Data'!$AY$3:$AY$7,0)),"")</f>
        <v/>
      </c>
    </row>
    <row r="156" spans="2:48" ht="13.8" x14ac:dyDescent="0.25">
      <c r="B156" s="531" t="str">
        <f>'C-1 Site River Baseline'!AN154</f>
        <v/>
      </c>
      <c r="C156" s="520" t="str">
        <f>IF(B156="","",VLOOKUP($B156,'C-1 Site River Baseline'!$C$9:$R$257,2,FALSE))</f>
        <v/>
      </c>
      <c r="D156" s="520" t="str">
        <f>IF(C156="","",VLOOKUP($B156,'C-1 Site River Baseline'!$C$9:$R$257,3,FALSE))</f>
        <v/>
      </c>
      <c r="E156" s="520" t="str">
        <f>IF(D156="","",VLOOKUP($B156,'C-1 Site River Baseline'!$C$9:$R$257,4,FALSE))</f>
        <v/>
      </c>
      <c r="F156" s="520" t="str">
        <f>IF(E156="","",VLOOKUP($B156,'C-1 Site River Baseline'!$C$9:$R$257,5,FALSE))</f>
        <v/>
      </c>
      <c r="G156" s="520" t="str">
        <f>IF(F156="","",VLOOKUP($B156,'C-1 Site River Baseline'!$C$9:$R$257,6,FALSE))</f>
        <v/>
      </c>
      <c r="H156" s="520" t="str">
        <f>IF(G156="","",VLOOKUP($B156,'C-1 Site River Baseline'!$C$9:$R$257,7,FALSE))</f>
        <v/>
      </c>
      <c r="I156" s="520" t="str">
        <f>IF(H156="","",VLOOKUP($B156,'C-1 Site River Baseline'!$C$9:$R$257,8,FALSE))</f>
        <v/>
      </c>
      <c r="J156" s="520" t="str">
        <f>IF(I156="","",VLOOKUP($B156,'C-1 Site River Baseline'!$C$9:$R$257,9,FALSE))</f>
        <v/>
      </c>
      <c r="K156" s="520" t="str">
        <f>IF(J156="","",VLOOKUP($B156,'C-1 Site River Baseline'!$C$9:$R$257,10,FALSE))</f>
        <v/>
      </c>
      <c r="L156" s="520" t="str">
        <f>IF(B156="","",VLOOKUP($B156,'C-1 Site River Baseline'!$C$9:$R$257,15,FALSE))</f>
        <v/>
      </c>
      <c r="M156" s="524" t="str">
        <f>IF(L156="","",VLOOKUP($B156,'C-1 Site River Baseline'!$C$9:$R$257,16,FALSE))</f>
        <v/>
      </c>
      <c r="N156" s="418" t="str">
        <f t="shared" si="17"/>
        <v/>
      </c>
      <c r="O156" s="498" t="str">
        <f t="shared" si="18"/>
        <v/>
      </c>
      <c r="P156" s="499"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7" t="str">
        <f>IF(N156="","",VLOOKUP(B156,'C-1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07" t="str">
        <f>IF(V156="","",IF(VLOOKUP(V156,'G-7 Rivers Data'!$AG$4:$AI$9,2,FALSE)=0,"Spatial Data Missing ⚠",VLOOKUP(V156,'G-7 Rivers Data'!$AG$4:$AI$9,2,FALSE)))</f>
        <v/>
      </c>
      <c r="X156" s="499" t="str">
        <f>IF(V156="","",IF(VLOOKUP(V156,'G-7 Rivers Data'!$AG$4:$AI$9,3,FALSE)=0,"Spatial Data Missing ⚠",VLOOKUP(V156,'G-7 Rivers Data'!$AG$4:$AI$9,3,FALSE)))</f>
        <v/>
      </c>
      <c r="Y156" s="498" t="str">
        <f>IFERROR(IF(OR(LEFT(P156,5)="Error ▲",LEFT(O156,5)="Error ▲"),"Check Data ⚠",IF(F156&lt;S156,'G-7 Rivers Data'!$R$3,INDEX('G-7 Rivers Data'!$U$5:$Y$9,MATCH(G156,'G-7 Rivers Data'!$T$5:$T$9,0),MATCH(T156,'G-7 Rivers Data'!$U$4:$Y$4,0)))),"")</f>
        <v/>
      </c>
      <c r="Z156" s="195"/>
      <c r="AA156" s="195"/>
      <c r="AB156" s="507" t="str">
        <f t="shared" si="19"/>
        <v/>
      </c>
      <c r="AC156" s="521" t="str">
        <f t="shared" si="20"/>
        <v/>
      </c>
      <c r="AD156" s="564" t="str">
        <f>IFERROR(IF(AC156="Check Data ⚠","Check Data ⚠",VLOOKUP(AC156,'G-4 Temporal multipliers'!$A$4:$C$37,3,FALSE)),"")</f>
        <v/>
      </c>
      <c r="AE156" s="498" t="str">
        <f>IF(N156="","",VLOOKUP(N156,'G-7 Rivers Data'!$B$4:$G$8,5,FALSE))</f>
        <v/>
      </c>
      <c r="AF156" s="507" t="str">
        <f t="shared" si="21"/>
        <v/>
      </c>
      <c r="AG156" s="540" t="str">
        <f t="shared" si="22"/>
        <v/>
      </c>
      <c r="AH156" s="499" t="str">
        <f t="shared" si="16"/>
        <v/>
      </c>
      <c r="AI156" s="145"/>
      <c r="AJ156" s="499" t="str">
        <f>IF(AI156="","",IF(VLOOKUP(AI156,'G-7 Rivers Data'!$AA$4:$AB$7,2,FALSE)=0,"Spatial Data Missing ⚠",VLOOKUP(AI156,'G-7 Rivers Data'!$AA$4:$AB$7,2,FALSE)))</f>
        <v/>
      </c>
      <c r="AK156" s="155"/>
      <c r="AL156" s="499" t="str">
        <f>IF(AK156="","",IF(VLOOKUP(AK156,'G-7 Rivers Data'!$AD$4:$AE$8,2,FALSE)=0,"Spatial Data Missing ⚠",VLOOKUP(AK156,'G-7 Rivers Data'!$AD$4:$AE$8,2,FALSE)))</f>
        <v/>
      </c>
      <c r="AM156" s="545" t="str">
        <f t="shared" si="23"/>
        <v/>
      </c>
      <c r="AN156" s="149"/>
      <c r="AO156" s="150"/>
      <c r="AV156" s="31" t="str">
        <f>IFERROR(INDEX('G-7 Rivers Data'!$AZ$3:$AZ$7,MATCH(N156,'G-7 Rivers Data'!$AY$3:$AY$7,0)),"")</f>
        <v/>
      </c>
    </row>
    <row r="157" spans="2:48" ht="13.8" x14ac:dyDescent="0.25">
      <c r="B157" s="531" t="str">
        <f>'C-1 Site River Baseline'!AN155</f>
        <v/>
      </c>
      <c r="C157" s="520" t="str">
        <f>IF(B157="","",VLOOKUP($B157,'C-1 Site River Baseline'!$C$9:$R$257,2,FALSE))</f>
        <v/>
      </c>
      <c r="D157" s="520" t="str">
        <f>IF(C157="","",VLOOKUP($B157,'C-1 Site River Baseline'!$C$9:$R$257,3,FALSE))</f>
        <v/>
      </c>
      <c r="E157" s="520" t="str">
        <f>IF(D157="","",VLOOKUP($B157,'C-1 Site River Baseline'!$C$9:$R$257,4,FALSE))</f>
        <v/>
      </c>
      <c r="F157" s="520" t="str">
        <f>IF(E157="","",VLOOKUP($B157,'C-1 Site River Baseline'!$C$9:$R$257,5,FALSE))</f>
        <v/>
      </c>
      <c r="G157" s="520" t="str">
        <f>IF(F157="","",VLOOKUP($B157,'C-1 Site River Baseline'!$C$9:$R$257,6,FALSE))</f>
        <v/>
      </c>
      <c r="H157" s="520" t="str">
        <f>IF(G157="","",VLOOKUP($B157,'C-1 Site River Baseline'!$C$9:$R$257,7,FALSE))</f>
        <v/>
      </c>
      <c r="I157" s="520" t="str">
        <f>IF(H157="","",VLOOKUP($B157,'C-1 Site River Baseline'!$C$9:$R$257,8,FALSE))</f>
        <v/>
      </c>
      <c r="J157" s="520" t="str">
        <f>IF(I157="","",VLOOKUP($B157,'C-1 Site River Baseline'!$C$9:$R$257,9,FALSE))</f>
        <v/>
      </c>
      <c r="K157" s="520" t="str">
        <f>IF(J157="","",VLOOKUP($B157,'C-1 Site River Baseline'!$C$9:$R$257,10,FALSE))</f>
        <v/>
      </c>
      <c r="L157" s="520" t="str">
        <f>IF(B157="","",VLOOKUP($B157,'C-1 Site River Baseline'!$C$9:$R$257,15,FALSE))</f>
        <v/>
      </c>
      <c r="M157" s="524" t="str">
        <f>IF(L157="","",VLOOKUP($B157,'C-1 Site River Baseline'!$C$9:$R$257,16,FALSE))</f>
        <v/>
      </c>
      <c r="N157" s="418" t="str">
        <f t="shared" si="17"/>
        <v/>
      </c>
      <c r="O157" s="498" t="str">
        <f t="shared" si="18"/>
        <v/>
      </c>
      <c r="P157" s="499"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7" t="str">
        <f>IF(N157="","",VLOOKUP(B157,'C-1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07" t="str">
        <f>IF(V157="","",IF(VLOOKUP(V157,'G-7 Rivers Data'!$AG$4:$AI$9,2,FALSE)=0,"Spatial Data Missing ⚠",VLOOKUP(V157,'G-7 Rivers Data'!$AG$4:$AI$9,2,FALSE)))</f>
        <v/>
      </c>
      <c r="X157" s="499" t="str">
        <f>IF(V157="","",IF(VLOOKUP(V157,'G-7 Rivers Data'!$AG$4:$AI$9,3,FALSE)=0,"Spatial Data Missing ⚠",VLOOKUP(V157,'G-7 Rivers Data'!$AG$4:$AI$9,3,FALSE)))</f>
        <v/>
      </c>
      <c r="Y157" s="498" t="str">
        <f>IFERROR(IF(OR(LEFT(P157,5)="Error ▲",LEFT(O157,5)="Error ▲"),"Check Data ⚠",IF(F157&lt;S157,'G-7 Rivers Data'!$R$3,INDEX('G-7 Rivers Data'!$U$5:$Y$9,MATCH(G157,'G-7 Rivers Data'!$T$5:$T$9,0),MATCH(T157,'G-7 Rivers Data'!$U$4:$Y$4,0)))),"")</f>
        <v/>
      </c>
      <c r="Z157" s="195"/>
      <c r="AA157" s="195"/>
      <c r="AB157" s="507" t="str">
        <f t="shared" si="19"/>
        <v/>
      </c>
      <c r="AC157" s="521" t="str">
        <f t="shared" si="20"/>
        <v/>
      </c>
      <c r="AD157" s="564" t="str">
        <f>IFERROR(IF(AC157="Check Data ⚠","Check Data ⚠",VLOOKUP(AC157,'G-4 Temporal multipliers'!$A$4:$C$37,3,FALSE)),"")</f>
        <v/>
      </c>
      <c r="AE157" s="498" t="str">
        <f>IF(N157="","",VLOOKUP(N157,'G-7 Rivers Data'!$B$4:$G$8,5,FALSE))</f>
        <v/>
      </c>
      <c r="AF157" s="507" t="str">
        <f t="shared" si="21"/>
        <v/>
      </c>
      <c r="AG157" s="540" t="str">
        <f t="shared" si="22"/>
        <v/>
      </c>
      <c r="AH157" s="499" t="str">
        <f t="shared" si="16"/>
        <v/>
      </c>
      <c r="AI157" s="145"/>
      <c r="AJ157" s="499" t="str">
        <f>IF(AI157="","",IF(VLOOKUP(AI157,'G-7 Rivers Data'!$AA$4:$AB$7,2,FALSE)=0,"Spatial Data Missing ⚠",VLOOKUP(AI157,'G-7 Rivers Data'!$AA$4:$AB$7,2,FALSE)))</f>
        <v/>
      </c>
      <c r="AK157" s="155"/>
      <c r="AL157" s="499" t="str">
        <f>IF(AK157="","",IF(VLOOKUP(AK157,'G-7 Rivers Data'!$AD$4:$AE$8,2,FALSE)=0,"Spatial Data Missing ⚠",VLOOKUP(AK157,'G-7 Rivers Data'!$AD$4:$AE$8,2,FALSE)))</f>
        <v/>
      </c>
      <c r="AM157" s="545" t="str">
        <f t="shared" si="23"/>
        <v/>
      </c>
      <c r="AN157" s="149"/>
      <c r="AO157" s="150"/>
      <c r="AV157" s="31" t="str">
        <f>IFERROR(INDEX('G-7 Rivers Data'!$AZ$3:$AZ$7,MATCH(N157,'G-7 Rivers Data'!$AY$3:$AY$7,0)),"")</f>
        <v/>
      </c>
    </row>
    <row r="158" spans="2:48" ht="13.8" x14ac:dyDescent="0.25">
      <c r="B158" s="531" t="str">
        <f>'C-1 Site River Baseline'!AN156</f>
        <v/>
      </c>
      <c r="C158" s="520" t="str">
        <f>IF(B158="","",VLOOKUP($B158,'C-1 Site River Baseline'!$C$9:$R$257,2,FALSE))</f>
        <v/>
      </c>
      <c r="D158" s="520" t="str">
        <f>IF(C158="","",VLOOKUP($B158,'C-1 Site River Baseline'!$C$9:$R$257,3,FALSE))</f>
        <v/>
      </c>
      <c r="E158" s="520" t="str">
        <f>IF(D158="","",VLOOKUP($B158,'C-1 Site River Baseline'!$C$9:$R$257,4,FALSE))</f>
        <v/>
      </c>
      <c r="F158" s="520" t="str">
        <f>IF(E158="","",VLOOKUP($B158,'C-1 Site River Baseline'!$C$9:$R$257,5,FALSE))</f>
        <v/>
      </c>
      <c r="G158" s="520" t="str">
        <f>IF(F158="","",VLOOKUP($B158,'C-1 Site River Baseline'!$C$9:$R$257,6,FALSE))</f>
        <v/>
      </c>
      <c r="H158" s="520" t="str">
        <f>IF(G158="","",VLOOKUP($B158,'C-1 Site River Baseline'!$C$9:$R$257,7,FALSE))</f>
        <v/>
      </c>
      <c r="I158" s="520" t="str">
        <f>IF(H158="","",VLOOKUP($B158,'C-1 Site River Baseline'!$C$9:$R$257,8,FALSE))</f>
        <v/>
      </c>
      <c r="J158" s="520" t="str">
        <f>IF(I158="","",VLOOKUP($B158,'C-1 Site River Baseline'!$C$9:$R$257,9,FALSE))</f>
        <v/>
      </c>
      <c r="K158" s="520" t="str">
        <f>IF(J158="","",VLOOKUP($B158,'C-1 Site River Baseline'!$C$9:$R$257,10,FALSE))</f>
        <v/>
      </c>
      <c r="L158" s="520" t="str">
        <f>IF(B158="","",VLOOKUP($B158,'C-1 Site River Baseline'!$C$9:$R$257,15,FALSE))</f>
        <v/>
      </c>
      <c r="M158" s="524" t="str">
        <f>IF(L158="","",VLOOKUP($B158,'C-1 Site River Baseline'!$C$9:$R$257,16,FALSE))</f>
        <v/>
      </c>
      <c r="N158" s="418" t="str">
        <f t="shared" si="17"/>
        <v/>
      </c>
      <c r="O158" s="498" t="str">
        <f t="shared" si="18"/>
        <v/>
      </c>
      <c r="P158" s="499"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7" t="str">
        <f>IF(N158="","",VLOOKUP(B158,'C-1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07" t="str">
        <f>IF(V158="","",IF(VLOOKUP(V158,'G-7 Rivers Data'!$AG$4:$AI$9,2,FALSE)=0,"Spatial Data Missing ⚠",VLOOKUP(V158,'G-7 Rivers Data'!$AG$4:$AI$9,2,FALSE)))</f>
        <v/>
      </c>
      <c r="X158" s="499" t="str">
        <f>IF(V158="","",IF(VLOOKUP(V158,'G-7 Rivers Data'!$AG$4:$AI$9,3,FALSE)=0,"Spatial Data Missing ⚠",VLOOKUP(V158,'G-7 Rivers Data'!$AG$4:$AI$9,3,FALSE)))</f>
        <v/>
      </c>
      <c r="Y158" s="498" t="str">
        <f>IFERROR(IF(OR(LEFT(P158,5)="Error ▲",LEFT(O158,5)="Error ▲"),"Check Data ⚠",IF(F158&lt;S158,'G-7 Rivers Data'!$R$3,INDEX('G-7 Rivers Data'!$U$5:$Y$9,MATCH(G158,'G-7 Rivers Data'!$T$5:$T$9,0),MATCH(T158,'G-7 Rivers Data'!$U$4:$Y$4,0)))),"")</f>
        <v/>
      </c>
      <c r="Z158" s="195"/>
      <c r="AA158" s="195"/>
      <c r="AB158" s="507" t="str">
        <f t="shared" si="19"/>
        <v/>
      </c>
      <c r="AC158" s="521" t="str">
        <f t="shared" si="20"/>
        <v/>
      </c>
      <c r="AD158" s="564" t="str">
        <f>IFERROR(IF(AC158="Check Data ⚠","Check Data ⚠",VLOOKUP(AC158,'G-4 Temporal multipliers'!$A$4:$C$37,3,FALSE)),"")</f>
        <v/>
      </c>
      <c r="AE158" s="498" t="str">
        <f>IF(N158="","",VLOOKUP(N158,'G-7 Rivers Data'!$B$4:$G$8,5,FALSE))</f>
        <v/>
      </c>
      <c r="AF158" s="507" t="str">
        <f t="shared" si="21"/>
        <v/>
      </c>
      <c r="AG158" s="540" t="str">
        <f t="shared" si="22"/>
        <v/>
      </c>
      <c r="AH158" s="499" t="str">
        <f t="shared" si="16"/>
        <v/>
      </c>
      <c r="AI158" s="145"/>
      <c r="AJ158" s="499" t="str">
        <f>IF(AI158="","",IF(VLOOKUP(AI158,'G-7 Rivers Data'!$AA$4:$AB$7,2,FALSE)=0,"Spatial Data Missing ⚠",VLOOKUP(AI158,'G-7 Rivers Data'!$AA$4:$AB$7,2,FALSE)))</f>
        <v/>
      </c>
      <c r="AK158" s="155"/>
      <c r="AL158" s="499" t="str">
        <f>IF(AK158="","",IF(VLOOKUP(AK158,'G-7 Rivers Data'!$AD$4:$AE$8,2,FALSE)=0,"Spatial Data Missing ⚠",VLOOKUP(AK158,'G-7 Rivers Data'!$AD$4:$AE$8,2,FALSE)))</f>
        <v/>
      </c>
      <c r="AM158" s="545" t="str">
        <f t="shared" si="23"/>
        <v/>
      </c>
      <c r="AN158" s="149"/>
      <c r="AO158" s="150"/>
      <c r="AV158" s="31" t="str">
        <f>IFERROR(INDEX('G-7 Rivers Data'!$AZ$3:$AZ$7,MATCH(N158,'G-7 Rivers Data'!$AY$3:$AY$7,0)),"")</f>
        <v/>
      </c>
    </row>
    <row r="159" spans="2:48" ht="13.8" x14ac:dyDescent="0.25">
      <c r="B159" s="531" t="str">
        <f>'C-1 Site River Baseline'!AN157</f>
        <v/>
      </c>
      <c r="C159" s="520" t="str">
        <f>IF(B159="","",VLOOKUP($B159,'C-1 Site River Baseline'!$C$9:$R$257,2,FALSE))</f>
        <v/>
      </c>
      <c r="D159" s="520" t="str">
        <f>IF(C159="","",VLOOKUP($B159,'C-1 Site River Baseline'!$C$9:$R$257,3,FALSE))</f>
        <v/>
      </c>
      <c r="E159" s="520" t="str">
        <f>IF(D159="","",VLOOKUP($B159,'C-1 Site River Baseline'!$C$9:$R$257,4,FALSE))</f>
        <v/>
      </c>
      <c r="F159" s="520" t="str">
        <f>IF(E159="","",VLOOKUP($B159,'C-1 Site River Baseline'!$C$9:$R$257,5,FALSE))</f>
        <v/>
      </c>
      <c r="G159" s="520" t="str">
        <f>IF(F159="","",VLOOKUP($B159,'C-1 Site River Baseline'!$C$9:$R$257,6,FALSE))</f>
        <v/>
      </c>
      <c r="H159" s="520" t="str">
        <f>IF(G159="","",VLOOKUP($B159,'C-1 Site River Baseline'!$C$9:$R$257,7,FALSE))</f>
        <v/>
      </c>
      <c r="I159" s="520" t="str">
        <f>IF(H159="","",VLOOKUP($B159,'C-1 Site River Baseline'!$C$9:$R$257,8,FALSE))</f>
        <v/>
      </c>
      <c r="J159" s="520" t="str">
        <f>IF(I159="","",VLOOKUP($B159,'C-1 Site River Baseline'!$C$9:$R$257,9,FALSE))</f>
        <v/>
      </c>
      <c r="K159" s="520" t="str">
        <f>IF(J159="","",VLOOKUP($B159,'C-1 Site River Baseline'!$C$9:$R$257,10,FALSE))</f>
        <v/>
      </c>
      <c r="L159" s="520" t="str">
        <f>IF(B159="","",VLOOKUP($B159,'C-1 Site River Baseline'!$C$9:$R$257,15,FALSE))</f>
        <v/>
      </c>
      <c r="M159" s="524" t="str">
        <f>IF(L159="","",VLOOKUP($B159,'C-1 Site River Baseline'!$C$9:$R$257,16,FALSE))</f>
        <v/>
      </c>
      <c r="N159" s="418" t="str">
        <f t="shared" si="17"/>
        <v/>
      </c>
      <c r="O159" s="498" t="str">
        <f t="shared" si="18"/>
        <v/>
      </c>
      <c r="P159" s="499"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7" t="str">
        <f>IF(N159="","",VLOOKUP(B159,'C-1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07" t="str">
        <f>IF(V159="","",IF(VLOOKUP(V159,'G-7 Rivers Data'!$AG$4:$AI$9,2,FALSE)=0,"Spatial Data Missing ⚠",VLOOKUP(V159,'G-7 Rivers Data'!$AG$4:$AI$9,2,FALSE)))</f>
        <v/>
      </c>
      <c r="X159" s="499" t="str">
        <f>IF(V159="","",IF(VLOOKUP(V159,'G-7 Rivers Data'!$AG$4:$AI$9,3,FALSE)=0,"Spatial Data Missing ⚠",VLOOKUP(V159,'G-7 Rivers Data'!$AG$4:$AI$9,3,FALSE)))</f>
        <v/>
      </c>
      <c r="Y159" s="498" t="str">
        <f>IFERROR(IF(OR(LEFT(P159,5)="Error ▲",LEFT(O159,5)="Error ▲"),"Check Data ⚠",IF(F159&lt;S159,'G-7 Rivers Data'!$R$3,INDEX('G-7 Rivers Data'!$U$5:$Y$9,MATCH(G159,'G-7 Rivers Data'!$T$5:$T$9,0),MATCH(T159,'G-7 Rivers Data'!$U$4:$Y$4,0)))),"")</f>
        <v/>
      </c>
      <c r="Z159" s="195"/>
      <c r="AA159" s="195"/>
      <c r="AB159" s="507" t="str">
        <f t="shared" si="19"/>
        <v/>
      </c>
      <c r="AC159" s="521" t="str">
        <f t="shared" si="20"/>
        <v/>
      </c>
      <c r="AD159" s="564" t="str">
        <f>IFERROR(IF(AC159="Check Data ⚠","Check Data ⚠",VLOOKUP(AC159,'G-4 Temporal multipliers'!$A$4:$C$37,3,FALSE)),"")</f>
        <v/>
      </c>
      <c r="AE159" s="498" t="str">
        <f>IF(N159="","",VLOOKUP(N159,'G-7 Rivers Data'!$B$4:$G$8,5,FALSE))</f>
        <v/>
      </c>
      <c r="AF159" s="507" t="str">
        <f t="shared" si="21"/>
        <v/>
      </c>
      <c r="AG159" s="540" t="str">
        <f t="shared" si="22"/>
        <v/>
      </c>
      <c r="AH159" s="499" t="str">
        <f t="shared" si="16"/>
        <v/>
      </c>
      <c r="AI159" s="145"/>
      <c r="AJ159" s="499" t="str">
        <f>IF(AI159="","",IF(VLOOKUP(AI159,'G-7 Rivers Data'!$AA$4:$AB$7,2,FALSE)=0,"Spatial Data Missing ⚠",VLOOKUP(AI159,'G-7 Rivers Data'!$AA$4:$AB$7,2,FALSE)))</f>
        <v/>
      </c>
      <c r="AK159" s="155"/>
      <c r="AL159" s="499" t="str">
        <f>IF(AK159="","",IF(VLOOKUP(AK159,'G-7 Rivers Data'!$AD$4:$AE$8,2,FALSE)=0,"Spatial Data Missing ⚠",VLOOKUP(AK159,'G-7 Rivers Data'!$AD$4:$AE$8,2,FALSE)))</f>
        <v/>
      </c>
      <c r="AM159" s="545" t="str">
        <f t="shared" si="23"/>
        <v/>
      </c>
      <c r="AN159" s="149"/>
      <c r="AO159" s="150"/>
      <c r="AV159" s="31" t="str">
        <f>IFERROR(INDEX('G-7 Rivers Data'!$AZ$3:$AZ$7,MATCH(N159,'G-7 Rivers Data'!$AY$3:$AY$7,0)),"")</f>
        <v/>
      </c>
    </row>
    <row r="160" spans="2:48" ht="13.8" x14ac:dyDescent="0.25">
      <c r="B160" s="531" t="str">
        <f>'C-1 Site River Baseline'!AN158</f>
        <v/>
      </c>
      <c r="C160" s="520" t="str">
        <f>IF(B160="","",VLOOKUP($B160,'C-1 Site River Baseline'!$C$9:$R$257,2,FALSE))</f>
        <v/>
      </c>
      <c r="D160" s="520" t="str">
        <f>IF(C160="","",VLOOKUP($B160,'C-1 Site River Baseline'!$C$9:$R$257,3,FALSE))</f>
        <v/>
      </c>
      <c r="E160" s="520" t="str">
        <f>IF(D160="","",VLOOKUP($B160,'C-1 Site River Baseline'!$C$9:$R$257,4,FALSE))</f>
        <v/>
      </c>
      <c r="F160" s="520" t="str">
        <f>IF(E160="","",VLOOKUP($B160,'C-1 Site River Baseline'!$C$9:$R$257,5,FALSE))</f>
        <v/>
      </c>
      <c r="G160" s="520" t="str">
        <f>IF(F160="","",VLOOKUP($B160,'C-1 Site River Baseline'!$C$9:$R$257,6,FALSE))</f>
        <v/>
      </c>
      <c r="H160" s="520" t="str">
        <f>IF(G160="","",VLOOKUP($B160,'C-1 Site River Baseline'!$C$9:$R$257,7,FALSE))</f>
        <v/>
      </c>
      <c r="I160" s="520" t="str">
        <f>IF(H160="","",VLOOKUP($B160,'C-1 Site River Baseline'!$C$9:$R$257,8,FALSE))</f>
        <v/>
      </c>
      <c r="J160" s="520" t="str">
        <f>IF(I160="","",VLOOKUP($B160,'C-1 Site River Baseline'!$C$9:$R$257,9,FALSE))</f>
        <v/>
      </c>
      <c r="K160" s="520" t="str">
        <f>IF(J160="","",VLOOKUP($B160,'C-1 Site River Baseline'!$C$9:$R$257,10,FALSE))</f>
        <v/>
      </c>
      <c r="L160" s="520" t="str">
        <f>IF(B160="","",VLOOKUP($B160,'C-1 Site River Baseline'!$C$9:$R$257,15,FALSE))</f>
        <v/>
      </c>
      <c r="M160" s="524" t="str">
        <f>IF(L160="","",VLOOKUP($B160,'C-1 Site River Baseline'!$C$9:$R$257,16,FALSE))</f>
        <v/>
      </c>
      <c r="N160" s="418" t="str">
        <f t="shared" si="17"/>
        <v/>
      </c>
      <c r="O160" s="498" t="str">
        <f t="shared" si="18"/>
        <v/>
      </c>
      <c r="P160" s="499"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7" t="str">
        <f>IF(N160="","",VLOOKUP(B160,'C-1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07" t="str">
        <f>IF(V160="","",IF(VLOOKUP(V160,'G-7 Rivers Data'!$AG$4:$AI$9,2,FALSE)=0,"Spatial Data Missing ⚠",VLOOKUP(V160,'G-7 Rivers Data'!$AG$4:$AI$9,2,FALSE)))</f>
        <v/>
      </c>
      <c r="X160" s="499" t="str">
        <f>IF(V160="","",IF(VLOOKUP(V160,'G-7 Rivers Data'!$AG$4:$AI$9,3,FALSE)=0,"Spatial Data Missing ⚠",VLOOKUP(V160,'G-7 Rivers Data'!$AG$4:$AI$9,3,FALSE)))</f>
        <v/>
      </c>
      <c r="Y160" s="498" t="str">
        <f>IFERROR(IF(OR(LEFT(P160,5)="Error ▲",LEFT(O160,5)="Error ▲"),"Check Data ⚠",IF(F160&lt;S160,'G-7 Rivers Data'!$R$3,INDEX('G-7 Rivers Data'!$U$5:$Y$9,MATCH(G160,'G-7 Rivers Data'!$T$5:$T$9,0),MATCH(T160,'G-7 Rivers Data'!$U$4:$Y$4,0)))),"")</f>
        <v/>
      </c>
      <c r="Z160" s="195"/>
      <c r="AA160" s="195"/>
      <c r="AB160" s="507" t="str">
        <f t="shared" si="19"/>
        <v/>
      </c>
      <c r="AC160" s="521" t="str">
        <f t="shared" si="20"/>
        <v/>
      </c>
      <c r="AD160" s="564" t="str">
        <f>IFERROR(IF(AC160="Check Data ⚠","Check Data ⚠",VLOOKUP(AC160,'G-4 Temporal multipliers'!$A$4:$C$37,3,FALSE)),"")</f>
        <v/>
      </c>
      <c r="AE160" s="498" t="str">
        <f>IF(N160="","",VLOOKUP(N160,'G-7 Rivers Data'!$B$4:$G$8,5,FALSE))</f>
        <v/>
      </c>
      <c r="AF160" s="507" t="str">
        <f t="shared" si="21"/>
        <v/>
      </c>
      <c r="AG160" s="540" t="str">
        <f t="shared" si="22"/>
        <v/>
      </c>
      <c r="AH160" s="499" t="str">
        <f t="shared" si="16"/>
        <v/>
      </c>
      <c r="AI160" s="145"/>
      <c r="AJ160" s="499" t="str">
        <f>IF(AI160="","",IF(VLOOKUP(AI160,'G-7 Rivers Data'!$AA$4:$AB$7,2,FALSE)=0,"Spatial Data Missing ⚠",VLOOKUP(AI160,'G-7 Rivers Data'!$AA$4:$AB$7,2,FALSE)))</f>
        <v/>
      </c>
      <c r="AK160" s="155"/>
      <c r="AL160" s="499" t="str">
        <f>IF(AK160="","",IF(VLOOKUP(AK160,'G-7 Rivers Data'!$AD$4:$AE$8,2,FALSE)=0,"Spatial Data Missing ⚠",VLOOKUP(AK160,'G-7 Rivers Data'!$AD$4:$AE$8,2,FALSE)))</f>
        <v/>
      </c>
      <c r="AM160" s="545" t="str">
        <f t="shared" si="23"/>
        <v/>
      </c>
      <c r="AN160" s="149"/>
      <c r="AO160" s="150"/>
      <c r="AV160" s="31" t="str">
        <f>IFERROR(INDEX('G-7 Rivers Data'!$AZ$3:$AZ$7,MATCH(N160,'G-7 Rivers Data'!$AY$3:$AY$7,0)),"")</f>
        <v/>
      </c>
    </row>
    <row r="161" spans="2:48" ht="13.8" x14ac:dyDescent="0.25">
      <c r="B161" s="531" t="str">
        <f>'C-1 Site River Baseline'!AN159</f>
        <v/>
      </c>
      <c r="C161" s="520" t="str">
        <f>IF(B161="","",VLOOKUP($B161,'C-1 Site River Baseline'!$C$9:$R$257,2,FALSE))</f>
        <v/>
      </c>
      <c r="D161" s="520" t="str">
        <f>IF(C161="","",VLOOKUP($B161,'C-1 Site River Baseline'!$C$9:$R$257,3,FALSE))</f>
        <v/>
      </c>
      <c r="E161" s="520" t="str">
        <f>IF(D161="","",VLOOKUP($B161,'C-1 Site River Baseline'!$C$9:$R$257,4,FALSE))</f>
        <v/>
      </c>
      <c r="F161" s="520" t="str">
        <f>IF(E161="","",VLOOKUP($B161,'C-1 Site River Baseline'!$C$9:$R$257,5,FALSE))</f>
        <v/>
      </c>
      <c r="G161" s="520" t="str">
        <f>IF(F161="","",VLOOKUP($B161,'C-1 Site River Baseline'!$C$9:$R$257,6,FALSE))</f>
        <v/>
      </c>
      <c r="H161" s="520" t="str">
        <f>IF(G161="","",VLOOKUP($B161,'C-1 Site River Baseline'!$C$9:$R$257,7,FALSE))</f>
        <v/>
      </c>
      <c r="I161" s="520" t="str">
        <f>IF(H161="","",VLOOKUP($B161,'C-1 Site River Baseline'!$C$9:$R$257,8,FALSE))</f>
        <v/>
      </c>
      <c r="J161" s="520" t="str">
        <f>IF(I161="","",VLOOKUP($B161,'C-1 Site River Baseline'!$C$9:$R$257,9,FALSE))</f>
        <v/>
      </c>
      <c r="K161" s="520" t="str">
        <f>IF(J161="","",VLOOKUP($B161,'C-1 Site River Baseline'!$C$9:$R$257,10,FALSE))</f>
        <v/>
      </c>
      <c r="L161" s="520" t="str">
        <f>IF(B161="","",VLOOKUP($B161,'C-1 Site River Baseline'!$C$9:$R$257,15,FALSE))</f>
        <v/>
      </c>
      <c r="M161" s="524" t="str">
        <f>IF(L161="","",VLOOKUP($B161,'C-1 Site River Baseline'!$C$9:$R$257,16,FALSE))</f>
        <v/>
      </c>
      <c r="N161" s="418" t="str">
        <f t="shared" si="17"/>
        <v/>
      </c>
      <c r="O161" s="498" t="str">
        <f t="shared" si="18"/>
        <v/>
      </c>
      <c r="P161" s="499"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7" t="str">
        <f>IF(N161="","",VLOOKUP(B161,'C-1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07" t="str">
        <f>IF(V161="","",IF(VLOOKUP(V161,'G-7 Rivers Data'!$AG$4:$AI$9,2,FALSE)=0,"Spatial Data Missing ⚠",VLOOKUP(V161,'G-7 Rivers Data'!$AG$4:$AI$9,2,FALSE)))</f>
        <v/>
      </c>
      <c r="X161" s="499" t="str">
        <f>IF(V161="","",IF(VLOOKUP(V161,'G-7 Rivers Data'!$AG$4:$AI$9,3,FALSE)=0,"Spatial Data Missing ⚠",VLOOKUP(V161,'G-7 Rivers Data'!$AG$4:$AI$9,3,FALSE)))</f>
        <v/>
      </c>
      <c r="Y161" s="498" t="str">
        <f>IFERROR(IF(OR(LEFT(P161,5)="Error ▲",LEFT(O161,5)="Error ▲"),"Check Data ⚠",IF(F161&lt;S161,'G-7 Rivers Data'!$R$3,INDEX('G-7 Rivers Data'!$U$5:$Y$9,MATCH(G161,'G-7 Rivers Data'!$T$5:$T$9,0),MATCH(T161,'G-7 Rivers Data'!$U$4:$Y$4,0)))),"")</f>
        <v/>
      </c>
      <c r="Z161" s="195"/>
      <c r="AA161" s="195"/>
      <c r="AB161" s="507" t="str">
        <f t="shared" si="19"/>
        <v/>
      </c>
      <c r="AC161" s="521" t="str">
        <f t="shared" si="20"/>
        <v/>
      </c>
      <c r="AD161" s="564" t="str">
        <f>IFERROR(IF(AC161="Check Data ⚠","Check Data ⚠",VLOOKUP(AC161,'G-4 Temporal multipliers'!$A$4:$C$37,3,FALSE)),"")</f>
        <v/>
      </c>
      <c r="AE161" s="498" t="str">
        <f>IF(N161="","",VLOOKUP(N161,'G-7 Rivers Data'!$B$4:$G$8,5,FALSE))</f>
        <v/>
      </c>
      <c r="AF161" s="507" t="str">
        <f t="shared" si="21"/>
        <v/>
      </c>
      <c r="AG161" s="540" t="str">
        <f t="shared" si="22"/>
        <v/>
      </c>
      <c r="AH161" s="499" t="str">
        <f t="shared" si="16"/>
        <v/>
      </c>
      <c r="AI161" s="145"/>
      <c r="AJ161" s="499" t="str">
        <f>IF(AI161="","",IF(VLOOKUP(AI161,'G-7 Rivers Data'!$AA$4:$AB$7,2,FALSE)=0,"Spatial Data Missing ⚠",VLOOKUP(AI161,'G-7 Rivers Data'!$AA$4:$AB$7,2,FALSE)))</f>
        <v/>
      </c>
      <c r="AK161" s="155"/>
      <c r="AL161" s="499" t="str">
        <f>IF(AK161="","",IF(VLOOKUP(AK161,'G-7 Rivers Data'!$AD$4:$AE$8,2,FALSE)=0,"Spatial Data Missing ⚠",VLOOKUP(AK161,'G-7 Rivers Data'!$AD$4:$AE$8,2,FALSE)))</f>
        <v/>
      </c>
      <c r="AM161" s="545" t="str">
        <f t="shared" si="23"/>
        <v/>
      </c>
      <c r="AN161" s="149"/>
      <c r="AO161" s="150"/>
      <c r="AV161" s="31" t="str">
        <f>IFERROR(INDEX('G-7 Rivers Data'!$AZ$3:$AZ$7,MATCH(N161,'G-7 Rivers Data'!$AY$3:$AY$7,0)),"")</f>
        <v/>
      </c>
    </row>
    <row r="162" spans="2:48" ht="13.8" x14ac:dyDescent="0.25">
      <c r="B162" s="531" t="str">
        <f>'C-1 Site River Baseline'!AN160</f>
        <v/>
      </c>
      <c r="C162" s="520" t="str">
        <f>IF(B162="","",VLOOKUP($B162,'C-1 Site River Baseline'!$C$9:$R$257,2,FALSE))</f>
        <v/>
      </c>
      <c r="D162" s="520" t="str">
        <f>IF(C162="","",VLOOKUP($B162,'C-1 Site River Baseline'!$C$9:$R$257,3,FALSE))</f>
        <v/>
      </c>
      <c r="E162" s="520" t="str">
        <f>IF(D162="","",VLOOKUP($B162,'C-1 Site River Baseline'!$C$9:$R$257,4,FALSE))</f>
        <v/>
      </c>
      <c r="F162" s="520" t="str">
        <f>IF(E162="","",VLOOKUP($B162,'C-1 Site River Baseline'!$C$9:$R$257,5,FALSE))</f>
        <v/>
      </c>
      <c r="G162" s="520" t="str">
        <f>IF(F162="","",VLOOKUP($B162,'C-1 Site River Baseline'!$C$9:$R$257,6,FALSE))</f>
        <v/>
      </c>
      <c r="H162" s="520" t="str">
        <f>IF(G162="","",VLOOKUP($B162,'C-1 Site River Baseline'!$C$9:$R$257,7,FALSE))</f>
        <v/>
      </c>
      <c r="I162" s="520" t="str">
        <f>IF(H162="","",VLOOKUP($B162,'C-1 Site River Baseline'!$C$9:$R$257,8,FALSE))</f>
        <v/>
      </c>
      <c r="J162" s="520" t="str">
        <f>IF(I162="","",VLOOKUP($B162,'C-1 Site River Baseline'!$C$9:$R$257,9,FALSE))</f>
        <v/>
      </c>
      <c r="K162" s="520" t="str">
        <f>IF(J162="","",VLOOKUP($B162,'C-1 Site River Baseline'!$C$9:$R$257,10,FALSE))</f>
        <v/>
      </c>
      <c r="L162" s="520" t="str">
        <f>IF(B162="","",VLOOKUP($B162,'C-1 Site River Baseline'!$C$9:$R$257,15,FALSE))</f>
        <v/>
      </c>
      <c r="M162" s="524" t="str">
        <f>IF(L162="","",VLOOKUP($B162,'C-1 Site River Baseline'!$C$9:$R$257,16,FALSE))</f>
        <v/>
      </c>
      <c r="N162" s="418" t="str">
        <f t="shared" si="17"/>
        <v/>
      </c>
      <c r="O162" s="498" t="str">
        <f t="shared" si="18"/>
        <v/>
      </c>
      <c r="P162" s="499"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7" t="str">
        <f>IF(N162="","",VLOOKUP(B162,'C-1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07" t="str">
        <f>IF(V162="","",IF(VLOOKUP(V162,'G-7 Rivers Data'!$AG$4:$AI$9,2,FALSE)=0,"Spatial Data Missing ⚠",VLOOKUP(V162,'G-7 Rivers Data'!$AG$4:$AI$9,2,FALSE)))</f>
        <v/>
      </c>
      <c r="X162" s="499" t="str">
        <f>IF(V162="","",IF(VLOOKUP(V162,'G-7 Rivers Data'!$AG$4:$AI$9,3,FALSE)=0,"Spatial Data Missing ⚠",VLOOKUP(V162,'G-7 Rivers Data'!$AG$4:$AI$9,3,FALSE)))</f>
        <v/>
      </c>
      <c r="Y162" s="498" t="str">
        <f>IFERROR(IF(OR(LEFT(P162,5)="Error ▲",LEFT(O162,5)="Error ▲"),"Check Data ⚠",IF(F162&lt;S162,'G-7 Rivers Data'!$R$3,INDEX('G-7 Rivers Data'!$U$5:$Y$9,MATCH(G162,'G-7 Rivers Data'!$T$5:$T$9,0),MATCH(T162,'G-7 Rivers Data'!$U$4:$Y$4,0)))),"")</f>
        <v/>
      </c>
      <c r="Z162" s="195"/>
      <c r="AA162" s="195"/>
      <c r="AB162" s="507" t="str">
        <f t="shared" si="19"/>
        <v/>
      </c>
      <c r="AC162" s="521" t="str">
        <f t="shared" si="20"/>
        <v/>
      </c>
      <c r="AD162" s="564" t="str">
        <f>IFERROR(IF(AC162="Check Data ⚠","Check Data ⚠",VLOOKUP(AC162,'G-4 Temporal multipliers'!$A$4:$C$37,3,FALSE)),"")</f>
        <v/>
      </c>
      <c r="AE162" s="498" t="str">
        <f>IF(N162="","",VLOOKUP(N162,'G-7 Rivers Data'!$B$4:$G$8,5,FALSE))</f>
        <v/>
      </c>
      <c r="AF162" s="507" t="str">
        <f t="shared" si="21"/>
        <v/>
      </c>
      <c r="AG162" s="540" t="str">
        <f t="shared" si="22"/>
        <v/>
      </c>
      <c r="AH162" s="499" t="str">
        <f t="shared" si="16"/>
        <v/>
      </c>
      <c r="AI162" s="145"/>
      <c r="AJ162" s="499" t="str">
        <f>IF(AI162="","",IF(VLOOKUP(AI162,'G-7 Rivers Data'!$AA$4:$AB$7,2,FALSE)=0,"Spatial Data Missing ⚠",VLOOKUP(AI162,'G-7 Rivers Data'!$AA$4:$AB$7,2,FALSE)))</f>
        <v/>
      </c>
      <c r="AK162" s="155"/>
      <c r="AL162" s="499" t="str">
        <f>IF(AK162="","",IF(VLOOKUP(AK162,'G-7 Rivers Data'!$AD$4:$AE$8,2,FALSE)=0,"Spatial Data Missing ⚠",VLOOKUP(AK162,'G-7 Rivers Data'!$AD$4:$AE$8,2,FALSE)))</f>
        <v/>
      </c>
      <c r="AM162" s="545" t="str">
        <f t="shared" si="23"/>
        <v/>
      </c>
      <c r="AN162" s="149"/>
      <c r="AO162" s="150"/>
      <c r="AV162" s="31" t="str">
        <f>IFERROR(INDEX('G-7 Rivers Data'!$AZ$3:$AZ$7,MATCH(N162,'G-7 Rivers Data'!$AY$3:$AY$7,0)),"")</f>
        <v/>
      </c>
    </row>
    <row r="163" spans="2:48" ht="13.8" x14ac:dyDescent="0.25">
      <c r="B163" s="531" t="str">
        <f>'C-1 Site River Baseline'!AN161</f>
        <v/>
      </c>
      <c r="C163" s="520" t="str">
        <f>IF(B163="","",VLOOKUP($B163,'C-1 Site River Baseline'!$C$9:$R$257,2,FALSE))</f>
        <v/>
      </c>
      <c r="D163" s="520" t="str">
        <f>IF(C163="","",VLOOKUP($B163,'C-1 Site River Baseline'!$C$9:$R$257,3,FALSE))</f>
        <v/>
      </c>
      <c r="E163" s="520" t="str">
        <f>IF(D163="","",VLOOKUP($B163,'C-1 Site River Baseline'!$C$9:$R$257,4,FALSE))</f>
        <v/>
      </c>
      <c r="F163" s="520" t="str">
        <f>IF(E163="","",VLOOKUP($B163,'C-1 Site River Baseline'!$C$9:$R$257,5,FALSE))</f>
        <v/>
      </c>
      <c r="G163" s="520" t="str">
        <f>IF(F163="","",VLOOKUP($B163,'C-1 Site River Baseline'!$C$9:$R$257,6,FALSE))</f>
        <v/>
      </c>
      <c r="H163" s="520" t="str">
        <f>IF(G163="","",VLOOKUP($B163,'C-1 Site River Baseline'!$C$9:$R$257,7,FALSE))</f>
        <v/>
      </c>
      <c r="I163" s="520" t="str">
        <f>IF(H163="","",VLOOKUP($B163,'C-1 Site River Baseline'!$C$9:$R$257,8,FALSE))</f>
        <v/>
      </c>
      <c r="J163" s="520" t="str">
        <f>IF(I163="","",VLOOKUP($B163,'C-1 Site River Baseline'!$C$9:$R$257,9,FALSE))</f>
        <v/>
      </c>
      <c r="K163" s="520" t="str">
        <f>IF(J163="","",VLOOKUP($B163,'C-1 Site River Baseline'!$C$9:$R$257,10,FALSE))</f>
        <v/>
      </c>
      <c r="L163" s="520" t="str">
        <f>IF(B163="","",VLOOKUP($B163,'C-1 Site River Baseline'!$C$9:$R$257,15,FALSE))</f>
        <v/>
      </c>
      <c r="M163" s="524" t="str">
        <f>IF(L163="","",VLOOKUP($B163,'C-1 Site River Baseline'!$C$9:$R$257,16,FALSE))</f>
        <v/>
      </c>
      <c r="N163" s="418" t="str">
        <f t="shared" si="17"/>
        <v/>
      </c>
      <c r="O163" s="498" t="str">
        <f t="shared" si="18"/>
        <v/>
      </c>
      <c r="P163" s="499"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7" t="str">
        <f>IF(N163="","",VLOOKUP(B163,'C-1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07" t="str">
        <f>IF(V163="","",IF(VLOOKUP(V163,'G-7 Rivers Data'!$AG$4:$AI$9,2,FALSE)=0,"Spatial Data Missing ⚠",VLOOKUP(V163,'G-7 Rivers Data'!$AG$4:$AI$9,2,FALSE)))</f>
        <v/>
      </c>
      <c r="X163" s="499" t="str">
        <f>IF(V163="","",IF(VLOOKUP(V163,'G-7 Rivers Data'!$AG$4:$AI$9,3,FALSE)=0,"Spatial Data Missing ⚠",VLOOKUP(V163,'G-7 Rivers Data'!$AG$4:$AI$9,3,FALSE)))</f>
        <v/>
      </c>
      <c r="Y163" s="498" t="str">
        <f>IFERROR(IF(OR(LEFT(P163,5)="Error ▲",LEFT(O163,5)="Error ▲"),"Check Data ⚠",IF(F163&lt;S163,'G-7 Rivers Data'!$R$3,INDEX('G-7 Rivers Data'!$U$5:$Y$9,MATCH(G163,'G-7 Rivers Data'!$T$5:$T$9,0),MATCH(T163,'G-7 Rivers Data'!$U$4:$Y$4,0)))),"")</f>
        <v/>
      </c>
      <c r="Z163" s="195"/>
      <c r="AA163" s="195"/>
      <c r="AB163" s="507" t="str">
        <f t="shared" si="19"/>
        <v/>
      </c>
      <c r="AC163" s="521" t="str">
        <f t="shared" si="20"/>
        <v/>
      </c>
      <c r="AD163" s="564" t="str">
        <f>IFERROR(IF(AC163="Check Data ⚠","Check Data ⚠",VLOOKUP(AC163,'G-4 Temporal multipliers'!$A$4:$C$37,3,FALSE)),"")</f>
        <v/>
      </c>
      <c r="AE163" s="498" t="str">
        <f>IF(N163="","",VLOOKUP(N163,'G-7 Rivers Data'!$B$4:$G$8,5,FALSE))</f>
        <v/>
      </c>
      <c r="AF163" s="507" t="str">
        <f t="shared" si="21"/>
        <v/>
      </c>
      <c r="AG163" s="540" t="str">
        <f t="shared" si="22"/>
        <v/>
      </c>
      <c r="AH163" s="499" t="str">
        <f t="shared" si="16"/>
        <v/>
      </c>
      <c r="AI163" s="145"/>
      <c r="AJ163" s="499" t="str">
        <f>IF(AI163="","",IF(VLOOKUP(AI163,'G-7 Rivers Data'!$AA$4:$AB$7,2,FALSE)=0,"Spatial Data Missing ⚠",VLOOKUP(AI163,'G-7 Rivers Data'!$AA$4:$AB$7,2,FALSE)))</f>
        <v/>
      </c>
      <c r="AK163" s="155"/>
      <c r="AL163" s="499" t="str">
        <f>IF(AK163="","",IF(VLOOKUP(AK163,'G-7 Rivers Data'!$AD$4:$AE$8,2,FALSE)=0,"Spatial Data Missing ⚠",VLOOKUP(AK163,'G-7 Rivers Data'!$AD$4:$AE$8,2,FALSE)))</f>
        <v/>
      </c>
      <c r="AM163" s="545" t="str">
        <f t="shared" si="23"/>
        <v/>
      </c>
      <c r="AN163" s="149"/>
      <c r="AO163" s="150"/>
      <c r="AV163" s="31" t="str">
        <f>IFERROR(INDEX('G-7 Rivers Data'!$AZ$3:$AZ$7,MATCH(N163,'G-7 Rivers Data'!$AY$3:$AY$7,0)),"")</f>
        <v/>
      </c>
    </row>
    <row r="164" spans="2:48" ht="13.8" x14ac:dyDescent="0.25">
      <c r="B164" s="531" t="str">
        <f>'C-1 Site River Baseline'!AN162</f>
        <v/>
      </c>
      <c r="C164" s="520" t="str">
        <f>IF(B164="","",VLOOKUP($B164,'C-1 Site River Baseline'!$C$9:$R$257,2,FALSE))</f>
        <v/>
      </c>
      <c r="D164" s="520" t="str">
        <f>IF(C164="","",VLOOKUP($B164,'C-1 Site River Baseline'!$C$9:$R$257,3,FALSE))</f>
        <v/>
      </c>
      <c r="E164" s="520" t="str">
        <f>IF(D164="","",VLOOKUP($B164,'C-1 Site River Baseline'!$C$9:$R$257,4,FALSE))</f>
        <v/>
      </c>
      <c r="F164" s="520" t="str">
        <f>IF(E164="","",VLOOKUP($B164,'C-1 Site River Baseline'!$C$9:$R$257,5,FALSE))</f>
        <v/>
      </c>
      <c r="G164" s="520" t="str">
        <f>IF(F164="","",VLOOKUP($B164,'C-1 Site River Baseline'!$C$9:$R$257,6,FALSE))</f>
        <v/>
      </c>
      <c r="H164" s="520" t="str">
        <f>IF(G164="","",VLOOKUP($B164,'C-1 Site River Baseline'!$C$9:$R$257,7,FALSE))</f>
        <v/>
      </c>
      <c r="I164" s="520" t="str">
        <f>IF(H164="","",VLOOKUP($B164,'C-1 Site River Baseline'!$C$9:$R$257,8,FALSE))</f>
        <v/>
      </c>
      <c r="J164" s="520" t="str">
        <f>IF(I164="","",VLOOKUP($B164,'C-1 Site River Baseline'!$C$9:$R$257,9,FALSE))</f>
        <v/>
      </c>
      <c r="K164" s="520" t="str">
        <f>IF(J164="","",VLOOKUP($B164,'C-1 Site River Baseline'!$C$9:$R$257,10,FALSE))</f>
        <v/>
      </c>
      <c r="L164" s="520" t="str">
        <f>IF(B164="","",VLOOKUP($B164,'C-1 Site River Baseline'!$C$9:$R$257,15,FALSE))</f>
        <v/>
      </c>
      <c r="M164" s="524" t="str">
        <f>IF(L164="","",VLOOKUP($B164,'C-1 Site River Baseline'!$C$9:$R$257,16,FALSE))</f>
        <v/>
      </c>
      <c r="N164" s="418" t="str">
        <f t="shared" si="17"/>
        <v/>
      </c>
      <c r="O164" s="498" t="str">
        <f t="shared" si="18"/>
        <v/>
      </c>
      <c r="P164" s="499"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7" t="str">
        <f>IF(N164="","",VLOOKUP(B164,'C-1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07" t="str">
        <f>IF(V164="","",IF(VLOOKUP(V164,'G-7 Rivers Data'!$AG$4:$AI$9,2,FALSE)=0,"Spatial Data Missing ⚠",VLOOKUP(V164,'G-7 Rivers Data'!$AG$4:$AI$9,2,FALSE)))</f>
        <v/>
      </c>
      <c r="X164" s="499" t="str">
        <f>IF(V164="","",IF(VLOOKUP(V164,'G-7 Rivers Data'!$AG$4:$AI$9,3,FALSE)=0,"Spatial Data Missing ⚠",VLOOKUP(V164,'G-7 Rivers Data'!$AG$4:$AI$9,3,FALSE)))</f>
        <v/>
      </c>
      <c r="Y164" s="498" t="str">
        <f>IFERROR(IF(OR(LEFT(P164,5)="Error ▲",LEFT(O164,5)="Error ▲"),"Check Data ⚠",IF(F164&lt;S164,'G-7 Rivers Data'!$R$3,INDEX('G-7 Rivers Data'!$U$5:$Y$9,MATCH(G164,'G-7 Rivers Data'!$T$5:$T$9,0),MATCH(T164,'G-7 Rivers Data'!$U$4:$Y$4,0)))),"")</f>
        <v/>
      </c>
      <c r="Z164" s="195"/>
      <c r="AA164" s="195"/>
      <c r="AB164" s="507" t="str">
        <f t="shared" si="19"/>
        <v/>
      </c>
      <c r="AC164" s="521" t="str">
        <f t="shared" si="20"/>
        <v/>
      </c>
      <c r="AD164" s="564" t="str">
        <f>IFERROR(IF(AC164="Check Data ⚠","Check Data ⚠",VLOOKUP(AC164,'G-4 Temporal multipliers'!$A$4:$C$37,3,FALSE)),"")</f>
        <v/>
      </c>
      <c r="AE164" s="498" t="str">
        <f>IF(N164="","",VLOOKUP(N164,'G-7 Rivers Data'!$B$4:$G$8,5,FALSE))</f>
        <v/>
      </c>
      <c r="AF164" s="507" t="str">
        <f t="shared" si="21"/>
        <v/>
      </c>
      <c r="AG164" s="540" t="str">
        <f t="shared" si="22"/>
        <v/>
      </c>
      <c r="AH164" s="499" t="str">
        <f t="shared" si="16"/>
        <v/>
      </c>
      <c r="AI164" s="145"/>
      <c r="AJ164" s="499" t="str">
        <f>IF(AI164="","",IF(VLOOKUP(AI164,'G-7 Rivers Data'!$AA$4:$AB$7,2,FALSE)=0,"Spatial Data Missing ⚠",VLOOKUP(AI164,'G-7 Rivers Data'!$AA$4:$AB$7,2,FALSE)))</f>
        <v/>
      </c>
      <c r="AK164" s="155"/>
      <c r="AL164" s="499" t="str">
        <f>IF(AK164="","",IF(VLOOKUP(AK164,'G-7 Rivers Data'!$AD$4:$AE$8,2,FALSE)=0,"Spatial Data Missing ⚠",VLOOKUP(AK164,'G-7 Rivers Data'!$AD$4:$AE$8,2,FALSE)))</f>
        <v/>
      </c>
      <c r="AM164" s="545" t="str">
        <f t="shared" si="23"/>
        <v/>
      </c>
      <c r="AN164" s="149"/>
      <c r="AO164" s="150"/>
      <c r="AV164" s="31" t="str">
        <f>IFERROR(INDEX('G-7 Rivers Data'!$AZ$3:$AZ$7,MATCH(N164,'G-7 Rivers Data'!$AY$3:$AY$7,0)),"")</f>
        <v/>
      </c>
    </row>
    <row r="165" spans="2:48" ht="13.8" x14ac:dyDescent="0.25">
      <c r="B165" s="531" t="str">
        <f>'C-1 Site River Baseline'!AN163</f>
        <v/>
      </c>
      <c r="C165" s="520" t="str">
        <f>IF(B165="","",VLOOKUP($B165,'C-1 Site River Baseline'!$C$9:$R$257,2,FALSE))</f>
        <v/>
      </c>
      <c r="D165" s="520" t="str">
        <f>IF(C165="","",VLOOKUP($B165,'C-1 Site River Baseline'!$C$9:$R$257,3,FALSE))</f>
        <v/>
      </c>
      <c r="E165" s="520" t="str">
        <f>IF(D165="","",VLOOKUP($B165,'C-1 Site River Baseline'!$C$9:$R$257,4,FALSE))</f>
        <v/>
      </c>
      <c r="F165" s="520" t="str">
        <f>IF(E165="","",VLOOKUP($B165,'C-1 Site River Baseline'!$C$9:$R$257,5,FALSE))</f>
        <v/>
      </c>
      <c r="G165" s="520" t="str">
        <f>IF(F165="","",VLOOKUP($B165,'C-1 Site River Baseline'!$C$9:$R$257,6,FALSE))</f>
        <v/>
      </c>
      <c r="H165" s="520" t="str">
        <f>IF(G165="","",VLOOKUP($B165,'C-1 Site River Baseline'!$C$9:$R$257,7,FALSE))</f>
        <v/>
      </c>
      <c r="I165" s="520" t="str">
        <f>IF(H165="","",VLOOKUP($B165,'C-1 Site River Baseline'!$C$9:$R$257,8,FALSE))</f>
        <v/>
      </c>
      <c r="J165" s="520" t="str">
        <f>IF(I165="","",VLOOKUP($B165,'C-1 Site River Baseline'!$C$9:$R$257,9,FALSE))</f>
        <v/>
      </c>
      <c r="K165" s="520" t="str">
        <f>IF(J165="","",VLOOKUP($B165,'C-1 Site River Baseline'!$C$9:$R$257,10,FALSE))</f>
        <v/>
      </c>
      <c r="L165" s="520" t="str">
        <f>IF(B165="","",VLOOKUP($B165,'C-1 Site River Baseline'!$C$9:$R$257,15,FALSE))</f>
        <v/>
      </c>
      <c r="M165" s="524" t="str">
        <f>IF(L165="","",VLOOKUP($B165,'C-1 Site River Baseline'!$C$9:$R$257,16,FALSE))</f>
        <v/>
      </c>
      <c r="N165" s="418" t="str">
        <f t="shared" si="17"/>
        <v/>
      </c>
      <c r="O165" s="498" t="str">
        <f t="shared" si="18"/>
        <v/>
      </c>
      <c r="P165" s="499"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7" t="str">
        <f>IF(N165="","",VLOOKUP(B165,'C-1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07" t="str">
        <f>IF(V165="","",IF(VLOOKUP(V165,'G-7 Rivers Data'!$AG$4:$AI$9,2,FALSE)=0,"Spatial Data Missing ⚠",VLOOKUP(V165,'G-7 Rivers Data'!$AG$4:$AI$9,2,FALSE)))</f>
        <v/>
      </c>
      <c r="X165" s="499" t="str">
        <f>IF(V165="","",IF(VLOOKUP(V165,'G-7 Rivers Data'!$AG$4:$AI$9,3,FALSE)=0,"Spatial Data Missing ⚠",VLOOKUP(V165,'G-7 Rivers Data'!$AG$4:$AI$9,3,FALSE)))</f>
        <v/>
      </c>
      <c r="Y165" s="498" t="str">
        <f>IFERROR(IF(OR(LEFT(P165,5)="Error ▲",LEFT(O165,5)="Error ▲"),"Check Data ⚠",IF(F165&lt;S165,'G-7 Rivers Data'!$R$3,INDEX('G-7 Rivers Data'!$U$5:$Y$9,MATCH(G165,'G-7 Rivers Data'!$T$5:$T$9,0),MATCH(T165,'G-7 Rivers Data'!$U$4:$Y$4,0)))),"")</f>
        <v/>
      </c>
      <c r="Z165" s="195"/>
      <c r="AA165" s="195"/>
      <c r="AB165" s="507" t="str">
        <f t="shared" si="19"/>
        <v/>
      </c>
      <c r="AC165" s="521" t="str">
        <f t="shared" si="20"/>
        <v/>
      </c>
      <c r="AD165" s="564" t="str">
        <f>IFERROR(IF(AC165="Check Data ⚠","Check Data ⚠",VLOOKUP(AC165,'G-4 Temporal multipliers'!$A$4:$C$37,3,FALSE)),"")</f>
        <v/>
      </c>
      <c r="AE165" s="498" t="str">
        <f>IF(N165="","",VLOOKUP(N165,'G-7 Rivers Data'!$B$4:$G$8,5,FALSE))</f>
        <v/>
      </c>
      <c r="AF165" s="507" t="str">
        <f t="shared" si="21"/>
        <v/>
      </c>
      <c r="AG165" s="540" t="str">
        <f t="shared" si="22"/>
        <v/>
      </c>
      <c r="AH165" s="499" t="str">
        <f t="shared" si="16"/>
        <v/>
      </c>
      <c r="AI165" s="145"/>
      <c r="AJ165" s="499" t="str">
        <f>IF(AI165="","",IF(VLOOKUP(AI165,'G-7 Rivers Data'!$AA$4:$AB$7,2,FALSE)=0,"Spatial Data Missing ⚠",VLOOKUP(AI165,'G-7 Rivers Data'!$AA$4:$AB$7,2,FALSE)))</f>
        <v/>
      </c>
      <c r="AK165" s="155"/>
      <c r="AL165" s="499" t="str">
        <f>IF(AK165="","",IF(VLOOKUP(AK165,'G-7 Rivers Data'!$AD$4:$AE$8,2,FALSE)=0,"Spatial Data Missing ⚠",VLOOKUP(AK165,'G-7 Rivers Data'!$AD$4:$AE$8,2,FALSE)))</f>
        <v/>
      </c>
      <c r="AM165" s="545" t="str">
        <f t="shared" si="23"/>
        <v/>
      </c>
      <c r="AN165" s="149"/>
      <c r="AO165" s="150"/>
      <c r="AV165" s="31" t="str">
        <f>IFERROR(INDEX('G-7 Rivers Data'!$AZ$3:$AZ$7,MATCH(N165,'G-7 Rivers Data'!$AY$3:$AY$7,0)),"")</f>
        <v/>
      </c>
    </row>
    <row r="166" spans="2:48" ht="13.8" x14ac:dyDescent="0.25">
      <c r="B166" s="531" t="str">
        <f>'C-1 Site River Baseline'!AN164</f>
        <v/>
      </c>
      <c r="C166" s="520" t="str">
        <f>IF(B166="","",VLOOKUP($B166,'C-1 Site River Baseline'!$C$9:$R$257,2,FALSE))</f>
        <v/>
      </c>
      <c r="D166" s="520" t="str">
        <f>IF(C166="","",VLOOKUP($B166,'C-1 Site River Baseline'!$C$9:$R$257,3,FALSE))</f>
        <v/>
      </c>
      <c r="E166" s="520" t="str">
        <f>IF(D166="","",VLOOKUP($B166,'C-1 Site River Baseline'!$C$9:$R$257,4,FALSE))</f>
        <v/>
      </c>
      <c r="F166" s="520" t="str">
        <f>IF(E166="","",VLOOKUP($B166,'C-1 Site River Baseline'!$C$9:$R$257,5,FALSE))</f>
        <v/>
      </c>
      <c r="G166" s="520" t="str">
        <f>IF(F166="","",VLOOKUP($B166,'C-1 Site River Baseline'!$C$9:$R$257,6,FALSE))</f>
        <v/>
      </c>
      <c r="H166" s="520" t="str">
        <f>IF(G166="","",VLOOKUP($B166,'C-1 Site River Baseline'!$C$9:$R$257,7,FALSE))</f>
        <v/>
      </c>
      <c r="I166" s="520" t="str">
        <f>IF(H166="","",VLOOKUP($B166,'C-1 Site River Baseline'!$C$9:$R$257,8,FALSE))</f>
        <v/>
      </c>
      <c r="J166" s="520" t="str">
        <f>IF(I166="","",VLOOKUP($B166,'C-1 Site River Baseline'!$C$9:$R$257,9,FALSE))</f>
        <v/>
      </c>
      <c r="K166" s="520" t="str">
        <f>IF(J166="","",VLOOKUP($B166,'C-1 Site River Baseline'!$C$9:$R$257,10,FALSE))</f>
        <v/>
      </c>
      <c r="L166" s="520" t="str">
        <f>IF(B166="","",VLOOKUP($B166,'C-1 Site River Baseline'!$C$9:$R$257,15,FALSE))</f>
        <v/>
      </c>
      <c r="M166" s="524" t="str">
        <f>IF(L166="","",VLOOKUP($B166,'C-1 Site River Baseline'!$C$9:$R$257,16,FALSE))</f>
        <v/>
      </c>
      <c r="N166" s="418" t="str">
        <f t="shared" si="17"/>
        <v/>
      </c>
      <c r="O166" s="498" t="str">
        <f t="shared" si="18"/>
        <v/>
      </c>
      <c r="P166" s="499"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7" t="str">
        <f>IF(N166="","",VLOOKUP(B166,'C-1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07" t="str">
        <f>IF(V166="","",IF(VLOOKUP(V166,'G-7 Rivers Data'!$AG$4:$AI$9,2,FALSE)=0,"Spatial Data Missing ⚠",VLOOKUP(V166,'G-7 Rivers Data'!$AG$4:$AI$9,2,FALSE)))</f>
        <v/>
      </c>
      <c r="X166" s="499" t="str">
        <f>IF(V166="","",IF(VLOOKUP(V166,'G-7 Rivers Data'!$AG$4:$AI$9,3,FALSE)=0,"Spatial Data Missing ⚠",VLOOKUP(V166,'G-7 Rivers Data'!$AG$4:$AI$9,3,FALSE)))</f>
        <v/>
      </c>
      <c r="Y166" s="498" t="str">
        <f>IFERROR(IF(OR(LEFT(P166,5)="Error ▲",LEFT(O166,5)="Error ▲"),"Check Data ⚠",IF(F166&lt;S166,'G-7 Rivers Data'!$R$3,INDEX('G-7 Rivers Data'!$U$5:$Y$9,MATCH(G166,'G-7 Rivers Data'!$T$5:$T$9,0),MATCH(T166,'G-7 Rivers Data'!$U$4:$Y$4,0)))),"")</f>
        <v/>
      </c>
      <c r="Z166" s="195"/>
      <c r="AA166" s="195"/>
      <c r="AB166" s="507" t="str">
        <f t="shared" si="19"/>
        <v/>
      </c>
      <c r="AC166" s="521" t="str">
        <f t="shared" si="20"/>
        <v/>
      </c>
      <c r="AD166" s="564" t="str">
        <f>IFERROR(IF(AC166="Check Data ⚠","Check Data ⚠",VLOOKUP(AC166,'G-4 Temporal multipliers'!$A$4:$C$37,3,FALSE)),"")</f>
        <v/>
      </c>
      <c r="AE166" s="498" t="str">
        <f>IF(N166="","",VLOOKUP(N166,'G-7 Rivers Data'!$B$4:$G$8,5,FALSE))</f>
        <v/>
      </c>
      <c r="AF166" s="507" t="str">
        <f t="shared" si="21"/>
        <v/>
      </c>
      <c r="AG166" s="540" t="str">
        <f t="shared" si="22"/>
        <v/>
      </c>
      <c r="AH166" s="499" t="str">
        <f t="shared" si="16"/>
        <v/>
      </c>
      <c r="AI166" s="145"/>
      <c r="AJ166" s="499" t="str">
        <f>IF(AI166="","",IF(VLOOKUP(AI166,'G-7 Rivers Data'!$AA$4:$AB$7,2,FALSE)=0,"Spatial Data Missing ⚠",VLOOKUP(AI166,'G-7 Rivers Data'!$AA$4:$AB$7,2,FALSE)))</f>
        <v/>
      </c>
      <c r="AK166" s="155"/>
      <c r="AL166" s="499" t="str">
        <f>IF(AK166="","",IF(VLOOKUP(AK166,'G-7 Rivers Data'!$AD$4:$AE$8,2,FALSE)=0,"Spatial Data Missing ⚠",VLOOKUP(AK166,'G-7 Rivers Data'!$AD$4:$AE$8,2,FALSE)))</f>
        <v/>
      </c>
      <c r="AM166" s="545" t="str">
        <f t="shared" si="23"/>
        <v/>
      </c>
      <c r="AN166" s="149"/>
      <c r="AO166" s="150"/>
      <c r="AV166" s="31" t="str">
        <f>IFERROR(INDEX('G-7 Rivers Data'!$AZ$3:$AZ$7,MATCH(N166,'G-7 Rivers Data'!$AY$3:$AY$7,0)),"")</f>
        <v/>
      </c>
    </row>
    <row r="167" spans="2:48" ht="13.8" x14ac:dyDescent="0.25">
      <c r="B167" s="531" t="str">
        <f>'C-1 Site River Baseline'!AN165</f>
        <v/>
      </c>
      <c r="C167" s="520" t="str">
        <f>IF(B167="","",VLOOKUP($B167,'C-1 Site River Baseline'!$C$9:$R$257,2,FALSE))</f>
        <v/>
      </c>
      <c r="D167" s="520" t="str">
        <f>IF(C167="","",VLOOKUP($B167,'C-1 Site River Baseline'!$C$9:$R$257,3,FALSE))</f>
        <v/>
      </c>
      <c r="E167" s="520" t="str">
        <f>IF(D167="","",VLOOKUP($B167,'C-1 Site River Baseline'!$C$9:$R$257,4,FALSE))</f>
        <v/>
      </c>
      <c r="F167" s="520" t="str">
        <f>IF(E167="","",VLOOKUP($B167,'C-1 Site River Baseline'!$C$9:$R$257,5,FALSE))</f>
        <v/>
      </c>
      <c r="G167" s="520" t="str">
        <f>IF(F167="","",VLOOKUP($B167,'C-1 Site River Baseline'!$C$9:$R$257,6,FALSE))</f>
        <v/>
      </c>
      <c r="H167" s="520" t="str">
        <f>IF(G167="","",VLOOKUP($B167,'C-1 Site River Baseline'!$C$9:$R$257,7,FALSE))</f>
        <v/>
      </c>
      <c r="I167" s="520" t="str">
        <f>IF(H167="","",VLOOKUP($B167,'C-1 Site River Baseline'!$C$9:$R$257,8,FALSE))</f>
        <v/>
      </c>
      <c r="J167" s="520" t="str">
        <f>IF(I167="","",VLOOKUP($B167,'C-1 Site River Baseline'!$C$9:$R$257,9,FALSE))</f>
        <v/>
      </c>
      <c r="K167" s="520" t="str">
        <f>IF(J167="","",VLOOKUP($B167,'C-1 Site River Baseline'!$C$9:$R$257,10,FALSE))</f>
        <v/>
      </c>
      <c r="L167" s="520" t="str">
        <f>IF(B167="","",VLOOKUP($B167,'C-1 Site River Baseline'!$C$9:$R$257,15,FALSE))</f>
        <v/>
      </c>
      <c r="M167" s="524" t="str">
        <f>IF(L167="","",VLOOKUP($B167,'C-1 Site River Baseline'!$C$9:$R$257,16,FALSE))</f>
        <v/>
      </c>
      <c r="N167" s="418" t="str">
        <f t="shared" si="17"/>
        <v/>
      </c>
      <c r="O167" s="498" t="str">
        <f t="shared" si="18"/>
        <v/>
      </c>
      <c r="P167" s="499"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7" t="str">
        <f>IF(N167="","",VLOOKUP(B167,'C-1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07" t="str">
        <f>IF(V167="","",IF(VLOOKUP(V167,'G-7 Rivers Data'!$AG$4:$AI$9,2,FALSE)=0,"Spatial Data Missing ⚠",VLOOKUP(V167,'G-7 Rivers Data'!$AG$4:$AI$9,2,FALSE)))</f>
        <v/>
      </c>
      <c r="X167" s="499" t="str">
        <f>IF(V167="","",IF(VLOOKUP(V167,'G-7 Rivers Data'!$AG$4:$AI$9,3,FALSE)=0,"Spatial Data Missing ⚠",VLOOKUP(V167,'G-7 Rivers Data'!$AG$4:$AI$9,3,FALSE)))</f>
        <v/>
      </c>
      <c r="Y167" s="498" t="str">
        <f>IFERROR(IF(OR(LEFT(P167,5)="Error ▲",LEFT(O167,5)="Error ▲"),"Check Data ⚠",IF(F167&lt;S167,'G-7 Rivers Data'!$R$3,INDEX('G-7 Rivers Data'!$U$5:$Y$9,MATCH(G167,'G-7 Rivers Data'!$T$5:$T$9,0),MATCH(T167,'G-7 Rivers Data'!$U$4:$Y$4,0)))),"")</f>
        <v/>
      </c>
      <c r="Z167" s="195"/>
      <c r="AA167" s="195"/>
      <c r="AB167" s="507" t="str">
        <f t="shared" si="19"/>
        <v/>
      </c>
      <c r="AC167" s="521" t="str">
        <f t="shared" si="20"/>
        <v/>
      </c>
      <c r="AD167" s="564" t="str">
        <f>IFERROR(IF(AC167="Check Data ⚠","Check Data ⚠",VLOOKUP(AC167,'G-4 Temporal multipliers'!$A$4:$C$37,3,FALSE)),"")</f>
        <v/>
      </c>
      <c r="AE167" s="498" t="str">
        <f>IF(N167="","",VLOOKUP(N167,'G-7 Rivers Data'!$B$4:$G$8,5,FALSE))</f>
        <v/>
      </c>
      <c r="AF167" s="507" t="str">
        <f t="shared" si="21"/>
        <v/>
      </c>
      <c r="AG167" s="540" t="str">
        <f t="shared" si="22"/>
        <v/>
      </c>
      <c r="AH167" s="499" t="str">
        <f t="shared" si="16"/>
        <v/>
      </c>
      <c r="AI167" s="145"/>
      <c r="AJ167" s="499" t="str">
        <f>IF(AI167="","",IF(VLOOKUP(AI167,'G-7 Rivers Data'!$AA$4:$AB$7,2,FALSE)=0,"Spatial Data Missing ⚠",VLOOKUP(AI167,'G-7 Rivers Data'!$AA$4:$AB$7,2,FALSE)))</f>
        <v/>
      </c>
      <c r="AK167" s="155"/>
      <c r="AL167" s="499" t="str">
        <f>IF(AK167="","",IF(VLOOKUP(AK167,'G-7 Rivers Data'!$AD$4:$AE$8,2,FALSE)=0,"Spatial Data Missing ⚠",VLOOKUP(AK167,'G-7 Rivers Data'!$AD$4:$AE$8,2,FALSE)))</f>
        <v/>
      </c>
      <c r="AM167" s="545" t="str">
        <f t="shared" si="23"/>
        <v/>
      </c>
      <c r="AN167" s="149"/>
      <c r="AO167" s="150"/>
      <c r="AV167" s="31" t="str">
        <f>IFERROR(INDEX('G-7 Rivers Data'!$AZ$3:$AZ$7,MATCH(N167,'G-7 Rivers Data'!$AY$3:$AY$7,0)),"")</f>
        <v/>
      </c>
    </row>
    <row r="168" spans="2:48" ht="13.8" x14ac:dyDescent="0.25">
      <c r="B168" s="531" t="str">
        <f>'C-1 Site River Baseline'!AN166</f>
        <v/>
      </c>
      <c r="C168" s="520" t="str">
        <f>IF(B168="","",VLOOKUP($B168,'C-1 Site River Baseline'!$C$9:$R$257,2,FALSE))</f>
        <v/>
      </c>
      <c r="D168" s="520" t="str">
        <f>IF(C168="","",VLOOKUP($B168,'C-1 Site River Baseline'!$C$9:$R$257,3,FALSE))</f>
        <v/>
      </c>
      <c r="E168" s="520" t="str">
        <f>IF(D168="","",VLOOKUP($B168,'C-1 Site River Baseline'!$C$9:$R$257,4,FALSE))</f>
        <v/>
      </c>
      <c r="F168" s="520" t="str">
        <f>IF(E168="","",VLOOKUP($B168,'C-1 Site River Baseline'!$C$9:$R$257,5,FALSE))</f>
        <v/>
      </c>
      <c r="G168" s="520" t="str">
        <f>IF(F168="","",VLOOKUP($B168,'C-1 Site River Baseline'!$C$9:$R$257,6,FALSE))</f>
        <v/>
      </c>
      <c r="H168" s="520" t="str">
        <f>IF(G168="","",VLOOKUP($B168,'C-1 Site River Baseline'!$C$9:$R$257,7,FALSE))</f>
        <v/>
      </c>
      <c r="I168" s="520" t="str">
        <f>IF(H168="","",VLOOKUP($B168,'C-1 Site River Baseline'!$C$9:$R$257,8,FALSE))</f>
        <v/>
      </c>
      <c r="J168" s="520" t="str">
        <f>IF(I168="","",VLOOKUP($B168,'C-1 Site River Baseline'!$C$9:$R$257,9,FALSE))</f>
        <v/>
      </c>
      <c r="K168" s="520" t="str">
        <f>IF(J168="","",VLOOKUP($B168,'C-1 Site River Baseline'!$C$9:$R$257,10,FALSE))</f>
        <v/>
      </c>
      <c r="L168" s="520" t="str">
        <f>IF(B168="","",VLOOKUP($B168,'C-1 Site River Baseline'!$C$9:$R$257,15,FALSE))</f>
        <v/>
      </c>
      <c r="M168" s="524" t="str">
        <f>IF(L168="","",VLOOKUP($B168,'C-1 Site River Baseline'!$C$9:$R$257,16,FALSE))</f>
        <v/>
      </c>
      <c r="N168" s="418" t="str">
        <f t="shared" si="17"/>
        <v/>
      </c>
      <c r="O168" s="498" t="str">
        <f t="shared" si="18"/>
        <v/>
      </c>
      <c r="P168" s="499"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7" t="str">
        <f>IF(N168="","",VLOOKUP(B168,'C-1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07" t="str">
        <f>IF(V168="","",IF(VLOOKUP(V168,'G-7 Rivers Data'!$AG$4:$AI$9,2,FALSE)=0,"Spatial Data Missing ⚠",VLOOKUP(V168,'G-7 Rivers Data'!$AG$4:$AI$9,2,FALSE)))</f>
        <v/>
      </c>
      <c r="X168" s="499" t="str">
        <f>IF(V168="","",IF(VLOOKUP(V168,'G-7 Rivers Data'!$AG$4:$AI$9,3,FALSE)=0,"Spatial Data Missing ⚠",VLOOKUP(V168,'G-7 Rivers Data'!$AG$4:$AI$9,3,FALSE)))</f>
        <v/>
      </c>
      <c r="Y168" s="498" t="str">
        <f>IFERROR(IF(OR(LEFT(P168,5)="Error ▲",LEFT(O168,5)="Error ▲"),"Check Data ⚠",IF(F168&lt;S168,'G-7 Rivers Data'!$R$3,INDEX('G-7 Rivers Data'!$U$5:$Y$9,MATCH(G168,'G-7 Rivers Data'!$T$5:$T$9,0),MATCH(T168,'G-7 Rivers Data'!$U$4:$Y$4,0)))),"")</f>
        <v/>
      </c>
      <c r="Z168" s="195"/>
      <c r="AA168" s="195"/>
      <c r="AB168" s="507" t="str">
        <f t="shared" si="19"/>
        <v/>
      </c>
      <c r="AC168" s="521" t="str">
        <f t="shared" si="20"/>
        <v/>
      </c>
      <c r="AD168" s="564" t="str">
        <f>IFERROR(IF(AC168="Check Data ⚠","Check Data ⚠",VLOOKUP(AC168,'G-4 Temporal multipliers'!$A$4:$C$37,3,FALSE)),"")</f>
        <v/>
      </c>
      <c r="AE168" s="498" t="str">
        <f>IF(N168="","",VLOOKUP(N168,'G-7 Rivers Data'!$B$4:$G$8,5,FALSE))</f>
        <v/>
      </c>
      <c r="AF168" s="507" t="str">
        <f t="shared" si="21"/>
        <v/>
      </c>
      <c r="AG168" s="540" t="str">
        <f t="shared" si="22"/>
        <v/>
      </c>
      <c r="AH168" s="499" t="str">
        <f t="shared" si="16"/>
        <v/>
      </c>
      <c r="AI168" s="145"/>
      <c r="AJ168" s="499" t="str">
        <f>IF(AI168="","",IF(VLOOKUP(AI168,'G-7 Rivers Data'!$AA$4:$AB$7,2,FALSE)=0,"Spatial Data Missing ⚠",VLOOKUP(AI168,'G-7 Rivers Data'!$AA$4:$AB$7,2,FALSE)))</f>
        <v/>
      </c>
      <c r="AK168" s="155"/>
      <c r="AL168" s="499" t="str">
        <f>IF(AK168="","",IF(VLOOKUP(AK168,'G-7 Rivers Data'!$AD$4:$AE$8,2,FALSE)=0,"Spatial Data Missing ⚠",VLOOKUP(AK168,'G-7 Rivers Data'!$AD$4:$AE$8,2,FALSE)))</f>
        <v/>
      </c>
      <c r="AM168" s="545" t="str">
        <f t="shared" si="23"/>
        <v/>
      </c>
      <c r="AN168" s="149"/>
      <c r="AO168" s="150"/>
      <c r="AV168" s="31" t="str">
        <f>IFERROR(INDEX('G-7 Rivers Data'!$AZ$3:$AZ$7,MATCH(N168,'G-7 Rivers Data'!$AY$3:$AY$7,0)),"")</f>
        <v/>
      </c>
    </row>
    <row r="169" spans="2:48" ht="13.8" x14ac:dyDescent="0.25">
      <c r="B169" s="531" t="str">
        <f>'C-1 Site River Baseline'!AN167</f>
        <v/>
      </c>
      <c r="C169" s="520" t="str">
        <f>IF(B169="","",VLOOKUP($B169,'C-1 Site River Baseline'!$C$9:$R$257,2,FALSE))</f>
        <v/>
      </c>
      <c r="D169" s="520" t="str">
        <f>IF(C169="","",VLOOKUP($B169,'C-1 Site River Baseline'!$C$9:$R$257,3,FALSE))</f>
        <v/>
      </c>
      <c r="E169" s="520" t="str">
        <f>IF(D169="","",VLOOKUP($B169,'C-1 Site River Baseline'!$C$9:$R$257,4,FALSE))</f>
        <v/>
      </c>
      <c r="F169" s="520" t="str">
        <f>IF(E169="","",VLOOKUP($B169,'C-1 Site River Baseline'!$C$9:$R$257,5,FALSE))</f>
        <v/>
      </c>
      <c r="G169" s="520" t="str">
        <f>IF(F169="","",VLOOKUP($B169,'C-1 Site River Baseline'!$C$9:$R$257,6,FALSE))</f>
        <v/>
      </c>
      <c r="H169" s="520" t="str">
        <f>IF(G169="","",VLOOKUP($B169,'C-1 Site River Baseline'!$C$9:$R$257,7,FALSE))</f>
        <v/>
      </c>
      <c r="I169" s="520" t="str">
        <f>IF(H169="","",VLOOKUP($B169,'C-1 Site River Baseline'!$C$9:$R$257,8,FALSE))</f>
        <v/>
      </c>
      <c r="J169" s="520" t="str">
        <f>IF(I169="","",VLOOKUP($B169,'C-1 Site River Baseline'!$C$9:$R$257,9,FALSE))</f>
        <v/>
      </c>
      <c r="K169" s="520" t="str">
        <f>IF(J169="","",VLOOKUP($B169,'C-1 Site River Baseline'!$C$9:$R$257,10,FALSE))</f>
        <v/>
      </c>
      <c r="L169" s="520" t="str">
        <f>IF(B169="","",VLOOKUP($B169,'C-1 Site River Baseline'!$C$9:$R$257,15,FALSE))</f>
        <v/>
      </c>
      <c r="M169" s="524" t="str">
        <f>IF(L169="","",VLOOKUP($B169,'C-1 Site River Baseline'!$C$9:$R$257,16,FALSE))</f>
        <v/>
      </c>
      <c r="N169" s="418" t="str">
        <f t="shared" si="17"/>
        <v/>
      </c>
      <c r="O169" s="498" t="str">
        <f t="shared" si="18"/>
        <v/>
      </c>
      <c r="P169" s="499"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7" t="str">
        <f>IF(N169="","",VLOOKUP(B169,'C-1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07" t="str">
        <f>IF(V169="","",IF(VLOOKUP(V169,'G-7 Rivers Data'!$AG$4:$AI$9,2,FALSE)=0,"Spatial Data Missing ⚠",VLOOKUP(V169,'G-7 Rivers Data'!$AG$4:$AI$9,2,FALSE)))</f>
        <v/>
      </c>
      <c r="X169" s="499" t="str">
        <f>IF(V169="","",IF(VLOOKUP(V169,'G-7 Rivers Data'!$AG$4:$AI$9,3,FALSE)=0,"Spatial Data Missing ⚠",VLOOKUP(V169,'G-7 Rivers Data'!$AG$4:$AI$9,3,FALSE)))</f>
        <v/>
      </c>
      <c r="Y169" s="498" t="str">
        <f>IFERROR(IF(OR(LEFT(P169,5)="Error ▲",LEFT(O169,5)="Error ▲"),"Check Data ⚠",IF(F169&lt;S169,'G-7 Rivers Data'!$R$3,INDEX('G-7 Rivers Data'!$U$5:$Y$9,MATCH(G169,'G-7 Rivers Data'!$T$5:$T$9,0),MATCH(T169,'G-7 Rivers Data'!$U$4:$Y$4,0)))),"")</f>
        <v/>
      </c>
      <c r="Z169" s="195"/>
      <c r="AA169" s="195"/>
      <c r="AB169" s="507" t="str">
        <f t="shared" si="19"/>
        <v/>
      </c>
      <c r="AC169" s="521" t="str">
        <f t="shared" si="20"/>
        <v/>
      </c>
      <c r="AD169" s="564" t="str">
        <f>IFERROR(IF(AC169="Check Data ⚠","Check Data ⚠",VLOOKUP(AC169,'G-4 Temporal multipliers'!$A$4:$C$37,3,FALSE)),"")</f>
        <v/>
      </c>
      <c r="AE169" s="498" t="str">
        <f>IF(N169="","",VLOOKUP(N169,'G-7 Rivers Data'!$B$4:$G$8,5,FALSE))</f>
        <v/>
      </c>
      <c r="AF169" s="507" t="str">
        <f t="shared" si="21"/>
        <v/>
      </c>
      <c r="AG169" s="540" t="str">
        <f t="shared" si="22"/>
        <v/>
      </c>
      <c r="AH169" s="499" t="str">
        <f t="shared" si="16"/>
        <v/>
      </c>
      <c r="AI169" s="145"/>
      <c r="AJ169" s="499" t="str">
        <f>IF(AI169="","",IF(VLOOKUP(AI169,'G-7 Rivers Data'!$AA$4:$AB$7,2,FALSE)=0,"Spatial Data Missing ⚠",VLOOKUP(AI169,'G-7 Rivers Data'!$AA$4:$AB$7,2,FALSE)))</f>
        <v/>
      </c>
      <c r="AK169" s="155"/>
      <c r="AL169" s="499" t="str">
        <f>IF(AK169="","",IF(VLOOKUP(AK169,'G-7 Rivers Data'!$AD$4:$AE$8,2,FALSE)=0,"Spatial Data Missing ⚠",VLOOKUP(AK169,'G-7 Rivers Data'!$AD$4:$AE$8,2,FALSE)))</f>
        <v/>
      </c>
      <c r="AM169" s="545" t="str">
        <f t="shared" si="23"/>
        <v/>
      </c>
      <c r="AN169" s="149"/>
      <c r="AO169" s="150"/>
      <c r="AV169" s="31" t="str">
        <f>IFERROR(INDEX('G-7 Rivers Data'!$AZ$3:$AZ$7,MATCH(N169,'G-7 Rivers Data'!$AY$3:$AY$7,0)),"")</f>
        <v/>
      </c>
    </row>
    <row r="170" spans="2:48" ht="13.8" x14ac:dyDescent="0.25">
      <c r="B170" s="531" t="str">
        <f>'C-1 Site River Baseline'!AN168</f>
        <v/>
      </c>
      <c r="C170" s="520" t="str">
        <f>IF(B170="","",VLOOKUP($B170,'C-1 Site River Baseline'!$C$9:$R$257,2,FALSE))</f>
        <v/>
      </c>
      <c r="D170" s="520" t="str">
        <f>IF(C170="","",VLOOKUP($B170,'C-1 Site River Baseline'!$C$9:$R$257,3,FALSE))</f>
        <v/>
      </c>
      <c r="E170" s="520" t="str">
        <f>IF(D170="","",VLOOKUP($B170,'C-1 Site River Baseline'!$C$9:$R$257,4,FALSE))</f>
        <v/>
      </c>
      <c r="F170" s="520" t="str">
        <f>IF(E170="","",VLOOKUP($B170,'C-1 Site River Baseline'!$C$9:$R$257,5,FALSE))</f>
        <v/>
      </c>
      <c r="G170" s="520" t="str">
        <f>IF(F170="","",VLOOKUP($B170,'C-1 Site River Baseline'!$C$9:$R$257,6,FALSE))</f>
        <v/>
      </c>
      <c r="H170" s="520" t="str">
        <f>IF(G170="","",VLOOKUP($B170,'C-1 Site River Baseline'!$C$9:$R$257,7,FALSE))</f>
        <v/>
      </c>
      <c r="I170" s="520" t="str">
        <f>IF(H170="","",VLOOKUP($B170,'C-1 Site River Baseline'!$C$9:$R$257,8,FALSE))</f>
        <v/>
      </c>
      <c r="J170" s="520" t="str">
        <f>IF(I170="","",VLOOKUP($B170,'C-1 Site River Baseline'!$C$9:$R$257,9,FALSE))</f>
        <v/>
      </c>
      <c r="K170" s="520" t="str">
        <f>IF(J170="","",VLOOKUP($B170,'C-1 Site River Baseline'!$C$9:$R$257,10,FALSE))</f>
        <v/>
      </c>
      <c r="L170" s="520" t="str">
        <f>IF(B170="","",VLOOKUP($B170,'C-1 Site River Baseline'!$C$9:$R$257,15,FALSE))</f>
        <v/>
      </c>
      <c r="M170" s="524" t="str">
        <f>IF(L170="","",VLOOKUP($B170,'C-1 Site River Baseline'!$C$9:$R$257,16,FALSE))</f>
        <v/>
      </c>
      <c r="N170" s="418" t="str">
        <f t="shared" si="17"/>
        <v/>
      </c>
      <c r="O170" s="498" t="str">
        <f t="shared" si="18"/>
        <v/>
      </c>
      <c r="P170" s="499"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7" t="str">
        <f>IF(N170="","",VLOOKUP(B170,'C-1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07" t="str">
        <f>IF(V170="","",IF(VLOOKUP(V170,'G-7 Rivers Data'!$AG$4:$AI$9,2,FALSE)=0,"Spatial Data Missing ⚠",VLOOKUP(V170,'G-7 Rivers Data'!$AG$4:$AI$9,2,FALSE)))</f>
        <v/>
      </c>
      <c r="X170" s="499" t="str">
        <f>IF(V170="","",IF(VLOOKUP(V170,'G-7 Rivers Data'!$AG$4:$AI$9,3,FALSE)=0,"Spatial Data Missing ⚠",VLOOKUP(V170,'G-7 Rivers Data'!$AG$4:$AI$9,3,FALSE)))</f>
        <v/>
      </c>
      <c r="Y170" s="498" t="str">
        <f>IFERROR(IF(OR(LEFT(P170,5)="Error ▲",LEFT(O170,5)="Error ▲"),"Check Data ⚠",IF(F170&lt;S170,'G-7 Rivers Data'!$R$3,INDEX('G-7 Rivers Data'!$U$5:$Y$9,MATCH(G170,'G-7 Rivers Data'!$T$5:$T$9,0),MATCH(T170,'G-7 Rivers Data'!$U$4:$Y$4,0)))),"")</f>
        <v/>
      </c>
      <c r="Z170" s="195"/>
      <c r="AA170" s="195"/>
      <c r="AB170" s="507" t="str">
        <f t="shared" si="19"/>
        <v/>
      </c>
      <c r="AC170" s="521" t="str">
        <f t="shared" si="20"/>
        <v/>
      </c>
      <c r="AD170" s="564" t="str">
        <f>IFERROR(IF(AC170="Check Data ⚠","Check Data ⚠",VLOOKUP(AC170,'G-4 Temporal multipliers'!$A$4:$C$37,3,FALSE)),"")</f>
        <v/>
      </c>
      <c r="AE170" s="498" t="str">
        <f>IF(N170="","",VLOOKUP(N170,'G-7 Rivers Data'!$B$4:$G$8,5,FALSE))</f>
        <v/>
      </c>
      <c r="AF170" s="507" t="str">
        <f t="shared" si="21"/>
        <v/>
      </c>
      <c r="AG170" s="540" t="str">
        <f t="shared" si="22"/>
        <v/>
      </c>
      <c r="AH170" s="499" t="str">
        <f t="shared" si="16"/>
        <v/>
      </c>
      <c r="AI170" s="145"/>
      <c r="AJ170" s="499" t="str">
        <f>IF(AI170="","",IF(VLOOKUP(AI170,'G-7 Rivers Data'!$AA$4:$AB$7,2,FALSE)=0,"Spatial Data Missing ⚠",VLOOKUP(AI170,'G-7 Rivers Data'!$AA$4:$AB$7,2,FALSE)))</f>
        <v/>
      </c>
      <c r="AK170" s="155"/>
      <c r="AL170" s="499" t="str">
        <f>IF(AK170="","",IF(VLOOKUP(AK170,'G-7 Rivers Data'!$AD$4:$AE$8,2,FALSE)=0,"Spatial Data Missing ⚠",VLOOKUP(AK170,'G-7 Rivers Data'!$AD$4:$AE$8,2,FALSE)))</f>
        <v/>
      </c>
      <c r="AM170" s="545" t="str">
        <f t="shared" si="23"/>
        <v/>
      </c>
      <c r="AN170" s="149"/>
      <c r="AO170" s="150"/>
      <c r="AV170" s="31" t="str">
        <f>IFERROR(INDEX('G-7 Rivers Data'!$AZ$3:$AZ$7,MATCH(N170,'G-7 Rivers Data'!$AY$3:$AY$7,0)),"")</f>
        <v/>
      </c>
    </row>
    <row r="171" spans="2:48" ht="13.8" x14ac:dyDescent="0.25">
      <c r="B171" s="531" t="str">
        <f>'C-1 Site River Baseline'!AN169</f>
        <v/>
      </c>
      <c r="C171" s="520" t="str">
        <f>IF(B171="","",VLOOKUP($B171,'C-1 Site River Baseline'!$C$9:$R$257,2,FALSE))</f>
        <v/>
      </c>
      <c r="D171" s="520" t="str">
        <f>IF(C171="","",VLOOKUP($B171,'C-1 Site River Baseline'!$C$9:$R$257,3,FALSE))</f>
        <v/>
      </c>
      <c r="E171" s="520" t="str">
        <f>IF(D171="","",VLOOKUP($B171,'C-1 Site River Baseline'!$C$9:$R$257,4,FALSE))</f>
        <v/>
      </c>
      <c r="F171" s="520" t="str">
        <f>IF(E171="","",VLOOKUP($B171,'C-1 Site River Baseline'!$C$9:$R$257,5,FALSE))</f>
        <v/>
      </c>
      <c r="G171" s="520" t="str">
        <f>IF(F171="","",VLOOKUP($B171,'C-1 Site River Baseline'!$C$9:$R$257,6,FALSE))</f>
        <v/>
      </c>
      <c r="H171" s="520" t="str">
        <f>IF(G171="","",VLOOKUP($B171,'C-1 Site River Baseline'!$C$9:$R$257,7,FALSE))</f>
        <v/>
      </c>
      <c r="I171" s="520" t="str">
        <f>IF(H171="","",VLOOKUP($B171,'C-1 Site River Baseline'!$C$9:$R$257,8,FALSE))</f>
        <v/>
      </c>
      <c r="J171" s="520" t="str">
        <f>IF(I171="","",VLOOKUP($B171,'C-1 Site River Baseline'!$C$9:$R$257,9,FALSE))</f>
        <v/>
      </c>
      <c r="K171" s="520" t="str">
        <f>IF(J171="","",VLOOKUP($B171,'C-1 Site River Baseline'!$C$9:$R$257,10,FALSE))</f>
        <v/>
      </c>
      <c r="L171" s="520" t="str">
        <f>IF(B171="","",VLOOKUP($B171,'C-1 Site River Baseline'!$C$9:$R$257,15,FALSE))</f>
        <v/>
      </c>
      <c r="M171" s="524" t="str">
        <f>IF(L171="","",VLOOKUP($B171,'C-1 Site River Baseline'!$C$9:$R$257,16,FALSE))</f>
        <v/>
      </c>
      <c r="N171" s="418" t="str">
        <f t="shared" si="17"/>
        <v/>
      </c>
      <c r="O171" s="498" t="str">
        <f t="shared" si="18"/>
        <v/>
      </c>
      <c r="P171" s="499"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7" t="str">
        <f>IF(N171="","",VLOOKUP(B171,'C-1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07" t="str">
        <f>IF(V171="","",IF(VLOOKUP(V171,'G-7 Rivers Data'!$AG$4:$AI$9,2,FALSE)=0,"Spatial Data Missing ⚠",VLOOKUP(V171,'G-7 Rivers Data'!$AG$4:$AI$9,2,FALSE)))</f>
        <v/>
      </c>
      <c r="X171" s="499" t="str">
        <f>IF(V171="","",IF(VLOOKUP(V171,'G-7 Rivers Data'!$AG$4:$AI$9,3,FALSE)=0,"Spatial Data Missing ⚠",VLOOKUP(V171,'G-7 Rivers Data'!$AG$4:$AI$9,3,FALSE)))</f>
        <v/>
      </c>
      <c r="Y171" s="498" t="str">
        <f>IFERROR(IF(OR(LEFT(P171,5)="Error ▲",LEFT(O171,5)="Error ▲"),"Check Data ⚠",IF(F171&lt;S171,'G-7 Rivers Data'!$R$3,INDEX('G-7 Rivers Data'!$U$5:$Y$9,MATCH(G171,'G-7 Rivers Data'!$T$5:$T$9,0),MATCH(T171,'G-7 Rivers Data'!$U$4:$Y$4,0)))),"")</f>
        <v/>
      </c>
      <c r="Z171" s="195"/>
      <c r="AA171" s="195"/>
      <c r="AB171" s="507" t="str">
        <f t="shared" si="19"/>
        <v/>
      </c>
      <c r="AC171" s="521" t="str">
        <f t="shared" si="20"/>
        <v/>
      </c>
      <c r="AD171" s="564" t="str">
        <f>IFERROR(IF(AC171="Check Data ⚠","Check Data ⚠",VLOOKUP(AC171,'G-4 Temporal multipliers'!$A$4:$C$37,3,FALSE)),"")</f>
        <v/>
      </c>
      <c r="AE171" s="498" t="str">
        <f>IF(N171="","",VLOOKUP(N171,'G-7 Rivers Data'!$B$4:$G$8,5,FALSE))</f>
        <v/>
      </c>
      <c r="AF171" s="507" t="str">
        <f t="shared" si="21"/>
        <v/>
      </c>
      <c r="AG171" s="540" t="str">
        <f t="shared" si="22"/>
        <v/>
      </c>
      <c r="AH171" s="499" t="str">
        <f t="shared" si="16"/>
        <v/>
      </c>
      <c r="AI171" s="145"/>
      <c r="AJ171" s="499" t="str">
        <f>IF(AI171="","",IF(VLOOKUP(AI171,'G-7 Rivers Data'!$AA$4:$AB$7,2,FALSE)=0,"Spatial Data Missing ⚠",VLOOKUP(AI171,'G-7 Rivers Data'!$AA$4:$AB$7,2,FALSE)))</f>
        <v/>
      </c>
      <c r="AK171" s="155"/>
      <c r="AL171" s="499" t="str">
        <f>IF(AK171="","",IF(VLOOKUP(AK171,'G-7 Rivers Data'!$AD$4:$AE$8,2,FALSE)=0,"Spatial Data Missing ⚠",VLOOKUP(AK171,'G-7 Rivers Data'!$AD$4:$AE$8,2,FALSE)))</f>
        <v/>
      </c>
      <c r="AM171" s="545" t="str">
        <f t="shared" si="23"/>
        <v/>
      </c>
      <c r="AN171" s="149"/>
      <c r="AO171" s="150"/>
      <c r="AV171" s="31" t="str">
        <f>IFERROR(INDEX('G-7 Rivers Data'!$AZ$3:$AZ$7,MATCH(N171,'G-7 Rivers Data'!$AY$3:$AY$7,0)),"")</f>
        <v/>
      </c>
    </row>
    <row r="172" spans="2:48" ht="13.8" x14ac:dyDescent="0.25">
      <c r="B172" s="531" t="str">
        <f>'C-1 Site River Baseline'!AN170</f>
        <v/>
      </c>
      <c r="C172" s="520" t="str">
        <f>IF(B172="","",VLOOKUP($B172,'C-1 Site River Baseline'!$C$9:$R$257,2,FALSE))</f>
        <v/>
      </c>
      <c r="D172" s="520" t="str">
        <f>IF(C172="","",VLOOKUP($B172,'C-1 Site River Baseline'!$C$9:$R$257,3,FALSE))</f>
        <v/>
      </c>
      <c r="E172" s="520" t="str">
        <f>IF(D172="","",VLOOKUP($B172,'C-1 Site River Baseline'!$C$9:$R$257,4,FALSE))</f>
        <v/>
      </c>
      <c r="F172" s="520" t="str">
        <f>IF(E172="","",VLOOKUP($B172,'C-1 Site River Baseline'!$C$9:$R$257,5,FALSE))</f>
        <v/>
      </c>
      <c r="G172" s="520" t="str">
        <f>IF(F172="","",VLOOKUP($B172,'C-1 Site River Baseline'!$C$9:$R$257,6,FALSE))</f>
        <v/>
      </c>
      <c r="H172" s="520" t="str">
        <f>IF(G172="","",VLOOKUP($B172,'C-1 Site River Baseline'!$C$9:$R$257,7,FALSE))</f>
        <v/>
      </c>
      <c r="I172" s="520" t="str">
        <f>IF(H172="","",VLOOKUP($B172,'C-1 Site River Baseline'!$C$9:$R$257,8,FALSE))</f>
        <v/>
      </c>
      <c r="J172" s="520" t="str">
        <f>IF(I172="","",VLOOKUP($B172,'C-1 Site River Baseline'!$C$9:$R$257,9,FALSE))</f>
        <v/>
      </c>
      <c r="K172" s="520" t="str">
        <f>IF(J172="","",VLOOKUP($B172,'C-1 Site River Baseline'!$C$9:$R$257,10,FALSE))</f>
        <v/>
      </c>
      <c r="L172" s="520" t="str">
        <f>IF(B172="","",VLOOKUP($B172,'C-1 Site River Baseline'!$C$9:$R$257,15,FALSE))</f>
        <v/>
      </c>
      <c r="M172" s="524" t="str">
        <f>IF(L172="","",VLOOKUP($B172,'C-1 Site River Baseline'!$C$9:$R$257,16,FALSE))</f>
        <v/>
      </c>
      <c r="N172" s="418" t="str">
        <f t="shared" si="17"/>
        <v/>
      </c>
      <c r="O172" s="498" t="str">
        <f t="shared" si="18"/>
        <v/>
      </c>
      <c r="P172" s="499"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7" t="str">
        <f>IF(N172="","",VLOOKUP(B172,'C-1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07" t="str">
        <f>IF(V172="","",IF(VLOOKUP(V172,'G-7 Rivers Data'!$AG$4:$AI$9,2,FALSE)=0,"Spatial Data Missing ⚠",VLOOKUP(V172,'G-7 Rivers Data'!$AG$4:$AI$9,2,FALSE)))</f>
        <v/>
      </c>
      <c r="X172" s="499" t="str">
        <f>IF(V172="","",IF(VLOOKUP(V172,'G-7 Rivers Data'!$AG$4:$AI$9,3,FALSE)=0,"Spatial Data Missing ⚠",VLOOKUP(V172,'G-7 Rivers Data'!$AG$4:$AI$9,3,FALSE)))</f>
        <v/>
      </c>
      <c r="Y172" s="498" t="str">
        <f>IFERROR(IF(OR(LEFT(P172,5)="Error ▲",LEFT(O172,5)="Error ▲"),"Check Data ⚠",IF(F172&lt;S172,'G-7 Rivers Data'!$R$3,INDEX('G-7 Rivers Data'!$U$5:$Y$9,MATCH(G172,'G-7 Rivers Data'!$T$5:$T$9,0),MATCH(T172,'G-7 Rivers Data'!$U$4:$Y$4,0)))),"")</f>
        <v/>
      </c>
      <c r="Z172" s="195"/>
      <c r="AA172" s="195"/>
      <c r="AB172" s="507" t="str">
        <f t="shared" si="19"/>
        <v/>
      </c>
      <c r="AC172" s="521" t="str">
        <f t="shared" si="20"/>
        <v/>
      </c>
      <c r="AD172" s="564" t="str">
        <f>IFERROR(IF(AC172="Check Data ⚠","Check Data ⚠",VLOOKUP(AC172,'G-4 Temporal multipliers'!$A$4:$C$37,3,FALSE)),"")</f>
        <v/>
      </c>
      <c r="AE172" s="498" t="str">
        <f>IF(N172="","",VLOOKUP(N172,'G-7 Rivers Data'!$B$4:$G$8,5,FALSE))</f>
        <v/>
      </c>
      <c r="AF172" s="507" t="str">
        <f t="shared" si="21"/>
        <v/>
      </c>
      <c r="AG172" s="540" t="str">
        <f t="shared" si="22"/>
        <v/>
      </c>
      <c r="AH172" s="499" t="str">
        <f t="shared" si="16"/>
        <v/>
      </c>
      <c r="AI172" s="145"/>
      <c r="AJ172" s="499" t="str">
        <f>IF(AI172="","",IF(VLOOKUP(AI172,'G-7 Rivers Data'!$AA$4:$AB$7,2,FALSE)=0,"Spatial Data Missing ⚠",VLOOKUP(AI172,'G-7 Rivers Data'!$AA$4:$AB$7,2,FALSE)))</f>
        <v/>
      </c>
      <c r="AK172" s="155"/>
      <c r="AL172" s="499" t="str">
        <f>IF(AK172="","",IF(VLOOKUP(AK172,'G-7 Rivers Data'!$AD$4:$AE$8,2,FALSE)=0,"Spatial Data Missing ⚠",VLOOKUP(AK172,'G-7 Rivers Data'!$AD$4:$AE$8,2,FALSE)))</f>
        <v/>
      </c>
      <c r="AM172" s="545" t="str">
        <f t="shared" si="23"/>
        <v/>
      </c>
      <c r="AN172" s="149"/>
      <c r="AO172" s="150"/>
      <c r="AV172" s="31" t="str">
        <f>IFERROR(INDEX('G-7 Rivers Data'!$AZ$3:$AZ$7,MATCH(N172,'G-7 Rivers Data'!$AY$3:$AY$7,0)),"")</f>
        <v/>
      </c>
    </row>
    <row r="173" spans="2:48" ht="13.8" x14ac:dyDescent="0.25">
      <c r="B173" s="531" t="str">
        <f>'C-1 Site River Baseline'!AN171</f>
        <v/>
      </c>
      <c r="C173" s="520" t="str">
        <f>IF(B173="","",VLOOKUP($B173,'C-1 Site River Baseline'!$C$9:$R$257,2,FALSE))</f>
        <v/>
      </c>
      <c r="D173" s="520" t="str">
        <f>IF(C173="","",VLOOKUP($B173,'C-1 Site River Baseline'!$C$9:$R$257,3,FALSE))</f>
        <v/>
      </c>
      <c r="E173" s="520" t="str">
        <f>IF(D173="","",VLOOKUP($B173,'C-1 Site River Baseline'!$C$9:$R$257,4,FALSE))</f>
        <v/>
      </c>
      <c r="F173" s="520" t="str">
        <f>IF(E173="","",VLOOKUP($B173,'C-1 Site River Baseline'!$C$9:$R$257,5,FALSE))</f>
        <v/>
      </c>
      <c r="G173" s="520" t="str">
        <f>IF(F173="","",VLOOKUP($B173,'C-1 Site River Baseline'!$C$9:$R$257,6,FALSE))</f>
        <v/>
      </c>
      <c r="H173" s="520" t="str">
        <f>IF(G173="","",VLOOKUP($B173,'C-1 Site River Baseline'!$C$9:$R$257,7,FALSE))</f>
        <v/>
      </c>
      <c r="I173" s="520" t="str">
        <f>IF(H173="","",VLOOKUP($B173,'C-1 Site River Baseline'!$C$9:$R$257,8,FALSE))</f>
        <v/>
      </c>
      <c r="J173" s="520" t="str">
        <f>IF(I173="","",VLOOKUP($B173,'C-1 Site River Baseline'!$C$9:$R$257,9,FALSE))</f>
        <v/>
      </c>
      <c r="K173" s="520" t="str">
        <f>IF(J173="","",VLOOKUP($B173,'C-1 Site River Baseline'!$C$9:$R$257,10,FALSE))</f>
        <v/>
      </c>
      <c r="L173" s="520" t="str">
        <f>IF(B173="","",VLOOKUP($B173,'C-1 Site River Baseline'!$C$9:$R$257,15,FALSE))</f>
        <v/>
      </c>
      <c r="M173" s="524" t="str">
        <f>IF(L173="","",VLOOKUP($B173,'C-1 Site River Baseline'!$C$9:$R$257,16,FALSE))</f>
        <v/>
      </c>
      <c r="N173" s="418" t="str">
        <f t="shared" si="17"/>
        <v/>
      </c>
      <c r="O173" s="498" t="str">
        <f t="shared" si="18"/>
        <v/>
      </c>
      <c r="P173" s="499"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7" t="str">
        <f>IF(N173="","",VLOOKUP(B173,'C-1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07" t="str">
        <f>IF(V173="","",IF(VLOOKUP(V173,'G-7 Rivers Data'!$AG$4:$AI$9,2,FALSE)=0,"Spatial Data Missing ⚠",VLOOKUP(V173,'G-7 Rivers Data'!$AG$4:$AI$9,2,FALSE)))</f>
        <v/>
      </c>
      <c r="X173" s="499" t="str">
        <f>IF(V173="","",IF(VLOOKUP(V173,'G-7 Rivers Data'!$AG$4:$AI$9,3,FALSE)=0,"Spatial Data Missing ⚠",VLOOKUP(V173,'G-7 Rivers Data'!$AG$4:$AI$9,3,FALSE)))</f>
        <v/>
      </c>
      <c r="Y173" s="498" t="str">
        <f>IFERROR(IF(OR(LEFT(P173,5)="Error ▲",LEFT(O173,5)="Error ▲"),"Check Data ⚠",IF(F173&lt;S173,'G-7 Rivers Data'!$R$3,INDEX('G-7 Rivers Data'!$U$5:$Y$9,MATCH(G173,'G-7 Rivers Data'!$T$5:$T$9,0),MATCH(T173,'G-7 Rivers Data'!$U$4:$Y$4,0)))),"")</f>
        <v/>
      </c>
      <c r="Z173" s="195"/>
      <c r="AA173" s="195"/>
      <c r="AB173" s="507" t="str">
        <f t="shared" si="19"/>
        <v/>
      </c>
      <c r="AC173" s="521" t="str">
        <f t="shared" si="20"/>
        <v/>
      </c>
      <c r="AD173" s="564" t="str">
        <f>IFERROR(IF(AC173="Check Data ⚠","Check Data ⚠",VLOOKUP(AC173,'G-4 Temporal multipliers'!$A$4:$C$37,3,FALSE)),"")</f>
        <v/>
      </c>
      <c r="AE173" s="498" t="str">
        <f>IF(N173="","",VLOOKUP(N173,'G-7 Rivers Data'!$B$4:$G$8,5,FALSE))</f>
        <v/>
      </c>
      <c r="AF173" s="507" t="str">
        <f t="shared" si="21"/>
        <v/>
      </c>
      <c r="AG173" s="540" t="str">
        <f t="shared" si="22"/>
        <v/>
      </c>
      <c r="AH173" s="499" t="str">
        <f t="shared" si="16"/>
        <v/>
      </c>
      <c r="AI173" s="145"/>
      <c r="AJ173" s="499" t="str">
        <f>IF(AI173="","",IF(VLOOKUP(AI173,'G-7 Rivers Data'!$AA$4:$AB$7,2,FALSE)=0,"Spatial Data Missing ⚠",VLOOKUP(AI173,'G-7 Rivers Data'!$AA$4:$AB$7,2,FALSE)))</f>
        <v/>
      </c>
      <c r="AK173" s="155"/>
      <c r="AL173" s="499" t="str">
        <f>IF(AK173="","",IF(VLOOKUP(AK173,'G-7 Rivers Data'!$AD$4:$AE$8,2,FALSE)=0,"Spatial Data Missing ⚠",VLOOKUP(AK173,'G-7 Rivers Data'!$AD$4:$AE$8,2,FALSE)))</f>
        <v/>
      </c>
      <c r="AM173" s="545" t="str">
        <f t="shared" si="23"/>
        <v/>
      </c>
      <c r="AN173" s="149"/>
      <c r="AO173" s="150"/>
      <c r="AV173" s="31" t="str">
        <f>IFERROR(INDEX('G-7 Rivers Data'!$AZ$3:$AZ$7,MATCH(N173,'G-7 Rivers Data'!$AY$3:$AY$7,0)),"")</f>
        <v/>
      </c>
    </row>
    <row r="174" spans="2:48" ht="13.8" x14ac:dyDescent="0.25">
      <c r="B174" s="531" t="str">
        <f>'C-1 Site River Baseline'!AN172</f>
        <v/>
      </c>
      <c r="C174" s="520" t="str">
        <f>IF(B174="","",VLOOKUP($B174,'C-1 Site River Baseline'!$C$9:$R$257,2,FALSE))</f>
        <v/>
      </c>
      <c r="D174" s="520" t="str">
        <f>IF(C174="","",VLOOKUP($B174,'C-1 Site River Baseline'!$C$9:$R$257,3,FALSE))</f>
        <v/>
      </c>
      <c r="E174" s="520" t="str">
        <f>IF(D174="","",VLOOKUP($B174,'C-1 Site River Baseline'!$C$9:$R$257,4,FALSE))</f>
        <v/>
      </c>
      <c r="F174" s="520" t="str">
        <f>IF(E174="","",VLOOKUP($B174,'C-1 Site River Baseline'!$C$9:$R$257,5,FALSE))</f>
        <v/>
      </c>
      <c r="G174" s="520" t="str">
        <f>IF(F174="","",VLOOKUP($B174,'C-1 Site River Baseline'!$C$9:$R$257,6,FALSE))</f>
        <v/>
      </c>
      <c r="H174" s="520" t="str">
        <f>IF(G174="","",VLOOKUP($B174,'C-1 Site River Baseline'!$C$9:$R$257,7,FALSE))</f>
        <v/>
      </c>
      <c r="I174" s="520" t="str">
        <f>IF(H174="","",VLOOKUP($B174,'C-1 Site River Baseline'!$C$9:$R$257,8,FALSE))</f>
        <v/>
      </c>
      <c r="J174" s="520" t="str">
        <f>IF(I174="","",VLOOKUP($B174,'C-1 Site River Baseline'!$C$9:$R$257,9,FALSE))</f>
        <v/>
      </c>
      <c r="K174" s="520" t="str">
        <f>IF(J174="","",VLOOKUP($B174,'C-1 Site River Baseline'!$C$9:$R$257,10,FALSE))</f>
        <v/>
      </c>
      <c r="L174" s="520" t="str">
        <f>IF(B174="","",VLOOKUP($B174,'C-1 Site River Baseline'!$C$9:$R$257,15,FALSE))</f>
        <v/>
      </c>
      <c r="M174" s="524" t="str">
        <f>IF(L174="","",VLOOKUP($B174,'C-1 Site River Baseline'!$C$9:$R$257,16,FALSE))</f>
        <v/>
      </c>
      <c r="N174" s="418" t="str">
        <f t="shared" si="17"/>
        <v/>
      </c>
      <c r="O174" s="498" t="str">
        <f t="shared" si="18"/>
        <v/>
      </c>
      <c r="P174" s="499"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7" t="str">
        <f>IF(N174="","",VLOOKUP(B174,'C-1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07" t="str">
        <f>IF(V174="","",IF(VLOOKUP(V174,'G-7 Rivers Data'!$AG$4:$AI$9,2,FALSE)=0,"Spatial Data Missing ⚠",VLOOKUP(V174,'G-7 Rivers Data'!$AG$4:$AI$9,2,FALSE)))</f>
        <v/>
      </c>
      <c r="X174" s="499" t="str">
        <f>IF(V174="","",IF(VLOOKUP(V174,'G-7 Rivers Data'!$AG$4:$AI$9,3,FALSE)=0,"Spatial Data Missing ⚠",VLOOKUP(V174,'G-7 Rivers Data'!$AG$4:$AI$9,3,FALSE)))</f>
        <v/>
      </c>
      <c r="Y174" s="498" t="str">
        <f>IFERROR(IF(OR(LEFT(P174,5)="Error ▲",LEFT(O174,5)="Error ▲"),"Check Data ⚠",IF(F174&lt;S174,'G-7 Rivers Data'!$R$3,INDEX('G-7 Rivers Data'!$U$5:$Y$9,MATCH(G174,'G-7 Rivers Data'!$T$5:$T$9,0),MATCH(T174,'G-7 Rivers Data'!$U$4:$Y$4,0)))),"")</f>
        <v/>
      </c>
      <c r="Z174" s="195"/>
      <c r="AA174" s="195"/>
      <c r="AB174" s="507" t="str">
        <f t="shared" si="19"/>
        <v/>
      </c>
      <c r="AC174" s="521" t="str">
        <f t="shared" si="20"/>
        <v/>
      </c>
      <c r="AD174" s="564" t="str">
        <f>IFERROR(IF(AC174="Check Data ⚠","Check Data ⚠",VLOOKUP(AC174,'G-4 Temporal multipliers'!$A$4:$C$37,3,FALSE)),"")</f>
        <v/>
      </c>
      <c r="AE174" s="498" t="str">
        <f>IF(N174="","",VLOOKUP(N174,'G-7 Rivers Data'!$B$4:$G$8,5,FALSE))</f>
        <v/>
      </c>
      <c r="AF174" s="507" t="str">
        <f t="shared" si="21"/>
        <v/>
      </c>
      <c r="AG174" s="540" t="str">
        <f t="shared" si="22"/>
        <v/>
      </c>
      <c r="AH174" s="499" t="str">
        <f t="shared" si="16"/>
        <v/>
      </c>
      <c r="AI174" s="145"/>
      <c r="AJ174" s="499" t="str">
        <f>IF(AI174="","",IF(VLOOKUP(AI174,'G-7 Rivers Data'!$AA$4:$AB$7,2,FALSE)=0,"Spatial Data Missing ⚠",VLOOKUP(AI174,'G-7 Rivers Data'!$AA$4:$AB$7,2,FALSE)))</f>
        <v/>
      </c>
      <c r="AK174" s="155"/>
      <c r="AL174" s="499" t="str">
        <f>IF(AK174="","",IF(VLOOKUP(AK174,'G-7 Rivers Data'!$AD$4:$AE$8,2,FALSE)=0,"Spatial Data Missing ⚠",VLOOKUP(AK174,'G-7 Rivers Data'!$AD$4:$AE$8,2,FALSE)))</f>
        <v/>
      </c>
      <c r="AM174" s="545" t="str">
        <f t="shared" si="23"/>
        <v/>
      </c>
      <c r="AN174" s="149"/>
      <c r="AO174" s="150"/>
      <c r="AV174" s="31" t="str">
        <f>IFERROR(INDEX('G-7 Rivers Data'!$AZ$3:$AZ$7,MATCH(N174,'G-7 Rivers Data'!$AY$3:$AY$7,0)),"")</f>
        <v/>
      </c>
    </row>
    <row r="175" spans="2:48" ht="13.8" x14ac:dyDescent="0.25">
      <c r="B175" s="531" t="str">
        <f>'C-1 Site River Baseline'!AN173</f>
        <v/>
      </c>
      <c r="C175" s="520" t="str">
        <f>IF(B175="","",VLOOKUP($B175,'C-1 Site River Baseline'!$C$9:$R$257,2,FALSE))</f>
        <v/>
      </c>
      <c r="D175" s="520" t="str">
        <f>IF(C175="","",VLOOKUP($B175,'C-1 Site River Baseline'!$C$9:$R$257,3,FALSE))</f>
        <v/>
      </c>
      <c r="E175" s="520" t="str">
        <f>IF(D175="","",VLOOKUP($B175,'C-1 Site River Baseline'!$C$9:$R$257,4,FALSE))</f>
        <v/>
      </c>
      <c r="F175" s="520" t="str">
        <f>IF(E175="","",VLOOKUP($B175,'C-1 Site River Baseline'!$C$9:$R$257,5,FALSE))</f>
        <v/>
      </c>
      <c r="G175" s="520" t="str">
        <f>IF(F175="","",VLOOKUP($B175,'C-1 Site River Baseline'!$C$9:$R$257,6,FALSE))</f>
        <v/>
      </c>
      <c r="H175" s="520" t="str">
        <f>IF(G175="","",VLOOKUP($B175,'C-1 Site River Baseline'!$C$9:$R$257,7,FALSE))</f>
        <v/>
      </c>
      <c r="I175" s="520" t="str">
        <f>IF(H175="","",VLOOKUP($B175,'C-1 Site River Baseline'!$C$9:$R$257,8,FALSE))</f>
        <v/>
      </c>
      <c r="J175" s="520" t="str">
        <f>IF(I175="","",VLOOKUP($B175,'C-1 Site River Baseline'!$C$9:$R$257,9,FALSE))</f>
        <v/>
      </c>
      <c r="K175" s="520" t="str">
        <f>IF(J175="","",VLOOKUP($B175,'C-1 Site River Baseline'!$C$9:$R$257,10,FALSE))</f>
        <v/>
      </c>
      <c r="L175" s="520" t="str">
        <f>IF(B175="","",VLOOKUP($B175,'C-1 Site River Baseline'!$C$9:$R$257,15,FALSE))</f>
        <v/>
      </c>
      <c r="M175" s="524" t="str">
        <f>IF(L175="","",VLOOKUP($B175,'C-1 Site River Baseline'!$C$9:$R$257,16,FALSE))</f>
        <v/>
      </c>
      <c r="N175" s="418" t="str">
        <f t="shared" si="17"/>
        <v/>
      </c>
      <c r="O175" s="498" t="str">
        <f t="shared" si="18"/>
        <v/>
      </c>
      <c r="P175" s="499"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7" t="str">
        <f>IF(N175="","",VLOOKUP(B175,'C-1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07" t="str">
        <f>IF(V175="","",IF(VLOOKUP(V175,'G-7 Rivers Data'!$AG$4:$AI$9,2,FALSE)=0,"Spatial Data Missing ⚠",VLOOKUP(V175,'G-7 Rivers Data'!$AG$4:$AI$9,2,FALSE)))</f>
        <v/>
      </c>
      <c r="X175" s="499" t="str">
        <f>IF(V175="","",IF(VLOOKUP(V175,'G-7 Rivers Data'!$AG$4:$AI$9,3,FALSE)=0,"Spatial Data Missing ⚠",VLOOKUP(V175,'G-7 Rivers Data'!$AG$4:$AI$9,3,FALSE)))</f>
        <v/>
      </c>
      <c r="Y175" s="498" t="str">
        <f>IFERROR(IF(OR(LEFT(P175,5)="Error ▲",LEFT(O175,5)="Error ▲"),"Check Data ⚠",IF(F175&lt;S175,'G-7 Rivers Data'!$R$3,INDEX('G-7 Rivers Data'!$U$5:$Y$9,MATCH(G175,'G-7 Rivers Data'!$T$5:$T$9,0),MATCH(T175,'G-7 Rivers Data'!$U$4:$Y$4,0)))),"")</f>
        <v/>
      </c>
      <c r="Z175" s="195"/>
      <c r="AA175" s="195"/>
      <c r="AB175" s="507" t="str">
        <f t="shared" si="19"/>
        <v/>
      </c>
      <c r="AC175" s="521" t="str">
        <f t="shared" si="20"/>
        <v/>
      </c>
      <c r="AD175" s="564" t="str">
        <f>IFERROR(IF(AC175="Check Data ⚠","Check Data ⚠",VLOOKUP(AC175,'G-4 Temporal multipliers'!$A$4:$C$37,3,FALSE)),"")</f>
        <v/>
      </c>
      <c r="AE175" s="498" t="str">
        <f>IF(N175="","",VLOOKUP(N175,'G-7 Rivers Data'!$B$4:$G$8,5,FALSE))</f>
        <v/>
      </c>
      <c r="AF175" s="507" t="str">
        <f t="shared" si="21"/>
        <v/>
      </c>
      <c r="AG175" s="540" t="str">
        <f t="shared" si="22"/>
        <v/>
      </c>
      <c r="AH175" s="499" t="str">
        <f t="shared" si="16"/>
        <v/>
      </c>
      <c r="AI175" s="145"/>
      <c r="AJ175" s="499" t="str">
        <f>IF(AI175="","",IF(VLOOKUP(AI175,'G-7 Rivers Data'!$AA$4:$AB$7,2,FALSE)=0,"Spatial Data Missing ⚠",VLOOKUP(AI175,'G-7 Rivers Data'!$AA$4:$AB$7,2,FALSE)))</f>
        <v/>
      </c>
      <c r="AK175" s="155"/>
      <c r="AL175" s="499" t="str">
        <f>IF(AK175="","",IF(VLOOKUP(AK175,'G-7 Rivers Data'!$AD$4:$AE$8,2,FALSE)=0,"Spatial Data Missing ⚠",VLOOKUP(AK175,'G-7 Rivers Data'!$AD$4:$AE$8,2,FALSE)))</f>
        <v/>
      </c>
      <c r="AM175" s="545" t="str">
        <f t="shared" si="23"/>
        <v/>
      </c>
      <c r="AN175" s="149"/>
      <c r="AO175" s="150"/>
      <c r="AV175" s="31" t="str">
        <f>IFERROR(INDEX('G-7 Rivers Data'!$AZ$3:$AZ$7,MATCH(N175,'G-7 Rivers Data'!$AY$3:$AY$7,0)),"")</f>
        <v/>
      </c>
    </row>
    <row r="176" spans="2:48" ht="13.8" x14ac:dyDescent="0.25">
      <c r="B176" s="531" t="str">
        <f>'C-1 Site River Baseline'!AN174</f>
        <v/>
      </c>
      <c r="C176" s="520" t="str">
        <f>IF(B176="","",VLOOKUP($B176,'C-1 Site River Baseline'!$C$9:$R$257,2,FALSE))</f>
        <v/>
      </c>
      <c r="D176" s="520" t="str">
        <f>IF(C176="","",VLOOKUP($B176,'C-1 Site River Baseline'!$C$9:$R$257,3,FALSE))</f>
        <v/>
      </c>
      <c r="E176" s="520" t="str">
        <f>IF(D176="","",VLOOKUP($B176,'C-1 Site River Baseline'!$C$9:$R$257,4,FALSE))</f>
        <v/>
      </c>
      <c r="F176" s="520" t="str">
        <f>IF(E176="","",VLOOKUP($B176,'C-1 Site River Baseline'!$C$9:$R$257,5,FALSE))</f>
        <v/>
      </c>
      <c r="G176" s="520" t="str">
        <f>IF(F176="","",VLOOKUP($B176,'C-1 Site River Baseline'!$C$9:$R$257,6,FALSE))</f>
        <v/>
      </c>
      <c r="H176" s="520" t="str">
        <f>IF(G176="","",VLOOKUP($B176,'C-1 Site River Baseline'!$C$9:$R$257,7,FALSE))</f>
        <v/>
      </c>
      <c r="I176" s="520" t="str">
        <f>IF(H176="","",VLOOKUP($B176,'C-1 Site River Baseline'!$C$9:$R$257,8,FALSE))</f>
        <v/>
      </c>
      <c r="J176" s="520" t="str">
        <f>IF(I176="","",VLOOKUP($B176,'C-1 Site River Baseline'!$C$9:$R$257,9,FALSE))</f>
        <v/>
      </c>
      <c r="K176" s="520" t="str">
        <f>IF(J176="","",VLOOKUP($B176,'C-1 Site River Baseline'!$C$9:$R$257,10,FALSE))</f>
        <v/>
      </c>
      <c r="L176" s="520" t="str">
        <f>IF(B176="","",VLOOKUP($B176,'C-1 Site River Baseline'!$C$9:$R$257,15,FALSE))</f>
        <v/>
      </c>
      <c r="M176" s="524" t="str">
        <f>IF(L176="","",VLOOKUP($B176,'C-1 Site River Baseline'!$C$9:$R$257,16,FALSE))</f>
        <v/>
      </c>
      <c r="N176" s="418" t="str">
        <f t="shared" si="17"/>
        <v/>
      </c>
      <c r="O176" s="498" t="str">
        <f t="shared" si="18"/>
        <v/>
      </c>
      <c r="P176" s="499"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7" t="str">
        <f>IF(N176="","",VLOOKUP(B176,'C-1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07" t="str">
        <f>IF(V176="","",IF(VLOOKUP(V176,'G-7 Rivers Data'!$AG$4:$AI$9,2,FALSE)=0,"Spatial Data Missing ⚠",VLOOKUP(V176,'G-7 Rivers Data'!$AG$4:$AI$9,2,FALSE)))</f>
        <v/>
      </c>
      <c r="X176" s="499" t="str">
        <f>IF(V176="","",IF(VLOOKUP(V176,'G-7 Rivers Data'!$AG$4:$AI$9,3,FALSE)=0,"Spatial Data Missing ⚠",VLOOKUP(V176,'G-7 Rivers Data'!$AG$4:$AI$9,3,FALSE)))</f>
        <v/>
      </c>
      <c r="Y176" s="498" t="str">
        <f>IFERROR(IF(OR(LEFT(P176,5)="Error ▲",LEFT(O176,5)="Error ▲"),"Check Data ⚠",IF(F176&lt;S176,'G-7 Rivers Data'!$R$3,INDEX('G-7 Rivers Data'!$U$5:$Y$9,MATCH(G176,'G-7 Rivers Data'!$T$5:$T$9,0),MATCH(T176,'G-7 Rivers Data'!$U$4:$Y$4,0)))),"")</f>
        <v/>
      </c>
      <c r="Z176" s="195"/>
      <c r="AA176" s="195"/>
      <c r="AB176" s="507" t="str">
        <f t="shared" si="19"/>
        <v/>
      </c>
      <c r="AC176" s="521" t="str">
        <f t="shared" si="20"/>
        <v/>
      </c>
      <c r="AD176" s="564" t="str">
        <f>IFERROR(IF(AC176="Check Data ⚠","Check Data ⚠",VLOOKUP(AC176,'G-4 Temporal multipliers'!$A$4:$C$37,3,FALSE)),"")</f>
        <v/>
      </c>
      <c r="AE176" s="498" t="str">
        <f>IF(N176="","",VLOOKUP(N176,'G-7 Rivers Data'!$B$4:$G$8,5,FALSE))</f>
        <v/>
      </c>
      <c r="AF176" s="507" t="str">
        <f t="shared" si="21"/>
        <v/>
      </c>
      <c r="AG176" s="540" t="str">
        <f t="shared" si="22"/>
        <v/>
      </c>
      <c r="AH176" s="499" t="str">
        <f t="shared" si="16"/>
        <v/>
      </c>
      <c r="AI176" s="145"/>
      <c r="AJ176" s="499" t="str">
        <f>IF(AI176="","",IF(VLOOKUP(AI176,'G-7 Rivers Data'!$AA$4:$AB$7,2,FALSE)=0,"Spatial Data Missing ⚠",VLOOKUP(AI176,'G-7 Rivers Data'!$AA$4:$AB$7,2,FALSE)))</f>
        <v/>
      </c>
      <c r="AK176" s="155"/>
      <c r="AL176" s="499" t="str">
        <f>IF(AK176="","",IF(VLOOKUP(AK176,'G-7 Rivers Data'!$AD$4:$AE$8,2,FALSE)=0,"Spatial Data Missing ⚠",VLOOKUP(AK176,'G-7 Rivers Data'!$AD$4:$AE$8,2,FALSE)))</f>
        <v/>
      </c>
      <c r="AM176" s="545" t="str">
        <f t="shared" si="23"/>
        <v/>
      </c>
      <c r="AN176" s="149"/>
      <c r="AO176" s="150"/>
      <c r="AV176" s="31" t="str">
        <f>IFERROR(INDEX('G-7 Rivers Data'!$AZ$3:$AZ$7,MATCH(N176,'G-7 Rivers Data'!$AY$3:$AY$7,0)),"")</f>
        <v/>
      </c>
    </row>
    <row r="177" spans="2:48" ht="13.8" x14ac:dyDescent="0.25">
      <c r="B177" s="531" t="str">
        <f>'C-1 Site River Baseline'!AN175</f>
        <v/>
      </c>
      <c r="C177" s="520" t="str">
        <f>IF(B177="","",VLOOKUP($B177,'C-1 Site River Baseline'!$C$9:$R$257,2,FALSE))</f>
        <v/>
      </c>
      <c r="D177" s="520" t="str">
        <f>IF(C177="","",VLOOKUP($B177,'C-1 Site River Baseline'!$C$9:$R$257,3,FALSE))</f>
        <v/>
      </c>
      <c r="E177" s="520" t="str">
        <f>IF(D177="","",VLOOKUP($B177,'C-1 Site River Baseline'!$C$9:$R$257,4,FALSE))</f>
        <v/>
      </c>
      <c r="F177" s="520" t="str">
        <f>IF(E177="","",VLOOKUP($B177,'C-1 Site River Baseline'!$C$9:$R$257,5,FALSE))</f>
        <v/>
      </c>
      <c r="G177" s="520" t="str">
        <f>IF(F177="","",VLOOKUP($B177,'C-1 Site River Baseline'!$C$9:$R$257,6,FALSE))</f>
        <v/>
      </c>
      <c r="H177" s="520" t="str">
        <f>IF(G177="","",VLOOKUP($B177,'C-1 Site River Baseline'!$C$9:$R$257,7,FALSE))</f>
        <v/>
      </c>
      <c r="I177" s="520" t="str">
        <f>IF(H177="","",VLOOKUP($B177,'C-1 Site River Baseline'!$C$9:$R$257,8,FALSE))</f>
        <v/>
      </c>
      <c r="J177" s="520" t="str">
        <f>IF(I177="","",VLOOKUP($B177,'C-1 Site River Baseline'!$C$9:$R$257,9,FALSE))</f>
        <v/>
      </c>
      <c r="K177" s="520" t="str">
        <f>IF(J177="","",VLOOKUP($B177,'C-1 Site River Baseline'!$C$9:$R$257,10,FALSE))</f>
        <v/>
      </c>
      <c r="L177" s="520" t="str">
        <f>IF(B177="","",VLOOKUP($B177,'C-1 Site River Baseline'!$C$9:$R$257,15,FALSE))</f>
        <v/>
      </c>
      <c r="M177" s="524" t="str">
        <f>IF(L177="","",VLOOKUP($B177,'C-1 Site River Baseline'!$C$9:$R$257,16,FALSE))</f>
        <v/>
      </c>
      <c r="N177" s="418" t="str">
        <f t="shared" si="17"/>
        <v/>
      </c>
      <c r="O177" s="498" t="str">
        <f t="shared" si="18"/>
        <v/>
      </c>
      <c r="P177" s="499"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7" t="str">
        <f>IF(N177="","",VLOOKUP(B177,'C-1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07" t="str">
        <f>IF(V177="","",IF(VLOOKUP(V177,'G-7 Rivers Data'!$AG$4:$AI$9,2,FALSE)=0,"Spatial Data Missing ⚠",VLOOKUP(V177,'G-7 Rivers Data'!$AG$4:$AI$9,2,FALSE)))</f>
        <v/>
      </c>
      <c r="X177" s="499" t="str">
        <f>IF(V177="","",IF(VLOOKUP(V177,'G-7 Rivers Data'!$AG$4:$AI$9,3,FALSE)=0,"Spatial Data Missing ⚠",VLOOKUP(V177,'G-7 Rivers Data'!$AG$4:$AI$9,3,FALSE)))</f>
        <v/>
      </c>
      <c r="Y177" s="498" t="str">
        <f>IFERROR(IF(OR(LEFT(P177,5)="Error ▲",LEFT(O177,5)="Error ▲"),"Check Data ⚠",IF(F177&lt;S177,'G-7 Rivers Data'!$R$3,INDEX('G-7 Rivers Data'!$U$5:$Y$9,MATCH(G177,'G-7 Rivers Data'!$T$5:$T$9,0),MATCH(T177,'G-7 Rivers Data'!$U$4:$Y$4,0)))),"")</f>
        <v/>
      </c>
      <c r="Z177" s="195"/>
      <c r="AA177" s="195"/>
      <c r="AB177" s="507" t="str">
        <f t="shared" si="19"/>
        <v/>
      </c>
      <c r="AC177" s="521" t="str">
        <f t="shared" si="20"/>
        <v/>
      </c>
      <c r="AD177" s="564" t="str">
        <f>IFERROR(IF(AC177="Check Data ⚠","Check Data ⚠",VLOOKUP(AC177,'G-4 Temporal multipliers'!$A$4:$C$37,3,FALSE)),"")</f>
        <v/>
      </c>
      <c r="AE177" s="498" t="str">
        <f>IF(N177="","",VLOOKUP(N177,'G-7 Rivers Data'!$B$4:$G$8,5,FALSE))</f>
        <v/>
      </c>
      <c r="AF177" s="507" t="str">
        <f t="shared" si="21"/>
        <v/>
      </c>
      <c r="AG177" s="540" t="str">
        <f t="shared" si="22"/>
        <v/>
      </c>
      <c r="AH177" s="499" t="str">
        <f t="shared" si="16"/>
        <v/>
      </c>
      <c r="AI177" s="145"/>
      <c r="AJ177" s="499" t="str">
        <f>IF(AI177="","",IF(VLOOKUP(AI177,'G-7 Rivers Data'!$AA$4:$AB$7,2,FALSE)=0,"Spatial Data Missing ⚠",VLOOKUP(AI177,'G-7 Rivers Data'!$AA$4:$AB$7,2,FALSE)))</f>
        <v/>
      </c>
      <c r="AK177" s="155"/>
      <c r="AL177" s="499" t="str">
        <f>IF(AK177="","",IF(VLOOKUP(AK177,'G-7 Rivers Data'!$AD$4:$AE$8,2,FALSE)=0,"Spatial Data Missing ⚠",VLOOKUP(AK177,'G-7 Rivers Data'!$AD$4:$AE$8,2,FALSE)))</f>
        <v/>
      </c>
      <c r="AM177" s="545" t="str">
        <f t="shared" si="23"/>
        <v/>
      </c>
      <c r="AN177" s="149"/>
      <c r="AO177" s="150"/>
      <c r="AV177" s="31" t="str">
        <f>IFERROR(INDEX('G-7 Rivers Data'!$AZ$3:$AZ$7,MATCH(N177,'G-7 Rivers Data'!$AY$3:$AY$7,0)),"")</f>
        <v/>
      </c>
    </row>
    <row r="178" spans="2:48" ht="13.8" x14ac:dyDescent="0.25">
      <c r="B178" s="531" t="str">
        <f>'C-1 Site River Baseline'!AN176</f>
        <v/>
      </c>
      <c r="C178" s="520" t="str">
        <f>IF(B178="","",VLOOKUP($B178,'C-1 Site River Baseline'!$C$9:$R$257,2,FALSE))</f>
        <v/>
      </c>
      <c r="D178" s="520" t="str">
        <f>IF(C178="","",VLOOKUP($B178,'C-1 Site River Baseline'!$C$9:$R$257,3,FALSE))</f>
        <v/>
      </c>
      <c r="E178" s="520" t="str">
        <f>IF(D178="","",VLOOKUP($B178,'C-1 Site River Baseline'!$C$9:$R$257,4,FALSE))</f>
        <v/>
      </c>
      <c r="F178" s="520" t="str">
        <f>IF(E178="","",VLOOKUP($B178,'C-1 Site River Baseline'!$C$9:$R$257,5,FALSE))</f>
        <v/>
      </c>
      <c r="G178" s="520" t="str">
        <f>IF(F178="","",VLOOKUP($B178,'C-1 Site River Baseline'!$C$9:$R$257,6,FALSE))</f>
        <v/>
      </c>
      <c r="H178" s="520" t="str">
        <f>IF(G178="","",VLOOKUP($B178,'C-1 Site River Baseline'!$C$9:$R$257,7,FALSE))</f>
        <v/>
      </c>
      <c r="I178" s="520" t="str">
        <f>IF(H178="","",VLOOKUP($B178,'C-1 Site River Baseline'!$C$9:$R$257,8,FALSE))</f>
        <v/>
      </c>
      <c r="J178" s="520" t="str">
        <f>IF(I178="","",VLOOKUP($B178,'C-1 Site River Baseline'!$C$9:$R$257,9,FALSE))</f>
        <v/>
      </c>
      <c r="K178" s="520" t="str">
        <f>IF(J178="","",VLOOKUP($B178,'C-1 Site River Baseline'!$C$9:$R$257,10,FALSE))</f>
        <v/>
      </c>
      <c r="L178" s="520" t="str">
        <f>IF(B178="","",VLOOKUP($B178,'C-1 Site River Baseline'!$C$9:$R$257,15,FALSE))</f>
        <v/>
      </c>
      <c r="M178" s="524" t="str">
        <f>IF(L178="","",VLOOKUP($B178,'C-1 Site River Baseline'!$C$9:$R$257,16,FALSE))</f>
        <v/>
      </c>
      <c r="N178" s="418" t="str">
        <f t="shared" si="17"/>
        <v/>
      </c>
      <c r="O178" s="498" t="str">
        <f t="shared" si="18"/>
        <v/>
      </c>
      <c r="P178" s="499"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7" t="str">
        <f>IF(N178="","",VLOOKUP(B178,'C-1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07" t="str">
        <f>IF(V178="","",IF(VLOOKUP(V178,'G-7 Rivers Data'!$AG$4:$AI$9,2,FALSE)=0,"Spatial Data Missing ⚠",VLOOKUP(V178,'G-7 Rivers Data'!$AG$4:$AI$9,2,FALSE)))</f>
        <v/>
      </c>
      <c r="X178" s="499" t="str">
        <f>IF(V178="","",IF(VLOOKUP(V178,'G-7 Rivers Data'!$AG$4:$AI$9,3,FALSE)=0,"Spatial Data Missing ⚠",VLOOKUP(V178,'G-7 Rivers Data'!$AG$4:$AI$9,3,FALSE)))</f>
        <v/>
      </c>
      <c r="Y178" s="498" t="str">
        <f>IFERROR(IF(OR(LEFT(P178,5)="Error ▲",LEFT(O178,5)="Error ▲"),"Check Data ⚠",IF(F178&lt;S178,'G-7 Rivers Data'!$R$3,INDEX('G-7 Rivers Data'!$U$5:$Y$9,MATCH(G178,'G-7 Rivers Data'!$T$5:$T$9,0),MATCH(T178,'G-7 Rivers Data'!$U$4:$Y$4,0)))),"")</f>
        <v/>
      </c>
      <c r="Z178" s="195"/>
      <c r="AA178" s="195"/>
      <c r="AB178" s="507" t="str">
        <f t="shared" si="19"/>
        <v/>
      </c>
      <c r="AC178" s="521" t="str">
        <f t="shared" si="20"/>
        <v/>
      </c>
      <c r="AD178" s="564" t="str">
        <f>IFERROR(IF(AC178="Check Data ⚠","Check Data ⚠",VLOOKUP(AC178,'G-4 Temporal multipliers'!$A$4:$C$37,3,FALSE)),"")</f>
        <v/>
      </c>
      <c r="AE178" s="498" t="str">
        <f>IF(N178="","",VLOOKUP(N178,'G-7 Rivers Data'!$B$4:$G$8,5,FALSE))</f>
        <v/>
      </c>
      <c r="AF178" s="507" t="str">
        <f t="shared" si="21"/>
        <v/>
      </c>
      <c r="AG178" s="540" t="str">
        <f t="shared" si="22"/>
        <v/>
      </c>
      <c r="AH178" s="499" t="str">
        <f t="shared" si="16"/>
        <v/>
      </c>
      <c r="AI178" s="145"/>
      <c r="AJ178" s="499" t="str">
        <f>IF(AI178="","",IF(VLOOKUP(AI178,'G-7 Rivers Data'!$AA$4:$AB$7,2,FALSE)=0,"Spatial Data Missing ⚠",VLOOKUP(AI178,'G-7 Rivers Data'!$AA$4:$AB$7,2,FALSE)))</f>
        <v/>
      </c>
      <c r="AK178" s="155"/>
      <c r="AL178" s="499" t="str">
        <f>IF(AK178="","",IF(VLOOKUP(AK178,'G-7 Rivers Data'!$AD$4:$AE$8,2,FALSE)=0,"Spatial Data Missing ⚠",VLOOKUP(AK178,'G-7 Rivers Data'!$AD$4:$AE$8,2,FALSE)))</f>
        <v/>
      </c>
      <c r="AM178" s="545" t="str">
        <f t="shared" si="23"/>
        <v/>
      </c>
      <c r="AN178" s="149"/>
      <c r="AO178" s="150"/>
      <c r="AV178" s="31" t="str">
        <f>IFERROR(INDEX('G-7 Rivers Data'!$AZ$3:$AZ$7,MATCH(N178,'G-7 Rivers Data'!$AY$3:$AY$7,0)),"")</f>
        <v/>
      </c>
    </row>
    <row r="179" spans="2:48" ht="13.8" x14ac:dyDescent="0.25">
      <c r="B179" s="531" t="str">
        <f>'C-1 Site River Baseline'!AN177</f>
        <v/>
      </c>
      <c r="C179" s="520" t="str">
        <f>IF(B179="","",VLOOKUP($B179,'C-1 Site River Baseline'!$C$9:$R$257,2,FALSE))</f>
        <v/>
      </c>
      <c r="D179" s="520" t="str">
        <f>IF(C179="","",VLOOKUP($B179,'C-1 Site River Baseline'!$C$9:$R$257,3,FALSE))</f>
        <v/>
      </c>
      <c r="E179" s="520" t="str">
        <f>IF(D179="","",VLOOKUP($B179,'C-1 Site River Baseline'!$C$9:$R$257,4,FALSE))</f>
        <v/>
      </c>
      <c r="F179" s="520" t="str">
        <f>IF(E179="","",VLOOKUP($B179,'C-1 Site River Baseline'!$C$9:$R$257,5,FALSE))</f>
        <v/>
      </c>
      <c r="G179" s="520" t="str">
        <f>IF(F179="","",VLOOKUP($B179,'C-1 Site River Baseline'!$C$9:$R$257,6,FALSE))</f>
        <v/>
      </c>
      <c r="H179" s="520" t="str">
        <f>IF(G179="","",VLOOKUP($B179,'C-1 Site River Baseline'!$C$9:$R$257,7,FALSE))</f>
        <v/>
      </c>
      <c r="I179" s="520" t="str">
        <f>IF(H179="","",VLOOKUP($B179,'C-1 Site River Baseline'!$C$9:$R$257,8,FALSE))</f>
        <v/>
      </c>
      <c r="J179" s="520" t="str">
        <f>IF(I179="","",VLOOKUP($B179,'C-1 Site River Baseline'!$C$9:$R$257,9,FALSE))</f>
        <v/>
      </c>
      <c r="K179" s="520" t="str">
        <f>IF(J179="","",VLOOKUP($B179,'C-1 Site River Baseline'!$C$9:$R$257,10,FALSE))</f>
        <v/>
      </c>
      <c r="L179" s="520" t="str">
        <f>IF(B179="","",VLOOKUP($B179,'C-1 Site River Baseline'!$C$9:$R$257,15,FALSE))</f>
        <v/>
      </c>
      <c r="M179" s="524" t="str">
        <f>IF(L179="","",VLOOKUP($B179,'C-1 Site River Baseline'!$C$9:$R$257,16,FALSE))</f>
        <v/>
      </c>
      <c r="N179" s="418" t="str">
        <f t="shared" si="17"/>
        <v/>
      </c>
      <c r="O179" s="498" t="str">
        <f t="shared" si="18"/>
        <v/>
      </c>
      <c r="P179" s="499"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7" t="str">
        <f>IF(N179="","",VLOOKUP(B179,'C-1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07" t="str">
        <f>IF(V179="","",IF(VLOOKUP(V179,'G-7 Rivers Data'!$AG$4:$AI$9,2,FALSE)=0,"Spatial Data Missing ⚠",VLOOKUP(V179,'G-7 Rivers Data'!$AG$4:$AI$9,2,FALSE)))</f>
        <v/>
      </c>
      <c r="X179" s="499" t="str">
        <f>IF(V179="","",IF(VLOOKUP(V179,'G-7 Rivers Data'!$AG$4:$AI$9,3,FALSE)=0,"Spatial Data Missing ⚠",VLOOKUP(V179,'G-7 Rivers Data'!$AG$4:$AI$9,3,FALSE)))</f>
        <v/>
      </c>
      <c r="Y179" s="498" t="str">
        <f>IFERROR(IF(OR(LEFT(P179,5)="Error ▲",LEFT(O179,5)="Error ▲"),"Check Data ⚠",IF(F179&lt;S179,'G-7 Rivers Data'!$R$3,INDEX('G-7 Rivers Data'!$U$5:$Y$9,MATCH(G179,'G-7 Rivers Data'!$T$5:$T$9,0),MATCH(T179,'G-7 Rivers Data'!$U$4:$Y$4,0)))),"")</f>
        <v/>
      </c>
      <c r="Z179" s="195"/>
      <c r="AA179" s="195"/>
      <c r="AB179" s="507" t="str">
        <f t="shared" si="19"/>
        <v/>
      </c>
      <c r="AC179" s="521" t="str">
        <f t="shared" si="20"/>
        <v/>
      </c>
      <c r="AD179" s="564" t="str">
        <f>IFERROR(IF(AC179="Check Data ⚠","Check Data ⚠",VLOOKUP(AC179,'G-4 Temporal multipliers'!$A$4:$C$37,3,FALSE)),"")</f>
        <v/>
      </c>
      <c r="AE179" s="498" t="str">
        <f>IF(N179="","",VLOOKUP(N179,'G-7 Rivers Data'!$B$4:$G$8,5,FALSE))</f>
        <v/>
      </c>
      <c r="AF179" s="507" t="str">
        <f t="shared" si="21"/>
        <v/>
      </c>
      <c r="AG179" s="540" t="str">
        <f t="shared" si="22"/>
        <v/>
      </c>
      <c r="AH179" s="499" t="str">
        <f t="shared" si="16"/>
        <v/>
      </c>
      <c r="AI179" s="145"/>
      <c r="AJ179" s="499" t="str">
        <f>IF(AI179="","",IF(VLOOKUP(AI179,'G-7 Rivers Data'!$AA$4:$AB$7,2,FALSE)=0,"Spatial Data Missing ⚠",VLOOKUP(AI179,'G-7 Rivers Data'!$AA$4:$AB$7,2,FALSE)))</f>
        <v/>
      </c>
      <c r="AK179" s="155"/>
      <c r="AL179" s="499" t="str">
        <f>IF(AK179="","",IF(VLOOKUP(AK179,'G-7 Rivers Data'!$AD$4:$AE$8,2,FALSE)=0,"Spatial Data Missing ⚠",VLOOKUP(AK179,'G-7 Rivers Data'!$AD$4:$AE$8,2,FALSE)))</f>
        <v/>
      </c>
      <c r="AM179" s="545" t="str">
        <f t="shared" si="23"/>
        <v/>
      </c>
      <c r="AN179" s="149"/>
      <c r="AO179" s="150"/>
      <c r="AV179" s="31" t="str">
        <f>IFERROR(INDEX('G-7 Rivers Data'!$AZ$3:$AZ$7,MATCH(N179,'G-7 Rivers Data'!$AY$3:$AY$7,0)),"")</f>
        <v/>
      </c>
    </row>
    <row r="180" spans="2:48" ht="13.8" x14ac:dyDescent="0.25">
      <c r="B180" s="531" t="str">
        <f>'C-1 Site River Baseline'!AN178</f>
        <v/>
      </c>
      <c r="C180" s="520" t="str">
        <f>IF(B180="","",VLOOKUP($B180,'C-1 Site River Baseline'!$C$9:$R$257,2,FALSE))</f>
        <v/>
      </c>
      <c r="D180" s="520" t="str">
        <f>IF(C180="","",VLOOKUP($B180,'C-1 Site River Baseline'!$C$9:$R$257,3,FALSE))</f>
        <v/>
      </c>
      <c r="E180" s="520" t="str">
        <f>IF(D180="","",VLOOKUP($B180,'C-1 Site River Baseline'!$C$9:$R$257,4,FALSE))</f>
        <v/>
      </c>
      <c r="F180" s="520" t="str">
        <f>IF(E180="","",VLOOKUP($B180,'C-1 Site River Baseline'!$C$9:$R$257,5,FALSE))</f>
        <v/>
      </c>
      <c r="G180" s="520" t="str">
        <f>IF(F180="","",VLOOKUP($B180,'C-1 Site River Baseline'!$C$9:$R$257,6,FALSE))</f>
        <v/>
      </c>
      <c r="H180" s="520" t="str">
        <f>IF(G180="","",VLOOKUP($B180,'C-1 Site River Baseline'!$C$9:$R$257,7,FALSE))</f>
        <v/>
      </c>
      <c r="I180" s="520" t="str">
        <f>IF(H180="","",VLOOKUP($B180,'C-1 Site River Baseline'!$C$9:$R$257,8,FALSE))</f>
        <v/>
      </c>
      <c r="J180" s="520" t="str">
        <f>IF(I180="","",VLOOKUP($B180,'C-1 Site River Baseline'!$C$9:$R$257,9,FALSE))</f>
        <v/>
      </c>
      <c r="K180" s="520" t="str">
        <f>IF(J180="","",VLOOKUP($B180,'C-1 Site River Baseline'!$C$9:$R$257,10,FALSE))</f>
        <v/>
      </c>
      <c r="L180" s="520" t="str">
        <f>IF(B180="","",VLOOKUP($B180,'C-1 Site River Baseline'!$C$9:$R$257,15,FALSE))</f>
        <v/>
      </c>
      <c r="M180" s="524" t="str">
        <f>IF(L180="","",VLOOKUP($B180,'C-1 Site River Baseline'!$C$9:$R$257,16,FALSE))</f>
        <v/>
      </c>
      <c r="N180" s="418" t="str">
        <f t="shared" si="17"/>
        <v/>
      </c>
      <c r="O180" s="498" t="str">
        <f t="shared" si="18"/>
        <v/>
      </c>
      <c r="P180" s="499"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7" t="str">
        <f>IF(N180="","",VLOOKUP(B180,'C-1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07" t="str">
        <f>IF(V180="","",IF(VLOOKUP(V180,'G-7 Rivers Data'!$AG$4:$AI$9,2,FALSE)=0,"Spatial Data Missing ⚠",VLOOKUP(V180,'G-7 Rivers Data'!$AG$4:$AI$9,2,FALSE)))</f>
        <v/>
      </c>
      <c r="X180" s="499" t="str">
        <f>IF(V180="","",IF(VLOOKUP(V180,'G-7 Rivers Data'!$AG$4:$AI$9,3,FALSE)=0,"Spatial Data Missing ⚠",VLOOKUP(V180,'G-7 Rivers Data'!$AG$4:$AI$9,3,FALSE)))</f>
        <v/>
      </c>
      <c r="Y180" s="498" t="str">
        <f>IFERROR(IF(OR(LEFT(P180,5)="Error ▲",LEFT(O180,5)="Error ▲"),"Check Data ⚠",IF(F180&lt;S180,'G-7 Rivers Data'!$R$3,INDEX('G-7 Rivers Data'!$U$5:$Y$9,MATCH(G180,'G-7 Rivers Data'!$T$5:$T$9,0),MATCH(T180,'G-7 Rivers Data'!$U$4:$Y$4,0)))),"")</f>
        <v/>
      </c>
      <c r="Z180" s="195"/>
      <c r="AA180" s="195"/>
      <c r="AB180" s="507" t="str">
        <f t="shared" si="19"/>
        <v/>
      </c>
      <c r="AC180" s="521" t="str">
        <f t="shared" si="20"/>
        <v/>
      </c>
      <c r="AD180" s="564" t="str">
        <f>IFERROR(IF(AC180="Check Data ⚠","Check Data ⚠",VLOOKUP(AC180,'G-4 Temporal multipliers'!$A$4:$C$37,3,FALSE)),"")</f>
        <v/>
      </c>
      <c r="AE180" s="498" t="str">
        <f>IF(N180="","",VLOOKUP(N180,'G-7 Rivers Data'!$B$4:$G$8,5,FALSE))</f>
        <v/>
      </c>
      <c r="AF180" s="507" t="str">
        <f t="shared" si="21"/>
        <v/>
      </c>
      <c r="AG180" s="540" t="str">
        <f t="shared" si="22"/>
        <v/>
      </c>
      <c r="AH180" s="499" t="str">
        <f t="shared" si="16"/>
        <v/>
      </c>
      <c r="AI180" s="145"/>
      <c r="AJ180" s="499" t="str">
        <f>IF(AI180="","",IF(VLOOKUP(AI180,'G-7 Rivers Data'!$AA$4:$AB$7,2,FALSE)=0,"Spatial Data Missing ⚠",VLOOKUP(AI180,'G-7 Rivers Data'!$AA$4:$AB$7,2,FALSE)))</f>
        <v/>
      </c>
      <c r="AK180" s="155"/>
      <c r="AL180" s="499" t="str">
        <f>IF(AK180="","",IF(VLOOKUP(AK180,'G-7 Rivers Data'!$AD$4:$AE$8,2,FALSE)=0,"Spatial Data Missing ⚠",VLOOKUP(AK180,'G-7 Rivers Data'!$AD$4:$AE$8,2,FALSE)))</f>
        <v/>
      </c>
      <c r="AM180" s="545" t="str">
        <f t="shared" si="23"/>
        <v/>
      </c>
      <c r="AN180" s="149"/>
      <c r="AO180" s="150"/>
      <c r="AV180" s="31" t="str">
        <f>IFERROR(INDEX('G-7 Rivers Data'!$AZ$3:$AZ$7,MATCH(N180,'G-7 Rivers Data'!$AY$3:$AY$7,0)),"")</f>
        <v/>
      </c>
    </row>
    <row r="181" spans="2:48" ht="13.8" x14ac:dyDescent="0.25">
      <c r="B181" s="531" t="str">
        <f>'C-1 Site River Baseline'!AN179</f>
        <v/>
      </c>
      <c r="C181" s="520" t="str">
        <f>IF(B181="","",VLOOKUP($B181,'C-1 Site River Baseline'!$C$9:$R$257,2,FALSE))</f>
        <v/>
      </c>
      <c r="D181" s="520" t="str">
        <f>IF(C181="","",VLOOKUP($B181,'C-1 Site River Baseline'!$C$9:$R$257,3,FALSE))</f>
        <v/>
      </c>
      <c r="E181" s="520" t="str">
        <f>IF(D181="","",VLOOKUP($B181,'C-1 Site River Baseline'!$C$9:$R$257,4,FALSE))</f>
        <v/>
      </c>
      <c r="F181" s="520" t="str">
        <f>IF(E181="","",VLOOKUP($B181,'C-1 Site River Baseline'!$C$9:$R$257,5,FALSE))</f>
        <v/>
      </c>
      <c r="G181" s="520" t="str">
        <f>IF(F181="","",VLOOKUP($B181,'C-1 Site River Baseline'!$C$9:$R$257,6,FALSE))</f>
        <v/>
      </c>
      <c r="H181" s="520" t="str">
        <f>IF(G181="","",VLOOKUP($B181,'C-1 Site River Baseline'!$C$9:$R$257,7,FALSE))</f>
        <v/>
      </c>
      <c r="I181" s="520" t="str">
        <f>IF(H181="","",VLOOKUP($B181,'C-1 Site River Baseline'!$C$9:$R$257,8,FALSE))</f>
        <v/>
      </c>
      <c r="J181" s="520" t="str">
        <f>IF(I181="","",VLOOKUP($B181,'C-1 Site River Baseline'!$C$9:$R$257,9,FALSE))</f>
        <v/>
      </c>
      <c r="K181" s="520" t="str">
        <f>IF(J181="","",VLOOKUP($B181,'C-1 Site River Baseline'!$C$9:$R$257,10,FALSE))</f>
        <v/>
      </c>
      <c r="L181" s="520" t="str">
        <f>IF(B181="","",VLOOKUP($B181,'C-1 Site River Baseline'!$C$9:$R$257,15,FALSE))</f>
        <v/>
      </c>
      <c r="M181" s="524" t="str">
        <f>IF(L181="","",VLOOKUP($B181,'C-1 Site River Baseline'!$C$9:$R$257,16,FALSE))</f>
        <v/>
      </c>
      <c r="N181" s="418" t="str">
        <f t="shared" si="17"/>
        <v/>
      </c>
      <c r="O181" s="498" t="str">
        <f t="shared" si="18"/>
        <v/>
      </c>
      <c r="P181" s="499"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7" t="str">
        <f>IF(N181="","",VLOOKUP(B181,'C-1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07" t="str">
        <f>IF(V181="","",IF(VLOOKUP(V181,'G-7 Rivers Data'!$AG$4:$AI$9,2,FALSE)=0,"Spatial Data Missing ⚠",VLOOKUP(V181,'G-7 Rivers Data'!$AG$4:$AI$9,2,FALSE)))</f>
        <v/>
      </c>
      <c r="X181" s="499" t="str">
        <f>IF(V181="","",IF(VLOOKUP(V181,'G-7 Rivers Data'!$AG$4:$AI$9,3,FALSE)=0,"Spatial Data Missing ⚠",VLOOKUP(V181,'G-7 Rivers Data'!$AG$4:$AI$9,3,FALSE)))</f>
        <v/>
      </c>
      <c r="Y181" s="498" t="str">
        <f>IFERROR(IF(OR(LEFT(P181,5)="Error ▲",LEFT(O181,5)="Error ▲"),"Check Data ⚠",IF(F181&lt;S181,'G-7 Rivers Data'!$R$3,INDEX('G-7 Rivers Data'!$U$5:$Y$9,MATCH(G181,'G-7 Rivers Data'!$T$5:$T$9,0),MATCH(T181,'G-7 Rivers Data'!$U$4:$Y$4,0)))),"")</f>
        <v/>
      </c>
      <c r="Z181" s="195"/>
      <c r="AA181" s="195"/>
      <c r="AB181" s="507" t="str">
        <f t="shared" si="19"/>
        <v/>
      </c>
      <c r="AC181" s="521" t="str">
        <f t="shared" si="20"/>
        <v/>
      </c>
      <c r="AD181" s="564" t="str">
        <f>IFERROR(IF(AC181="Check Data ⚠","Check Data ⚠",VLOOKUP(AC181,'G-4 Temporal multipliers'!$A$4:$C$37,3,FALSE)),"")</f>
        <v/>
      </c>
      <c r="AE181" s="498" t="str">
        <f>IF(N181="","",VLOOKUP(N181,'G-7 Rivers Data'!$B$4:$G$8,5,FALSE))</f>
        <v/>
      </c>
      <c r="AF181" s="507" t="str">
        <f t="shared" si="21"/>
        <v/>
      </c>
      <c r="AG181" s="540" t="str">
        <f t="shared" si="22"/>
        <v/>
      </c>
      <c r="AH181" s="499" t="str">
        <f t="shared" si="16"/>
        <v/>
      </c>
      <c r="AI181" s="145"/>
      <c r="AJ181" s="499" t="str">
        <f>IF(AI181="","",IF(VLOOKUP(AI181,'G-7 Rivers Data'!$AA$4:$AB$7,2,FALSE)=0,"Spatial Data Missing ⚠",VLOOKUP(AI181,'G-7 Rivers Data'!$AA$4:$AB$7,2,FALSE)))</f>
        <v/>
      </c>
      <c r="AK181" s="155"/>
      <c r="AL181" s="499" t="str">
        <f>IF(AK181="","",IF(VLOOKUP(AK181,'G-7 Rivers Data'!$AD$4:$AE$8,2,FALSE)=0,"Spatial Data Missing ⚠",VLOOKUP(AK181,'G-7 Rivers Data'!$AD$4:$AE$8,2,FALSE)))</f>
        <v/>
      </c>
      <c r="AM181" s="545" t="str">
        <f t="shared" si="23"/>
        <v/>
      </c>
      <c r="AN181" s="149"/>
      <c r="AO181" s="150"/>
      <c r="AV181" s="31" t="str">
        <f>IFERROR(INDEX('G-7 Rivers Data'!$AZ$3:$AZ$7,MATCH(N181,'G-7 Rivers Data'!$AY$3:$AY$7,0)),"")</f>
        <v/>
      </c>
    </row>
    <row r="182" spans="2:48" ht="13.8" x14ac:dyDescent="0.25">
      <c r="B182" s="531" t="str">
        <f>'C-1 Site River Baseline'!AN180</f>
        <v/>
      </c>
      <c r="C182" s="520" t="str">
        <f>IF(B182="","",VLOOKUP($B182,'C-1 Site River Baseline'!$C$9:$R$257,2,FALSE))</f>
        <v/>
      </c>
      <c r="D182" s="520" t="str">
        <f>IF(C182="","",VLOOKUP($B182,'C-1 Site River Baseline'!$C$9:$R$257,3,FALSE))</f>
        <v/>
      </c>
      <c r="E182" s="520" t="str">
        <f>IF(D182="","",VLOOKUP($B182,'C-1 Site River Baseline'!$C$9:$R$257,4,FALSE))</f>
        <v/>
      </c>
      <c r="F182" s="520" t="str">
        <f>IF(E182="","",VLOOKUP($B182,'C-1 Site River Baseline'!$C$9:$R$257,5,FALSE))</f>
        <v/>
      </c>
      <c r="G182" s="520" t="str">
        <f>IF(F182="","",VLOOKUP($B182,'C-1 Site River Baseline'!$C$9:$R$257,6,FALSE))</f>
        <v/>
      </c>
      <c r="H182" s="520" t="str">
        <f>IF(G182="","",VLOOKUP($B182,'C-1 Site River Baseline'!$C$9:$R$257,7,FALSE))</f>
        <v/>
      </c>
      <c r="I182" s="520" t="str">
        <f>IF(H182="","",VLOOKUP($B182,'C-1 Site River Baseline'!$C$9:$R$257,8,FALSE))</f>
        <v/>
      </c>
      <c r="J182" s="520" t="str">
        <f>IF(I182="","",VLOOKUP($B182,'C-1 Site River Baseline'!$C$9:$R$257,9,FALSE))</f>
        <v/>
      </c>
      <c r="K182" s="520" t="str">
        <f>IF(J182="","",VLOOKUP($B182,'C-1 Site River Baseline'!$C$9:$R$257,10,FALSE))</f>
        <v/>
      </c>
      <c r="L182" s="520" t="str">
        <f>IF(B182="","",VLOOKUP($B182,'C-1 Site River Baseline'!$C$9:$R$257,15,FALSE))</f>
        <v/>
      </c>
      <c r="M182" s="524" t="str">
        <f>IF(L182="","",VLOOKUP($B182,'C-1 Site River Baseline'!$C$9:$R$257,16,FALSE))</f>
        <v/>
      </c>
      <c r="N182" s="418" t="str">
        <f t="shared" si="17"/>
        <v/>
      </c>
      <c r="O182" s="498" t="str">
        <f t="shared" si="18"/>
        <v/>
      </c>
      <c r="P182" s="499"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7" t="str">
        <f>IF(N182="","",VLOOKUP(B182,'C-1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07" t="str">
        <f>IF(V182="","",IF(VLOOKUP(V182,'G-7 Rivers Data'!$AG$4:$AI$9,2,FALSE)=0,"Spatial Data Missing ⚠",VLOOKUP(V182,'G-7 Rivers Data'!$AG$4:$AI$9,2,FALSE)))</f>
        <v/>
      </c>
      <c r="X182" s="499" t="str">
        <f>IF(V182="","",IF(VLOOKUP(V182,'G-7 Rivers Data'!$AG$4:$AI$9,3,FALSE)=0,"Spatial Data Missing ⚠",VLOOKUP(V182,'G-7 Rivers Data'!$AG$4:$AI$9,3,FALSE)))</f>
        <v/>
      </c>
      <c r="Y182" s="498" t="str">
        <f>IFERROR(IF(OR(LEFT(P182,5)="Error ▲",LEFT(O182,5)="Error ▲"),"Check Data ⚠",IF(F182&lt;S182,'G-7 Rivers Data'!$R$3,INDEX('G-7 Rivers Data'!$U$5:$Y$9,MATCH(G182,'G-7 Rivers Data'!$T$5:$T$9,0),MATCH(T182,'G-7 Rivers Data'!$U$4:$Y$4,0)))),"")</f>
        <v/>
      </c>
      <c r="Z182" s="195"/>
      <c r="AA182" s="195"/>
      <c r="AB182" s="507" t="str">
        <f t="shared" si="19"/>
        <v/>
      </c>
      <c r="AC182" s="521" t="str">
        <f t="shared" si="20"/>
        <v/>
      </c>
      <c r="AD182" s="564" t="str">
        <f>IFERROR(IF(AC182="Check Data ⚠","Check Data ⚠",VLOOKUP(AC182,'G-4 Temporal multipliers'!$A$4:$C$37,3,FALSE)),"")</f>
        <v/>
      </c>
      <c r="AE182" s="498" t="str">
        <f>IF(N182="","",VLOOKUP(N182,'G-7 Rivers Data'!$B$4:$G$8,5,FALSE))</f>
        <v/>
      </c>
      <c r="AF182" s="507" t="str">
        <f t="shared" si="21"/>
        <v/>
      </c>
      <c r="AG182" s="540" t="str">
        <f t="shared" si="22"/>
        <v/>
      </c>
      <c r="AH182" s="499" t="str">
        <f t="shared" si="16"/>
        <v/>
      </c>
      <c r="AI182" s="145"/>
      <c r="AJ182" s="499" t="str">
        <f>IF(AI182="","",IF(VLOOKUP(AI182,'G-7 Rivers Data'!$AA$4:$AB$7,2,FALSE)=0,"Spatial Data Missing ⚠",VLOOKUP(AI182,'G-7 Rivers Data'!$AA$4:$AB$7,2,FALSE)))</f>
        <v/>
      </c>
      <c r="AK182" s="155"/>
      <c r="AL182" s="499" t="str">
        <f>IF(AK182="","",IF(VLOOKUP(AK182,'G-7 Rivers Data'!$AD$4:$AE$8,2,FALSE)=0,"Spatial Data Missing ⚠",VLOOKUP(AK182,'G-7 Rivers Data'!$AD$4:$AE$8,2,FALSE)))</f>
        <v/>
      </c>
      <c r="AM182" s="545" t="str">
        <f t="shared" si="23"/>
        <v/>
      </c>
      <c r="AN182" s="149"/>
      <c r="AO182" s="150"/>
      <c r="AV182" s="31" t="str">
        <f>IFERROR(INDEX('G-7 Rivers Data'!$AZ$3:$AZ$7,MATCH(N182,'G-7 Rivers Data'!$AY$3:$AY$7,0)),"")</f>
        <v/>
      </c>
    </row>
    <row r="183" spans="2:48" ht="13.8" x14ac:dyDescent="0.25">
      <c r="B183" s="531" t="str">
        <f>'C-1 Site River Baseline'!AN181</f>
        <v/>
      </c>
      <c r="C183" s="520" t="str">
        <f>IF(B183="","",VLOOKUP($B183,'C-1 Site River Baseline'!$C$9:$R$257,2,FALSE))</f>
        <v/>
      </c>
      <c r="D183" s="520" t="str">
        <f>IF(C183="","",VLOOKUP($B183,'C-1 Site River Baseline'!$C$9:$R$257,3,FALSE))</f>
        <v/>
      </c>
      <c r="E183" s="520" t="str">
        <f>IF(D183="","",VLOOKUP($B183,'C-1 Site River Baseline'!$C$9:$R$257,4,FALSE))</f>
        <v/>
      </c>
      <c r="F183" s="520" t="str">
        <f>IF(E183="","",VLOOKUP($B183,'C-1 Site River Baseline'!$C$9:$R$257,5,FALSE))</f>
        <v/>
      </c>
      <c r="G183" s="520" t="str">
        <f>IF(F183="","",VLOOKUP($B183,'C-1 Site River Baseline'!$C$9:$R$257,6,FALSE))</f>
        <v/>
      </c>
      <c r="H183" s="520" t="str">
        <f>IF(G183="","",VLOOKUP($B183,'C-1 Site River Baseline'!$C$9:$R$257,7,FALSE))</f>
        <v/>
      </c>
      <c r="I183" s="520" t="str">
        <f>IF(H183="","",VLOOKUP($B183,'C-1 Site River Baseline'!$C$9:$R$257,8,FALSE))</f>
        <v/>
      </c>
      <c r="J183" s="520" t="str">
        <f>IF(I183="","",VLOOKUP($B183,'C-1 Site River Baseline'!$C$9:$R$257,9,FALSE))</f>
        <v/>
      </c>
      <c r="K183" s="520" t="str">
        <f>IF(J183="","",VLOOKUP($B183,'C-1 Site River Baseline'!$C$9:$R$257,10,FALSE))</f>
        <v/>
      </c>
      <c r="L183" s="520" t="str">
        <f>IF(B183="","",VLOOKUP($B183,'C-1 Site River Baseline'!$C$9:$R$257,15,FALSE))</f>
        <v/>
      </c>
      <c r="M183" s="524" t="str">
        <f>IF(L183="","",VLOOKUP($B183,'C-1 Site River Baseline'!$C$9:$R$257,16,FALSE))</f>
        <v/>
      </c>
      <c r="N183" s="418" t="str">
        <f t="shared" si="17"/>
        <v/>
      </c>
      <c r="O183" s="498" t="str">
        <f t="shared" si="18"/>
        <v/>
      </c>
      <c r="P183" s="499"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7" t="str">
        <f>IF(N183="","",VLOOKUP(B183,'C-1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07" t="str">
        <f>IF(V183="","",IF(VLOOKUP(V183,'G-7 Rivers Data'!$AG$4:$AI$9,2,FALSE)=0,"Spatial Data Missing ⚠",VLOOKUP(V183,'G-7 Rivers Data'!$AG$4:$AI$9,2,FALSE)))</f>
        <v/>
      </c>
      <c r="X183" s="499" t="str">
        <f>IF(V183="","",IF(VLOOKUP(V183,'G-7 Rivers Data'!$AG$4:$AI$9,3,FALSE)=0,"Spatial Data Missing ⚠",VLOOKUP(V183,'G-7 Rivers Data'!$AG$4:$AI$9,3,FALSE)))</f>
        <v/>
      </c>
      <c r="Y183" s="498" t="str">
        <f>IFERROR(IF(OR(LEFT(P183,5)="Error ▲",LEFT(O183,5)="Error ▲"),"Check Data ⚠",IF(F183&lt;S183,'G-7 Rivers Data'!$R$3,INDEX('G-7 Rivers Data'!$U$5:$Y$9,MATCH(G183,'G-7 Rivers Data'!$T$5:$T$9,0),MATCH(T183,'G-7 Rivers Data'!$U$4:$Y$4,0)))),"")</f>
        <v/>
      </c>
      <c r="Z183" s="195"/>
      <c r="AA183" s="195"/>
      <c r="AB183" s="507" t="str">
        <f t="shared" si="19"/>
        <v/>
      </c>
      <c r="AC183" s="521" t="str">
        <f t="shared" si="20"/>
        <v/>
      </c>
      <c r="AD183" s="564" t="str">
        <f>IFERROR(IF(AC183="Check Data ⚠","Check Data ⚠",VLOOKUP(AC183,'G-4 Temporal multipliers'!$A$4:$C$37,3,FALSE)),"")</f>
        <v/>
      </c>
      <c r="AE183" s="498" t="str">
        <f>IF(N183="","",VLOOKUP(N183,'G-7 Rivers Data'!$B$4:$G$8,5,FALSE))</f>
        <v/>
      </c>
      <c r="AF183" s="507" t="str">
        <f t="shared" si="21"/>
        <v/>
      </c>
      <c r="AG183" s="540" t="str">
        <f t="shared" si="22"/>
        <v/>
      </c>
      <c r="AH183" s="499" t="str">
        <f t="shared" si="16"/>
        <v/>
      </c>
      <c r="AI183" s="145"/>
      <c r="AJ183" s="499" t="str">
        <f>IF(AI183="","",IF(VLOOKUP(AI183,'G-7 Rivers Data'!$AA$4:$AB$7,2,FALSE)=0,"Spatial Data Missing ⚠",VLOOKUP(AI183,'G-7 Rivers Data'!$AA$4:$AB$7,2,FALSE)))</f>
        <v/>
      </c>
      <c r="AK183" s="155"/>
      <c r="AL183" s="499" t="str">
        <f>IF(AK183="","",IF(VLOOKUP(AK183,'G-7 Rivers Data'!$AD$4:$AE$8,2,FALSE)=0,"Spatial Data Missing ⚠",VLOOKUP(AK183,'G-7 Rivers Data'!$AD$4:$AE$8,2,FALSE)))</f>
        <v/>
      </c>
      <c r="AM183" s="545" t="str">
        <f t="shared" si="23"/>
        <v/>
      </c>
      <c r="AN183" s="149"/>
      <c r="AO183" s="150"/>
      <c r="AV183" s="31" t="str">
        <f>IFERROR(INDEX('G-7 Rivers Data'!$AZ$3:$AZ$7,MATCH(N183,'G-7 Rivers Data'!$AY$3:$AY$7,0)),"")</f>
        <v/>
      </c>
    </row>
    <row r="184" spans="2:48" ht="13.8" x14ac:dyDescent="0.25">
      <c r="B184" s="531" t="str">
        <f>'C-1 Site River Baseline'!AN182</f>
        <v/>
      </c>
      <c r="C184" s="520" t="str">
        <f>IF(B184="","",VLOOKUP($B184,'C-1 Site River Baseline'!$C$9:$R$257,2,FALSE))</f>
        <v/>
      </c>
      <c r="D184" s="520" t="str">
        <f>IF(C184="","",VLOOKUP($B184,'C-1 Site River Baseline'!$C$9:$R$257,3,FALSE))</f>
        <v/>
      </c>
      <c r="E184" s="520" t="str">
        <f>IF(D184="","",VLOOKUP($B184,'C-1 Site River Baseline'!$C$9:$R$257,4,FALSE))</f>
        <v/>
      </c>
      <c r="F184" s="520" t="str">
        <f>IF(E184="","",VLOOKUP($B184,'C-1 Site River Baseline'!$C$9:$R$257,5,FALSE))</f>
        <v/>
      </c>
      <c r="G184" s="520" t="str">
        <f>IF(F184="","",VLOOKUP($B184,'C-1 Site River Baseline'!$C$9:$R$257,6,FALSE))</f>
        <v/>
      </c>
      <c r="H184" s="520" t="str">
        <f>IF(G184="","",VLOOKUP($B184,'C-1 Site River Baseline'!$C$9:$R$257,7,FALSE))</f>
        <v/>
      </c>
      <c r="I184" s="520" t="str">
        <f>IF(H184="","",VLOOKUP($B184,'C-1 Site River Baseline'!$C$9:$R$257,8,FALSE))</f>
        <v/>
      </c>
      <c r="J184" s="520" t="str">
        <f>IF(I184="","",VLOOKUP($B184,'C-1 Site River Baseline'!$C$9:$R$257,9,FALSE))</f>
        <v/>
      </c>
      <c r="K184" s="520" t="str">
        <f>IF(J184="","",VLOOKUP($B184,'C-1 Site River Baseline'!$C$9:$R$257,10,FALSE))</f>
        <v/>
      </c>
      <c r="L184" s="520" t="str">
        <f>IF(B184="","",VLOOKUP($B184,'C-1 Site River Baseline'!$C$9:$R$257,15,FALSE))</f>
        <v/>
      </c>
      <c r="M184" s="524" t="str">
        <f>IF(L184="","",VLOOKUP($B184,'C-1 Site River Baseline'!$C$9:$R$257,16,FALSE))</f>
        <v/>
      </c>
      <c r="N184" s="418" t="str">
        <f t="shared" si="17"/>
        <v/>
      </c>
      <c r="O184" s="498" t="str">
        <f t="shared" si="18"/>
        <v/>
      </c>
      <c r="P184" s="499"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7" t="str">
        <f>IF(N184="","",VLOOKUP(B184,'C-1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07" t="str">
        <f>IF(V184="","",IF(VLOOKUP(V184,'G-7 Rivers Data'!$AG$4:$AI$9,2,FALSE)=0,"Spatial Data Missing ⚠",VLOOKUP(V184,'G-7 Rivers Data'!$AG$4:$AI$9,2,FALSE)))</f>
        <v/>
      </c>
      <c r="X184" s="499" t="str">
        <f>IF(V184="","",IF(VLOOKUP(V184,'G-7 Rivers Data'!$AG$4:$AI$9,3,FALSE)=0,"Spatial Data Missing ⚠",VLOOKUP(V184,'G-7 Rivers Data'!$AG$4:$AI$9,3,FALSE)))</f>
        <v/>
      </c>
      <c r="Y184" s="498" t="str">
        <f>IFERROR(IF(OR(LEFT(P184,5)="Error ▲",LEFT(O184,5)="Error ▲"),"Check Data ⚠",IF(F184&lt;S184,'G-7 Rivers Data'!$R$3,INDEX('G-7 Rivers Data'!$U$5:$Y$9,MATCH(G184,'G-7 Rivers Data'!$T$5:$T$9,0),MATCH(T184,'G-7 Rivers Data'!$U$4:$Y$4,0)))),"")</f>
        <v/>
      </c>
      <c r="Z184" s="195"/>
      <c r="AA184" s="195"/>
      <c r="AB184" s="507" t="str">
        <f t="shared" si="19"/>
        <v/>
      </c>
      <c r="AC184" s="521" t="str">
        <f t="shared" si="20"/>
        <v/>
      </c>
      <c r="AD184" s="564" t="str">
        <f>IFERROR(IF(AC184="Check Data ⚠","Check Data ⚠",VLOOKUP(AC184,'G-4 Temporal multipliers'!$A$4:$C$37,3,FALSE)),"")</f>
        <v/>
      </c>
      <c r="AE184" s="498" t="str">
        <f>IF(N184="","",VLOOKUP(N184,'G-7 Rivers Data'!$B$4:$G$8,5,FALSE))</f>
        <v/>
      </c>
      <c r="AF184" s="507" t="str">
        <f t="shared" si="21"/>
        <v/>
      </c>
      <c r="AG184" s="540" t="str">
        <f t="shared" si="22"/>
        <v/>
      </c>
      <c r="AH184" s="499" t="str">
        <f t="shared" si="16"/>
        <v/>
      </c>
      <c r="AI184" s="145"/>
      <c r="AJ184" s="499" t="str">
        <f>IF(AI184="","",IF(VLOOKUP(AI184,'G-7 Rivers Data'!$AA$4:$AB$7,2,FALSE)=0,"Spatial Data Missing ⚠",VLOOKUP(AI184,'G-7 Rivers Data'!$AA$4:$AB$7,2,FALSE)))</f>
        <v/>
      </c>
      <c r="AK184" s="155"/>
      <c r="AL184" s="499" t="str">
        <f>IF(AK184="","",IF(VLOOKUP(AK184,'G-7 Rivers Data'!$AD$4:$AE$8,2,FALSE)=0,"Spatial Data Missing ⚠",VLOOKUP(AK184,'G-7 Rivers Data'!$AD$4:$AE$8,2,FALSE)))</f>
        <v/>
      </c>
      <c r="AM184" s="545" t="str">
        <f t="shared" si="23"/>
        <v/>
      </c>
      <c r="AN184" s="149"/>
      <c r="AO184" s="150"/>
      <c r="AV184" s="31" t="str">
        <f>IFERROR(INDEX('G-7 Rivers Data'!$AZ$3:$AZ$7,MATCH(N184,'G-7 Rivers Data'!$AY$3:$AY$7,0)),"")</f>
        <v/>
      </c>
    </row>
    <row r="185" spans="2:48" ht="13.8" x14ac:dyDescent="0.25">
      <c r="B185" s="531" t="str">
        <f>'C-1 Site River Baseline'!AN183</f>
        <v/>
      </c>
      <c r="C185" s="520" t="str">
        <f>IF(B185="","",VLOOKUP($B185,'C-1 Site River Baseline'!$C$9:$R$257,2,FALSE))</f>
        <v/>
      </c>
      <c r="D185" s="520" t="str">
        <f>IF(C185="","",VLOOKUP($B185,'C-1 Site River Baseline'!$C$9:$R$257,3,FALSE))</f>
        <v/>
      </c>
      <c r="E185" s="520" t="str">
        <f>IF(D185="","",VLOOKUP($B185,'C-1 Site River Baseline'!$C$9:$R$257,4,FALSE))</f>
        <v/>
      </c>
      <c r="F185" s="520" t="str">
        <f>IF(E185="","",VLOOKUP($B185,'C-1 Site River Baseline'!$C$9:$R$257,5,FALSE))</f>
        <v/>
      </c>
      <c r="G185" s="520" t="str">
        <f>IF(F185="","",VLOOKUP($B185,'C-1 Site River Baseline'!$C$9:$R$257,6,FALSE))</f>
        <v/>
      </c>
      <c r="H185" s="520" t="str">
        <f>IF(G185="","",VLOOKUP($B185,'C-1 Site River Baseline'!$C$9:$R$257,7,FALSE))</f>
        <v/>
      </c>
      <c r="I185" s="520" t="str">
        <f>IF(H185="","",VLOOKUP($B185,'C-1 Site River Baseline'!$C$9:$R$257,8,FALSE))</f>
        <v/>
      </c>
      <c r="J185" s="520" t="str">
        <f>IF(I185="","",VLOOKUP($B185,'C-1 Site River Baseline'!$C$9:$R$257,9,FALSE))</f>
        <v/>
      </c>
      <c r="K185" s="520" t="str">
        <f>IF(J185="","",VLOOKUP($B185,'C-1 Site River Baseline'!$C$9:$R$257,10,FALSE))</f>
        <v/>
      </c>
      <c r="L185" s="520" t="str">
        <f>IF(B185="","",VLOOKUP($B185,'C-1 Site River Baseline'!$C$9:$R$257,15,FALSE))</f>
        <v/>
      </c>
      <c r="M185" s="524" t="str">
        <f>IF(L185="","",VLOOKUP($B185,'C-1 Site River Baseline'!$C$9:$R$257,16,FALSE))</f>
        <v/>
      </c>
      <c r="N185" s="418" t="str">
        <f t="shared" si="17"/>
        <v/>
      </c>
      <c r="O185" s="498" t="str">
        <f t="shared" si="18"/>
        <v/>
      </c>
      <c r="P185" s="499"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7" t="str">
        <f>IF(N185="","",VLOOKUP(B185,'C-1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07" t="str">
        <f>IF(V185="","",IF(VLOOKUP(V185,'G-7 Rivers Data'!$AG$4:$AI$9,2,FALSE)=0,"Spatial Data Missing ⚠",VLOOKUP(V185,'G-7 Rivers Data'!$AG$4:$AI$9,2,FALSE)))</f>
        <v/>
      </c>
      <c r="X185" s="499" t="str">
        <f>IF(V185="","",IF(VLOOKUP(V185,'G-7 Rivers Data'!$AG$4:$AI$9,3,FALSE)=0,"Spatial Data Missing ⚠",VLOOKUP(V185,'G-7 Rivers Data'!$AG$4:$AI$9,3,FALSE)))</f>
        <v/>
      </c>
      <c r="Y185" s="498" t="str">
        <f>IFERROR(IF(OR(LEFT(P185,5)="Error ▲",LEFT(O185,5)="Error ▲"),"Check Data ⚠",IF(F185&lt;S185,'G-7 Rivers Data'!$R$3,INDEX('G-7 Rivers Data'!$U$5:$Y$9,MATCH(G185,'G-7 Rivers Data'!$T$5:$T$9,0),MATCH(T185,'G-7 Rivers Data'!$U$4:$Y$4,0)))),"")</f>
        <v/>
      </c>
      <c r="Z185" s="195"/>
      <c r="AA185" s="195"/>
      <c r="AB185" s="507" t="str">
        <f t="shared" si="19"/>
        <v/>
      </c>
      <c r="AC185" s="521" t="str">
        <f t="shared" si="20"/>
        <v/>
      </c>
      <c r="AD185" s="564" t="str">
        <f>IFERROR(IF(AC185="Check Data ⚠","Check Data ⚠",VLOOKUP(AC185,'G-4 Temporal multipliers'!$A$4:$C$37,3,FALSE)),"")</f>
        <v/>
      </c>
      <c r="AE185" s="498" t="str">
        <f>IF(N185="","",VLOOKUP(N185,'G-7 Rivers Data'!$B$4:$G$8,5,FALSE))</f>
        <v/>
      </c>
      <c r="AF185" s="507" t="str">
        <f t="shared" si="21"/>
        <v/>
      </c>
      <c r="AG185" s="540" t="str">
        <f t="shared" si="22"/>
        <v/>
      </c>
      <c r="AH185" s="499" t="str">
        <f t="shared" si="16"/>
        <v/>
      </c>
      <c r="AI185" s="145"/>
      <c r="AJ185" s="499" t="str">
        <f>IF(AI185="","",IF(VLOOKUP(AI185,'G-7 Rivers Data'!$AA$4:$AB$7,2,FALSE)=0,"Spatial Data Missing ⚠",VLOOKUP(AI185,'G-7 Rivers Data'!$AA$4:$AB$7,2,FALSE)))</f>
        <v/>
      </c>
      <c r="AK185" s="155"/>
      <c r="AL185" s="499" t="str">
        <f>IF(AK185="","",IF(VLOOKUP(AK185,'G-7 Rivers Data'!$AD$4:$AE$8,2,FALSE)=0,"Spatial Data Missing ⚠",VLOOKUP(AK185,'G-7 Rivers Data'!$AD$4:$AE$8,2,FALSE)))</f>
        <v/>
      </c>
      <c r="AM185" s="545" t="str">
        <f t="shared" si="23"/>
        <v/>
      </c>
      <c r="AN185" s="149"/>
      <c r="AO185" s="150"/>
      <c r="AV185" s="31" t="str">
        <f>IFERROR(INDEX('G-7 Rivers Data'!$AZ$3:$AZ$7,MATCH(N185,'G-7 Rivers Data'!$AY$3:$AY$7,0)),"")</f>
        <v/>
      </c>
    </row>
    <row r="186" spans="2:48" ht="13.8" x14ac:dyDescent="0.25">
      <c r="B186" s="531" t="str">
        <f>'C-1 Site River Baseline'!AN184</f>
        <v/>
      </c>
      <c r="C186" s="520" t="str">
        <f>IF(B186="","",VLOOKUP($B186,'C-1 Site River Baseline'!$C$9:$R$257,2,FALSE))</f>
        <v/>
      </c>
      <c r="D186" s="520" t="str">
        <f>IF(C186="","",VLOOKUP($B186,'C-1 Site River Baseline'!$C$9:$R$257,3,FALSE))</f>
        <v/>
      </c>
      <c r="E186" s="520" t="str">
        <f>IF(D186="","",VLOOKUP($B186,'C-1 Site River Baseline'!$C$9:$R$257,4,FALSE))</f>
        <v/>
      </c>
      <c r="F186" s="520" t="str">
        <f>IF(E186="","",VLOOKUP($B186,'C-1 Site River Baseline'!$C$9:$R$257,5,FALSE))</f>
        <v/>
      </c>
      <c r="G186" s="520" t="str">
        <f>IF(F186="","",VLOOKUP($B186,'C-1 Site River Baseline'!$C$9:$R$257,6,FALSE))</f>
        <v/>
      </c>
      <c r="H186" s="520" t="str">
        <f>IF(G186="","",VLOOKUP($B186,'C-1 Site River Baseline'!$C$9:$R$257,7,FALSE))</f>
        <v/>
      </c>
      <c r="I186" s="520" t="str">
        <f>IF(H186="","",VLOOKUP($B186,'C-1 Site River Baseline'!$C$9:$R$257,8,FALSE))</f>
        <v/>
      </c>
      <c r="J186" s="520" t="str">
        <f>IF(I186="","",VLOOKUP($B186,'C-1 Site River Baseline'!$C$9:$R$257,9,FALSE))</f>
        <v/>
      </c>
      <c r="K186" s="520" t="str">
        <f>IF(J186="","",VLOOKUP($B186,'C-1 Site River Baseline'!$C$9:$R$257,10,FALSE))</f>
        <v/>
      </c>
      <c r="L186" s="520" t="str">
        <f>IF(B186="","",VLOOKUP($B186,'C-1 Site River Baseline'!$C$9:$R$257,15,FALSE))</f>
        <v/>
      </c>
      <c r="M186" s="524" t="str">
        <f>IF(L186="","",VLOOKUP($B186,'C-1 Site River Baseline'!$C$9:$R$257,16,FALSE))</f>
        <v/>
      </c>
      <c r="N186" s="418" t="str">
        <f t="shared" si="17"/>
        <v/>
      </c>
      <c r="O186" s="498" t="str">
        <f t="shared" si="18"/>
        <v/>
      </c>
      <c r="P186" s="499"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7" t="str">
        <f>IF(N186="","",VLOOKUP(B186,'C-1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07" t="str">
        <f>IF(V186="","",IF(VLOOKUP(V186,'G-7 Rivers Data'!$AG$4:$AI$9,2,FALSE)=0,"Spatial Data Missing ⚠",VLOOKUP(V186,'G-7 Rivers Data'!$AG$4:$AI$9,2,FALSE)))</f>
        <v/>
      </c>
      <c r="X186" s="499" t="str">
        <f>IF(V186="","",IF(VLOOKUP(V186,'G-7 Rivers Data'!$AG$4:$AI$9,3,FALSE)=0,"Spatial Data Missing ⚠",VLOOKUP(V186,'G-7 Rivers Data'!$AG$4:$AI$9,3,FALSE)))</f>
        <v/>
      </c>
      <c r="Y186" s="498" t="str">
        <f>IFERROR(IF(OR(LEFT(P186,5)="Error ▲",LEFT(O186,5)="Error ▲"),"Check Data ⚠",IF(F186&lt;S186,'G-7 Rivers Data'!$R$3,INDEX('G-7 Rivers Data'!$U$5:$Y$9,MATCH(G186,'G-7 Rivers Data'!$T$5:$T$9,0),MATCH(T186,'G-7 Rivers Data'!$U$4:$Y$4,0)))),"")</f>
        <v/>
      </c>
      <c r="Z186" s="195"/>
      <c r="AA186" s="195"/>
      <c r="AB186" s="507" t="str">
        <f t="shared" si="19"/>
        <v/>
      </c>
      <c r="AC186" s="521" t="str">
        <f t="shared" si="20"/>
        <v/>
      </c>
      <c r="AD186" s="564" t="str">
        <f>IFERROR(IF(AC186="Check Data ⚠","Check Data ⚠",VLOOKUP(AC186,'G-4 Temporal multipliers'!$A$4:$C$37,3,FALSE)),"")</f>
        <v/>
      </c>
      <c r="AE186" s="498" t="str">
        <f>IF(N186="","",VLOOKUP(N186,'G-7 Rivers Data'!$B$4:$G$8,5,FALSE))</f>
        <v/>
      </c>
      <c r="AF186" s="507" t="str">
        <f t="shared" si="21"/>
        <v/>
      </c>
      <c r="AG186" s="540" t="str">
        <f t="shared" si="22"/>
        <v/>
      </c>
      <c r="AH186" s="499" t="str">
        <f t="shared" si="16"/>
        <v/>
      </c>
      <c r="AI186" s="145"/>
      <c r="AJ186" s="499" t="str">
        <f>IF(AI186="","",IF(VLOOKUP(AI186,'G-7 Rivers Data'!$AA$4:$AB$7,2,FALSE)=0,"Spatial Data Missing ⚠",VLOOKUP(AI186,'G-7 Rivers Data'!$AA$4:$AB$7,2,FALSE)))</f>
        <v/>
      </c>
      <c r="AK186" s="155"/>
      <c r="AL186" s="499" t="str">
        <f>IF(AK186="","",IF(VLOOKUP(AK186,'G-7 Rivers Data'!$AD$4:$AE$8,2,FALSE)=0,"Spatial Data Missing ⚠",VLOOKUP(AK186,'G-7 Rivers Data'!$AD$4:$AE$8,2,FALSE)))</f>
        <v/>
      </c>
      <c r="AM186" s="545" t="str">
        <f t="shared" si="23"/>
        <v/>
      </c>
      <c r="AN186" s="149"/>
      <c r="AO186" s="150"/>
      <c r="AV186" s="31" t="str">
        <f>IFERROR(INDEX('G-7 Rivers Data'!$AZ$3:$AZ$7,MATCH(N186,'G-7 Rivers Data'!$AY$3:$AY$7,0)),"")</f>
        <v/>
      </c>
    </row>
    <row r="187" spans="2:48" ht="13.8" x14ac:dyDescent="0.25">
      <c r="B187" s="531" t="str">
        <f>'C-1 Site River Baseline'!AN185</f>
        <v/>
      </c>
      <c r="C187" s="520" t="str">
        <f>IF(B187="","",VLOOKUP($B187,'C-1 Site River Baseline'!$C$9:$R$257,2,FALSE))</f>
        <v/>
      </c>
      <c r="D187" s="520" t="str">
        <f>IF(C187="","",VLOOKUP($B187,'C-1 Site River Baseline'!$C$9:$R$257,3,FALSE))</f>
        <v/>
      </c>
      <c r="E187" s="520" t="str">
        <f>IF(D187="","",VLOOKUP($B187,'C-1 Site River Baseline'!$C$9:$R$257,4,FALSE))</f>
        <v/>
      </c>
      <c r="F187" s="520" t="str">
        <f>IF(E187="","",VLOOKUP($B187,'C-1 Site River Baseline'!$C$9:$R$257,5,FALSE))</f>
        <v/>
      </c>
      <c r="G187" s="520" t="str">
        <f>IF(F187="","",VLOOKUP($B187,'C-1 Site River Baseline'!$C$9:$R$257,6,FALSE))</f>
        <v/>
      </c>
      <c r="H187" s="520" t="str">
        <f>IF(G187="","",VLOOKUP($B187,'C-1 Site River Baseline'!$C$9:$R$257,7,FALSE))</f>
        <v/>
      </c>
      <c r="I187" s="520" t="str">
        <f>IF(H187="","",VLOOKUP($B187,'C-1 Site River Baseline'!$C$9:$R$257,8,FALSE))</f>
        <v/>
      </c>
      <c r="J187" s="520" t="str">
        <f>IF(I187="","",VLOOKUP($B187,'C-1 Site River Baseline'!$C$9:$R$257,9,FALSE))</f>
        <v/>
      </c>
      <c r="K187" s="520" t="str">
        <f>IF(J187="","",VLOOKUP($B187,'C-1 Site River Baseline'!$C$9:$R$257,10,FALSE))</f>
        <v/>
      </c>
      <c r="L187" s="520" t="str">
        <f>IF(B187="","",VLOOKUP($B187,'C-1 Site River Baseline'!$C$9:$R$257,15,FALSE))</f>
        <v/>
      </c>
      <c r="M187" s="524" t="str">
        <f>IF(L187="","",VLOOKUP($B187,'C-1 Site River Baseline'!$C$9:$R$257,16,FALSE))</f>
        <v/>
      </c>
      <c r="N187" s="418" t="str">
        <f t="shared" si="17"/>
        <v/>
      </c>
      <c r="O187" s="498" t="str">
        <f t="shared" si="18"/>
        <v/>
      </c>
      <c r="P187" s="499"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7" t="str">
        <f>IF(N187="","",VLOOKUP(B187,'C-1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07" t="str">
        <f>IF(V187="","",IF(VLOOKUP(V187,'G-7 Rivers Data'!$AG$4:$AI$9,2,FALSE)=0,"Spatial Data Missing ⚠",VLOOKUP(V187,'G-7 Rivers Data'!$AG$4:$AI$9,2,FALSE)))</f>
        <v/>
      </c>
      <c r="X187" s="499" t="str">
        <f>IF(V187="","",IF(VLOOKUP(V187,'G-7 Rivers Data'!$AG$4:$AI$9,3,FALSE)=0,"Spatial Data Missing ⚠",VLOOKUP(V187,'G-7 Rivers Data'!$AG$4:$AI$9,3,FALSE)))</f>
        <v/>
      </c>
      <c r="Y187" s="498" t="str">
        <f>IFERROR(IF(OR(LEFT(P187,5)="Error ▲",LEFT(O187,5)="Error ▲"),"Check Data ⚠",IF(F187&lt;S187,'G-7 Rivers Data'!$R$3,INDEX('G-7 Rivers Data'!$U$5:$Y$9,MATCH(G187,'G-7 Rivers Data'!$T$5:$T$9,0),MATCH(T187,'G-7 Rivers Data'!$U$4:$Y$4,0)))),"")</f>
        <v/>
      </c>
      <c r="Z187" s="195"/>
      <c r="AA187" s="195"/>
      <c r="AB187" s="507" t="str">
        <f t="shared" si="19"/>
        <v/>
      </c>
      <c r="AC187" s="521" t="str">
        <f t="shared" si="20"/>
        <v/>
      </c>
      <c r="AD187" s="564" t="str">
        <f>IFERROR(IF(AC187="Check Data ⚠","Check Data ⚠",VLOOKUP(AC187,'G-4 Temporal multipliers'!$A$4:$C$37,3,FALSE)),"")</f>
        <v/>
      </c>
      <c r="AE187" s="498" t="str">
        <f>IF(N187="","",VLOOKUP(N187,'G-7 Rivers Data'!$B$4:$G$8,5,FALSE))</f>
        <v/>
      </c>
      <c r="AF187" s="507" t="str">
        <f t="shared" si="21"/>
        <v/>
      </c>
      <c r="AG187" s="540" t="str">
        <f t="shared" si="22"/>
        <v/>
      </c>
      <c r="AH187" s="499" t="str">
        <f t="shared" si="16"/>
        <v/>
      </c>
      <c r="AI187" s="145"/>
      <c r="AJ187" s="499" t="str">
        <f>IF(AI187="","",IF(VLOOKUP(AI187,'G-7 Rivers Data'!$AA$4:$AB$7,2,FALSE)=0,"Spatial Data Missing ⚠",VLOOKUP(AI187,'G-7 Rivers Data'!$AA$4:$AB$7,2,FALSE)))</f>
        <v/>
      </c>
      <c r="AK187" s="155"/>
      <c r="AL187" s="499" t="str">
        <f>IF(AK187="","",IF(VLOOKUP(AK187,'G-7 Rivers Data'!$AD$4:$AE$8,2,FALSE)=0,"Spatial Data Missing ⚠",VLOOKUP(AK187,'G-7 Rivers Data'!$AD$4:$AE$8,2,FALSE)))</f>
        <v/>
      </c>
      <c r="AM187" s="545" t="str">
        <f t="shared" si="23"/>
        <v/>
      </c>
      <c r="AN187" s="149"/>
      <c r="AO187" s="150"/>
      <c r="AV187" s="31" t="str">
        <f>IFERROR(INDEX('G-7 Rivers Data'!$AZ$3:$AZ$7,MATCH(N187,'G-7 Rivers Data'!$AY$3:$AY$7,0)),"")</f>
        <v/>
      </c>
    </row>
    <row r="188" spans="2:48" ht="13.8" x14ac:dyDescent="0.25">
      <c r="B188" s="531" t="str">
        <f>'C-1 Site River Baseline'!AN186</f>
        <v/>
      </c>
      <c r="C188" s="520" t="str">
        <f>IF(B188="","",VLOOKUP($B188,'C-1 Site River Baseline'!$C$9:$R$257,2,FALSE))</f>
        <v/>
      </c>
      <c r="D188" s="520" t="str">
        <f>IF(C188="","",VLOOKUP($B188,'C-1 Site River Baseline'!$C$9:$R$257,3,FALSE))</f>
        <v/>
      </c>
      <c r="E188" s="520" t="str">
        <f>IF(D188="","",VLOOKUP($B188,'C-1 Site River Baseline'!$C$9:$R$257,4,FALSE))</f>
        <v/>
      </c>
      <c r="F188" s="520" t="str">
        <f>IF(E188="","",VLOOKUP($B188,'C-1 Site River Baseline'!$C$9:$R$257,5,FALSE))</f>
        <v/>
      </c>
      <c r="G188" s="520" t="str">
        <f>IF(F188="","",VLOOKUP($B188,'C-1 Site River Baseline'!$C$9:$R$257,6,FALSE))</f>
        <v/>
      </c>
      <c r="H188" s="520" t="str">
        <f>IF(G188="","",VLOOKUP($B188,'C-1 Site River Baseline'!$C$9:$R$257,7,FALSE))</f>
        <v/>
      </c>
      <c r="I188" s="520" t="str">
        <f>IF(H188="","",VLOOKUP($B188,'C-1 Site River Baseline'!$C$9:$R$257,8,FALSE))</f>
        <v/>
      </c>
      <c r="J188" s="520" t="str">
        <f>IF(I188="","",VLOOKUP($B188,'C-1 Site River Baseline'!$C$9:$R$257,9,FALSE))</f>
        <v/>
      </c>
      <c r="K188" s="520" t="str">
        <f>IF(J188="","",VLOOKUP($B188,'C-1 Site River Baseline'!$C$9:$R$257,10,FALSE))</f>
        <v/>
      </c>
      <c r="L188" s="520" t="str">
        <f>IF(B188="","",VLOOKUP($B188,'C-1 Site River Baseline'!$C$9:$R$257,15,FALSE))</f>
        <v/>
      </c>
      <c r="M188" s="524" t="str">
        <f>IF(L188="","",VLOOKUP($B188,'C-1 Site River Baseline'!$C$9:$R$257,16,FALSE))</f>
        <v/>
      </c>
      <c r="N188" s="418" t="str">
        <f t="shared" si="17"/>
        <v/>
      </c>
      <c r="O188" s="498" t="str">
        <f t="shared" si="18"/>
        <v/>
      </c>
      <c r="P188" s="499"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7" t="str">
        <f>IF(N188="","",VLOOKUP(B188,'C-1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07" t="str">
        <f>IF(V188="","",IF(VLOOKUP(V188,'G-7 Rivers Data'!$AG$4:$AI$9,2,FALSE)=0,"Spatial Data Missing ⚠",VLOOKUP(V188,'G-7 Rivers Data'!$AG$4:$AI$9,2,FALSE)))</f>
        <v/>
      </c>
      <c r="X188" s="499" t="str">
        <f>IF(V188="","",IF(VLOOKUP(V188,'G-7 Rivers Data'!$AG$4:$AI$9,3,FALSE)=0,"Spatial Data Missing ⚠",VLOOKUP(V188,'G-7 Rivers Data'!$AG$4:$AI$9,3,FALSE)))</f>
        <v/>
      </c>
      <c r="Y188" s="498" t="str">
        <f>IFERROR(IF(OR(LEFT(P188,5)="Error ▲",LEFT(O188,5)="Error ▲"),"Check Data ⚠",IF(F188&lt;S188,'G-7 Rivers Data'!$R$3,INDEX('G-7 Rivers Data'!$U$5:$Y$9,MATCH(G188,'G-7 Rivers Data'!$T$5:$T$9,0),MATCH(T188,'G-7 Rivers Data'!$U$4:$Y$4,0)))),"")</f>
        <v/>
      </c>
      <c r="Z188" s="195"/>
      <c r="AA188" s="195"/>
      <c r="AB188" s="507" t="str">
        <f t="shared" si="19"/>
        <v/>
      </c>
      <c r="AC188" s="521" t="str">
        <f t="shared" si="20"/>
        <v/>
      </c>
      <c r="AD188" s="564" t="str">
        <f>IFERROR(IF(AC188="Check Data ⚠","Check Data ⚠",VLOOKUP(AC188,'G-4 Temporal multipliers'!$A$4:$C$37,3,FALSE)),"")</f>
        <v/>
      </c>
      <c r="AE188" s="498" t="str">
        <f>IF(N188="","",VLOOKUP(N188,'G-7 Rivers Data'!$B$4:$G$8,5,FALSE))</f>
        <v/>
      </c>
      <c r="AF188" s="507" t="str">
        <f t="shared" si="21"/>
        <v/>
      </c>
      <c r="AG188" s="540" t="str">
        <f t="shared" si="22"/>
        <v/>
      </c>
      <c r="AH188" s="499" t="str">
        <f t="shared" si="16"/>
        <v/>
      </c>
      <c r="AI188" s="145"/>
      <c r="AJ188" s="499" t="str">
        <f>IF(AI188="","",IF(VLOOKUP(AI188,'G-7 Rivers Data'!$AA$4:$AB$7,2,FALSE)=0,"Spatial Data Missing ⚠",VLOOKUP(AI188,'G-7 Rivers Data'!$AA$4:$AB$7,2,FALSE)))</f>
        <v/>
      </c>
      <c r="AK188" s="155"/>
      <c r="AL188" s="499" t="str">
        <f>IF(AK188="","",IF(VLOOKUP(AK188,'G-7 Rivers Data'!$AD$4:$AE$8,2,FALSE)=0,"Spatial Data Missing ⚠",VLOOKUP(AK188,'G-7 Rivers Data'!$AD$4:$AE$8,2,FALSE)))</f>
        <v/>
      </c>
      <c r="AM188" s="545" t="str">
        <f t="shared" si="23"/>
        <v/>
      </c>
      <c r="AN188" s="149"/>
      <c r="AO188" s="150"/>
      <c r="AV188" s="31" t="str">
        <f>IFERROR(INDEX('G-7 Rivers Data'!$AZ$3:$AZ$7,MATCH(N188,'G-7 Rivers Data'!$AY$3:$AY$7,0)),"")</f>
        <v/>
      </c>
    </row>
    <row r="189" spans="2:48" ht="13.8" x14ac:dyDescent="0.25">
      <c r="B189" s="531" t="str">
        <f>'C-1 Site River Baseline'!AN187</f>
        <v/>
      </c>
      <c r="C189" s="520" t="str">
        <f>IF(B189="","",VLOOKUP($B189,'C-1 Site River Baseline'!$C$9:$R$257,2,FALSE))</f>
        <v/>
      </c>
      <c r="D189" s="520" t="str">
        <f>IF(C189="","",VLOOKUP($B189,'C-1 Site River Baseline'!$C$9:$R$257,3,FALSE))</f>
        <v/>
      </c>
      <c r="E189" s="520" t="str">
        <f>IF(D189="","",VLOOKUP($B189,'C-1 Site River Baseline'!$C$9:$R$257,4,FALSE))</f>
        <v/>
      </c>
      <c r="F189" s="520" t="str">
        <f>IF(E189="","",VLOOKUP($B189,'C-1 Site River Baseline'!$C$9:$R$257,5,FALSE))</f>
        <v/>
      </c>
      <c r="G189" s="520" t="str">
        <f>IF(F189="","",VLOOKUP($B189,'C-1 Site River Baseline'!$C$9:$R$257,6,FALSE))</f>
        <v/>
      </c>
      <c r="H189" s="520" t="str">
        <f>IF(G189="","",VLOOKUP($B189,'C-1 Site River Baseline'!$C$9:$R$257,7,FALSE))</f>
        <v/>
      </c>
      <c r="I189" s="520" t="str">
        <f>IF(H189="","",VLOOKUP($B189,'C-1 Site River Baseline'!$C$9:$R$257,8,FALSE))</f>
        <v/>
      </c>
      <c r="J189" s="520" t="str">
        <f>IF(I189="","",VLOOKUP($B189,'C-1 Site River Baseline'!$C$9:$R$257,9,FALSE))</f>
        <v/>
      </c>
      <c r="K189" s="520" t="str">
        <f>IF(J189="","",VLOOKUP($B189,'C-1 Site River Baseline'!$C$9:$R$257,10,FALSE))</f>
        <v/>
      </c>
      <c r="L189" s="520" t="str">
        <f>IF(B189="","",VLOOKUP($B189,'C-1 Site River Baseline'!$C$9:$R$257,15,FALSE))</f>
        <v/>
      </c>
      <c r="M189" s="524" t="str">
        <f>IF(L189="","",VLOOKUP($B189,'C-1 Site River Baseline'!$C$9:$R$257,16,FALSE))</f>
        <v/>
      </c>
      <c r="N189" s="418" t="str">
        <f t="shared" si="17"/>
        <v/>
      </c>
      <c r="O189" s="498" t="str">
        <f t="shared" si="18"/>
        <v/>
      </c>
      <c r="P189" s="499"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7" t="str">
        <f>IF(N189="","",VLOOKUP(B189,'C-1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07" t="str">
        <f>IF(V189="","",IF(VLOOKUP(V189,'G-7 Rivers Data'!$AG$4:$AI$9,2,FALSE)=0,"Spatial Data Missing ⚠",VLOOKUP(V189,'G-7 Rivers Data'!$AG$4:$AI$9,2,FALSE)))</f>
        <v/>
      </c>
      <c r="X189" s="499" t="str">
        <f>IF(V189="","",IF(VLOOKUP(V189,'G-7 Rivers Data'!$AG$4:$AI$9,3,FALSE)=0,"Spatial Data Missing ⚠",VLOOKUP(V189,'G-7 Rivers Data'!$AG$4:$AI$9,3,FALSE)))</f>
        <v/>
      </c>
      <c r="Y189" s="498" t="str">
        <f>IFERROR(IF(OR(LEFT(P189,5)="Error ▲",LEFT(O189,5)="Error ▲"),"Check Data ⚠",IF(F189&lt;S189,'G-7 Rivers Data'!$R$3,INDEX('G-7 Rivers Data'!$U$5:$Y$9,MATCH(G189,'G-7 Rivers Data'!$T$5:$T$9,0),MATCH(T189,'G-7 Rivers Data'!$U$4:$Y$4,0)))),"")</f>
        <v/>
      </c>
      <c r="Z189" s="195"/>
      <c r="AA189" s="195"/>
      <c r="AB189" s="507" t="str">
        <f t="shared" si="19"/>
        <v/>
      </c>
      <c r="AC189" s="521" t="str">
        <f t="shared" si="20"/>
        <v/>
      </c>
      <c r="AD189" s="564" t="str">
        <f>IFERROR(IF(AC189="Check Data ⚠","Check Data ⚠",VLOOKUP(AC189,'G-4 Temporal multipliers'!$A$4:$C$37,3,FALSE)),"")</f>
        <v/>
      </c>
      <c r="AE189" s="498" t="str">
        <f>IF(N189="","",VLOOKUP(N189,'G-7 Rivers Data'!$B$4:$G$8,5,FALSE))</f>
        <v/>
      </c>
      <c r="AF189" s="507" t="str">
        <f t="shared" si="21"/>
        <v/>
      </c>
      <c r="AG189" s="540" t="str">
        <f t="shared" si="22"/>
        <v/>
      </c>
      <c r="AH189" s="499" t="str">
        <f t="shared" si="16"/>
        <v/>
      </c>
      <c r="AI189" s="145"/>
      <c r="AJ189" s="499" t="str">
        <f>IF(AI189="","",IF(VLOOKUP(AI189,'G-7 Rivers Data'!$AA$4:$AB$7,2,FALSE)=0,"Spatial Data Missing ⚠",VLOOKUP(AI189,'G-7 Rivers Data'!$AA$4:$AB$7,2,FALSE)))</f>
        <v/>
      </c>
      <c r="AK189" s="155"/>
      <c r="AL189" s="499" t="str">
        <f>IF(AK189="","",IF(VLOOKUP(AK189,'G-7 Rivers Data'!$AD$4:$AE$8,2,FALSE)=0,"Spatial Data Missing ⚠",VLOOKUP(AK189,'G-7 Rivers Data'!$AD$4:$AE$8,2,FALSE)))</f>
        <v/>
      </c>
      <c r="AM189" s="545" t="str">
        <f t="shared" si="23"/>
        <v/>
      </c>
      <c r="AN189" s="149"/>
      <c r="AO189" s="150"/>
      <c r="AV189" s="31" t="str">
        <f>IFERROR(INDEX('G-7 Rivers Data'!$AZ$3:$AZ$7,MATCH(N189,'G-7 Rivers Data'!$AY$3:$AY$7,0)),"")</f>
        <v/>
      </c>
    </row>
    <row r="190" spans="2:48" ht="13.8" x14ac:dyDescent="0.25">
      <c r="B190" s="531" t="str">
        <f>'C-1 Site River Baseline'!AN188</f>
        <v/>
      </c>
      <c r="C190" s="520" t="str">
        <f>IF(B190="","",VLOOKUP($B190,'C-1 Site River Baseline'!$C$9:$R$257,2,FALSE))</f>
        <v/>
      </c>
      <c r="D190" s="520" t="str">
        <f>IF(C190="","",VLOOKUP($B190,'C-1 Site River Baseline'!$C$9:$R$257,3,FALSE))</f>
        <v/>
      </c>
      <c r="E190" s="520" t="str">
        <f>IF(D190="","",VLOOKUP($B190,'C-1 Site River Baseline'!$C$9:$R$257,4,FALSE))</f>
        <v/>
      </c>
      <c r="F190" s="520" t="str">
        <f>IF(E190="","",VLOOKUP($B190,'C-1 Site River Baseline'!$C$9:$R$257,5,FALSE))</f>
        <v/>
      </c>
      <c r="G190" s="520" t="str">
        <f>IF(F190="","",VLOOKUP($B190,'C-1 Site River Baseline'!$C$9:$R$257,6,FALSE))</f>
        <v/>
      </c>
      <c r="H190" s="520" t="str">
        <f>IF(G190="","",VLOOKUP($B190,'C-1 Site River Baseline'!$C$9:$R$257,7,FALSE))</f>
        <v/>
      </c>
      <c r="I190" s="520" t="str">
        <f>IF(H190="","",VLOOKUP($B190,'C-1 Site River Baseline'!$C$9:$R$257,8,FALSE))</f>
        <v/>
      </c>
      <c r="J190" s="520" t="str">
        <f>IF(I190="","",VLOOKUP($B190,'C-1 Site River Baseline'!$C$9:$R$257,9,FALSE))</f>
        <v/>
      </c>
      <c r="K190" s="520" t="str">
        <f>IF(J190="","",VLOOKUP($B190,'C-1 Site River Baseline'!$C$9:$R$257,10,FALSE))</f>
        <v/>
      </c>
      <c r="L190" s="520" t="str">
        <f>IF(B190="","",VLOOKUP($B190,'C-1 Site River Baseline'!$C$9:$R$257,15,FALSE))</f>
        <v/>
      </c>
      <c r="M190" s="524" t="str">
        <f>IF(L190="","",VLOOKUP($B190,'C-1 Site River Baseline'!$C$9:$R$257,16,FALSE))</f>
        <v/>
      </c>
      <c r="N190" s="418" t="str">
        <f t="shared" si="17"/>
        <v/>
      </c>
      <c r="O190" s="498" t="str">
        <f t="shared" si="18"/>
        <v/>
      </c>
      <c r="P190" s="499"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7" t="str">
        <f>IF(N190="","",VLOOKUP(B190,'C-1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07" t="str">
        <f>IF(V190="","",IF(VLOOKUP(V190,'G-7 Rivers Data'!$AG$4:$AI$9,2,FALSE)=0,"Spatial Data Missing ⚠",VLOOKUP(V190,'G-7 Rivers Data'!$AG$4:$AI$9,2,FALSE)))</f>
        <v/>
      </c>
      <c r="X190" s="499" t="str">
        <f>IF(V190="","",IF(VLOOKUP(V190,'G-7 Rivers Data'!$AG$4:$AI$9,3,FALSE)=0,"Spatial Data Missing ⚠",VLOOKUP(V190,'G-7 Rivers Data'!$AG$4:$AI$9,3,FALSE)))</f>
        <v/>
      </c>
      <c r="Y190" s="498" t="str">
        <f>IFERROR(IF(OR(LEFT(P190,5)="Error ▲",LEFT(O190,5)="Error ▲"),"Check Data ⚠",IF(F190&lt;S190,'G-7 Rivers Data'!$R$3,INDEX('G-7 Rivers Data'!$U$5:$Y$9,MATCH(G190,'G-7 Rivers Data'!$T$5:$T$9,0),MATCH(T190,'G-7 Rivers Data'!$U$4:$Y$4,0)))),"")</f>
        <v/>
      </c>
      <c r="Z190" s="195"/>
      <c r="AA190" s="195"/>
      <c r="AB190" s="507" t="str">
        <f t="shared" si="19"/>
        <v/>
      </c>
      <c r="AC190" s="521" t="str">
        <f t="shared" si="20"/>
        <v/>
      </c>
      <c r="AD190" s="564" t="str">
        <f>IFERROR(IF(AC190="Check Data ⚠","Check Data ⚠",VLOOKUP(AC190,'G-4 Temporal multipliers'!$A$4:$C$37,3,FALSE)),"")</f>
        <v/>
      </c>
      <c r="AE190" s="498" t="str">
        <f>IF(N190="","",VLOOKUP(N190,'G-7 Rivers Data'!$B$4:$G$8,5,FALSE))</f>
        <v/>
      </c>
      <c r="AF190" s="507" t="str">
        <f t="shared" si="21"/>
        <v/>
      </c>
      <c r="AG190" s="540" t="str">
        <f t="shared" si="22"/>
        <v/>
      </c>
      <c r="AH190" s="499" t="str">
        <f t="shared" si="16"/>
        <v/>
      </c>
      <c r="AI190" s="145"/>
      <c r="AJ190" s="499" t="str">
        <f>IF(AI190="","",IF(VLOOKUP(AI190,'G-7 Rivers Data'!$AA$4:$AB$7,2,FALSE)=0,"Spatial Data Missing ⚠",VLOOKUP(AI190,'G-7 Rivers Data'!$AA$4:$AB$7,2,FALSE)))</f>
        <v/>
      </c>
      <c r="AK190" s="155"/>
      <c r="AL190" s="499" t="str">
        <f>IF(AK190="","",IF(VLOOKUP(AK190,'G-7 Rivers Data'!$AD$4:$AE$8,2,FALSE)=0,"Spatial Data Missing ⚠",VLOOKUP(AK190,'G-7 Rivers Data'!$AD$4:$AE$8,2,FALSE)))</f>
        <v/>
      </c>
      <c r="AM190" s="545" t="str">
        <f t="shared" si="23"/>
        <v/>
      </c>
      <c r="AN190" s="149"/>
      <c r="AO190" s="150"/>
      <c r="AV190" s="31" t="str">
        <f>IFERROR(INDEX('G-7 Rivers Data'!$AZ$3:$AZ$7,MATCH(N190,'G-7 Rivers Data'!$AY$3:$AY$7,0)),"")</f>
        <v/>
      </c>
    </row>
    <row r="191" spans="2:48" ht="13.8" x14ac:dyDescent="0.25">
      <c r="B191" s="531" t="str">
        <f>'C-1 Site River Baseline'!AN189</f>
        <v/>
      </c>
      <c r="C191" s="520" t="str">
        <f>IF(B191="","",VLOOKUP($B191,'C-1 Site River Baseline'!$C$9:$R$257,2,FALSE))</f>
        <v/>
      </c>
      <c r="D191" s="520" t="str">
        <f>IF(C191="","",VLOOKUP($B191,'C-1 Site River Baseline'!$C$9:$R$257,3,FALSE))</f>
        <v/>
      </c>
      <c r="E191" s="520" t="str">
        <f>IF(D191="","",VLOOKUP($B191,'C-1 Site River Baseline'!$C$9:$R$257,4,FALSE))</f>
        <v/>
      </c>
      <c r="F191" s="520" t="str">
        <f>IF(E191="","",VLOOKUP($B191,'C-1 Site River Baseline'!$C$9:$R$257,5,FALSE))</f>
        <v/>
      </c>
      <c r="G191" s="520" t="str">
        <f>IF(F191="","",VLOOKUP($B191,'C-1 Site River Baseline'!$C$9:$R$257,6,FALSE))</f>
        <v/>
      </c>
      <c r="H191" s="520" t="str">
        <f>IF(G191="","",VLOOKUP($B191,'C-1 Site River Baseline'!$C$9:$R$257,7,FALSE))</f>
        <v/>
      </c>
      <c r="I191" s="520" t="str">
        <f>IF(H191="","",VLOOKUP($B191,'C-1 Site River Baseline'!$C$9:$R$257,8,FALSE))</f>
        <v/>
      </c>
      <c r="J191" s="520" t="str">
        <f>IF(I191="","",VLOOKUP($B191,'C-1 Site River Baseline'!$C$9:$R$257,9,FALSE))</f>
        <v/>
      </c>
      <c r="K191" s="520" t="str">
        <f>IF(J191="","",VLOOKUP($B191,'C-1 Site River Baseline'!$C$9:$R$257,10,FALSE))</f>
        <v/>
      </c>
      <c r="L191" s="520" t="str">
        <f>IF(B191="","",VLOOKUP($B191,'C-1 Site River Baseline'!$C$9:$R$257,15,FALSE))</f>
        <v/>
      </c>
      <c r="M191" s="524" t="str">
        <f>IF(L191="","",VLOOKUP($B191,'C-1 Site River Baseline'!$C$9:$R$257,16,FALSE))</f>
        <v/>
      </c>
      <c r="N191" s="418" t="str">
        <f t="shared" si="17"/>
        <v/>
      </c>
      <c r="O191" s="498" t="str">
        <f t="shared" si="18"/>
        <v/>
      </c>
      <c r="P191" s="499"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7" t="str">
        <f>IF(N191="","",VLOOKUP(B191,'C-1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07" t="str">
        <f>IF(V191="","",IF(VLOOKUP(V191,'G-7 Rivers Data'!$AG$4:$AI$9,2,FALSE)=0,"Spatial Data Missing ⚠",VLOOKUP(V191,'G-7 Rivers Data'!$AG$4:$AI$9,2,FALSE)))</f>
        <v/>
      </c>
      <c r="X191" s="499" t="str">
        <f>IF(V191="","",IF(VLOOKUP(V191,'G-7 Rivers Data'!$AG$4:$AI$9,3,FALSE)=0,"Spatial Data Missing ⚠",VLOOKUP(V191,'G-7 Rivers Data'!$AG$4:$AI$9,3,FALSE)))</f>
        <v/>
      </c>
      <c r="Y191" s="498" t="str">
        <f>IFERROR(IF(OR(LEFT(P191,5)="Error ▲",LEFT(O191,5)="Error ▲"),"Check Data ⚠",IF(F191&lt;S191,'G-7 Rivers Data'!$R$3,INDEX('G-7 Rivers Data'!$U$5:$Y$9,MATCH(G191,'G-7 Rivers Data'!$T$5:$T$9,0),MATCH(T191,'G-7 Rivers Data'!$U$4:$Y$4,0)))),"")</f>
        <v/>
      </c>
      <c r="Z191" s="195"/>
      <c r="AA191" s="195"/>
      <c r="AB191" s="507" t="str">
        <f t="shared" si="19"/>
        <v/>
      </c>
      <c r="AC191" s="521" t="str">
        <f t="shared" si="20"/>
        <v/>
      </c>
      <c r="AD191" s="564" t="str">
        <f>IFERROR(IF(AC191="Check Data ⚠","Check Data ⚠",VLOOKUP(AC191,'G-4 Temporal multipliers'!$A$4:$C$37,3,FALSE)),"")</f>
        <v/>
      </c>
      <c r="AE191" s="498" t="str">
        <f>IF(N191="","",VLOOKUP(N191,'G-7 Rivers Data'!$B$4:$G$8,5,FALSE))</f>
        <v/>
      </c>
      <c r="AF191" s="507" t="str">
        <f t="shared" si="21"/>
        <v/>
      </c>
      <c r="AG191" s="540" t="str">
        <f t="shared" si="22"/>
        <v/>
      </c>
      <c r="AH191" s="499" t="str">
        <f t="shared" si="16"/>
        <v/>
      </c>
      <c r="AI191" s="145"/>
      <c r="AJ191" s="499" t="str">
        <f>IF(AI191="","",IF(VLOOKUP(AI191,'G-7 Rivers Data'!$AA$4:$AB$7,2,FALSE)=0,"Spatial Data Missing ⚠",VLOOKUP(AI191,'G-7 Rivers Data'!$AA$4:$AB$7,2,FALSE)))</f>
        <v/>
      </c>
      <c r="AK191" s="155"/>
      <c r="AL191" s="499" t="str">
        <f>IF(AK191="","",IF(VLOOKUP(AK191,'G-7 Rivers Data'!$AD$4:$AE$8,2,FALSE)=0,"Spatial Data Missing ⚠",VLOOKUP(AK191,'G-7 Rivers Data'!$AD$4:$AE$8,2,FALSE)))</f>
        <v/>
      </c>
      <c r="AM191" s="545" t="str">
        <f t="shared" si="23"/>
        <v/>
      </c>
      <c r="AN191" s="149"/>
      <c r="AO191" s="150"/>
      <c r="AV191" s="31" t="str">
        <f>IFERROR(INDEX('G-7 Rivers Data'!$AZ$3:$AZ$7,MATCH(N191,'G-7 Rivers Data'!$AY$3:$AY$7,0)),"")</f>
        <v/>
      </c>
    </row>
    <row r="192" spans="2:48" ht="13.8" x14ac:dyDescent="0.25">
      <c r="B192" s="531" t="str">
        <f>'C-1 Site River Baseline'!AN190</f>
        <v/>
      </c>
      <c r="C192" s="520" t="str">
        <f>IF(B192="","",VLOOKUP($B192,'C-1 Site River Baseline'!$C$9:$R$257,2,FALSE))</f>
        <v/>
      </c>
      <c r="D192" s="520" t="str">
        <f>IF(C192="","",VLOOKUP($B192,'C-1 Site River Baseline'!$C$9:$R$257,3,FALSE))</f>
        <v/>
      </c>
      <c r="E192" s="520" t="str">
        <f>IF(D192="","",VLOOKUP($B192,'C-1 Site River Baseline'!$C$9:$R$257,4,FALSE))</f>
        <v/>
      </c>
      <c r="F192" s="520" t="str">
        <f>IF(E192="","",VLOOKUP($B192,'C-1 Site River Baseline'!$C$9:$R$257,5,FALSE))</f>
        <v/>
      </c>
      <c r="G192" s="520" t="str">
        <f>IF(F192="","",VLOOKUP($B192,'C-1 Site River Baseline'!$C$9:$R$257,6,FALSE))</f>
        <v/>
      </c>
      <c r="H192" s="520" t="str">
        <f>IF(G192="","",VLOOKUP($B192,'C-1 Site River Baseline'!$C$9:$R$257,7,FALSE))</f>
        <v/>
      </c>
      <c r="I192" s="520" t="str">
        <f>IF(H192="","",VLOOKUP($B192,'C-1 Site River Baseline'!$C$9:$R$257,8,FALSE))</f>
        <v/>
      </c>
      <c r="J192" s="520" t="str">
        <f>IF(I192="","",VLOOKUP($B192,'C-1 Site River Baseline'!$C$9:$R$257,9,FALSE))</f>
        <v/>
      </c>
      <c r="K192" s="520" t="str">
        <f>IF(J192="","",VLOOKUP($B192,'C-1 Site River Baseline'!$C$9:$R$257,10,FALSE))</f>
        <v/>
      </c>
      <c r="L192" s="520" t="str">
        <f>IF(B192="","",VLOOKUP($B192,'C-1 Site River Baseline'!$C$9:$R$257,15,FALSE))</f>
        <v/>
      </c>
      <c r="M192" s="524" t="str">
        <f>IF(L192="","",VLOOKUP($B192,'C-1 Site River Baseline'!$C$9:$R$257,16,FALSE))</f>
        <v/>
      </c>
      <c r="N192" s="418" t="str">
        <f t="shared" si="17"/>
        <v/>
      </c>
      <c r="O192" s="498" t="str">
        <f t="shared" si="18"/>
        <v/>
      </c>
      <c r="P192" s="499"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7" t="str">
        <f>IF(N192="","",VLOOKUP(B192,'C-1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07" t="str">
        <f>IF(V192="","",IF(VLOOKUP(V192,'G-7 Rivers Data'!$AG$4:$AI$9,2,FALSE)=0,"Spatial Data Missing ⚠",VLOOKUP(V192,'G-7 Rivers Data'!$AG$4:$AI$9,2,FALSE)))</f>
        <v/>
      </c>
      <c r="X192" s="499" t="str">
        <f>IF(V192="","",IF(VLOOKUP(V192,'G-7 Rivers Data'!$AG$4:$AI$9,3,FALSE)=0,"Spatial Data Missing ⚠",VLOOKUP(V192,'G-7 Rivers Data'!$AG$4:$AI$9,3,FALSE)))</f>
        <v/>
      </c>
      <c r="Y192" s="498" t="str">
        <f>IFERROR(IF(OR(LEFT(P192,5)="Error ▲",LEFT(O192,5)="Error ▲"),"Check Data ⚠",IF(F192&lt;S192,'G-7 Rivers Data'!$R$3,INDEX('G-7 Rivers Data'!$U$5:$Y$9,MATCH(G192,'G-7 Rivers Data'!$T$5:$T$9,0),MATCH(T192,'G-7 Rivers Data'!$U$4:$Y$4,0)))),"")</f>
        <v/>
      </c>
      <c r="Z192" s="195"/>
      <c r="AA192" s="195"/>
      <c r="AB192" s="507" t="str">
        <f t="shared" si="19"/>
        <v/>
      </c>
      <c r="AC192" s="521" t="str">
        <f t="shared" si="20"/>
        <v/>
      </c>
      <c r="AD192" s="564" t="str">
        <f>IFERROR(IF(AC192="Check Data ⚠","Check Data ⚠",VLOOKUP(AC192,'G-4 Temporal multipliers'!$A$4:$C$37,3,FALSE)),"")</f>
        <v/>
      </c>
      <c r="AE192" s="498" t="str">
        <f>IF(N192="","",VLOOKUP(N192,'G-7 Rivers Data'!$B$4:$G$8,5,FALSE))</f>
        <v/>
      </c>
      <c r="AF192" s="507" t="str">
        <f t="shared" si="21"/>
        <v/>
      </c>
      <c r="AG192" s="540" t="str">
        <f t="shared" si="22"/>
        <v/>
      </c>
      <c r="AH192" s="499" t="str">
        <f t="shared" si="16"/>
        <v/>
      </c>
      <c r="AI192" s="145"/>
      <c r="AJ192" s="499" t="str">
        <f>IF(AI192="","",IF(VLOOKUP(AI192,'G-7 Rivers Data'!$AA$4:$AB$7,2,FALSE)=0,"Spatial Data Missing ⚠",VLOOKUP(AI192,'G-7 Rivers Data'!$AA$4:$AB$7,2,FALSE)))</f>
        <v/>
      </c>
      <c r="AK192" s="155"/>
      <c r="AL192" s="499" t="str">
        <f>IF(AK192="","",IF(VLOOKUP(AK192,'G-7 Rivers Data'!$AD$4:$AE$8,2,FALSE)=0,"Spatial Data Missing ⚠",VLOOKUP(AK192,'G-7 Rivers Data'!$AD$4:$AE$8,2,FALSE)))</f>
        <v/>
      </c>
      <c r="AM192" s="545" t="str">
        <f t="shared" si="23"/>
        <v/>
      </c>
      <c r="AN192" s="149"/>
      <c r="AO192" s="150"/>
      <c r="AV192" s="31" t="str">
        <f>IFERROR(INDEX('G-7 Rivers Data'!$AZ$3:$AZ$7,MATCH(N192,'G-7 Rivers Data'!$AY$3:$AY$7,0)),"")</f>
        <v/>
      </c>
    </row>
    <row r="193" spans="2:48" ht="13.8" x14ac:dyDescent="0.25">
      <c r="B193" s="531" t="str">
        <f>'C-1 Site River Baseline'!AN191</f>
        <v/>
      </c>
      <c r="C193" s="520" t="str">
        <f>IF(B193="","",VLOOKUP($B193,'C-1 Site River Baseline'!$C$9:$R$257,2,FALSE))</f>
        <v/>
      </c>
      <c r="D193" s="520" t="str">
        <f>IF(C193="","",VLOOKUP($B193,'C-1 Site River Baseline'!$C$9:$R$257,3,FALSE))</f>
        <v/>
      </c>
      <c r="E193" s="520" t="str">
        <f>IF(D193="","",VLOOKUP($B193,'C-1 Site River Baseline'!$C$9:$R$257,4,FALSE))</f>
        <v/>
      </c>
      <c r="F193" s="520" t="str">
        <f>IF(E193="","",VLOOKUP($B193,'C-1 Site River Baseline'!$C$9:$R$257,5,FALSE))</f>
        <v/>
      </c>
      <c r="G193" s="520" t="str">
        <f>IF(F193="","",VLOOKUP($B193,'C-1 Site River Baseline'!$C$9:$R$257,6,FALSE))</f>
        <v/>
      </c>
      <c r="H193" s="520" t="str">
        <f>IF(G193="","",VLOOKUP($B193,'C-1 Site River Baseline'!$C$9:$R$257,7,FALSE))</f>
        <v/>
      </c>
      <c r="I193" s="520" t="str">
        <f>IF(H193="","",VLOOKUP($B193,'C-1 Site River Baseline'!$C$9:$R$257,8,FALSE))</f>
        <v/>
      </c>
      <c r="J193" s="520" t="str">
        <f>IF(I193="","",VLOOKUP($B193,'C-1 Site River Baseline'!$C$9:$R$257,9,FALSE))</f>
        <v/>
      </c>
      <c r="K193" s="520" t="str">
        <f>IF(J193="","",VLOOKUP($B193,'C-1 Site River Baseline'!$C$9:$R$257,10,FALSE))</f>
        <v/>
      </c>
      <c r="L193" s="520" t="str">
        <f>IF(B193="","",VLOOKUP($B193,'C-1 Site River Baseline'!$C$9:$R$257,15,FALSE))</f>
        <v/>
      </c>
      <c r="M193" s="524" t="str">
        <f>IF(L193="","",VLOOKUP($B193,'C-1 Site River Baseline'!$C$9:$R$257,16,FALSE))</f>
        <v/>
      </c>
      <c r="N193" s="418" t="str">
        <f t="shared" si="17"/>
        <v/>
      </c>
      <c r="O193" s="498" t="str">
        <f t="shared" si="18"/>
        <v/>
      </c>
      <c r="P193" s="499"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7" t="str">
        <f>IF(N193="","",VLOOKUP(B193,'C-1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07" t="str">
        <f>IF(V193="","",IF(VLOOKUP(V193,'G-7 Rivers Data'!$AG$4:$AI$9,2,FALSE)=0,"Spatial Data Missing ⚠",VLOOKUP(V193,'G-7 Rivers Data'!$AG$4:$AI$9,2,FALSE)))</f>
        <v/>
      </c>
      <c r="X193" s="499" t="str">
        <f>IF(V193="","",IF(VLOOKUP(V193,'G-7 Rivers Data'!$AG$4:$AI$9,3,FALSE)=0,"Spatial Data Missing ⚠",VLOOKUP(V193,'G-7 Rivers Data'!$AG$4:$AI$9,3,FALSE)))</f>
        <v/>
      </c>
      <c r="Y193" s="498" t="str">
        <f>IFERROR(IF(OR(LEFT(P193,5)="Error ▲",LEFT(O193,5)="Error ▲"),"Check Data ⚠",IF(F193&lt;S193,'G-7 Rivers Data'!$R$3,INDEX('G-7 Rivers Data'!$U$5:$Y$9,MATCH(G193,'G-7 Rivers Data'!$T$5:$T$9,0),MATCH(T193,'G-7 Rivers Data'!$U$4:$Y$4,0)))),"")</f>
        <v/>
      </c>
      <c r="Z193" s="195"/>
      <c r="AA193" s="195"/>
      <c r="AB193" s="507" t="str">
        <f t="shared" si="19"/>
        <v/>
      </c>
      <c r="AC193" s="521" t="str">
        <f t="shared" si="20"/>
        <v/>
      </c>
      <c r="AD193" s="564" t="str">
        <f>IFERROR(IF(AC193="Check Data ⚠","Check Data ⚠",VLOOKUP(AC193,'G-4 Temporal multipliers'!$A$4:$C$37,3,FALSE)),"")</f>
        <v/>
      </c>
      <c r="AE193" s="498" t="str">
        <f>IF(N193="","",VLOOKUP(N193,'G-7 Rivers Data'!$B$4:$G$8,5,FALSE))</f>
        <v/>
      </c>
      <c r="AF193" s="507" t="str">
        <f t="shared" si="21"/>
        <v/>
      </c>
      <c r="AG193" s="540" t="str">
        <f t="shared" si="22"/>
        <v/>
      </c>
      <c r="AH193" s="499" t="str">
        <f t="shared" si="16"/>
        <v/>
      </c>
      <c r="AI193" s="145"/>
      <c r="AJ193" s="499" t="str">
        <f>IF(AI193="","",IF(VLOOKUP(AI193,'G-7 Rivers Data'!$AA$4:$AB$7,2,FALSE)=0,"Spatial Data Missing ⚠",VLOOKUP(AI193,'G-7 Rivers Data'!$AA$4:$AB$7,2,FALSE)))</f>
        <v/>
      </c>
      <c r="AK193" s="155"/>
      <c r="AL193" s="499" t="str">
        <f>IF(AK193="","",IF(VLOOKUP(AK193,'G-7 Rivers Data'!$AD$4:$AE$8,2,FALSE)=0,"Spatial Data Missing ⚠",VLOOKUP(AK193,'G-7 Rivers Data'!$AD$4:$AE$8,2,FALSE)))</f>
        <v/>
      </c>
      <c r="AM193" s="545" t="str">
        <f t="shared" si="23"/>
        <v/>
      </c>
      <c r="AN193" s="149"/>
      <c r="AO193" s="150"/>
      <c r="AV193" s="31" t="str">
        <f>IFERROR(INDEX('G-7 Rivers Data'!$AZ$3:$AZ$7,MATCH(N193,'G-7 Rivers Data'!$AY$3:$AY$7,0)),"")</f>
        <v/>
      </c>
    </row>
    <row r="194" spans="2:48" ht="13.8" x14ac:dyDescent="0.25">
      <c r="B194" s="531" t="str">
        <f>'C-1 Site River Baseline'!AN192</f>
        <v/>
      </c>
      <c r="C194" s="520" t="str">
        <f>IF(B194="","",VLOOKUP($B194,'C-1 Site River Baseline'!$C$9:$R$257,2,FALSE))</f>
        <v/>
      </c>
      <c r="D194" s="520" t="str">
        <f>IF(C194="","",VLOOKUP($B194,'C-1 Site River Baseline'!$C$9:$R$257,3,FALSE))</f>
        <v/>
      </c>
      <c r="E194" s="520" t="str">
        <f>IF(D194="","",VLOOKUP($B194,'C-1 Site River Baseline'!$C$9:$R$257,4,FALSE))</f>
        <v/>
      </c>
      <c r="F194" s="520" t="str">
        <f>IF(E194="","",VLOOKUP($B194,'C-1 Site River Baseline'!$C$9:$R$257,5,FALSE))</f>
        <v/>
      </c>
      <c r="G194" s="520" t="str">
        <f>IF(F194="","",VLOOKUP($B194,'C-1 Site River Baseline'!$C$9:$R$257,6,FALSE))</f>
        <v/>
      </c>
      <c r="H194" s="520" t="str">
        <f>IF(G194="","",VLOOKUP($B194,'C-1 Site River Baseline'!$C$9:$R$257,7,FALSE))</f>
        <v/>
      </c>
      <c r="I194" s="520" t="str">
        <f>IF(H194="","",VLOOKUP($B194,'C-1 Site River Baseline'!$C$9:$R$257,8,FALSE))</f>
        <v/>
      </c>
      <c r="J194" s="520" t="str">
        <f>IF(I194="","",VLOOKUP($B194,'C-1 Site River Baseline'!$C$9:$R$257,9,FALSE))</f>
        <v/>
      </c>
      <c r="K194" s="520" t="str">
        <f>IF(J194="","",VLOOKUP($B194,'C-1 Site River Baseline'!$C$9:$R$257,10,FALSE))</f>
        <v/>
      </c>
      <c r="L194" s="520" t="str">
        <f>IF(B194="","",VLOOKUP($B194,'C-1 Site River Baseline'!$C$9:$R$257,15,FALSE))</f>
        <v/>
      </c>
      <c r="M194" s="524" t="str">
        <f>IF(L194="","",VLOOKUP($B194,'C-1 Site River Baseline'!$C$9:$R$257,16,FALSE))</f>
        <v/>
      </c>
      <c r="N194" s="418" t="str">
        <f t="shared" si="17"/>
        <v/>
      </c>
      <c r="O194" s="498" t="str">
        <f t="shared" si="18"/>
        <v/>
      </c>
      <c r="P194" s="499"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7" t="str">
        <f>IF(N194="","",VLOOKUP(B194,'C-1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07" t="str">
        <f>IF(V194="","",IF(VLOOKUP(V194,'G-7 Rivers Data'!$AG$4:$AI$9,2,FALSE)=0,"Spatial Data Missing ⚠",VLOOKUP(V194,'G-7 Rivers Data'!$AG$4:$AI$9,2,FALSE)))</f>
        <v/>
      </c>
      <c r="X194" s="499" t="str">
        <f>IF(V194="","",IF(VLOOKUP(V194,'G-7 Rivers Data'!$AG$4:$AI$9,3,FALSE)=0,"Spatial Data Missing ⚠",VLOOKUP(V194,'G-7 Rivers Data'!$AG$4:$AI$9,3,FALSE)))</f>
        <v/>
      </c>
      <c r="Y194" s="498" t="str">
        <f>IFERROR(IF(OR(LEFT(P194,5)="Error ▲",LEFT(O194,5)="Error ▲"),"Check Data ⚠",IF(F194&lt;S194,'G-7 Rivers Data'!$R$3,INDEX('G-7 Rivers Data'!$U$5:$Y$9,MATCH(G194,'G-7 Rivers Data'!$T$5:$T$9,0),MATCH(T194,'G-7 Rivers Data'!$U$4:$Y$4,0)))),"")</f>
        <v/>
      </c>
      <c r="Z194" s="195"/>
      <c r="AA194" s="195"/>
      <c r="AB194" s="507" t="str">
        <f t="shared" si="19"/>
        <v/>
      </c>
      <c r="AC194" s="521" t="str">
        <f t="shared" si="20"/>
        <v/>
      </c>
      <c r="AD194" s="564" t="str">
        <f>IFERROR(IF(AC194="Check Data ⚠","Check Data ⚠",VLOOKUP(AC194,'G-4 Temporal multipliers'!$A$4:$C$37,3,FALSE)),"")</f>
        <v/>
      </c>
      <c r="AE194" s="498" t="str">
        <f>IF(N194="","",VLOOKUP(N194,'G-7 Rivers Data'!$B$4:$G$8,5,FALSE))</f>
        <v/>
      </c>
      <c r="AF194" s="507" t="str">
        <f t="shared" si="21"/>
        <v/>
      </c>
      <c r="AG194" s="540" t="str">
        <f t="shared" si="22"/>
        <v/>
      </c>
      <c r="AH194" s="499" t="str">
        <f t="shared" si="16"/>
        <v/>
      </c>
      <c r="AI194" s="145"/>
      <c r="AJ194" s="499" t="str">
        <f>IF(AI194="","",IF(VLOOKUP(AI194,'G-7 Rivers Data'!$AA$4:$AB$7,2,FALSE)=0,"Spatial Data Missing ⚠",VLOOKUP(AI194,'G-7 Rivers Data'!$AA$4:$AB$7,2,FALSE)))</f>
        <v/>
      </c>
      <c r="AK194" s="155"/>
      <c r="AL194" s="499" t="str">
        <f>IF(AK194="","",IF(VLOOKUP(AK194,'G-7 Rivers Data'!$AD$4:$AE$8,2,FALSE)=0,"Spatial Data Missing ⚠",VLOOKUP(AK194,'G-7 Rivers Data'!$AD$4:$AE$8,2,FALSE)))</f>
        <v/>
      </c>
      <c r="AM194" s="545" t="str">
        <f t="shared" si="23"/>
        <v/>
      </c>
      <c r="AN194" s="149"/>
      <c r="AO194" s="150"/>
      <c r="AV194" s="31" t="str">
        <f>IFERROR(INDEX('G-7 Rivers Data'!$AZ$3:$AZ$7,MATCH(N194,'G-7 Rivers Data'!$AY$3:$AY$7,0)),"")</f>
        <v/>
      </c>
    </row>
    <row r="195" spans="2:48" ht="13.8" x14ac:dyDescent="0.25">
      <c r="B195" s="531" t="str">
        <f>'C-1 Site River Baseline'!AN193</f>
        <v/>
      </c>
      <c r="C195" s="520" t="str">
        <f>IF(B195="","",VLOOKUP($B195,'C-1 Site River Baseline'!$C$9:$R$257,2,FALSE))</f>
        <v/>
      </c>
      <c r="D195" s="520" t="str">
        <f>IF(C195="","",VLOOKUP($B195,'C-1 Site River Baseline'!$C$9:$R$257,3,FALSE))</f>
        <v/>
      </c>
      <c r="E195" s="520" t="str">
        <f>IF(D195="","",VLOOKUP($B195,'C-1 Site River Baseline'!$C$9:$R$257,4,FALSE))</f>
        <v/>
      </c>
      <c r="F195" s="520" t="str">
        <f>IF(E195="","",VLOOKUP($B195,'C-1 Site River Baseline'!$C$9:$R$257,5,FALSE))</f>
        <v/>
      </c>
      <c r="G195" s="520" t="str">
        <f>IF(F195="","",VLOOKUP($B195,'C-1 Site River Baseline'!$C$9:$R$257,6,FALSE))</f>
        <v/>
      </c>
      <c r="H195" s="520" t="str">
        <f>IF(G195="","",VLOOKUP($B195,'C-1 Site River Baseline'!$C$9:$R$257,7,FALSE))</f>
        <v/>
      </c>
      <c r="I195" s="520" t="str">
        <f>IF(H195="","",VLOOKUP($B195,'C-1 Site River Baseline'!$C$9:$R$257,8,FALSE))</f>
        <v/>
      </c>
      <c r="J195" s="520" t="str">
        <f>IF(I195="","",VLOOKUP($B195,'C-1 Site River Baseline'!$C$9:$R$257,9,FALSE))</f>
        <v/>
      </c>
      <c r="K195" s="520" t="str">
        <f>IF(J195="","",VLOOKUP($B195,'C-1 Site River Baseline'!$C$9:$R$257,10,FALSE))</f>
        <v/>
      </c>
      <c r="L195" s="520" t="str">
        <f>IF(B195="","",VLOOKUP($B195,'C-1 Site River Baseline'!$C$9:$R$257,15,FALSE))</f>
        <v/>
      </c>
      <c r="M195" s="524" t="str">
        <f>IF(L195="","",VLOOKUP($B195,'C-1 Site River Baseline'!$C$9:$R$257,16,FALSE))</f>
        <v/>
      </c>
      <c r="N195" s="418" t="str">
        <f t="shared" si="17"/>
        <v/>
      </c>
      <c r="O195" s="498" t="str">
        <f t="shared" si="18"/>
        <v/>
      </c>
      <c r="P195" s="499"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7" t="str">
        <f>IF(N195="","",VLOOKUP(B195,'C-1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07" t="str">
        <f>IF(V195="","",IF(VLOOKUP(V195,'G-7 Rivers Data'!$AG$4:$AI$9,2,FALSE)=0,"Spatial Data Missing ⚠",VLOOKUP(V195,'G-7 Rivers Data'!$AG$4:$AI$9,2,FALSE)))</f>
        <v/>
      </c>
      <c r="X195" s="499" t="str">
        <f>IF(V195="","",IF(VLOOKUP(V195,'G-7 Rivers Data'!$AG$4:$AI$9,3,FALSE)=0,"Spatial Data Missing ⚠",VLOOKUP(V195,'G-7 Rivers Data'!$AG$4:$AI$9,3,FALSE)))</f>
        <v/>
      </c>
      <c r="Y195" s="498" t="str">
        <f>IFERROR(IF(OR(LEFT(P195,5)="Error ▲",LEFT(O195,5)="Error ▲"),"Check Data ⚠",IF(F195&lt;S195,'G-7 Rivers Data'!$R$3,INDEX('G-7 Rivers Data'!$U$5:$Y$9,MATCH(G195,'G-7 Rivers Data'!$T$5:$T$9,0),MATCH(T195,'G-7 Rivers Data'!$U$4:$Y$4,0)))),"")</f>
        <v/>
      </c>
      <c r="Z195" s="195"/>
      <c r="AA195" s="195"/>
      <c r="AB195" s="507" t="str">
        <f t="shared" si="19"/>
        <v/>
      </c>
      <c r="AC195" s="521" t="str">
        <f t="shared" si="20"/>
        <v/>
      </c>
      <c r="AD195" s="564" t="str">
        <f>IFERROR(IF(AC195="Check Data ⚠","Check Data ⚠",VLOOKUP(AC195,'G-4 Temporal multipliers'!$A$4:$C$37,3,FALSE)),"")</f>
        <v/>
      </c>
      <c r="AE195" s="498" t="str">
        <f>IF(N195="","",VLOOKUP(N195,'G-7 Rivers Data'!$B$4:$G$8,5,FALSE))</f>
        <v/>
      </c>
      <c r="AF195" s="507" t="str">
        <f t="shared" si="21"/>
        <v/>
      </c>
      <c r="AG195" s="540" t="str">
        <f t="shared" si="22"/>
        <v/>
      </c>
      <c r="AH195" s="499" t="str">
        <f t="shared" si="16"/>
        <v/>
      </c>
      <c r="AI195" s="145"/>
      <c r="AJ195" s="499" t="str">
        <f>IF(AI195="","",IF(VLOOKUP(AI195,'G-7 Rivers Data'!$AA$4:$AB$7,2,FALSE)=0,"Spatial Data Missing ⚠",VLOOKUP(AI195,'G-7 Rivers Data'!$AA$4:$AB$7,2,FALSE)))</f>
        <v/>
      </c>
      <c r="AK195" s="155"/>
      <c r="AL195" s="499" t="str">
        <f>IF(AK195="","",IF(VLOOKUP(AK195,'G-7 Rivers Data'!$AD$4:$AE$8,2,FALSE)=0,"Spatial Data Missing ⚠",VLOOKUP(AK195,'G-7 Rivers Data'!$AD$4:$AE$8,2,FALSE)))</f>
        <v/>
      </c>
      <c r="AM195" s="545" t="str">
        <f t="shared" si="23"/>
        <v/>
      </c>
      <c r="AN195" s="149"/>
      <c r="AO195" s="150"/>
      <c r="AV195" s="31" t="str">
        <f>IFERROR(INDEX('G-7 Rivers Data'!$AZ$3:$AZ$7,MATCH(N195,'G-7 Rivers Data'!$AY$3:$AY$7,0)),"")</f>
        <v/>
      </c>
    </row>
    <row r="196" spans="2:48" ht="13.8" x14ac:dyDescent="0.25">
      <c r="B196" s="531" t="str">
        <f>'C-1 Site River Baseline'!AN194</f>
        <v/>
      </c>
      <c r="C196" s="520" t="str">
        <f>IF(B196="","",VLOOKUP($B196,'C-1 Site River Baseline'!$C$9:$R$257,2,FALSE))</f>
        <v/>
      </c>
      <c r="D196" s="520" t="str">
        <f>IF(C196="","",VLOOKUP($B196,'C-1 Site River Baseline'!$C$9:$R$257,3,FALSE))</f>
        <v/>
      </c>
      <c r="E196" s="520" t="str">
        <f>IF(D196="","",VLOOKUP($B196,'C-1 Site River Baseline'!$C$9:$R$257,4,FALSE))</f>
        <v/>
      </c>
      <c r="F196" s="520" t="str">
        <f>IF(E196="","",VLOOKUP($B196,'C-1 Site River Baseline'!$C$9:$R$257,5,FALSE))</f>
        <v/>
      </c>
      <c r="G196" s="520" t="str">
        <f>IF(F196="","",VLOOKUP($B196,'C-1 Site River Baseline'!$C$9:$R$257,6,FALSE))</f>
        <v/>
      </c>
      <c r="H196" s="520" t="str">
        <f>IF(G196="","",VLOOKUP($B196,'C-1 Site River Baseline'!$C$9:$R$257,7,FALSE))</f>
        <v/>
      </c>
      <c r="I196" s="520" t="str">
        <f>IF(H196="","",VLOOKUP($B196,'C-1 Site River Baseline'!$C$9:$R$257,8,FALSE))</f>
        <v/>
      </c>
      <c r="J196" s="520" t="str">
        <f>IF(I196="","",VLOOKUP($B196,'C-1 Site River Baseline'!$C$9:$R$257,9,FALSE))</f>
        <v/>
      </c>
      <c r="K196" s="520" t="str">
        <f>IF(J196="","",VLOOKUP($B196,'C-1 Site River Baseline'!$C$9:$R$257,10,FALSE))</f>
        <v/>
      </c>
      <c r="L196" s="520" t="str">
        <f>IF(B196="","",VLOOKUP($B196,'C-1 Site River Baseline'!$C$9:$R$257,15,FALSE))</f>
        <v/>
      </c>
      <c r="M196" s="524" t="str">
        <f>IF(L196="","",VLOOKUP($B196,'C-1 Site River Baseline'!$C$9:$R$257,16,FALSE))</f>
        <v/>
      </c>
      <c r="N196" s="418" t="str">
        <f t="shared" si="17"/>
        <v/>
      </c>
      <c r="O196" s="498" t="str">
        <f t="shared" si="18"/>
        <v/>
      </c>
      <c r="P196" s="499"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7" t="str">
        <f>IF(N196="","",VLOOKUP(B196,'C-1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07" t="str">
        <f>IF(V196="","",IF(VLOOKUP(V196,'G-7 Rivers Data'!$AG$4:$AI$9,2,FALSE)=0,"Spatial Data Missing ⚠",VLOOKUP(V196,'G-7 Rivers Data'!$AG$4:$AI$9,2,FALSE)))</f>
        <v/>
      </c>
      <c r="X196" s="499" t="str">
        <f>IF(V196="","",IF(VLOOKUP(V196,'G-7 Rivers Data'!$AG$4:$AI$9,3,FALSE)=0,"Spatial Data Missing ⚠",VLOOKUP(V196,'G-7 Rivers Data'!$AG$4:$AI$9,3,FALSE)))</f>
        <v/>
      </c>
      <c r="Y196" s="498" t="str">
        <f>IFERROR(IF(OR(LEFT(P196,5)="Error ▲",LEFT(O196,5)="Error ▲"),"Check Data ⚠",IF(F196&lt;S196,'G-7 Rivers Data'!$R$3,INDEX('G-7 Rivers Data'!$U$5:$Y$9,MATCH(G196,'G-7 Rivers Data'!$T$5:$T$9,0),MATCH(T196,'G-7 Rivers Data'!$U$4:$Y$4,0)))),"")</f>
        <v/>
      </c>
      <c r="Z196" s="195"/>
      <c r="AA196" s="195"/>
      <c r="AB196" s="507" t="str">
        <f t="shared" si="19"/>
        <v/>
      </c>
      <c r="AC196" s="521" t="str">
        <f t="shared" si="20"/>
        <v/>
      </c>
      <c r="AD196" s="564" t="str">
        <f>IFERROR(IF(AC196="Check Data ⚠","Check Data ⚠",VLOOKUP(AC196,'G-4 Temporal multipliers'!$A$4:$C$37,3,FALSE)),"")</f>
        <v/>
      </c>
      <c r="AE196" s="498" t="str">
        <f>IF(N196="","",VLOOKUP(N196,'G-7 Rivers Data'!$B$4:$G$8,5,FALSE))</f>
        <v/>
      </c>
      <c r="AF196" s="507" t="str">
        <f t="shared" si="21"/>
        <v/>
      </c>
      <c r="AG196" s="540" t="str">
        <f t="shared" si="22"/>
        <v/>
      </c>
      <c r="AH196" s="499" t="str">
        <f t="shared" si="16"/>
        <v/>
      </c>
      <c r="AI196" s="145"/>
      <c r="AJ196" s="499" t="str">
        <f>IF(AI196="","",IF(VLOOKUP(AI196,'G-7 Rivers Data'!$AA$4:$AB$7,2,FALSE)=0,"Spatial Data Missing ⚠",VLOOKUP(AI196,'G-7 Rivers Data'!$AA$4:$AB$7,2,FALSE)))</f>
        <v/>
      </c>
      <c r="AK196" s="155"/>
      <c r="AL196" s="499" t="str">
        <f>IF(AK196="","",IF(VLOOKUP(AK196,'G-7 Rivers Data'!$AD$4:$AE$8,2,FALSE)=0,"Spatial Data Missing ⚠",VLOOKUP(AK196,'G-7 Rivers Data'!$AD$4:$AE$8,2,FALSE)))</f>
        <v/>
      </c>
      <c r="AM196" s="545" t="str">
        <f t="shared" si="23"/>
        <v/>
      </c>
      <c r="AN196" s="149"/>
      <c r="AO196" s="150"/>
      <c r="AV196" s="31" t="str">
        <f>IFERROR(INDEX('G-7 Rivers Data'!$AZ$3:$AZ$7,MATCH(N196,'G-7 Rivers Data'!$AY$3:$AY$7,0)),"")</f>
        <v/>
      </c>
    </row>
    <row r="197" spans="2:48" ht="13.8" x14ac:dyDescent="0.25">
      <c r="B197" s="531" t="str">
        <f>'C-1 Site River Baseline'!AN195</f>
        <v/>
      </c>
      <c r="C197" s="520" t="str">
        <f>IF(B197="","",VLOOKUP($B197,'C-1 Site River Baseline'!$C$9:$R$257,2,FALSE))</f>
        <v/>
      </c>
      <c r="D197" s="520" t="str">
        <f>IF(C197="","",VLOOKUP($B197,'C-1 Site River Baseline'!$C$9:$R$257,3,FALSE))</f>
        <v/>
      </c>
      <c r="E197" s="520" t="str">
        <f>IF(D197="","",VLOOKUP($B197,'C-1 Site River Baseline'!$C$9:$R$257,4,FALSE))</f>
        <v/>
      </c>
      <c r="F197" s="520" t="str">
        <f>IF(E197="","",VLOOKUP($B197,'C-1 Site River Baseline'!$C$9:$R$257,5,FALSE))</f>
        <v/>
      </c>
      <c r="G197" s="520" t="str">
        <f>IF(F197="","",VLOOKUP($B197,'C-1 Site River Baseline'!$C$9:$R$257,6,FALSE))</f>
        <v/>
      </c>
      <c r="H197" s="520" t="str">
        <f>IF(G197="","",VLOOKUP($B197,'C-1 Site River Baseline'!$C$9:$R$257,7,FALSE))</f>
        <v/>
      </c>
      <c r="I197" s="520" t="str">
        <f>IF(H197="","",VLOOKUP($B197,'C-1 Site River Baseline'!$C$9:$R$257,8,FALSE))</f>
        <v/>
      </c>
      <c r="J197" s="520" t="str">
        <f>IF(I197="","",VLOOKUP($B197,'C-1 Site River Baseline'!$C$9:$R$257,9,FALSE))</f>
        <v/>
      </c>
      <c r="K197" s="520" t="str">
        <f>IF(J197="","",VLOOKUP($B197,'C-1 Site River Baseline'!$C$9:$R$257,10,FALSE))</f>
        <v/>
      </c>
      <c r="L197" s="520" t="str">
        <f>IF(B197="","",VLOOKUP($B197,'C-1 Site River Baseline'!$C$9:$R$257,15,FALSE))</f>
        <v/>
      </c>
      <c r="M197" s="524" t="str">
        <f>IF(L197="","",VLOOKUP($B197,'C-1 Site River Baseline'!$C$9:$R$257,16,FALSE))</f>
        <v/>
      </c>
      <c r="N197" s="418" t="str">
        <f t="shared" si="17"/>
        <v/>
      </c>
      <c r="O197" s="498" t="str">
        <f t="shared" si="18"/>
        <v/>
      </c>
      <c r="P197" s="499"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7" t="str">
        <f>IF(N197="","",VLOOKUP(B197,'C-1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07" t="str">
        <f>IF(V197="","",IF(VLOOKUP(V197,'G-7 Rivers Data'!$AG$4:$AI$9,2,FALSE)=0,"Spatial Data Missing ⚠",VLOOKUP(V197,'G-7 Rivers Data'!$AG$4:$AI$9,2,FALSE)))</f>
        <v/>
      </c>
      <c r="X197" s="499" t="str">
        <f>IF(V197="","",IF(VLOOKUP(V197,'G-7 Rivers Data'!$AG$4:$AI$9,3,FALSE)=0,"Spatial Data Missing ⚠",VLOOKUP(V197,'G-7 Rivers Data'!$AG$4:$AI$9,3,FALSE)))</f>
        <v/>
      </c>
      <c r="Y197" s="498" t="str">
        <f>IFERROR(IF(OR(LEFT(P197,5)="Error ▲",LEFT(O197,5)="Error ▲"),"Check Data ⚠",IF(F197&lt;S197,'G-7 Rivers Data'!$R$3,INDEX('G-7 Rivers Data'!$U$5:$Y$9,MATCH(G197,'G-7 Rivers Data'!$T$5:$T$9,0),MATCH(T197,'G-7 Rivers Data'!$U$4:$Y$4,0)))),"")</f>
        <v/>
      </c>
      <c r="Z197" s="195"/>
      <c r="AA197" s="195"/>
      <c r="AB197" s="507" t="str">
        <f t="shared" si="19"/>
        <v/>
      </c>
      <c r="AC197" s="521" t="str">
        <f t="shared" si="20"/>
        <v/>
      </c>
      <c r="AD197" s="564" t="str">
        <f>IFERROR(IF(AC197="Check Data ⚠","Check Data ⚠",VLOOKUP(AC197,'G-4 Temporal multipliers'!$A$4:$C$37,3,FALSE)),"")</f>
        <v/>
      </c>
      <c r="AE197" s="498" t="str">
        <f>IF(N197="","",VLOOKUP(N197,'G-7 Rivers Data'!$B$4:$G$8,5,FALSE))</f>
        <v/>
      </c>
      <c r="AF197" s="507" t="str">
        <f t="shared" si="21"/>
        <v/>
      </c>
      <c r="AG197" s="540" t="str">
        <f t="shared" si="22"/>
        <v/>
      </c>
      <c r="AH197" s="499" t="str">
        <f t="shared" si="16"/>
        <v/>
      </c>
      <c r="AI197" s="145"/>
      <c r="AJ197" s="499" t="str">
        <f>IF(AI197="","",IF(VLOOKUP(AI197,'G-7 Rivers Data'!$AA$4:$AB$7,2,FALSE)=0,"Spatial Data Missing ⚠",VLOOKUP(AI197,'G-7 Rivers Data'!$AA$4:$AB$7,2,FALSE)))</f>
        <v/>
      </c>
      <c r="AK197" s="155"/>
      <c r="AL197" s="499" t="str">
        <f>IF(AK197="","",IF(VLOOKUP(AK197,'G-7 Rivers Data'!$AD$4:$AE$8,2,FALSE)=0,"Spatial Data Missing ⚠",VLOOKUP(AK197,'G-7 Rivers Data'!$AD$4:$AE$8,2,FALSE)))</f>
        <v/>
      </c>
      <c r="AM197" s="545" t="str">
        <f t="shared" si="23"/>
        <v/>
      </c>
      <c r="AN197" s="149"/>
      <c r="AO197" s="150"/>
      <c r="AV197" s="31" t="str">
        <f>IFERROR(INDEX('G-7 Rivers Data'!$AZ$3:$AZ$7,MATCH(N197,'G-7 Rivers Data'!$AY$3:$AY$7,0)),"")</f>
        <v/>
      </c>
    </row>
    <row r="198" spans="2:48" ht="13.8" x14ac:dyDescent="0.25">
      <c r="B198" s="531" t="str">
        <f>'C-1 Site River Baseline'!AN196</f>
        <v/>
      </c>
      <c r="C198" s="520" t="str">
        <f>IF(B198="","",VLOOKUP($B198,'C-1 Site River Baseline'!$C$9:$R$257,2,FALSE))</f>
        <v/>
      </c>
      <c r="D198" s="520" t="str">
        <f>IF(C198="","",VLOOKUP($B198,'C-1 Site River Baseline'!$C$9:$R$257,3,FALSE))</f>
        <v/>
      </c>
      <c r="E198" s="520" t="str">
        <f>IF(D198="","",VLOOKUP($B198,'C-1 Site River Baseline'!$C$9:$R$257,4,FALSE))</f>
        <v/>
      </c>
      <c r="F198" s="520" t="str">
        <f>IF(E198="","",VLOOKUP($B198,'C-1 Site River Baseline'!$C$9:$R$257,5,FALSE))</f>
        <v/>
      </c>
      <c r="G198" s="520" t="str">
        <f>IF(F198="","",VLOOKUP($B198,'C-1 Site River Baseline'!$C$9:$R$257,6,FALSE))</f>
        <v/>
      </c>
      <c r="H198" s="520" t="str">
        <f>IF(G198="","",VLOOKUP($B198,'C-1 Site River Baseline'!$C$9:$R$257,7,FALSE))</f>
        <v/>
      </c>
      <c r="I198" s="520" t="str">
        <f>IF(H198="","",VLOOKUP($B198,'C-1 Site River Baseline'!$C$9:$R$257,8,FALSE))</f>
        <v/>
      </c>
      <c r="J198" s="520" t="str">
        <f>IF(I198="","",VLOOKUP($B198,'C-1 Site River Baseline'!$C$9:$R$257,9,FALSE))</f>
        <v/>
      </c>
      <c r="K198" s="520" t="str">
        <f>IF(J198="","",VLOOKUP($B198,'C-1 Site River Baseline'!$C$9:$R$257,10,FALSE))</f>
        <v/>
      </c>
      <c r="L198" s="520" t="str">
        <f>IF(B198="","",VLOOKUP($B198,'C-1 Site River Baseline'!$C$9:$R$257,15,FALSE))</f>
        <v/>
      </c>
      <c r="M198" s="524" t="str">
        <f>IF(L198="","",VLOOKUP($B198,'C-1 Site River Baseline'!$C$9:$R$257,16,FALSE))</f>
        <v/>
      </c>
      <c r="N198" s="418" t="str">
        <f t="shared" si="17"/>
        <v/>
      </c>
      <c r="O198" s="498" t="str">
        <f t="shared" si="18"/>
        <v/>
      </c>
      <c r="P198" s="499"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7" t="str">
        <f>IF(N198="","",VLOOKUP(B198,'C-1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07" t="str">
        <f>IF(V198="","",IF(VLOOKUP(V198,'G-7 Rivers Data'!$AG$4:$AI$9,2,FALSE)=0,"Spatial Data Missing ⚠",VLOOKUP(V198,'G-7 Rivers Data'!$AG$4:$AI$9,2,FALSE)))</f>
        <v/>
      </c>
      <c r="X198" s="499" t="str">
        <f>IF(V198="","",IF(VLOOKUP(V198,'G-7 Rivers Data'!$AG$4:$AI$9,3,FALSE)=0,"Spatial Data Missing ⚠",VLOOKUP(V198,'G-7 Rivers Data'!$AG$4:$AI$9,3,FALSE)))</f>
        <v/>
      </c>
      <c r="Y198" s="498" t="str">
        <f>IFERROR(IF(OR(LEFT(P198,5)="Error ▲",LEFT(O198,5)="Error ▲"),"Check Data ⚠",IF(F198&lt;S198,'G-7 Rivers Data'!$R$3,INDEX('G-7 Rivers Data'!$U$5:$Y$9,MATCH(G198,'G-7 Rivers Data'!$T$5:$T$9,0),MATCH(T198,'G-7 Rivers Data'!$U$4:$Y$4,0)))),"")</f>
        <v/>
      </c>
      <c r="Z198" s="195"/>
      <c r="AA198" s="195"/>
      <c r="AB198" s="507" t="str">
        <f t="shared" si="19"/>
        <v/>
      </c>
      <c r="AC198" s="521" t="str">
        <f t="shared" si="20"/>
        <v/>
      </c>
      <c r="AD198" s="564" t="str">
        <f>IFERROR(IF(AC198="Check Data ⚠","Check Data ⚠",VLOOKUP(AC198,'G-4 Temporal multipliers'!$A$4:$C$37,3,FALSE)),"")</f>
        <v/>
      </c>
      <c r="AE198" s="498" t="str">
        <f>IF(N198="","",VLOOKUP(N198,'G-7 Rivers Data'!$B$4:$G$8,5,FALSE))</f>
        <v/>
      </c>
      <c r="AF198" s="507" t="str">
        <f t="shared" si="21"/>
        <v/>
      </c>
      <c r="AG198" s="540" t="str">
        <f t="shared" si="22"/>
        <v/>
      </c>
      <c r="AH198" s="499" t="str">
        <f t="shared" si="16"/>
        <v/>
      </c>
      <c r="AI198" s="145"/>
      <c r="AJ198" s="499" t="str">
        <f>IF(AI198="","",IF(VLOOKUP(AI198,'G-7 Rivers Data'!$AA$4:$AB$7,2,FALSE)=0,"Spatial Data Missing ⚠",VLOOKUP(AI198,'G-7 Rivers Data'!$AA$4:$AB$7,2,FALSE)))</f>
        <v/>
      </c>
      <c r="AK198" s="155"/>
      <c r="AL198" s="499" t="str">
        <f>IF(AK198="","",IF(VLOOKUP(AK198,'G-7 Rivers Data'!$AD$4:$AE$8,2,FALSE)=0,"Spatial Data Missing ⚠",VLOOKUP(AK198,'G-7 Rivers Data'!$AD$4:$AE$8,2,FALSE)))</f>
        <v/>
      </c>
      <c r="AM198" s="545" t="str">
        <f t="shared" si="23"/>
        <v/>
      </c>
      <c r="AN198" s="149"/>
      <c r="AO198" s="150"/>
      <c r="AV198" s="31" t="str">
        <f>IFERROR(INDEX('G-7 Rivers Data'!$AZ$3:$AZ$7,MATCH(N198,'G-7 Rivers Data'!$AY$3:$AY$7,0)),"")</f>
        <v/>
      </c>
    </row>
    <row r="199" spans="2:48" ht="13.8" x14ac:dyDescent="0.25">
      <c r="B199" s="531" t="str">
        <f>'C-1 Site River Baseline'!AN197</f>
        <v/>
      </c>
      <c r="C199" s="520" t="str">
        <f>IF(B199="","",VLOOKUP($B199,'C-1 Site River Baseline'!$C$9:$R$257,2,FALSE))</f>
        <v/>
      </c>
      <c r="D199" s="520" t="str">
        <f>IF(C199="","",VLOOKUP($B199,'C-1 Site River Baseline'!$C$9:$R$257,3,FALSE))</f>
        <v/>
      </c>
      <c r="E199" s="520" t="str">
        <f>IF(D199="","",VLOOKUP($B199,'C-1 Site River Baseline'!$C$9:$R$257,4,FALSE))</f>
        <v/>
      </c>
      <c r="F199" s="520" t="str">
        <f>IF(E199="","",VLOOKUP($B199,'C-1 Site River Baseline'!$C$9:$R$257,5,FALSE))</f>
        <v/>
      </c>
      <c r="G199" s="520" t="str">
        <f>IF(F199="","",VLOOKUP($B199,'C-1 Site River Baseline'!$C$9:$R$257,6,FALSE))</f>
        <v/>
      </c>
      <c r="H199" s="520" t="str">
        <f>IF(G199="","",VLOOKUP($B199,'C-1 Site River Baseline'!$C$9:$R$257,7,FALSE))</f>
        <v/>
      </c>
      <c r="I199" s="520" t="str">
        <f>IF(H199="","",VLOOKUP($B199,'C-1 Site River Baseline'!$C$9:$R$257,8,FALSE))</f>
        <v/>
      </c>
      <c r="J199" s="520" t="str">
        <f>IF(I199="","",VLOOKUP($B199,'C-1 Site River Baseline'!$C$9:$R$257,9,FALSE))</f>
        <v/>
      </c>
      <c r="K199" s="520" t="str">
        <f>IF(J199="","",VLOOKUP($B199,'C-1 Site River Baseline'!$C$9:$R$257,10,FALSE))</f>
        <v/>
      </c>
      <c r="L199" s="520" t="str">
        <f>IF(B199="","",VLOOKUP($B199,'C-1 Site River Baseline'!$C$9:$R$257,15,FALSE))</f>
        <v/>
      </c>
      <c r="M199" s="524" t="str">
        <f>IF(L199="","",VLOOKUP($B199,'C-1 Site River Baseline'!$C$9:$R$257,16,FALSE))</f>
        <v/>
      </c>
      <c r="N199" s="418" t="str">
        <f t="shared" si="17"/>
        <v/>
      </c>
      <c r="O199" s="498" t="str">
        <f t="shared" si="18"/>
        <v/>
      </c>
      <c r="P199" s="499"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7" t="str">
        <f>IF(N199="","",VLOOKUP(B199,'C-1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07" t="str">
        <f>IF(V199="","",IF(VLOOKUP(V199,'G-7 Rivers Data'!$AG$4:$AI$9,2,FALSE)=0,"Spatial Data Missing ⚠",VLOOKUP(V199,'G-7 Rivers Data'!$AG$4:$AI$9,2,FALSE)))</f>
        <v/>
      </c>
      <c r="X199" s="499" t="str">
        <f>IF(V199="","",IF(VLOOKUP(V199,'G-7 Rivers Data'!$AG$4:$AI$9,3,FALSE)=0,"Spatial Data Missing ⚠",VLOOKUP(V199,'G-7 Rivers Data'!$AG$4:$AI$9,3,FALSE)))</f>
        <v/>
      </c>
      <c r="Y199" s="498" t="str">
        <f>IFERROR(IF(OR(LEFT(P199,5)="Error ▲",LEFT(O199,5)="Error ▲"),"Check Data ⚠",IF(F199&lt;S199,'G-7 Rivers Data'!$R$3,INDEX('G-7 Rivers Data'!$U$5:$Y$9,MATCH(G199,'G-7 Rivers Data'!$T$5:$T$9,0),MATCH(T199,'G-7 Rivers Data'!$U$4:$Y$4,0)))),"")</f>
        <v/>
      </c>
      <c r="Z199" s="195"/>
      <c r="AA199" s="195"/>
      <c r="AB199" s="507" t="str">
        <f t="shared" si="19"/>
        <v/>
      </c>
      <c r="AC199" s="521" t="str">
        <f t="shared" si="20"/>
        <v/>
      </c>
      <c r="AD199" s="564" t="str">
        <f>IFERROR(IF(AC199="Check Data ⚠","Check Data ⚠",VLOOKUP(AC199,'G-4 Temporal multipliers'!$A$4:$C$37,3,FALSE)),"")</f>
        <v/>
      </c>
      <c r="AE199" s="498" t="str">
        <f>IF(N199="","",VLOOKUP(N199,'G-7 Rivers Data'!$B$4:$G$8,5,FALSE))</f>
        <v/>
      </c>
      <c r="AF199" s="507" t="str">
        <f t="shared" si="21"/>
        <v/>
      </c>
      <c r="AG199" s="540" t="str">
        <f t="shared" si="22"/>
        <v/>
      </c>
      <c r="AH199" s="499" t="str">
        <f t="shared" si="16"/>
        <v/>
      </c>
      <c r="AI199" s="145"/>
      <c r="AJ199" s="499" t="str">
        <f>IF(AI199="","",IF(VLOOKUP(AI199,'G-7 Rivers Data'!$AA$4:$AB$7,2,FALSE)=0,"Spatial Data Missing ⚠",VLOOKUP(AI199,'G-7 Rivers Data'!$AA$4:$AB$7,2,FALSE)))</f>
        <v/>
      </c>
      <c r="AK199" s="155"/>
      <c r="AL199" s="499" t="str">
        <f>IF(AK199="","",IF(VLOOKUP(AK199,'G-7 Rivers Data'!$AD$4:$AE$8,2,FALSE)=0,"Spatial Data Missing ⚠",VLOOKUP(AK199,'G-7 Rivers Data'!$AD$4:$AE$8,2,FALSE)))</f>
        <v/>
      </c>
      <c r="AM199" s="545" t="str">
        <f t="shared" si="23"/>
        <v/>
      </c>
      <c r="AN199" s="149"/>
      <c r="AO199" s="150"/>
      <c r="AV199" s="31" t="str">
        <f>IFERROR(INDEX('G-7 Rivers Data'!$AZ$3:$AZ$7,MATCH(N199,'G-7 Rivers Data'!$AY$3:$AY$7,0)),"")</f>
        <v/>
      </c>
    </row>
    <row r="200" spans="2:48" ht="13.8" x14ac:dyDescent="0.25">
      <c r="B200" s="531" t="str">
        <f>'C-1 Site River Baseline'!AN198</f>
        <v/>
      </c>
      <c r="C200" s="520" t="str">
        <f>IF(B200="","",VLOOKUP($B200,'C-1 Site River Baseline'!$C$9:$R$257,2,FALSE))</f>
        <v/>
      </c>
      <c r="D200" s="520" t="str">
        <f>IF(C200="","",VLOOKUP($B200,'C-1 Site River Baseline'!$C$9:$R$257,3,FALSE))</f>
        <v/>
      </c>
      <c r="E200" s="520" t="str">
        <f>IF(D200="","",VLOOKUP($B200,'C-1 Site River Baseline'!$C$9:$R$257,4,FALSE))</f>
        <v/>
      </c>
      <c r="F200" s="520" t="str">
        <f>IF(E200="","",VLOOKUP($B200,'C-1 Site River Baseline'!$C$9:$R$257,5,FALSE))</f>
        <v/>
      </c>
      <c r="G200" s="520" t="str">
        <f>IF(F200="","",VLOOKUP($B200,'C-1 Site River Baseline'!$C$9:$R$257,6,FALSE))</f>
        <v/>
      </c>
      <c r="H200" s="520" t="str">
        <f>IF(G200="","",VLOOKUP($B200,'C-1 Site River Baseline'!$C$9:$R$257,7,FALSE))</f>
        <v/>
      </c>
      <c r="I200" s="520" t="str">
        <f>IF(H200="","",VLOOKUP($B200,'C-1 Site River Baseline'!$C$9:$R$257,8,FALSE))</f>
        <v/>
      </c>
      <c r="J200" s="520" t="str">
        <f>IF(I200="","",VLOOKUP($B200,'C-1 Site River Baseline'!$C$9:$R$257,9,FALSE))</f>
        <v/>
      </c>
      <c r="K200" s="520" t="str">
        <f>IF(J200="","",VLOOKUP($B200,'C-1 Site River Baseline'!$C$9:$R$257,10,FALSE))</f>
        <v/>
      </c>
      <c r="L200" s="520" t="str">
        <f>IF(B200="","",VLOOKUP($B200,'C-1 Site River Baseline'!$C$9:$R$257,15,FALSE))</f>
        <v/>
      </c>
      <c r="M200" s="524" t="str">
        <f>IF(L200="","",VLOOKUP($B200,'C-1 Site River Baseline'!$C$9:$R$257,16,FALSE))</f>
        <v/>
      </c>
      <c r="N200" s="418" t="str">
        <f t="shared" si="17"/>
        <v/>
      </c>
      <c r="O200" s="498" t="str">
        <f t="shared" si="18"/>
        <v/>
      </c>
      <c r="P200" s="499"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7" t="str">
        <f>IF(N200="","",VLOOKUP(B200,'C-1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07" t="str">
        <f>IF(V200="","",IF(VLOOKUP(V200,'G-7 Rivers Data'!$AG$4:$AI$9,2,FALSE)=0,"Spatial Data Missing ⚠",VLOOKUP(V200,'G-7 Rivers Data'!$AG$4:$AI$9,2,FALSE)))</f>
        <v/>
      </c>
      <c r="X200" s="499" t="str">
        <f>IF(V200="","",IF(VLOOKUP(V200,'G-7 Rivers Data'!$AG$4:$AI$9,3,FALSE)=0,"Spatial Data Missing ⚠",VLOOKUP(V200,'G-7 Rivers Data'!$AG$4:$AI$9,3,FALSE)))</f>
        <v/>
      </c>
      <c r="Y200" s="498" t="str">
        <f>IFERROR(IF(OR(LEFT(P200,5)="Error ▲",LEFT(O200,5)="Error ▲"),"Check Data ⚠",IF(F200&lt;S200,'G-7 Rivers Data'!$R$3,INDEX('G-7 Rivers Data'!$U$5:$Y$9,MATCH(G200,'G-7 Rivers Data'!$T$5:$T$9,0),MATCH(T200,'G-7 Rivers Data'!$U$4:$Y$4,0)))),"")</f>
        <v/>
      </c>
      <c r="Z200" s="195"/>
      <c r="AA200" s="195"/>
      <c r="AB200" s="507" t="str">
        <f t="shared" si="19"/>
        <v/>
      </c>
      <c r="AC200" s="521" t="str">
        <f t="shared" si="20"/>
        <v/>
      </c>
      <c r="AD200" s="564" t="str">
        <f>IFERROR(IF(AC200="Check Data ⚠","Check Data ⚠",VLOOKUP(AC200,'G-4 Temporal multipliers'!$A$4:$C$37,3,FALSE)),"")</f>
        <v/>
      </c>
      <c r="AE200" s="498" t="str">
        <f>IF(N200="","",VLOOKUP(N200,'G-7 Rivers Data'!$B$4:$G$8,5,FALSE))</f>
        <v/>
      </c>
      <c r="AF200" s="507" t="str">
        <f t="shared" si="21"/>
        <v/>
      </c>
      <c r="AG200" s="540" t="str">
        <f t="shared" si="22"/>
        <v/>
      </c>
      <c r="AH200" s="499" t="str">
        <f t="shared" si="16"/>
        <v/>
      </c>
      <c r="AI200" s="145"/>
      <c r="AJ200" s="499" t="str">
        <f>IF(AI200="","",IF(VLOOKUP(AI200,'G-7 Rivers Data'!$AA$4:$AB$7,2,FALSE)=0,"Spatial Data Missing ⚠",VLOOKUP(AI200,'G-7 Rivers Data'!$AA$4:$AB$7,2,FALSE)))</f>
        <v/>
      </c>
      <c r="AK200" s="155"/>
      <c r="AL200" s="499" t="str">
        <f>IF(AK200="","",IF(VLOOKUP(AK200,'G-7 Rivers Data'!$AD$4:$AE$8,2,FALSE)=0,"Spatial Data Missing ⚠",VLOOKUP(AK200,'G-7 Rivers Data'!$AD$4:$AE$8,2,FALSE)))</f>
        <v/>
      </c>
      <c r="AM200" s="545" t="str">
        <f t="shared" si="23"/>
        <v/>
      </c>
      <c r="AN200" s="149"/>
      <c r="AO200" s="150"/>
      <c r="AV200" s="31" t="str">
        <f>IFERROR(INDEX('G-7 Rivers Data'!$AZ$3:$AZ$7,MATCH(N200,'G-7 Rivers Data'!$AY$3:$AY$7,0)),"")</f>
        <v/>
      </c>
    </row>
    <row r="201" spans="2:48" ht="13.8" x14ac:dyDescent="0.25">
      <c r="B201" s="531" t="str">
        <f>'C-1 Site River Baseline'!AN199</f>
        <v/>
      </c>
      <c r="C201" s="520" t="str">
        <f>IF(B201="","",VLOOKUP($B201,'C-1 Site River Baseline'!$C$9:$R$257,2,FALSE))</f>
        <v/>
      </c>
      <c r="D201" s="520" t="str">
        <f>IF(C201="","",VLOOKUP($B201,'C-1 Site River Baseline'!$C$9:$R$257,3,FALSE))</f>
        <v/>
      </c>
      <c r="E201" s="520" t="str">
        <f>IF(D201="","",VLOOKUP($B201,'C-1 Site River Baseline'!$C$9:$R$257,4,FALSE))</f>
        <v/>
      </c>
      <c r="F201" s="520" t="str">
        <f>IF(E201="","",VLOOKUP($B201,'C-1 Site River Baseline'!$C$9:$R$257,5,FALSE))</f>
        <v/>
      </c>
      <c r="G201" s="520" t="str">
        <f>IF(F201="","",VLOOKUP($B201,'C-1 Site River Baseline'!$C$9:$R$257,6,FALSE))</f>
        <v/>
      </c>
      <c r="H201" s="520" t="str">
        <f>IF(G201="","",VLOOKUP($B201,'C-1 Site River Baseline'!$C$9:$R$257,7,FALSE))</f>
        <v/>
      </c>
      <c r="I201" s="520" t="str">
        <f>IF(H201="","",VLOOKUP($B201,'C-1 Site River Baseline'!$C$9:$R$257,8,FALSE))</f>
        <v/>
      </c>
      <c r="J201" s="520" t="str">
        <f>IF(I201="","",VLOOKUP($B201,'C-1 Site River Baseline'!$C$9:$R$257,9,FALSE))</f>
        <v/>
      </c>
      <c r="K201" s="520" t="str">
        <f>IF(J201="","",VLOOKUP($B201,'C-1 Site River Baseline'!$C$9:$R$257,10,FALSE))</f>
        <v/>
      </c>
      <c r="L201" s="520" t="str">
        <f>IF(B201="","",VLOOKUP($B201,'C-1 Site River Baseline'!$C$9:$R$257,15,FALSE))</f>
        <v/>
      </c>
      <c r="M201" s="524" t="str">
        <f>IF(L201="","",VLOOKUP($B201,'C-1 Site River Baseline'!$C$9:$R$257,16,FALSE))</f>
        <v/>
      </c>
      <c r="N201" s="418" t="str">
        <f t="shared" si="17"/>
        <v/>
      </c>
      <c r="O201" s="498" t="str">
        <f t="shared" si="18"/>
        <v/>
      </c>
      <c r="P201" s="499"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7" t="str">
        <f>IF(N201="","",VLOOKUP(B201,'C-1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07" t="str">
        <f>IF(V201="","",IF(VLOOKUP(V201,'G-7 Rivers Data'!$AG$4:$AI$9,2,FALSE)=0,"Spatial Data Missing ⚠",VLOOKUP(V201,'G-7 Rivers Data'!$AG$4:$AI$9,2,FALSE)))</f>
        <v/>
      </c>
      <c r="X201" s="499" t="str">
        <f>IF(V201="","",IF(VLOOKUP(V201,'G-7 Rivers Data'!$AG$4:$AI$9,3,FALSE)=0,"Spatial Data Missing ⚠",VLOOKUP(V201,'G-7 Rivers Data'!$AG$4:$AI$9,3,FALSE)))</f>
        <v/>
      </c>
      <c r="Y201" s="498" t="str">
        <f>IFERROR(IF(OR(LEFT(P201,5)="Error ▲",LEFT(O201,5)="Error ▲"),"Check Data ⚠",IF(F201&lt;S201,'G-7 Rivers Data'!$R$3,INDEX('G-7 Rivers Data'!$U$5:$Y$9,MATCH(G201,'G-7 Rivers Data'!$T$5:$T$9,0),MATCH(T201,'G-7 Rivers Data'!$U$4:$Y$4,0)))),"")</f>
        <v/>
      </c>
      <c r="Z201" s="195"/>
      <c r="AA201" s="195"/>
      <c r="AB201" s="507" t="str">
        <f t="shared" si="19"/>
        <v/>
      </c>
      <c r="AC201" s="521" t="str">
        <f t="shared" si="20"/>
        <v/>
      </c>
      <c r="AD201" s="564" t="str">
        <f>IFERROR(IF(AC201="Check Data ⚠","Check Data ⚠",VLOOKUP(AC201,'G-4 Temporal multipliers'!$A$4:$C$37,3,FALSE)),"")</f>
        <v/>
      </c>
      <c r="AE201" s="498" t="str">
        <f>IF(N201="","",VLOOKUP(N201,'G-7 Rivers Data'!$B$4:$G$8,5,FALSE))</f>
        <v/>
      </c>
      <c r="AF201" s="507" t="str">
        <f t="shared" si="21"/>
        <v/>
      </c>
      <c r="AG201" s="540" t="str">
        <f t="shared" si="22"/>
        <v/>
      </c>
      <c r="AH201" s="499" t="str">
        <f t="shared" si="16"/>
        <v/>
      </c>
      <c r="AI201" s="145"/>
      <c r="AJ201" s="499" t="str">
        <f>IF(AI201="","",IF(VLOOKUP(AI201,'G-7 Rivers Data'!$AA$4:$AB$7,2,FALSE)=0,"Spatial Data Missing ⚠",VLOOKUP(AI201,'G-7 Rivers Data'!$AA$4:$AB$7,2,FALSE)))</f>
        <v/>
      </c>
      <c r="AK201" s="155"/>
      <c r="AL201" s="499" t="str">
        <f>IF(AK201="","",IF(VLOOKUP(AK201,'G-7 Rivers Data'!$AD$4:$AE$8,2,FALSE)=0,"Spatial Data Missing ⚠",VLOOKUP(AK201,'G-7 Rivers Data'!$AD$4:$AE$8,2,FALSE)))</f>
        <v/>
      </c>
      <c r="AM201" s="545" t="str">
        <f t="shared" si="23"/>
        <v/>
      </c>
      <c r="AN201" s="149"/>
      <c r="AO201" s="150"/>
      <c r="AV201" s="31" t="str">
        <f>IFERROR(INDEX('G-7 Rivers Data'!$AZ$3:$AZ$7,MATCH(N201,'G-7 Rivers Data'!$AY$3:$AY$7,0)),"")</f>
        <v/>
      </c>
    </row>
    <row r="202" spans="2:48" ht="13.8" x14ac:dyDescent="0.25">
      <c r="B202" s="531" t="str">
        <f>'C-1 Site River Baseline'!AN200</f>
        <v/>
      </c>
      <c r="C202" s="520" t="str">
        <f>IF(B202="","",VLOOKUP($B202,'C-1 Site River Baseline'!$C$9:$R$257,2,FALSE))</f>
        <v/>
      </c>
      <c r="D202" s="520" t="str">
        <f>IF(C202="","",VLOOKUP($B202,'C-1 Site River Baseline'!$C$9:$R$257,3,FALSE))</f>
        <v/>
      </c>
      <c r="E202" s="520" t="str">
        <f>IF(D202="","",VLOOKUP($B202,'C-1 Site River Baseline'!$C$9:$R$257,4,FALSE))</f>
        <v/>
      </c>
      <c r="F202" s="520" t="str">
        <f>IF(E202="","",VLOOKUP($B202,'C-1 Site River Baseline'!$C$9:$R$257,5,FALSE))</f>
        <v/>
      </c>
      <c r="G202" s="520" t="str">
        <f>IF(F202="","",VLOOKUP($B202,'C-1 Site River Baseline'!$C$9:$R$257,6,FALSE))</f>
        <v/>
      </c>
      <c r="H202" s="520" t="str">
        <f>IF(G202="","",VLOOKUP($B202,'C-1 Site River Baseline'!$C$9:$R$257,7,FALSE))</f>
        <v/>
      </c>
      <c r="I202" s="520" t="str">
        <f>IF(H202="","",VLOOKUP($B202,'C-1 Site River Baseline'!$C$9:$R$257,8,FALSE))</f>
        <v/>
      </c>
      <c r="J202" s="520" t="str">
        <f>IF(I202="","",VLOOKUP($B202,'C-1 Site River Baseline'!$C$9:$R$257,9,FALSE))</f>
        <v/>
      </c>
      <c r="K202" s="520" t="str">
        <f>IF(J202="","",VLOOKUP($B202,'C-1 Site River Baseline'!$C$9:$R$257,10,FALSE))</f>
        <v/>
      </c>
      <c r="L202" s="520" t="str">
        <f>IF(B202="","",VLOOKUP($B202,'C-1 Site River Baseline'!$C$9:$R$257,15,FALSE))</f>
        <v/>
      </c>
      <c r="M202" s="524" t="str">
        <f>IF(L202="","",VLOOKUP($B202,'C-1 Site River Baseline'!$C$9:$R$257,16,FALSE))</f>
        <v/>
      </c>
      <c r="N202" s="418" t="str">
        <f t="shared" si="17"/>
        <v/>
      </c>
      <c r="O202" s="498" t="str">
        <f t="shared" si="18"/>
        <v/>
      </c>
      <c r="P202" s="499"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7" t="str">
        <f>IF(N202="","",VLOOKUP(B202,'C-1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07" t="str">
        <f>IF(V202="","",IF(VLOOKUP(V202,'G-7 Rivers Data'!$AG$4:$AI$9,2,FALSE)=0,"Spatial Data Missing ⚠",VLOOKUP(V202,'G-7 Rivers Data'!$AG$4:$AI$9,2,FALSE)))</f>
        <v/>
      </c>
      <c r="X202" s="499" t="str">
        <f>IF(V202="","",IF(VLOOKUP(V202,'G-7 Rivers Data'!$AG$4:$AI$9,3,FALSE)=0,"Spatial Data Missing ⚠",VLOOKUP(V202,'G-7 Rivers Data'!$AG$4:$AI$9,3,FALSE)))</f>
        <v/>
      </c>
      <c r="Y202" s="498" t="str">
        <f>IFERROR(IF(OR(LEFT(P202,5)="Error ▲",LEFT(O202,5)="Error ▲"),"Check Data ⚠",IF(F202&lt;S202,'G-7 Rivers Data'!$R$3,INDEX('G-7 Rivers Data'!$U$5:$Y$9,MATCH(G202,'G-7 Rivers Data'!$T$5:$T$9,0),MATCH(T202,'G-7 Rivers Data'!$U$4:$Y$4,0)))),"")</f>
        <v/>
      </c>
      <c r="Z202" s="195"/>
      <c r="AA202" s="195"/>
      <c r="AB202" s="507" t="str">
        <f t="shared" si="19"/>
        <v/>
      </c>
      <c r="AC202" s="521" t="str">
        <f t="shared" si="20"/>
        <v/>
      </c>
      <c r="AD202" s="564" t="str">
        <f>IFERROR(IF(AC202="Check Data ⚠","Check Data ⚠",VLOOKUP(AC202,'G-4 Temporal multipliers'!$A$4:$C$37,3,FALSE)),"")</f>
        <v/>
      </c>
      <c r="AE202" s="498" t="str">
        <f>IF(N202="","",VLOOKUP(N202,'G-7 Rivers Data'!$B$4:$G$8,5,FALSE))</f>
        <v/>
      </c>
      <c r="AF202" s="507" t="str">
        <f t="shared" si="21"/>
        <v/>
      </c>
      <c r="AG202" s="540" t="str">
        <f t="shared" si="22"/>
        <v/>
      </c>
      <c r="AH202" s="499" t="str">
        <f t="shared" si="16"/>
        <v/>
      </c>
      <c r="AI202" s="145"/>
      <c r="AJ202" s="499" t="str">
        <f>IF(AI202="","",IF(VLOOKUP(AI202,'G-7 Rivers Data'!$AA$4:$AB$7,2,FALSE)=0,"Spatial Data Missing ⚠",VLOOKUP(AI202,'G-7 Rivers Data'!$AA$4:$AB$7,2,FALSE)))</f>
        <v/>
      </c>
      <c r="AK202" s="155"/>
      <c r="AL202" s="499" t="str">
        <f>IF(AK202="","",IF(VLOOKUP(AK202,'G-7 Rivers Data'!$AD$4:$AE$8,2,FALSE)=0,"Spatial Data Missing ⚠",VLOOKUP(AK202,'G-7 Rivers Data'!$AD$4:$AE$8,2,FALSE)))</f>
        <v/>
      </c>
      <c r="AM202" s="545" t="str">
        <f t="shared" si="23"/>
        <v/>
      </c>
      <c r="AN202" s="149"/>
      <c r="AO202" s="150"/>
      <c r="AV202" s="31" t="str">
        <f>IFERROR(INDEX('G-7 Rivers Data'!$AZ$3:$AZ$7,MATCH(N202,'G-7 Rivers Data'!$AY$3:$AY$7,0)),"")</f>
        <v/>
      </c>
    </row>
    <row r="203" spans="2:48" ht="13.8" x14ac:dyDescent="0.25">
      <c r="B203" s="531" t="str">
        <f>'C-1 Site River Baseline'!AN201</f>
        <v/>
      </c>
      <c r="C203" s="520" t="str">
        <f>IF(B203="","",VLOOKUP($B203,'C-1 Site River Baseline'!$C$9:$R$257,2,FALSE))</f>
        <v/>
      </c>
      <c r="D203" s="520" t="str">
        <f>IF(C203="","",VLOOKUP($B203,'C-1 Site River Baseline'!$C$9:$R$257,3,FALSE))</f>
        <v/>
      </c>
      <c r="E203" s="520" t="str">
        <f>IF(D203="","",VLOOKUP($B203,'C-1 Site River Baseline'!$C$9:$R$257,4,FALSE))</f>
        <v/>
      </c>
      <c r="F203" s="520" t="str">
        <f>IF(E203="","",VLOOKUP($B203,'C-1 Site River Baseline'!$C$9:$R$257,5,FALSE))</f>
        <v/>
      </c>
      <c r="G203" s="520" t="str">
        <f>IF(F203="","",VLOOKUP($B203,'C-1 Site River Baseline'!$C$9:$R$257,6,FALSE))</f>
        <v/>
      </c>
      <c r="H203" s="520" t="str">
        <f>IF(G203="","",VLOOKUP($B203,'C-1 Site River Baseline'!$C$9:$R$257,7,FALSE))</f>
        <v/>
      </c>
      <c r="I203" s="520" t="str">
        <f>IF(H203="","",VLOOKUP($B203,'C-1 Site River Baseline'!$C$9:$R$257,8,FALSE))</f>
        <v/>
      </c>
      <c r="J203" s="520" t="str">
        <f>IF(I203="","",VLOOKUP($B203,'C-1 Site River Baseline'!$C$9:$R$257,9,FALSE))</f>
        <v/>
      </c>
      <c r="K203" s="520" t="str">
        <f>IF(J203="","",VLOOKUP($B203,'C-1 Site River Baseline'!$C$9:$R$257,10,FALSE))</f>
        <v/>
      </c>
      <c r="L203" s="520" t="str">
        <f>IF(B203="","",VLOOKUP($B203,'C-1 Site River Baseline'!$C$9:$R$257,15,FALSE))</f>
        <v/>
      </c>
      <c r="M203" s="524" t="str">
        <f>IF(L203="","",VLOOKUP($B203,'C-1 Site River Baseline'!$C$9:$R$257,16,FALSE))</f>
        <v/>
      </c>
      <c r="N203" s="418" t="str">
        <f t="shared" si="17"/>
        <v/>
      </c>
      <c r="O203" s="498" t="str">
        <f t="shared" si="18"/>
        <v/>
      </c>
      <c r="P203" s="499"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7" t="str">
        <f>IF(N203="","",VLOOKUP(B203,'C-1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07" t="str">
        <f>IF(V203="","",IF(VLOOKUP(V203,'G-7 Rivers Data'!$AG$4:$AI$9,2,FALSE)=0,"Spatial Data Missing ⚠",VLOOKUP(V203,'G-7 Rivers Data'!$AG$4:$AI$9,2,FALSE)))</f>
        <v/>
      </c>
      <c r="X203" s="499" t="str">
        <f>IF(V203="","",IF(VLOOKUP(V203,'G-7 Rivers Data'!$AG$4:$AI$9,3,FALSE)=0,"Spatial Data Missing ⚠",VLOOKUP(V203,'G-7 Rivers Data'!$AG$4:$AI$9,3,FALSE)))</f>
        <v/>
      </c>
      <c r="Y203" s="498" t="str">
        <f>IFERROR(IF(OR(LEFT(P203,5)="Error ▲",LEFT(O203,5)="Error ▲"),"Check Data ⚠",IF(F203&lt;S203,'G-7 Rivers Data'!$R$3,INDEX('G-7 Rivers Data'!$U$5:$Y$9,MATCH(G203,'G-7 Rivers Data'!$T$5:$T$9,0),MATCH(T203,'G-7 Rivers Data'!$U$4:$Y$4,0)))),"")</f>
        <v/>
      </c>
      <c r="Z203" s="195"/>
      <c r="AA203" s="195"/>
      <c r="AB203" s="507" t="str">
        <f t="shared" si="19"/>
        <v/>
      </c>
      <c r="AC203" s="521" t="str">
        <f t="shared" si="20"/>
        <v/>
      </c>
      <c r="AD203" s="564" t="str">
        <f>IFERROR(IF(AC203="Check Data ⚠","Check Data ⚠",VLOOKUP(AC203,'G-4 Temporal multipliers'!$A$4:$C$37,3,FALSE)),"")</f>
        <v/>
      </c>
      <c r="AE203" s="498" t="str">
        <f>IF(N203="","",VLOOKUP(N203,'G-7 Rivers Data'!$B$4:$G$8,5,FALSE))</f>
        <v/>
      </c>
      <c r="AF203" s="507" t="str">
        <f t="shared" si="21"/>
        <v/>
      </c>
      <c r="AG203" s="540" t="str">
        <f t="shared" si="22"/>
        <v/>
      </c>
      <c r="AH203" s="499" t="str">
        <f t="shared" si="16"/>
        <v/>
      </c>
      <c r="AI203" s="145"/>
      <c r="AJ203" s="499" t="str">
        <f>IF(AI203="","",IF(VLOOKUP(AI203,'G-7 Rivers Data'!$AA$4:$AB$7,2,FALSE)=0,"Spatial Data Missing ⚠",VLOOKUP(AI203,'G-7 Rivers Data'!$AA$4:$AB$7,2,FALSE)))</f>
        <v/>
      </c>
      <c r="AK203" s="155"/>
      <c r="AL203" s="499" t="str">
        <f>IF(AK203="","",IF(VLOOKUP(AK203,'G-7 Rivers Data'!$AD$4:$AE$8,2,FALSE)=0,"Spatial Data Missing ⚠",VLOOKUP(AK203,'G-7 Rivers Data'!$AD$4:$AE$8,2,FALSE)))</f>
        <v/>
      </c>
      <c r="AM203" s="545" t="str">
        <f t="shared" si="23"/>
        <v/>
      </c>
      <c r="AN203" s="149"/>
      <c r="AO203" s="150"/>
      <c r="AV203" s="31" t="str">
        <f>IFERROR(INDEX('G-7 Rivers Data'!$AZ$3:$AZ$7,MATCH(N203,'G-7 Rivers Data'!$AY$3:$AY$7,0)),"")</f>
        <v/>
      </c>
    </row>
    <row r="204" spans="2:48" ht="13.8" x14ac:dyDescent="0.25">
      <c r="B204" s="531" t="str">
        <f>'C-1 Site River Baseline'!AN202</f>
        <v/>
      </c>
      <c r="C204" s="520" t="str">
        <f>IF(B204="","",VLOOKUP($B204,'C-1 Site River Baseline'!$C$9:$R$257,2,FALSE))</f>
        <v/>
      </c>
      <c r="D204" s="520" t="str">
        <f>IF(C204="","",VLOOKUP($B204,'C-1 Site River Baseline'!$C$9:$R$257,3,FALSE))</f>
        <v/>
      </c>
      <c r="E204" s="520" t="str">
        <f>IF(D204="","",VLOOKUP($B204,'C-1 Site River Baseline'!$C$9:$R$257,4,FALSE))</f>
        <v/>
      </c>
      <c r="F204" s="520" t="str">
        <f>IF(E204="","",VLOOKUP($B204,'C-1 Site River Baseline'!$C$9:$R$257,5,FALSE))</f>
        <v/>
      </c>
      <c r="G204" s="520" t="str">
        <f>IF(F204="","",VLOOKUP($B204,'C-1 Site River Baseline'!$C$9:$R$257,6,FALSE))</f>
        <v/>
      </c>
      <c r="H204" s="520" t="str">
        <f>IF(G204="","",VLOOKUP($B204,'C-1 Site River Baseline'!$C$9:$R$257,7,FALSE))</f>
        <v/>
      </c>
      <c r="I204" s="520" t="str">
        <f>IF(H204="","",VLOOKUP($B204,'C-1 Site River Baseline'!$C$9:$R$257,8,FALSE))</f>
        <v/>
      </c>
      <c r="J204" s="520" t="str">
        <f>IF(I204="","",VLOOKUP($B204,'C-1 Site River Baseline'!$C$9:$R$257,9,FALSE))</f>
        <v/>
      </c>
      <c r="K204" s="520" t="str">
        <f>IF(J204="","",VLOOKUP($B204,'C-1 Site River Baseline'!$C$9:$R$257,10,FALSE))</f>
        <v/>
      </c>
      <c r="L204" s="520" t="str">
        <f>IF(B204="","",VLOOKUP($B204,'C-1 Site River Baseline'!$C$9:$R$257,15,FALSE))</f>
        <v/>
      </c>
      <c r="M204" s="524" t="str">
        <f>IF(L204="","",VLOOKUP($B204,'C-1 Site River Baseline'!$C$9:$R$257,16,FALSE))</f>
        <v/>
      </c>
      <c r="N204" s="418" t="str">
        <f t="shared" si="17"/>
        <v/>
      </c>
      <c r="O204" s="498" t="str">
        <f t="shared" si="18"/>
        <v/>
      </c>
      <c r="P204" s="499"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7" t="str">
        <f>IF(N204="","",VLOOKUP(B204,'C-1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07" t="str">
        <f>IF(V204="","",IF(VLOOKUP(V204,'G-7 Rivers Data'!$AG$4:$AI$9,2,FALSE)=0,"Spatial Data Missing ⚠",VLOOKUP(V204,'G-7 Rivers Data'!$AG$4:$AI$9,2,FALSE)))</f>
        <v/>
      </c>
      <c r="X204" s="499" t="str">
        <f>IF(V204="","",IF(VLOOKUP(V204,'G-7 Rivers Data'!$AG$4:$AI$9,3,FALSE)=0,"Spatial Data Missing ⚠",VLOOKUP(V204,'G-7 Rivers Data'!$AG$4:$AI$9,3,FALSE)))</f>
        <v/>
      </c>
      <c r="Y204" s="498" t="str">
        <f>IFERROR(IF(OR(LEFT(P204,5)="Error ▲",LEFT(O204,5)="Error ▲"),"Check Data ⚠",IF(F204&lt;S204,'G-7 Rivers Data'!$R$3,INDEX('G-7 Rivers Data'!$U$5:$Y$9,MATCH(G204,'G-7 Rivers Data'!$T$5:$T$9,0),MATCH(T204,'G-7 Rivers Data'!$U$4:$Y$4,0)))),"")</f>
        <v/>
      </c>
      <c r="Z204" s="195"/>
      <c r="AA204" s="195"/>
      <c r="AB204" s="507" t="str">
        <f t="shared" si="19"/>
        <v/>
      </c>
      <c r="AC204" s="521" t="str">
        <f t="shared" si="20"/>
        <v/>
      </c>
      <c r="AD204" s="564" t="str">
        <f>IFERROR(IF(AC204="Check Data ⚠","Check Data ⚠",VLOOKUP(AC204,'G-4 Temporal multipliers'!$A$4:$C$37,3,FALSE)),"")</f>
        <v/>
      </c>
      <c r="AE204" s="498" t="str">
        <f>IF(N204="","",VLOOKUP(N204,'G-7 Rivers Data'!$B$4:$G$8,5,FALSE))</f>
        <v/>
      </c>
      <c r="AF204" s="507" t="str">
        <f t="shared" si="21"/>
        <v/>
      </c>
      <c r="AG204" s="540" t="str">
        <f t="shared" si="22"/>
        <v/>
      </c>
      <c r="AH204" s="499" t="str">
        <f t="shared" ref="AH204:AH257" si="24">IF(N204="","",VLOOKUP(AE204,Difficulty,2,FALSE))</f>
        <v/>
      </c>
      <c r="AI204" s="145"/>
      <c r="AJ204" s="499" t="str">
        <f>IF(AI204="","",IF(VLOOKUP(AI204,'G-7 Rivers Data'!$AA$4:$AB$7,2,FALSE)=0,"Spatial Data Missing ⚠",VLOOKUP(AI204,'G-7 Rivers Data'!$AA$4:$AB$7,2,FALSE)))</f>
        <v/>
      </c>
      <c r="AK204" s="155"/>
      <c r="AL204" s="499" t="str">
        <f>IF(AK204="","",IF(VLOOKUP(AK204,'G-7 Rivers Data'!$AD$4:$AE$8,2,FALSE)=0,"Spatial Data Missing ⚠",VLOOKUP(AK204,'G-7 Rivers Data'!$AD$4:$AE$8,2,FALSE)))</f>
        <v/>
      </c>
      <c r="AM204" s="545" t="str">
        <f t="shared" si="23"/>
        <v/>
      </c>
      <c r="AN204" s="149"/>
      <c r="AO204" s="150"/>
      <c r="AV204" s="31" t="str">
        <f>IFERROR(INDEX('G-7 Rivers Data'!$AZ$3:$AZ$7,MATCH(N204,'G-7 Rivers Data'!$AY$3:$AY$7,0)),"")</f>
        <v/>
      </c>
    </row>
    <row r="205" spans="2:48" ht="13.8" x14ac:dyDescent="0.25">
      <c r="B205" s="531" t="str">
        <f>'C-1 Site River Baseline'!AN203</f>
        <v/>
      </c>
      <c r="C205" s="520" t="str">
        <f>IF(B205="","",VLOOKUP($B205,'C-1 Site River Baseline'!$C$9:$R$257,2,FALSE))</f>
        <v/>
      </c>
      <c r="D205" s="520" t="str">
        <f>IF(C205="","",VLOOKUP($B205,'C-1 Site River Baseline'!$C$9:$R$257,3,FALSE))</f>
        <v/>
      </c>
      <c r="E205" s="520" t="str">
        <f>IF(D205="","",VLOOKUP($B205,'C-1 Site River Baseline'!$C$9:$R$257,4,FALSE))</f>
        <v/>
      </c>
      <c r="F205" s="520" t="str">
        <f>IF(E205="","",VLOOKUP($B205,'C-1 Site River Baseline'!$C$9:$R$257,5,FALSE))</f>
        <v/>
      </c>
      <c r="G205" s="520" t="str">
        <f>IF(F205="","",VLOOKUP($B205,'C-1 Site River Baseline'!$C$9:$R$257,6,FALSE))</f>
        <v/>
      </c>
      <c r="H205" s="520" t="str">
        <f>IF(G205="","",VLOOKUP($B205,'C-1 Site River Baseline'!$C$9:$R$257,7,FALSE))</f>
        <v/>
      </c>
      <c r="I205" s="520" t="str">
        <f>IF(H205="","",VLOOKUP($B205,'C-1 Site River Baseline'!$C$9:$R$257,8,FALSE))</f>
        <v/>
      </c>
      <c r="J205" s="520" t="str">
        <f>IF(I205="","",VLOOKUP($B205,'C-1 Site River Baseline'!$C$9:$R$257,9,FALSE))</f>
        <v/>
      </c>
      <c r="K205" s="520" t="str">
        <f>IF(J205="","",VLOOKUP($B205,'C-1 Site River Baseline'!$C$9:$R$257,10,FALSE))</f>
        <v/>
      </c>
      <c r="L205" s="520" t="str">
        <f>IF(B205="","",VLOOKUP($B205,'C-1 Site River Baseline'!$C$9:$R$257,15,FALSE))</f>
        <v/>
      </c>
      <c r="M205" s="524" t="str">
        <f>IF(L205="","",VLOOKUP($B205,'C-1 Site River Baseline'!$C$9:$R$257,16,FALSE))</f>
        <v/>
      </c>
      <c r="N205" s="418" t="str">
        <f t="shared" ref="N205:N257" si="25">C205</f>
        <v/>
      </c>
      <c r="O205" s="498" t="str">
        <f t="shared" ref="O205:O257" si="26">IF(B205="","",IF(S205&lt;F205,"Error Trading Down ▲",E205&amp;" - "&amp;R205))</f>
        <v/>
      </c>
      <c r="P205" s="499"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7" t="str">
        <f>IF(N205="","",VLOOKUP(B205,'C-1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07" t="str">
        <f>IF(V205="","",IF(VLOOKUP(V205,'G-7 Rivers Data'!$AG$4:$AI$9,2,FALSE)=0,"Spatial Data Missing ⚠",VLOOKUP(V205,'G-7 Rivers Data'!$AG$4:$AI$9,2,FALSE)))</f>
        <v/>
      </c>
      <c r="X205" s="499" t="str">
        <f>IF(V205="","",IF(VLOOKUP(V205,'G-7 Rivers Data'!$AG$4:$AI$9,3,FALSE)=0,"Spatial Data Missing ⚠",VLOOKUP(V205,'G-7 Rivers Data'!$AG$4:$AI$9,3,FALSE)))</f>
        <v/>
      </c>
      <c r="Y205" s="498" t="str">
        <f>IFERROR(IF(OR(LEFT(P205,5)="Error ▲",LEFT(O205,5)="Error ▲"),"Check Data ⚠",IF(F205&lt;S205,'G-7 Rivers Data'!$R$3,INDEX('G-7 Rivers Data'!$U$5:$Y$9,MATCH(G205,'G-7 Rivers Data'!$T$5:$T$9,0),MATCH(T205,'G-7 Rivers Data'!$U$4:$Y$4,0)))),"")</f>
        <v/>
      </c>
      <c r="Z205" s="195"/>
      <c r="AA205" s="195"/>
      <c r="AB205" s="507"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1" t="str">
        <f t="shared" ref="AC205:AC257" si="28">IF(LEFT(AB205,5)="Error ▲","Check Data ⚠",IF(AB205="Check Data ⚠","Check Data ⚠",IF(Y205="","",IF(Z205="30+",0,IF(AA205="30+","30+ ⚠",IF(Y205+AA205&gt;30,"30+ ⚠",IF(Y205+AA205-Z205&gt;0,Y205+AA205-Z205,IF(Y205-Z205&lt;0,0,Y205+AA205-Z205))))))))</f>
        <v/>
      </c>
      <c r="AD205" s="564" t="str">
        <f>IFERROR(IF(AC205="Check Data ⚠","Check Data ⚠",VLOOKUP(AC205,'G-4 Temporal multipliers'!$A$4:$C$37,3,FALSE)),"")</f>
        <v/>
      </c>
      <c r="AE205" s="498" t="str">
        <f>IF(N205="","",VLOOKUP(N205,'G-7 Rivers Data'!$B$4:$G$8,5,FALSE))</f>
        <v/>
      </c>
      <c r="AF205" s="507" t="str">
        <f t="shared" ref="AF205:AF257" si="29">IF(N205="","",IF(AC205="Check Data ⚠","Check Data ⚠",IF(T205="","",IF($AB205="Check details - Is there evidence that habitat has reached target condition? ⚠","Low Difficulty - only applicable if all habitat created before losses ⚠","Standard difficulty applied"))))</f>
        <v/>
      </c>
      <c r="AG205" s="540" t="str">
        <f t="shared" ref="AG205:AG257" si="30">(IF(AND(AF205="Standard difficulty applied",Y205&gt;Z205),AE205,IF(AND(AF205="Low Difficulty - only applicable if all habitat created before losses ⚠",Z205&gt;=Y205),"Low",AE205)))</f>
        <v/>
      </c>
      <c r="AH205" s="499" t="str">
        <f t="shared" si="24"/>
        <v/>
      </c>
      <c r="AI205" s="145"/>
      <c r="AJ205" s="499" t="str">
        <f>IF(AI205="","",IF(VLOOKUP(AI205,'G-7 Rivers Data'!$AA$4:$AB$7,2,FALSE)=0,"Spatial Data Missing ⚠",VLOOKUP(AI205,'G-7 Rivers Data'!$AA$4:$AB$7,2,FALSE)))</f>
        <v/>
      </c>
      <c r="AK205" s="155"/>
      <c r="AL205" s="499" t="str">
        <f>IF(AK205="","",IF(VLOOKUP(AK205,'G-7 Rivers Data'!$AD$4:$AE$8,2,FALSE)=0,"Spatial Data Missing ⚠",VLOOKUP(AK205,'G-7 Rivers Data'!$AD$4:$AE$8,2,FALSE)))</f>
        <v/>
      </c>
      <c r="AM205" s="545" t="str">
        <f t="shared" si="23"/>
        <v/>
      </c>
      <c r="AN205" s="149"/>
      <c r="AO205" s="150"/>
      <c r="AV205" s="31" t="str">
        <f>IFERROR(INDEX('G-7 Rivers Data'!$AZ$3:$AZ$7,MATCH(N205,'G-7 Rivers Data'!$AY$3:$AY$7,0)),"")</f>
        <v/>
      </c>
    </row>
    <row r="206" spans="2:48" ht="13.8" x14ac:dyDescent="0.25">
      <c r="B206" s="531" t="str">
        <f>'C-1 Site River Baseline'!AN204</f>
        <v/>
      </c>
      <c r="C206" s="520" t="str">
        <f>IF(B206="","",VLOOKUP($B206,'C-1 Site River Baseline'!$C$9:$R$257,2,FALSE))</f>
        <v/>
      </c>
      <c r="D206" s="520" t="str">
        <f>IF(C206="","",VLOOKUP($B206,'C-1 Site River Baseline'!$C$9:$R$257,3,FALSE))</f>
        <v/>
      </c>
      <c r="E206" s="520" t="str">
        <f>IF(D206="","",VLOOKUP($B206,'C-1 Site River Baseline'!$C$9:$R$257,4,FALSE))</f>
        <v/>
      </c>
      <c r="F206" s="520" t="str">
        <f>IF(E206="","",VLOOKUP($B206,'C-1 Site River Baseline'!$C$9:$R$257,5,FALSE))</f>
        <v/>
      </c>
      <c r="G206" s="520" t="str">
        <f>IF(F206="","",VLOOKUP($B206,'C-1 Site River Baseline'!$C$9:$R$257,6,FALSE))</f>
        <v/>
      </c>
      <c r="H206" s="520" t="str">
        <f>IF(G206="","",VLOOKUP($B206,'C-1 Site River Baseline'!$C$9:$R$257,7,FALSE))</f>
        <v/>
      </c>
      <c r="I206" s="520" t="str">
        <f>IF(H206="","",VLOOKUP($B206,'C-1 Site River Baseline'!$C$9:$R$257,8,FALSE))</f>
        <v/>
      </c>
      <c r="J206" s="520" t="str">
        <f>IF(I206="","",VLOOKUP($B206,'C-1 Site River Baseline'!$C$9:$R$257,9,FALSE))</f>
        <v/>
      </c>
      <c r="K206" s="520" t="str">
        <f>IF(J206="","",VLOOKUP($B206,'C-1 Site River Baseline'!$C$9:$R$257,10,FALSE))</f>
        <v/>
      </c>
      <c r="L206" s="520" t="str">
        <f>IF(B206="","",VLOOKUP($B206,'C-1 Site River Baseline'!$C$9:$R$257,15,FALSE))</f>
        <v/>
      </c>
      <c r="M206" s="524" t="str">
        <f>IF(L206="","",VLOOKUP($B206,'C-1 Site River Baseline'!$C$9:$R$257,16,FALSE))</f>
        <v/>
      </c>
      <c r="N206" s="418" t="str">
        <f t="shared" si="25"/>
        <v/>
      </c>
      <c r="O206" s="498" t="str">
        <f t="shared" si="26"/>
        <v/>
      </c>
      <c r="P206" s="499"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7" t="str">
        <f>IF(N206="","",VLOOKUP(B206,'C-1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07" t="str">
        <f>IF(V206="","",IF(VLOOKUP(V206,'G-7 Rivers Data'!$AG$4:$AI$9,2,FALSE)=0,"Spatial Data Missing ⚠",VLOOKUP(V206,'G-7 Rivers Data'!$AG$4:$AI$9,2,FALSE)))</f>
        <v/>
      </c>
      <c r="X206" s="499" t="str">
        <f>IF(V206="","",IF(VLOOKUP(V206,'G-7 Rivers Data'!$AG$4:$AI$9,3,FALSE)=0,"Spatial Data Missing ⚠",VLOOKUP(V206,'G-7 Rivers Data'!$AG$4:$AI$9,3,FALSE)))</f>
        <v/>
      </c>
      <c r="Y206" s="498" t="str">
        <f>IFERROR(IF(OR(LEFT(P206,5)="Error ▲",LEFT(O206,5)="Error ▲"),"Check Data ⚠",IF(F206&lt;S206,'G-7 Rivers Data'!$R$3,INDEX('G-7 Rivers Data'!$U$5:$Y$9,MATCH(G206,'G-7 Rivers Data'!$T$5:$T$9,0),MATCH(T206,'G-7 Rivers Data'!$U$4:$Y$4,0)))),"")</f>
        <v/>
      </c>
      <c r="Z206" s="195"/>
      <c r="AA206" s="195"/>
      <c r="AB206" s="507" t="str">
        <f t="shared" si="27"/>
        <v/>
      </c>
      <c r="AC206" s="521" t="str">
        <f t="shared" si="28"/>
        <v/>
      </c>
      <c r="AD206" s="564" t="str">
        <f>IFERROR(IF(AC206="Check Data ⚠","Check Data ⚠",VLOOKUP(AC206,'G-4 Temporal multipliers'!$A$4:$C$37,3,FALSE)),"")</f>
        <v/>
      </c>
      <c r="AE206" s="498" t="str">
        <f>IF(N206="","",VLOOKUP(N206,'G-7 Rivers Data'!$B$4:$G$8,5,FALSE))</f>
        <v/>
      </c>
      <c r="AF206" s="507" t="str">
        <f t="shared" si="29"/>
        <v/>
      </c>
      <c r="AG206" s="540" t="str">
        <f t="shared" si="30"/>
        <v/>
      </c>
      <c r="AH206" s="499" t="str">
        <f t="shared" si="24"/>
        <v/>
      </c>
      <c r="AI206" s="145"/>
      <c r="AJ206" s="499" t="str">
        <f>IF(AI206="","",IF(VLOOKUP(AI206,'G-7 Rivers Data'!$AA$4:$AB$7,2,FALSE)=0,"Spatial Data Missing ⚠",VLOOKUP(AI206,'G-7 Rivers Data'!$AA$4:$AB$7,2,FALSE)))</f>
        <v/>
      </c>
      <c r="AK206" s="155"/>
      <c r="AL206" s="499" t="str">
        <f>IF(AK206="","",IF(VLOOKUP(AK206,'G-7 Rivers Data'!$AD$4:$AE$8,2,FALSE)=0,"Spatial Data Missing ⚠",VLOOKUP(AK206,'G-7 Rivers Data'!$AD$4:$AE$8,2,FALSE)))</f>
        <v/>
      </c>
      <c r="AM206" s="545"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8" x14ac:dyDescent="0.25">
      <c r="B207" s="531" t="str">
        <f>'C-1 Site River Baseline'!AN205</f>
        <v/>
      </c>
      <c r="C207" s="520" t="str">
        <f>IF(B207="","",VLOOKUP($B207,'C-1 Site River Baseline'!$C$9:$R$257,2,FALSE))</f>
        <v/>
      </c>
      <c r="D207" s="520" t="str">
        <f>IF(C207="","",VLOOKUP($B207,'C-1 Site River Baseline'!$C$9:$R$257,3,FALSE))</f>
        <v/>
      </c>
      <c r="E207" s="520" t="str">
        <f>IF(D207="","",VLOOKUP($B207,'C-1 Site River Baseline'!$C$9:$R$257,4,FALSE))</f>
        <v/>
      </c>
      <c r="F207" s="520" t="str">
        <f>IF(E207="","",VLOOKUP($B207,'C-1 Site River Baseline'!$C$9:$R$257,5,FALSE))</f>
        <v/>
      </c>
      <c r="G207" s="520" t="str">
        <f>IF(F207="","",VLOOKUP($B207,'C-1 Site River Baseline'!$C$9:$R$257,6,FALSE))</f>
        <v/>
      </c>
      <c r="H207" s="520" t="str">
        <f>IF(G207="","",VLOOKUP($B207,'C-1 Site River Baseline'!$C$9:$R$257,7,FALSE))</f>
        <v/>
      </c>
      <c r="I207" s="520" t="str">
        <f>IF(H207="","",VLOOKUP($B207,'C-1 Site River Baseline'!$C$9:$R$257,8,FALSE))</f>
        <v/>
      </c>
      <c r="J207" s="520" t="str">
        <f>IF(I207="","",VLOOKUP($B207,'C-1 Site River Baseline'!$C$9:$R$257,9,FALSE))</f>
        <v/>
      </c>
      <c r="K207" s="520" t="str">
        <f>IF(J207="","",VLOOKUP($B207,'C-1 Site River Baseline'!$C$9:$R$257,10,FALSE))</f>
        <v/>
      </c>
      <c r="L207" s="520" t="str">
        <f>IF(B207="","",VLOOKUP($B207,'C-1 Site River Baseline'!$C$9:$R$257,15,FALSE))</f>
        <v/>
      </c>
      <c r="M207" s="524" t="str">
        <f>IF(L207="","",VLOOKUP($B207,'C-1 Site River Baseline'!$C$9:$R$257,16,FALSE))</f>
        <v/>
      </c>
      <c r="N207" s="418" t="str">
        <f t="shared" si="25"/>
        <v/>
      </c>
      <c r="O207" s="498" t="str">
        <f t="shared" si="26"/>
        <v/>
      </c>
      <c r="P207" s="499"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7" t="str">
        <f>IF(N207="","",VLOOKUP(B207,'C-1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07" t="str">
        <f>IF(V207="","",IF(VLOOKUP(V207,'G-7 Rivers Data'!$AG$4:$AI$9,2,FALSE)=0,"Spatial Data Missing ⚠",VLOOKUP(V207,'G-7 Rivers Data'!$AG$4:$AI$9,2,FALSE)))</f>
        <v/>
      </c>
      <c r="X207" s="499" t="str">
        <f>IF(V207="","",IF(VLOOKUP(V207,'G-7 Rivers Data'!$AG$4:$AI$9,3,FALSE)=0,"Spatial Data Missing ⚠",VLOOKUP(V207,'G-7 Rivers Data'!$AG$4:$AI$9,3,FALSE)))</f>
        <v/>
      </c>
      <c r="Y207" s="498" t="str">
        <f>IFERROR(IF(OR(LEFT(P207,5)="Error ▲",LEFT(O207,5)="Error ▲"),"Check Data ⚠",IF(F207&lt;S207,'G-7 Rivers Data'!$R$3,INDEX('G-7 Rivers Data'!$U$5:$Y$9,MATCH(G207,'G-7 Rivers Data'!$T$5:$T$9,0),MATCH(T207,'G-7 Rivers Data'!$U$4:$Y$4,0)))),"")</f>
        <v/>
      </c>
      <c r="Z207" s="195"/>
      <c r="AA207" s="195"/>
      <c r="AB207" s="507" t="str">
        <f t="shared" si="27"/>
        <v/>
      </c>
      <c r="AC207" s="521" t="str">
        <f t="shared" si="28"/>
        <v/>
      </c>
      <c r="AD207" s="564" t="str">
        <f>IFERROR(IF(AC207="Check Data ⚠","Check Data ⚠",VLOOKUP(AC207,'G-4 Temporal multipliers'!$A$4:$C$37,3,FALSE)),"")</f>
        <v/>
      </c>
      <c r="AE207" s="498" t="str">
        <f>IF(N207="","",VLOOKUP(N207,'G-7 Rivers Data'!$B$4:$G$8,5,FALSE))</f>
        <v/>
      </c>
      <c r="AF207" s="507" t="str">
        <f t="shared" si="29"/>
        <v/>
      </c>
      <c r="AG207" s="540" t="str">
        <f t="shared" si="30"/>
        <v/>
      </c>
      <c r="AH207" s="499" t="str">
        <f t="shared" si="24"/>
        <v/>
      </c>
      <c r="AI207" s="145"/>
      <c r="AJ207" s="499" t="str">
        <f>IF(AI207="","",IF(VLOOKUP(AI207,'G-7 Rivers Data'!$AA$4:$AB$7,2,FALSE)=0,"Spatial Data Missing ⚠",VLOOKUP(AI207,'G-7 Rivers Data'!$AA$4:$AB$7,2,FALSE)))</f>
        <v/>
      </c>
      <c r="AK207" s="155"/>
      <c r="AL207" s="499" t="str">
        <f>IF(AK207="","",IF(VLOOKUP(AK207,'G-7 Rivers Data'!$AD$4:$AE$8,2,FALSE)=0,"Spatial Data Missing ⚠",VLOOKUP(AK207,'G-7 Rivers Data'!$AD$4:$AE$8,2,FALSE)))</f>
        <v/>
      </c>
      <c r="AM207" s="545" t="str">
        <f t="shared" si="31"/>
        <v/>
      </c>
      <c r="AN207" s="149"/>
      <c r="AO207" s="150"/>
      <c r="AV207" s="31" t="str">
        <f>IFERROR(INDEX('G-7 Rivers Data'!$AZ$3:$AZ$7,MATCH(N207,'G-7 Rivers Data'!$AY$3:$AY$7,0)),"")</f>
        <v/>
      </c>
    </row>
    <row r="208" spans="2:48" ht="13.8" x14ac:dyDescent="0.25">
      <c r="B208" s="531" t="str">
        <f>'C-1 Site River Baseline'!AN206</f>
        <v/>
      </c>
      <c r="C208" s="520" t="str">
        <f>IF(B208="","",VLOOKUP($B208,'C-1 Site River Baseline'!$C$9:$R$257,2,FALSE))</f>
        <v/>
      </c>
      <c r="D208" s="520" t="str">
        <f>IF(C208="","",VLOOKUP($B208,'C-1 Site River Baseline'!$C$9:$R$257,3,FALSE))</f>
        <v/>
      </c>
      <c r="E208" s="520" t="str">
        <f>IF(D208="","",VLOOKUP($B208,'C-1 Site River Baseline'!$C$9:$R$257,4,FALSE))</f>
        <v/>
      </c>
      <c r="F208" s="520" t="str">
        <f>IF(E208="","",VLOOKUP($B208,'C-1 Site River Baseline'!$C$9:$R$257,5,FALSE))</f>
        <v/>
      </c>
      <c r="G208" s="520" t="str">
        <f>IF(F208="","",VLOOKUP($B208,'C-1 Site River Baseline'!$C$9:$R$257,6,FALSE))</f>
        <v/>
      </c>
      <c r="H208" s="520" t="str">
        <f>IF(G208="","",VLOOKUP($B208,'C-1 Site River Baseline'!$C$9:$R$257,7,FALSE))</f>
        <v/>
      </c>
      <c r="I208" s="520" t="str">
        <f>IF(H208="","",VLOOKUP($B208,'C-1 Site River Baseline'!$C$9:$R$257,8,FALSE))</f>
        <v/>
      </c>
      <c r="J208" s="520" t="str">
        <f>IF(I208="","",VLOOKUP($B208,'C-1 Site River Baseline'!$C$9:$R$257,9,FALSE))</f>
        <v/>
      </c>
      <c r="K208" s="520" t="str">
        <f>IF(J208="","",VLOOKUP($B208,'C-1 Site River Baseline'!$C$9:$R$257,10,FALSE))</f>
        <v/>
      </c>
      <c r="L208" s="520" t="str">
        <f>IF(B208="","",VLOOKUP($B208,'C-1 Site River Baseline'!$C$9:$R$257,15,FALSE))</f>
        <v/>
      </c>
      <c r="M208" s="524" t="str">
        <f>IF(L208="","",VLOOKUP($B208,'C-1 Site River Baseline'!$C$9:$R$257,16,FALSE))</f>
        <v/>
      </c>
      <c r="N208" s="418" t="str">
        <f t="shared" si="25"/>
        <v/>
      </c>
      <c r="O208" s="498" t="str">
        <f t="shared" si="26"/>
        <v/>
      </c>
      <c r="P208" s="499"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7" t="str">
        <f>IF(N208="","",VLOOKUP(B208,'C-1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07" t="str">
        <f>IF(V208="","",IF(VLOOKUP(V208,'G-7 Rivers Data'!$AG$4:$AI$9,2,FALSE)=0,"Spatial Data Missing ⚠",VLOOKUP(V208,'G-7 Rivers Data'!$AG$4:$AI$9,2,FALSE)))</f>
        <v/>
      </c>
      <c r="X208" s="499" t="str">
        <f>IF(V208="","",IF(VLOOKUP(V208,'G-7 Rivers Data'!$AG$4:$AI$9,3,FALSE)=0,"Spatial Data Missing ⚠",VLOOKUP(V208,'G-7 Rivers Data'!$AG$4:$AI$9,3,FALSE)))</f>
        <v/>
      </c>
      <c r="Y208" s="498" t="str">
        <f>IFERROR(IF(OR(LEFT(P208,5)="Error ▲",LEFT(O208,5)="Error ▲"),"Check Data ⚠",IF(F208&lt;S208,'G-7 Rivers Data'!$R$3,INDEX('G-7 Rivers Data'!$U$5:$Y$9,MATCH(G208,'G-7 Rivers Data'!$T$5:$T$9,0),MATCH(T208,'G-7 Rivers Data'!$U$4:$Y$4,0)))),"")</f>
        <v/>
      </c>
      <c r="Z208" s="195"/>
      <c r="AA208" s="195"/>
      <c r="AB208" s="507" t="str">
        <f t="shared" si="27"/>
        <v/>
      </c>
      <c r="AC208" s="521" t="str">
        <f t="shared" si="28"/>
        <v/>
      </c>
      <c r="AD208" s="564" t="str">
        <f>IFERROR(IF(AC208="Check Data ⚠","Check Data ⚠",VLOOKUP(AC208,'G-4 Temporal multipliers'!$A$4:$C$37,3,FALSE)),"")</f>
        <v/>
      </c>
      <c r="AE208" s="498" t="str">
        <f>IF(N208="","",VLOOKUP(N208,'G-7 Rivers Data'!$B$4:$G$8,5,FALSE))</f>
        <v/>
      </c>
      <c r="AF208" s="507" t="str">
        <f t="shared" si="29"/>
        <v/>
      </c>
      <c r="AG208" s="540" t="str">
        <f t="shared" si="30"/>
        <v/>
      </c>
      <c r="AH208" s="499" t="str">
        <f t="shared" si="24"/>
        <v/>
      </c>
      <c r="AI208" s="145"/>
      <c r="AJ208" s="499" t="str">
        <f>IF(AI208="","",IF(VLOOKUP(AI208,'G-7 Rivers Data'!$AA$4:$AB$7,2,FALSE)=0,"Spatial Data Missing ⚠",VLOOKUP(AI208,'G-7 Rivers Data'!$AA$4:$AB$7,2,FALSE)))</f>
        <v/>
      </c>
      <c r="AK208" s="155"/>
      <c r="AL208" s="499" t="str">
        <f>IF(AK208="","",IF(VLOOKUP(AK208,'G-7 Rivers Data'!$AD$4:$AE$8,2,FALSE)=0,"Spatial Data Missing ⚠",VLOOKUP(AK208,'G-7 Rivers Data'!$AD$4:$AE$8,2,FALSE)))</f>
        <v/>
      </c>
      <c r="AM208" s="545" t="str">
        <f t="shared" si="31"/>
        <v/>
      </c>
      <c r="AN208" s="149"/>
      <c r="AO208" s="150"/>
      <c r="AV208" s="31" t="str">
        <f>IFERROR(INDEX('G-7 Rivers Data'!$AZ$3:$AZ$7,MATCH(N208,'G-7 Rivers Data'!$AY$3:$AY$7,0)),"")</f>
        <v/>
      </c>
    </row>
    <row r="209" spans="2:48" ht="13.8" x14ac:dyDescent="0.25">
      <c r="B209" s="531" t="str">
        <f>'C-1 Site River Baseline'!AN207</f>
        <v/>
      </c>
      <c r="C209" s="520" t="str">
        <f>IF(B209="","",VLOOKUP($B209,'C-1 Site River Baseline'!$C$9:$R$257,2,FALSE))</f>
        <v/>
      </c>
      <c r="D209" s="520" t="str">
        <f>IF(C209="","",VLOOKUP($B209,'C-1 Site River Baseline'!$C$9:$R$257,3,FALSE))</f>
        <v/>
      </c>
      <c r="E209" s="520" t="str">
        <f>IF(D209="","",VLOOKUP($B209,'C-1 Site River Baseline'!$C$9:$R$257,4,FALSE))</f>
        <v/>
      </c>
      <c r="F209" s="520" t="str">
        <f>IF(E209="","",VLOOKUP($B209,'C-1 Site River Baseline'!$C$9:$R$257,5,FALSE))</f>
        <v/>
      </c>
      <c r="G209" s="520" t="str">
        <f>IF(F209="","",VLOOKUP($B209,'C-1 Site River Baseline'!$C$9:$R$257,6,FALSE))</f>
        <v/>
      </c>
      <c r="H209" s="520" t="str">
        <f>IF(G209="","",VLOOKUP($B209,'C-1 Site River Baseline'!$C$9:$R$257,7,FALSE))</f>
        <v/>
      </c>
      <c r="I209" s="520" t="str">
        <f>IF(H209="","",VLOOKUP($B209,'C-1 Site River Baseline'!$C$9:$R$257,8,FALSE))</f>
        <v/>
      </c>
      <c r="J209" s="520" t="str">
        <f>IF(I209="","",VLOOKUP($B209,'C-1 Site River Baseline'!$C$9:$R$257,9,FALSE))</f>
        <v/>
      </c>
      <c r="K209" s="520" t="str">
        <f>IF(J209="","",VLOOKUP($B209,'C-1 Site River Baseline'!$C$9:$R$257,10,FALSE))</f>
        <v/>
      </c>
      <c r="L209" s="520" t="str">
        <f>IF(B209="","",VLOOKUP($B209,'C-1 Site River Baseline'!$C$9:$R$257,15,FALSE))</f>
        <v/>
      </c>
      <c r="M209" s="524" t="str">
        <f>IF(L209="","",VLOOKUP($B209,'C-1 Site River Baseline'!$C$9:$R$257,16,FALSE))</f>
        <v/>
      </c>
      <c r="N209" s="418" t="str">
        <f t="shared" si="25"/>
        <v/>
      </c>
      <c r="O209" s="498" t="str">
        <f t="shared" si="26"/>
        <v/>
      </c>
      <c r="P209" s="499"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7" t="str">
        <f>IF(N209="","",VLOOKUP(B209,'C-1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07" t="str">
        <f>IF(V209="","",IF(VLOOKUP(V209,'G-7 Rivers Data'!$AG$4:$AI$9,2,FALSE)=0,"Spatial Data Missing ⚠",VLOOKUP(V209,'G-7 Rivers Data'!$AG$4:$AI$9,2,FALSE)))</f>
        <v/>
      </c>
      <c r="X209" s="499" t="str">
        <f>IF(V209="","",IF(VLOOKUP(V209,'G-7 Rivers Data'!$AG$4:$AI$9,3,FALSE)=0,"Spatial Data Missing ⚠",VLOOKUP(V209,'G-7 Rivers Data'!$AG$4:$AI$9,3,FALSE)))</f>
        <v/>
      </c>
      <c r="Y209" s="498" t="str">
        <f>IFERROR(IF(OR(LEFT(P209,5)="Error ▲",LEFT(O209,5)="Error ▲"),"Check Data ⚠",IF(F209&lt;S209,'G-7 Rivers Data'!$R$3,INDEX('G-7 Rivers Data'!$U$5:$Y$9,MATCH(G209,'G-7 Rivers Data'!$T$5:$T$9,0),MATCH(T209,'G-7 Rivers Data'!$U$4:$Y$4,0)))),"")</f>
        <v/>
      </c>
      <c r="Z209" s="195"/>
      <c r="AA209" s="195"/>
      <c r="AB209" s="507" t="str">
        <f t="shared" si="27"/>
        <v/>
      </c>
      <c r="AC209" s="521" t="str">
        <f t="shared" si="28"/>
        <v/>
      </c>
      <c r="AD209" s="564" t="str">
        <f>IFERROR(IF(AC209="Check Data ⚠","Check Data ⚠",VLOOKUP(AC209,'G-4 Temporal multipliers'!$A$4:$C$37,3,FALSE)),"")</f>
        <v/>
      </c>
      <c r="AE209" s="498" t="str">
        <f>IF(N209="","",VLOOKUP(N209,'G-7 Rivers Data'!$B$4:$G$8,5,FALSE))</f>
        <v/>
      </c>
      <c r="AF209" s="507" t="str">
        <f t="shared" si="29"/>
        <v/>
      </c>
      <c r="AG209" s="540" t="str">
        <f t="shared" si="30"/>
        <v/>
      </c>
      <c r="AH209" s="499" t="str">
        <f t="shared" si="24"/>
        <v/>
      </c>
      <c r="AI209" s="145"/>
      <c r="AJ209" s="499" t="str">
        <f>IF(AI209="","",IF(VLOOKUP(AI209,'G-7 Rivers Data'!$AA$4:$AB$7,2,FALSE)=0,"Spatial Data Missing ⚠",VLOOKUP(AI209,'G-7 Rivers Data'!$AA$4:$AB$7,2,FALSE)))</f>
        <v/>
      </c>
      <c r="AK209" s="155"/>
      <c r="AL209" s="499" t="str">
        <f>IF(AK209="","",IF(VLOOKUP(AK209,'G-7 Rivers Data'!$AD$4:$AE$8,2,FALSE)=0,"Spatial Data Missing ⚠",VLOOKUP(AK209,'G-7 Rivers Data'!$AD$4:$AE$8,2,FALSE)))</f>
        <v/>
      </c>
      <c r="AM209" s="545" t="str">
        <f t="shared" si="31"/>
        <v/>
      </c>
      <c r="AN209" s="149"/>
      <c r="AO209" s="150"/>
      <c r="AV209" s="31" t="str">
        <f>IFERROR(INDEX('G-7 Rivers Data'!$AZ$3:$AZ$7,MATCH(N209,'G-7 Rivers Data'!$AY$3:$AY$7,0)),"")</f>
        <v/>
      </c>
    </row>
    <row r="210" spans="2:48" ht="13.8" x14ac:dyDescent="0.25">
      <c r="B210" s="531" t="str">
        <f>'C-1 Site River Baseline'!AN208</f>
        <v/>
      </c>
      <c r="C210" s="520" t="str">
        <f>IF(B210="","",VLOOKUP($B210,'C-1 Site River Baseline'!$C$9:$R$257,2,FALSE))</f>
        <v/>
      </c>
      <c r="D210" s="520" t="str">
        <f>IF(C210="","",VLOOKUP($B210,'C-1 Site River Baseline'!$C$9:$R$257,3,FALSE))</f>
        <v/>
      </c>
      <c r="E210" s="520" t="str">
        <f>IF(D210="","",VLOOKUP($B210,'C-1 Site River Baseline'!$C$9:$R$257,4,FALSE))</f>
        <v/>
      </c>
      <c r="F210" s="520" t="str">
        <f>IF(E210="","",VLOOKUP($B210,'C-1 Site River Baseline'!$C$9:$R$257,5,FALSE))</f>
        <v/>
      </c>
      <c r="G210" s="520" t="str">
        <f>IF(F210="","",VLOOKUP($B210,'C-1 Site River Baseline'!$C$9:$R$257,6,FALSE))</f>
        <v/>
      </c>
      <c r="H210" s="520" t="str">
        <f>IF(G210="","",VLOOKUP($B210,'C-1 Site River Baseline'!$C$9:$R$257,7,FALSE))</f>
        <v/>
      </c>
      <c r="I210" s="520" t="str">
        <f>IF(H210="","",VLOOKUP($B210,'C-1 Site River Baseline'!$C$9:$R$257,8,FALSE))</f>
        <v/>
      </c>
      <c r="J210" s="520" t="str">
        <f>IF(I210="","",VLOOKUP($B210,'C-1 Site River Baseline'!$C$9:$R$257,9,FALSE))</f>
        <v/>
      </c>
      <c r="K210" s="520" t="str">
        <f>IF(J210="","",VLOOKUP($B210,'C-1 Site River Baseline'!$C$9:$R$257,10,FALSE))</f>
        <v/>
      </c>
      <c r="L210" s="520" t="str">
        <f>IF(B210="","",VLOOKUP($B210,'C-1 Site River Baseline'!$C$9:$R$257,15,FALSE))</f>
        <v/>
      </c>
      <c r="M210" s="524" t="str">
        <f>IF(L210="","",VLOOKUP($B210,'C-1 Site River Baseline'!$C$9:$R$257,16,FALSE))</f>
        <v/>
      </c>
      <c r="N210" s="418" t="str">
        <f t="shared" si="25"/>
        <v/>
      </c>
      <c r="O210" s="498" t="str">
        <f t="shared" si="26"/>
        <v/>
      </c>
      <c r="P210" s="499"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7" t="str">
        <f>IF(N210="","",VLOOKUP(B210,'C-1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07" t="str">
        <f>IF(V210="","",IF(VLOOKUP(V210,'G-7 Rivers Data'!$AG$4:$AI$9,2,FALSE)=0,"Spatial Data Missing ⚠",VLOOKUP(V210,'G-7 Rivers Data'!$AG$4:$AI$9,2,FALSE)))</f>
        <v/>
      </c>
      <c r="X210" s="499" t="str">
        <f>IF(V210="","",IF(VLOOKUP(V210,'G-7 Rivers Data'!$AG$4:$AI$9,3,FALSE)=0,"Spatial Data Missing ⚠",VLOOKUP(V210,'G-7 Rivers Data'!$AG$4:$AI$9,3,FALSE)))</f>
        <v/>
      </c>
      <c r="Y210" s="498" t="str">
        <f>IFERROR(IF(OR(LEFT(P210,5)="Error ▲",LEFT(O210,5)="Error ▲"),"Check Data ⚠",IF(F210&lt;S210,'G-7 Rivers Data'!$R$3,INDEX('G-7 Rivers Data'!$U$5:$Y$9,MATCH(G210,'G-7 Rivers Data'!$T$5:$T$9,0),MATCH(T210,'G-7 Rivers Data'!$U$4:$Y$4,0)))),"")</f>
        <v/>
      </c>
      <c r="Z210" s="195"/>
      <c r="AA210" s="195"/>
      <c r="AB210" s="507" t="str">
        <f t="shared" si="27"/>
        <v/>
      </c>
      <c r="AC210" s="521" t="str">
        <f t="shared" si="28"/>
        <v/>
      </c>
      <c r="AD210" s="564" t="str">
        <f>IFERROR(IF(AC210="Check Data ⚠","Check Data ⚠",VLOOKUP(AC210,'G-4 Temporal multipliers'!$A$4:$C$37,3,FALSE)),"")</f>
        <v/>
      </c>
      <c r="AE210" s="498" t="str">
        <f>IF(N210="","",VLOOKUP(N210,'G-7 Rivers Data'!$B$4:$G$8,5,FALSE))</f>
        <v/>
      </c>
      <c r="AF210" s="507" t="str">
        <f t="shared" si="29"/>
        <v/>
      </c>
      <c r="AG210" s="540" t="str">
        <f t="shared" si="30"/>
        <v/>
      </c>
      <c r="AH210" s="499" t="str">
        <f t="shared" si="24"/>
        <v/>
      </c>
      <c r="AI210" s="145"/>
      <c r="AJ210" s="499" t="str">
        <f>IF(AI210="","",IF(VLOOKUP(AI210,'G-7 Rivers Data'!$AA$4:$AB$7,2,FALSE)=0,"Spatial Data Missing ⚠",VLOOKUP(AI210,'G-7 Rivers Data'!$AA$4:$AB$7,2,FALSE)))</f>
        <v/>
      </c>
      <c r="AK210" s="155"/>
      <c r="AL210" s="499" t="str">
        <f>IF(AK210="","",IF(VLOOKUP(AK210,'G-7 Rivers Data'!$AD$4:$AE$8,2,FALSE)=0,"Spatial Data Missing ⚠",VLOOKUP(AK210,'G-7 Rivers Data'!$AD$4:$AE$8,2,FALSE)))</f>
        <v/>
      </c>
      <c r="AM210" s="545" t="str">
        <f t="shared" si="31"/>
        <v/>
      </c>
      <c r="AN210" s="149"/>
      <c r="AO210" s="150"/>
      <c r="AV210" s="31" t="str">
        <f>IFERROR(INDEX('G-7 Rivers Data'!$AZ$3:$AZ$7,MATCH(N210,'G-7 Rivers Data'!$AY$3:$AY$7,0)),"")</f>
        <v/>
      </c>
    </row>
    <row r="211" spans="2:48" ht="13.8" x14ac:dyDescent="0.25">
      <c r="B211" s="531" t="str">
        <f>'C-1 Site River Baseline'!AN209</f>
        <v/>
      </c>
      <c r="C211" s="520" t="str">
        <f>IF(B211="","",VLOOKUP($B211,'C-1 Site River Baseline'!$C$9:$R$257,2,FALSE))</f>
        <v/>
      </c>
      <c r="D211" s="520" t="str">
        <f>IF(C211="","",VLOOKUP($B211,'C-1 Site River Baseline'!$C$9:$R$257,3,FALSE))</f>
        <v/>
      </c>
      <c r="E211" s="520" t="str">
        <f>IF(D211="","",VLOOKUP($B211,'C-1 Site River Baseline'!$C$9:$R$257,4,FALSE))</f>
        <v/>
      </c>
      <c r="F211" s="520" t="str">
        <f>IF(E211="","",VLOOKUP($B211,'C-1 Site River Baseline'!$C$9:$R$257,5,FALSE))</f>
        <v/>
      </c>
      <c r="G211" s="520" t="str">
        <f>IF(F211="","",VLOOKUP($B211,'C-1 Site River Baseline'!$C$9:$R$257,6,FALSE))</f>
        <v/>
      </c>
      <c r="H211" s="520" t="str">
        <f>IF(G211="","",VLOOKUP($B211,'C-1 Site River Baseline'!$C$9:$R$257,7,FALSE))</f>
        <v/>
      </c>
      <c r="I211" s="520" t="str">
        <f>IF(H211="","",VLOOKUP($B211,'C-1 Site River Baseline'!$C$9:$R$257,8,FALSE))</f>
        <v/>
      </c>
      <c r="J211" s="520" t="str">
        <f>IF(I211="","",VLOOKUP($B211,'C-1 Site River Baseline'!$C$9:$R$257,9,FALSE))</f>
        <v/>
      </c>
      <c r="K211" s="520" t="str">
        <f>IF(J211="","",VLOOKUP($B211,'C-1 Site River Baseline'!$C$9:$R$257,10,FALSE))</f>
        <v/>
      </c>
      <c r="L211" s="520" t="str">
        <f>IF(B211="","",VLOOKUP($B211,'C-1 Site River Baseline'!$C$9:$R$257,15,FALSE))</f>
        <v/>
      </c>
      <c r="M211" s="524" t="str">
        <f>IF(L211="","",VLOOKUP($B211,'C-1 Site River Baseline'!$C$9:$R$257,16,FALSE))</f>
        <v/>
      </c>
      <c r="N211" s="418" t="str">
        <f t="shared" si="25"/>
        <v/>
      </c>
      <c r="O211" s="498" t="str">
        <f t="shared" si="26"/>
        <v/>
      </c>
      <c r="P211" s="499"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7" t="str">
        <f>IF(N211="","",VLOOKUP(B211,'C-1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07" t="str">
        <f>IF(V211="","",IF(VLOOKUP(V211,'G-7 Rivers Data'!$AG$4:$AI$9,2,FALSE)=0,"Spatial Data Missing ⚠",VLOOKUP(V211,'G-7 Rivers Data'!$AG$4:$AI$9,2,FALSE)))</f>
        <v/>
      </c>
      <c r="X211" s="499" t="str">
        <f>IF(V211="","",IF(VLOOKUP(V211,'G-7 Rivers Data'!$AG$4:$AI$9,3,FALSE)=0,"Spatial Data Missing ⚠",VLOOKUP(V211,'G-7 Rivers Data'!$AG$4:$AI$9,3,FALSE)))</f>
        <v/>
      </c>
      <c r="Y211" s="498" t="str">
        <f>IFERROR(IF(OR(LEFT(P211,5)="Error ▲",LEFT(O211,5)="Error ▲"),"Check Data ⚠",IF(F211&lt;S211,'G-7 Rivers Data'!$R$3,INDEX('G-7 Rivers Data'!$U$5:$Y$9,MATCH(G211,'G-7 Rivers Data'!$T$5:$T$9,0),MATCH(T211,'G-7 Rivers Data'!$U$4:$Y$4,0)))),"")</f>
        <v/>
      </c>
      <c r="Z211" s="195"/>
      <c r="AA211" s="195"/>
      <c r="AB211" s="507" t="str">
        <f t="shared" si="27"/>
        <v/>
      </c>
      <c r="AC211" s="521" t="str">
        <f t="shared" si="28"/>
        <v/>
      </c>
      <c r="AD211" s="564" t="str">
        <f>IFERROR(IF(AC211="Check Data ⚠","Check Data ⚠",VLOOKUP(AC211,'G-4 Temporal multipliers'!$A$4:$C$37,3,FALSE)),"")</f>
        <v/>
      </c>
      <c r="AE211" s="498" t="str">
        <f>IF(N211="","",VLOOKUP(N211,'G-7 Rivers Data'!$B$4:$G$8,5,FALSE))</f>
        <v/>
      </c>
      <c r="AF211" s="507" t="str">
        <f t="shared" si="29"/>
        <v/>
      </c>
      <c r="AG211" s="540" t="str">
        <f t="shared" si="30"/>
        <v/>
      </c>
      <c r="AH211" s="499" t="str">
        <f t="shared" si="24"/>
        <v/>
      </c>
      <c r="AI211" s="145"/>
      <c r="AJ211" s="499" t="str">
        <f>IF(AI211="","",IF(VLOOKUP(AI211,'G-7 Rivers Data'!$AA$4:$AB$7,2,FALSE)=0,"Spatial Data Missing ⚠",VLOOKUP(AI211,'G-7 Rivers Data'!$AA$4:$AB$7,2,FALSE)))</f>
        <v/>
      </c>
      <c r="AK211" s="155"/>
      <c r="AL211" s="499" t="str">
        <f>IF(AK211="","",IF(VLOOKUP(AK211,'G-7 Rivers Data'!$AD$4:$AE$8,2,FALSE)=0,"Spatial Data Missing ⚠",VLOOKUP(AK211,'G-7 Rivers Data'!$AD$4:$AE$8,2,FALSE)))</f>
        <v/>
      </c>
      <c r="AM211" s="545" t="str">
        <f t="shared" si="31"/>
        <v/>
      </c>
      <c r="AN211" s="149"/>
      <c r="AO211" s="150"/>
      <c r="AV211" s="31" t="str">
        <f>IFERROR(INDEX('G-7 Rivers Data'!$AZ$3:$AZ$7,MATCH(N211,'G-7 Rivers Data'!$AY$3:$AY$7,0)),"")</f>
        <v/>
      </c>
    </row>
    <row r="212" spans="2:48" ht="13.8" x14ac:dyDescent="0.25">
      <c r="B212" s="531" t="str">
        <f>'C-1 Site River Baseline'!AN210</f>
        <v/>
      </c>
      <c r="C212" s="520" t="str">
        <f>IF(B212="","",VLOOKUP($B212,'C-1 Site River Baseline'!$C$9:$R$257,2,FALSE))</f>
        <v/>
      </c>
      <c r="D212" s="520" t="str">
        <f>IF(C212="","",VLOOKUP($B212,'C-1 Site River Baseline'!$C$9:$R$257,3,FALSE))</f>
        <v/>
      </c>
      <c r="E212" s="520" t="str">
        <f>IF(D212="","",VLOOKUP($B212,'C-1 Site River Baseline'!$C$9:$R$257,4,FALSE))</f>
        <v/>
      </c>
      <c r="F212" s="520" t="str">
        <f>IF(E212="","",VLOOKUP($B212,'C-1 Site River Baseline'!$C$9:$R$257,5,FALSE))</f>
        <v/>
      </c>
      <c r="G212" s="520" t="str">
        <f>IF(F212="","",VLOOKUP($B212,'C-1 Site River Baseline'!$C$9:$R$257,6,FALSE))</f>
        <v/>
      </c>
      <c r="H212" s="520" t="str">
        <f>IF(G212="","",VLOOKUP($B212,'C-1 Site River Baseline'!$C$9:$R$257,7,FALSE))</f>
        <v/>
      </c>
      <c r="I212" s="520" t="str">
        <f>IF(H212="","",VLOOKUP($B212,'C-1 Site River Baseline'!$C$9:$R$257,8,FALSE))</f>
        <v/>
      </c>
      <c r="J212" s="520" t="str">
        <f>IF(I212="","",VLOOKUP($B212,'C-1 Site River Baseline'!$C$9:$R$257,9,FALSE))</f>
        <v/>
      </c>
      <c r="K212" s="520" t="str">
        <f>IF(J212="","",VLOOKUP($B212,'C-1 Site River Baseline'!$C$9:$R$257,10,FALSE))</f>
        <v/>
      </c>
      <c r="L212" s="520" t="str">
        <f>IF(B212="","",VLOOKUP($B212,'C-1 Site River Baseline'!$C$9:$R$257,15,FALSE))</f>
        <v/>
      </c>
      <c r="M212" s="524" t="str">
        <f>IF(L212="","",VLOOKUP($B212,'C-1 Site River Baseline'!$C$9:$R$257,16,FALSE))</f>
        <v/>
      </c>
      <c r="N212" s="418" t="str">
        <f t="shared" si="25"/>
        <v/>
      </c>
      <c r="O212" s="498" t="str">
        <f t="shared" si="26"/>
        <v/>
      </c>
      <c r="P212" s="499"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7" t="str">
        <f>IF(N212="","",VLOOKUP(B212,'C-1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07" t="str">
        <f>IF(V212="","",IF(VLOOKUP(V212,'G-7 Rivers Data'!$AG$4:$AI$9,2,FALSE)=0,"Spatial Data Missing ⚠",VLOOKUP(V212,'G-7 Rivers Data'!$AG$4:$AI$9,2,FALSE)))</f>
        <v/>
      </c>
      <c r="X212" s="499" t="str">
        <f>IF(V212="","",IF(VLOOKUP(V212,'G-7 Rivers Data'!$AG$4:$AI$9,3,FALSE)=0,"Spatial Data Missing ⚠",VLOOKUP(V212,'G-7 Rivers Data'!$AG$4:$AI$9,3,FALSE)))</f>
        <v/>
      </c>
      <c r="Y212" s="498" t="str">
        <f>IFERROR(IF(OR(LEFT(P212,5)="Error ▲",LEFT(O212,5)="Error ▲"),"Check Data ⚠",IF(F212&lt;S212,'G-7 Rivers Data'!$R$3,INDEX('G-7 Rivers Data'!$U$5:$Y$9,MATCH(G212,'G-7 Rivers Data'!$T$5:$T$9,0),MATCH(T212,'G-7 Rivers Data'!$U$4:$Y$4,0)))),"")</f>
        <v/>
      </c>
      <c r="Z212" s="195"/>
      <c r="AA212" s="195"/>
      <c r="AB212" s="507" t="str">
        <f t="shared" si="27"/>
        <v/>
      </c>
      <c r="AC212" s="521" t="str">
        <f t="shared" si="28"/>
        <v/>
      </c>
      <c r="AD212" s="564" t="str">
        <f>IFERROR(IF(AC212="Check Data ⚠","Check Data ⚠",VLOOKUP(AC212,'G-4 Temporal multipliers'!$A$4:$C$37,3,FALSE)),"")</f>
        <v/>
      </c>
      <c r="AE212" s="498" t="str">
        <f>IF(N212="","",VLOOKUP(N212,'G-7 Rivers Data'!$B$4:$G$8,5,FALSE))</f>
        <v/>
      </c>
      <c r="AF212" s="507" t="str">
        <f t="shared" si="29"/>
        <v/>
      </c>
      <c r="AG212" s="540" t="str">
        <f t="shared" si="30"/>
        <v/>
      </c>
      <c r="AH212" s="499" t="str">
        <f t="shared" si="24"/>
        <v/>
      </c>
      <c r="AI212" s="145"/>
      <c r="AJ212" s="499" t="str">
        <f>IF(AI212="","",IF(VLOOKUP(AI212,'G-7 Rivers Data'!$AA$4:$AB$7,2,FALSE)=0,"Spatial Data Missing ⚠",VLOOKUP(AI212,'G-7 Rivers Data'!$AA$4:$AB$7,2,FALSE)))</f>
        <v/>
      </c>
      <c r="AK212" s="155"/>
      <c r="AL212" s="499" t="str">
        <f>IF(AK212="","",IF(VLOOKUP(AK212,'G-7 Rivers Data'!$AD$4:$AE$8,2,FALSE)=0,"Spatial Data Missing ⚠",VLOOKUP(AK212,'G-7 Rivers Data'!$AD$4:$AE$8,2,FALSE)))</f>
        <v/>
      </c>
      <c r="AM212" s="545" t="str">
        <f t="shared" si="31"/>
        <v/>
      </c>
      <c r="AN212" s="149"/>
      <c r="AO212" s="150"/>
      <c r="AV212" s="31" t="str">
        <f>IFERROR(INDEX('G-7 Rivers Data'!$AZ$3:$AZ$7,MATCH(N212,'G-7 Rivers Data'!$AY$3:$AY$7,0)),"")</f>
        <v/>
      </c>
    </row>
    <row r="213" spans="2:48" ht="13.8" x14ac:dyDescent="0.25">
      <c r="B213" s="531" t="str">
        <f>'C-1 Site River Baseline'!AN211</f>
        <v/>
      </c>
      <c r="C213" s="520" t="str">
        <f>IF(B213="","",VLOOKUP($B213,'C-1 Site River Baseline'!$C$9:$R$257,2,FALSE))</f>
        <v/>
      </c>
      <c r="D213" s="520" t="str">
        <f>IF(C213="","",VLOOKUP($B213,'C-1 Site River Baseline'!$C$9:$R$257,3,FALSE))</f>
        <v/>
      </c>
      <c r="E213" s="520" t="str">
        <f>IF(D213="","",VLOOKUP($B213,'C-1 Site River Baseline'!$C$9:$R$257,4,FALSE))</f>
        <v/>
      </c>
      <c r="F213" s="520" t="str">
        <f>IF(E213="","",VLOOKUP($B213,'C-1 Site River Baseline'!$C$9:$R$257,5,FALSE))</f>
        <v/>
      </c>
      <c r="G213" s="520" t="str">
        <f>IF(F213="","",VLOOKUP($B213,'C-1 Site River Baseline'!$C$9:$R$257,6,FALSE))</f>
        <v/>
      </c>
      <c r="H213" s="520" t="str">
        <f>IF(G213="","",VLOOKUP($B213,'C-1 Site River Baseline'!$C$9:$R$257,7,FALSE))</f>
        <v/>
      </c>
      <c r="I213" s="520" t="str">
        <f>IF(H213="","",VLOOKUP($B213,'C-1 Site River Baseline'!$C$9:$R$257,8,FALSE))</f>
        <v/>
      </c>
      <c r="J213" s="520" t="str">
        <f>IF(I213="","",VLOOKUP($B213,'C-1 Site River Baseline'!$C$9:$R$257,9,FALSE))</f>
        <v/>
      </c>
      <c r="K213" s="520" t="str">
        <f>IF(J213="","",VLOOKUP($B213,'C-1 Site River Baseline'!$C$9:$R$257,10,FALSE))</f>
        <v/>
      </c>
      <c r="L213" s="520" t="str">
        <f>IF(B213="","",VLOOKUP($B213,'C-1 Site River Baseline'!$C$9:$R$257,15,FALSE))</f>
        <v/>
      </c>
      <c r="M213" s="524" t="str">
        <f>IF(L213="","",VLOOKUP($B213,'C-1 Site River Baseline'!$C$9:$R$257,16,FALSE))</f>
        <v/>
      </c>
      <c r="N213" s="418" t="str">
        <f t="shared" si="25"/>
        <v/>
      </c>
      <c r="O213" s="498" t="str">
        <f t="shared" si="26"/>
        <v/>
      </c>
      <c r="P213" s="499"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7" t="str">
        <f>IF(N213="","",VLOOKUP(B213,'C-1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07" t="str">
        <f>IF(V213="","",IF(VLOOKUP(V213,'G-7 Rivers Data'!$AG$4:$AI$9,2,FALSE)=0,"Spatial Data Missing ⚠",VLOOKUP(V213,'G-7 Rivers Data'!$AG$4:$AI$9,2,FALSE)))</f>
        <v/>
      </c>
      <c r="X213" s="499" t="str">
        <f>IF(V213="","",IF(VLOOKUP(V213,'G-7 Rivers Data'!$AG$4:$AI$9,3,FALSE)=0,"Spatial Data Missing ⚠",VLOOKUP(V213,'G-7 Rivers Data'!$AG$4:$AI$9,3,FALSE)))</f>
        <v/>
      </c>
      <c r="Y213" s="498" t="str">
        <f>IFERROR(IF(OR(LEFT(P213,5)="Error ▲",LEFT(O213,5)="Error ▲"),"Check Data ⚠",IF(F213&lt;S213,'G-7 Rivers Data'!$R$3,INDEX('G-7 Rivers Data'!$U$5:$Y$9,MATCH(G213,'G-7 Rivers Data'!$T$5:$T$9,0),MATCH(T213,'G-7 Rivers Data'!$U$4:$Y$4,0)))),"")</f>
        <v/>
      </c>
      <c r="Z213" s="195"/>
      <c r="AA213" s="195"/>
      <c r="AB213" s="507" t="str">
        <f t="shared" si="27"/>
        <v/>
      </c>
      <c r="AC213" s="521" t="str">
        <f t="shared" si="28"/>
        <v/>
      </c>
      <c r="AD213" s="564" t="str">
        <f>IFERROR(IF(AC213="Check Data ⚠","Check Data ⚠",VLOOKUP(AC213,'G-4 Temporal multipliers'!$A$4:$C$37,3,FALSE)),"")</f>
        <v/>
      </c>
      <c r="AE213" s="498" t="str">
        <f>IF(N213="","",VLOOKUP(N213,'G-7 Rivers Data'!$B$4:$G$8,5,FALSE))</f>
        <v/>
      </c>
      <c r="AF213" s="507" t="str">
        <f t="shared" si="29"/>
        <v/>
      </c>
      <c r="AG213" s="540" t="str">
        <f t="shared" si="30"/>
        <v/>
      </c>
      <c r="AH213" s="499" t="str">
        <f t="shared" si="24"/>
        <v/>
      </c>
      <c r="AI213" s="145"/>
      <c r="AJ213" s="499" t="str">
        <f>IF(AI213="","",IF(VLOOKUP(AI213,'G-7 Rivers Data'!$AA$4:$AB$7,2,FALSE)=0,"Spatial Data Missing ⚠",VLOOKUP(AI213,'G-7 Rivers Data'!$AA$4:$AB$7,2,FALSE)))</f>
        <v/>
      </c>
      <c r="AK213" s="155"/>
      <c r="AL213" s="499" t="str">
        <f>IF(AK213="","",IF(VLOOKUP(AK213,'G-7 Rivers Data'!$AD$4:$AE$8,2,FALSE)=0,"Spatial Data Missing ⚠",VLOOKUP(AK213,'G-7 Rivers Data'!$AD$4:$AE$8,2,FALSE)))</f>
        <v/>
      </c>
      <c r="AM213" s="545" t="str">
        <f t="shared" si="31"/>
        <v/>
      </c>
      <c r="AN213" s="149"/>
      <c r="AO213" s="150"/>
      <c r="AV213" s="31" t="str">
        <f>IFERROR(INDEX('G-7 Rivers Data'!$AZ$3:$AZ$7,MATCH(N213,'G-7 Rivers Data'!$AY$3:$AY$7,0)),"")</f>
        <v/>
      </c>
    </row>
    <row r="214" spans="2:48" ht="13.8" x14ac:dyDescent="0.25">
      <c r="B214" s="531" t="str">
        <f>'C-1 Site River Baseline'!AN212</f>
        <v/>
      </c>
      <c r="C214" s="520" t="str">
        <f>IF(B214="","",VLOOKUP($B214,'C-1 Site River Baseline'!$C$9:$R$257,2,FALSE))</f>
        <v/>
      </c>
      <c r="D214" s="520" t="str">
        <f>IF(C214="","",VLOOKUP($B214,'C-1 Site River Baseline'!$C$9:$R$257,3,FALSE))</f>
        <v/>
      </c>
      <c r="E214" s="520" t="str">
        <f>IF(D214="","",VLOOKUP($B214,'C-1 Site River Baseline'!$C$9:$R$257,4,FALSE))</f>
        <v/>
      </c>
      <c r="F214" s="520" t="str">
        <f>IF(E214="","",VLOOKUP($B214,'C-1 Site River Baseline'!$C$9:$R$257,5,FALSE))</f>
        <v/>
      </c>
      <c r="G214" s="520" t="str">
        <f>IF(F214="","",VLOOKUP($B214,'C-1 Site River Baseline'!$C$9:$R$257,6,FALSE))</f>
        <v/>
      </c>
      <c r="H214" s="520" t="str">
        <f>IF(G214="","",VLOOKUP($B214,'C-1 Site River Baseline'!$C$9:$R$257,7,FALSE))</f>
        <v/>
      </c>
      <c r="I214" s="520" t="str">
        <f>IF(H214="","",VLOOKUP($B214,'C-1 Site River Baseline'!$C$9:$R$257,8,FALSE))</f>
        <v/>
      </c>
      <c r="J214" s="520" t="str">
        <f>IF(I214="","",VLOOKUP($B214,'C-1 Site River Baseline'!$C$9:$R$257,9,FALSE))</f>
        <v/>
      </c>
      <c r="K214" s="520" t="str">
        <f>IF(J214="","",VLOOKUP($B214,'C-1 Site River Baseline'!$C$9:$R$257,10,FALSE))</f>
        <v/>
      </c>
      <c r="L214" s="520" t="str">
        <f>IF(B214="","",VLOOKUP($B214,'C-1 Site River Baseline'!$C$9:$R$257,15,FALSE))</f>
        <v/>
      </c>
      <c r="M214" s="524" t="str">
        <f>IF(L214="","",VLOOKUP($B214,'C-1 Site River Baseline'!$C$9:$R$257,16,FALSE))</f>
        <v/>
      </c>
      <c r="N214" s="418" t="str">
        <f t="shared" si="25"/>
        <v/>
      </c>
      <c r="O214" s="498" t="str">
        <f t="shared" si="26"/>
        <v/>
      </c>
      <c r="P214" s="499"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7" t="str">
        <f>IF(N214="","",VLOOKUP(B214,'C-1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07" t="str">
        <f>IF(V214="","",IF(VLOOKUP(V214,'G-7 Rivers Data'!$AG$4:$AI$9,2,FALSE)=0,"Spatial Data Missing ⚠",VLOOKUP(V214,'G-7 Rivers Data'!$AG$4:$AI$9,2,FALSE)))</f>
        <v/>
      </c>
      <c r="X214" s="499" t="str">
        <f>IF(V214="","",IF(VLOOKUP(V214,'G-7 Rivers Data'!$AG$4:$AI$9,3,FALSE)=0,"Spatial Data Missing ⚠",VLOOKUP(V214,'G-7 Rivers Data'!$AG$4:$AI$9,3,FALSE)))</f>
        <v/>
      </c>
      <c r="Y214" s="498" t="str">
        <f>IFERROR(IF(OR(LEFT(P214,5)="Error ▲",LEFT(O214,5)="Error ▲"),"Check Data ⚠",IF(F214&lt;S214,'G-7 Rivers Data'!$R$3,INDEX('G-7 Rivers Data'!$U$5:$Y$9,MATCH(G214,'G-7 Rivers Data'!$T$5:$T$9,0),MATCH(T214,'G-7 Rivers Data'!$U$4:$Y$4,0)))),"")</f>
        <v/>
      </c>
      <c r="Z214" s="195"/>
      <c r="AA214" s="195"/>
      <c r="AB214" s="507" t="str">
        <f t="shared" si="27"/>
        <v/>
      </c>
      <c r="AC214" s="521" t="str">
        <f t="shared" si="28"/>
        <v/>
      </c>
      <c r="AD214" s="564" t="str">
        <f>IFERROR(IF(AC214="Check Data ⚠","Check Data ⚠",VLOOKUP(AC214,'G-4 Temporal multipliers'!$A$4:$C$37,3,FALSE)),"")</f>
        <v/>
      </c>
      <c r="AE214" s="498" t="str">
        <f>IF(N214="","",VLOOKUP(N214,'G-7 Rivers Data'!$B$4:$G$8,5,FALSE))</f>
        <v/>
      </c>
      <c r="AF214" s="507" t="str">
        <f t="shared" si="29"/>
        <v/>
      </c>
      <c r="AG214" s="540" t="str">
        <f t="shared" si="30"/>
        <v/>
      </c>
      <c r="AH214" s="499" t="str">
        <f t="shared" si="24"/>
        <v/>
      </c>
      <c r="AI214" s="145"/>
      <c r="AJ214" s="499" t="str">
        <f>IF(AI214="","",IF(VLOOKUP(AI214,'G-7 Rivers Data'!$AA$4:$AB$7,2,FALSE)=0,"Spatial Data Missing ⚠",VLOOKUP(AI214,'G-7 Rivers Data'!$AA$4:$AB$7,2,FALSE)))</f>
        <v/>
      </c>
      <c r="AK214" s="155"/>
      <c r="AL214" s="499" t="str">
        <f>IF(AK214="","",IF(VLOOKUP(AK214,'G-7 Rivers Data'!$AD$4:$AE$8,2,FALSE)=0,"Spatial Data Missing ⚠",VLOOKUP(AK214,'G-7 Rivers Data'!$AD$4:$AE$8,2,FALSE)))</f>
        <v/>
      </c>
      <c r="AM214" s="545" t="str">
        <f t="shared" si="31"/>
        <v/>
      </c>
      <c r="AN214" s="149"/>
      <c r="AO214" s="150"/>
      <c r="AV214" s="31" t="str">
        <f>IFERROR(INDEX('G-7 Rivers Data'!$AZ$3:$AZ$7,MATCH(N214,'G-7 Rivers Data'!$AY$3:$AY$7,0)),"")</f>
        <v/>
      </c>
    </row>
    <row r="215" spans="2:48" ht="13.8" x14ac:dyDescent="0.25">
      <c r="B215" s="531" t="str">
        <f>'C-1 Site River Baseline'!AN213</f>
        <v/>
      </c>
      <c r="C215" s="520" t="str">
        <f>IF(B215="","",VLOOKUP($B215,'C-1 Site River Baseline'!$C$9:$R$257,2,FALSE))</f>
        <v/>
      </c>
      <c r="D215" s="520" t="str">
        <f>IF(C215="","",VLOOKUP($B215,'C-1 Site River Baseline'!$C$9:$R$257,3,FALSE))</f>
        <v/>
      </c>
      <c r="E215" s="520" t="str">
        <f>IF(D215="","",VLOOKUP($B215,'C-1 Site River Baseline'!$C$9:$R$257,4,FALSE))</f>
        <v/>
      </c>
      <c r="F215" s="520" t="str">
        <f>IF(E215="","",VLOOKUP($B215,'C-1 Site River Baseline'!$C$9:$R$257,5,FALSE))</f>
        <v/>
      </c>
      <c r="G215" s="520" t="str">
        <f>IF(F215="","",VLOOKUP($B215,'C-1 Site River Baseline'!$C$9:$R$257,6,FALSE))</f>
        <v/>
      </c>
      <c r="H215" s="520" t="str">
        <f>IF(G215="","",VLOOKUP($B215,'C-1 Site River Baseline'!$C$9:$R$257,7,FALSE))</f>
        <v/>
      </c>
      <c r="I215" s="520" t="str">
        <f>IF(H215="","",VLOOKUP($B215,'C-1 Site River Baseline'!$C$9:$R$257,8,FALSE))</f>
        <v/>
      </c>
      <c r="J215" s="520" t="str">
        <f>IF(I215="","",VLOOKUP($B215,'C-1 Site River Baseline'!$C$9:$R$257,9,FALSE))</f>
        <v/>
      </c>
      <c r="K215" s="520" t="str">
        <f>IF(J215="","",VLOOKUP($B215,'C-1 Site River Baseline'!$C$9:$R$257,10,FALSE))</f>
        <v/>
      </c>
      <c r="L215" s="520" t="str">
        <f>IF(B215="","",VLOOKUP($B215,'C-1 Site River Baseline'!$C$9:$R$257,15,FALSE))</f>
        <v/>
      </c>
      <c r="M215" s="524" t="str">
        <f>IF(L215="","",VLOOKUP($B215,'C-1 Site River Baseline'!$C$9:$R$257,16,FALSE))</f>
        <v/>
      </c>
      <c r="N215" s="418" t="str">
        <f t="shared" si="25"/>
        <v/>
      </c>
      <c r="O215" s="498" t="str">
        <f t="shared" si="26"/>
        <v/>
      </c>
      <c r="P215" s="499"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7" t="str">
        <f>IF(N215="","",VLOOKUP(B215,'C-1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07" t="str">
        <f>IF(V215="","",IF(VLOOKUP(V215,'G-7 Rivers Data'!$AG$4:$AI$9,2,FALSE)=0,"Spatial Data Missing ⚠",VLOOKUP(V215,'G-7 Rivers Data'!$AG$4:$AI$9,2,FALSE)))</f>
        <v/>
      </c>
      <c r="X215" s="499" t="str">
        <f>IF(V215="","",IF(VLOOKUP(V215,'G-7 Rivers Data'!$AG$4:$AI$9,3,FALSE)=0,"Spatial Data Missing ⚠",VLOOKUP(V215,'G-7 Rivers Data'!$AG$4:$AI$9,3,FALSE)))</f>
        <v/>
      </c>
      <c r="Y215" s="498" t="str">
        <f>IFERROR(IF(OR(LEFT(P215,5)="Error ▲",LEFT(O215,5)="Error ▲"),"Check Data ⚠",IF(F215&lt;S215,'G-7 Rivers Data'!$R$3,INDEX('G-7 Rivers Data'!$U$5:$Y$9,MATCH(G215,'G-7 Rivers Data'!$T$5:$T$9,0),MATCH(T215,'G-7 Rivers Data'!$U$4:$Y$4,0)))),"")</f>
        <v/>
      </c>
      <c r="Z215" s="195"/>
      <c r="AA215" s="195"/>
      <c r="AB215" s="507" t="str">
        <f t="shared" si="27"/>
        <v/>
      </c>
      <c r="AC215" s="521" t="str">
        <f t="shared" si="28"/>
        <v/>
      </c>
      <c r="AD215" s="564" t="str">
        <f>IFERROR(IF(AC215="Check Data ⚠","Check Data ⚠",VLOOKUP(AC215,'G-4 Temporal multipliers'!$A$4:$C$37,3,FALSE)),"")</f>
        <v/>
      </c>
      <c r="AE215" s="498" t="str">
        <f>IF(N215="","",VLOOKUP(N215,'G-7 Rivers Data'!$B$4:$G$8,5,FALSE))</f>
        <v/>
      </c>
      <c r="AF215" s="507" t="str">
        <f t="shared" si="29"/>
        <v/>
      </c>
      <c r="AG215" s="540" t="str">
        <f t="shared" si="30"/>
        <v/>
      </c>
      <c r="AH215" s="499" t="str">
        <f t="shared" si="24"/>
        <v/>
      </c>
      <c r="AI215" s="145"/>
      <c r="AJ215" s="499" t="str">
        <f>IF(AI215="","",IF(VLOOKUP(AI215,'G-7 Rivers Data'!$AA$4:$AB$7,2,FALSE)=0,"Spatial Data Missing ⚠",VLOOKUP(AI215,'G-7 Rivers Data'!$AA$4:$AB$7,2,FALSE)))</f>
        <v/>
      </c>
      <c r="AK215" s="155"/>
      <c r="AL215" s="499" t="str">
        <f>IF(AK215="","",IF(VLOOKUP(AK215,'G-7 Rivers Data'!$AD$4:$AE$8,2,FALSE)=0,"Spatial Data Missing ⚠",VLOOKUP(AK215,'G-7 Rivers Data'!$AD$4:$AE$8,2,FALSE)))</f>
        <v/>
      </c>
      <c r="AM215" s="545" t="str">
        <f t="shared" si="31"/>
        <v/>
      </c>
      <c r="AN215" s="149"/>
      <c r="AO215" s="150"/>
      <c r="AV215" s="31" t="str">
        <f>IFERROR(INDEX('G-7 Rivers Data'!$AZ$3:$AZ$7,MATCH(N215,'G-7 Rivers Data'!$AY$3:$AY$7,0)),"")</f>
        <v/>
      </c>
    </row>
    <row r="216" spans="2:48" ht="13.8" x14ac:dyDescent="0.25">
      <c r="B216" s="531" t="str">
        <f>'C-1 Site River Baseline'!AN214</f>
        <v/>
      </c>
      <c r="C216" s="520" t="str">
        <f>IF(B216="","",VLOOKUP($B216,'C-1 Site River Baseline'!$C$9:$R$257,2,FALSE))</f>
        <v/>
      </c>
      <c r="D216" s="520" t="str">
        <f>IF(C216="","",VLOOKUP($B216,'C-1 Site River Baseline'!$C$9:$R$257,3,FALSE))</f>
        <v/>
      </c>
      <c r="E216" s="520" t="str">
        <f>IF(D216="","",VLOOKUP($B216,'C-1 Site River Baseline'!$C$9:$R$257,4,FALSE))</f>
        <v/>
      </c>
      <c r="F216" s="520" t="str">
        <f>IF(E216="","",VLOOKUP($B216,'C-1 Site River Baseline'!$C$9:$R$257,5,FALSE))</f>
        <v/>
      </c>
      <c r="G216" s="520" t="str">
        <f>IF(F216="","",VLOOKUP($B216,'C-1 Site River Baseline'!$C$9:$R$257,6,FALSE))</f>
        <v/>
      </c>
      <c r="H216" s="520" t="str">
        <f>IF(G216="","",VLOOKUP($B216,'C-1 Site River Baseline'!$C$9:$R$257,7,FALSE))</f>
        <v/>
      </c>
      <c r="I216" s="520" t="str">
        <f>IF(H216="","",VLOOKUP($B216,'C-1 Site River Baseline'!$C$9:$R$257,8,FALSE))</f>
        <v/>
      </c>
      <c r="J216" s="520" t="str">
        <f>IF(I216="","",VLOOKUP($B216,'C-1 Site River Baseline'!$C$9:$R$257,9,FALSE))</f>
        <v/>
      </c>
      <c r="K216" s="520" t="str">
        <f>IF(J216="","",VLOOKUP($B216,'C-1 Site River Baseline'!$C$9:$R$257,10,FALSE))</f>
        <v/>
      </c>
      <c r="L216" s="520" t="str">
        <f>IF(B216="","",VLOOKUP($B216,'C-1 Site River Baseline'!$C$9:$R$257,15,FALSE))</f>
        <v/>
      </c>
      <c r="M216" s="524" t="str">
        <f>IF(L216="","",VLOOKUP($B216,'C-1 Site River Baseline'!$C$9:$R$257,16,FALSE))</f>
        <v/>
      </c>
      <c r="N216" s="418" t="str">
        <f t="shared" si="25"/>
        <v/>
      </c>
      <c r="O216" s="498" t="str">
        <f t="shared" si="26"/>
        <v/>
      </c>
      <c r="P216" s="499"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7" t="str">
        <f>IF(N216="","",VLOOKUP(B216,'C-1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07" t="str">
        <f>IF(V216="","",IF(VLOOKUP(V216,'G-7 Rivers Data'!$AG$4:$AI$9,2,FALSE)=0,"Spatial Data Missing ⚠",VLOOKUP(V216,'G-7 Rivers Data'!$AG$4:$AI$9,2,FALSE)))</f>
        <v/>
      </c>
      <c r="X216" s="499" t="str">
        <f>IF(V216="","",IF(VLOOKUP(V216,'G-7 Rivers Data'!$AG$4:$AI$9,3,FALSE)=0,"Spatial Data Missing ⚠",VLOOKUP(V216,'G-7 Rivers Data'!$AG$4:$AI$9,3,FALSE)))</f>
        <v/>
      </c>
      <c r="Y216" s="498" t="str">
        <f>IFERROR(IF(OR(LEFT(P216,5)="Error ▲",LEFT(O216,5)="Error ▲"),"Check Data ⚠",IF(F216&lt;S216,'G-7 Rivers Data'!$R$3,INDEX('G-7 Rivers Data'!$U$5:$Y$9,MATCH(G216,'G-7 Rivers Data'!$T$5:$T$9,0),MATCH(T216,'G-7 Rivers Data'!$U$4:$Y$4,0)))),"")</f>
        <v/>
      </c>
      <c r="Z216" s="195"/>
      <c r="AA216" s="195"/>
      <c r="AB216" s="507" t="str">
        <f t="shared" si="27"/>
        <v/>
      </c>
      <c r="AC216" s="521" t="str">
        <f t="shared" si="28"/>
        <v/>
      </c>
      <c r="AD216" s="564" t="str">
        <f>IFERROR(IF(AC216="Check Data ⚠","Check Data ⚠",VLOOKUP(AC216,'G-4 Temporal multipliers'!$A$4:$C$37,3,FALSE)),"")</f>
        <v/>
      </c>
      <c r="AE216" s="498" t="str">
        <f>IF(N216="","",VLOOKUP(N216,'G-7 Rivers Data'!$B$4:$G$8,5,FALSE))</f>
        <v/>
      </c>
      <c r="AF216" s="507" t="str">
        <f t="shared" si="29"/>
        <v/>
      </c>
      <c r="AG216" s="540" t="str">
        <f t="shared" si="30"/>
        <v/>
      </c>
      <c r="AH216" s="499" t="str">
        <f t="shared" si="24"/>
        <v/>
      </c>
      <c r="AI216" s="145"/>
      <c r="AJ216" s="499" t="str">
        <f>IF(AI216="","",IF(VLOOKUP(AI216,'G-7 Rivers Data'!$AA$4:$AB$7,2,FALSE)=0,"Spatial Data Missing ⚠",VLOOKUP(AI216,'G-7 Rivers Data'!$AA$4:$AB$7,2,FALSE)))</f>
        <v/>
      </c>
      <c r="AK216" s="155"/>
      <c r="AL216" s="499" t="str">
        <f>IF(AK216="","",IF(VLOOKUP(AK216,'G-7 Rivers Data'!$AD$4:$AE$8,2,FALSE)=0,"Spatial Data Missing ⚠",VLOOKUP(AK216,'G-7 Rivers Data'!$AD$4:$AE$8,2,FALSE)))</f>
        <v/>
      </c>
      <c r="AM216" s="545" t="str">
        <f t="shared" si="31"/>
        <v/>
      </c>
      <c r="AN216" s="149"/>
      <c r="AO216" s="150"/>
      <c r="AV216" s="31" t="str">
        <f>IFERROR(INDEX('G-7 Rivers Data'!$AZ$3:$AZ$7,MATCH(N216,'G-7 Rivers Data'!$AY$3:$AY$7,0)),"")</f>
        <v/>
      </c>
    </row>
    <row r="217" spans="2:48" ht="13.8" x14ac:dyDescent="0.25">
      <c r="B217" s="531" t="str">
        <f>'C-1 Site River Baseline'!AN215</f>
        <v/>
      </c>
      <c r="C217" s="520" t="str">
        <f>IF(B217="","",VLOOKUP($B217,'C-1 Site River Baseline'!$C$9:$R$257,2,FALSE))</f>
        <v/>
      </c>
      <c r="D217" s="520" t="str">
        <f>IF(C217="","",VLOOKUP($B217,'C-1 Site River Baseline'!$C$9:$R$257,3,FALSE))</f>
        <v/>
      </c>
      <c r="E217" s="520" t="str">
        <f>IF(D217="","",VLOOKUP($B217,'C-1 Site River Baseline'!$C$9:$R$257,4,FALSE))</f>
        <v/>
      </c>
      <c r="F217" s="520" t="str">
        <f>IF(E217="","",VLOOKUP($B217,'C-1 Site River Baseline'!$C$9:$R$257,5,FALSE))</f>
        <v/>
      </c>
      <c r="G217" s="520" t="str">
        <f>IF(F217="","",VLOOKUP($B217,'C-1 Site River Baseline'!$C$9:$R$257,6,FALSE))</f>
        <v/>
      </c>
      <c r="H217" s="520" t="str">
        <f>IF(G217="","",VLOOKUP($B217,'C-1 Site River Baseline'!$C$9:$R$257,7,FALSE))</f>
        <v/>
      </c>
      <c r="I217" s="520" t="str">
        <f>IF(H217="","",VLOOKUP($B217,'C-1 Site River Baseline'!$C$9:$R$257,8,FALSE))</f>
        <v/>
      </c>
      <c r="J217" s="520" t="str">
        <f>IF(I217="","",VLOOKUP($B217,'C-1 Site River Baseline'!$C$9:$R$257,9,FALSE))</f>
        <v/>
      </c>
      <c r="K217" s="520" t="str">
        <f>IF(J217="","",VLOOKUP($B217,'C-1 Site River Baseline'!$C$9:$R$257,10,FALSE))</f>
        <v/>
      </c>
      <c r="L217" s="520" t="str">
        <f>IF(B217="","",VLOOKUP($B217,'C-1 Site River Baseline'!$C$9:$R$257,15,FALSE))</f>
        <v/>
      </c>
      <c r="M217" s="524" t="str">
        <f>IF(L217="","",VLOOKUP($B217,'C-1 Site River Baseline'!$C$9:$R$257,16,FALSE))</f>
        <v/>
      </c>
      <c r="N217" s="418" t="str">
        <f t="shared" si="25"/>
        <v/>
      </c>
      <c r="O217" s="498" t="str">
        <f t="shared" si="26"/>
        <v/>
      </c>
      <c r="P217" s="499"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7" t="str">
        <f>IF(N217="","",VLOOKUP(B217,'C-1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07" t="str">
        <f>IF(V217="","",IF(VLOOKUP(V217,'G-7 Rivers Data'!$AG$4:$AI$9,2,FALSE)=0,"Spatial Data Missing ⚠",VLOOKUP(V217,'G-7 Rivers Data'!$AG$4:$AI$9,2,FALSE)))</f>
        <v/>
      </c>
      <c r="X217" s="499" t="str">
        <f>IF(V217="","",IF(VLOOKUP(V217,'G-7 Rivers Data'!$AG$4:$AI$9,3,FALSE)=0,"Spatial Data Missing ⚠",VLOOKUP(V217,'G-7 Rivers Data'!$AG$4:$AI$9,3,FALSE)))</f>
        <v/>
      </c>
      <c r="Y217" s="498" t="str">
        <f>IFERROR(IF(OR(LEFT(P217,5)="Error ▲",LEFT(O217,5)="Error ▲"),"Check Data ⚠",IF(F217&lt;S217,'G-7 Rivers Data'!$R$3,INDEX('G-7 Rivers Data'!$U$5:$Y$9,MATCH(G217,'G-7 Rivers Data'!$T$5:$T$9,0),MATCH(T217,'G-7 Rivers Data'!$U$4:$Y$4,0)))),"")</f>
        <v/>
      </c>
      <c r="Z217" s="195"/>
      <c r="AA217" s="195"/>
      <c r="AB217" s="507" t="str">
        <f t="shared" si="27"/>
        <v/>
      </c>
      <c r="AC217" s="521" t="str">
        <f t="shared" si="28"/>
        <v/>
      </c>
      <c r="AD217" s="564" t="str">
        <f>IFERROR(IF(AC217="Check Data ⚠","Check Data ⚠",VLOOKUP(AC217,'G-4 Temporal multipliers'!$A$4:$C$37,3,FALSE)),"")</f>
        <v/>
      </c>
      <c r="AE217" s="498" t="str">
        <f>IF(N217="","",VLOOKUP(N217,'G-7 Rivers Data'!$B$4:$G$8,5,FALSE))</f>
        <v/>
      </c>
      <c r="AF217" s="507" t="str">
        <f t="shared" si="29"/>
        <v/>
      </c>
      <c r="AG217" s="540" t="str">
        <f t="shared" si="30"/>
        <v/>
      </c>
      <c r="AH217" s="499" t="str">
        <f t="shared" si="24"/>
        <v/>
      </c>
      <c r="AI217" s="145"/>
      <c r="AJ217" s="499" t="str">
        <f>IF(AI217="","",IF(VLOOKUP(AI217,'G-7 Rivers Data'!$AA$4:$AB$7,2,FALSE)=0,"Spatial Data Missing ⚠",VLOOKUP(AI217,'G-7 Rivers Data'!$AA$4:$AB$7,2,FALSE)))</f>
        <v/>
      </c>
      <c r="AK217" s="155"/>
      <c r="AL217" s="499" t="str">
        <f>IF(AK217="","",IF(VLOOKUP(AK217,'G-7 Rivers Data'!$AD$4:$AE$8,2,FALSE)=0,"Spatial Data Missing ⚠",VLOOKUP(AK217,'G-7 Rivers Data'!$AD$4:$AE$8,2,FALSE)))</f>
        <v/>
      </c>
      <c r="AM217" s="545" t="str">
        <f t="shared" si="31"/>
        <v/>
      </c>
      <c r="AN217" s="149"/>
      <c r="AO217" s="150"/>
      <c r="AV217" s="31" t="str">
        <f>IFERROR(INDEX('G-7 Rivers Data'!$AZ$3:$AZ$7,MATCH(N217,'G-7 Rivers Data'!$AY$3:$AY$7,0)),"")</f>
        <v/>
      </c>
    </row>
    <row r="218" spans="2:48" ht="13.8" x14ac:dyDescent="0.25">
      <c r="B218" s="531" t="str">
        <f>'C-1 Site River Baseline'!AN216</f>
        <v/>
      </c>
      <c r="C218" s="520" t="str">
        <f>IF(B218="","",VLOOKUP($B218,'C-1 Site River Baseline'!$C$9:$R$257,2,FALSE))</f>
        <v/>
      </c>
      <c r="D218" s="520" t="str">
        <f>IF(C218="","",VLOOKUP($B218,'C-1 Site River Baseline'!$C$9:$R$257,3,FALSE))</f>
        <v/>
      </c>
      <c r="E218" s="520" t="str">
        <f>IF(D218="","",VLOOKUP($B218,'C-1 Site River Baseline'!$C$9:$R$257,4,FALSE))</f>
        <v/>
      </c>
      <c r="F218" s="520" t="str">
        <f>IF(E218="","",VLOOKUP($B218,'C-1 Site River Baseline'!$C$9:$R$257,5,FALSE))</f>
        <v/>
      </c>
      <c r="G218" s="520" t="str">
        <f>IF(F218="","",VLOOKUP($B218,'C-1 Site River Baseline'!$C$9:$R$257,6,FALSE))</f>
        <v/>
      </c>
      <c r="H218" s="520" t="str">
        <f>IF(G218="","",VLOOKUP($B218,'C-1 Site River Baseline'!$C$9:$R$257,7,FALSE))</f>
        <v/>
      </c>
      <c r="I218" s="520" t="str">
        <f>IF(H218="","",VLOOKUP($B218,'C-1 Site River Baseline'!$C$9:$R$257,8,FALSE))</f>
        <v/>
      </c>
      <c r="J218" s="520" t="str">
        <f>IF(I218="","",VLOOKUP($B218,'C-1 Site River Baseline'!$C$9:$R$257,9,FALSE))</f>
        <v/>
      </c>
      <c r="K218" s="520" t="str">
        <f>IF(J218="","",VLOOKUP($B218,'C-1 Site River Baseline'!$C$9:$R$257,10,FALSE))</f>
        <v/>
      </c>
      <c r="L218" s="520" t="str">
        <f>IF(B218="","",VLOOKUP($B218,'C-1 Site River Baseline'!$C$9:$R$257,15,FALSE))</f>
        <v/>
      </c>
      <c r="M218" s="524" t="str">
        <f>IF(L218="","",VLOOKUP($B218,'C-1 Site River Baseline'!$C$9:$R$257,16,FALSE))</f>
        <v/>
      </c>
      <c r="N218" s="418" t="str">
        <f t="shared" si="25"/>
        <v/>
      </c>
      <c r="O218" s="498" t="str">
        <f t="shared" si="26"/>
        <v/>
      </c>
      <c r="P218" s="499"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7" t="str">
        <f>IF(N218="","",VLOOKUP(B218,'C-1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07" t="str">
        <f>IF(V218="","",IF(VLOOKUP(V218,'G-7 Rivers Data'!$AG$4:$AI$9,2,FALSE)=0,"Spatial Data Missing ⚠",VLOOKUP(V218,'G-7 Rivers Data'!$AG$4:$AI$9,2,FALSE)))</f>
        <v/>
      </c>
      <c r="X218" s="499" t="str">
        <f>IF(V218="","",IF(VLOOKUP(V218,'G-7 Rivers Data'!$AG$4:$AI$9,3,FALSE)=0,"Spatial Data Missing ⚠",VLOOKUP(V218,'G-7 Rivers Data'!$AG$4:$AI$9,3,FALSE)))</f>
        <v/>
      </c>
      <c r="Y218" s="498" t="str">
        <f>IFERROR(IF(OR(LEFT(P218,5)="Error ▲",LEFT(O218,5)="Error ▲"),"Check Data ⚠",IF(F218&lt;S218,'G-7 Rivers Data'!$R$3,INDEX('G-7 Rivers Data'!$U$5:$Y$9,MATCH(G218,'G-7 Rivers Data'!$T$5:$T$9,0),MATCH(T218,'G-7 Rivers Data'!$U$4:$Y$4,0)))),"")</f>
        <v/>
      </c>
      <c r="Z218" s="195"/>
      <c r="AA218" s="195"/>
      <c r="AB218" s="507" t="str">
        <f t="shared" si="27"/>
        <v/>
      </c>
      <c r="AC218" s="521" t="str">
        <f t="shared" si="28"/>
        <v/>
      </c>
      <c r="AD218" s="564" t="str">
        <f>IFERROR(IF(AC218="Check Data ⚠","Check Data ⚠",VLOOKUP(AC218,'G-4 Temporal multipliers'!$A$4:$C$37,3,FALSE)),"")</f>
        <v/>
      </c>
      <c r="AE218" s="498" t="str">
        <f>IF(N218="","",VLOOKUP(N218,'G-7 Rivers Data'!$B$4:$G$8,5,FALSE))</f>
        <v/>
      </c>
      <c r="AF218" s="507" t="str">
        <f t="shared" si="29"/>
        <v/>
      </c>
      <c r="AG218" s="540" t="str">
        <f t="shared" si="30"/>
        <v/>
      </c>
      <c r="AH218" s="499" t="str">
        <f t="shared" si="24"/>
        <v/>
      </c>
      <c r="AI218" s="145"/>
      <c r="AJ218" s="499" t="str">
        <f>IF(AI218="","",IF(VLOOKUP(AI218,'G-7 Rivers Data'!$AA$4:$AB$7,2,FALSE)=0,"Spatial Data Missing ⚠",VLOOKUP(AI218,'G-7 Rivers Data'!$AA$4:$AB$7,2,FALSE)))</f>
        <v/>
      </c>
      <c r="AK218" s="155"/>
      <c r="AL218" s="499" t="str">
        <f>IF(AK218="","",IF(VLOOKUP(AK218,'G-7 Rivers Data'!$AD$4:$AE$8,2,FALSE)=0,"Spatial Data Missing ⚠",VLOOKUP(AK218,'G-7 Rivers Data'!$AD$4:$AE$8,2,FALSE)))</f>
        <v/>
      </c>
      <c r="AM218" s="545" t="str">
        <f t="shared" si="31"/>
        <v/>
      </c>
      <c r="AN218" s="149"/>
      <c r="AO218" s="150"/>
      <c r="AV218" s="31" t="str">
        <f>IFERROR(INDEX('G-7 Rivers Data'!$AZ$3:$AZ$7,MATCH(N218,'G-7 Rivers Data'!$AY$3:$AY$7,0)),"")</f>
        <v/>
      </c>
    </row>
    <row r="219" spans="2:48" ht="13.8" x14ac:dyDescent="0.25">
      <c r="B219" s="531" t="str">
        <f>'C-1 Site River Baseline'!AN217</f>
        <v/>
      </c>
      <c r="C219" s="520" t="str">
        <f>IF(B219="","",VLOOKUP($B219,'C-1 Site River Baseline'!$C$9:$R$257,2,FALSE))</f>
        <v/>
      </c>
      <c r="D219" s="520" t="str">
        <f>IF(C219="","",VLOOKUP($B219,'C-1 Site River Baseline'!$C$9:$R$257,3,FALSE))</f>
        <v/>
      </c>
      <c r="E219" s="520" t="str">
        <f>IF(D219="","",VLOOKUP($B219,'C-1 Site River Baseline'!$C$9:$R$257,4,FALSE))</f>
        <v/>
      </c>
      <c r="F219" s="520" t="str">
        <f>IF(E219="","",VLOOKUP($B219,'C-1 Site River Baseline'!$C$9:$R$257,5,FALSE))</f>
        <v/>
      </c>
      <c r="G219" s="520" t="str">
        <f>IF(F219="","",VLOOKUP($B219,'C-1 Site River Baseline'!$C$9:$R$257,6,FALSE))</f>
        <v/>
      </c>
      <c r="H219" s="520" t="str">
        <f>IF(G219="","",VLOOKUP($B219,'C-1 Site River Baseline'!$C$9:$R$257,7,FALSE))</f>
        <v/>
      </c>
      <c r="I219" s="520" t="str">
        <f>IF(H219="","",VLOOKUP($B219,'C-1 Site River Baseline'!$C$9:$R$257,8,FALSE))</f>
        <v/>
      </c>
      <c r="J219" s="520" t="str">
        <f>IF(I219="","",VLOOKUP($B219,'C-1 Site River Baseline'!$C$9:$R$257,9,FALSE))</f>
        <v/>
      </c>
      <c r="K219" s="520" t="str">
        <f>IF(J219="","",VLOOKUP($B219,'C-1 Site River Baseline'!$C$9:$R$257,10,FALSE))</f>
        <v/>
      </c>
      <c r="L219" s="520" t="str">
        <f>IF(B219="","",VLOOKUP($B219,'C-1 Site River Baseline'!$C$9:$R$257,15,FALSE))</f>
        <v/>
      </c>
      <c r="M219" s="524" t="str">
        <f>IF(L219="","",VLOOKUP($B219,'C-1 Site River Baseline'!$C$9:$R$257,16,FALSE))</f>
        <v/>
      </c>
      <c r="N219" s="418" t="str">
        <f t="shared" si="25"/>
        <v/>
      </c>
      <c r="O219" s="498" t="str">
        <f t="shared" si="26"/>
        <v/>
      </c>
      <c r="P219" s="499"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7" t="str">
        <f>IF(N219="","",VLOOKUP(B219,'C-1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07" t="str">
        <f>IF(V219="","",IF(VLOOKUP(V219,'G-7 Rivers Data'!$AG$4:$AI$9,2,FALSE)=0,"Spatial Data Missing ⚠",VLOOKUP(V219,'G-7 Rivers Data'!$AG$4:$AI$9,2,FALSE)))</f>
        <v/>
      </c>
      <c r="X219" s="499" t="str">
        <f>IF(V219="","",IF(VLOOKUP(V219,'G-7 Rivers Data'!$AG$4:$AI$9,3,FALSE)=0,"Spatial Data Missing ⚠",VLOOKUP(V219,'G-7 Rivers Data'!$AG$4:$AI$9,3,FALSE)))</f>
        <v/>
      </c>
      <c r="Y219" s="498" t="str">
        <f>IFERROR(IF(OR(LEFT(P219,5)="Error ▲",LEFT(O219,5)="Error ▲"),"Check Data ⚠",IF(F219&lt;S219,'G-7 Rivers Data'!$R$3,INDEX('G-7 Rivers Data'!$U$5:$Y$9,MATCH(G219,'G-7 Rivers Data'!$T$5:$T$9,0),MATCH(T219,'G-7 Rivers Data'!$U$4:$Y$4,0)))),"")</f>
        <v/>
      </c>
      <c r="Z219" s="195"/>
      <c r="AA219" s="195"/>
      <c r="AB219" s="507" t="str">
        <f t="shared" si="27"/>
        <v/>
      </c>
      <c r="AC219" s="521" t="str">
        <f t="shared" si="28"/>
        <v/>
      </c>
      <c r="AD219" s="564" t="str">
        <f>IFERROR(IF(AC219="Check Data ⚠","Check Data ⚠",VLOOKUP(AC219,'G-4 Temporal multipliers'!$A$4:$C$37,3,FALSE)),"")</f>
        <v/>
      </c>
      <c r="AE219" s="498" t="str">
        <f>IF(N219="","",VLOOKUP(N219,'G-7 Rivers Data'!$B$4:$G$8,5,FALSE))</f>
        <v/>
      </c>
      <c r="AF219" s="507" t="str">
        <f t="shared" si="29"/>
        <v/>
      </c>
      <c r="AG219" s="540" t="str">
        <f t="shared" si="30"/>
        <v/>
      </c>
      <c r="AH219" s="499" t="str">
        <f t="shared" si="24"/>
        <v/>
      </c>
      <c r="AI219" s="145"/>
      <c r="AJ219" s="499" t="str">
        <f>IF(AI219="","",IF(VLOOKUP(AI219,'G-7 Rivers Data'!$AA$4:$AB$7,2,FALSE)=0,"Spatial Data Missing ⚠",VLOOKUP(AI219,'G-7 Rivers Data'!$AA$4:$AB$7,2,FALSE)))</f>
        <v/>
      </c>
      <c r="AK219" s="155"/>
      <c r="AL219" s="499" t="str">
        <f>IF(AK219="","",IF(VLOOKUP(AK219,'G-7 Rivers Data'!$AD$4:$AE$8,2,FALSE)=0,"Spatial Data Missing ⚠",VLOOKUP(AK219,'G-7 Rivers Data'!$AD$4:$AE$8,2,FALSE)))</f>
        <v/>
      </c>
      <c r="AM219" s="545" t="str">
        <f t="shared" si="31"/>
        <v/>
      </c>
      <c r="AN219" s="149"/>
      <c r="AO219" s="150"/>
      <c r="AV219" s="31" t="str">
        <f>IFERROR(INDEX('G-7 Rivers Data'!$AZ$3:$AZ$7,MATCH(N219,'G-7 Rivers Data'!$AY$3:$AY$7,0)),"")</f>
        <v/>
      </c>
    </row>
    <row r="220" spans="2:48" ht="13.8" x14ac:dyDescent="0.25">
      <c r="B220" s="531" t="str">
        <f>'C-1 Site River Baseline'!AN218</f>
        <v/>
      </c>
      <c r="C220" s="520" t="str">
        <f>IF(B220="","",VLOOKUP($B220,'C-1 Site River Baseline'!$C$9:$R$257,2,FALSE))</f>
        <v/>
      </c>
      <c r="D220" s="520" t="str">
        <f>IF(C220="","",VLOOKUP($B220,'C-1 Site River Baseline'!$C$9:$R$257,3,FALSE))</f>
        <v/>
      </c>
      <c r="E220" s="520" t="str">
        <f>IF(D220="","",VLOOKUP($B220,'C-1 Site River Baseline'!$C$9:$R$257,4,FALSE))</f>
        <v/>
      </c>
      <c r="F220" s="520" t="str">
        <f>IF(E220="","",VLOOKUP($B220,'C-1 Site River Baseline'!$C$9:$R$257,5,FALSE))</f>
        <v/>
      </c>
      <c r="G220" s="520" t="str">
        <f>IF(F220="","",VLOOKUP($B220,'C-1 Site River Baseline'!$C$9:$R$257,6,FALSE))</f>
        <v/>
      </c>
      <c r="H220" s="520" t="str">
        <f>IF(G220="","",VLOOKUP($B220,'C-1 Site River Baseline'!$C$9:$R$257,7,FALSE))</f>
        <v/>
      </c>
      <c r="I220" s="520" t="str">
        <f>IF(H220="","",VLOOKUP($B220,'C-1 Site River Baseline'!$C$9:$R$257,8,FALSE))</f>
        <v/>
      </c>
      <c r="J220" s="520" t="str">
        <f>IF(I220="","",VLOOKUP($B220,'C-1 Site River Baseline'!$C$9:$R$257,9,FALSE))</f>
        <v/>
      </c>
      <c r="K220" s="520" t="str">
        <f>IF(J220="","",VLOOKUP($B220,'C-1 Site River Baseline'!$C$9:$R$257,10,FALSE))</f>
        <v/>
      </c>
      <c r="L220" s="520" t="str">
        <f>IF(B220="","",VLOOKUP($B220,'C-1 Site River Baseline'!$C$9:$R$257,15,FALSE))</f>
        <v/>
      </c>
      <c r="M220" s="524" t="str">
        <f>IF(L220="","",VLOOKUP($B220,'C-1 Site River Baseline'!$C$9:$R$257,16,FALSE))</f>
        <v/>
      </c>
      <c r="N220" s="418" t="str">
        <f t="shared" si="25"/>
        <v/>
      </c>
      <c r="O220" s="498" t="str">
        <f t="shared" si="26"/>
        <v/>
      </c>
      <c r="P220" s="499"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7" t="str">
        <f>IF(N220="","",VLOOKUP(B220,'C-1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07" t="str">
        <f>IF(V220="","",IF(VLOOKUP(V220,'G-7 Rivers Data'!$AG$4:$AI$9,2,FALSE)=0,"Spatial Data Missing ⚠",VLOOKUP(V220,'G-7 Rivers Data'!$AG$4:$AI$9,2,FALSE)))</f>
        <v/>
      </c>
      <c r="X220" s="499" t="str">
        <f>IF(V220="","",IF(VLOOKUP(V220,'G-7 Rivers Data'!$AG$4:$AI$9,3,FALSE)=0,"Spatial Data Missing ⚠",VLOOKUP(V220,'G-7 Rivers Data'!$AG$4:$AI$9,3,FALSE)))</f>
        <v/>
      </c>
      <c r="Y220" s="498" t="str">
        <f>IFERROR(IF(OR(LEFT(P220,5)="Error ▲",LEFT(O220,5)="Error ▲"),"Check Data ⚠",IF(F220&lt;S220,'G-7 Rivers Data'!$R$3,INDEX('G-7 Rivers Data'!$U$5:$Y$9,MATCH(G220,'G-7 Rivers Data'!$T$5:$T$9,0),MATCH(T220,'G-7 Rivers Data'!$U$4:$Y$4,0)))),"")</f>
        <v/>
      </c>
      <c r="Z220" s="195"/>
      <c r="AA220" s="195"/>
      <c r="AB220" s="507" t="str">
        <f t="shared" si="27"/>
        <v/>
      </c>
      <c r="AC220" s="521" t="str">
        <f t="shared" si="28"/>
        <v/>
      </c>
      <c r="AD220" s="564" t="str">
        <f>IFERROR(IF(AC220="Check Data ⚠","Check Data ⚠",VLOOKUP(AC220,'G-4 Temporal multipliers'!$A$4:$C$37,3,FALSE)),"")</f>
        <v/>
      </c>
      <c r="AE220" s="498" t="str">
        <f>IF(N220="","",VLOOKUP(N220,'G-7 Rivers Data'!$B$4:$G$8,5,FALSE))</f>
        <v/>
      </c>
      <c r="AF220" s="507" t="str">
        <f t="shared" si="29"/>
        <v/>
      </c>
      <c r="AG220" s="540" t="str">
        <f t="shared" si="30"/>
        <v/>
      </c>
      <c r="AH220" s="499" t="str">
        <f t="shared" si="24"/>
        <v/>
      </c>
      <c r="AI220" s="145"/>
      <c r="AJ220" s="499" t="str">
        <f>IF(AI220="","",IF(VLOOKUP(AI220,'G-7 Rivers Data'!$AA$4:$AB$7,2,FALSE)=0,"Spatial Data Missing ⚠",VLOOKUP(AI220,'G-7 Rivers Data'!$AA$4:$AB$7,2,FALSE)))</f>
        <v/>
      </c>
      <c r="AK220" s="155"/>
      <c r="AL220" s="499" t="str">
        <f>IF(AK220="","",IF(VLOOKUP(AK220,'G-7 Rivers Data'!$AD$4:$AE$8,2,FALSE)=0,"Spatial Data Missing ⚠",VLOOKUP(AK220,'G-7 Rivers Data'!$AD$4:$AE$8,2,FALSE)))</f>
        <v/>
      </c>
      <c r="AM220" s="545" t="str">
        <f t="shared" si="31"/>
        <v/>
      </c>
      <c r="AN220" s="149"/>
      <c r="AO220" s="150"/>
      <c r="AV220" s="31" t="str">
        <f>IFERROR(INDEX('G-7 Rivers Data'!$AZ$3:$AZ$7,MATCH(N220,'G-7 Rivers Data'!$AY$3:$AY$7,0)),"")</f>
        <v/>
      </c>
    </row>
    <row r="221" spans="2:48" ht="13.8" x14ac:dyDescent="0.25">
      <c r="B221" s="531" t="str">
        <f>'C-1 Site River Baseline'!AN219</f>
        <v/>
      </c>
      <c r="C221" s="520" t="str">
        <f>IF(B221="","",VLOOKUP($B221,'C-1 Site River Baseline'!$C$9:$R$257,2,FALSE))</f>
        <v/>
      </c>
      <c r="D221" s="520" t="str">
        <f>IF(C221="","",VLOOKUP($B221,'C-1 Site River Baseline'!$C$9:$R$257,3,FALSE))</f>
        <v/>
      </c>
      <c r="E221" s="520" t="str">
        <f>IF(D221="","",VLOOKUP($B221,'C-1 Site River Baseline'!$C$9:$R$257,4,FALSE))</f>
        <v/>
      </c>
      <c r="F221" s="520" t="str">
        <f>IF(E221="","",VLOOKUP($B221,'C-1 Site River Baseline'!$C$9:$R$257,5,FALSE))</f>
        <v/>
      </c>
      <c r="G221" s="520" t="str">
        <f>IF(F221="","",VLOOKUP($B221,'C-1 Site River Baseline'!$C$9:$R$257,6,FALSE))</f>
        <v/>
      </c>
      <c r="H221" s="520" t="str">
        <f>IF(G221="","",VLOOKUP($B221,'C-1 Site River Baseline'!$C$9:$R$257,7,FALSE))</f>
        <v/>
      </c>
      <c r="I221" s="520" t="str">
        <f>IF(H221="","",VLOOKUP($B221,'C-1 Site River Baseline'!$C$9:$R$257,8,FALSE))</f>
        <v/>
      </c>
      <c r="J221" s="520" t="str">
        <f>IF(I221="","",VLOOKUP($B221,'C-1 Site River Baseline'!$C$9:$R$257,9,FALSE))</f>
        <v/>
      </c>
      <c r="K221" s="520" t="str">
        <f>IF(J221="","",VLOOKUP($B221,'C-1 Site River Baseline'!$C$9:$R$257,10,FALSE))</f>
        <v/>
      </c>
      <c r="L221" s="520" t="str">
        <f>IF(B221="","",VLOOKUP($B221,'C-1 Site River Baseline'!$C$9:$R$257,15,FALSE))</f>
        <v/>
      </c>
      <c r="M221" s="524" t="str">
        <f>IF(L221="","",VLOOKUP($B221,'C-1 Site River Baseline'!$C$9:$R$257,16,FALSE))</f>
        <v/>
      </c>
      <c r="N221" s="418" t="str">
        <f t="shared" si="25"/>
        <v/>
      </c>
      <c r="O221" s="498" t="str">
        <f t="shared" si="26"/>
        <v/>
      </c>
      <c r="P221" s="499"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7" t="str">
        <f>IF(N221="","",VLOOKUP(B221,'C-1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07" t="str">
        <f>IF(V221="","",IF(VLOOKUP(V221,'G-7 Rivers Data'!$AG$4:$AI$9,2,FALSE)=0,"Spatial Data Missing ⚠",VLOOKUP(V221,'G-7 Rivers Data'!$AG$4:$AI$9,2,FALSE)))</f>
        <v/>
      </c>
      <c r="X221" s="499" t="str">
        <f>IF(V221="","",IF(VLOOKUP(V221,'G-7 Rivers Data'!$AG$4:$AI$9,3,FALSE)=0,"Spatial Data Missing ⚠",VLOOKUP(V221,'G-7 Rivers Data'!$AG$4:$AI$9,3,FALSE)))</f>
        <v/>
      </c>
      <c r="Y221" s="498" t="str">
        <f>IFERROR(IF(OR(LEFT(P221,5)="Error ▲",LEFT(O221,5)="Error ▲"),"Check Data ⚠",IF(F221&lt;S221,'G-7 Rivers Data'!$R$3,INDEX('G-7 Rivers Data'!$U$5:$Y$9,MATCH(G221,'G-7 Rivers Data'!$T$5:$T$9,0),MATCH(T221,'G-7 Rivers Data'!$U$4:$Y$4,0)))),"")</f>
        <v/>
      </c>
      <c r="Z221" s="195"/>
      <c r="AA221" s="195"/>
      <c r="AB221" s="507" t="str">
        <f t="shared" si="27"/>
        <v/>
      </c>
      <c r="AC221" s="521" t="str">
        <f t="shared" si="28"/>
        <v/>
      </c>
      <c r="AD221" s="564" t="str">
        <f>IFERROR(IF(AC221="Check Data ⚠","Check Data ⚠",VLOOKUP(AC221,'G-4 Temporal multipliers'!$A$4:$C$37,3,FALSE)),"")</f>
        <v/>
      </c>
      <c r="AE221" s="498" t="str">
        <f>IF(N221="","",VLOOKUP(N221,'G-7 Rivers Data'!$B$4:$G$8,5,FALSE))</f>
        <v/>
      </c>
      <c r="AF221" s="507" t="str">
        <f t="shared" si="29"/>
        <v/>
      </c>
      <c r="AG221" s="540" t="str">
        <f t="shared" si="30"/>
        <v/>
      </c>
      <c r="AH221" s="499" t="str">
        <f t="shared" si="24"/>
        <v/>
      </c>
      <c r="AI221" s="145"/>
      <c r="AJ221" s="499" t="str">
        <f>IF(AI221="","",IF(VLOOKUP(AI221,'G-7 Rivers Data'!$AA$4:$AB$7,2,FALSE)=0,"Spatial Data Missing ⚠",VLOOKUP(AI221,'G-7 Rivers Data'!$AA$4:$AB$7,2,FALSE)))</f>
        <v/>
      </c>
      <c r="AK221" s="155"/>
      <c r="AL221" s="499" t="str">
        <f>IF(AK221="","",IF(VLOOKUP(AK221,'G-7 Rivers Data'!$AD$4:$AE$8,2,FALSE)=0,"Spatial Data Missing ⚠",VLOOKUP(AK221,'G-7 Rivers Data'!$AD$4:$AE$8,2,FALSE)))</f>
        <v/>
      </c>
      <c r="AM221" s="545" t="str">
        <f t="shared" si="31"/>
        <v/>
      </c>
      <c r="AN221" s="149"/>
      <c r="AO221" s="150"/>
      <c r="AV221" s="31" t="str">
        <f>IFERROR(INDEX('G-7 Rivers Data'!$AZ$3:$AZ$7,MATCH(N221,'G-7 Rivers Data'!$AY$3:$AY$7,0)),"")</f>
        <v/>
      </c>
    </row>
    <row r="222" spans="2:48" ht="13.8" x14ac:dyDescent="0.25">
      <c r="B222" s="531" t="str">
        <f>'C-1 Site River Baseline'!AN220</f>
        <v/>
      </c>
      <c r="C222" s="520" t="str">
        <f>IF(B222="","",VLOOKUP($B222,'C-1 Site River Baseline'!$C$9:$R$257,2,FALSE))</f>
        <v/>
      </c>
      <c r="D222" s="520" t="str">
        <f>IF(C222="","",VLOOKUP($B222,'C-1 Site River Baseline'!$C$9:$R$257,3,FALSE))</f>
        <v/>
      </c>
      <c r="E222" s="520" t="str">
        <f>IF(D222="","",VLOOKUP($B222,'C-1 Site River Baseline'!$C$9:$R$257,4,FALSE))</f>
        <v/>
      </c>
      <c r="F222" s="520" t="str">
        <f>IF(E222="","",VLOOKUP($B222,'C-1 Site River Baseline'!$C$9:$R$257,5,FALSE))</f>
        <v/>
      </c>
      <c r="G222" s="520" t="str">
        <f>IF(F222="","",VLOOKUP($B222,'C-1 Site River Baseline'!$C$9:$R$257,6,FALSE))</f>
        <v/>
      </c>
      <c r="H222" s="520" t="str">
        <f>IF(G222="","",VLOOKUP($B222,'C-1 Site River Baseline'!$C$9:$R$257,7,FALSE))</f>
        <v/>
      </c>
      <c r="I222" s="520" t="str">
        <f>IF(H222="","",VLOOKUP($B222,'C-1 Site River Baseline'!$C$9:$R$257,8,FALSE))</f>
        <v/>
      </c>
      <c r="J222" s="520" t="str">
        <f>IF(I222="","",VLOOKUP($B222,'C-1 Site River Baseline'!$C$9:$R$257,9,FALSE))</f>
        <v/>
      </c>
      <c r="K222" s="520" t="str">
        <f>IF(J222="","",VLOOKUP($B222,'C-1 Site River Baseline'!$C$9:$R$257,10,FALSE))</f>
        <v/>
      </c>
      <c r="L222" s="520" t="str">
        <f>IF(B222="","",VLOOKUP($B222,'C-1 Site River Baseline'!$C$9:$R$257,15,FALSE))</f>
        <v/>
      </c>
      <c r="M222" s="524" t="str">
        <f>IF(L222="","",VLOOKUP($B222,'C-1 Site River Baseline'!$C$9:$R$257,16,FALSE))</f>
        <v/>
      </c>
      <c r="N222" s="418" t="str">
        <f t="shared" si="25"/>
        <v/>
      </c>
      <c r="O222" s="498" t="str">
        <f t="shared" si="26"/>
        <v/>
      </c>
      <c r="P222" s="499"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7" t="str">
        <f>IF(N222="","",VLOOKUP(B222,'C-1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07" t="str">
        <f>IF(V222="","",IF(VLOOKUP(V222,'G-7 Rivers Data'!$AG$4:$AI$9,2,FALSE)=0,"Spatial Data Missing ⚠",VLOOKUP(V222,'G-7 Rivers Data'!$AG$4:$AI$9,2,FALSE)))</f>
        <v/>
      </c>
      <c r="X222" s="499" t="str">
        <f>IF(V222="","",IF(VLOOKUP(V222,'G-7 Rivers Data'!$AG$4:$AI$9,3,FALSE)=0,"Spatial Data Missing ⚠",VLOOKUP(V222,'G-7 Rivers Data'!$AG$4:$AI$9,3,FALSE)))</f>
        <v/>
      </c>
      <c r="Y222" s="498" t="str">
        <f>IFERROR(IF(OR(LEFT(P222,5)="Error ▲",LEFT(O222,5)="Error ▲"),"Check Data ⚠",IF(F222&lt;S222,'G-7 Rivers Data'!$R$3,INDEX('G-7 Rivers Data'!$U$5:$Y$9,MATCH(G222,'G-7 Rivers Data'!$T$5:$T$9,0),MATCH(T222,'G-7 Rivers Data'!$U$4:$Y$4,0)))),"")</f>
        <v/>
      </c>
      <c r="Z222" s="195"/>
      <c r="AA222" s="195"/>
      <c r="AB222" s="507" t="str">
        <f t="shared" si="27"/>
        <v/>
      </c>
      <c r="AC222" s="521" t="str">
        <f t="shared" si="28"/>
        <v/>
      </c>
      <c r="AD222" s="564" t="str">
        <f>IFERROR(IF(AC222="Check Data ⚠","Check Data ⚠",VLOOKUP(AC222,'G-4 Temporal multipliers'!$A$4:$C$37,3,FALSE)),"")</f>
        <v/>
      </c>
      <c r="AE222" s="498" t="str">
        <f>IF(N222="","",VLOOKUP(N222,'G-7 Rivers Data'!$B$4:$G$8,5,FALSE))</f>
        <v/>
      </c>
      <c r="AF222" s="507" t="str">
        <f t="shared" si="29"/>
        <v/>
      </c>
      <c r="AG222" s="540" t="str">
        <f t="shared" si="30"/>
        <v/>
      </c>
      <c r="AH222" s="499" t="str">
        <f t="shared" si="24"/>
        <v/>
      </c>
      <c r="AI222" s="145"/>
      <c r="AJ222" s="499" t="str">
        <f>IF(AI222="","",IF(VLOOKUP(AI222,'G-7 Rivers Data'!$AA$4:$AB$7,2,FALSE)=0,"Spatial Data Missing ⚠",VLOOKUP(AI222,'G-7 Rivers Data'!$AA$4:$AB$7,2,FALSE)))</f>
        <v/>
      </c>
      <c r="AK222" s="155"/>
      <c r="AL222" s="499" t="str">
        <f>IF(AK222="","",IF(VLOOKUP(AK222,'G-7 Rivers Data'!$AD$4:$AE$8,2,FALSE)=0,"Spatial Data Missing ⚠",VLOOKUP(AK222,'G-7 Rivers Data'!$AD$4:$AE$8,2,FALSE)))</f>
        <v/>
      </c>
      <c r="AM222" s="545" t="str">
        <f t="shared" si="31"/>
        <v/>
      </c>
      <c r="AN222" s="149"/>
      <c r="AO222" s="150"/>
      <c r="AV222" s="31" t="str">
        <f>IFERROR(INDEX('G-7 Rivers Data'!$AZ$3:$AZ$7,MATCH(N222,'G-7 Rivers Data'!$AY$3:$AY$7,0)),"")</f>
        <v/>
      </c>
    </row>
    <row r="223" spans="2:48" ht="13.8" x14ac:dyDescent="0.25">
      <c r="B223" s="531" t="str">
        <f>'C-1 Site River Baseline'!AN221</f>
        <v/>
      </c>
      <c r="C223" s="520" t="str">
        <f>IF(B223="","",VLOOKUP($B223,'C-1 Site River Baseline'!$C$9:$R$257,2,FALSE))</f>
        <v/>
      </c>
      <c r="D223" s="520" t="str">
        <f>IF(C223="","",VLOOKUP($B223,'C-1 Site River Baseline'!$C$9:$R$257,3,FALSE))</f>
        <v/>
      </c>
      <c r="E223" s="520" t="str">
        <f>IF(D223="","",VLOOKUP($B223,'C-1 Site River Baseline'!$C$9:$R$257,4,FALSE))</f>
        <v/>
      </c>
      <c r="F223" s="520" t="str">
        <f>IF(E223="","",VLOOKUP($B223,'C-1 Site River Baseline'!$C$9:$R$257,5,FALSE))</f>
        <v/>
      </c>
      <c r="G223" s="520" t="str">
        <f>IF(F223="","",VLOOKUP($B223,'C-1 Site River Baseline'!$C$9:$R$257,6,FALSE))</f>
        <v/>
      </c>
      <c r="H223" s="520" t="str">
        <f>IF(G223="","",VLOOKUP($B223,'C-1 Site River Baseline'!$C$9:$R$257,7,FALSE))</f>
        <v/>
      </c>
      <c r="I223" s="520" t="str">
        <f>IF(H223="","",VLOOKUP($B223,'C-1 Site River Baseline'!$C$9:$R$257,8,FALSE))</f>
        <v/>
      </c>
      <c r="J223" s="520" t="str">
        <f>IF(I223="","",VLOOKUP($B223,'C-1 Site River Baseline'!$C$9:$R$257,9,FALSE))</f>
        <v/>
      </c>
      <c r="K223" s="520" t="str">
        <f>IF(J223="","",VLOOKUP($B223,'C-1 Site River Baseline'!$C$9:$R$257,10,FALSE))</f>
        <v/>
      </c>
      <c r="L223" s="520" t="str">
        <f>IF(B223="","",VLOOKUP($B223,'C-1 Site River Baseline'!$C$9:$R$257,15,FALSE))</f>
        <v/>
      </c>
      <c r="M223" s="524" t="str">
        <f>IF(L223="","",VLOOKUP($B223,'C-1 Site River Baseline'!$C$9:$R$257,16,FALSE))</f>
        <v/>
      </c>
      <c r="N223" s="418" t="str">
        <f t="shared" si="25"/>
        <v/>
      </c>
      <c r="O223" s="498" t="str">
        <f t="shared" si="26"/>
        <v/>
      </c>
      <c r="P223" s="499"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7" t="str">
        <f>IF(N223="","",VLOOKUP(B223,'C-1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07" t="str">
        <f>IF(V223="","",IF(VLOOKUP(V223,'G-7 Rivers Data'!$AG$4:$AI$9,2,FALSE)=0,"Spatial Data Missing ⚠",VLOOKUP(V223,'G-7 Rivers Data'!$AG$4:$AI$9,2,FALSE)))</f>
        <v/>
      </c>
      <c r="X223" s="499" t="str">
        <f>IF(V223="","",IF(VLOOKUP(V223,'G-7 Rivers Data'!$AG$4:$AI$9,3,FALSE)=0,"Spatial Data Missing ⚠",VLOOKUP(V223,'G-7 Rivers Data'!$AG$4:$AI$9,3,FALSE)))</f>
        <v/>
      </c>
      <c r="Y223" s="498" t="str">
        <f>IFERROR(IF(OR(LEFT(P223,5)="Error ▲",LEFT(O223,5)="Error ▲"),"Check Data ⚠",IF(F223&lt;S223,'G-7 Rivers Data'!$R$3,INDEX('G-7 Rivers Data'!$U$5:$Y$9,MATCH(G223,'G-7 Rivers Data'!$T$5:$T$9,0),MATCH(T223,'G-7 Rivers Data'!$U$4:$Y$4,0)))),"")</f>
        <v/>
      </c>
      <c r="Z223" s="195"/>
      <c r="AA223" s="195"/>
      <c r="AB223" s="507" t="str">
        <f t="shared" si="27"/>
        <v/>
      </c>
      <c r="AC223" s="521" t="str">
        <f t="shared" si="28"/>
        <v/>
      </c>
      <c r="AD223" s="564" t="str">
        <f>IFERROR(IF(AC223="Check Data ⚠","Check Data ⚠",VLOOKUP(AC223,'G-4 Temporal multipliers'!$A$4:$C$37,3,FALSE)),"")</f>
        <v/>
      </c>
      <c r="AE223" s="498" t="str">
        <f>IF(N223="","",VLOOKUP(N223,'G-7 Rivers Data'!$B$4:$G$8,5,FALSE))</f>
        <v/>
      </c>
      <c r="AF223" s="507" t="str">
        <f t="shared" si="29"/>
        <v/>
      </c>
      <c r="AG223" s="540" t="str">
        <f t="shared" si="30"/>
        <v/>
      </c>
      <c r="AH223" s="499" t="str">
        <f t="shared" si="24"/>
        <v/>
      </c>
      <c r="AI223" s="145"/>
      <c r="AJ223" s="499" t="str">
        <f>IF(AI223="","",IF(VLOOKUP(AI223,'G-7 Rivers Data'!$AA$4:$AB$7,2,FALSE)=0,"Spatial Data Missing ⚠",VLOOKUP(AI223,'G-7 Rivers Data'!$AA$4:$AB$7,2,FALSE)))</f>
        <v/>
      </c>
      <c r="AK223" s="155"/>
      <c r="AL223" s="499" t="str">
        <f>IF(AK223="","",IF(VLOOKUP(AK223,'G-7 Rivers Data'!$AD$4:$AE$8,2,FALSE)=0,"Spatial Data Missing ⚠",VLOOKUP(AK223,'G-7 Rivers Data'!$AD$4:$AE$8,2,FALSE)))</f>
        <v/>
      </c>
      <c r="AM223" s="545" t="str">
        <f t="shared" si="31"/>
        <v/>
      </c>
      <c r="AN223" s="149"/>
      <c r="AO223" s="150"/>
      <c r="AV223" s="31" t="str">
        <f>IFERROR(INDEX('G-7 Rivers Data'!$AZ$3:$AZ$7,MATCH(N223,'G-7 Rivers Data'!$AY$3:$AY$7,0)),"")</f>
        <v/>
      </c>
    </row>
    <row r="224" spans="2:48" ht="13.8" x14ac:dyDescent="0.25">
      <c r="B224" s="531" t="str">
        <f>'C-1 Site River Baseline'!AN222</f>
        <v/>
      </c>
      <c r="C224" s="520" t="str">
        <f>IF(B224="","",VLOOKUP($B224,'C-1 Site River Baseline'!$C$9:$R$257,2,FALSE))</f>
        <v/>
      </c>
      <c r="D224" s="520" t="str">
        <f>IF(C224="","",VLOOKUP($B224,'C-1 Site River Baseline'!$C$9:$R$257,3,FALSE))</f>
        <v/>
      </c>
      <c r="E224" s="520" t="str">
        <f>IF(D224="","",VLOOKUP($B224,'C-1 Site River Baseline'!$C$9:$R$257,4,FALSE))</f>
        <v/>
      </c>
      <c r="F224" s="520" t="str">
        <f>IF(E224="","",VLOOKUP($B224,'C-1 Site River Baseline'!$C$9:$R$257,5,FALSE))</f>
        <v/>
      </c>
      <c r="G224" s="520" t="str">
        <f>IF(F224="","",VLOOKUP($B224,'C-1 Site River Baseline'!$C$9:$R$257,6,FALSE))</f>
        <v/>
      </c>
      <c r="H224" s="520" t="str">
        <f>IF(G224="","",VLOOKUP($B224,'C-1 Site River Baseline'!$C$9:$R$257,7,FALSE))</f>
        <v/>
      </c>
      <c r="I224" s="520" t="str">
        <f>IF(H224="","",VLOOKUP($B224,'C-1 Site River Baseline'!$C$9:$R$257,8,FALSE))</f>
        <v/>
      </c>
      <c r="J224" s="520" t="str">
        <f>IF(I224="","",VLOOKUP($B224,'C-1 Site River Baseline'!$C$9:$R$257,9,FALSE))</f>
        <v/>
      </c>
      <c r="K224" s="520" t="str">
        <f>IF(J224="","",VLOOKUP($B224,'C-1 Site River Baseline'!$C$9:$R$257,10,FALSE))</f>
        <v/>
      </c>
      <c r="L224" s="520" t="str">
        <f>IF(B224="","",VLOOKUP($B224,'C-1 Site River Baseline'!$C$9:$R$257,15,FALSE))</f>
        <v/>
      </c>
      <c r="M224" s="524" t="str">
        <f>IF(L224="","",VLOOKUP($B224,'C-1 Site River Baseline'!$C$9:$R$257,16,FALSE))</f>
        <v/>
      </c>
      <c r="N224" s="418" t="str">
        <f t="shared" si="25"/>
        <v/>
      </c>
      <c r="O224" s="498" t="str">
        <f t="shared" si="26"/>
        <v/>
      </c>
      <c r="P224" s="499"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7" t="str">
        <f>IF(N224="","",VLOOKUP(B224,'C-1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07" t="str">
        <f>IF(V224="","",IF(VLOOKUP(V224,'G-7 Rivers Data'!$AG$4:$AI$9,2,FALSE)=0,"Spatial Data Missing ⚠",VLOOKUP(V224,'G-7 Rivers Data'!$AG$4:$AI$9,2,FALSE)))</f>
        <v/>
      </c>
      <c r="X224" s="499" t="str">
        <f>IF(V224="","",IF(VLOOKUP(V224,'G-7 Rivers Data'!$AG$4:$AI$9,3,FALSE)=0,"Spatial Data Missing ⚠",VLOOKUP(V224,'G-7 Rivers Data'!$AG$4:$AI$9,3,FALSE)))</f>
        <v/>
      </c>
      <c r="Y224" s="498" t="str">
        <f>IFERROR(IF(OR(LEFT(P224,5)="Error ▲",LEFT(O224,5)="Error ▲"),"Check Data ⚠",IF(F224&lt;S224,'G-7 Rivers Data'!$R$3,INDEX('G-7 Rivers Data'!$U$5:$Y$9,MATCH(G224,'G-7 Rivers Data'!$T$5:$T$9,0),MATCH(T224,'G-7 Rivers Data'!$U$4:$Y$4,0)))),"")</f>
        <v/>
      </c>
      <c r="Z224" s="195"/>
      <c r="AA224" s="195"/>
      <c r="AB224" s="507" t="str">
        <f t="shared" si="27"/>
        <v/>
      </c>
      <c r="AC224" s="521" t="str">
        <f t="shared" si="28"/>
        <v/>
      </c>
      <c r="AD224" s="564" t="str">
        <f>IFERROR(IF(AC224="Check Data ⚠","Check Data ⚠",VLOOKUP(AC224,'G-4 Temporal multipliers'!$A$4:$C$37,3,FALSE)),"")</f>
        <v/>
      </c>
      <c r="AE224" s="498" t="str">
        <f>IF(N224="","",VLOOKUP(N224,'G-7 Rivers Data'!$B$4:$G$8,5,FALSE))</f>
        <v/>
      </c>
      <c r="AF224" s="507" t="str">
        <f t="shared" si="29"/>
        <v/>
      </c>
      <c r="AG224" s="540" t="str">
        <f t="shared" si="30"/>
        <v/>
      </c>
      <c r="AH224" s="499" t="str">
        <f t="shared" si="24"/>
        <v/>
      </c>
      <c r="AI224" s="145"/>
      <c r="AJ224" s="499" t="str">
        <f>IF(AI224="","",IF(VLOOKUP(AI224,'G-7 Rivers Data'!$AA$4:$AB$7,2,FALSE)=0,"Spatial Data Missing ⚠",VLOOKUP(AI224,'G-7 Rivers Data'!$AA$4:$AB$7,2,FALSE)))</f>
        <v/>
      </c>
      <c r="AK224" s="155"/>
      <c r="AL224" s="499" t="str">
        <f>IF(AK224="","",IF(VLOOKUP(AK224,'G-7 Rivers Data'!$AD$4:$AE$8,2,FALSE)=0,"Spatial Data Missing ⚠",VLOOKUP(AK224,'G-7 Rivers Data'!$AD$4:$AE$8,2,FALSE)))</f>
        <v/>
      </c>
      <c r="AM224" s="545" t="str">
        <f t="shared" si="31"/>
        <v/>
      </c>
      <c r="AN224" s="149"/>
      <c r="AO224" s="150"/>
      <c r="AV224" s="31" t="str">
        <f>IFERROR(INDEX('G-7 Rivers Data'!$AZ$3:$AZ$7,MATCH(N224,'G-7 Rivers Data'!$AY$3:$AY$7,0)),"")</f>
        <v/>
      </c>
    </row>
    <row r="225" spans="2:48" ht="13.8" x14ac:dyDescent="0.25">
      <c r="B225" s="531" t="str">
        <f>'C-1 Site River Baseline'!AN223</f>
        <v/>
      </c>
      <c r="C225" s="520" t="str">
        <f>IF(B225="","",VLOOKUP($B225,'C-1 Site River Baseline'!$C$9:$R$257,2,FALSE))</f>
        <v/>
      </c>
      <c r="D225" s="520" t="str">
        <f>IF(C225="","",VLOOKUP($B225,'C-1 Site River Baseline'!$C$9:$R$257,3,FALSE))</f>
        <v/>
      </c>
      <c r="E225" s="520" t="str">
        <f>IF(D225="","",VLOOKUP($B225,'C-1 Site River Baseline'!$C$9:$R$257,4,FALSE))</f>
        <v/>
      </c>
      <c r="F225" s="520" t="str">
        <f>IF(E225="","",VLOOKUP($B225,'C-1 Site River Baseline'!$C$9:$R$257,5,FALSE))</f>
        <v/>
      </c>
      <c r="G225" s="520" t="str">
        <f>IF(F225="","",VLOOKUP($B225,'C-1 Site River Baseline'!$C$9:$R$257,6,FALSE))</f>
        <v/>
      </c>
      <c r="H225" s="520" t="str">
        <f>IF(G225="","",VLOOKUP($B225,'C-1 Site River Baseline'!$C$9:$R$257,7,FALSE))</f>
        <v/>
      </c>
      <c r="I225" s="520" t="str">
        <f>IF(H225="","",VLOOKUP($B225,'C-1 Site River Baseline'!$C$9:$R$257,8,FALSE))</f>
        <v/>
      </c>
      <c r="J225" s="520" t="str">
        <f>IF(I225="","",VLOOKUP($B225,'C-1 Site River Baseline'!$C$9:$R$257,9,FALSE))</f>
        <v/>
      </c>
      <c r="K225" s="520" t="str">
        <f>IF(J225="","",VLOOKUP($B225,'C-1 Site River Baseline'!$C$9:$R$257,10,FALSE))</f>
        <v/>
      </c>
      <c r="L225" s="520" t="str">
        <f>IF(B225="","",VLOOKUP($B225,'C-1 Site River Baseline'!$C$9:$R$257,15,FALSE))</f>
        <v/>
      </c>
      <c r="M225" s="524" t="str">
        <f>IF(L225="","",VLOOKUP($B225,'C-1 Site River Baseline'!$C$9:$R$257,16,FALSE))</f>
        <v/>
      </c>
      <c r="N225" s="418" t="str">
        <f t="shared" si="25"/>
        <v/>
      </c>
      <c r="O225" s="498" t="str">
        <f t="shared" si="26"/>
        <v/>
      </c>
      <c r="P225" s="499"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7" t="str">
        <f>IF(N225="","",VLOOKUP(B225,'C-1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07" t="str">
        <f>IF(V225="","",IF(VLOOKUP(V225,'G-7 Rivers Data'!$AG$4:$AI$9,2,FALSE)=0,"Spatial Data Missing ⚠",VLOOKUP(V225,'G-7 Rivers Data'!$AG$4:$AI$9,2,FALSE)))</f>
        <v/>
      </c>
      <c r="X225" s="499" t="str">
        <f>IF(V225="","",IF(VLOOKUP(V225,'G-7 Rivers Data'!$AG$4:$AI$9,3,FALSE)=0,"Spatial Data Missing ⚠",VLOOKUP(V225,'G-7 Rivers Data'!$AG$4:$AI$9,3,FALSE)))</f>
        <v/>
      </c>
      <c r="Y225" s="498" t="str">
        <f>IFERROR(IF(OR(LEFT(P225,5)="Error ▲",LEFT(O225,5)="Error ▲"),"Check Data ⚠",IF(F225&lt;S225,'G-7 Rivers Data'!$R$3,INDEX('G-7 Rivers Data'!$U$5:$Y$9,MATCH(G225,'G-7 Rivers Data'!$T$5:$T$9,0),MATCH(T225,'G-7 Rivers Data'!$U$4:$Y$4,0)))),"")</f>
        <v/>
      </c>
      <c r="Z225" s="195"/>
      <c r="AA225" s="195"/>
      <c r="AB225" s="507" t="str">
        <f t="shared" si="27"/>
        <v/>
      </c>
      <c r="AC225" s="521" t="str">
        <f t="shared" si="28"/>
        <v/>
      </c>
      <c r="AD225" s="564" t="str">
        <f>IFERROR(IF(AC225="Check Data ⚠","Check Data ⚠",VLOOKUP(AC225,'G-4 Temporal multipliers'!$A$4:$C$37,3,FALSE)),"")</f>
        <v/>
      </c>
      <c r="AE225" s="498" t="str">
        <f>IF(N225="","",VLOOKUP(N225,'G-7 Rivers Data'!$B$4:$G$8,5,FALSE))</f>
        <v/>
      </c>
      <c r="AF225" s="507" t="str">
        <f t="shared" si="29"/>
        <v/>
      </c>
      <c r="AG225" s="540" t="str">
        <f t="shared" si="30"/>
        <v/>
      </c>
      <c r="AH225" s="499" t="str">
        <f t="shared" si="24"/>
        <v/>
      </c>
      <c r="AI225" s="145"/>
      <c r="AJ225" s="499" t="str">
        <f>IF(AI225="","",IF(VLOOKUP(AI225,'G-7 Rivers Data'!$AA$4:$AB$7,2,FALSE)=0,"Spatial Data Missing ⚠",VLOOKUP(AI225,'G-7 Rivers Data'!$AA$4:$AB$7,2,FALSE)))</f>
        <v/>
      </c>
      <c r="AK225" s="155"/>
      <c r="AL225" s="499" t="str">
        <f>IF(AK225="","",IF(VLOOKUP(AK225,'G-7 Rivers Data'!$AD$4:$AE$8,2,FALSE)=0,"Spatial Data Missing ⚠",VLOOKUP(AK225,'G-7 Rivers Data'!$AD$4:$AE$8,2,FALSE)))</f>
        <v/>
      </c>
      <c r="AM225" s="545" t="str">
        <f t="shared" si="31"/>
        <v/>
      </c>
      <c r="AN225" s="149"/>
      <c r="AO225" s="150"/>
      <c r="AV225" s="31" t="str">
        <f>IFERROR(INDEX('G-7 Rivers Data'!$AZ$3:$AZ$7,MATCH(N225,'G-7 Rivers Data'!$AY$3:$AY$7,0)),"")</f>
        <v/>
      </c>
    </row>
    <row r="226" spans="2:48" ht="13.8" x14ac:dyDescent="0.25">
      <c r="B226" s="531" t="str">
        <f>'C-1 Site River Baseline'!AN224</f>
        <v/>
      </c>
      <c r="C226" s="520" t="str">
        <f>IF(B226="","",VLOOKUP($B226,'C-1 Site River Baseline'!$C$9:$R$257,2,FALSE))</f>
        <v/>
      </c>
      <c r="D226" s="520" t="str">
        <f>IF(C226="","",VLOOKUP($B226,'C-1 Site River Baseline'!$C$9:$R$257,3,FALSE))</f>
        <v/>
      </c>
      <c r="E226" s="520" t="str">
        <f>IF(D226="","",VLOOKUP($B226,'C-1 Site River Baseline'!$C$9:$R$257,4,FALSE))</f>
        <v/>
      </c>
      <c r="F226" s="520" t="str">
        <f>IF(E226="","",VLOOKUP($B226,'C-1 Site River Baseline'!$C$9:$R$257,5,FALSE))</f>
        <v/>
      </c>
      <c r="G226" s="520" t="str">
        <f>IF(F226="","",VLOOKUP($B226,'C-1 Site River Baseline'!$C$9:$R$257,6,FALSE))</f>
        <v/>
      </c>
      <c r="H226" s="520" t="str">
        <f>IF(G226="","",VLOOKUP($B226,'C-1 Site River Baseline'!$C$9:$R$257,7,FALSE))</f>
        <v/>
      </c>
      <c r="I226" s="520" t="str">
        <f>IF(H226="","",VLOOKUP($B226,'C-1 Site River Baseline'!$C$9:$R$257,8,FALSE))</f>
        <v/>
      </c>
      <c r="J226" s="520" t="str">
        <f>IF(I226="","",VLOOKUP($B226,'C-1 Site River Baseline'!$C$9:$R$257,9,FALSE))</f>
        <v/>
      </c>
      <c r="K226" s="520" t="str">
        <f>IF(J226="","",VLOOKUP($B226,'C-1 Site River Baseline'!$C$9:$R$257,10,FALSE))</f>
        <v/>
      </c>
      <c r="L226" s="520" t="str">
        <f>IF(B226="","",VLOOKUP($B226,'C-1 Site River Baseline'!$C$9:$R$257,15,FALSE))</f>
        <v/>
      </c>
      <c r="M226" s="524" t="str">
        <f>IF(L226="","",VLOOKUP($B226,'C-1 Site River Baseline'!$C$9:$R$257,16,FALSE))</f>
        <v/>
      </c>
      <c r="N226" s="418" t="str">
        <f t="shared" si="25"/>
        <v/>
      </c>
      <c r="O226" s="498" t="str">
        <f t="shared" si="26"/>
        <v/>
      </c>
      <c r="P226" s="499"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7" t="str">
        <f>IF(N226="","",VLOOKUP(B226,'C-1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07" t="str">
        <f>IF(V226="","",IF(VLOOKUP(V226,'G-7 Rivers Data'!$AG$4:$AI$9,2,FALSE)=0,"Spatial Data Missing ⚠",VLOOKUP(V226,'G-7 Rivers Data'!$AG$4:$AI$9,2,FALSE)))</f>
        <v/>
      </c>
      <c r="X226" s="499" t="str">
        <f>IF(V226="","",IF(VLOOKUP(V226,'G-7 Rivers Data'!$AG$4:$AI$9,3,FALSE)=0,"Spatial Data Missing ⚠",VLOOKUP(V226,'G-7 Rivers Data'!$AG$4:$AI$9,3,FALSE)))</f>
        <v/>
      </c>
      <c r="Y226" s="498" t="str">
        <f>IFERROR(IF(OR(LEFT(P226,5)="Error ▲",LEFT(O226,5)="Error ▲"),"Check Data ⚠",IF(F226&lt;S226,'G-7 Rivers Data'!$R$3,INDEX('G-7 Rivers Data'!$U$5:$Y$9,MATCH(G226,'G-7 Rivers Data'!$T$5:$T$9,0),MATCH(T226,'G-7 Rivers Data'!$U$4:$Y$4,0)))),"")</f>
        <v/>
      </c>
      <c r="Z226" s="195"/>
      <c r="AA226" s="195"/>
      <c r="AB226" s="507" t="str">
        <f t="shared" si="27"/>
        <v/>
      </c>
      <c r="AC226" s="521" t="str">
        <f t="shared" si="28"/>
        <v/>
      </c>
      <c r="AD226" s="564" t="str">
        <f>IFERROR(IF(AC226="Check Data ⚠","Check Data ⚠",VLOOKUP(AC226,'G-4 Temporal multipliers'!$A$4:$C$37,3,FALSE)),"")</f>
        <v/>
      </c>
      <c r="AE226" s="498" t="str">
        <f>IF(N226="","",VLOOKUP(N226,'G-7 Rivers Data'!$B$4:$G$8,5,FALSE))</f>
        <v/>
      </c>
      <c r="AF226" s="507" t="str">
        <f t="shared" si="29"/>
        <v/>
      </c>
      <c r="AG226" s="540" t="str">
        <f t="shared" si="30"/>
        <v/>
      </c>
      <c r="AH226" s="499" t="str">
        <f t="shared" si="24"/>
        <v/>
      </c>
      <c r="AI226" s="145"/>
      <c r="AJ226" s="499" t="str">
        <f>IF(AI226="","",IF(VLOOKUP(AI226,'G-7 Rivers Data'!$AA$4:$AB$7,2,FALSE)=0,"Spatial Data Missing ⚠",VLOOKUP(AI226,'G-7 Rivers Data'!$AA$4:$AB$7,2,FALSE)))</f>
        <v/>
      </c>
      <c r="AK226" s="155"/>
      <c r="AL226" s="499" t="str">
        <f>IF(AK226="","",IF(VLOOKUP(AK226,'G-7 Rivers Data'!$AD$4:$AE$8,2,FALSE)=0,"Spatial Data Missing ⚠",VLOOKUP(AK226,'G-7 Rivers Data'!$AD$4:$AE$8,2,FALSE)))</f>
        <v/>
      </c>
      <c r="AM226" s="545" t="str">
        <f t="shared" si="31"/>
        <v/>
      </c>
      <c r="AN226" s="149"/>
      <c r="AO226" s="150"/>
      <c r="AV226" s="31" t="str">
        <f>IFERROR(INDEX('G-7 Rivers Data'!$AZ$3:$AZ$7,MATCH(N226,'G-7 Rivers Data'!$AY$3:$AY$7,0)),"")</f>
        <v/>
      </c>
    </row>
    <row r="227" spans="2:48" ht="13.8" x14ac:dyDescent="0.25">
      <c r="B227" s="531" t="str">
        <f>'C-1 Site River Baseline'!AN225</f>
        <v/>
      </c>
      <c r="C227" s="520" t="str">
        <f>IF(B227="","",VLOOKUP($B227,'C-1 Site River Baseline'!$C$9:$R$257,2,FALSE))</f>
        <v/>
      </c>
      <c r="D227" s="520" t="str">
        <f>IF(C227="","",VLOOKUP($B227,'C-1 Site River Baseline'!$C$9:$R$257,3,FALSE))</f>
        <v/>
      </c>
      <c r="E227" s="520" t="str">
        <f>IF(D227="","",VLOOKUP($B227,'C-1 Site River Baseline'!$C$9:$R$257,4,FALSE))</f>
        <v/>
      </c>
      <c r="F227" s="520" t="str">
        <f>IF(E227="","",VLOOKUP($B227,'C-1 Site River Baseline'!$C$9:$R$257,5,FALSE))</f>
        <v/>
      </c>
      <c r="G227" s="520" t="str">
        <f>IF(F227="","",VLOOKUP($B227,'C-1 Site River Baseline'!$C$9:$R$257,6,FALSE))</f>
        <v/>
      </c>
      <c r="H227" s="520" t="str">
        <f>IF(G227="","",VLOOKUP($B227,'C-1 Site River Baseline'!$C$9:$R$257,7,FALSE))</f>
        <v/>
      </c>
      <c r="I227" s="520" t="str">
        <f>IF(H227="","",VLOOKUP($B227,'C-1 Site River Baseline'!$C$9:$R$257,8,FALSE))</f>
        <v/>
      </c>
      <c r="J227" s="520" t="str">
        <f>IF(I227="","",VLOOKUP($B227,'C-1 Site River Baseline'!$C$9:$R$257,9,FALSE))</f>
        <v/>
      </c>
      <c r="K227" s="520" t="str">
        <f>IF(J227="","",VLOOKUP($B227,'C-1 Site River Baseline'!$C$9:$R$257,10,FALSE))</f>
        <v/>
      </c>
      <c r="L227" s="520" t="str">
        <f>IF(B227="","",VLOOKUP($B227,'C-1 Site River Baseline'!$C$9:$R$257,15,FALSE))</f>
        <v/>
      </c>
      <c r="M227" s="524" t="str">
        <f>IF(L227="","",VLOOKUP($B227,'C-1 Site River Baseline'!$C$9:$R$257,16,FALSE))</f>
        <v/>
      </c>
      <c r="N227" s="418" t="str">
        <f t="shared" si="25"/>
        <v/>
      </c>
      <c r="O227" s="498" t="str">
        <f t="shared" si="26"/>
        <v/>
      </c>
      <c r="P227" s="499"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7" t="str">
        <f>IF(N227="","",VLOOKUP(B227,'C-1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07" t="str">
        <f>IF(V227="","",IF(VLOOKUP(V227,'G-7 Rivers Data'!$AG$4:$AI$9,2,FALSE)=0,"Spatial Data Missing ⚠",VLOOKUP(V227,'G-7 Rivers Data'!$AG$4:$AI$9,2,FALSE)))</f>
        <v/>
      </c>
      <c r="X227" s="499" t="str">
        <f>IF(V227="","",IF(VLOOKUP(V227,'G-7 Rivers Data'!$AG$4:$AI$9,3,FALSE)=0,"Spatial Data Missing ⚠",VLOOKUP(V227,'G-7 Rivers Data'!$AG$4:$AI$9,3,FALSE)))</f>
        <v/>
      </c>
      <c r="Y227" s="498" t="str">
        <f>IFERROR(IF(OR(LEFT(P227,5)="Error ▲",LEFT(O227,5)="Error ▲"),"Check Data ⚠",IF(F227&lt;S227,'G-7 Rivers Data'!$R$3,INDEX('G-7 Rivers Data'!$U$5:$Y$9,MATCH(G227,'G-7 Rivers Data'!$T$5:$T$9,0),MATCH(T227,'G-7 Rivers Data'!$U$4:$Y$4,0)))),"")</f>
        <v/>
      </c>
      <c r="Z227" s="195"/>
      <c r="AA227" s="195"/>
      <c r="AB227" s="507" t="str">
        <f t="shared" si="27"/>
        <v/>
      </c>
      <c r="AC227" s="521" t="str">
        <f t="shared" si="28"/>
        <v/>
      </c>
      <c r="AD227" s="564" t="str">
        <f>IFERROR(IF(AC227="Check Data ⚠","Check Data ⚠",VLOOKUP(AC227,'G-4 Temporal multipliers'!$A$4:$C$37,3,FALSE)),"")</f>
        <v/>
      </c>
      <c r="AE227" s="498" t="str">
        <f>IF(N227="","",VLOOKUP(N227,'G-7 Rivers Data'!$B$4:$G$8,5,FALSE))</f>
        <v/>
      </c>
      <c r="AF227" s="507" t="str">
        <f t="shared" si="29"/>
        <v/>
      </c>
      <c r="AG227" s="540" t="str">
        <f t="shared" si="30"/>
        <v/>
      </c>
      <c r="AH227" s="499" t="str">
        <f t="shared" si="24"/>
        <v/>
      </c>
      <c r="AI227" s="145"/>
      <c r="AJ227" s="499" t="str">
        <f>IF(AI227="","",IF(VLOOKUP(AI227,'G-7 Rivers Data'!$AA$4:$AB$7,2,FALSE)=0,"Spatial Data Missing ⚠",VLOOKUP(AI227,'G-7 Rivers Data'!$AA$4:$AB$7,2,FALSE)))</f>
        <v/>
      </c>
      <c r="AK227" s="155"/>
      <c r="AL227" s="499" t="str">
        <f>IF(AK227="","",IF(VLOOKUP(AK227,'G-7 Rivers Data'!$AD$4:$AE$8,2,FALSE)=0,"Spatial Data Missing ⚠",VLOOKUP(AK227,'G-7 Rivers Data'!$AD$4:$AE$8,2,FALSE)))</f>
        <v/>
      </c>
      <c r="AM227" s="545" t="str">
        <f t="shared" si="31"/>
        <v/>
      </c>
      <c r="AN227" s="149"/>
      <c r="AO227" s="150"/>
      <c r="AV227" s="31" t="str">
        <f>IFERROR(INDEX('G-7 Rivers Data'!$AZ$3:$AZ$7,MATCH(N227,'G-7 Rivers Data'!$AY$3:$AY$7,0)),"")</f>
        <v/>
      </c>
    </row>
    <row r="228" spans="2:48" ht="13.8" x14ac:dyDescent="0.25">
      <c r="B228" s="531" t="str">
        <f>'C-1 Site River Baseline'!AN226</f>
        <v/>
      </c>
      <c r="C228" s="520" t="str">
        <f>IF(B228="","",VLOOKUP($B228,'C-1 Site River Baseline'!$C$9:$R$257,2,FALSE))</f>
        <v/>
      </c>
      <c r="D228" s="520" t="str">
        <f>IF(C228="","",VLOOKUP($B228,'C-1 Site River Baseline'!$C$9:$R$257,3,FALSE))</f>
        <v/>
      </c>
      <c r="E228" s="520" t="str">
        <f>IF(D228="","",VLOOKUP($B228,'C-1 Site River Baseline'!$C$9:$R$257,4,FALSE))</f>
        <v/>
      </c>
      <c r="F228" s="520" t="str">
        <f>IF(E228="","",VLOOKUP($B228,'C-1 Site River Baseline'!$C$9:$R$257,5,FALSE))</f>
        <v/>
      </c>
      <c r="G228" s="520" t="str">
        <f>IF(F228="","",VLOOKUP($B228,'C-1 Site River Baseline'!$C$9:$R$257,6,FALSE))</f>
        <v/>
      </c>
      <c r="H228" s="520" t="str">
        <f>IF(G228="","",VLOOKUP($B228,'C-1 Site River Baseline'!$C$9:$R$257,7,FALSE))</f>
        <v/>
      </c>
      <c r="I228" s="520" t="str">
        <f>IF(H228="","",VLOOKUP($B228,'C-1 Site River Baseline'!$C$9:$R$257,8,FALSE))</f>
        <v/>
      </c>
      <c r="J228" s="520" t="str">
        <f>IF(I228="","",VLOOKUP($B228,'C-1 Site River Baseline'!$C$9:$R$257,9,FALSE))</f>
        <v/>
      </c>
      <c r="K228" s="520" t="str">
        <f>IF(J228="","",VLOOKUP($B228,'C-1 Site River Baseline'!$C$9:$R$257,10,FALSE))</f>
        <v/>
      </c>
      <c r="L228" s="520" t="str">
        <f>IF(B228="","",VLOOKUP($B228,'C-1 Site River Baseline'!$C$9:$R$257,15,FALSE))</f>
        <v/>
      </c>
      <c r="M228" s="524" t="str">
        <f>IF(L228="","",VLOOKUP($B228,'C-1 Site River Baseline'!$C$9:$R$257,16,FALSE))</f>
        <v/>
      </c>
      <c r="N228" s="418" t="str">
        <f t="shared" si="25"/>
        <v/>
      </c>
      <c r="O228" s="498" t="str">
        <f t="shared" si="26"/>
        <v/>
      </c>
      <c r="P228" s="499"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7" t="str">
        <f>IF(N228="","",VLOOKUP(B228,'C-1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07" t="str">
        <f>IF(V228="","",IF(VLOOKUP(V228,'G-7 Rivers Data'!$AG$4:$AI$9,2,FALSE)=0,"Spatial Data Missing ⚠",VLOOKUP(V228,'G-7 Rivers Data'!$AG$4:$AI$9,2,FALSE)))</f>
        <v/>
      </c>
      <c r="X228" s="499" t="str">
        <f>IF(V228="","",IF(VLOOKUP(V228,'G-7 Rivers Data'!$AG$4:$AI$9,3,FALSE)=0,"Spatial Data Missing ⚠",VLOOKUP(V228,'G-7 Rivers Data'!$AG$4:$AI$9,3,FALSE)))</f>
        <v/>
      </c>
      <c r="Y228" s="498" t="str">
        <f>IFERROR(IF(OR(LEFT(P228,5)="Error ▲",LEFT(O228,5)="Error ▲"),"Check Data ⚠",IF(F228&lt;S228,'G-7 Rivers Data'!$R$3,INDEX('G-7 Rivers Data'!$U$5:$Y$9,MATCH(G228,'G-7 Rivers Data'!$T$5:$T$9,0),MATCH(T228,'G-7 Rivers Data'!$U$4:$Y$4,0)))),"")</f>
        <v/>
      </c>
      <c r="Z228" s="195"/>
      <c r="AA228" s="195"/>
      <c r="AB228" s="507" t="str">
        <f t="shared" si="27"/>
        <v/>
      </c>
      <c r="AC228" s="521" t="str">
        <f t="shared" si="28"/>
        <v/>
      </c>
      <c r="AD228" s="564" t="str">
        <f>IFERROR(IF(AC228="Check Data ⚠","Check Data ⚠",VLOOKUP(AC228,'G-4 Temporal multipliers'!$A$4:$C$37,3,FALSE)),"")</f>
        <v/>
      </c>
      <c r="AE228" s="498" t="str">
        <f>IF(N228="","",VLOOKUP(N228,'G-7 Rivers Data'!$B$4:$G$8,5,FALSE))</f>
        <v/>
      </c>
      <c r="AF228" s="507" t="str">
        <f t="shared" si="29"/>
        <v/>
      </c>
      <c r="AG228" s="540" t="str">
        <f t="shared" si="30"/>
        <v/>
      </c>
      <c r="AH228" s="499" t="str">
        <f t="shared" si="24"/>
        <v/>
      </c>
      <c r="AI228" s="145"/>
      <c r="AJ228" s="499" t="str">
        <f>IF(AI228="","",IF(VLOOKUP(AI228,'G-7 Rivers Data'!$AA$4:$AB$7,2,FALSE)=0,"Spatial Data Missing ⚠",VLOOKUP(AI228,'G-7 Rivers Data'!$AA$4:$AB$7,2,FALSE)))</f>
        <v/>
      </c>
      <c r="AK228" s="155"/>
      <c r="AL228" s="499" t="str">
        <f>IF(AK228="","",IF(VLOOKUP(AK228,'G-7 Rivers Data'!$AD$4:$AE$8,2,FALSE)=0,"Spatial Data Missing ⚠",VLOOKUP(AK228,'G-7 Rivers Data'!$AD$4:$AE$8,2,FALSE)))</f>
        <v/>
      </c>
      <c r="AM228" s="545" t="str">
        <f t="shared" si="31"/>
        <v/>
      </c>
      <c r="AN228" s="149"/>
      <c r="AO228" s="150"/>
      <c r="AV228" s="31" t="str">
        <f>IFERROR(INDEX('G-7 Rivers Data'!$AZ$3:$AZ$7,MATCH(N228,'G-7 Rivers Data'!$AY$3:$AY$7,0)),"")</f>
        <v/>
      </c>
    </row>
    <row r="229" spans="2:48" ht="13.8" x14ac:dyDescent="0.25">
      <c r="B229" s="531" t="str">
        <f>'C-1 Site River Baseline'!AN227</f>
        <v/>
      </c>
      <c r="C229" s="520" t="str">
        <f>IF(B229="","",VLOOKUP($B229,'C-1 Site River Baseline'!$C$9:$R$257,2,FALSE))</f>
        <v/>
      </c>
      <c r="D229" s="520" t="str">
        <f>IF(C229="","",VLOOKUP($B229,'C-1 Site River Baseline'!$C$9:$R$257,3,FALSE))</f>
        <v/>
      </c>
      <c r="E229" s="520" t="str">
        <f>IF(D229="","",VLOOKUP($B229,'C-1 Site River Baseline'!$C$9:$R$257,4,FALSE))</f>
        <v/>
      </c>
      <c r="F229" s="520" t="str">
        <f>IF(E229="","",VLOOKUP($B229,'C-1 Site River Baseline'!$C$9:$R$257,5,FALSE))</f>
        <v/>
      </c>
      <c r="G229" s="520" t="str">
        <f>IF(F229="","",VLOOKUP($B229,'C-1 Site River Baseline'!$C$9:$R$257,6,FALSE))</f>
        <v/>
      </c>
      <c r="H229" s="520" t="str">
        <f>IF(G229="","",VLOOKUP($B229,'C-1 Site River Baseline'!$C$9:$R$257,7,FALSE))</f>
        <v/>
      </c>
      <c r="I229" s="520" t="str">
        <f>IF(H229="","",VLOOKUP($B229,'C-1 Site River Baseline'!$C$9:$R$257,8,FALSE))</f>
        <v/>
      </c>
      <c r="J229" s="520" t="str">
        <f>IF(I229="","",VLOOKUP($B229,'C-1 Site River Baseline'!$C$9:$R$257,9,FALSE))</f>
        <v/>
      </c>
      <c r="K229" s="520" t="str">
        <f>IF(J229="","",VLOOKUP($B229,'C-1 Site River Baseline'!$C$9:$R$257,10,FALSE))</f>
        <v/>
      </c>
      <c r="L229" s="520" t="str">
        <f>IF(B229="","",VLOOKUP($B229,'C-1 Site River Baseline'!$C$9:$R$257,15,FALSE))</f>
        <v/>
      </c>
      <c r="M229" s="524" t="str">
        <f>IF(L229="","",VLOOKUP($B229,'C-1 Site River Baseline'!$C$9:$R$257,16,FALSE))</f>
        <v/>
      </c>
      <c r="N229" s="418" t="str">
        <f t="shared" si="25"/>
        <v/>
      </c>
      <c r="O229" s="498" t="str">
        <f t="shared" si="26"/>
        <v/>
      </c>
      <c r="P229" s="499"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7" t="str">
        <f>IF(N229="","",VLOOKUP(B229,'C-1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07" t="str">
        <f>IF(V229="","",IF(VLOOKUP(V229,'G-7 Rivers Data'!$AG$4:$AI$9,2,FALSE)=0,"Spatial Data Missing ⚠",VLOOKUP(V229,'G-7 Rivers Data'!$AG$4:$AI$9,2,FALSE)))</f>
        <v/>
      </c>
      <c r="X229" s="499" t="str">
        <f>IF(V229="","",IF(VLOOKUP(V229,'G-7 Rivers Data'!$AG$4:$AI$9,3,FALSE)=0,"Spatial Data Missing ⚠",VLOOKUP(V229,'G-7 Rivers Data'!$AG$4:$AI$9,3,FALSE)))</f>
        <v/>
      </c>
      <c r="Y229" s="498" t="str">
        <f>IFERROR(IF(OR(LEFT(P229,5)="Error ▲",LEFT(O229,5)="Error ▲"),"Check Data ⚠",IF(F229&lt;S229,'G-7 Rivers Data'!$R$3,INDEX('G-7 Rivers Data'!$U$5:$Y$9,MATCH(G229,'G-7 Rivers Data'!$T$5:$T$9,0),MATCH(T229,'G-7 Rivers Data'!$U$4:$Y$4,0)))),"")</f>
        <v/>
      </c>
      <c r="Z229" s="195"/>
      <c r="AA229" s="195"/>
      <c r="AB229" s="507" t="str">
        <f t="shared" si="27"/>
        <v/>
      </c>
      <c r="AC229" s="521" t="str">
        <f t="shared" si="28"/>
        <v/>
      </c>
      <c r="AD229" s="564" t="str">
        <f>IFERROR(IF(AC229="Check Data ⚠","Check Data ⚠",VLOOKUP(AC229,'G-4 Temporal multipliers'!$A$4:$C$37,3,FALSE)),"")</f>
        <v/>
      </c>
      <c r="AE229" s="498" t="str">
        <f>IF(N229="","",VLOOKUP(N229,'G-7 Rivers Data'!$B$4:$G$8,5,FALSE))</f>
        <v/>
      </c>
      <c r="AF229" s="507" t="str">
        <f t="shared" si="29"/>
        <v/>
      </c>
      <c r="AG229" s="540" t="str">
        <f t="shared" si="30"/>
        <v/>
      </c>
      <c r="AH229" s="499" t="str">
        <f t="shared" si="24"/>
        <v/>
      </c>
      <c r="AI229" s="145"/>
      <c r="AJ229" s="499" t="str">
        <f>IF(AI229="","",IF(VLOOKUP(AI229,'G-7 Rivers Data'!$AA$4:$AB$7,2,FALSE)=0,"Spatial Data Missing ⚠",VLOOKUP(AI229,'G-7 Rivers Data'!$AA$4:$AB$7,2,FALSE)))</f>
        <v/>
      </c>
      <c r="AK229" s="155"/>
      <c r="AL229" s="499" t="str">
        <f>IF(AK229="","",IF(VLOOKUP(AK229,'G-7 Rivers Data'!$AD$4:$AE$8,2,FALSE)=0,"Spatial Data Missing ⚠",VLOOKUP(AK229,'G-7 Rivers Data'!$AD$4:$AE$8,2,FALSE)))</f>
        <v/>
      </c>
      <c r="AM229" s="545" t="str">
        <f t="shared" si="31"/>
        <v/>
      </c>
      <c r="AN229" s="149"/>
      <c r="AO229" s="150"/>
      <c r="AV229" s="31" t="str">
        <f>IFERROR(INDEX('G-7 Rivers Data'!$AZ$3:$AZ$7,MATCH(N229,'G-7 Rivers Data'!$AY$3:$AY$7,0)),"")</f>
        <v/>
      </c>
    </row>
    <row r="230" spans="2:48" ht="13.8" x14ac:dyDescent="0.25">
      <c r="B230" s="531" t="str">
        <f>'C-1 Site River Baseline'!AN228</f>
        <v/>
      </c>
      <c r="C230" s="520" t="str">
        <f>IF(B230="","",VLOOKUP($B230,'C-1 Site River Baseline'!$C$9:$R$257,2,FALSE))</f>
        <v/>
      </c>
      <c r="D230" s="520" t="str">
        <f>IF(C230="","",VLOOKUP($B230,'C-1 Site River Baseline'!$C$9:$R$257,3,FALSE))</f>
        <v/>
      </c>
      <c r="E230" s="520" t="str">
        <f>IF(D230="","",VLOOKUP($B230,'C-1 Site River Baseline'!$C$9:$R$257,4,FALSE))</f>
        <v/>
      </c>
      <c r="F230" s="520" t="str">
        <f>IF(E230="","",VLOOKUP($B230,'C-1 Site River Baseline'!$C$9:$R$257,5,FALSE))</f>
        <v/>
      </c>
      <c r="G230" s="520" t="str">
        <f>IF(F230="","",VLOOKUP($B230,'C-1 Site River Baseline'!$C$9:$R$257,6,FALSE))</f>
        <v/>
      </c>
      <c r="H230" s="520" t="str">
        <f>IF(G230="","",VLOOKUP($B230,'C-1 Site River Baseline'!$C$9:$R$257,7,FALSE))</f>
        <v/>
      </c>
      <c r="I230" s="520" t="str">
        <f>IF(H230="","",VLOOKUP($B230,'C-1 Site River Baseline'!$C$9:$R$257,8,FALSE))</f>
        <v/>
      </c>
      <c r="J230" s="520" t="str">
        <f>IF(I230="","",VLOOKUP($B230,'C-1 Site River Baseline'!$C$9:$R$257,9,FALSE))</f>
        <v/>
      </c>
      <c r="K230" s="520" t="str">
        <f>IF(J230="","",VLOOKUP($B230,'C-1 Site River Baseline'!$C$9:$R$257,10,FALSE))</f>
        <v/>
      </c>
      <c r="L230" s="520" t="str">
        <f>IF(B230="","",VLOOKUP($B230,'C-1 Site River Baseline'!$C$9:$R$257,15,FALSE))</f>
        <v/>
      </c>
      <c r="M230" s="524" t="str">
        <f>IF(L230="","",VLOOKUP($B230,'C-1 Site River Baseline'!$C$9:$R$257,16,FALSE))</f>
        <v/>
      </c>
      <c r="N230" s="418" t="str">
        <f t="shared" si="25"/>
        <v/>
      </c>
      <c r="O230" s="498" t="str">
        <f t="shared" si="26"/>
        <v/>
      </c>
      <c r="P230" s="499"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7" t="str">
        <f>IF(N230="","",VLOOKUP(B230,'C-1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07" t="str">
        <f>IF(V230="","",IF(VLOOKUP(V230,'G-7 Rivers Data'!$AG$4:$AI$9,2,FALSE)=0,"Spatial Data Missing ⚠",VLOOKUP(V230,'G-7 Rivers Data'!$AG$4:$AI$9,2,FALSE)))</f>
        <v/>
      </c>
      <c r="X230" s="499" t="str">
        <f>IF(V230="","",IF(VLOOKUP(V230,'G-7 Rivers Data'!$AG$4:$AI$9,3,FALSE)=0,"Spatial Data Missing ⚠",VLOOKUP(V230,'G-7 Rivers Data'!$AG$4:$AI$9,3,FALSE)))</f>
        <v/>
      </c>
      <c r="Y230" s="498" t="str">
        <f>IFERROR(IF(OR(LEFT(P230,5)="Error ▲",LEFT(O230,5)="Error ▲"),"Check Data ⚠",IF(F230&lt;S230,'G-7 Rivers Data'!$R$3,INDEX('G-7 Rivers Data'!$U$5:$Y$9,MATCH(G230,'G-7 Rivers Data'!$T$5:$T$9,0),MATCH(T230,'G-7 Rivers Data'!$U$4:$Y$4,0)))),"")</f>
        <v/>
      </c>
      <c r="Z230" s="195"/>
      <c r="AA230" s="195"/>
      <c r="AB230" s="507" t="str">
        <f t="shared" si="27"/>
        <v/>
      </c>
      <c r="AC230" s="521" t="str">
        <f t="shared" si="28"/>
        <v/>
      </c>
      <c r="AD230" s="564" t="str">
        <f>IFERROR(IF(AC230="Check Data ⚠","Check Data ⚠",VLOOKUP(AC230,'G-4 Temporal multipliers'!$A$4:$C$37,3,FALSE)),"")</f>
        <v/>
      </c>
      <c r="AE230" s="498" t="str">
        <f>IF(N230="","",VLOOKUP(N230,'G-7 Rivers Data'!$B$4:$G$8,5,FALSE))</f>
        <v/>
      </c>
      <c r="AF230" s="507" t="str">
        <f t="shared" si="29"/>
        <v/>
      </c>
      <c r="AG230" s="540" t="str">
        <f t="shared" si="30"/>
        <v/>
      </c>
      <c r="AH230" s="499" t="str">
        <f t="shared" si="24"/>
        <v/>
      </c>
      <c r="AI230" s="145"/>
      <c r="AJ230" s="499" t="str">
        <f>IF(AI230="","",IF(VLOOKUP(AI230,'G-7 Rivers Data'!$AA$4:$AB$7,2,FALSE)=0,"Spatial Data Missing ⚠",VLOOKUP(AI230,'G-7 Rivers Data'!$AA$4:$AB$7,2,FALSE)))</f>
        <v/>
      </c>
      <c r="AK230" s="155"/>
      <c r="AL230" s="499" t="str">
        <f>IF(AK230="","",IF(VLOOKUP(AK230,'G-7 Rivers Data'!$AD$4:$AE$8,2,FALSE)=0,"Spatial Data Missing ⚠",VLOOKUP(AK230,'G-7 Rivers Data'!$AD$4:$AE$8,2,FALSE)))</f>
        <v/>
      </c>
      <c r="AM230" s="545" t="str">
        <f t="shared" si="31"/>
        <v/>
      </c>
      <c r="AN230" s="149"/>
      <c r="AO230" s="150"/>
      <c r="AV230" s="31" t="str">
        <f>IFERROR(INDEX('G-7 Rivers Data'!$AZ$3:$AZ$7,MATCH(N230,'G-7 Rivers Data'!$AY$3:$AY$7,0)),"")</f>
        <v/>
      </c>
    </row>
    <row r="231" spans="2:48" ht="13.8" x14ac:dyDescent="0.25">
      <c r="B231" s="531" t="str">
        <f>'C-1 Site River Baseline'!AN229</f>
        <v/>
      </c>
      <c r="C231" s="520" t="str">
        <f>IF(B231="","",VLOOKUP($B231,'C-1 Site River Baseline'!$C$9:$R$257,2,FALSE))</f>
        <v/>
      </c>
      <c r="D231" s="520" t="str">
        <f>IF(C231="","",VLOOKUP($B231,'C-1 Site River Baseline'!$C$9:$R$257,3,FALSE))</f>
        <v/>
      </c>
      <c r="E231" s="520" t="str">
        <f>IF(D231="","",VLOOKUP($B231,'C-1 Site River Baseline'!$C$9:$R$257,4,FALSE))</f>
        <v/>
      </c>
      <c r="F231" s="520" t="str">
        <f>IF(E231="","",VLOOKUP($B231,'C-1 Site River Baseline'!$C$9:$R$257,5,FALSE))</f>
        <v/>
      </c>
      <c r="G231" s="520" t="str">
        <f>IF(F231="","",VLOOKUP($B231,'C-1 Site River Baseline'!$C$9:$R$257,6,FALSE))</f>
        <v/>
      </c>
      <c r="H231" s="520" t="str">
        <f>IF(G231="","",VLOOKUP($B231,'C-1 Site River Baseline'!$C$9:$R$257,7,FALSE))</f>
        <v/>
      </c>
      <c r="I231" s="520" t="str">
        <f>IF(H231="","",VLOOKUP($B231,'C-1 Site River Baseline'!$C$9:$R$257,8,FALSE))</f>
        <v/>
      </c>
      <c r="J231" s="520" t="str">
        <f>IF(I231="","",VLOOKUP($B231,'C-1 Site River Baseline'!$C$9:$R$257,9,FALSE))</f>
        <v/>
      </c>
      <c r="K231" s="520" t="str">
        <f>IF(J231="","",VLOOKUP($B231,'C-1 Site River Baseline'!$C$9:$R$257,10,FALSE))</f>
        <v/>
      </c>
      <c r="L231" s="520" t="str">
        <f>IF(B231="","",VLOOKUP($B231,'C-1 Site River Baseline'!$C$9:$R$257,15,FALSE))</f>
        <v/>
      </c>
      <c r="M231" s="524" t="str">
        <f>IF(L231="","",VLOOKUP($B231,'C-1 Site River Baseline'!$C$9:$R$257,16,FALSE))</f>
        <v/>
      </c>
      <c r="N231" s="418" t="str">
        <f t="shared" si="25"/>
        <v/>
      </c>
      <c r="O231" s="498" t="str">
        <f t="shared" si="26"/>
        <v/>
      </c>
      <c r="P231" s="499"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7" t="str">
        <f>IF(N231="","",VLOOKUP(B231,'C-1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07" t="str">
        <f>IF(V231="","",IF(VLOOKUP(V231,'G-7 Rivers Data'!$AG$4:$AI$9,2,FALSE)=0,"Spatial Data Missing ⚠",VLOOKUP(V231,'G-7 Rivers Data'!$AG$4:$AI$9,2,FALSE)))</f>
        <v/>
      </c>
      <c r="X231" s="499" t="str">
        <f>IF(V231="","",IF(VLOOKUP(V231,'G-7 Rivers Data'!$AG$4:$AI$9,3,FALSE)=0,"Spatial Data Missing ⚠",VLOOKUP(V231,'G-7 Rivers Data'!$AG$4:$AI$9,3,FALSE)))</f>
        <v/>
      </c>
      <c r="Y231" s="498" t="str">
        <f>IFERROR(IF(OR(LEFT(P231,5)="Error ▲",LEFT(O231,5)="Error ▲"),"Check Data ⚠",IF(F231&lt;S231,'G-7 Rivers Data'!$R$3,INDEX('G-7 Rivers Data'!$U$5:$Y$9,MATCH(G231,'G-7 Rivers Data'!$T$5:$T$9,0),MATCH(T231,'G-7 Rivers Data'!$U$4:$Y$4,0)))),"")</f>
        <v/>
      </c>
      <c r="Z231" s="195"/>
      <c r="AA231" s="195"/>
      <c r="AB231" s="507" t="str">
        <f t="shared" si="27"/>
        <v/>
      </c>
      <c r="AC231" s="521" t="str">
        <f t="shared" si="28"/>
        <v/>
      </c>
      <c r="AD231" s="564" t="str">
        <f>IFERROR(IF(AC231="Check Data ⚠","Check Data ⚠",VLOOKUP(AC231,'G-4 Temporal multipliers'!$A$4:$C$37,3,FALSE)),"")</f>
        <v/>
      </c>
      <c r="AE231" s="498" t="str">
        <f>IF(N231="","",VLOOKUP(N231,'G-7 Rivers Data'!$B$4:$G$8,5,FALSE))</f>
        <v/>
      </c>
      <c r="AF231" s="507" t="str">
        <f t="shared" si="29"/>
        <v/>
      </c>
      <c r="AG231" s="540" t="str">
        <f t="shared" si="30"/>
        <v/>
      </c>
      <c r="AH231" s="499" t="str">
        <f t="shared" si="24"/>
        <v/>
      </c>
      <c r="AI231" s="145"/>
      <c r="AJ231" s="499" t="str">
        <f>IF(AI231="","",IF(VLOOKUP(AI231,'G-7 Rivers Data'!$AA$4:$AB$7,2,FALSE)=0,"Spatial Data Missing ⚠",VLOOKUP(AI231,'G-7 Rivers Data'!$AA$4:$AB$7,2,FALSE)))</f>
        <v/>
      </c>
      <c r="AK231" s="155"/>
      <c r="AL231" s="499" t="str">
        <f>IF(AK231="","",IF(VLOOKUP(AK231,'G-7 Rivers Data'!$AD$4:$AE$8,2,FALSE)=0,"Spatial Data Missing ⚠",VLOOKUP(AK231,'G-7 Rivers Data'!$AD$4:$AE$8,2,FALSE)))</f>
        <v/>
      </c>
      <c r="AM231" s="545" t="str">
        <f t="shared" si="31"/>
        <v/>
      </c>
      <c r="AN231" s="149"/>
      <c r="AO231" s="150"/>
      <c r="AV231" s="31" t="str">
        <f>IFERROR(INDEX('G-7 Rivers Data'!$AZ$3:$AZ$7,MATCH(N231,'G-7 Rivers Data'!$AY$3:$AY$7,0)),"")</f>
        <v/>
      </c>
    </row>
    <row r="232" spans="2:48" ht="13.8" x14ac:dyDescent="0.25">
      <c r="B232" s="531" t="str">
        <f>'C-1 Site River Baseline'!AN230</f>
        <v/>
      </c>
      <c r="C232" s="520" t="str">
        <f>IF(B232="","",VLOOKUP($B232,'C-1 Site River Baseline'!$C$9:$R$257,2,FALSE))</f>
        <v/>
      </c>
      <c r="D232" s="520" t="str">
        <f>IF(C232="","",VLOOKUP($B232,'C-1 Site River Baseline'!$C$9:$R$257,3,FALSE))</f>
        <v/>
      </c>
      <c r="E232" s="520" t="str">
        <f>IF(D232="","",VLOOKUP($B232,'C-1 Site River Baseline'!$C$9:$R$257,4,FALSE))</f>
        <v/>
      </c>
      <c r="F232" s="520" t="str">
        <f>IF(E232="","",VLOOKUP($B232,'C-1 Site River Baseline'!$C$9:$R$257,5,FALSE))</f>
        <v/>
      </c>
      <c r="G232" s="520" t="str">
        <f>IF(F232="","",VLOOKUP($B232,'C-1 Site River Baseline'!$C$9:$R$257,6,FALSE))</f>
        <v/>
      </c>
      <c r="H232" s="520" t="str">
        <f>IF(G232="","",VLOOKUP($B232,'C-1 Site River Baseline'!$C$9:$R$257,7,FALSE))</f>
        <v/>
      </c>
      <c r="I232" s="520" t="str">
        <f>IF(H232="","",VLOOKUP($B232,'C-1 Site River Baseline'!$C$9:$R$257,8,FALSE))</f>
        <v/>
      </c>
      <c r="J232" s="520" t="str">
        <f>IF(I232="","",VLOOKUP($B232,'C-1 Site River Baseline'!$C$9:$R$257,9,FALSE))</f>
        <v/>
      </c>
      <c r="K232" s="520" t="str">
        <f>IF(J232="","",VLOOKUP($B232,'C-1 Site River Baseline'!$C$9:$R$257,10,FALSE))</f>
        <v/>
      </c>
      <c r="L232" s="520" t="str">
        <f>IF(B232="","",VLOOKUP($B232,'C-1 Site River Baseline'!$C$9:$R$257,15,FALSE))</f>
        <v/>
      </c>
      <c r="M232" s="524" t="str">
        <f>IF(L232="","",VLOOKUP($B232,'C-1 Site River Baseline'!$C$9:$R$257,16,FALSE))</f>
        <v/>
      </c>
      <c r="N232" s="418" t="str">
        <f t="shared" si="25"/>
        <v/>
      </c>
      <c r="O232" s="498" t="str">
        <f t="shared" si="26"/>
        <v/>
      </c>
      <c r="P232" s="499"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7" t="str">
        <f>IF(N232="","",VLOOKUP(B232,'C-1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07" t="str">
        <f>IF(V232="","",IF(VLOOKUP(V232,'G-7 Rivers Data'!$AG$4:$AI$9,2,FALSE)=0,"Spatial Data Missing ⚠",VLOOKUP(V232,'G-7 Rivers Data'!$AG$4:$AI$9,2,FALSE)))</f>
        <v/>
      </c>
      <c r="X232" s="499" t="str">
        <f>IF(V232="","",IF(VLOOKUP(V232,'G-7 Rivers Data'!$AG$4:$AI$9,3,FALSE)=0,"Spatial Data Missing ⚠",VLOOKUP(V232,'G-7 Rivers Data'!$AG$4:$AI$9,3,FALSE)))</f>
        <v/>
      </c>
      <c r="Y232" s="498" t="str">
        <f>IFERROR(IF(OR(LEFT(P232,5)="Error ▲",LEFT(O232,5)="Error ▲"),"Check Data ⚠",IF(F232&lt;S232,'G-7 Rivers Data'!$R$3,INDEX('G-7 Rivers Data'!$U$5:$Y$9,MATCH(G232,'G-7 Rivers Data'!$T$5:$T$9,0),MATCH(T232,'G-7 Rivers Data'!$U$4:$Y$4,0)))),"")</f>
        <v/>
      </c>
      <c r="Z232" s="195"/>
      <c r="AA232" s="195"/>
      <c r="AB232" s="507" t="str">
        <f t="shared" si="27"/>
        <v/>
      </c>
      <c r="AC232" s="521" t="str">
        <f t="shared" si="28"/>
        <v/>
      </c>
      <c r="AD232" s="564" t="str">
        <f>IFERROR(IF(AC232="Check Data ⚠","Check Data ⚠",VLOOKUP(AC232,'G-4 Temporal multipliers'!$A$4:$C$37,3,FALSE)),"")</f>
        <v/>
      </c>
      <c r="AE232" s="498" t="str">
        <f>IF(N232="","",VLOOKUP(N232,'G-7 Rivers Data'!$B$4:$G$8,5,FALSE))</f>
        <v/>
      </c>
      <c r="AF232" s="507" t="str">
        <f t="shared" si="29"/>
        <v/>
      </c>
      <c r="AG232" s="540" t="str">
        <f t="shared" si="30"/>
        <v/>
      </c>
      <c r="AH232" s="499" t="str">
        <f t="shared" si="24"/>
        <v/>
      </c>
      <c r="AI232" s="145"/>
      <c r="AJ232" s="499" t="str">
        <f>IF(AI232="","",IF(VLOOKUP(AI232,'G-7 Rivers Data'!$AA$4:$AB$7,2,FALSE)=0,"Spatial Data Missing ⚠",VLOOKUP(AI232,'G-7 Rivers Data'!$AA$4:$AB$7,2,FALSE)))</f>
        <v/>
      </c>
      <c r="AK232" s="155"/>
      <c r="AL232" s="499" t="str">
        <f>IF(AK232="","",IF(VLOOKUP(AK232,'G-7 Rivers Data'!$AD$4:$AE$8,2,FALSE)=0,"Spatial Data Missing ⚠",VLOOKUP(AK232,'G-7 Rivers Data'!$AD$4:$AE$8,2,FALSE)))</f>
        <v/>
      </c>
      <c r="AM232" s="545" t="str">
        <f t="shared" si="31"/>
        <v/>
      </c>
      <c r="AN232" s="149"/>
      <c r="AO232" s="150"/>
      <c r="AV232" s="31" t="str">
        <f>IFERROR(INDEX('G-7 Rivers Data'!$AZ$3:$AZ$7,MATCH(N232,'G-7 Rivers Data'!$AY$3:$AY$7,0)),"")</f>
        <v/>
      </c>
    </row>
    <row r="233" spans="2:48" ht="13.8" x14ac:dyDescent="0.25">
      <c r="B233" s="531" t="str">
        <f>'C-1 Site River Baseline'!AN231</f>
        <v/>
      </c>
      <c r="C233" s="520" t="str">
        <f>IF(B233="","",VLOOKUP($B233,'C-1 Site River Baseline'!$C$9:$R$257,2,FALSE))</f>
        <v/>
      </c>
      <c r="D233" s="520" t="str">
        <f>IF(C233="","",VLOOKUP($B233,'C-1 Site River Baseline'!$C$9:$R$257,3,FALSE))</f>
        <v/>
      </c>
      <c r="E233" s="520" t="str">
        <f>IF(D233="","",VLOOKUP($B233,'C-1 Site River Baseline'!$C$9:$R$257,4,FALSE))</f>
        <v/>
      </c>
      <c r="F233" s="520" t="str">
        <f>IF(E233="","",VLOOKUP($B233,'C-1 Site River Baseline'!$C$9:$R$257,5,FALSE))</f>
        <v/>
      </c>
      <c r="G233" s="520" t="str">
        <f>IF(F233="","",VLOOKUP($B233,'C-1 Site River Baseline'!$C$9:$R$257,6,FALSE))</f>
        <v/>
      </c>
      <c r="H233" s="520" t="str">
        <f>IF(G233="","",VLOOKUP($B233,'C-1 Site River Baseline'!$C$9:$R$257,7,FALSE))</f>
        <v/>
      </c>
      <c r="I233" s="520" t="str">
        <f>IF(H233="","",VLOOKUP($B233,'C-1 Site River Baseline'!$C$9:$R$257,8,FALSE))</f>
        <v/>
      </c>
      <c r="J233" s="520" t="str">
        <f>IF(I233="","",VLOOKUP($B233,'C-1 Site River Baseline'!$C$9:$R$257,9,FALSE))</f>
        <v/>
      </c>
      <c r="K233" s="520" t="str">
        <f>IF(J233="","",VLOOKUP($B233,'C-1 Site River Baseline'!$C$9:$R$257,10,FALSE))</f>
        <v/>
      </c>
      <c r="L233" s="520" t="str">
        <f>IF(B233="","",VLOOKUP($B233,'C-1 Site River Baseline'!$C$9:$R$257,15,FALSE))</f>
        <v/>
      </c>
      <c r="M233" s="524" t="str">
        <f>IF(L233="","",VLOOKUP($B233,'C-1 Site River Baseline'!$C$9:$R$257,16,FALSE))</f>
        <v/>
      </c>
      <c r="N233" s="418" t="str">
        <f t="shared" si="25"/>
        <v/>
      </c>
      <c r="O233" s="498" t="str">
        <f t="shared" si="26"/>
        <v/>
      </c>
      <c r="P233" s="499"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7" t="str">
        <f>IF(N233="","",VLOOKUP(B233,'C-1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07" t="str">
        <f>IF(V233="","",IF(VLOOKUP(V233,'G-7 Rivers Data'!$AG$4:$AI$9,2,FALSE)=0,"Spatial Data Missing ⚠",VLOOKUP(V233,'G-7 Rivers Data'!$AG$4:$AI$9,2,FALSE)))</f>
        <v/>
      </c>
      <c r="X233" s="499" t="str">
        <f>IF(V233="","",IF(VLOOKUP(V233,'G-7 Rivers Data'!$AG$4:$AI$9,3,FALSE)=0,"Spatial Data Missing ⚠",VLOOKUP(V233,'G-7 Rivers Data'!$AG$4:$AI$9,3,FALSE)))</f>
        <v/>
      </c>
      <c r="Y233" s="498" t="str">
        <f>IFERROR(IF(OR(LEFT(P233,5)="Error ▲",LEFT(O233,5)="Error ▲"),"Check Data ⚠",IF(F233&lt;S233,'G-7 Rivers Data'!$R$3,INDEX('G-7 Rivers Data'!$U$5:$Y$9,MATCH(G233,'G-7 Rivers Data'!$T$5:$T$9,0),MATCH(T233,'G-7 Rivers Data'!$U$4:$Y$4,0)))),"")</f>
        <v/>
      </c>
      <c r="Z233" s="195"/>
      <c r="AA233" s="195"/>
      <c r="AB233" s="507" t="str">
        <f t="shared" si="27"/>
        <v/>
      </c>
      <c r="AC233" s="521" t="str">
        <f t="shared" si="28"/>
        <v/>
      </c>
      <c r="AD233" s="564" t="str">
        <f>IFERROR(IF(AC233="Check Data ⚠","Check Data ⚠",VLOOKUP(AC233,'G-4 Temporal multipliers'!$A$4:$C$37,3,FALSE)),"")</f>
        <v/>
      </c>
      <c r="AE233" s="498" t="str">
        <f>IF(N233="","",VLOOKUP(N233,'G-7 Rivers Data'!$B$4:$G$8,5,FALSE))</f>
        <v/>
      </c>
      <c r="AF233" s="507" t="str">
        <f t="shared" si="29"/>
        <v/>
      </c>
      <c r="AG233" s="540" t="str">
        <f t="shared" si="30"/>
        <v/>
      </c>
      <c r="AH233" s="499" t="str">
        <f t="shared" si="24"/>
        <v/>
      </c>
      <c r="AI233" s="145"/>
      <c r="AJ233" s="499" t="str">
        <f>IF(AI233="","",IF(VLOOKUP(AI233,'G-7 Rivers Data'!$AA$4:$AB$7,2,FALSE)=0,"Spatial Data Missing ⚠",VLOOKUP(AI233,'G-7 Rivers Data'!$AA$4:$AB$7,2,FALSE)))</f>
        <v/>
      </c>
      <c r="AK233" s="155"/>
      <c r="AL233" s="499" t="str">
        <f>IF(AK233="","",IF(VLOOKUP(AK233,'G-7 Rivers Data'!$AD$4:$AE$8,2,FALSE)=0,"Spatial Data Missing ⚠",VLOOKUP(AK233,'G-7 Rivers Data'!$AD$4:$AE$8,2,FALSE)))</f>
        <v/>
      </c>
      <c r="AM233" s="545" t="str">
        <f t="shared" si="31"/>
        <v/>
      </c>
      <c r="AN233" s="149"/>
      <c r="AO233" s="150"/>
      <c r="AV233" s="31" t="str">
        <f>IFERROR(INDEX('G-7 Rivers Data'!$AZ$3:$AZ$7,MATCH(N233,'G-7 Rivers Data'!$AY$3:$AY$7,0)),"")</f>
        <v/>
      </c>
    </row>
    <row r="234" spans="2:48" ht="13.8" x14ac:dyDescent="0.25">
      <c r="B234" s="531" t="str">
        <f>'C-1 Site River Baseline'!AN232</f>
        <v/>
      </c>
      <c r="C234" s="520" t="str">
        <f>IF(B234="","",VLOOKUP($B234,'C-1 Site River Baseline'!$C$9:$R$257,2,FALSE))</f>
        <v/>
      </c>
      <c r="D234" s="520" t="str">
        <f>IF(C234="","",VLOOKUP($B234,'C-1 Site River Baseline'!$C$9:$R$257,3,FALSE))</f>
        <v/>
      </c>
      <c r="E234" s="520" t="str">
        <f>IF(D234="","",VLOOKUP($B234,'C-1 Site River Baseline'!$C$9:$R$257,4,FALSE))</f>
        <v/>
      </c>
      <c r="F234" s="520" t="str">
        <f>IF(E234="","",VLOOKUP($B234,'C-1 Site River Baseline'!$C$9:$R$257,5,FALSE))</f>
        <v/>
      </c>
      <c r="G234" s="520" t="str">
        <f>IF(F234="","",VLOOKUP($B234,'C-1 Site River Baseline'!$C$9:$R$257,6,FALSE))</f>
        <v/>
      </c>
      <c r="H234" s="520" t="str">
        <f>IF(G234="","",VLOOKUP($B234,'C-1 Site River Baseline'!$C$9:$R$257,7,FALSE))</f>
        <v/>
      </c>
      <c r="I234" s="520" t="str">
        <f>IF(H234="","",VLOOKUP($B234,'C-1 Site River Baseline'!$C$9:$R$257,8,FALSE))</f>
        <v/>
      </c>
      <c r="J234" s="520" t="str">
        <f>IF(I234="","",VLOOKUP($B234,'C-1 Site River Baseline'!$C$9:$R$257,9,FALSE))</f>
        <v/>
      </c>
      <c r="K234" s="520" t="str">
        <f>IF(J234="","",VLOOKUP($B234,'C-1 Site River Baseline'!$C$9:$R$257,10,FALSE))</f>
        <v/>
      </c>
      <c r="L234" s="520" t="str">
        <f>IF(B234="","",VLOOKUP($B234,'C-1 Site River Baseline'!$C$9:$R$257,15,FALSE))</f>
        <v/>
      </c>
      <c r="M234" s="524" t="str">
        <f>IF(L234="","",VLOOKUP($B234,'C-1 Site River Baseline'!$C$9:$R$257,16,FALSE))</f>
        <v/>
      </c>
      <c r="N234" s="418" t="str">
        <f t="shared" si="25"/>
        <v/>
      </c>
      <c r="O234" s="498" t="str">
        <f t="shared" si="26"/>
        <v/>
      </c>
      <c r="P234" s="499"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7" t="str">
        <f>IF(N234="","",VLOOKUP(B234,'C-1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07" t="str">
        <f>IF(V234="","",IF(VLOOKUP(V234,'G-7 Rivers Data'!$AG$4:$AI$9,2,FALSE)=0,"Spatial Data Missing ⚠",VLOOKUP(V234,'G-7 Rivers Data'!$AG$4:$AI$9,2,FALSE)))</f>
        <v/>
      </c>
      <c r="X234" s="499" t="str">
        <f>IF(V234="","",IF(VLOOKUP(V234,'G-7 Rivers Data'!$AG$4:$AI$9,3,FALSE)=0,"Spatial Data Missing ⚠",VLOOKUP(V234,'G-7 Rivers Data'!$AG$4:$AI$9,3,FALSE)))</f>
        <v/>
      </c>
      <c r="Y234" s="498" t="str">
        <f>IFERROR(IF(OR(LEFT(P234,5)="Error ▲",LEFT(O234,5)="Error ▲"),"Check Data ⚠",IF(F234&lt;S234,'G-7 Rivers Data'!$R$3,INDEX('G-7 Rivers Data'!$U$5:$Y$9,MATCH(G234,'G-7 Rivers Data'!$T$5:$T$9,0),MATCH(T234,'G-7 Rivers Data'!$U$4:$Y$4,0)))),"")</f>
        <v/>
      </c>
      <c r="Z234" s="195"/>
      <c r="AA234" s="195"/>
      <c r="AB234" s="507" t="str">
        <f t="shared" si="27"/>
        <v/>
      </c>
      <c r="AC234" s="521" t="str">
        <f t="shared" si="28"/>
        <v/>
      </c>
      <c r="AD234" s="564" t="str">
        <f>IFERROR(IF(AC234="Check Data ⚠","Check Data ⚠",VLOOKUP(AC234,'G-4 Temporal multipliers'!$A$4:$C$37,3,FALSE)),"")</f>
        <v/>
      </c>
      <c r="AE234" s="498" t="str">
        <f>IF(N234="","",VLOOKUP(N234,'G-7 Rivers Data'!$B$4:$G$8,5,FALSE))</f>
        <v/>
      </c>
      <c r="AF234" s="507" t="str">
        <f t="shared" si="29"/>
        <v/>
      </c>
      <c r="AG234" s="540" t="str">
        <f t="shared" si="30"/>
        <v/>
      </c>
      <c r="AH234" s="499" t="str">
        <f t="shared" si="24"/>
        <v/>
      </c>
      <c r="AI234" s="145"/>
      <c r="AJ234" s="499" t="str">
        <f>IF(AI234="","",IF(VLOOKUP(AI234,'G-7 Rivers Data'!$AA$4:$AB$7,2,FALSE)=0,"Spatial Data Missing ⚠",VLOOKUP(AI234,'G-7 Rivers Data'!$AA$4:$AB$7,2,FALSE)))</f>
        <v/>
      </c>
      <c r="AK234" s="155"/>
      <c r="AL234" s="499" t="str">
        <f>IF(AK234="","",IF(VLOOKUP(AK234,'G-7 Rivers Data'!$AD$4:$AE$8,2,FALSE)=0,"Spatial Data Missing ⚠",VLOOKUP(AK234,'G-7 Rivers Data'!$AD$4:$AE$8,2,FALSE)))</f>
        <v/>
      </c>
      <c r="AM234" s="545" t="str">
        <f t="shared" si="31"/>
        <v/>
      </c>
      <c r="AN234" s="149"/>
      <c r="AO234" s="150"/>
      <c r="AV234" s="31" t="str">
        <f>IFERROR(INDEX('G-7 Rivers Data'!$AZ$3:$AZ$7,MATCH(N234,'G-7 Rivers Data'!$AY$3:$AY$7,0)),"")</f>
        <v/>
      </c>
    </row>
    <row r="235" spans="2:48" ht="13.8" x14ac:dyDescent="0.25">
      <c r="B235" s="531" t="str">
        <f>'C-1 Site River Baseline'!AN233</f>
        <v/>
      </c>
      <c r="C235" s="520" t="str">
        <f>IF(B235="","",VLOOKUP($B235,'C-1 Site River Baseline'!$C$9:$R$257,2,FALSE))</f>
        <v/>
      </c>
      <c r="D235" s="520" t="str">
        <f>IF(C235="","",VLOOKUP($B235,'C-1 Site River Baseline'!$C$9:$R$257,3,FALSE))</f>
        <v/>
      </c>
      <c r="E235" s="520" t="str">
        <f>IF(D235="","",VLOOKUP($B235,'C-1 Site River Baseline'!$C$9:$R$257,4,FALSE))</f>
        <v/>
      </c>
      <c r="F235" s="520" t="str">
        <f>IF(E235="","",VLOOKUP($B235,'C-1 Site River Baseline'!$C$9:$R$257,5,FALSE))</f>
        <v/>
      </c>
      <c r="G235" s="520" t="str">
        <f>IF(F235="","",VLOOKUP($B235,'C-1 Site River Baseline'!$C$9:$R$257,6,FALSE))</f>
        <v/>
      </c>
      <c r="H235" s="520" t="str">
        <f>IF(G235="","",VLOOKUP($B235,'C-1 Site River Baseline'!$C$9:$R$257,7,FALSE))</f>
        <v/>
      </c>
      <c r="I235" s="520" t="str">
        <f>IF(H235="","",VLOOKUP($B235,'C-1 Site River Baseline'!$C$9:$R$257,8,FALSE))</f>
        <v/>
      </c>
      <c r="J235" s="520" t="str">
        <f>IF(I235="","",VLOOKUP($B235,'C-1 Site River Baseline'!$C$9:$R$257,9,FALSE))</f>
        <v/>
      </c>
      <c r="K235" s="520" t="str">
        <f>IF(J235="","",VLOOKUP($B235,'C-1 Site River Baseline'!$C$9:$R$257,10,FALSE))</f>
        <v/>
      </c>
      <c r="L235" s="520" t="str">
        <f>IF(B235="","",VLOOKUP($B235,'C-1 Site River Baseline'!$C$9:$R$257,15,FALSE))</f>
        <v/>
      </c>
      <c r="M235" s="524" t="str">
        <f>IF(L235="","",VLOOKUP($B235,'C-1 Site River Baseline'!$C$9:$R$257,16,FALSE))</f>
        <v/>
      </c>
      <c r="N235" s="418" t="str">
        <f t="shared" si="25"/>
        <v/>
      </c>
      <c r="O235" s="498" t="str">
        <f t="shared" si="26"/>
        <v/>
      </c>
      <c r="P235" s="499"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7" t="str">
        <f>IF(N235="","",VLOOKUP(B235,'C-1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07" t="str">
        <f>IF(V235="","",IF(VLOOKUP(V235,'G-7 Rivers Data'!$AG$4:$AI$9,2,FALSE)=0,"Spatial Data Missing ⚠",VLOOKUP(V235,'G-7 Rivers Data'!$AG$4:$AI$9,2,FALSE)))</f>
        <v/>
      </c>
      <c r="X235" s="499" t="str">
        <f>IF(V235="","",IF(VLOOKUP(V235,'G-7 Rivers Data'!$AG$4:$AI$9,3,FALSE)=0,"Spatial Data Missing ⚠",VLOOKUP(V235,'G-7 Rivers Data'!$AG$4:$AI$9,3,FALSE)))</f>
        <v/>
      </c>
      <c r="Y235" s="498" t="str">
        <f>IFERROR(IF(OR(LEFT(P235,5)="Error ▲",LEFT(O235,5)="Error ▲"),"Check Data ⚠",IF(F235&lt;S235,'G-7 Rivers Data'!$R$3,INDEX('G-7 Rivers Data'!$U$5:$Y$9,MATCH(G235,'G-7 Rivers Data'!$T$5:$T$9,0),MATCH(T235,'G-7 Rivers Data'!$U$4:$Y$4,0)))),"")</f>
        <v/>
      </c>
      <c r="Z235" s="195"/>
      <c r="AA235" s="195"/>
      <c r="AB235" s="507" t="str">
        <f t="shared" si="27"/>
        <v/>
      </c>
      <c r="AC235" s="521" t="str">
        <f t="shared" si="28"/>
        <v/>
      </c>
      <c r="AD235" s="564" t="str">
        <f>IFERROR(IF(AC235="Check Data ⚠","Check Data ⚠",VLOOKUP(AC235,'G-4 Temporal multipliers'!$A$4:$C$37,3,FALSE)),"")</f>
        <v/>
      </c>
      <c r="AE235" s="498" t="str">
        <f>IF(N235="","",VLOOKUP(N235,'G-7 Rivers Data'!$B$4:$G$8,5,FALSE))</f>
        <v/>
      </c>
      <c r="AF235" s="507" t="str">
        <f t="shared" si="29"/>
        <v/>
      </c>
      <c r="AG235" s="540" t="str">
        <f t="shared" si="30"/>
        <v/>
      </c>
      <c r="AH235" s="499" t="str">
        <f t="shared" si="24"/>
        <v/>
      </c>
      <c r="AI235" s="145"/>
      <c r="AJ235" s="499" t="str">
        <f>IF(AI235="","",IF(VLOOKUP(AI235,'G-7 Rivers Data'!$AA$4:$AB$7,2,FALSE)=0,"Spatial Data Missing ⚠",VLOOKUP(AI235,'G-7 Rivers Data'!$AA$4:$AB$7,2,FALSE)))</f>
        <v/>
      </c>
      <c r="AK235" s="155"/>
      <c r="AL235" s="499" t="str">
        <f>IF(AK235="","",IF(VLOOKUP(AK235,'G-7 Rivers Data'!$AD$4:$AE$8,2,FALSE)=0,"Spatial Data Missing ⚠",VLOOKUP(AK235,'G-7 Rivers Data'!$AD$4:$AE$8,2,FALSE)))</f>
        <v/>
      </c>
      <c r="AM235" s="545" t="str">
        <f t="shared" si="31"/>
        <v/>
      </c>
      <c r="AN235" s="149"/>
      <c r="AO235" s="150"/>
      <c r="AV235" s="31" t="str">
        <f>IFERROR(INDEX('G-7 Rivers Data'!$AZ$3:$AZ$7,MATCH(N235,'G-7 Rivers Data'!$AY$3:$AY$7,0)),"")</f>
        <v/>
      </c>
    </row>
    <row r="236" spans="2:48" ht="13.8" x14ac:dyDescent="0.25">
      <c r="B236" s="531" t="str">
        <f>'C-1 Site River Baseline'!AN234</f>
        <v/>
      </c>
      <c r="C236" s="520" t="str">
        <f>IF(B236="","",VLOOKUP($B236,'C-1 Site River Baseline'!$C$9:$R$257,2,FALSE))</f>
        <v/>
      </c>
      <c r="D236" s="520" t="str">
        <f>IF(C236="","",VLOOKUP($B236,'C-1 Site River Baseline'!$C$9:$R$257,3,FALSE))</f>
        <v/>
      </c>
      <c r="E236" s="520" t="str">
        <f>IF(D236="","",VLOOKUP($B236,'C-1 Site River Baseline'!$C$9:$R$257,4,FALSE))</f>
        <v/>
      </c>
      <c r="F236" s="520" t="str">
        <f>IF(E236="","",VLOOKUP($B236,'C-1 Site River Baseline'!$C$9:$R$257,5,FALSE))</f>
        <v/>
      </c>
      <c r="G236" s="520" t="str">
        <f>IF(F236="","",VLOOKUP($B236,'C-1 Site River Baseline'!$C$9:$R$257,6,FALSE))</f>
        <v/>
      </c>
      <c r="H236" s="520" t="str">
        <f>IF(G236="","",VLOOKUP($B236,'C-1 Site River Baseline'!$C$9:$R$257,7,FALSE))</f>
        <v/>
      </c>
      <c r="I236" s="520" t="str">
        <f>IF(H236="","",VLOOKUP($B236,'C-1 Site River Baseline'!$C$9:$R$257,8,FALSE))</f>
        <v/>
      </c>
      <c r="J236" s="520" t="str">
        <f>IF(I236="","",VLOOKUP($B236,'C-1 Site River Baseline'!$C$9:$R$257,9,FALSE))</f>
        <v/>
      </c>
      <c r="K236" s="520" t="str">
        <f>IF(J236="","",VLOOKUP($B236,'C-1 Site River Baseline'!$C$9:$R$257,10,FALSE))</f>
        <v/>
      </c>
      <c r="L236" s="520" t="str">
        <f>IF(B236="","",VLOOKUP($B236,'C-1 Site River Baseline'!$C$9:$R$257,15,FALSE))</f>
        <v/>
      </c>
      <c r="M236" s="524" t="str">
        <f>IF(L236="","",VLOOKUP($B236,'C-1 Site River Baseline'!$C$9:$R$257,16,FALSE))</f>
        <v/>
      </c>
      <c r="N236" s="418" t="str">
        <f t="shared" si="25"/>
        <v/>
      </c>
      <c r="O236" s="498" t="str">
        <f t="shared" si="26"/>
        <v/>
      </c>
      <c r="P236" s="499"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7" t="str">
        <f>IF(N236="","",VLOOKUP(B236,'C-1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07" t="str">
        <f>IF(V236="","",IF(VLOOKUP(V236,'G-7 Rivers Data'!$AG$4:$AI$9,2,FALSE)=0,"Spatial Data Missing ⚠",VLOOKUP(V236,'G-7 Rivers Data'!$AG$4:$AI$9,2,FALSE)))</f>
        <v/>
      </c>
      <c r="X236" s="499" t="str">
        <f>IF(V236="","",IF(VLOOKUP(V236,'G-7 Rivers Data'!$AG$4:$AI$9,3,FALSE)=0,"Spatial Data Missing ⚠",VLOOKUP(V236,'G-7 Rivers Data'!$AG$4:$AI$9,3,FALSE)))</f>
        <v/>
      </c>
      <c r="Y236" s="498" t="str">
        <f>IFERROR(IF(OR(LEFT(P236,5)="Error ▲",LEFT(O236,5)="Error ▲"),"Check Data ⚠",IF(F236&lt;S236,'G-7 Rivers Data'!$R$3,INDEX('G-7 Rivers Data'!$U$5:$Y$9,MATCH(G236,'G-7 Rivers Data'!$T$5:$T$9,0),MATCH(T236,'G-7 Rivers Data'!$U$4:$Y$4,0)))),"")</f>
        <v/>
      </c>
      <c r="Z236" s="195"/>
      <c r="AA236" s="195"/>
      <c r="AB236" s="507" t="str">
        <f t="shared" si="27"/>
        <v/>
      </c>
      <c r="AC236" s="521" t="str">
        <f t="shared" si="28"/>
        <v/>
      </c>
      <c r="AD236" s="564" t="str">
        <f>IFERROR(IF(AC236="Check Data ⚠","Check Data ⚠",VLOOKUP(AC236,'G-4 Temporal multipliers'!$A$4:$C$37,3,FALSE)),"")</f>
        <v/>
      </c>
      <c r="AE236" s="498" t="str">
        <f>IF(N236="","",VLOOKUP(N236,'G-7 Rivers Data'!$B$4:$G$8,5,FALSE))</f>
        <v/>
      </c>
      <c r="AF236" s="507" t="str">
        <f t="shared" si="29"/>
        <v/>
      </c>
      <c r="AG236" s="540" t="str">
        <f t="shared" si="30"/>
        <v/>
      </c>
      <c r="AH236" s="499" t="str">
        <f t="shared" si="24"/>
        <v/>
      </c>
      <c r="AI236" s="145"/>
      <c r="AJ236" s="499" t="str">
        <f>IF(AI236="","",IF(VLOOKUP(AI236,'G-7 Rivers Data'!$AA$4:$AB$7,2,FALSE)=0,"Spatial Data Missing ⚠",VLOOKUP(AI236,'G-7 Rivers Data'!$AA$4:$AB$7,2,FALSE)))</f>
        <v/>
      </c>
      <c r="AK236" s="155"/>
      <c r="AL236" s="499" t="str">
        <f>IF(AK236="","",IF(VLOOKUP(AK236,'G-7 Rivers Data'!$AD$4:$AE$8,2,FALSE)=0,"Spatial Data Missing ⚠",VLOOKUP(AK236,'G-7 Rivers Data'!$AD$4:$AE$8,2,FALSE)))</f>
        <v/>
      </c>
      <c r="AM236" s="545" t="str">
        <f t="shared" si="31"/>
        <v/>
      </c>
      <c r="AN236" s="149"/>
      <c r="AO236" s="150"/>
      <c r="AV236" s="31" t="str">
        <f>IFERROR(INDEX('G-7 Rivers Data'!$AZ$3:$AZ$7,MATCH(N236,'G-7 Rivers Data'!$AY$3:$AY$7,0)),"")</f>
        <v/>
      </c>
    </row>
    <row r="237" spans="2:48" ht="13.8" x14ac:dyDescent="0.25">
      <c r="B237" s="531" t="str">
        <f>'C-1 Site River Baseline'!AN235</f>
        <v/>
      </c>
      <c r="C237" s="520" t="str">
        <f>IF(B237="","",VLOOKUP($B237,'C-1 Site River Baseline'!$C$9:$R$257,2,FALSE))</f>
        <v/>
      </c>
      <c r="D237" s="520" t="str">
        <f>IF(C237="","",VLOOKUP($B237,'C-1 Site River Baseline'!$C$9:$R$257,3,FALSE))</f>
        <v/>
      </c>
      <c r="E237" s="520" t="str">
        <f>IF(D237="","",VLOOKUP($B237,'C-1 Site River Baseline'!$C$9:$R$257,4,FALSE))</f>
        <v/>
      </c>
      <c r="F237" s="520" t="str">
        <f>IF(E237="","",VLOOKUP($B237,'C-1 Site River Baseline'!$C$9:$R$257,5,FALSE))</f>
        <v/>
      </c>
      <c r="G237" s="520" t="str">
        <f>IF(F237="","",VLOOKUP($B237,'C-1 Site River Baseline'!$C$9:$R$257,6,FALSE))</f>
        <v/>
      </c>
      <c r="H237" s="520" t="str">
        <f>IF(G237="","",VLOOKUP($B237,'C-1 Site River Baseline'!$C$9:$R$257,7,FALSE))</f>
        <v/>
      </c>
      <c r="I237" s="520" t="str">
        <f>IF(H237="","",VLOOKUP($B237,'C-1 Site River Baseline'!$C$9:$R$257,8,FALSE))</f>
        <v/>
      </c>
      <c r="J237" s="520" t="str">
        <f>IF(I237="","",VLOOKUP($B237,'C-1 Site River Baseline'!$C$9:$R$257,9,FALSE))</f>
        <v/>
      </c>
      <c r="K237" s="520" t="str">
        <f>IF(J237="","",VLOOKUP($B237,'C-1 Site River Baseline'!$C$9:$R$257,10,FALSE))</f>
        <v/>
      </c>
      <c r="L237" s="520" t="str">
        <f>IF(B237="","",VLOOKUP($B237,'C-1 Site River Baseline'!$C$9:$R$257,15,FALSE))</f>
        <v/>
      </c>
      <c r="M237" s="524" t="str">
        <f>IF(L237="","",VLOOKUP($B237,'C-1 Site River Baseline'!$C$9:$R$257,16,FALSE))</f>
        <v/>
      </c>
      <c r="N237" s="418" t="str">
        <f t="shared" si="25"/>
        <v/>
      </c>
      <c r="O237" s="498" t="str">
        <f t="shared" si="26"/>
        <v/>
      </c>
      <c r="P237" s="499"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7" t="str">
        <f>IF(N237="","",VLOOKUP(B237,'C-1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07" t="str">
        <f>IF(V237="","",IF(VLOOKUP(V237,'G-7 Rivers Data'!$AG$4:$AI$9,2,FALSE)=0,"Spatial Data Missing ⚠",VLOOKUP(V237,'G-7 Rivers Data'!$AG$4:$AI$9,2,FALSE)))</f>
        <v/>
      </c>
      <c r="X237" s="499" t="str">
        <f>IF(V237="","",IF(VLOOKUP(V237,'G-7 Rivers Data'!$AG$4:$AI$9,3,FALSE)=0,"Spatial Data Missing ⚠",VLOOKUP(V237,'G-7 Rivers Data'!$AG$4:$AI$9,3,FALSE)))</f>
        <v/>
      </c>
      <c r="Y237" s="498" t="str">
        <f>IFERROR(IF(OR(LEFT(P237,5)="Error ▲",LEFT(O237,5)="Error ▲"),"Check Data ⚠",IF(F237&lt;S237,'G-7 Rivers Data'!$R$3,INDEX('G-7 Rivers Data'!$U$5:$Y$9,MATCH(G237,'G-7 Rivers Data'!$T$5:$T$9,0),MATCH(T237,'G-7 Rivers Data'!$U$4:$Y$4,0)))),"")</f>
        <v/>
      </c>
      <c r="Z237" s="195"/>
      <c r="AA237" s="195"/>
      <c r="AB237" s="507" t="str">
        <f t="shared" si="27"/>
        <v/>
      </c>
      <c r="AC237" s="521" t="str">
        <f t="shared" si="28"/>
        <v/>
      </c>
      <c r="AD237" s="564" t="str">
        <f>IFERROR(IF(AC237="Check Data ⚠","Check Data ⚠",VLOOKUP(AC237,'G-4 Temporal multipliers'!$A$4:$C$37,3,FALSE)),"")</f>
        <v/>
      </c>
      <c r="AE237" s="498" t="str">
        <f>IF(N237="","",VLOOKUP(N237,'G-7 Rivers Data'!$B$4:$G$8,5,FALSE))</f>
        <v/>
      </c>
      <c r="AF237" s="507" t="str">
        <f t="shared" si="29"/>
        <v/>
      </c>
      <c r="AG237" s="540" t="str">
        <f t="shared" si="30"/>
        <v/>
      </c>
      <c r="AH237" s="499" t="str">
        <f t="shared" si="24"/>
        <v/>
      </c>
      <c r="AI237" s="145"/>
      <c r="AJ237" s="499" t="str">
        <f>IF(AI237="","",IF(VLOOKUP(AI237,'G-7 Rivers Data'!$AA$4:$AB$7,2,FALSE)=0,"Spatial Data Missing ⚠",VLOOKUP(AI237,'G-7 Rivers Data'!$AA$4:$AB$7,2,FALSE)))</f>
        <v/>
      </c>
      <c r="AK237" s="155"/>
      <c r="AL237" s="499" t="str">
        <f>IF(AK237="","",IF(VLOOKUP(AK237,'G-7 Rivers Data'!$AD$4:$AE$8,2,FALSE)=0,"Spatial Data Missing ⚠",VLOOKUP(AK237,'G-7 Rivers Data'!$AD$4:$AE$8,2,FALSE)))</f>
        <v/>
      </c>
      <c r="AM237" s="545" t="str">
        <f t="shared" si="31"/>
        <v/>
      </c>
      <c r="AN237" s="149"/>
      <c r="AO237" s="150"/>
      <c r="AV237" s="31" t="str">
        <f>IFERROR(INDEX('G-7 Rivers Data'!$AZ$3:$AZ$7,MATCH(N237,'G-7 Rivers Data'!$AY$3:$AY$7,0)),"")</f>
        <v/>
      </c>
    </row>
    <row r="238" spans="2:48" ht="13.8" x14ac:dyDescent="0.25">
      <c r="B238" s="531" t="str">
        <f>'C-1 Site River Baseline'!AN236</f>
        <v/>
      </c>
      <c r="C238" s="520" t="str">
        <f>IF(B238="","",VLOOKUP($B238,'C-1 Site River Baseline'!$C$9:$R$257,2,FALSE))</f>
        <v/>
      </c>
      <c r="D238" s="520" t="str">
        <f>IF(C238="","",VLOOKUP($B238,'C-1 Site River Baseline'!$C$9:$R$257,3,FALSE))</f>
        <v/>
      </c>
      <c r="E238" s="520" t="str">
        <f>IF(D238="","",VLOOKUP($B238,'C-1 Site River Baseline'!$C$9:$R$257,4,FALSE))</f>
        <v/>
      </c>
      <c r="F238" s="520" t="str">
        <f>IF(E238="","",VLOOKUP($B238,'C-1 Site River Baseline'!$C$9:$R$257,5,FALSE))</f>
        <v/>
      </c>
      <c r="G238" s="520" t="str">
        <f>IF(F238="","",VLOOKUP($B238,'C-1 Site River Baseline'!$C$9:$R$257,6,FALSE))</f>
        <v/>
      </c>
      <c r="H238" s="520" t="str">
        <f>IF(G238="","",VLOOKUP($B238,'C-1 Site River Baseline'!$C$9:$R$257,7,FALSE))</f>
        <v/>
      </c>
      <c r="I238" s="520" t="str">
        <f>IF(H238="","",VLOOKUP($B238,'C-1 Site River Baseline'!$C$9:$R$257,8,FALSE))</f>
        <v/>
      </c>
      <c r="J238" s="520" t="str">
        <f>IF(I238="","",VLOOKUP($B238,'C-1 Site River Baseline'!$C$9:$R$257,9,FALSE))</f>
        <v/>
      </c>
      <c r="K238" s="520" t="str">
        <f>IF(J238="","",VLOOKUP($B238,'C-1 Site River Baseline'!$C$9:$R$257,10,FALSE))</f>
        <v/>
      </c>
      <c r="L238" s="520" t="str">
        <f>IF(B238="","",VLOOKUP($B238,'C-1 Site River Baseline'!$C$9:$R$257,15,FALSE))</f>
        <v/>
      </c>
      <c r="M238" s="524" t="str">
        <f>IF(L238="","",VLOOKUP($B238,'C-1 Site River Baseline'!$C$9:$R$257,16,FALSE))</f>
        <v/>
      </c>
      <c r="N238" s="418"/>
      <c r="O238" s="498" t="str">
        <f t="shared" si="26"/>
        <v/>
      </c>
      <c r="P238" s="499"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7" t="str">
        <f>IF(N238="","",VLOOKUP(B238,'C-1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07" t="str">
        <f>IF(V238="","",IF(VLOOKUP(V238,'G-7 Rivers Data'!$AG$4:$AI$9,2,FALSE)=0,"Spatial Data Missing ⚠",VLOOKUP(V238,'G-7 Rivers Data'!$AG$4:$AI$9,2,FALSE)))</f>
        <v/>
      </c>
      <c r="X238" s="499" t="str">
        <f>IF(V238="","",IF(VLOOKUP(V238,'G-7 Rivers Data'!$AG$4:$AI$9,3,FALSE)=0,"Spatial Data Missing ⚠",VLOOKUP(V238,'G-7 Rivers Data'!$AG$4:$AI$9,3,FALSE)))</f>
        <v/>
      </c>
      <c r="Y238" s="498" t="str">
        <f>IFERROR(IF(OR(LEFT(P238,5)="Error ▲",LEFT(O238,5)="Error ▲"),"Check Data ⚠",IF(F238&lt;S238,'G-7 Rivers Data'!$R$3,INDEX('G-7 Rivers Data'!$U$5:$Y$9,MATCH(G238,'G-7 Rivers Data'!$T$5:$T$9,0),MATCH(T238,'G-7 Rivers Data'!$U$4:$Y$4,0)))),"")</f>
        <v/>
      </c>
      <c r="Z238" s="195"/>
      <c r="AA238" s="195"/>
      <c r="AB238" s="507" t="str">
        <f t="shared" si="27"/>
        <v/>
      </c>
      <c r="AC238" s="521" t="str">
        <f t="shared" si="28"/>
        <v/>
      </c>
      <c r="AD238" s="564" t="str">
        <f>IFERROR(IF(AC238="Check Data ⚠","Check Data ⚠",VLOOKUP(AC238,'G-4 Temporal multipliers'!$A$4:$C$37,3,FALSE)),"")</f>
        <v/>
      </c>
      <c r="AE238" s="498" t="str">
        <f>IF(N238="","",VLOOKUP(N238,'G-7 Rivers Data'!$B$4:$G$8,5,FALSE))</f>
        <v/>
      </c>
      <c r="AF238" s="507" t="str">
        <f t="shared" si="29"/>
        <v/>
      </c>
      <c r="AG238" s="540" t="str">
        <f t="shared" si="30"/>
        <v/>
      </c>
      <c r="AH238" s="499" t="str">
        <f t="shared" si="24"/>
        <v/>
      </c>
      <c r="AI238" s="145"/>
      <c r="AJ238" s="499" t="str">
        <f>IF(AI238="","",IF(VLOOKUP(AI238,'G-7 Rivers Data'!$AA$4:$AB$7,2,FALSE)=0,"Spatial Data Missing ⚠",VLOOKUP(AI238,'G-7 Rivers Data'!$AA$4:$AB$7,2,FALSE)))</f>
        <v/>
      </c>
      <c r="AK238" s="155"/>
      <c r="AL238" s="499" t="str">
        <f>IF(AK238="","",IF(VLOOKUP(AK238,'G-7 Rivers Data'!$AD$4:$AE$8,2,FALSE)=0,"Spatial Data Missing ⚠",VLOOKUP(AK238,'G-7 Rivers Data'!$AD$4:$AE$8,2,FALSE)))</f>
        <v/>
      </c>
      <c r="AM238" s="545" t="str">
        <f t="shared" si="31"/>
        <v/>
      </c>
      <c r="AN238" s="149"/>
      <c r="AO238" s="150"/>
      <c r="AV238" s="31" t="str">
        <f>IFERROR(INDEX('G-7 Rivers Data'!$AZ$3:$AZ$7,MATCH(N238,'G-7 Rivers Data'!$AY$3:$AY$7,0)),"")</f>
        <v/>
      </c>
    </row>
    <row r="239" spans="2:48" ht="13.8" x14ac:dyDescent="0.25">
      <c r="B239" s="531" t="str">
        <f>'C-1 Site River Baseline'!AN237</f>
        <v/>
      </c>
      <c r="C239" s="520" t="str">
        <f>IF(B239="","",VLOOKUP($B239,'C-1 Site River Baseline'!$C$9:$R$257,2,FALSE))</f>
        <v/>
      </c>
      <c r="D239" s="520" t="str">
        <f>IF(C239="","",VLOOKUP($B239,'C-1 Site River Baseline'!$C$9:$R$257,3,FALSE))</f>
        <v/>
      </c>
      <c r="E239" s="520" t="str">
        <f>IF(D239="","",VLOOKUP($B239,'C-1 Site River Baseline'!$C$9:$R$257,4,FALSE))</f>
        <v/>
      </c>
      <c r="F239" s="520" t="str">
        <f>IF(E239="","",VLOOKUP($B239,'C-1 Site River Baseline'!$C$9:$R$257,5,FALSE))</f>
        <v/>
      </c>
      <c r="G239" s="520" t="str">
        <f>IF(F239="","",VLOOKUP($B239,'C-1 Site River Baseline'!$C$9:$R$257,6,FALSE))</f>
        <v/>
      </c>
      <c r="H239" s="520" t="str">
        <f>IF(G239="","",VLOOKUP($B239,'C-1 Site River Baseline'!$C$9:$R$257,7,FALSE))</f>
        <v/>
      </c>
      <c r="I239" s="520" t="str">
        <f>IF(H239="","",VLOOKUP($B239,'C-1 Site River Baseline'!$C$9:$R$257,8,FALSE))</f>
        <v/>
      </c>
      <c r="J239" s="520" t="str">
        <f>IF(I239="","",VLOOKUP($B239,'C-1 Site River Baseline'!$C$9:$R$257,9,FALSE))</f>
        <v/>
      </c>
      <c r="K239" s="520" t="str">
        <f>IF(J239="","",VLOOKUP($B239,'C-1 Site River Baseline'!$C$9:$R$257,10,FALSE))</f>
        <v/>
      </c>
      <c r="L239" s="520" t="str">
        <f>IF(B239="","",VLOOKUP($B239,'C-1 Site River Baseline'!$C$9:$R$257,15,FALSE))</f>
        <v/>
      </c>
      <c r="M239" s="524" t="str">
        <f>IF(L239="","",VLOOKUP($B239,'C-1 Site River Baseline'!$C$9:$R$257,16,FALSE))</f>
        <v/>
      </c>
      <c r="N239" s="418" t="str">
        <f t="shared" si="25"/>
        <v/>
      </c>
      <c r="O239" s="498" t="str">
        <f t="shared" si="26"/>
        <v/>
      </c>
      <c r="P239" s="499"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7" t="str">
        <f>IF(N239="","",VLOOKUP(B239,'C-1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07" t="str">
        <f>IF(V239="","",IF(VLOOKUP(V239,'G-7 Rivers Data'!$AG$4:$AI$9,2,FALSE)=0,"Spatial Data Missing ⚠",VLOOKUP(V239,'G-7 Rivers Data'!$AG$4:$AI$9,2,FALSE)))</f>
        <v/>
      </c>
      <c r="X239" s="499" t="str">
        <f>IF(V239="","",IF(VLOOKUP(V239,'G-7 Rivers Data'!$AG$4:$AI$9,3,FALSE)=0,"Spatial Data Missing ⚠",VLOOKUP(V239,'G-7 Rivers Data'!$AG$4:$AI$9,3,FALSE)))</f>
        <v/>
      </c>
      <c r="Y239" s="498" t="str">
        <f>IFERROR(IF(OR(LEFT(P239,5)="Error ▲",LEFT(O239,5)="Error ▲"),"Check Data ⚠",IF(F239&lt;S239,'G-7 Rivers Data'!$R$3,INDEX('G-7 Rivers Data'!$U$5:$Y$9,MATCH(G239,'G-7 Rivers Data'!$T$5:$T$9,0),MATCH(T239,'G-7 Rivers Data'!$U$4:$Y$4,0)))),"")</f>
        <v/>
      </c>
      <c r="Z239" s="195"/>
      <c r="AA239" s="195"/>
      <c r="AB239" s="507" t="str">
        <f t="shared" si="27"/>
        <v/>
      </c>
      <c r="AC239" s="521" t="str">
        <f t="shared" si="28"/>
        <v/>
      </c>
      <c r="AD239" s="564" t="str">
        <f>IFERROR(IF(AC239="Check Data ⚠","Check Data ⚠",VLOOKUP(AC239,'G-4 Temporal multipliers'!$A$4:$C$37,3,FALSE)),"")</f>
        <v/>
      </c>
      <c r="AE239" s="498" t="str">
        <f>IF(N239="","",VLOOKUP(N239,'G-7 Rivers Data'!$B$4:$G$8,5,FALSE))</f>
        <v/>
      </c>
      <c r="AF239" s="507" t="str">
        <f t="shared" si="29"/>
        <v/>
      </c>
      <c r="AG239" s="540" t="str">
        <f t="shared" si="30"/>
        <v/>
      </c>
      <c r="AH239" s="499" t="str">
        <f t="shared" si="24"/>
        <v/>
      </c>
      <c r="AI239" s="145"/>
      <c r="AJ239" s="499" t="str">
        <f>IF(AI239="","",IF(VLOOKUP(AI239,'G-7 Rivers Data'!$AA$4:$AB$7,2,FALSE)=0,"Spatial Data Missing ⚠",VLOOKUP(AI239,'G-7 Rivers Data'!$AA$4:$AB$7,2,FALSE)))</f>
        <v/>
      </c>
      <c r="AK239" s="155"/>
      <c r="AL239" s="499" t="str">
        <f>IF(AK239="","",IF(VLOOKUP(AK239,'G-7 Rivers Data'!$AD$4:$AE$8,2,FALSE)=0,"Spatial Data Missing ⚠",VLOOKUP(AK239,'G-7 Rivers Data'!$AD$4:$AE$8,2,FALSE)))</f>
        <v/>
      </c>
      <c r="AM239" s="545" t="str">
        <f t="shared" si="31"/>
        <v/>
      </c>
      <c r="AN239" s="149"/>
      <c r="AO239" s="150"/>
      <c r="AV239" s="31" t="str">
        <f>IFERROR(INDEX('G-7 Rivers Data'!$AZ$3:$AZ$7,MATCH(N239,'G-7 Rivers Data'!$AY$3:$AY$7,0)),"")</f>
        <v/>
      </c>
    </row>
    <row r="240" spans="2:48" ht="13.8" x14ac:dyDescent="0.25">
      <c r="B240" s="531" t="str">
        <f>'C-1 Site River Baseline'!AN238</f>
        <v/>
      </c>
      <c r="C240" s="520" t="str">
        <f>IF(B240="","",VLOOKUP($B240,'C-1 Site River Baseline'!$C$9:$R$257,2,FALSE))</f>
        <v/>
      </c>
      <c r="D240" s="520" t="str">
        <f>IF(C240="","",VLOOKUP($B240,'C-1 Site River Baseline'!$C$9:$R$257,3,FALSE))</f>
        <v/>
      </c>
      <c r="E240" s="520" t="str">
        <f>IF(D240="","",VLOOKUP($B240,'C-1 Site River Baseline'!$C$9:$R$257,4,FALSE))</f>
        <v/>
      </c>
      <c r="F240" s="520" t="str">
        <f>IF(E240="","",VLOOKUP($B240,'C-1 Site River Baseline'!$C$9:$R$257,5,FALSE))</f>
        <v/>
      </c>
      <c r="G240" s="520" t="str">
        <f>IF(F240="","",VLOOKUP($B240,'C-1 Site River Baseline'!$C$9:$R$257,6,FALSE))</f>
        <v/>
      </c>
      <c r="H240" s="520" t="str">
        <f>IF(G240="","",VLOOKUP($B240,'C-1 Site River Baseline'!$C$9:$R$257,7,FALSE))</f>
        <v/>
      </c>
      <c r="I240" s="520" t="str">
        <f>IF(H240="","",VLOOKUP($B240,'C-1 Site River Baseline'!$C$9:$R$257,8,FALSE))</f>
        <v/>
      </c>
      <c r="J240" s="520" t="str">
        <f>IF(I240="","",VLOOKUP($B240,'C-1 Site River Baseline'!$C$9:$R$257,9,FALSE))</f>
        <v/>
      </c>
      <c r="K240" s="520" t="str">
        <f>IF(J240="","",VLOOKUP($B240,'C-1 Site River Baseline'!$C$9:$R$257,10,FALSE))</f>
        <v/>
      </c>
      <c r="L240" s="520" t="str">
        <f>IF(B240="","",VLOOKUP($B240,'C-1 Site River Baseline'!$C$9:$R$257,15,FALSE))</f>
        <v/>
      </c>
      <c r="M240" s="524" t="str">
        <f>IF(L240="","",VLOOKUP($B240,'C-1 Site River Baseline'!$C$9:$R$257,16,FALSE))</f>
        <v/>
      </c>
      <c r="N240" s="418" t="str">
        <f t="shared" si="25"/>
        <v/>
      </c>
      <c r="O240" s="498" t="str">
        <f t="shared" si="26"/>
        <v/>
      </c>
      <c r="P240" s="499"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7" t="str">
        <f>IF(N240="","",VLOOKUP(B240,'C-1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07" t="str">
        <f>IF(V240="","",IF(VLOOKUP(V240,'G-7 Rivers Data'!$AG$4:$AI$9,2,FALSE)=0,"Spatial Data Missing ⚠",VLOOKUP(V240,'G-7 Rivers Data'!$AG$4:$AI$9,2,FALSE)))</f>
        <v/>
      </c>
      <c r="X240" s="499" t="str">
        <f>IF(V240="","",IF(VLOOKUP(V240,'G-7 Rivers Data'!$AG$4:$AI$9,3,FALSE)=0,"Spatial Data Missing ⚠",VLOOKUP(V240,'G-7 Rivers Data'!$AG$4:$AI$9,3,FALSE)))</f>
        <v/>
      </c>
      <c r="Y240" s="498" t="str">
        <f>IFERROR(IF(OR(LEFT(P240,5)="Error ▲",LEFT(O240,5)="Error ▲"),"Check Data ⚠",IF(F240&lt;S240,'G-7 Rivers Data'!$R$3,INDEX('G-7 Rivers Data'!$U$5:$Y$9,MATCH(G240,'G-7 Rivers Data'!$T$5:$T$9,0),MATCH(T240,'G-7 Rivers Data'!$U$4:$Y$4,0)))),"")</f>
        <v/>
      </c>
      <c r="Z240" s="195"/>
      <c r="AA240" s="195"/>
      <c r="AB240" s="507" t="str">
        <f t="shared" si="27"/>
        <v/>
      </c>
      <c r="AC240" s="521" t="str">
        <f t="shared" si="28"/>
        <v/>
      </c>
      <c r="AD240" s="564" t="str">
        <f>IFERROR(IF(AC240="Check Data ⚠","Check Data ⚠",VLOOKUP(AC240,'G-4 Temporal multipliers'!$A$4:$C$37,3,FALSE)),"")</f>
        <v/>
      </c>
      <c r="AE240" s="498" t="str">
        <f>IF(N240="","",VLOOKUP(N240,'G-7 Rivers Data'!$B$4:$G$8,5,FALSE))</f>
        <v/>
      </c>
      <c r="AF240" s="507" t="str">
        <f t="shared" si="29"/>
        <v/>
      </c>
      <c r="AG240" s="540" t="str">
        <f t="shared" si="30"/>
        <v/>
      </c>
      <c r="AH240" s="499" t="str">
        <f t="shared" si="24"/>
        <v/>
      </c>
      <c r="AI240" s="145"/>
      <c r="AJ240" s="499" t="str">
        <f>IF(AI240="","",IF(VLOOKUP(AI240,'G-7 Rivers Data'!$AA$4:$AB$7,2,FALSE)=0,"Spatial Data Missing ⚠",VLOOKUP(AI240,'G-7 Rivers Data'!$AA$4:$AB$7,2,FALSE)))</f>
        <v/>
      </c>
      <c r="AK240" s="155"/>
      <c r="AL240" s="499" t="str">
        <f>IF(AK240="","",IF(VLOOKUP(AK240,'G-7 Rivers Data'!$AD$4:$AE$8,2,FALSE)=0,"Spatial Data Missing ⚠",VLOOKUP(AK240,'G-7 Rivers Data'!$AD$4:$AE$8,2,FALSE)))</f>
        <v/>
      </c>
      <c r="AM240" s="545" t="str">
        <f t="shared" si="31"/>
        <v/>
      </c>
      <c r="AN240" s="149"/>
      <c r="AO240" s="150"/>
      <c r="AV240" s="31" t="str">
        <f>IFERROR(INDEX('G-7 Rivers Data'!$AZ$3:$AZ$7,MATCH(N240,'G-7 Rivers Data'!$AY$3:$AY$7,0)),"")</f>
        <v/>
      </c>
    </row>
    <row r="241" spans="2:48" ht="13.8" x14ac:dyDescent="0.25">
      <c r="B241" s="531" t="str">
        <f>'C-1 Site River Baseline'!AN239</f>
        <v/>
      </c>
      <c r="C241" s="520" t="str">
        <f>IF(B241="","",VLOOKUP($B241,'C-1 Site River Baseline'!$C$9:$R$257,2,FALSE))</f>
        <v/>
      </c>
      <c r="D241" s="520" t="str">
        <f>IF(C241="","",VLOOKUP($B241,'C-1 Site River Baseline'!$C$9:$R$257,3,FALSE))</f>
        <v/>
      </c>
      <c r="E241" s="520" t="str">
        <f>IF(D241="","",VLOOKUP($B241,'C-1 Site River Baseline'!$C$9:$R$257,4,FALSE))</f>
        <v/>
      </c>
      <c r="F241" s="520" t="str">
        <f>IF(E241="","",VLOOKUP($B241,'C-1 Site River Baseline'!$C$9:$R$257,5,FALSE))</f>
        <v/>
      </c>
      <c r="G241" s="520" t="str">
        <f>IF(F241="","",VLOOKUP($B241,'C-1 Site River Baseline'!$C$9:$R$257,6,FALSE))</f>
        <v/>
      </c>
      <c r="H241" s="520" t="str">
        <f>IF(G241="","",VLOOKUP($B241,'C-1 Site River Baseline'!$C$9:$R$257,7,FALSE))</f>
        <v/>
      </c>
      <c r="I241" s="520" t="str">
        <f>IF(H241="","",VLOOKUP($B241,'C-1 Site River Baseline'!$C$9:$R$257,8,FALSE))</f>
        <v/>
      </c>
      <c r="J241" s="520" t="str">
        <f>IF(I241="","",VLOOKUP($B241,'C-1 Site River Baseline'!$C$9:$R$257,9,FALSE))</f>
        <v/>
      </c>
      <c r="K241" s="520" t="str">
        <f>IF(J241="","",VLOOKUP($B241,'C-1 Site River Baseline'!$C$9:$R$257,10,FALSE))</f>
        <v/>
      </c>
      <c r="L241" s="520" t="str">
        <f>IF(B241="","",VLOOKUP($B241,'C-1 Site River Baseline'!$C$9:$R$257,15,FALSE))</f>
        <v/>
      </c>
      <c r="M241" s="524" t="str">
        <f>IF(L241="","",VLOOKUP($B241,'C-1 Site River Baseline'!$C$9:$R$257,16,FALSE))</f>
        <v/>
      </c>
      <c r="N241" s="418" t="str">
        <f t="shared" si="25"/>
        <v/>
      </c>
      <c r="O241" s="498" t="str">
        <f t="shared" si="26"/>
        <v/>
      </c>
      <c r="P241" s="499"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7" t="str">
        <f>IF(N241="","",VLOOKUP(B241,'C-1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07" t="str">
        <f>IF(V241="","",IF(VLOOKUP(V241,'G-7 Rivers Data'!$AG$4:$AI$9,2,FALSE)=0,"Spatial Data Missing ⚠",VLOOKUP(V241,'G-7 Rivers Data'!$AG$4:$AI$9,2,FALSE)))</f>
        <v/>
      </c>
      <c r="X241" s="499" t="str">
        <f>IF(V241="","",IF(VLOOKUP(V241,'G-7 Rivers Data'!$AG$4:$AI$9,3,FALSE)=0,"Spatial Data Missing ⚠",VLOOKUP(V241,'G-7 Rivers Data'!$AG$4:$AI$9,3,FALSE)))</f>
        <v/>
      </c>
      <c r="Y241" s="498" t="str">
        <f>IFERROR(IF(OR(LEFT(P241,5)="Error ▲",LEFT(O241,5)="Error ▲"),"Check Data ⚠",IF(F241&lt;S241,'G-7 Rivers Data'!$R$3,INDEX('G-7 Rivers Data'!$U$5:$Y$9,MATCH(G241,'G-7 Rivers Data'!$T$5:$T$9,0),MATCH(T241,'G-7 Rivers Data'!$U$4:$Y$4,0)))),"")</f>
        <v/>
      </c>
      <c r="Z241" s="195"/>
      <c r="AA241" s="195"/>
      <c r="AB241" s="507" t="str">
        <f t="shared" si="27"/>
        <v/>
      </c>
      <c r="AC241" s="521" t="str">
        <f t="shared" si="28"/>
        <v/>
      </c>
      <c r="AD241" s="564" t="str">
        <f>IFERROR(IF(AC241="Check Data ⚠","Check Data ⚠",VLOOKUP(AC241,'G-4 Temporal multipliers'!$A$4:$C$37,3,FALSE)),"")</f>
        <v/>
      </c>
      <c r="AE241" s="498" t="str">
        <f>IF(N241="","",VLOOKUP(N241,'G-7 Rivers Data'!$B$4:$G$8,5,FALSE))</f>
        <v/>
      </c>
      <c r="AF241" s="507" t="str">
        <f t="shared" si="29"/>
        <v/>
      </c>
      <c r="AG241" s="540" t="str">
        <f t="shared" si="30"/>
        <v/>
      </c>
      <c r="AH241" s="499" t="str">
        <f t="shared" si="24"/>
        <v/>
      </c>
      <c r="AI241" s="145"/>
      <c r="AJ241" s="499" t="str">
        <f>IF(AI241="","",IF(VLOOKUP(AI241,'G-7 Rivers Data'!$AA$4:$AB$7,2,FALSE)=0,"Spatial Data Missing ⚠",VLOOKUP(AI241,'G-7 Rivers Data'!$AA$4:$AB$7,2,FALSE)))</f>
        <v/>
      </c>
      <c r="AK241" s="155"/>
      <c r="AL241" s="499" t="str">
        <f>IF(AK241="","",IF(VLOOKUP(AK241,'G-7 Rivers Data'!$AD$4:$AE$8,2,FALSE)=0,"Spatial Data Missing ⚠",VLOOKUP(AK241,'G-7 Rivers Data'!$AD$4:$AE$8,2,FALSE)))</f>
        <v/>
      </c>
      <c r="AM241" s="545" t="str">
        <f t="shared" si="31"/>
        <v/>
      </c>
      <c r="AN241" s="149"/>
      <c r="AO241" s="150"/>
      <c r="AV241" s="31" t="str">
        <f>IFERROR(INDEX('G-7 Rivers Data'!$AZ$3:$AZ$7,MATCH(N241,'G-7 Rivers Data'!$AY$3:$AY$7,0)),"")</f>
        <v/>
      </c>
    </row>
    <row r="242" spans="2:48" ht="13.8" x14ac:dyDescent="0.25">
      <c r="B242" s="531" t="str">
        <f>'C-1 Site River Baseline'!AN240</f>
        <v/>
      </c>
      <c r="C242" s="520" t="str">
        <f>IF(B242="","",VLOOKUP($B242,'C-1 Site River Baseline'!$C$9:$R$257,2,FALSE))</f>
        <v/>
      </c>
      <c r="D242" s="520" t="str">
        <f>IF(C242="","",VLOOKUP($B242,'C-1 Site River Baseline'!$C$9:$R$257,3,FALSE))</f>
        <v/>
      </c>
      <c r="E242" s="520" t="str">
        <f>IF(D242="","",VLOOKUP($B242,'C-1 Site River Baseline'!$C$9:$R$257,4,FALSE))</f>
        <v/>
      </c>
      <c r="F242" s="520" t="str">
        <f>IF(E242="","",VLOOKUP($B242,'C-1 Site River Baseline'!$C$9:$R$257,5,FALSE))</f>
        <v/>
      </c>
      <c r="G242" s="520" t="str">
        <f>IF(F242="","",VLOOKUP($B242,'C-1 Site River Baseline'!$C$9:$R$257,6,FALSE))</f>
        <v/>
      </c>
      <c r="H242" s="520" t="str">
        <f>IF(G242="","",VLOOKUP($B242,'C-1 Site River Baseline'!$C$9:$R$257,7,FALSE))</f>
        <v/>
      </c>
      <c r="I242" s="520" t="str">
        <f>IF(H242="","",VLOOKUP($B242,'C-1 Site River Baseline'!$C$9:$R$257,8,FALSE))</f>
        <v/>
      </c>
      <c r="J242" s="520" t="str">
        <f>IF(I242="","",VLOOKUP($B242,'C-1 Site River Baseline'!$C$9:$R$257,9,FALSE))</f>
        <v/>
      </c>
      <c r="K242" s="520" t="str">
        <f>IF(J242="","",VLOOKUP($B242,'C-1 Site River Baseline'!$C$9:$R$257,10,FALSE))</f>
        <v/>
      </c>
      <c r="L242" s="520" t="str">
        <f>IF(B242="","",VLOOKUP($B242,'C-1 Site River Baseline'!$C$9:$R$257,15,FALSE))</f>
        <v/>
      </c>
      <c r="M242" s="524" t="str">
        <f>IF(L242="","",VLOOKUP($B242,'C-1 Site River Baseline'!$C$9:$R$257,16,FALSE))</f>
        <v/>
      </c>
      <c r="N242" s="418" t="str">
        <f t="shared" si="25"/>
        <v/>
      </c>
      <c r="O242" s="498" t="str">
        <f t="shared" si="26"/>
        <v/>
      </c>
      <c r="P242" s="499"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7" t="str">
        <f>IF(N242="","",VLOOKUP(B242,'C-1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07" t="str">
        <f>IF(V242="","",IF(VLOOKUP(V242,'G-7 Rivers Data'!$AG$4:$AI$9,2,FALSE)=0,"Spatial Data Missing ⚠",VLOOKUP(V242,'G-7 Rivers Data'!$AG$4:$AI$9,2,FALSE)))</f>
        <v/>
      </c>
      <c r="X242" s="499" t="str">
        <f>IF(V242="","",IF(VLOOKUP(V242,'G-7 Rivers Data'!$AG$4:$AI$9,3,FALSE)=0,"Spatial Data Missing ⚠",VLOOKUP(V242,'G-7 Rivers Data'!$AG$4:$AI$9,3,FALSE)))</f>
        <v/>
      </c>
      <c r="Y242" s="498" t="str">
        <f>IFERROR(IF(OR(LEFT(P242,5)="Error ▲",LEFT(O242,5)="Error ▲"),"Check Data ⚠",IF(F242&lt;S242,'G-7 Rivers Data'!$R$3,INDEX('G-7 Rivers Data'!$U$5:$Y$9,MATCH(G242,'G-7 Rivers Data'!$T$5:$T$9,0),MATCH(T242,'G-7 Rivers Data'!$U$4:$Y$4,0)))),"")</f>
        <v/>
      </c>
      <c r="Z242" s="195"/>
      <c r="AA242" s="195"/>
      <c r="AB242" s="507" t="str">
        <f t="shared" si="27"/>
        <v/>
      </c>
      <c r="AC242" s="521" t="str">
        <f t="shared" si="28"/>
        <v/>
      </c>
      <c r="AD242" s="564" t="str">
        <f>IFERROR(IF(AC242="Check Data ⚠","Check Data ⚠",VLOOKUP(AC242,'G-4 Temporal multipliers'!$A$4:$C$37,3,FALSE)),"")</f>
        <v/>
      </c>
      <c r="AE242" s="498" t="str">
        <f>IF(N242="","",VLOOKUP(N242,'G-7 Rivers Data'!$B$4:$G$8,5,FALSE))</f>
        <v/>
      </c>
      <c r="AF242" s="507" t="str">
        <f t="shared" si="29"/>
        <v/>
      </c>
      <c r="AG242" s="540" t="str">
        <f t="shared" si="30"/>
        <v/>
      </c>
      <c r="AH242" s="499" t="str">
        <f t="shared" si="24"/>
        <v/>
      </c>
      <c r="AI242" s="145"/>
      <c r="AJ242" s="499" t="str">
        <f>IF(AI242="","",IF(VLOOKUP(AI242,'G-7 Rivers Data'!$AA$4:$AB$7,2,FALSE)=0,"Spatial Data Missing ⚠",VLOOKUP(AI242,'G-7 Rivers Data'!$AA$4:$AB$7,2,FALSE)))</f>
        <v/>
      </c>
      <c r="AK242" s="155"/>
      <c r="AL242" s="499" t="str">
        <f>IF(AK242="","",IF(VLOOKUP(AK242,'G-7 Rivers Data'!$AD$4:$AE$8,2,FALSE)=0,"Spatial Data Missing ⚠",VLOOKUP(AK242,'G-7 Rivers Data'!$AD$4:$AE$8,2,FALSE)))</f>
        <v/>
      </c>
      <c r="AM242" s="545" t="str">
        <f t="shared" si="31"/>
        <v/>
      </c>
      <c r="AN242" s="149"/>
      <c r="AO242" s="150"/>
      <c r="AV242" s="31" t="str">
        <f>IFERROR(INDEX('G-7 Rivers Data'!$AZ$3:$AZ$7,MATCH(N242,'G-7 Rivers Data'!$AY$3:$AY$7,0)),"")</f>
        <v/>
      </c>
    </row>
    <row r="243" spans="2:48" ht="13.8" x14ac:dyDescent="0.25">
      <c r="B243" s="531" t="str">
        <f>'C-1 Site River Baseline'!AN241</f>
        <v/>
      </c>
      <c r="C243" s="520" t="str">
        <f>IF(B243="","",VLOOKUP($B243,'C-1 Site River Baseline'!$C$9:$R$257,2,FALSE))</f>
        <v/>
      </c>
      <c r="D243" s="520" t="str">
        <f>IF(C243="","",VLOOKUP($B243,'C-1 Site River Baseline'!$C$9:$R$257,3,FALSE))</f>
        <v/>
      </c>
      <c r="E243" s="520" t="str">
        <f>IF(D243="","",VLOOKUP($B243,'C-1 Site River Baseline'!$C$9:$R$257,4,FALSE))</f>
        <v/>
      </c>
      <c r="F243" s="520" t="str">
        <f>IF(E243="","",VLOOKUP($B243,'C-1 Site River Baseline'!$C$9:$R$257,5,FALSE))</f>
        <v/>
      </c>
      <c r="G243" s="520" t="str">
        <f>IF(F243="","",VLOOKUP($B243,'C-1 Site River Baseline'!$C$9:$R$257,6,FALSE))</f>
        <v/>
      </c>
      <c r="H243" s="520" t="str">
        <f>IF(G243="","",VLOOKUP($B243,'C-1 Site River Baseline'!$C$9:$R$257,7,FALSE))</f>
        <v/>
      </c>
      <c r="I243" s="520" t="str">
        <f>IF(H243="","",VLOOKUP($B243,'C-1 Site River Baseline'!$C$9:$R$257,8,FALSE))</f>
        <v/>
      </c>
      <c r="J243" s="520" t="str">
        <f>IF(I243="","",VLOOKUP($B243,'C-1 Site River Baseline'!$C$9:$R$257,9,FALSE))</f>
        <v/>
      </c>
      <c r="K243" s="520" t="str">
        <f>IF(J243="","",VLOOKUP($B243,'C-1 Site River Baseline'!$C$9:$R$257,10,FALSE))</f>
        <v/>
      </c>
      <c r="L243" s="520" t="str">
        <f>IF(B243="","",VLOOKUP($B243,'C-1 Site River Baseline'!$C$9:$R$257,15,FALSE))</f>
        <v/>
      </c>
      <c r="M243" s="524" t="str">
        <f>IF(L243="","",VLOOKUP($B243,'C-1 Site River Baseline'!$C$9:$R$257,16,FALSE))</f>
        <v/>
      </c>
      <c r="N243" s="418" t="str">
        <f t="shared" si="25"/>
        <v/>
      </c>
      <c r="O243" s="498" t="str">
        <f t="shared" si="26"/>
        <v/>
      </c>
      <c r="P243" s="499"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7" t="str">
        <f>IF(N243="","",VLOOKUP(B243,'C-1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07" t="str">
        <f>IF(V243="","",IF(VLOOKUP(V243,'G-7 Rivers Data'!$AG$4:$AI$9,2,FALSE)=0,"Spatial Data Missing ⚠",VLOOKUP(V243,'G-7 Rivers Data'!$AG$4:$AI$9,2,FALSE)))</f>
        <v/>
      </c>
      <c r="X243" s="499" t="str">
        <f>IF(V243="","",IF(VLOOKUP(V243,'G-7 Rivers Data'!$AG$4:$AI$9,3,FALSE)=0,"Spatial Data Missing ⚠",VLOOKUP(V243,'G-7 Rivers Data'!$AG$4:$AI$9,3,FALSE)))</f>
        <v/>
      </c>
      <c r="Y243" s="498" t="str">
        <f>IFERROR(IF(OR(LEFT(P243,5)="Error ▲",LEFT(O243,5)="Error ▲"),"Check Data ⚠",IF(F243&lt;S243,'G-7 Rivers Data'!$R$3,INDEX('G-7 Rivers Data'!$U$5:$Y$9,MATCH(G243,'G-7 Rivers Data'!$T$5:$T$9,0),MATCH(T243,'G-7 Rivers Data'!$U$4:$Y$4,0)))),"")</f>
        <v/>
      </c>
      <c r="Z243" s="195"/>
      <c r="AA243" s="195"/>
      <c r="AB243" s="507" t="str">
        <f t="shared" si="27"/>
        <v/>
      </c>
      <c r="AC243" s="521" t="str">
        <f t="shared" si="28"/>
        <v/>
      </c>
      <c r="AD243" s="564" t="str">
        <f>IFERROR(IF(AC243="Check Data ⚠","Check Data ⚠",VLOOKUP(AC243,'G-4 Temporal multipliers'!$A$4:$C$37,3,FALSE)),"")</f>
        <v/>
      </c>
      <c r="AE243" s="498" t="str">
        <f>IF(N243="","",VLOOKUP(N243,'G-7 Rivers Data'!$B$4:$G$8,5,FALSE))</f>
        <v/>
      </c>
      <c r="AF243" s="507" t="str">
        <f t="shared" si="29"/>
        <v/>
      </c>
      <c r="AG243" s="540" t="str">
        <f t="shared" si="30"/>
        <v/>
      </c>
      <c r="AH243" s="499" t="str">
        <f t="shared" si="24"/>
        <v/>
      </c>
      <c r="AI243" s="145"/>
      <c r="AJ243" s="499" t="str">
        <f>IF(AI243="","",IF(VLOOKUP(AI243,'G-7 Rivers Data'!$AA$4:$AB$7,2,FALSE)=0,"Spatial Data Missing ⚠",VLOOKUP(AI243,'G-7 Rivers Data'!$AA$4:$AB$7,2,FALSE)))</f>
        <v/>
      </c>
      <c r="AK243" s="155"/>
      <c r="AL243" s="499" t="str">
        <f>IF(AK243="","",IF(VLOOKUP(AK243,'G-7 Rivers Data'!$AD$4:$AE$8,2,FALSE)=0,"Spatial Data Missing ⚠",VLOOKUP(AK243,'G-7 Rivers Data'!$AD$4:$AE$8,2,FALSE)))</f>
        <v/>
      </c>
      <c r="AM243" s="545" t="str">
        <f t="shared" si="31"/>
        <v/>
      </c>
      <c r="AN243" s="149"/>
      <c r="AO243" s="150"/>
      <c r="AV243" s="31" t="str">
        <f>IFERROR(INDEX('G-7 Rivers Data'!$AZ$3:$AZ$7,MATCH(N243,'G-7 Rivers Data'!$AY$3:$AY$7,0)),"")</f>
        <v/>
      </c>
    </row>
    <row r="244" spans="2:48" ht="13.8" x14ac:dyDescent="0.25">
      <c r="B244" s="531" t="str">
        <f>'C-1 Site River Baseline'!AN242</f>
        <v/>
      </c>
      <c r="C244" s="520" t="str">
        <f>IF(B244="","",VLOOKUP($B244,'C-1 Site River Baseline'!$C$9:$R$257,2,FALSE))</f>
        <v/>
      </c>
      <c r="D244" s="520" t="str">
        <f>IF(C244="","",VLOOKUP($B244,'C-1 Site River Baseline'!$C$9:$R$257,3,FALSE))</f>
        <v/>
      </c>
      <c r="E244" s="520" t="str">
        <f>IF(D244="","",VLOOKUP($B244,'C-1 Site River Baseline'!$C$9:$R$257,4,FALSE))</f>
        <v/>
      </c>
      <c r="F244" s="520" t="str">
        <f>IF(E244="","",VLOOKUP($B244,'C-1 Site River Baseline'!$C$9:$R$257,5,FALSE))</f>
        <v/>
      </c>
      <c r="G244" s="520" t="str">
        <f>IF(F244="","",VLOOKUP($B244,'C-1 Site River Baseline'!$C$9:$R$257,6,FALSE))</f>
        <v/>
      </c>
      <c r="H244" s="520" t="str">
        <f>IF(G244="","",VLOOKUP($B244,'C-1 Site River Baseline'!$C$9:$R$257,7,FALSE))</f>
        <v/>
      </c>
      <c r="I244" s="520" t="str">
        <f>IF(H244="","",VLOOKUP($B244,'C-1 Site River Baseline'!$C$9:$R$257,8,FALSE))</f>
        <v/>
      </c>
      <c r="J244" s="520" t="str">
        <f>IF(I244="","",VLOOKUP($B244,'C-1 Site River Baseline'!$C$9:$R$257,9,FALSE))</f>
        <v/>
      </c>
      <c r="K244" s="520" t="str">
        <f>IF(J244="","",VLOOKUP($B244,'C-1 Site River Baseline'!$C$9:$R$257,10,FALSE))</f>
        <v/>
      </c>
      <c r="L244" s="520" t="str">
        <f>IF(B244="","",VLOOKUP($B244,'C-1 Site River Baseline'!$C$9:$R$257,15,FALSE))</f>
        <v/>
      </c>
      <c r="M244" s="524" t="str">
        <f>IF(L244="","",VLOOKUP($B244,'C-1 Site River Baseline'!$C$9:$R$257,16,FALSE))</f>
        <v/>
      </c>
      <c r="N244" s="418" t="str">
        <f t="shared" si="25"/>
        <v/>
      </c>
      <c r="O244" s="498" t="str">
        <f t="shared" si="26"/>
        <v/>
      </c>
      <c r="P244" s="499"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7" t="str">
        <f>IF(N244="","",VLOOKUP(B244,'C-1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07" t="str">
        <f>IF(V244="","",IF(VLOOKUP(V244,'G-7 Rivers Data'!$AG$4:$AI$9,2,FALSE)=0,"Spatial Data Missing ⚠",VLOOKUP(V244,'G-7 Rivers Data'!$AG$4:$AI$9,2,FALSE)))</f>
        <v/>
      </c>
      <c r="X244" s="499" t="str">
        <f>IF(V244="","",IF(VLOOKUP(V244,'G-7 Rivers Data'!$AG$4:$AI$9,3,FALSE)=0,"Spatial Data Missing ⚠",VLOOKUP(V244,'G-7 Rivers Data'!$AG$4:$AI$9,3,FALSE)))</f>
        <v/>
      </c>
      <c r="Y244" s="498" t="str">
        <f>IFERROR(IF(OR(LEFT(P244,5)="Error ▲",LEFT(O244,5)="Error ▲"),"Check Data ⚠",IF(F244&lt;S244,'G-7 Rivers Data'!$R$3,INDEX('G-7 Rivers Data'!$U$5:$Y$9,MATCH(G244,'G-7 Rivers Data'!$T$5:$T$9,0),MATCH(T244,'G-7 Rivers Data'!$U$4:$Y$4,0)))),"")</f>
        <v/>
      </c>
      <c r="Z244" s="195"/>
      <c r="AA244" s="195"/>
      <c r="AB244" s="507" t="str">
        <f t="shared" si="27"/>
        <v/>
      </c>
      <c r="AC244" s="521" t="str">
        <f t="shared" si="28"/>
        <v/>
      </c>
      <c r="AD244" s="564" t="str">
        <f>IFERROR(IF(AC244="Check Data ⚠","Check Data ⚠",VLOOKUP(AC244,'G-4 Temporal multipliers'!$A$4:$C$37,3,FALSE)),"")</f>
        <v/>
      </c>
      <c r="AE244" s="498" t="str">
        <f>IF(N244="","",VLOOKUP(N244,'G-7 Rivers Data'!$B$4:$G$8,5,FALSE))</f>
        <v/>
      </c>
      <c r="AF244" s="507" t="str">
        <f t="shared" si="29"/>
        <v/>
      </c>
      <c r="AG244" s="540" t="str">
        <f t="shared" si="30"/>
        <v/>
      </c>
      <c r="AH244" s="499" t="str">
        <f t="shared" si="24"/>
        <v/>
      </c>
      <c r="AI244" s="145"/>
      <c r="AJ244" s="499" t="str">
        <f>IF(AI244="","",IF(VLOOKUP(AI244,'G-7 Rivers Data'!$AA$4:$AB$7,2,FALSE)=0,"Spatial Data Missing ⚠",VLOOKUP(AI244,'G-7 Rivers Data'!$AA$4:$AB$7,2,FALSE)))</f>
        <v/>
      </c>
      <c r="AK244" s="155"/>
      <c r="AL244" s="499" t="str">
        <f>IF(AK244="","",IF(VLOOKUP(AK244,'G-7 Rivers Data'!$AD$4:$AE$8,2,FALSE)=0,"Spatial Data Missing ⚠",VLOOKUP(AK244,'G-7 Rivers Data'!$AD$4:$AE$8,2,FALSE)))</f>
        <v/>
      </c>
      <c r="AM244" s="545" t="str">
        <f t="shared" si="31"/>
        <v/>
      </c>
      <c r="AN244" s="149"/>
      <c r="AO244" s="150"/>
      <c r="AV244" s="31" t="str">
        <f>IFERROR(INDEX('G-7 Rivers Data'!$AZ$3:$AZ$7,MATCH(N244,'G-7 Rivers Data'!$AY$3:$AY$7,0)),"")</f>
        <v/>
      </c>
    </row>
    <row r="245" spans="2:48" ht="13.8" x14ac:dyDescent="0.25">
      <c r="B245" s="531" t="str">
        <f>'C-1 Site River Baseline'!AN243</f>
        <v/>
      </c>
      <c r="C245" s="520" t="str">
        <f>IF(B245="","",VLOOKUP($B245,'C-1 Site River Baseline'!$C$9:$R$257,2,FALSE))</f>
        <v/>
      </c>
      <c r="D245" s="520" t="str">
        <f>IF(C245="","",VLOOKUP($B245,'C-1 Site River Baseline'!$C$9:$R$257,3,FALSE))</f>
        <v/>
      </c>
      <c r="E245" s="520" t="str">
        <f>IF(D245="","",VLOOKUP($B245,'C-1 Site River Baseline'!$C$9:$R$257,4,FALSE))</f>
        <v/>
      </c>
      <c r="F245" s="520" t="str">
        <f>IF(E245="","",VLOOKUP($B245,'C-1 Site River Baseline'!$C$9:$R$257,5,FALSE))</f>
        <v/>
      </c>
      <c r="G245" s="520" t="str">
        <f>IF(F245="","",VLOOKUP($B245,'C-1 Site River Baseline'!$C$9:$R$257,6,FALSE))</f>
        <v/>
      </c>
      <c r="H245" s="520" t="str">
        <f>IF(G245="","",VLOOKUP($B245,'C-1 Site River Baseline'!$C$9:$R$257,7,FALSE))</f>
        <v/>
      </c>
      <c r="I245" s="520" t="str">
        <f>IF(H245="","",VLOOKUP($B245,'C-1 Site River Baseline'!$C$9:$R$257,8,FALSE))</f>
        <v/>
      </c>
      <c r="J245" s="520" t="str">
        <f>IF(I245="","",VLOOKUP($B245,'C-1 Site River Baseline'!$C$9:$R$257,9,FALSE))</f>
        <v/>
      </c>
      <c r="K245" s="520" t="str">
        <f>IF(J245="","",VLOOKUP($B245,'C-1 Site River Baseline'!$C$9:$R$257,10,FALSE))</f>
        <v/>
      </c>
      <c r="L245" s="520" t="str">
        <f>IF(B245="","",VLOOKUP($B245,'C-1 Site River Baseline'!$C$9:$R$257,15,FALSE))</f>
        <v/>
      </c>
      <c r="M245" s="524" t="str">
        <f>IF(L245="","",VLOOKUP($B245,'C-1 Site River Baseline'!$C$9:$R$257,16,FALSE))</f>
        <v/>
      </c>
      <c r="N245" s="418" t="str">
        <f t="shared" si="25"/>
        <v/>
      </c>
      <c r="O245" s="498" t="str">
        <f t="shared" si="26"/>
        <v/>
      </c>
      <c r="P245" s="499"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7" t="str">
        <f>IF(N245="","",VLOOKUP(B245,'C-1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07" t="str">
        <f>IF(V245="","",IF(VLOOKUP(V245,'G-7 Rivers Data'!$AG$4:$AI$9,2,FALSE)=0,"Spatial Data Missing ⚠",VLOOKUP(V245,'G-7 Rivers Data'!$AG$4:$AI$9,2,FALSE)))</f>
        <v/>
      </c>
      <c r="X245" s="499" t="str">
        <f>IF(V245="","",IF(VLOOKUP(V245,'G-7 Rivers Data'!$AG$4:$AI$9,3,FALSE)=0,"Spatial Data Missing ⚠",VLOOKUP(V245,'G-7 Rivers Data'!$AG$4:$AI$9,3,FALSE)))</f>
        <v/>
      </c>
      <c r="Y245" s="498" t="str">
        <f>IFERROR(IF(OR(LEFT(P245,5)="Error ▲",LEFT(O245,5)="Error ▲"),"Check Data ⚠",IF(F245&lt;S245,'G-7 Rivers Data'!$R$3,INDEX('G-7 Rivers Data'!$U$5:$Y$9,MATCH(G245,'G-7 Rivers Data'!$T$5:$T$9,0),MATCH(T245,'G-7 Rivers Data'!$U$4:$Y$4,0)))),"")</f>
        <v/>
      </c>
      <c r="Z245" s="195"/>
      <c r="AA245" s="195"/>
      <c r="AB245" s="507" t="str">
        <f t="shared" si="27"/>
        <v/>
      </c>
      <c r="AC245" s="521" t="str">
        <f t="shared" si="28"/>
        <v/>
      </c>
      <c r="AD245" s="564" t="str">
        <f>IFERROR(IF(AC245="Check Data ⚠","Check Data ⚠",VLOOKUP(AC245,'G-4 Temporal multipliers'!$A$4:$C$37,3,FALSE)),"")</f>
        <v/>
      </c>
      <c r="AE245" s="498" t="str">
        <f>IF(N245="","",VLOOKUP(N245,'G-7 Rivers Data'!$B$4:$G$8,5,FALSE))</f>
        <v/>
      </c>
      <c r="AF245" s="507" t="str">
        <f t="shared" si="29"/>
        <v/>
      </c>
      <c r="AG245" s="540" t="str">
        <f t="shared" si="30"/>
        <v/>
      </c>
      <c r="AH245" s="499" t="str">
        <f t="shared" si="24"/>
        <v/>
      </c>
      <c r="AI245" s="145"/>
      <c r="AJ245" s="499" t="str">
        <f>IF(AI245="","",IF(VLOOKUP(AI245,'G-7 Rivers Data'!$AA$4:$AB$7,2,FALSE)=0,"Spatial Data Missing ⚠",VLOOKUP(AI245,'G-7 Rivers Data'!$AA$4:$AB$7,2,FALSE)))</f>
        <v/>
      </c>
      <c r="AK245" s="155"/>
      <c r="AL245" s="499" t="str">
        <f>IF(AK245="","",IF(VLOOKUP(AK245,'G-7 Rivers Data'!$AD$4:$AE$8,2,FALSE)=0,"Spatial Data Missing ⚠",VLOOKUP(AK245,'G-7 Rivers Data'!$AD$4:$AE$8,2,FALSE)))</f>
        <v/>
      </c>
      <c r="AM245" s="545" t="str">
        <f t="shared" si="31"/>
        <v/>
      </c>
      <c r="AN245" s="149"/>
      <c r="AO245" s="150"/>
      <c r="AV245" s="31" t="str">
        <f>IFERROR(INDEX('G-7 Rivers Data'!$AZ$3:$AZ$7,MATCH(N245,'G-7 Rivers Data'!$AY$3:$AY$7,0)),"")</f>
        <v/>
      </c>
    </row>
    <row r="246" spans="2:48" ht="13.8" x14ac:dyDescent="0.25">
      <c r="B246" s="531" t="str">
        <f>'C-1 Site River Baseline'!AN244</f>
        <v/>
      </c>
      <c r="C246" s="520" t="str">
        <f>IF(B246="","",VLOOKUP($B246,'C-1 Site River Baseline'!$C$9:$R$257,2,FALSE))</f>
        <v/>
      </c>
      <c r="D246" s="520" t="str">
        <f>IF(C246="","",VLOOKUP($B246,'C-1 Site River Baseline'!$C$9:$R$257,3,FALSE))</f>
        <v/>
      </c>
      <c r="E246" s="520" t="str">
        <f>IF(D246="","",VLOOKUP($B246,'C-1 Site River Baseline'!$C$9:$R$257,4,FALSE))</f>
        <v/>
      </c>
      <c r="F246" s="520" t="str">
        <f>IF(E246="","",VLOOKUP($B246,'C-1 Site River Baseline'!$C$9:$R$257,5,FALSE))</f>
        <v/>
      </c>
      <c r="G246" s="520" t="str">
        <f>IF(F246="","",VLOOKUP($B246,'C-1 Site River Baseline'!$C$9:$R$257,6,FALSE))</f>
        <v/>
      </c>
      <c r="H246" s="520" t="str">
        <f>IF(G246="","",VLOOKUP($B246,'C-1 Site River Baseline'!$C$9:$R$257,7,FALSE))</f>
        <v/>
      </c>
      <c r="I246" s="520" t="str">
        <f>IF(H246="","",VLOOKUP($B246,'C-1 Site River Baseline'!$C$9:$R$257,8,FALSE))</f>
        <v/>
      </c>
      <c r="J246" s="520" t="str">
        <f>IF(I246="","",VLOOKUP($B246,'C-1 Site River Baseline'!$C$9:$R$257,9,FALSE))</f>
        <v/>
      </c>
      <c r="K246" s="520" t="str">
        <f>IF(J246="","",VLOOKUP($B246,'C-1 Site River Baseline'!$C$9:$R$257,10,FALSE))</f>
        <v/>
      </c>
      <c r="L246" s="520" t="str">
        <f>IF(B246="","",VLOOKUP($B246,'C-1 Site River Baseline'!$C$9:$R$257,15,FALSE))</f>
        <v/>
      </c>
      <c r="M246" s="524" t="str">
        <f>IF(L246="","",VLOOKUP($B246,'C-1 Site River Baseline'!$C$9:$R$257,16,FALSE))</f>
        <v/>
      </c>
      <c r="N246" s="418" t="str">
        <f t="shared" si="25"/>
        <v/>
      </c>
      <c r="O246" s="498" t="str">
        <f t="shared" si="26"/>
        <v/>
      </c>
      <c r="P246" s="499"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7" t="str">
        <f>IF(N246="","",VLOOKUP(B246,'C-1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07" t="str">
        <f>IF(V246="","",IF(VLOOKUP(V246,'G-7 Rivers Data'!$AG$4:$AI$9,2,FALSE)=0,"Spatial Data Missing ⚠",VLOOKUP(V246,'G-7 Rivers Data'!$AG$4:$AI$9,2,FALSE)))</f>
        <v/>
      </c>
      <c r="X246" s="499" t="str">
        <f>IF(V246="","",IF(VLOOKUP(V246,'G-7 Rivers Data'!$AG$4:$AI$9,3,FALSE)=0,"Spatial Data Missing ⚠",VLOOKUP(V246,'G-7 Rivers Data'!$AG$4:$AI$9,3,FALSE)))</f>
        <v/>
      </c>
      <c r="Y246" s="498" t="str">
        <f>IFERROR(IF(OR(LEFT(P246,5)="Error ▲",LEFT(O246,5)="Error ▲"),"Check Data ⚠",IF(F246&lt;S246,'G-7 Rivers Data'!$R$3,INDEX('G-7 Rivers Data'!$U$5:$Y$9,MATCH(G246,'G-7 Rivers Data'!$T$5:$T$9,0),MATCH(T246,'G-7 Rivers Data'!$U$4:$Y$4,0)))),"")</f>
        <v/>
      </c>
      <c r="Z246" s="195"/>
      <c r="AA246" s="195"/>
      <c r="AB246" s="507" t="str">
        <f t="shared" si="27"/>
        <v/>
      </c>
      <c r="AC246" s="521" t="str">
        <f t="shared" si="28"/>
        <v/>
      </c>
      <c r="AD246" s="564" t="str">
        <f>IFERROR(IF(AC246="Check Data ⚠","Check Data ⚠",VLOOKUP(AC246,'G-4 Temporal multipliers'!$A$4:$C$37,3,FALSE)),"")</f>
        <v/>
      </c>
      <c r="AE246" s="498" t="str">
        <f>IF(N246="","",VLOOKUP(N246,'G-7 Rivers Data'!$B$4:$G$8,5,FALSE))</f>
        <v/>
      </c>
      <c r="AF246" s="507" t="str">
        <f t="shared" si="29"/>
        <v/>
      </c>
      <c r="AG246" s="540" t="str">
        <f t="shared" si="30"/>
        <v/>
      </c>
      <c r="AH246" s="499" t="str">
        <f t="shared" si="24"/>
        <v/>
      </c>
      <c r="AI246" s="145"/>
      <c r="AJ246" s="499" t="str">
        <f>IF(AI246="","",IF(VLOOKUP(AI246,'G-7 Rivers Data'!$AA$4:$AB$7,2,FALSE)=0,"Spatial Data Missing ⚠",VLOOKUP(AI246,'G-7 Rivers Data'!$AA$4:$AB$7,2,FALSE)))</f>
        <v/>
      </c>
      <c r="AK246" s="155"/>
      <c r="AL246" s="499" t="str">
        <f>IF(AK246="","",IF(VLOOKUP(AK246,'G-7 Rivers Data'!$AD$4:$AE$8,2,FALSE)=0,"Spatial Data Missing ⚠",VLOOKUP(AK246,'G-7 Rivers Data'!$AD$4:$AE$8,2,FALSE)))</f>
        <v/>
      </c>
      <c r="AM246" s="545" t="str">
        <f t="shared" si="31"/>
        <v/>
      </c>
      <c r="AN246" s="149"/>
      <c r="AO246" s="150"/>
      <c r="AV246" s="31" t="str">
        <f>IFERROR(INDEX('G-7 Rivers Data'!$AZ$3:$AZ$7,MATCH(N246,'G-7 Rivers Data'!$AY$3:$AY$7,0)),"")</f>
        <v/>
      </c>
    </row>
    <row r="247" spans="2:48" ht="13.8" x14ac:dyDescent="0.25">
      <c r="B247" s="531" t="str">
        <f>'C-1 Site River Baseline'!AN245</f>
        <v/>
      </c>
      <c r="C247" s="520" t="str">
        <f>IF(B247="","",VLOOKUP($B247,'C-1 Site River Baseline'!$C$9:$R$257,2,FALSE))</f>
        <v/>
      </c>
      <c r="D247" s="520" t="str">
        <f>IF(C247="","",VLOOKUP($B247,'C-1 Site River Baseline'!$C$9:$R$257,3,FALSE))</f>
        <v/>
      </c>
      <c r="E247" s="520" t="str">
        <f>IF(D247="","",VLOOKUP($B247,'C-1 Site River Baseline'!$C$9:$R$257,4,FALSE))</f>
        <v/>
      </c>
      <c r="F247" s="520" t="str">
        <f>IF(E247="","",VLOOKUP($B247,'C-1 Site River Baseline'!$C$9:$R$257,5,FALSE))</f>
        <v/>
      </c>
      <c r="G247" s="520" t="str">
        <f>IF(F247="","",VLOOKUP($B247,'C-1 Site River Baseline'!$C$9:$R$257,6,FALSE))</f>
        <v/>
      </c>
      <c r="H247" s="520" t="str">
        <f>IF(G247="","",VLOOKUP($B247,'C-1 Site River Baseline'!$C$9:$R$257,7,FALSE))</f>
        <v/>
      </c>
      <c r="I247" s="520" t="str">
        <f>IF(H247="","",VLOOKUP($B247,'C-1 Site River Baseline'!$C$9:$R$257,8,FALSE))</f>
        <v/>
      </c>
      <c r="J247" s="520" t="str">
        <f>IF(I247="","",VLOOKUP($B247,'C-1 Site River Baseline'!$C$9:$R$257,9,FALSE))</f>
        <v/>
      </c>
      <c r="K247" s="520" t="str">
        <f>IF(J247="","",VLOOKUP($B247,'C-1 Site River Baseline'!$C$9:$R$257,10,FALSE))</f>
        <v/>
      </c>
      <c r="L247" s="520" t="str">
        <f>IF(B247="","",VLOOKUP($B247,'C-1 Site River Baseline'!$C$9:$R$257,15,FALSE))</f>
        <v/>
      </c>
      <c r="M247" s="524" t="str">
        <f>IF(L247="","",VLOOKUP($B247,'C-1 Site River Baseline'!$C$9:$R$257,16,FALSE))</f>
        <v/>
      </c>
      <c r="N247" s="418"/>
      <c r="O247" s="498" t="str">
        <f t="shared" si="26"/>
        <v/>
      </c>
      <c r="P247" s="499"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7" t="str">
        <f>IF(N247="","",VLOOKUP(B247,'C-1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07" t="str">
        <f>IF(V247="","",IF(VLOOKUP(V247,'G-7 Rivers Data'!$AG$4:$AI$9,2,FALSE)=0,"Spatial Data Missing ⚠",VLOOKUP(V247,'G-7 Rivers Data'!$AG$4:$AI$9,2,FALSE)))</f>
        <v/>
      </c>
      <c r="X247" s="499" t="str">
        <f>IF(V247="","",IF(VLOOKUP(V247,'G-7 Rivers Data'!$AG$4:$AI$9,3,FALSE)=0,"Spatial Data Missing ⚠",VLOOKUP(V247,'G-7 Rivers Data'!$AG$4:$AI$9,3,FALSE)))</f>
        <v/>
      </c>
      <c r="Y247" s="498" t="str">
        <f>IFERROR(IF(OR(LEFT(P247,5)="Error ▲",LEFT(O247,5)="Error ▲"),"Check Data ⚠",IF(F247&lt;S247,'G-7 Rivers Data'!$R$3,INDEX('G-7 Rivers Data'!$U$5:$Y$9,MATCH(G247,'G-7 Rivers Data'!$T$5:$T$9,0),MATCH(T247,'G-7 Rivers Data'!$U$4:$Y$4,0)))),"")</f>
        <v/>
      </c>
      <c r="Z247" s="195"/>
      <c r="AA247" s="195"/>
      <c r="AB247" s="507" t="str">
        <f t="shared" si="27"/>
        <v/>
      </c>
      <c r="AC247" s="521" t="str">
        <f t="shared" si="28"/>
        <v/>
      </c>
      <c r="AD247" s="564" t="str">
        <f>IFERROR(IF(AC247="Check Data ⚠","Check Data ⚠",VLOOKUP(AC247,'G-4 Temporal multipliers'!$A$4:$C$37,3,FALSE)),"")</f>
        <v/>
      </c>
      <c r="AE247" s="498" t="str">
        <f>IF(N247="","",VLOOKUP(N247,'G-7 Rivers Data'!$B$4:$G$8,5,FALSE))</f>
        <v/>
      </c>
      <c r="AF247" s="507" t="str">
        <f t="shared" si="29"/>
        <v/>
      </c>
      <c r="AG247" s="540" t="str">
        <f t="shared" si="30"/>
        <v/>
      </c>
      <c r="AH247" s="499" t="str">
        <f t="shared" si="24"/>
        <v/>
      </c>
      <c r="AI247" s="145"/>
      <c r="AJ247" s="499" t="str">
        <f>IF(AI247="","",IF(VLOOKUP(AI247,'G-7 Rivers Data'!$AA$4:$AB$7,2,FALSE)=0,"Spatial Data Missing ⚠",VLOOKUP(AI247,'G-7 Rivers Data'!$AA$4:$AB$7,2,FALSE)))</f>
        <v/>
      </c>
      <c r="AK247" s="155"/>
      <c r="AL247" s="499" t="str">
        <f>IF(AK247="","",IF(VLOOKUP(AK247,'G-7 Rivers Data'!$AD$4:$AE$8,2,FALSE)=0,"Spatial Data Missing ⚠",VLOOKUP(AK247,'G-7 Rivers Data'!$AD$4:$AE$8,2,FALSE)))</f>
        <v/>
      </c>
      <c r="AM247" s="545" t="str">
        <f t="shared" si="31"/>
        <v/>
      </c>
      <c r="AN247" s="149"/>
      <c r="AO247" s="150"/>
      <c r="AV247" s="31" t="str">
        <f>IFERROR(INDEX('G-7 Rivers Data'!$AZ$3:$AZ$7,MATCH(N247,'G-7 Rivers Data'!$AY$3:$AY$7,0)),"")</f>
        <v/>
      </c>
    </row>
    <row r="248" spans="2:48" ht="13.8" x14ac:dyDescent="0.25">
      <c r="B248" s="531" t="str">
        <f>'C-1 Site River Baseline'!AN246</f>
        <v/>
      </c>
      <c r="C248" s="520" t="str">
        <f>IF(B248="","",VLOOKUP($B248,'C-1 Site River Baseline'!$C$9:$R$257,2,FALSE))</f>
        <v/>
      </c>
      <c r="D248" s="520" t="str">
        <f>IF(C248="","",VLOOKUP($B248,'C-1 Site River Baseline'!$C$9:$R$257,3,FALSE))</f>
        <v/>
      </c>
      <c r="E248" s="520" t="str">
        <f>IF(D248="","",VLOOKUP($B248,'C-1 Site River Baseline'!$C$9:$R$257,4,FALSE))</f>
        <v/>
      </c>
      <c r="F248" s="520" t="str">
        <f>IF(E248="","",VLOOKUP($B248,'C-1 Site River Baseline'!$C$9:$R$257,5,FALSE))</f>
        <v/>
      </c>
      <c r="G248" s="520" t="str">
        <f>IF(F248="","",VLOOKUP($B248,'C-1 Site River Baseline'!$C$9:$R$257,6,FALSE))</f>
        <v/>
      </c>
      <c r="H248" s="520" t="str">
        <f>IF(G248="","",VLOOKUP($B248,'C-1 Site River Baseline'!$C$9:$R$257,7,FALSE))</f>
        <v/>
      </c>
      <c r="I248" s="520" t="str">
        <f>IF(H248="","",VLOOKUP($B248,'C-1 Site River Baseline'!$C$9:$R$257,8,FALSE))</f>
        <v/>
      </c>
      <c r="J248" s="520" t="str">
        <f>IF(I248="","",VLOOKUP($B248,'C-1 Site River Baseline'!$C$9:$R$257,9,FALSE))</f>
        <v/>
      </c>
      <c r="K248" s="520" t="str">
        <f>IF(J248="","",VLOOKUP($B248,'C-1 Site River Baseline'!$C$9:$R$257,10,FALSE))</f>
        <v/>
      </c>
      <c r="L248" s="520" t="str">
        <f>IF(B248="","",VLOOKUP($B248,'C-1 Site River Baseline'!$C$9:$R$257,15,FALSE))</f>
        <v/>
      </c>
      <c r="M248" s="524" t="str">
        <f>IF(L248="","",VLOOKUP($B248,'C-1 Site River Baseline'!$C$9:$R$257,16,FALSE))</f>
        <v/>
      </c>
      <c r="N248" s="418" t="str">
        <f t="shared" si="25"/>
        <v/>
      </c>
      <c r="O248" s="498" t="str">
        <f t="shared" si="26"/>
        <v/>
      </c>
      <c r="P248" s="499"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7" t="str">
        <f>IF(N248="","",VLOOKUP(B248,'C-1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07" t="str">
        <f>IF(V248="","",IF(VLOOKUP(V248,'G-7 Rivers Data'!$AG$4:$AI$9,2,FALSE)=0,"Spatial Data Missing ⚠",VLOOKUP(V248,'G-7 Rivers Data'!$AG$4:$AI$9,2,FALSE)))</f>
        <v/>
      </c>
      <c r="X248" s="499" t="str">
        <f>IF(V248="","",IF(VLOOKUP(V248,'G-7 Rivers Data'!$AG$4:$AI$9,3,FALSE)=0,"Spatial Data Missing ⚠",VLOOKUP(V248,'G-7 Rivers Data'!$AG$4:$AI$9,3,FALSE)))</f>
        <v/>
      </c>
      <c r="Y248" s="498" t="str">
        <f>IFERROR(IF(OR(LEFT(P248,5)="Error ▲",LEFT(O248,5)="Error ▲"),"Check Data ⚠",IF(F248&lt;S248,'G-7 Rivers Data'!$R$3,INDEX('G-7 Rivers Data'!$U$5:$Y$9,MATCH(G248,'G-7 Rivers Data'!$T$5:$T$9,0),MATCH(T248,'G-7 Rivers Data'!$U$4:$Y$4,0)))),"")</f>
        <v/>
      </c>
      <c r="Z248" s="195"/>
      <c r="AA248" s="195"/>
      <c r="AB248" s="507" t="str">
        <f t="shared" si="27"/>
        <v/>
      </c>
      <c r="AC248" s="521" t="str">
        <f t="shared" si="28"/>
        <v/>
      </c>
      <c r="AD248" s="564" t="str">
        <f>IFERROR(IF(AC248="Check Data ⚠","Check Data ⚠",VLOOKUP(AC248,'G-4 Temporal multipliers'!$A$4:$C$37,3,FALSE)),"")</f>
        <v/>
      </c>
      <c r="AE248" s="498" t="str">
        <f>IF(N248="","",VLOOKUP(N248,'G-7 Rivers Data'!$B$4:$G$8,5,FALSE))</f>
        <v/>
      </c>
      <c r="AF248" s="507" t="str">
        <f t="shared" si="29"/>
        <v/>
      </c>
      <c r="AG248" s="540" t="str">
        <f t="shared" si="30"/>
        <v/>
      </c>
      <c r="AH248" s="499" t="str">
        <f t="shared" si="24"/>
        <v/>
      </c>
      <c r="AI248" s="145"/>
      <c r="AJ248" s="499" t="str">
        <f>IF(AI248="","",IF(VLOOKUP(AI248,'G-7 Rivers Data'!$AA$4:$AB$7,2,FALSE)=0,"Spatial Data Missing ⚠",VLOOKUP(AI248,'G-7 Rivers Data'!$AA$4:$AB$7,2,FALSE)))</f>
        <v/>
      </c>
      <c r="AK248" s="155"/>
      <c r="AL248" s="499" t="str">
        <f>IF(AK248="","",IF(VLOOKUP(AK248,'G-7 Rivers Data'!$AD$4:$AE$8,2,FALSE)=0,"Spatial Data Missing ⚠",VLOOKUP(AK248,'G-7 Rivers Data'!$AD$4:$AE$8,2,FALSE)))</f>
        <v/>
      </c>
      <c r="AM248" s="545" t="str">
        <f t="shared" si="31"/>
        <v/>
      </c>
      <c r="AN248" s="149"/>
      <c r="AO248" s="150"/>
      <c r="AV248" s="31" t="str">
        <f>IFERROR(INDEX('G-7 Rivers Data'!$AZ$3:$AZ$7,MATCH(N248,'G-7 Rivers Data'!$AY$3:$AY$7,0)),"")</f>
        <v/>
      </c>
    </row>
    <row r="249" spans="2:48" ht="13.8" x14ac:dyDescent="0.25">
      <c r="B249" s="531" t="str">
        <f>'C-1 Site River Baseline'!AN247</f>
        <v/>
      </c>
      <c r="C249" s="520" t="str">
        <f>IF(B249="","",VLOOKUP($B249,'C-1 Site River Baseline'!$C$9:$R$257,2,FALSE))</f>
        <v/>
      </c>
      <c r="D249" s="520" t="str">
        <f>IF(C249="","",VLOOKUP($B249,'C-1 Site River Baseline'!$C$9:$R$257,3,FALSE))</f>
        <v/>
      </c>
      <c r="E249" s="520" t="str">
        <f>IF(D249="","",VLOOKUP($B249,'C-1 Site River Baseline'!$C$9:$R$257,4,FALSE))</f>
        <v/>
      </c>
      <c r="F249" s="520" t="str">
        <f>IF(E249="","",VLOOKUP($B249,'C-1 Site River Baseline'!$C$9:$R$257,5,FALSE))</f>
        <v/>
      </c>
      <c r="G249" s="520" t="str">
        <f>IF(F249="","",VLOOKUP($B249,'C-1 Site River Baseline'!$C$9:$R$257,6,FALSE))</f>
        <v/>
      </c>
      <c r="H249" s="520" t="str">
        <f>IF(G249="","",VLOOKUP($B249,'C-1 Site River Baseline'!$C$9:$R$257,7,FALSE))</f>
        <v/>
      </c>
      <c r="I249" s="520" t="str">
        <f>IF(H249="","",VLOOKUP($B249,'C-1 Site River Baseline'!$C$9:$R$257,8,FALSE))</f>
        <v/>
      </c>
      <c r="J249" s="520" t="str">
        <f>IF(I249="","",VLOOKUP($B249,'C-1 Site River Baseline'!$C$9:$R$257,9,FALSE))</f>
        <v/>
      </c>
      <c r="K249" s="520" t="str">
        <f>IF(J249="","",VLOOKUP($B249,'C-1 Site River Baseline'!$C$9:$R$257,10,FALSE))</f>
        <v/>
      </c>
      <c r="L249" s="520" t="str">
        <f>IF(B249="","",VLOOKUP($B249,'C-1 Site River Baseline'!$C$9:$R$257,15,FALSE))</f>
        <v/>
      </c>
      <c r="M249" s="524" t="str">
        <f>IF(L249="","",VLOOKUP($B249,'C-1 Site River Baseline'!$C$9:$R$257,16,FALSE))</f>
        <v/>
      </c>
      <c r="N249" s="418" t="str">
        <f t="shared" si="25"/>
        <v/>
      </c>
      <c r="O249" s="498" t="str">
        <f t="shared" si="26"/>
        <v/>
      </c>
      <c r="P249" s="499"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7" t="str">
        <f>IF(N249="","",VLOOKUP(B249,'C-1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07" t="str">
        <f>IF(V249="","",IF(VLOOKUP(V249,'G-7 Rivers Data'!$AG$4:$AI$9,2,FALSE)=0,"Spatial Data Missing ⚠",VLOOKUP(V249,'G-7 Rivers Data'!$AG$4:$AI$9,2,FALSE)))</f>
        <v/>
      </c>
      <c r="X249" s="499" t="str">
        <f>IF(V249="","",IF(VLOOKUP(V249,'G-7 Rivers Data'!$AG$4:$AI$9,3,FALSE)=0,"Spatial Data Missing ⚠",VLOOKUP(V249,'G-7 Rivers Data'!$AG$4:$AI$9,3,FALSE)))</f>
        <v/>
      </c>
      <c r="Y249" s="498" t="str">
        <f>IFERROR(IF(OR(LEFT(P249,5)="Error ▲",LEFT(O249,5)="Error ▲"),"Check Data ⚠",IF(F249&lt;S249,'G-7 Rivers Data'!$R$3,INDEX('G-7 Rivers Data'!$U$5:$Y$9,MATCH(G249,'G-7 Rivers Data'!$T$5:$T$9,0),MATCH(T249,'G-7 Rivers Data'!$U$4:$Y$4,0)))),"")</f>
        <v/>
      </c>
      <c r="Z249" s="195"/>
      <c r="AA249" s="195"/>
      <c r="AB249" s="507" t="str">
        <f t="shared" si="27"/>
        <v/>
      </c>
      <c r="AC249" s="521" t="str">
        <f t="shared" si="28"/>
        <v/>
      </c>
      <c r="AD249" s="564" t="str">
        <f>IFERROR(IF(AC249="Check Data ⚠","Check Data ⚠",VLOOKUP(AC249,'G-4 Temporal multipliers'!$A$4:$C$37,3,FALSE)),"")</f>
        <v/>
      </c>
      <c r="AE249" s="498" t="str">
        <f>IF(N249="","",VLOOKUP(N249,'G-7 Rivers Data'!$B$4:$G$8,5,FALSE))</f>
        <v/>
      </c>
      <c r="AF249" s="507" t="str">
        <f t="shared" si="29"/>
        <v/>
      </c>
      <c r="AG249" s="540" t="str">
        <f t="shared" si="30"/>
        <v/>
      </c>
      <c r="AH249" s="499" t="str">
        <f t="shared" si="24"/>
        <v/>
      </c>
      <c r="AI249" s="145"/>
      <c r="AJ249" s="499" t="str">
        <f>IF(AI249="","",IF(VLOOKUP(AI249,'G-7 Rivers Data'!$AA$4:$AB$7,2,FALSE)=0,"Spatial Data Missing ⚠",VLOOKUP(AI249,'G-7 Rivers Data'!$AA$4:$AB$7,2,FALSE)))</f>
        <v/>
      </c>
      <c r="AK249" s="155"/>
      <c r="AL249" s="499" t="str">
        <f>IF(AK249="","",IF(VLOOKUP(AK249,'G-7 Rivers Data'!$AD$4:$AE$8,2,FALSE)=0,"Spatial Data Missing ⚠",VLOOKUP(AK249,'G-7 Rivers Data'!$AD$4:$AE$8,2,FALSE)))</f>
        <v/>
      </c>
      <c r="AM249" s="545" t="str">
        <f t="shared" si="31"/>
        <v/>
      </c>
      <c r="AN249" s="149"/>
      <c r="AO249" s="150"/>
      <c r="AV249" s="31" t="str">
        <f>IFERROR(INDEX('G-7 Rivers Data'!$AZ$3:$AZ$7,MATCH(N249,'G-7 Rivers Data'!$AY$3:$AY$7,0)),"")</f>
        <v/>
      </c>
    </row>
    <row r="250" spans="2:48" ht="13.8" x14ac:dyDescent="0.25">
      <c r="B250" s="531" t="str">
        <f>'C-1 Site River Baseline'!AN248</f>
        <v/>
      </c>
      <c r="C250" s="520" t="str">
        <f>IF(B250="","",VLOOKUP($B250,'C-1 Site River Baseline'!$C$9:$R$257,2,FALSE))</f>
        <v/>
      </c>
      <c r="D250" s="520" t="str">
        <f>IF(C250="","",VLOOKUP($B250,'C-1 Site River Baseline'!$C$9:$R$257,3,FALSE))</f>
        <v/>
      </c>
      <c r="E250" s="520" t="str">
        <f>IF(D250="","",VLOOKUP($B250,'C-1 Site River Baseline'!$C$9:$R$257,4,FALSE))</f>
        <v/>
      </c>
      <c r="F250" s="520" t="str">
        <f>IF(E250="","",VLOOKUP($B250,'C-1 Site River Baseline'!$C$9:$R$257,5,FALSE))</f>
        <v/>
      </c>
      <c r="G250" s="520" t="str">
        <f>IF(F250="","",VLOOKUP($B250,'C-1 Site River Baseline'!$C$9:$R$257,6,FALSE))</f>
        <v/>
      </c>
      <c r="H250" s="520" t="str">
        <f>IF(G250="","",VLOOKUP($B250,'C-1 Site River Baseline'!$C$9:$R$257,7,FALSE))</f>
        <v/>
      </c>
      <c r="I250" s="520" t="str">
        <f>IF(H250="","",VLOOKUP($B250,'C-1 Site River Baseline'!$C$9:$R$257,8,FALSE))</f>
        <v/>
      </c>
      <c r="J250" s="520" t="str">
        <f>IF(I250="","",VLOOKUP($B250,'C-1 Site River Baseline'!$C$9:$R$257,9,FALSE))</f>
        <v/>
      </c>
      <c r="K250" s="520" t="str">
        <f>IF(J250="","",VLOOKUP($B250,'C-1 Site River Baseline'!$C$9:$R$257,10,FALSE))</f>
        <v/>
      </c>
      <c r="L250" s="520" t="str">
        <f>IF(B250="","",VLOOKUP($B250,'C-1 Site River Baseline'!$C$9:$R$257,15,FALSE))</f>
        <v/>
      </c>
      <c r="M250" s="524" t="str">
        <f>IF(L250="","",VLOOKUP($B250,'C-1 Site River Baseline'!$C$9:$R$257,16,FALSE))</f>
        <v/>
      </c>
      <c r="N250" s="418" t="str">
        <f t="shared" si="25"/>
        <v/>
      </c>
      <c r="O250" s="498" t="str">
        <f t="shared" si="26"/>
        <v/>
      </c>
      <c r="P250" s="499"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7" t="str">
        <f>IF(N250="","",VLOOKUP(B250,'C-1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07" t="str">
        <f>IF(V250="","",IF(VLOOKUP(V250,'G-7 Rivers Data'!$AG$4:$AI$9,2,FALSE)=0,"Spatial Data Missing ⚠",VLOOKUP(V250,'G-7 Rivers Data'!$AG$4:$AI$9,2,FALSE)))</f>
        <v/>
      </c>
      <c r="X250" s="499" t="str">
        <f>IF(V250="","",IF(VLOOKUP(V250,'G-7 Rivers Data'!$AG$4:$AI$9,3,FALSE)=0,"Spatial Data Missing ⚠",VLOOKUP(V250,'G-7 Rivers Data'!$AG$4:$AI$9,3,FALSE)))</f>
        <v/>
      </c>
      <c r="Y250" s="498" t="str">
        <f>IFERROR(IF(OR(LEFT(P250,5)="Error ▲",LEFT(O250,5)="Error ▲"),"Check Data ⚠",IF(F250&lt;S250,'G-7 Rivers Data'!$R$3,INDEX('G-7 Rivers Data'!$U$5:$Y$9,MATCH(G250,'G-7 Rivers Data'!$T$5:$T$9,0),MATCH(T250,'G-7 Rivers Data'!$U$4:$Y$4,0)))),"")</f>
        <v/>
      </c>
      <c r="Z250" s="195"/>
      <c r="AA250" s="195"/>
      <c r="AB250" s="507" t="str">
        <f t="shared" si="27"/>
        <v/>
      </c>
      <c r="AC250" s="521" t="str">
        <f t="shared" si="28"/>
        <v/>
      </c>
      <c r="AD250" s="564" t="str">
        <f>IFERROR(IF(AC250="Check Data ⚠","Check Data ⚠",VLOOKUP(AC250,'G-4 Temporal multipliers'!$A$4:$C$37,3,FALSE)),"")</f>
        <v/>
      </c>
      <c r="AE250" s="498" t="str">
        <f>IF(N250="","",VLOOKUP(N250,'G-7 Rivers Data'!$B$4:$G$8,5,FALSE))</f>
        <v/>
      </c>
      <c r="AF250" s="507" t="str">
        <f t="shared" si="29"/>
        <v/>
      </c>
      <c r="AG250" s="540" t="str">
        <f t="shared" si="30"/>
        <v/>
      </c>
      <c r="AH250" s="499" t="str">
        <f t="shared" si="24"/>
        <v/>
      </c>
      <c r="AI250" s="145"/>
      <c r="AJ250" s="499" t="str">
        <f>IF(AI250="","",IF(VLOOKUP(AI250,'G-7 Rivers Data'!$AA$4:$AB$7,2,FALSE)=0,"Spatial Data Missing ⚠",VLOOKUP(AI250,'G-7 Rivers Data'!$AA$4:$AB$7,2,FALSE)))</f>
        <v/>
      </c>
      <c r="AK250" s="155"/>
      <c r="AL250" s="499" t="str">
        <f>IF(AK250="","",IF(VLOOKUP(AK250,'G-7 Rivers Data'!$AD$4:$AE$8,2,FALSE)=0,"Spatial Data Missing ⚠",VLOOKUP(AK250,'G-7 Rivers Data'!$AD$4:$AE$8,2,FALSE)))</f>
        <v/>
      </c>
      <c r="AM250" s="545" t="str">
        <f t="shared" si="31"/>
        <v/>
      </c>
      <c r="AN250" s="149"/>
      <c r="AO250" s="150"/>
      <c r="AV250" s="31" t="str">
        <f>IFERROR(INDEX('G-7 Rivers Data'!$AZ$3:$AZ$7,MATCH(N250,'G-7 Rivers Data'!$AY$3:$AY$7,0)),"")</f>
        <v/>
      </c>
    </row>
    <row r="251" spans="2:48" ht="13.8" x14ac:dyDescent="0.25">
      <c r="B251" s="531" t="str">
        <f>'C-1 Site River Baseline'!AN249</f>
        <v/>
      </c>
      <c r="C251" s="520" t="str">
        <f>IF(B251="","",VLOOKUP($B251,'C-1 Site River Baseline'!$C$9:$R$257,2,FALSE))</f>
        <v/>
      </c>
      <c r="D251" s="520" t="str">
        <f>IF(C251="","",VLOOKUP($B251,'C-1 Site River Baseline'!$C$9:$R$257,3,FALSE))</f>
        <v/>
      </c>
      <c r="E251" s="520" t="str">
        <f>IF(D251="","",VLOOKUP($B251,'C-1 Site River Baseline'!$C$9:$R$257,4,FALSE))</f>
        <v/>
      </c>
      <c r="F251" s="520" t="str">
        <f>IF(E251="","",VLOOKUP($B251,'C-1 Site River Baseline'!$C$9:$R$257,5,FALSE))</f>
        <v/>
      </c>
      <c r="G251" s="520" t="str">
        <f>IF(F251="","",VLOOKUP($B251,'C-1 Site River Baseline'!$C$9:$R$257,6,FALSE))</f>
        <v/>
      </c>
      <c r="H251" s="520" t="str">
        <f>IF(G251="","",VLOOKUP($B251,'C-1 Site River Baseline'!$C$9:$R$257,7,FALSE))</f>
        <v/>
      </c>
      <c r="I251" s="520" t="str">
        <f>IF(H251="","",VLOOKUP($B251,'C-1 Site River Baseline'!$C$9:$R$257,8,FALSE))</f>
        <v/>
      </c>
      <c r="J251" s="520" t="str">
        <f>IF(I251="","",VLOOKUP($B251,'C-1 Site River Baseline'!$C$9:$R$257,9,FALSE))</f>
        <v/>
      </c>
      <c r="K251" s="520" t="str">
        <f>IF(J251="","",VLOOKUP($B251,'C-1 Site River Baseline'!$C$9:$R$257,10,FALSE))</f>
        <v/>
      </c>
      <c r="L251" s="520" t="str">
        <f>IF(B251="","",VLOOKUP($B251,'C-1 Site River Baseline'!$C$9:$R$257,15,FALSE))</f>
        <v/>
      </c>
      <c r="M251" s="524" t="str">
        <f>IF(L251="","",VLOOKUP($B251,'C-1 Site River Baseline'!$C$9:$R$257,16,FALSE))</f>
        <v/>
      </c>
      <c r="N251" s="418" t="str">
        <f t="shared" si="25"/>
        <v/>
      </c>
      <c r="O251" s="498" t="str">
        <f t="shared" si="26"/>
        <v/>
      </c>
      <c r="P251" s="499"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7" t="str">
        <f>IF(N251="","",VLOOKUP(B251,'C-1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07" t="str">
        <f>IF(V251="","",IF(VLOOKUP(V251,'G-7 Rivers Data'!$AG$4:$AI$9,2,FALSE)=0,"Spatial Data Missing ⚠",VLOOKUP(V251,'G-7 Rivers Data'!$AG$4:$AI$9,2,FALSE)))</f>
        <v/>
      </c>
      <c r="X251" s="499" t="str">
        <f>IF(V251="","",IF(VLOOKUP(V251,'G-7 Rivers Data'!$AG$4:$AI$9,3,FALSE)=0,"Spatial Data Missing ⚠",VLOOKUP(V251,'G-7 Rivers Data'!$AG$4:$AI$9,3,FALSE)))</f>
        <v/>
      </c>
      <c r="Y251" s="498" t="str">
        <f>IFERROR(IF(OR(LEFT(P251,5)="Error ▲",LEFT(O251,5)="Error ▲"),"Check Data ⚠",IF(F251&lt;S251,'G-7 Rivers Data'!$R$3,INDEX('G-7 Rivers Data'!$U$5:$Y$9,MATCH(G251,'G-7 Rivers Data'!$T$5:$T$9,0),MATCH(T251,'G-7 Rivers Data'!$U$4:$Y$4,0)))),"")</f>
        <v/>
      </c>
      <c r="Z251" s="195"/>
      <c r="AA251" s="195"/>
      <c r="AB251" s="507" t="str">
        <f t="shared" si="27"/>
        <v/>
      </c>
      <c r="AC251" s="521" t="str">
        <f t="shared" si="28"/>
        <v/>
      </c>
      <c r="AD251" s="564" t="str">
        <f>IFERROR(IF(AC251="Check Data ⚠","Check Data ⚠",VLOOKUP(AC251,'G-4 Temporal multipliers'!$A$4:$C$37,3,FALSE)),"")</f>
        <v/>
      </c>
      <c r="AE251" s="498" t="str">
        <f>IF(N251="","",VLOOKUP(N251,'G-7 Rivers Data'!$B$4:$G$8,5,FALSE))</f>
        <v/>
      </c>
      <c r="AF251" s="507" t="str">
        <f t="shared" si="29"/>
        <v/>
      </c>
      <c r="AG251" s="540" t="str">
        <f t="shared" si="30"/>
        <v/>
      </c>
      <c r="AH251" s="499" t="str">
        <f t="shared" si="24"/>
        <v/>
      </c>
      <c r="AI251" s="145"/>
      <c r="AJ251" s="499" t="str">
        <f>IF(AI251="","",IF(VLOOKUP(AI251,'G-7 Rivers Data'!$AA$4:$AB$7,2,FALSE)=0,"Spatial Data Missing ⚠",VLOOKUP(AI251,'G-7 Rivers Data'!$AA$4:$AB$7,2,FALSE)))</f>
        <v/>
      </c>
      <c r="AK251" s="155"/>
      <c r="AL251" s="499" t="str">
        <f>IF(AK251="","",IF(VLOOKUP(AK251,'G-7 Rivers Data'!$AD$4:$AE$8,2,FALSE)=0,"Spatial Data Missing ⚠",VLOOKUP(AK251,'G-7 Rivers Data'!$AD$4:$AE$8,2,FALSE)))</f>
        <v/>
      </c>
      <c r="AM251" s="545" t="str">
        <f t="shared" si="31"/>
        <v/>
      </c>
      <c r="AN251" s="149"/>
      <c r="AO251" s="150"/>
      <c r="AV251" s="31" t="str">
        <f>IFERROR(INDEX('G-7 Rivers Data'!$AZ$3:$AZ$7,MATCH(N251,'G-7 Rivers Data'!$AY$3:$AY$7,0)),"")</f>
        <v/>
      </c>
    </row>
    <row r="252" spans="2:48" ht="13.8" x14ac:dyDescent="0.25">
      <c r="B252" s="531" t="str">
        <f>'C-1 Site River Baseline'!AN250</f>
        <v/>
      </c>
      <c r="C252" s="520" t="str">
        <f>IF(B252="","",VLOOKUP($B252,'C-1 Site River Baseline'!$C$9:$R$257,2,FALSE))</f>
        <v/>
      </c>
      <c r="D252" s="520" t="str">
        <f>IF(C252="","",VLOOKUP($B252,'C-1 Site River Baseline'!$C$9:$R$257,3,FALSE))</f>
        <v/>
      </c>
      <c r="E252" s="520" t="str">
        <f>IF(D252="","",VLOOKUP($B252,'C-1 Site River Baseline'!$C$9:$R$257,4,FALSE))</f>
        <v/>
      </c>
      <c r="F252" s="520" t="str">
        <f>IF(E252="","",VLOOKUP($B252,'C-1 Site River Baseline'!$C$9:$R$257,5,FALSE))</f>
        <v/>
      </c>
      <c r="G252" s="520" t="str">
        <f>IF(F252="","",VLOOKUP($B252,'C-1 Site River Baseline'!$C$9:$R$257,6,FALSE))</f>
        <v/>
      </c>
      <c r="H252" s="520" t="str">
        <f>IF(G252="","",VLOOKUP($B252,'C-1 Site River Baseline'!$C$9:$R$257,7,FALSE))</f>
        <v/>
      </c>
      <c r="I252" s="520" t="str">
        <f>IF(H252="","",VLOOKUP($B252,'C-1 Site River Baseline'!$C$9:$R$257,8,FALSE))</f>
        <v/>
      </c>
      <c r="J252" s="520" t="str">
        <f>IF(I252="","",VLOOKUP($B252,'C-1 Site River Baseline'!$C$9:$R$257,9,FALSE))</f>
        <v/>
      </c>
      <c r="K252" s="520" t="str">
        <f>IF(J252="","",VLOOKUP($B252,'C-1 Site River Baseline'!$C$9:$R$257,10,FALSE))</f>
        <v/>
      </c>
      <c r="L252" s="520" t="str">
        <f>IF(B252="","",VLOOKUP($B252,'C-1 Site River Baseline'!$C$9:$R$257,15,FALSE))</f>
        <v/>
      </c>
      <c r="M252" s="524" t="str">
        <f>IF(L252="","",VLOOKUP($B252,'C-1 Site River Baseline'!$C$9:$R$257,16,FALSE))</f>
        <v/>
      </c>
      <c r="N252" s="418" t="str">
        <f t="shared" si="25"/>
        <v/>
      </c>
      <c r="O252" s="498" t="str">
        <f t="shared" si="26"/>
        <v/>
      </c>
      <c r="P252" s="499"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7" t="str">
        <f>IF(N252="","",VLOOKUP(B252,'C-1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07" t="str">
        <f>IF(V252="","",IF(VLOOKUP(V252,'G-7 Rivers Data'!$AG$4:$AI$9,2,FALSE)=0,"Spatial Data Missing ⚠",VLOOKUP(V252,'G-7 Rivers Data'!$AG$4:$AI$9,2,FALSE)))</f>
        <v/>
      </c>
      <c r="X252" s="499" t="str">
        <f>IF(V252="","",IF(VLOOKUP(V252,'G-7 Rivers Data'!$AG$4:$AI$9,3,FALSE)=0,"Spatial Data Missing ⚠",VLOOKUP(V252,'G-7 Rivers Data'!$AG$4:$AI$9,3,FALSE)))</f>
        <v/>
      </c>
      <c r="Y252" s="498" t="str">
        <f>IFERROR(IF(OR(LEFT(P252,5)="Error ▲",LEFT(O252,5)="Error ▲"),"Check Data ⚠",IF(F252&lt;S252,'G-7 Rivers Data'!$R$3,INDEX('G-7 Rivers Data'!$U$5:$Y$9,MATCH(G252,'G-7 Rivers Data'!$T$5:$T$9,0),MATCH(T252,'G-7 Rivers Data'!$U$4:$Y$4,0)))),"")</f>
        <v/>
      </c>
      <c r="Z252" s="195"/>
      <c r="AA252" s="195"/>
      <c r="AB252" s="507" t="str">
        <f t="shared" si="27"/>
        <v/>
      </c>
      <c r="AC252" s="521" t="str">
        <f t="shared" si="28"/>
        <v/>
      </c>
      <c r="AD252" s="564" t="str">
        <f>IFERROR(IF(AC252="Check Data ⚠","Check Data ⚠",VLOOKUP(AC252,'G-4 Temporal multipliers'!$A$4:$C$37,3,FALSE)),"")</f>
        <v/>
      </c>
      <c r="AE252" s="498" t="str">
        <f>IF(N252="","",VLOOKUP(N252,'G-7 Rivers Data'!$B$4:$G$8,5,FALSE))</f>
        <v/>
      </c>
      <c r="AF252" s="507" t="str">
        <f t="shared" si="29"/>
        <v/>
      </c>
      <c r="AG252" s="540" t="str">
        <f t="shared" si="30"/>
        <v/>
      </c>
      <c r="AH252" s="499" t="str">
        <f t="shared" si="24"/>
        <v/>
      </c>
      <c r="AI252" s="145"/>
      <c r="AJ252" s="499" t="str">
        <f>IF(AI252="","",IF(VLOOKUP(AI252,'G-7 Rivers Data'!$AA$4:$AB$7,2,FALSE)=0,"Spatial Data Missing ⚠",VLOOKUP(AI252,'G-7 Rivers Data'!$AA$4:$AB$7,2,FALSE)))</f>
        <v/>
      </c>
      <c r="AK252" s="155"/>
      <c r="AL252" s="499" t="str">
        <f>IF(AK252="","",IF(VLOOKUP(AK252,'G-7 Rivers Data'!$AD$4:$AE$8,2,FALSE)=0,"Spatial Data Missing ⚠",VLOOKUP(AK252,'G-7 Rivers Data'!$AD$4:$AE$8,2,FALSE)))</f>
        <v/>
      </c>
      <c r="AM252" s="545" t="str">
        <f t="shared" si="31"/>
        <v/>
      </c>
      <c r="AN252" s="149"/>
      <c r="AO252" s="150"/>
      <c r="AV252" s="31" t="str">
        <f>IFERROR(INDEX('G-7 Rivers Data'!$AZ$3:$AZ$7,MATCH(N252,'G-7 Rivers Data'!$AY$3:$AY$7,0)),"")</f>
        <v/>
      </c>
    </row>
    <row r="253" spans="2:48" ht="13.8" x14ac:dyDescent="0.25">
      <c r="B253" s="531" t="str">
        <f>'C-1 Site River Baseline'!AN251</f>
        <v/>
      </c>
      <c r="C253" s="520" t="str">
        <f>IF(B253="","",VLOOKUP($B253,'C-1 Site River Baseline'!$C$9:$R$257,2,FALSE))</f>
        <v/>
      </c>
      <c r="D253" s="520" t="str">
        <f>IF(C253="","",VLOOKUP($B253,'C-1 Site River Baseline'!$C$9:$R$257,3,FALSE))</f>
        <v/>
      </c>
      <c r="E253" s="520" t="str">
        <f>IF(D253="","",VLOOKUP($B253,'C-1 Site River Baseline'!$C$9:$R$257,4,FALSE))</f>
        <v/>
      </c>
      <c r="F253" s="520" t="str">
        <f>IF(E253="","",VLOOKUP($B253,'C-1 Site River Baseline'!$C$9:$R$257,5,FALSE))</f>
        <v/>
      </c>
      <c r="G253" s="520" t="str">
        <f>IF(F253="","",VLOOKUP($B253,'C-1 Site River Baseline'!$C$9:$R$257,6,FALSE))</f>
        <v/>
      </c>
      <c r="H253" s="520" t="str">
        <f>IF(G253="","",VLOOKUP($B253,'C-1 Site River Baseline'!$C$9:$R$257,7,FALSE))</f>
        <v/>
      </c>
      <c r="I253" s="520" t="str">
        <f>IF(H253="","",VLOOKUP($B253,'C-1 Site River Baseline'!$C$9:$R$257,8,FALSE))</f>
        <v/>
      </c>
      <c r="J253" s="520" t="str">
        <f>IF(I253="","",VLOOKUP($B253,'C-1 Site River Baseline'!$C$9:$R$257,9,FALSE))</f>
        <v/>
      </c>
      <c r="K253" s="520" t="str">
        <f>IF(J253="","",VLOOKUP($B253,'C-1 Site River Baseline'!$C$9:$R$257,10,FALSE))</f>
        <v/>
      </c>
      <c r="L253" s="520" t="str">
        <f>IF(B253="","",VLOOKUP($B253,'C-1 Site River Baseline'!$C$9:$R$257,15,FALSE))</f>
        <v/>
      </c>
      <c r="M253" s="524" t="str">
        <f>IF(L253="","",VLOOKUP($B253,'C-1 Site River Baseline'!$C$9:$R$257,16,FALSE))</f>
        <v/>
      </c>
      <c r="N253" s="418" t="str">
        <f t="shared" si="25"/>
        <v/>
      </c>
      <c r="O253" s="498" t="str">
        <f t="shared" si="26"/>
        <v/>
      </c>
      <c r="P253" s="499"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7" t="str">
        <f>IF(N253="","",VLOOKUP(B253,'C-1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07" t="str">
        <f>IF(V253="","",IF(VLOOKUP(V253,'G-7 Rivers Data'!$AG$4:$AI$9,2,FALSE)=0,"Spatial Data Missing ⚠",VLOOKUP(V253,'G-7 Rivers Data'!$AG$4:$AI$9,2,FALSE)))</f>
        <v/>
      </c>
      <c r="X253" s="499" t="str">
        <f>IF(V253="","",IF(VLOOKUP(V253,'G-7 Rivers Data'!$AG$4:$AI$9,3,FALSE)=0,"Spatial Data Missing ⚠",VLOOKUP(V253,'G-7 Rivers Data'!$AG$4:$AI$9,3,FALSE)))</f>
        <v/>
      </c>
      <c r="Y253" s="498" t="str">
        <f>IFERROR(IF(OR(LEFT(P253,5)="Error ▲",LEFT(O253,5)="Error ▲"),"Check Data ⚠",IF(F253&lt;S253,'G-7 Rivers Data'!$R$3,INDEX('G-7 Rivers Data'!$U$5:$Y$9,MATCH(G253,'G-7 Rivers Data'!$T$5:$T$9,0),MATCH(T253,'G-7 Rivers Data'!$U$4:$Y$4,0)))),"")</f>
        <v/>
      </c>
      <c r="Z253" s="195"/>
      <c r="AA253" s="195"/>
      <c r="AB253" s="507" t="str">
        <f t="shared" si="27"/>
        <v/>
      </c>
      <c r="AC253" s="521" t="str">
        <f t="shared" si="28"/>
        <v/>
      </c>
      <c r="AD253" s="564" t="str">
        <f>IFERROR(IF(AC253="Check Data ⚠","Check Data ⚠",VLOOKUP(AC253,'G-4 Temporal multipliers'!$A$4:$C$37,3,FALSE)),"")</f>
        <v/>
      </c>
      <c r="AE253" s="498" t="str">
        <f>IF(N253="","",VLOOKUP(N253,'G-7 Rivers Data'!$B$4:$G$8,5,FALSE))</f>
        <v/>
      </c>
      <c r="AF253" s="507" t="str">
        <f t="shared" si="29"/>
        <v/>
      </c>
      <c r="AG253" s="540" t="str">
        <f t="shared" si="30"/>
        <v/>
      </c>
      <c r="AH253" s="499" t="str">
        <f t="shared" si="24"/>
        <v/>
      </c>
      <c r="AI253" s="145"/>
      <c r="AJ253" s="499" t="str">
        <f>IF(AI253="","",IF(VLOOKUP(AI253,'G-7 Rivers Data'!$AA$4:$AB$7,2,FALSE)=0,"Spatial Data Missing ⚠",VLOOKUP(AI253,'G-7 Rivers Data'!$AA$4:$AB$7,2,FALSE)))</f>
        <v/>
      </c>
      <c r="AK253" s="155"/>
      <c r="AL253" s="499" t="str">
        <f>IF(AK253="","",IF(VLOOKUP(AK253,'G-7 Rivers Data'!$AD$4:$AE$8,2,FALSE)=0,"Spatial Data Missing ⚠",VLOOKUP(AK253,'G-7 Rivers Data'!$AD$4:$AE$8,2,FALSE)))</f>
        <v/>
      </c>
      <c r="AM253" s="545" t="str">
        <f t="shared" si="31"/>
        <v/>
      </c>
      <c r="AN253" s="149"/>
      <c r="AO253" s="150"/>
      <c r="AV253" s="31" t="str">
        <f>IFERROR(INDEX('G-7 Rivers Data'!$AZ$3:$AZ$7,MATCH(N253,'G-7 Rivers Data'!$AY$3:$AY$7,0)),"")</f>
        <v/>
      </c>
    </row>
    <row r="254" spans="2:48" ht="13.8" x14ac:dyDescent="0.25">
      <c r="B254" s="531" t="str">
        <f>'C-1 Site River Baseline'!AN252</f>
        <v/>
      </c>
      <c r="C254" s="520" t="str">
        <f>IF(B254="","",VLOOKUP($B254,'C-1 Site River Baseline'!$C$9:$R$257,2,FALSE))</f>
        <v/>
      </c>
      <c r="D254" s="520" t="str">
        <f>IF(C254="","",VLOOKUP($B254,'C-1 Site River Baseline'!$C$9:$R$257,3,FALSE))</f>
        <v/>
      </c>
      <c r="E254" s="520" t="str">
        <f>IF(D254="","",VLOOKUP($B254,'C-1 Site River Baseline'!$C$9:$R$257,4,FALSE))</f>
        <v/>
      </c>
      <c r="F254" s="520" t="str">
        <f>IF(E254="","",VLOOKUP($B254,'C-1 Site River Baseline'!$C$9:$R$257,5,FALSE))</f>
        <v/>
      </c>
      <c r="G254" s="520" t="str">
        <f>IF(F254="","",VLOOKUP($B254,'C-1 Site River Baseline'!$C$9:$R$257,6,FALSE))</f>
        <v/>
      </c>
      <c r="H254" s="520" t="str">
        <f>IF(G254="","",VLOOKUP($B254,'C-1 Site River Baseline'!$C$9:$R$257,7,FALSE))</f>
        <v/>
      </c>
      <c r="I254" s="520" t="str">
        <f>IF(H254="","",VLOOKUP($B254,'C-1 Site River Baseline'!$C$9:$R$257,8,FALSE))</f>
        <v/>
      </c>
      <c r="J254" s="520" t="str">
        <f>IF(I254="","",VLOOKUP($B254,'C-1 Site River Baseline'!$C$9:$R$257,9,FALSE))</f>
        <v/>
      </c>
      <c r="K254" s="520" t="str">
        <f>IF(J254="","",VLOOKUP($B254,'C-1 Site River Baseline'!$C$9:$R$257,10,FALSE))</f>
        <v/>
      </c>
      <c r="L254" s="520" t="str">
        <f>IF(B254="","",VLOOKUP($B254,'C-1 Site River Baseline'!$C$9:$R$257,15,FALSE))</f>
        <v/>
      </c>
      <c r="M254" s="524" t="str">
        <f>IF(L254="","",VLOOKUP($B254,'C-1 Site River Baseline'!$C$9:$R$257,16,FALSE))</f>
        <v/>
      </c>
      <c r="N254" s="418" t="str">
        <f t="shared" si="25"/>
        <v/>
      </c>
      <c r="O254" s="498" t="str">
        <f t="shared" si="26"/>
        <v/>
      </c>
      <c r="P254" s="499"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7" t="str">
        <f>IF(N254="","",VLOOKUP(B254,'C-1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07" t="str">
        <f>IF(V254="","",IF(VLOOKUP(V254,'G-7 Rivers Data'!$AG$4:$AI$9,2,FALSE)=0,"Spatial Data Missing ⚠",VLOOKUP(V254,'G-7 Rivers Data'!$AG$4:$AI$9,2,FALSE)))</f>
        <v/>
      </c>
      <c r="X254" s="499" t="str">
        <f>IF(V254="","",IF(VLOOKUP(V254,'G-7 Rivers Data'!$AG$4:$AI$9,3,FALSE)=0,"Spatial Data Missing ⚠",VLOOKUP(V254,'G-7 Rivers Data'!$AG$4:$AI$9,3,FALSE)))</f>
        <v/>
      </c>
      <c r="Y254" s="498" t="str">
        <f>IFERROR(IF(OR(LEFT(P254,5)="Error ▲",LEFT(O254,5)="Error ▲"),"Check Data ⚠",IF(F254&lt;S254,'G-7 Rivers Data'!$R$3,INDEX('G-7 Rivers Data'!$U$5:$Y$9,MATCH(G254,'G-7 Rivers Data'!$T$5:$T$9,0),MATCH(T254,'G-7 Rivers Data'!$U$4:$Y$4,0)))),"")</f>
        <v/>
      </c>
      <c r="Z254" s="195"/>
      <c r="AA254" s="195"/>
      <c r="AB254" s="507" t="str">
        <f t="shared" si="27"/>
        <v/>
      </c>
      <c r="AC254" s="521" t="str">
        <f t="shared" si="28"/>
        <v/>
      </c>
      <c r="AD254" s="564" t="str">
        <f>IFERROR(IF(AC254="Check Data ⚠","Check Data ⚠",VLOOKUP(AC254,'G-4 Temporal multipliers'!$A$4:$C$37,3,FALSE)),"")</f>
        <v/>
      </c>
      <c r="AE254" s="498" t="str">
        <f>IF(N254="","",VLOOKUP(N254,'G-7 Rivers Data'!$B$4:$G$8,5,FALSE))</f>
        <v/>
      </c>
      <c r="AF254" s="507" t="str">
        <f t="shared" si="29"/>
        <v/>
      </c>
      <c r="AG254" s="540" t="str">
        <f t="shared" si="30"/>
        <v/>
      </c>
      <c r="AH254" s="499" t="str">
        <f t="shared" si="24"/>
        <v/>
      </c>
      <c r="AI254" s="145"/>
      <c r="AJ254" s="499" t="str">
        <f>IF(AI254="","",IF(VLOOKUP(AI254,'G-7 Rivers Data'!$AA$4:$AB$7,2,FALSE)=0,"Spatial Data Missing ⚠",VLOOKUP(AI254,'G-7 Rivers Data'!$AA$4:$AB$7,2,FALSE)))</f>
        <v/>
      </c>
      <c r="AK254" s="155"/>
      <c r="AL254" s="499" t="str">
        <f>IF(AK254="","",IF(VLOOKUP(AK254,'G-7 Rivers Data'!$AD$4:$AE$8,2,FALSE)=0,"Spatial Data Missing ⚠",VLOOKUP(AK254,'G-7 Rivers Data'!$AD$4:$AE$8,2,FALSE)))</f>
        <v/>
      </c>
      <c r="AM254" s="545" t="str">
        <f t="shared" si="31"/>
        <v/>
      </c>
      <c r="AN254" s="149"/>
      <c r="AO254" s="150"/>
      <c r="AV254" s="31" t="str">
        <f>IFERROR(INDEX('G-7 Rivers Data'!$AZ$3:$AZ$7,MATCH(N254,'G-7 Rivers Data'!$AY$3:$AY$7,0)),"")</f>
        <v/>
      </c>
    </row>
    <row r="255" spans="2:48" ht="13.8" x14ac:dyDescent="0.25">
      <c r="B255" s="531" t="str">
        <f>'C-1 Site River Baseline'!AN253</f>
        <v/>
      </c>
      <c r="C255" s="520" t="str">
        <f>IF(B255="","",VLOOKUP($B255,'C-1 Site River Baseline'!$C$9:$R$257,2,FALSE))</f>
        <v/>
      </c>
      <c r="D255" s="520" t="str">
        <f>IF(C255="","",VLOOKUP($B255,'C-1 Site River Baseline'!$C$9:$R$257,3,FALSE))</f>
        <v/>
      </c>
      <c r="E255" s="520" t="str">
        <f>IF(D255="","",VLOOKUP($B255,'C-1 Site River Baseline'!$C$9:$R$257,4,FALSE))</f>
        <v/>
      </c>
      <c r="F255" s="520" t="str">
        <f>IF(E255="","",VLOOKUP($B255,'C-1 Site River Baseline'!$C$9:$R$257,5,FALSE))</f>
        <v/>
      </c>
      <c r="G255" s="520" t="str">
        <f>IF(F255="","",VLOOKUP($B255,'C-1 Site River Baseline'!$C$9:$R$257,6,FALSE))</f>
        <v/>
      </c>
      <c r="H255" s="520" t="str">
        <f>IF(G255="","",VLOOKUP($B255,'C-1 Site River Baseline'!$C$9:$R$257,7,FALSE))</f>
        <v/>
      </c>
      <c r="I255" s="520" t="str">
        <f>IF(H255="","",VLOOKUP($B255,'C-1 Site River Baseline'!$C$9:$R$257,8,FALSE))</f>
        <v/>
      </c>
      <c r="J255" s="520" t="str">
        <f>IF(I255="","",VLOOKUP($B255,'C-1 Site River Baseline'!$C$9:$R$257,9,FALSE))</f>
        <v/>
      </c>
      <c r="K255" s="520" t="str">
        <f>IF(J255="","",VLOOKUP($B255,'C-1 Site River Baseline'!$C$9:$R$257,10,FALSE))</f>
        <v/>
      </c>
      <c r="L255" s="520" t="str">
        <f>IF(B255="","",VLOOKUP($B255,'C-1 Site River Baseline'!$C$9:$R$257,15,FALSE))</f>
        <v/>
      </c>
      <c r="M255" s="524" t="str">
        <f>IF(L255="","",VLOOKUP($B255,'C-1 Site River Baseline'!$C$9:$R$257,16,FALSE))</f>
        <v/>
      </c>
      <c r="N255" s="418" t="str">
        <f t="shared" si="25"/>
        <v/>
      </c>
      <c r="O255" s="498" t="str">
        <f t="shared" si="26"/>
        <v/>
      </c>
      <c r="P255" s="499"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7" t="str">
        <f>IF(N255="","",VLOOKUP(B255,'C-1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07" t="str">
        <f>IF(V255="","",IF(VLOOKUP(V255,'G-7 Rivers Data'!$AG$4:$AI$9,2,FALSE)=0,"Spatial Data Missing ⚠",VLOOKUP(V255,'G-7 Rivers Data'!$AG$4:$AI$9,2,FALSE)))</f>
        <v/>
      </c>
      <c r="X255" s="499" t="str">
        <f>IF(V255="","",IF(VLOOKUP(V255,'G-7 Rivers Data'!$AG$4:$AI$9,3,FALSE)=0,"Spatial Data Missing ⚠",VLOOKUP(V255,'G-7 Rivers Data'!$AG$4:$AI$9,3,FALSE)))</f>
        <v/>
      </c>
      <c r="Y255" s="498" t="str">
        <f>IFERROR(IF(OR(LEFT(P255,5)="Error ▲",LEFT(O255,5)="Error ▲"),"Check Data ⚠",IF(F255&lt;S255,'G-7 Rivers Data'!$R$3,INDEX('G-7 Rivers Data'!$U$5:$Y$9,MATCH(G255,'G-7 Rivers Data'!$T$5:$T$9,0),MATCH(T255,'G-7 Rivers Data'!$U$4:$Y$4,0)))),"")</f>
        <v/>
      </c>
      <c r="Z255" s="195"/>
      <c r="AA255" s="195"/>
      <c r="AB255" s="507" t="str">
        <f t="shared" si="27"/>
        <v/>
      </c>
      <c r="AC255" s="521" t="str">
        <f t="shared" si="28"/>
        <v/>
      </c>
      <c r="AD255" s="564" t="str">
        <f>IFERROR(IF(AC255="Check Data ⚠","Check Data ⚠",VLOOKUP(AC255,'G-4 Temporal multipliers'!$A$4:$C$37,3,FALSE)),"")</f>
        <v/>
      </c>
      <c r="AE255" s="498" t="str">
        <f>IF(N255="","",VLOOKUP(N255,'G-7 Rivers Data'!$B$4:$G$8,5,FALSE))</f>
        <v/>
      </c>
      <c r="AF255" s="507" t="str">
        <f t="shared" si="29"/>
        <v/>
      </c>
      <c r="AG255" s="540" t="str">
        <f t="shared" si="30"/>
        <v/>
      </c>
      <c r="AH255" s="499" t="str">
        <f t="shared" si="24"/>
        <v/>
      </c>
      <c r="AI255" s="145"/>
      <c r="AJ255" s="499" t="str">
        <f>IF(AI255="","",IF(VLOOKUP(AI255,'G-7 Rivers Data'!$AA$4:$AB$7,2,FALSE)=0,"Spatial Data Missing ⚠",VLOOKUP(AI255,'G-7 Rivers Data'!$AA$4:$AB$7,2,FALSE)))</f>
        <v/>
      </c>
      <c r="AK255" s="155"/>
      <c r="AL255" s="499" t="str">
        <f>IF(AK255="","",IF(VLOOKUP(AK255,'G-7 Rivers Data'!$AD$4:$AE$8,2,FALSE)=0,"Spatial Data Missing ⚠",VLOOKUP(AK255,'G-7 Rivers Data'!$AD$4:$AE$8,2,FALSE)))</f>
        <v/>
      </c>
      <c r="AM255" s="545" t="str">
        <f t="shared" si="31"/>
        <v/>
      </c>
      <c r="AN255" s="149"/>
      <c r="AO255" s="150"/>
      <c r="AV255" s="31" t="str">
        <f>IFERROR(INDEX('G-7 Rivers Data'!$AZ$3:$AZ$7,MATCH(N255,'G-7 Rivers Data'!$AY$3:$AY$7,0)),"")</f>
        <v/>
      </c>
    </row>
    <row r="256" spans="2:48" ht="13.8" x14ac:dyDescent="0.25">
      <c r="B256" s="531" t="str">
        <f>'C-1 Site River Baseline'!AN254</f>
        <v/>
      </c>
      <c r="C256" s="520" t="str">
        <f>IF(B256="","",VLOOKUP($B256,'C-1 Site River Baseline'!$C$9:$R$257,2,FALSE))</f>
        <v/>
      </c>
      <c r="D256" s="520" t="str">
        <f>IF(C256="","",VLOOKUP($B256,'C-1 Site River Baseline'!$C$9:$R$257,3,FALSE))</f>
        <v/>
      </c>
      <c r="E256" s="520" t="str">
        <f>IF(D256="","",VLOOKUP($B256,'C-1 Site River Baseline'!$C$9:$R$257,4,FALSE))</f>
        <v/>
      </c>
      <c r="F256" s="520" t="str">
        <f>IF(E256="","",VLOOKUP($B256,'C-1 Site River Baseline'!$C$9:$R$257,5,FALSE))</f>
        <v/>
      </c>
      <c r="G256" s="520" t="str">
        <f>IF(F256="","",VLOOKUP($B256,'C-1 Site River Baseline'!$C$9:$R$257,6,FALSE))</f>
        <v/>
      </c>
      <c r="H256" s="520" t="str">
        <f>IF(G256="","",VLOOKUP($B256,'C-1 Site River Baseline'!$C$9:$R$257,7,FALSE))</f>
        <v/>
      </c>
      <c r="I256" s="520" t="str">
        <f>IF(H256="","",VLOOKUP($B256,'C-1 Site River Baseline'!$C$9:$R$257,8,FALSE))</f>
        <v/>
      </c>
      <c r="J256" s="520" t="str">
        <f>IF(I256="","",VLOOKUP($B256,'C-1 Site River Baseline'!$C$9:$R$257,9,FALSE))</f>
        <v/>
      </c>
      <c r="K256" s="520" t="str">
        <f>IF(J256="","",VLOOKUP($B256,'C-1 Site River Baseline'!$C$9:$R$257,10,FALSE))</f>
        <v/>
      </c>
      <c r="L256" s="520" t="str">
        <f>IF(B256="","",VLOOKUP($B256,'C-1 Site River Baseline'!$C$9:$R$257,15,FALSE))</f>
        <v/>
      </c>
      <c r="M256" s="524" t="str">
        <f>IF(L256="","",VLOOKUP($B256,'C-1 Site River Baseline'!$C$9:$R$257,16,FALSE))</f>
        <v/>
      </c>
      <c r="N256" s="418" t="str">
        <f t="shared" si="25"/>
        <v/>
      </c>
      <c r="O256" s="498" t="str">
        <f t="shared" si="26"/>
        <v/>
      </c>
      <c r="P256" s="499"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7" t="str">
        <f>IF(N256="","",VLOOKUP(B256,'C-1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07" t="str">
        <f>IF(V256="","",IF(VLOOKUP(V256,'G-7 Rivers Data'!$AG$4:$AI$9,2,FALSE)=0,"Spatial Data Missing ⚠",VLOOKUP(V256,'G-7 Rivers Data'!$AG$4:$AI$9,2,FALSE)))</f>
        <v/>
      </c>
      <c r="X256" s="499" t="str">
        <f>IF(V256="","",IF(VLOOKUP(V256,'G-7 Rivers Data'!$AG$4:$AI$9,3,FALSE)=0,"Spatial Data Missing ⚠",VLOOKUP(V256,'G-7 Rivers Data'!$AG$4:$AI$9,3,FALSE)))</f>
        <v/>
      </c>
      <c r="Y256" s="498" t="str">
        <f>IFERROR(IF(OR(LEFT(P256,5)="Error ▲",LEFT(O256,5)="Error ▲"),"Check Data ⚠",IF(F256&lt;S256,'G-7 Rivers Data'!$R$3,INDEX('G-7 Rivers Data'!$U$5:$Y$9,MATCH(G256,'G-7 Rivers Data'!$T$5:$T$9,0),MATCH(T256,'G-7 Rivers Data'!$U$4:$Y$4,0)))),"")</f>
        <v/>
      </c>
      <c r="Z256" s="195"/>
      <c r="AA256" s="195"/>
      <c r="AB256" s="507" t="str">
        <f t="shared" si="27"/>
        <v/>
      </c>
      <c r="AC256" s="521" t="str">
        <f t="shared" si="28"/>
        <v/>
      </c>
      <c r="AD256" s="564" t="str">
        <f>IFERROR(IF(AC256="Check Data ⚠","Check Data ⚠",VLOOKUP(AC256,'G-4 Temporal multipliers'!$A$4:$C$37,3,FALSE)),"")</f>
        <v/>
      </c>
      <c r="AE256" s="498" t="str">
        <f>IF(N256="","",VLOOKUP(N256,'G-7 Rivers Data'!$B$4:$G$8,5,FALSE))</f>
        <v/>
      </c>
      <c r="AF256" s="507" t="str">
        <f t="shared" si="29"/>
        <v/>
      </c>
      <c r="AG256" s="540" t="str">
        <f t="shared" si="30"/>
        <v/>
      </c>
      <c r="AH256" s="499" t="str">
        <f t="shared" si="24"/>
        <v/>
      </c>
      <c r="AI256" s="145"/>
      <c r="AJ256" s="499" t="str">
        <f>IF(AI256="","",IF(VLOOKUP(AI256,'G-7 Rivers Data'!$AA$4:$AB$7,2,FALSE)=0,"Spatial Data Missing ⚠",VLOOKUP(AI256,'G-7 Rivers Data'!$AA$4:$AB$7,2,FALSE)))</f>
        <v/>
      </c>
      <c r="AK256" s="155"/>
      <c r="AL256" s="499" t="str">
        <f>IF(AK256="","",IF(VLOOKUP(AK256,'G-7 Rivers Data'!$AD$4:$AE$8,2,FALSE)=0,"Spatial Data Missing ⚠",VLOOKUP(AK256,'G-7 Rivers Data'!$AD$4:$AE$8,2,FALSE)))</f>
        <v/>
      </c>
      <c r="AM256" s="545" t="str">
        <f t="shared" si="31"/>
        <v/>
      </c>
      <c r="AN256" s="149"/>
      <c r="AO256" s="150"/>
      <c r="AV256" s="31" t="str">
        <f>IFERROR(INDEX('G-7 Rivers Data'!$AZ$3:$AZ$7,MATCH(N256,'G-7 Rivers Data'!$AY$3:$AY$7,0)),"")</f>
        <v/>
      </c>
    </row>
    <row r="257" spans="2:48" ht="14.4" thickBot="1" x14ac:dyDescent="0.3">
      <c r="B257" s="558" t="str">
        <f>'C-1 Site River Baseline'!AN255</f>
        <v/>
      </c>
      <c r="C257" s="508" t="str">
        <f>IF(B257="","",VLOOKUP($B257,'C-1 Site River Baseline'!$C$9:$R$257,2,FALSE))</f>
        <v/>
      </c>
      <c r="D257" s="508" t="str">
        <f>IF(C257="","",VLOOKUP($B257,'C-1 Site River Baseline'!$C$9:$R$257,3,FALSE))</f>
        <v/>
      </c>
      <c r="E257" s="508" t="str">
        <f>IF(D257="","",VLOOKUP($B257,'C-1 Site River Baseline'!$C$9:$R$257,4,FALSE))</f>
        <v/>
      </c>
      <c r="F257" s="508" t="str">
        <f>IF(E257="","",VLOOKUP($B257,'C-1 Site River Baseline'!$C$9:$R$257,5,FALSE))</f>
        <v/>
      </c>
      <c r="G257" s="508" t="str">
        <f>IF(F257="","",VLOOKUP($B257,'C-1 Site River Baseline'!$C$9:$R$257,6,FALSE))</f>
        <v/>
      </c>
      <c r="H257" s="508" t="str">
        <f>IF(G257="","",VLOOKUP($B257,'C-1 Site River Baseline'!$C$9:$R$257,7,FALSE))</f>
        <v/>
      </c>
      <c r="I257" s="508" t="str">
        <f>IF(H257="","",VLOOKUP($B257,'C-1 Site River Baseline'!$C$9:$R$257,8,FALSE))</f>
        <v/>
      </c>
      <c r="J257" s="508" t="str">
        <f>IF(I257="","",VLOOKUP($B257,'C-1 Site River Baseline'!$C$9:$R$257,9,FALSE))</f>
        <v/>
      </c>
      <c r="K257" s="508" t="str">
        <f>IF(J257="","",VLOOKUP($B257,'C-1 Site River Baseline'!$C$9:$R$257,10,FALSE))</f>
        <v/>
      </c>
      <c r="L257" s="508" t="str">
        <f>IF(B257="","",VLOOKUP($B257,'C-1 Site River Baseline'!$C$9:$R$257,15,FALSE))</f>
        <v/>
      </c>
      <c r="M257" s="501" t="str">
        <f>IF(L257="","",VLOOKUP($B257,'C-1 Site River Baseline'!$C$9:$R$257,16,FALSE))</f>
        <v/>
      </c>
      <c r="N257" s="418" t="str">
        <f t="shared" si="25"/>
        <v/>
      </c>
      <c r="O257" s="498" t="str">
        <f t="shared" si="26"/>
        <v/>
      </c>
      <c r="P257" s="499"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8" t="str">
        <f>IF(N257="","",VLOOKUP(B257,'C-1 Site River Baseline'!$C$10:$AA$257,19,FALSE))</f>
        <v/>
      </c>
      <c r="R257" s="500" t="str">
        <f>IF(N257="","",VLOOKUP(N257,'G-7 Rivers Data'!$B$2:$G$8,2,FALSE))</f>
        <v/>
      </c>
      <c r="S257" s="501" t="str">
        <f>IFERROR(VLOOKUP(R257,'G-7 Rivers Data'!$C$4:$D$8,2,FALSE),"")</f>
        <v/>
      </c>
      <c r="T257" s="161"/>
      <c r="U257" s="501" t="str">
        <f>IFERROR(INDEX('G-7 Rivers Data'!$H$4:$L$8,MATCH(N257,'G-7 Rivers Data'!$B$4:$B$8,0),MATCH(T257,'G-7 Rivers Data'!$H$3:$L$3,0)),"")</f>
        <v/>
      </c>
      <c r="V257" s="161"/>
      <c r="W257" s="507" t="str">
        <f>IF(V257="","",IF(VLOOKUP(V257,'G-7 Rivers Data'!$AG$4:$AI$9,2,FALSE)=0,"Spatial Data Missing ⚠",VLOOKUP(V257,'G-7 Rivers Data'!$AG$4:$AI$9,2,FALSE)))</f>
        <v/>
      </c>
      <c r="X257" s="499" t="str">
        <f>IF(V257="","",IF(VLOOKUP(V257,'G-7 Rivers Data'!$AG$4:$AI$9,3,FALSE)=0,"Spatial Data Missing ⚠",VLOOKUP(V257,'G-7 Rivers Data'!$AG$4:$AI$9,3,FALSE)))</f>
        <v/>
      </c>
      <c r="Y257" s="498" t="str">
        <f>IFERROR(IF(OR(LEFT(P257,5)="Error ▲",LEFT(O257,5)="Error ▲"),"Check Data ⚠",IF(F257&lt;S257,'G-7 Rivers Data'!$R$3,INDEX('G-7 Rivers Data'!$U$5:$Y$9,MATCH(G257,'G-7 Rivers Data'!$T$5:$T$9,0),MATCH(T257,'G-7 Rivers Data'!$U$4:$Y$4,0)))),"")</f>
        <v/>
      </c>
      <c r="Z257" s="206"/>
      <c r="AA257" s="206"/>
      <c r="AB257" s="507" t="str">
        <f t="shared" si="27"/>
        <v/>
      </c>
      <c r="AC257" s="521" t="str">
        <f t="shared" si="28"/>
        <v/>
      </c>
      <c r="AD257" s="564" t="str">
        <f>IFERROR(IF(AC257="Check Data ⚠","Check Data ⚠",VLOOKUP(AC257,'G-4 Temporal multipliers'!$A$4:$C$37,3,FALSE)),"")</f>
        <v/>
      </c>
      <c r="AE257" s="500" t="str">
        <f>IF(N257="","",VLOOKUP(N257,'G-7 Rivers Data'!$B$4:$G$8,5,FALSE))</f>
        <v/>
      </c>
      <c r="AF257" s="507" t="str">
        <f t="shared" si="29"/>
        <v/>
      </c>
      <c r="AG257" s="540" t="str">
        <f t="shared" si="30"/>
        <v/>
      </c>
      <c r="AH257" s="501" t="str">
        <f t="shared" si="24"/>
        <v/>
      </c>
      <c r="AI257" s="161"/>
      <c r="AJ257" s="499" t="str">
        <f>IF(AI257="","",IF(VLOOKUP(AI257,'G-7 Rivers Data'!$AA$4:$AB$7,2,FALSE)=0,"Spatial Data Missing ⚠",VLOOKUP(AI257,'G-7 Rivers Data'!$AA$4:$AB$7,2,FALSE)))</f>
        <v/>
      </c>
      <c r="AK257" s="273"/>
      <c r="AL257" s="499" t="str">
        <f>IF(AK257="","",IF(VLOOKUP(AK257,'G-7 Rivers Data'!$AD$4:$AE$8,2,FALSE)=0,"Spatial Data Missing ⚠",VLOOKUP(AK257,'G-7 Rivers Data'!$AD$4:$AE$8,2,FALSE)))</f>
        <v/>
      </c>
      <c r="AM257" s="545"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 thickBot="1" x14ac:dyDescent="0.3">
      <c r="C258" s="166"/>
      <c r="D258" s="166"/>
      <c r="E258" s="166"/>
      <c r="F258" s="166"/>
      <c r="G258" s="166"/>
      <c r="H258" s="166"/>
      <c r="I258" s="166"/>
      <c r="J258" s="166"/>
      <c r="K258" s="166"/>
      <c r="L258" s="166"/>
      <c r="M258" s="166"/>
      <c r="N258" s="277"/>
      <c r="O258" s="166"/>
      <c r="P258" s="166"/>
      <c r="Q258" s="566">
        <f>SUM(Q12:Q257)</f>
        <v>0</v>
      </c>
      <c r="R258" s="276"/>
      <c r="AF258" s="46"/>
      <c r="AG258" s="46"/>
      <c r="AJ258" s="31" t="str">
        <f>IF(AI258="","",IF(VLOOKUP(AI258,'[2]G-7 Rivers Data'!$AA$4:$AB$6,2,FALSE)=0,"Spatial Data Missing",VLOOKUP(AI258,'[2]G-7 Rivers Data'!$AA$4:$AB$6,2,FALSE)))</f>
        <v/>
      </c>
      <c r="AK258" s="1014"/>
      <c r="AL258" s="1014"/>
      <c r="AM258" s="569">
        <f>SUM(AM12:AM257)</f>
        <v>0</v>
      </c>
    </row>
    <row r="259" spans="2:48" ht="13.8" x14ac:dyDescent="0.25">
      <c r="AJ259" s="31"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rBMp62/zu9gMOvDGg8teJI4SwfJNY2pv+vBw6VW/WZYQDjPpOjkxfwgT3ONMorbiU2pX01vT/kci65+S+F3BPg==" saltValue="y9BJXkP0DRgZ+eOPxf8i1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6640625" style="132" customWidth="1"/>
    <col min="3" max="3" width="10" style="132" customWidth="1"/>
    <col min="4" max="4" width="55" style="31" customWidth="1"/>
    <col min="5" max="5" width="8.5546875" style="31" customWidth="1"/>
    <col min="6" max="6" width="18.88671875" style="31" customWidth="1"/>
    <col min="7" max="7" width="8.6640625" style="31" customWidth="1"/>
    <col min="8" max="8" width="14.33203125" style="31" bestFit="1" customWidth="1"/>
    <col min="9" max="9" width="12.88671875" style="31" customWidth="1"/>
    <col min="10" max="10" width="33.6640625" style="31" customWidth="1"/>
    <col min="11" max="11" width="15.109375" style="31" customWidth="1"/>
    <col min="12" max="12" width="13.6640625" style="31" customWidth="1"/>
    <col min="13" max="13" width="18.109375" style="31" customWidth="1"/>
    <col min="14" max="14" width="12.8867187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09375" style="31" customWidth="1"/>
    <col min="21" max="21" width="12.88671875" style="31" customWidth="1"/>
    <col min="22" max="22" width="10.88671875" style="31" customWidth="1"/>
    <col min="23" max="23" width="11.88671875" style="31" customWidth="1"/>
    <col min="24" max="24" width="12" style="31" customWidth="1"/>
    <col min="25" max="25" width="8.6640625" style="31" customWidth="1"/>
    <col min="26" max="27" width="50.109375" style="31" customWidth="1"/>
    <col min="28" max="30" width="8.88671875" style="31" customWidth="1"/>
    <col min="31" max="31" width="8.88671875" style="31" hidden="1" customWidth="1"/>
    <col min="32" max="32" width="15.88671875" style="31" hidden="1" customWidth="1"/>
    <col min="33" max="33" width="8.88671875" style="31" hidden="1" customWidth="1"/>
    <col min="34" max="34" width="9" style="31" hidden="1" customWidth="1"/>
    <col min="35" max="35" width="9.5546875" style="31" hidden="1" customWidth="1"/>
    <col min="36" max="36" width="8.88671875" style="31" hidden="1" customWidth="1"/>
    <col min="37" max="37" width="11.88671875" style="31" hidden="1" customWidth="1"/>
    <col min="38" max="38" width="8.88671875" style="31" hidden="1" customWidth="1"/>
    <col min="39" max="39" width="9" style="31" hidden="1" customWidth="1"/>
    <col min="40" max="40" width="9.5546875" style="31" hidden="1" customWidth="1"/>
    <col min="41" max="16384" width="8.88671875" style="31" hidden="1"/>
  </cols>
  <sheetData>
    <row r="1" spans="2:40" ht="12.75" customHeight="1" thickBot="1" x14ac:dyDescent="0.3">
      <c r="B1" s="31"/>
      <c r="C1" s="31"/>
    </row>
    <row r="2" spans="2:40" ht="19.5" customHeight="1" thickBot="1" x14ac:dyDescent="0.3">
      <c r="B2" s="786" t="str">
        <f>IF([2]Start!$F$12="","",[2]Start!$F$12)</f>
        <v/>
      </c>
      <c r="C2" s="787"/>
      <c r="D2" s="787"/>
      <c r="E2" s="788"/>
    </row>
    <row r="3" spans="2:40" ht="15" customHeight="1" thickBot="1" x14ac:dyDescent="0.3">
      <c r="B3" s="958" t="str">
        <f ca="1">MID(CELL("filename",A1),FIND("]",CELL("filename",A1))+1,256)</f>
        <v>F-1 Off Site River Baseline</v>
      </c>
      <c r="C3" s="959"/>
      <c r="D3" s="959"/>
      <c r="E3" s="960"/>
    </row>
    <row r="4" spans="2:40" ht="15" customHeight="1" thickBot="1" x14ac:dyDescent="0.3">
      <c r="B4" s="958"/>
      <c r="C4" s="959"/>
      <c r="D4" s="959"/>
      <c r="E4" s="960"/>
      <c r="S4" s="446"/>
      <c r="T4" s="1019" t="str">
        <f>IF(SUM(AG10:AG257)&gt;0,"Check Lengths ⚠","")</f>
        <v/>
      </c>
      <c r="U4" s="1019"/>
      <c r="V4" s="1019"/>
      <c r="W4" s="1019"/>
      <c r="X4" s="1019"/>
      <c r="Y4" s="1019"/>
    </row>
    <row r="5" spans="2:40" ht="27" customHeight="1" x14ac:dyDescent="0.25">
      <c r="B5" s="31"/>
      <c r="C5" s="31"/>
      <c r="S5" s="446"/>
      <c r="T5" s="1019"/>
      <c r="U5" s="1019"/>
      <c r="V5" s="1019"/>
      <c r="W5" s="1019"/>
      <c r="X5" s="1019"/>
      <c r="Y5" s="1019"/>
    </row>
    <row r="6" spans="2:40" ht="40.200000000000003" customHeight="1" x14ac:dyDescent="0.25">
      <c r="B6" s="31"/>
      <c r="C6" s="31"/>
      <c r="D6" s="131"/>
    </row>
    <row r="7" spans="2:40" ht="14.4" thickBot="1" x14ac:dyDescent="0.3"/>
    <row r="8" spans="2:40" ht="30.75" customHeight="1" thickBot="1" x14ac:dyDescent="0.3">
      <c r="C8" s="957" t="s">
        <v>318</v>
      </c>
      <c r="D8" s="957"/>
      <c r="E8" s="957"/>
      <c r="F8" s="949" t="s">
        <v>272</v>
      </c>
      <c r="G8" s="949"/>
      <c r="H8" s="949" t="s">
        <v>273</v>
      </c>
      <c r="I8" s="949"/>
      <c r="J8" s="957" t="s">
        <v>191</v>
      </c>
      <c r="K8" s="957"/>
      <c r="L8" s="957"/>
      <c r="M8" s="949" t="s">
        <v>319</v>
      </c>
      <c r="N8" s="949"/>
      <c r="O8" s="949" t="s">
        <v>320</v>
      </c>
      <c r="P8" s="949"/>
      <c r="Q8" s="939" t="s">
        <v>309</v>
      </c>
      <c r="R8" s="167" t="s">
        <v>193</v>
      </c>
      <c r="S8" s="134"/>
      <c r="T8" s="957" t="s">
        <v>194</v>
      </c>
      <c r="U8" s="957"/>
      <c r="V8" s="957"/>
      <c r="W8" s="957"/>
      <c r="X8" s="957"/>
      <c r="Y8" s="957"/>
      <c r="Z8" s="957" t="s">
        <v>196</v>
      </c>
      <c r="AA8" s="957"/>
    </row>
    <row r="9" spans="2:40" ht="41.4" x14ac:dyDescent="0.25">
      <c r="C9" s="368" t="s">
        <v>254</v>
      </c>
      <c r="D9" s="201" t="s">
        <v>138</v>
      </c>
      <c r="E9" s="202" t="s">
        <v>334</v>
      </c>
      <c r="F9" s="368" t="s">
        <v>189</v>
      </c>
      <c r="G9" s="202" t="s">
        <v>206</v>
      </c>
      <c r="H9" s="368" t="s">
        <v>190</v>
      </c>
      <c r="I9" s="202" t="s">
        <v>206</v>
      </c>
      <c r="J9" s="368" t="s">
        <v>191</v>
      </c>
      <c r="K9" s="201" t="s">
        <v>191</v>
      </c>
      <c r="L9" s="202" t="s">
        <v>231</v>
      </c>
      <c r="M9" s="368" t="s">
        <v>322</v>
      </c>
      <c r="N9" s="202" t="s">
        <v>323</v>
      </c>
      <c r="O9" s="368" t="s">
        <v>322</v>
      </c>
      <c r="P9" s="202" t="s">
        <v>323</v>
      </c>
      <c r="Q9" s="949"/>
      <c r="R9" s="421" t="s">
        <v>324</v>
      </c>
      <c r="S9" s="138"/>
      <c r="T9" s="368" t="s">
        <v>296</v>
      </c>
      <c r="U9" s="201" t="s">
        <v>297</v>
      </c>
      <c r="V9" s="201" t="s">
        <v>298</v>
      </c>
      <c r="W9" s="201" t="s">
        <v>299</v>
      </c>
      <c r="X9" s="201" t="s">
        <v>300</v>
      </c>
      <c r="Y9" s="202" t="s">
        <v>214</v>
      </c>
      <c r="Z9" s="368" t="s">
        <v>215</v>
      </c>
      <c r="AA9" s="202" t="s">
        <v>216</v>
      </c>
      <c r="AF9" s="131" t="s">
        <v>200</v>
      </c>
      <c r="AG9" s="42" t="s">
        <v>335</v>
      </c>
      <c r="AH9" s="139" t="s">
        <v>219</v>
      </c>
      <c r="AI9" s="139" t="s">
        <v>220</v>
      </c>
      <c r="AJ9" s="140"/>
      <c r="AK9" s="139" t="s">
        <v>222</v>
      </c>
      <c r="AL9" s="140"/>
      <c r="AM9" s="139" t="s">
        <v>219</v>
      </c>
      <c r="AN9" s="139" t="s">
        <v>220</v>
      </c>
    </row>
    <row r="10" spans="2:40" ht="13.8" x14ac:dyDescent="0.25">
      <c r="C10" s="141">
        <v>1</v>
      </c>
      <c r="D10" s="461"/>
      <c r="E10" s="142"/>
      <c r="F10" s="498" t="str">
        <f>IF(D10="","",VLOOKUP(D10,'G-7 Rivers Data'!$B$2:$G$8,2,FALSE))</f>
        <v/>
      </c>
      <c r="G10" s="499" t="str">
        <f>IFERROR(VLOOKUP(F10,'G-7 Rivers Data'!$C$4:$D$8,2,FALSE),"")</f>
        <v/>
      </c>
      <c r="H10" s="145"/>
      <c r="I10" s="499" t="str">
        <f>IFERROR(INDEX('G-7 Rivers Data'!$H$4:$L$8,MATCH(D10,'G-7 Rivers Data'!$B$4:$B$8,0),MATCH(H10,'G-7 Rivers Data'!$H$3:$L$3,0)),"")</f>
        <v/>
      </c>
      <c r="J10" s="146"/>
      <c r="K10" s="520" t="str">
        <f>IF(J10="","",IF(VLOOKUP(J10,'G-7 Rivers Data'!$AK$4:$AM$9,2,FALSE)=0,"Spatial Data Missing ⚠",VLOOKUP(J10,'G-7 Rivers Data'!$AK$4:$AM$9,2,FALSE)))</f>
        <v/>
      </c>
      <c r="L10" s="524"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Data'!$B$4:$G$8,6,FALSE))</f>
        <v/>
      </c>
      <c r="R10" s="513" t="str">
        <f>IFERROR(E10*G10*I10*L10*N10*P10,"")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8" x14ac:dyDescent="0.25">
      <c r="C11" s="141">
        <v>2</v>
      </c>
      <c r="D11" s="461"/>
      <c r="E11" s="142"/>
      <c r="F11" s="498" t="str">
        <f>IF(D11="","",VLOOKUP(D11,'G-7 Rivers Data'!$B$2:$G$8,2,FALSE))</f>
        <v/>
      </c>
      <c r="G11" s="499" t="str">
        <f>IFERROR(VLOOKUP(F11,'G-7 Rivers Data'!$C$4:$D$8,2,FALSE),"")</f>
        <v/>
      </c>
      <c r="H11" s="145"/>
      <c r="I11" s="499" t="str">
        <f>IFERROR(INDEX('G-7 Rivers Data'!$H$4:$L$8,MATCH(D11,'G-7 Rivers Data'!$B$4:$B$8,0),MATCH(H11,'G-7 Rivers Data'!$H$3:$L$3,0)),"")</f>
        <v/>
      </c>
      <c r="J11" s="146"/>
      <c r="K11" s="520" t="str">
        <f>IF(J11="","",IF(VLOOKUP(J11,'G-7 Rivers Data'!$AK$4:$AM$9,2,FALSE)=0,"Spatial Data Missing ⚠",VLOOKUP(J11,'G-7 Rivers Data'!$AK$4:$AM$9,2,FALSE)))</f>
        <v/>
      </c>
      <c r="L11" s="524"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Data'!$B$4:$G$8,6,FALSE))</f>
        <v/>
      </c>
      <c r="R11" s="513" t="str">
        <f t="shared" ref="R11:R74" si="0">IFERROR(E11*G11*I11*L11*N11*P11,"")</f>
        <v/>
      </c>
      <c r="S11" s="40"/>
      <c r="T11" s="71"/>
      <c r="U11" s="72"/>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8" x14ac:dyDescent="0.25">
      <c r="C12" s="141">
        <v>3</v>
      </c>
      <c r="D12" s="461"/>
      <c r="E12" s="142"/>
      <c r="F12" s="498" t="str">
        <f>IF(D12="","",VLOOKUP(D12,'G-7 Rivers Data'!$B$2:$G$8,2,FALSE))</f>
        <v/>
      </c>
      <c r="G12" s="499" t="str">
        <f>IFERROR(VLOOKUP(F12,'G-7 Rivers Data'!$C$4:$D$8,2,FALSE),"")</f>
        <v/>
      </c>
      <c r="H12" s="145"/>
      <c r="I12" s="499" t="str">
        <f>IFERROR(INDEX('G-7 Rivers Data'!$H$4:$L$8,MATCH(D12,'G-7 Rivers Data'!$B$4:$B$8,0),MATCH(H12,'G-7 Rivers Data'!$H$3:$L$3,0)),"")</f>
        <v/>
      </c>
      <c r="J12" s="146"/>
      <c r="K12" s="520" t="str">
        <f>IF(J12="","",IF(VLOOKUP(J12,'G-7 Rivers Data'!$AK$4:$AM$9,2,FALSE)=0,"Spatial Data Missing ⚠",VLOOKUP(J12,'G-7 Rivers Data'!$AK$4:$AM$9,2,FALSE)))</f>
        <v/>
      </c>
      <c r="L12" s="524"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Data'!$B$4:$G$8,6,FALSE))</f>
        <v/>
      </c>
      <c r="R12" s="513" t="str">
        <f t="shared" si="0"/>
        <v/>
      </c>
      <c r="S12" s="40"/>
      <c r="T12" s="71"/>
      <c r="U12" s="72"/>
      <c r="V12" s="511" t="str">
        <f t="shared" si="1"/>
        <v/>
      </c>
      <c r="W12" s="511" t="str">
        <f t="shared" si="2"/>
        <v/>
      </c>
      <c r="X12" s="511" t="str">
        <f t="shared" si="3"/>
        <v/>
      </c>
      <c r="Y12" s="515"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8" x14ac:dyDescent="0.25">
      <c r="C13" s="141">
        <v>4</v>
      </c>
      <c r="D13" s="461"/>
      <c r="E13" s="142"/>
      <c r="F13" s="498" t="str">
        <f>IF(D13="","",VLOOKUP(D13,'G-7 Rivers Data'!$B$2:$G$8,2,FALSE))</f>
        <v/>
      </c>
      <c r="G13" s="499" t="str">
        <f>IFERROR(VLOOKUP(F13,'G-7 Rivers Data'!$C$4:$D$8,2,FALSE),"")</f>
        <v/>
      </c>
      <c r="H13" s="145"/>
      <c r="I13" s="499" t="str">
        <f>IFERROR(INDEX('G-7 Rivers Data'!$H$4:$L$8,MATCH(D13,'G-7 Rivers Data'!$B$4:$B$8,0),MATCH(H13,'G-7 Rivers Data'!$H$3:$L$3,0)),"")</f>
        <v/>
      </c>
      <c r="J13" s="146"/>
      <c r="K13" s="520" t="str">
        <f>IF(J13="","",IF(VLOOKUP(J13,'G-7 Rivers Data'!$AK$4:$AM$9,2,FALSE)=0,"Spatial Data Missing ⚠",VLOOKUP(J13,'G-7 Rivers Data'!$AK$4:$AM$9,2,FALSE)))</f>
        <v/>
      </c>
      <c r="L13" s="524"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Data'!$B$4:$G$8,6,FALSE))</f>
        <v/>
      </c>
      <c r="R13" s="513" t="str">
        <f t="shared" si="0"/>
        <v/>
      </c>
      <c r="S13" s="40"/>
      <c r="T13" s="71"/>
      <c r="U13" s="72"/>
      <c r="V13" s="511" t="str">
        <f t="shared" si="1"/>
        <v/>
      </c>
      <c r="W13" s="511" t="str">
        <f t="shared" si="2"/>
        <v/>
      </c>
      <c r="X13" s="511" t="str">
        <f t="shared" si="3"/>
        <v/>
      </c>
      <c r="Y13" s="515"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8" x14ac:dyDescent="0.25">
      <c r="C14" s="141">
        <v>5</v>
      </c>
      <c r="D14" s="462"/>
      <c r="E14" s="153"/>
      <c r="F14" s="498" t="str">
        <f>IF(D14="","",VLOOKUP(D14,'G-7 Rivers Data'!$B$2:$G$8,2,FALSE))</f>
        <v/>
      </c>
      <c r="G14" s="499" t="str">
        <f>IFERROR(VLOOKUP(F14,'G-7 Rivers Data'!$C$4:$D$8,2,FALSE),"")</f>
        <v/>
      </c>
      <c r="H14" s="145"/>
      <c r="I14" s="499" t="str">
        <f>IFERROR(INDEX('G-7 Rivers Data'!$H$4:$L$8,MATCH(D14,'G-7 Rivers Data'!$B$4:$B$8,0),MATCH(H14,'G-7 Rivers Data'!$H$3:$L$3,0)),"")</f>
        <v/>
      </c>
      <c r="J14" s="146"/>
      <c r="K14" s="520" t="str">
        <f>IF(J14="","",IF(VLOOKUP(J14,'G-7 Rivers Data'!$AK$4:$AM$9,2,FALSE)=0,"Spatial Data Missing ⚠",VLOOKUP(J14,'G-7 Rivers Data'!$AK$4:$AM$9,2,FALSE)))</f>
        <v/>
      </c>
      <c r="L14" s="524"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Data'!$B$4:$G$8,6,FALSE))</f>
        <v/>
      </c>
      <c r="R14" s="513" t="str">
        <f t="shared" si="0"/>
        <v/>
      </c>
      <c r="S14" s="40"/>
      <c r="T14" s="71"/>
      <c r="U14" s="72"/>
      <c r="V14" s="511" t="str">
        <f t="shared" si="1"/>
        <v/>
      </c>
      <c r="W14" s="511" t="str">
        <f t="shared" si="2"/>
        <v/>
      </c>
      <c r="X14" s="511" t="str">
        <f t="shared" si="3"/>
        <v/>
      </c>
      <c r="Y14" s="515"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8" x14ac:dyDescent="0.25">
      <c r="C15" s="141">
        <v>6</v>
      </c>
      <c r="D15" s="462"/>
      <c r="E15" s="153"/>
      <c r="F15" s="498" t="str">
        <f>IF(D15="","",VLOOKUP(D15,'G-7 Rivers Data'!$B$2:$G$8,2,FALSE))</f>
        <v/>
      </c>
      <c r="G15" s="499" t="str">
        <f>IFERROR(VLOOKUP(F15,'G-7 Rivers Data'!$C$4:$D$8,2,FALSE),"")</f>
        <v/>
      </c>
      <c r="H15" s="145"/>
      <c r="I15" s="499" t="str">
        <f>IFERROR(INDEX('G-7 Rivers Data'!$H$4:$L$8,MATCH(D15,'G-7 Rivers Data'!$B$4:$B$8,0),MATCH(H15,'G-7 Rivers Data'!$H$3:$L$3,0)),"")</f>
        <v/>
      </c>
      <c r="J15" s="154"/>
      <c r="K15" s="520" t="str">
        <f>IF(J15="","",IF(VLOOKUP(J15,'G-7 Rivers Data'!$AK$4:$AM$9,2,FALSE)=0,"Spatial Data Missing ⚠",VLOOKUP(J15,'G-7 Rivers Data'!$AK$4:$AM$9,2,FALSE)))</f>
        <v/>
      </c>
      <c r="L15" s="524"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Data'!$B$4:$G$8,6,FALSE))</f>
        <v/>
      </c>
      <c r="R15" s="513" t="str">
        <f t="shared" si="0"/>
        <v/>
      </c>
      <c r="S15" s="40"/>
      <c r="T15" s="71"/>
      <c r="U15" s="72"/>
      <c r="V15" s="511" t="str">
        <f t="shared" si="1"/>
        <v/>
      </c>
      <c r="W15" s="511" t="str">
        <f t="shared" si="2"/>
        <v/>
      </c>
      <c r="X15" s="511" t="str">
        <f t="shared" si="3"/>
        <v/>
      </c>
      <c r="Y15" s="515"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8" x14ac:dyDescent="0.25">
      <c r="C16" s="141">
        <v>7</v>
      </c>
      <c r="D16" s="462"/>
      <c r="E16" s="153"/>
      <c r="F16" s="498" t="str">
        <f>IF(D16="","",VLOOKUP(D16,'G-7 Rivers Data'!$B$2:$G$8,2,FALSE))</f>
        <v/>
      </c>
      <c r="G16" s="499" t="str">
        <f>IFERROR(VLOOKUP(F16,'G-7 Rivers Data'!$C$4:$D$8,2,FALSE),"")</f>
        <v/>
      </c>
      <c r="H16" s="145"/>
      <c r="I16" s="499" t="str">
        <f>IFERROR(INDEX('G-7 Rivers Data'!$H$4:$L$8,MATCH(D16,'G-7 Rivers Data'!$B$4:$B$8,0),MATCH(H16,'G-7 Rivers Data'!$H$3:$L$3,0)),"")</f>
        <v/>
      </c>
      <c r="J16" s="154"/>
      <c r="K16" s="520" t="str">
        <f>IF(J16="","",IF(VLOOKUP(J16,'G-7 Rivers Data'!$AK$4:$AM$9,2,FALSE)=0,"Spatial Data Missing ⚠",VLOOKUP(J16,'G-7 Rivers Data'!$AK$4:$AM$9,2,FALSE)))</f>
        <v/>
      </c>
      <c r="L16" s="524"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Data'!$B$4:$G$8,6,FALSE))</f>
        <v/>
      </c>
      <c r="R16" s="513" t="str">
        <f t="shared" si="0"/>
        <v/>
      </c>
      <c r="S16" s="40"/>
      <c r="T16" s="71"/>
      <c r="U16" s="72"/>
      <c r="V16" s="511" t="str">
        <f t="shared" si="1"/>
        <v/>
      </c>
      <c r="W16" s="511" t="str">
        <f t="shared" si="2"/>
        <v/>
      </c>
      <c r="X16" s="511" t="str">
        <f t="shared" si="3"/>
        <v/>
      </c>
      <c r="Y16" s="515"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8" x14ac:dyDescent="0.25">
      <c r="C17" s="141">
        <v>8</v>
      </c>
      <c r="D17" s="462"/>
      <c r="E17" s="153"/>
      <c r="F17" s="498" t="str">
        <f>IF(D17="","",VLOOKUP(D17,'G-7 Rivers Data'!$B$2:$G$8,2,FALSE))</f>
        <v/>
      </c>
      <c r="G17" s="499" t="str">
        <f>IFERROR(VLOOKUP(F17,'G-7 Rivers Data'!$C$4:$D$8,2,FALSE),"")</f>
        <v/>
      </c>
      <c r="H17" s="145"/>
      <c r="I17" s="499" t="str">
        <f>IFERROR(INDEX('G-7 Rivers Data'!$H$4:$L$8,MATCH(D17,'G-7 Rivers Data'!$B$4:$B$8,0),MATCH(H17,'G-7 Rivers Data'!$H$3:$L$3,0)),"")</f>
        <v/>
      </c>
      <c r="J17" s="154"/>
      <c r="K17" s="520" t="str">
        <f>IF(J17="","",IF(VLOOKUP(J17,'G-7 Rivers Data'!$AK$4:$AM$9,2,FALSE)=0,"Spatial Data Missing ⚠",VLOOKUP(J17,'G-7 Rivers Data'!$AK$4:$AM$9,2,FALSE)))</f>
        <v/>
      </c>
      <c r="L17" s="524"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Data'!$B$4:$G$8,6,FALSE))</f>
        <v/>
      </c>
      <c r="R17" s="513" t="str">
        <f t="shared" si="0"/>
        <v/>
      </c>
      <c r="S17" s="40"/>
      <c r="T17" s="71"/>
      <c r="U17" s="72"/>
      <c r="V17" s="511" t="str">
        <f t="shared" si="1"/>
        <v/>
      </c>
      <c r="W17" s="511" t="str">
        <f t="shared" si="2"/>
        <v/>
      </c>
      <c r="X17" s="511" t="str">
        <f t="shared" si="3"/>
        <v/>
      </c>
      <c r="Y17" s="515"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8" x14ac:dyDescent="0.25">
      <c r="C18" s="141">
        <v>9</v>
      </c>
      <c r="D18" s="462"/>
      <c r="E18" s="153"/>
      <c r="F18" s="498" t="str">
        <f>IF(D18="","",VLOOKUP(D18,'G-7 Rivers Data'!$B$2:$G$8,2,FALSE))</f>
        <v/>
      </c>
      <c r="G18" s="499" t="str">
        <f>IFERROR(VLOOKUP(F18,'G-7 Rivers Data'!$C$4:$D$8,2,FALSE),"")</f>
        <v/>
      </c>
      <c r="H18" s="145"/>
      <c r="I18" s="499" t="str">
        <f>IFERROR(INDEX('G-7 Rivers Data'!$H$4:$L$8,MATCH(D18,'G-7 Rivers Data'!$B$4:$B$8,0),MATCH(H18,'G-7 Rivers Data'!$H$3:$L$3,0)),"")</f>
        <v/>
      </c>
      <c r="J18" s="154"/>
      <c r="K18" s="520" t="str">
        <f>IF(J18="","",IF(VLOOKUP(J18,'G-7 Rivers Data'!$AK$4:$AM$9,2,FALSE)=0,"Spatial Data Missing ⚠",VLOOKUP(J18,'G-7 Rivers Data'!$AK$4:$AM$9,2,FALSE)))</f>
        <v/>
      </c>
      <c r="L18" s="524"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Data'!$B$4:$G$8,6,FALSE))</f>
        <v/>
      </c>
      <c r="R18" s="513" t="str">
        <f t="shared" si="0"/>
        <v/>
      </c>
      <c r="S18" s="40"/>
      <c r="T18" s="71"/>
      <c r="U18" s="72"/>
      <c r="V18" s="511" t="str">
        <f t="shared" si="1"/>
        <v/>
      </c>
      <c r="W18" s="511" t="str">
        <f t="shared" si="2"/>
        <v/>
      </c>
      <c r="X18" s="511" t="str">
        <f t="shared" si="3"/>
        <v/>
      </c>
      <c r="Y18" s="515"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8" x14ac:dyDescent="0.25">
      <c r="C19" s="141">
        <v>10</v>
      </c>
      <c r="D19" s="462"/>
      <c r="E19" s="153"/>
      <c r="F19" s="498" t="str">
        <f>IF(D19="","",VLOOKUP(D19,'G-7 Rivers Data'!$B$2:$G$8,2,FALSE))</f>
        <v/>
      </c>
      <c r="G19" s="499" t="str">
        <f>IFERROR(VLOOKUP(F19,'G-7 Rivers Data'!$C$4:$D$8,2,FALSE),"")</f>
        <v/>
      </c>
      <c r="H19" s="145"/>
      <c r="I19" s="499" t="str">
        <f>IFERROR(INDEX('G-7 Rivers Data'!$H$4:$L$8,MATCH(D19,'G-7 Rivers Data'!$B$4:$B$8,0),MATCH(H19,'G-7 Rivers Data'!$H$3:$L$3,0)),"")</f>
        <v/>
      </c>
      <c r="J19" s="154"/>
      <c r="K19" s="520" t="str">
        <f>IF(J19="","",IF(VLOOKUP(J19,'G-7 Rivers Data'!$AK$4:$AM$9,2,FALSE)=0,"Spatial Data Missing ⚠",VLOOKUP(J19,'G-7 Rivers Data'!$AK$4:$AM$9,2,FALSE)))</f>
        <v/>
      </c>
      <c r="L19" s="524"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Data'!$B$4:$G$8,6,FALSE))</f>
        <v/>
      </c>
      <c r="R19" s="513" t="str">
        <f t="shared" si="0"/>
        <v/>
      </c>
      <c r="S19" s="40"/>
      <c r="T19" s="71"/>
      <c r="U19" s="72"/>
      <c r="V19" s="511" t="str">
        <f t="shared" si="1"/>
        <v/>
      </c>
      <c r="W19" s="511" t="str">
        <f t="shared" si="2"/>
        <v/>
      </c>
      <c r="X19" s="511" t="str">
        <f t="shared" si="3"/>
        <v/>
      </c>
      <c r="Y19" s="515"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8" x14ac:dyDescent="0.25">
      <c r="C20" s="141">
        <v>11</v>
      </c>
      <c r="D20" s="462"/>
      <c r="E20" s="153"/>
      <c r="F20" s="498" t="str">
        <f>IF(D20="","",VLOOKUP(D20,'G-7 Rivers Data'!$B$2:$G$8,2,FALSE))</f>
        <v/>
      </c>
      <c r="G20" s="499" t="str">
        <f>IFERROR(VLOOKUP(F20,'G-7 Rivers Data'!$C$4:$D$8,2,FALSE),"")</f>
        <v/>
      </c>
      <c r="H20" s="145"/>
      <c r="I20" s="499" t="str">
        <f>IFERROR(INDEX('G-7 Rivers Data'!$H$4:$L$8,MATCH(D20,'G-7 Rivers Data'!$B$4:$B$8,0),MATCH(H20,'G-7 Rivers Data'!$H$3:$L$3,0)),"")</f>
        <v/>
      </c>
      <c r="J20" s="154"/>
      <c r="K20" s="520" t="str">
        <f>IF(J20="","",IF(VLOOKUP(J20,'G-7 Rivers Data'!$AK$4:$AM$9,2,FALSE)=0,"Spatial Data Missing ⚠",VLOOKUP(J20,'G-7 Rivers Data'!$AK$4:$AM$9,2,FALSE)))</f>
        <v/>
      </c>
      <c r="L20" s="524"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Data'!$B$4:$G$8,6,FALSE))</f>
        <v/>
      </c>
      <c r="R20" s="513" t="str">
        <f t="shared" si="0"/>
        <v/>
      </c>
      <c r="S20" s="40"/>
      <c r="T20" s="71"/>
      <c r="U20" s="72"/>
      <c r="V20" s="511" t="str">
        <f t="shared" si="1"/>
        <v/>
      </c>
      <c r="W20" s="511" t="str">
        <f t="shared" si="2"/>
        <v/>
      </c>
      <c r="X20" s="511" t="str">
        <f t="shared" si="3"/>
        <v/>
      </c>
      <c r="Y20" s="515"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8" x14ac:dyDescent="0.25">
      <c r="C21" s="141">
        <v>12</v>
      </c>
      <c r="D21" s="462"/>
      <c r="E21" s="153"/>
      <c r="F21" s="498" t="str">
        <f>IF(D21="","",VLOOKUP(D21,'G-7 Rivers Data'!$B$2:$G$8,2,FALSE))</f>
        <v/>
      </c>
      <c r="G21" s="499" t="str">
        <f>IFERROR(VLOOKUP(F21,'G-7 Rivers Data'!$C$4:$D$8,2,FALSE),"")</f>
        <v/>
      </c>
      <c r="H21" s="145"/>
      <c r="I21" s="499" t="str">
        <f>IFERROR(INDEX('G-7 Rivers Data'!$H$4:$L$8,MATCH(D21,'G-7 Rivers Data'!$B$4:$B$8,0),MATCH(H21,'G-7 Rivers Data'!$H$3:$L$3,0)),"")</f>
        <v/>
      </c>
      <c r="J21" s="154"/>
      <c r="K21" s="520" t="str">
        <f>IF(J21="","",IF(VLOOKUP(J21,'G-7 Rivers Data'!$AK$4:$AM$9,2,FALSE)=0,"Spatial Data Missing ⚠",VLOOKUP(J21,'G-7 Rivers Data'!$AK$4:$AM$9,2,FALSE)))</f>
        <v/>
      </c>
      <c r="L21" s="524"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Data'!$B$4:$G$8,6,FALSE))</f>
        <v/>
      </c>
      <c r="R21" s="513" t="str">
        <f t="shared" si="0"/>
        <v/>
      </c>
      <c r="S21" s="40"/>
      <c r="T21" s="71"/>
      <c r="U21" s="72"/>
      <c r="V21" s="511" t="str">
        <f t="shared" si="1"/>
        <v/>
      </c>
      <c r="W21" s="511" t="str">
        <f t="shared" si="2"/>
        <v/>
      </c>
      <c r="X21" s="511" t="str">
        <f t="shared" si="3"/>
        <v/>
      </c>
      <c r="Y21" s="515"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8" x14ac:dyDescent="0.25">
      <c r="C22" s="141">
        <v>13</v>
      </c>
      <c r="D22" s="462"/>
      <c r="E22" s="153"/>
      <c r="F22" s="498" t="str">
        <f>IF(D22="","",VLOOKUP(D22,'G-7 Rivers Data'!$B$2:$G$8,2,FALSE))</f>
        <v/>
      </c>
      <c r="G22" s="499" t="str">
        <f>IFERROR(VLOOKUP(F22,'G-7 Rivers Data'!$C$4:$D$8,2,FALSE),"")</f>
        <v/>
      </c>
      <c r="H22" s="145"/>
      <c r="I22" s="499" t="str">
        <f>IFERROR(INDEX('G-7 Rivers Data'!$H$4:$L$8,MATCH(D22,'G-7 Rivers Data'!$B$4:$B$8,0),MATCH(H22,'G-7 Rivers Data'!$H$3:$L$3,0)),"")</f>
        <v/>
      </c>
      <c r="J22" s="154"/>
      <c r="K22" s="520" t="str">
        <f>IF(J22="","",IF(VLOOKUP(J22,'G-7 Rivers Data'!$AK$4:$AM$9,2,FALSE)=0,"Spatial Data Missing ⚠",VLOOKUP(J22,'G-7 Rivers Data'!$AK$4:$AM$9,2,FALSE)))</f>
        <v/>
      </c>
      <c r="L22" s="524"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Data'!$B$4:$G$8,6,FALSE))</f>
        <v/>
      </c>
      <c r="R22" s="513" t="str">
        <f t="shared" si="0"/>
        <v/>
      </c>
      <c r="S22" s="40"/>
      <c r="T22" s="71"/>
      <c r="U22" s="72"/>
      <c r="V22" s="511" t="str">
        <f t="shared" si="1"/>
        <v/>
      </c>
      <c r="W22" s="511" t="str">
        <f t="shared" si="2"/>
        <v/>
      </c>
      <c r="X22" s="511" t="str">
        <f t="shared" si="3"/>
        <v/>
      </c>
      <c r="Y22" s="515"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8" x14ac:dyDescent="0.25">
      <c r="C23" s="141">
        <v>14</v>
      </c>
      <c r="D23" s="462"/>
      <c r="E23" s="153"/>
      <c r="F23" s="498" t="str">
        <f>IF(D23="","",VLOOKUP(D23,'G-7 Rivers Data'!$B$2:$G$8,2,FALSE))</f>
        <v/>
      </c>
      <c r="G23" s="499" t="str">
        <f>IFERROR(VLOOKUP(F23,'G-7 Rivers Data'!$C$4:$D$8,2,FALSE),"")</f>
        <v/>
      </c>
      <c r="H23" s="145"/>
      <c r="I23" s="499" t="str">
        <f>IFERROR(INDEX('G-7 Rivers Data'!$H$4:$L$8,MATCH(D23,'G-7 Rivers Data'!$B$4:$B$8,0),MATCH(H23,'G-7 Rivers Data'!$H$3:$L$3,0)),"")</f>
        <v/>
      </c>
      <c r="J23" s="154"/>
      <c r="K23" s="520" t="str">
        <f>IF(J23="","",IF(VLOOKUP(J23,'G-7 Rivers Data'!$AK$4:$AM$9,2,FALSE)=0,"Spatial Data Missing ⚠",VLOOKUP(J23,'G-7 Rivers Data'!$AK$4:$AM$9,2,FALSE)))</f>
        <v/>
      </c>
      <c r="L23" s="524"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Data'!$B$4:$G$8,6,FALSE))</f>
        <v/>
      </c>
      <c r="R23" s="513" t="str">
        <f t="shared" si="0"/>
        <v/>
      </c>
      <c r="S23" s="40"/>
      <c r="T23" s="71"/>
      <c r="U23" s="72"/>
      <c r="V23" s="511" t="str">
        <f t="shared" si="1"/>
        <v/>
      </c>
      <c r="W23" s="511" t="str">
        <f t="shared" si="2"/>
        <v/>
      </c>
      <c r="X23" s="511" t="str">
        <f t="shared" si="3"/>
        <v/>
      </c>
      <c r="Y23" s="515"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8" x14ac:dyDescent="0.25">
      <c r="C24" s="141">
        <v>15</v>
      </c>
      <c r="D24" s="462"/>
      <c r="E24" s="153"/>
      <c r="F24" s="498" t="str">
        <f>IF(D24="","",VLOOKUP(D24,'G-7 Rivers Data'!$B$2:$G$8,2,FALSE))</f>
        <v/>
      </c>
      <c r="G24" s="499" t="str">
        <f>IFERROR(VLOOKUP(F24,'G-7 Rivers Data'!$C$4:$D$8,2,FALSE),"")</f>
        <v/>
      </c>
      <c r="H24" s="145"/>
      <c r="I24" s="499" t="str">
        <f>IFERROR(INDEX('G-7 Rivers Data'!$H$4:$L$8,MATCH(D24,'G-7 Rivers Data'!$B$4:$B$8,0),MATCH(H24,'G-7 Rivers Data'!$H$3:$L$3,0)),"")</f>
        <v/>
      </c>
      <c r="J24" s="154"/>
      <c r="K24" s="520" t="str">
        <f>IF(J24="","",IF(VLOOKUP(J24,'G-7 Rivers Data'!$AK$4:$AM$9,2,FALSE)=0,"Spatial Data Missing ⚠",VLOOKUP(J24,'G-7 Rivers Data'!$AK$4:$AM$9,2,FALSE)))</f>
        <v/>
      </c>
      <c r="L24" s="524"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Data'!$B$4:$G$8,6,FALSE))</f>
        <v/>
      </c>
      <c r="R24" s="513" t="str">
        <f t="shared" si="0"/>
        <v/>
      </c>
      <c r="S24" s="40"/>
      <c r="T24" s="145"/>
      <c r="U24" s="157"/>
      <c r="V24" s="511" t="str">
        <f t="shared" si="1"/>
        <v/>
      </c>
      <c r="W24" s="511" t="str">
        <f t="shared" si="2"/>
        <v/>
      </c>
      <c r="X24" s="511" t="str">
        <f t="shared" si="3"/>
        <v/>
      </c>
      <c r="Y24" s="515"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8" x14ac:dyDescent="0.25">
      <c r="C25" s="141">
        <v>16</v>
      </c>
      <c r="D25" s="462"/>
      <c r="E25" s="153"/>
      <c r="F25" s="498" t="str">
        <f>IF(D25="","",VLOOKUP(D25,'G-7 Rivers Data'!$B$2:$G$8,2,FALSE))</f>
        <v/>
      </c>
      <c r="G25" s="499" t="str">
        <f>IFERROR(VLOOKUP(F25,'G-7 Rivers Data'!$C$4:$D$8,2,FALSE),"")</f>
        <v/>
      </c>
      <c r="H25" s="145"/>
      <c r="I25" s="499" t="str">
        <f>IFERROR(INDEX('G-7 Rivers Data'!$H$4:$L$8,MATCH(D25,'G-7 Rivers Data'!$B$4:$B$8,0),MATCH(H25,'G-7 Rivers Data'!$H$3:$L$3,0)),"")</f>
        <v/>
      </c>
      <c r="J25" s="154"/>
      <c r="K25" s="520" t="str">
        <f>IF(J25="","",IF(VLOOKUP(J25,'G-7 Rivers Data'!$AK$4:$AM$9,2,FALSE)=0,"Spatial Data Missing ⚠",VLOOKUP(J25,'G-7 Rivers Data'!$AK$4:$AM$9,2,FALSE)))</f>
        <v/>
      </c>
      <c r="L25" s="524"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Data'!$B$4:$G$8,6,FALSE))</f>
        <v/>
      </c>
      <c r="R25" s="513" t="str">
        <f t="shared" si="0"/>
        <v/>
      </c>
      <c r="S25" s="40"/>
      <c r="T25" s="145"/>
      <c r="U25" s="157"/>
      <c r="V25" s="511" t="str">
        <f t="shared" si="1"/>
        <v/>
      </c>
      <c r="W25" s="511" t="str">
        <f t="shared" si="2"/>
        <v/>
      </c>
      <c r="X25" s="511" t="str">
        <f t="shared" si="3"/>
        <v/>
      </c>
      <c r="Y25" s="515"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8" x14ac:dyDescent="0.25">
      <c r="C26" s="141">
        <v>17</v>
      </c>
      <c r="D26" s="462"/>
      <c r="E26" s="153"/>
      <c r="F26" s="498" t="str">
        <f>IF(D26="","",VLOOKUP(D26,'G-7 Rivers Data'!$B$2:$G$8,2,FALSE))</f>
        <v/>
      </c>
      <c r="G26" s="499" t="str">
        <f>IFERROR(VLOOKUP(F26,'G-7 Rivers Data'!$C$4:$D$8,2,FALSE),"")</f>
        <v/>
      </c>
      <c r="H26" s="145"/>
      <c r="I26" s="499" t="str">
        <f>IFERROR(INDEX('G-7 Rivers Data'!$H$4:$L$8,MATCH(D26,'G-7 Rivers Data'!$B$4:$B$8,0),MATCH(H26,'G-7 Rivers Data'!$H$3:$L$3,0)),"")</f>
        <v/>
      </c>
      <c r="J26" s="154"/>
      <c r="K26" s="520" t="str">
        <f>IF(J26="","",IF(VLOOKUP(J26,'G-7 Rivers Data'!$AK$4:$AM$9,2,FALSE)=0,"Spatial Data Missing ⚠",VLOOKUP(J26,'G-7 Rivers Data'!$AK$4:$AM$9,2,FALSE)))</f>
        <v/>
      </c>
      <c r="L26" s="524"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Data'!$B$4:$G$8,6,FALSE))</f>
        <v/>
      </c>
      <c r="R26" s="513" t="str">
        <f t="shared" si="0"/>
        <v/>
      </c>
      <c r="S26" s="40"/>
      <c r="T26" s="145"/>
      <c r="U26" s="157"/>
      <c r="V26" s="511" t="str">
        <f t="shared" si="1"/>
        <v/>
      </c>
      <c r="W26" s="511" t="str">
        <f t="shared" si="2"/>
        <v/>
      </c>
      <c r="X26" s="511" t="str">
        <f t="shared" si="3"/>
        <v/>
      </c>
      <c r="Y26" s="515"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8" x14ac:dyDescent="0.25">
      <c r="C27" s="141">
        <v>18</v>
      </c>
      <c r="D27" s="462"/>
      <c r="E27" s="153"/>
      <c r="F27" s="498" t="str">
        <f>IF(D27="","",VLOOKUP(D27,'G-7 Rivers Data'!$B$2:$G$8,2,FALSE))</f>
        <v/>
      </c>
      <c r="G27" s="499" t="str">
        <f>IFERROR(VLOOKUP(F27,'G-7 Rivers Data'!$C$4:$D$8,2,FALSE),"")</f>
        <v/>
      </c>
      <c r="H27" s="145"/>
      <c r="I27" s="499" t="str">
        <f>IFERROR(INDEX('G-7 Rivers Data'!$H$4:$L$8,MATCH(D27,'G-7 Rivers Data'!$B$4:$B$8,0),MATCH(H27,'G-7 Rivers Data'!$H$3:$L$3,0)),"")</f>
        <v/>
      </c>
      <c r="J27" s="154"/>
      <c r="K27" s="520" t="str">
        <f>IF(J27="","",IF(VLOOKUP(J27,'G-7 Rivers Data'!$AK$4:$AM$9,2,FALSE)=0,"Spatial Data Missing ⚠",VLOOKUP(J27,'G-7 Rivers Data'!$AK$4:$AM$9,2,FALSE)))</f>
        <v/>
      </c>
      <c r="L27" s="524"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Data'!$B$4:$G$8,6,FALSE))</f>
        <v/>
      </c>
      <c r="R27" s="513" t="str">
        <f t="shared" si="0"/>
        <v/>
      </c>
      <c r="S27" s="40"/>
      <c r="T27" s="145"/>
      <c r="U27" s="157"/>
      <c r="V27" s="511" t="str">
        <f t="shared" si="1"/>
        <v/>
      </c>
      <c r="W27" s="511" t="str">
        <f t="shared" si="2"/>
        <v/>
      </c>
      <c r="X27" s="511" t="str">
        <f t="shared" si="3"/>
        <v/>
      </c>
      <c r="Y27" s="515"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8" x14ac:dyDescent="0.25">
      <c r="C28" s="141">
        <v>19</v>
      </c>
      <c r="D28" s="462"/>
      <c r="E28" s="153"/>
      <c r="F28" s="498" t="str">
        <f>IF(D28="","",VLOOKUP(D28,'G-7 Rivers Data'!$B$2:$G$8,2,FALSE))</f>
        <v/>
      </c>
      <c r="G28" s="499" t="str">
        <f>IFERROR(VLOOKUP(F28,'G-7 Rivers Data'!$C$4:$D$8,2,FALSE),"")</f>
        <v/>
      </c>
      <c r="H28" s="145"/>
      <c r="I28" s="499" t="str">
        <f>IFERROR(INDEX('G-7 Rivers Data'!$H$4:$L$8,MATCH(D28,'G-7 Rivers Data'!$B$4:$B$8,0),MATCH(H28,'G-7 Rivers Data'!$H$3:$L$3,0)),"")</f>
        <v/>
      </c>
      <c r="J28" s="154"/>
      <c r="K28" s="520" t="str">
        <f>IF(J28="","",IF(VLOOKUP(J28,'G-7 Rivers Data'!$AK$4:$AM$9,2,FALSE)=0,"Spatial Data Missing ⚠",VLOOKUP(J28,'G-7 Rivers Data'!$AK$4:$AM$9,2,FALSE)))</f>
        <v/>
      </c>
      <c r="L28" s="524"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Data'!$B$4:$G$8,6,FALSE))</f>
        <v/>
      </c>
      <c r="R28" s="513" t="str">
        <f t="shared" si="0"/>
        <v/>
      </c>
      <c r="S28" s="40"/>
      <c r="T28" s="145"/>
      <c r="U28" s="157"/>
      <c r="V28" s="511" t="str">
        <f t="shared" si="1"/>
        <v/>
      </c>
      <c r="W28" s="511" t="str">
        <f t="shared" si="2"/>
        <v/>
      </c>
      <c r="X28" s="511" t="str">
        <f t="shared" si="3"/>
        <v/>
      </c>
      <c r="Y28" s="515"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8" x14ac:dyDescent="0.25">
      <c r="C29" s="141">
        <v>20</v>
      </c>
      <c r="D29" s="462"/>
      <c r="E29" s="153"/>
      <c r="F29" s="498" t="str">
        <f>IF(D29="","",VLOOKUP(D29,'G-7 Rivers Data'!$B$2:$G$8,2,FALSE))</f>
        <v/>
      </c>
      <c r="G29" s="499" t="str">
        <f>IFERROR(VLOOKUP(F29,'G-7 Rivers Data'!$C$4:$D$8,2,FALSE),"")</f>
        <v/>
      </c>
      <c r="H29" s="145"/>
      <c r="I29" s="499" t="str">
        <f>IFERROR(INDEX('G-7 Rivers Data'!$H$4:$L$8,MATCH(D29,'G-7 Rivers Data'!$B$4:$B$8,0),MATCH(H29,'G-7 Rivers Data'!$H$3:$L$3,0)),"")</f>
        <v/>
      </c>
      <c r="J29" s="154"/>
      <c r="K29" s="520" t="str">
        <f>IF(J29="","",IF(VLOOKUP(J29,'G-7 Rivers Data'!$AK$4:$AM$9,2,FALSE)=0,"Spatial Data Missing ⚠",VLOOKUP(J29,'G-7 Rivers Data'!$AK$4:$AM$9,2,FALSE)))</f>
        <v/>
      </c>
      <c r="L29" s="524"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Data'!$B$4:$G$8,6,FALSE))</f>
        <v/>
      </c>
      <c r="R29" s="513" t="str">
        <f t="shared" si="0"/>
        <v/>
      </c>
      <c r="S29" s="40"/>
      <c r="T29" s="145"/>
      <c r="U29" s="157"/>
      <c r="V29" s="511" t="str">
        <f t="shared" si="1"/>
        <v/>
      </c>
      <c r="W29" s="511" t="str">
        <f t="shared" si="2"/>
        <v/>
      </c>
      <c r="X29" s="511" t="str">
        <f t="shared" si="3"/>
        <v/>
      </c>
      <c r="Y29" s="515"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8" x14ac:dyDescent="0.25">
      <c r="C30" s="141">
        <v>21</v>
      </c>
      <c r="D30" s="462"/>
      <c r="E30" s="153"/>
      <c r="F30" s="498" t="str">
        <f>IF(D30="","",VLOOKUP(D30,'G-7 Rivers Data'!$B$2:$G$8,2,FALSE))</f>
        <v/>
      </c>
      <c r="G30" s="499" t="str">
        <f>IFERROR(VLOOKUP(F30,'G-7 Rivers Data'!$C$4:$D$8,2,FALSE),"")</f>
        <v/>
      </c>
      <c r="H30" s="145"/>
      <c r="I30" s="499" t="str">
        <f>IFERROR(INDEX('G-7 Rivers Data'!$H$4:$L$8,MATCH(D30,'G-7 Rivers Data'!$B$4:$B$8,0),MATCH(H30,'G-7 Rivers Data'!$H$3:$L$3,0)),"")</f>
        <v/>
      </c>
      <c r="J30" s="154"/>
      <c r="K30" s="520" t="str">
        <f>IF(J30="","",IF(VLOOKUP(J30,'G-7 Rivers Data'!$AK$4:$AM$9,2,FALSE)=0,"Spatial Data Missing ⚠",VLOOKUP(J30,'G-7 Rivers Data'!$AK$4:$AM$9,2,FALSE)))</f>
        <v/>
      </c>
      <c r="L30" s="524"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Data'!$B$4:$G$8,6,FALSE))</f>
        <v/>
      </c>
      <c r="R30" s="513" t="str">
        <f t="shared" si="0"/>
        <v/>
      </c>
      <c r="S30" s="40"/>
      <c r="T30" s="145"/>
      <c r="U30" s="157"/>
      <c r="V30" s="511" t="str">
        <f t="shared" si="1"/>
        <v/>
      </c>
      <c r="W30" s="511" t="str">
        <f t="shared" si="2"/>
        <v/>
      </c>
      <c r="X30" s="511" t="str">
        <f t="shared" si="3"/>
        <v/>
      </c>
      <c r="Y30" s="515"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8" x14ac:dyDescent="0.25">
      <c r="C31" s="141">
        <v>22</v>
      </c>
      <c r="D31" s="462"/>
      <c r="E31" s="153"/>
      <c r="F31" s="498" t="str">
        <f>IF(D31="","",VLOOKUP(D31,'G-7 Rivers Data'!$B$2:$G$8,2,FALSE))</f>
        <v/>
      </c>
      <c r="G31" s="499" t="str">
        <f>IFERROR(VLOOKUP(F31,'G-7 Rivers Data'!$C$4:$D$8,2,FALSE),"")</f>
        <v/>
      </c>
      <c r="H31" s="145"/>
      <c r="I31" s="499" t="str">
        <f>IFERROR(INDEX('G-7 Rivers Data'!$H$4:$L$8,MATCH(D31,'G-7 Rivers Data'!$B$4:$B$8,0),MATCH(H31,'G-7 Rivers Data'!$H$3:$L$3,0)),"")</f>
        <v/>
      </c>
      <c r="J31" s="154"/>
      <c r="K31" s="520" t="str">
        <f>IF(J31="","",IF(VLOOKUP(J31,'G-7 Rivers Data'!$AK$4:$AM$9,2,FALSE)=0,"Spatial Data Missing ⚠",VLOOKUP(J31,'G-7 Rivers Data'!$AK$4:$AM$9,2,FALSE)))</f>
        <v/>
      </c>
      <c r="L31" s="524"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Data'!$B$4:$G$8,6,FALSE))</f>
        <v/>
      </c>
      <c r="R31" s="513" t="str">
        <f t="shared" si="0"/>
        <v/>
      </c>
      <c r="S31" s="40"/>
      <c r="T31" s="145"/>
      <c r="U31" s="157"/>
      <c r="V31" s="511" t="str">
        <f t="shared" si="1"/>
        <v/>
      </c>
      <c r="W31" s="511" t="str">
        <f t="shared" si="2"/>
        <v/>
      </c>
      <c r="X31" s="511" t="str">
        <f t="shared" si="3"/>
        <v/>
      </c>
      <c r="Y31" s="515"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8" x14ac:dyDescent="0.25">
      <c r="C32" s="141">
        <v>23</v>
      </c>
      <c r="D32" s="462"/>
      <c r="E32" s="153"/>
      <c r="F32" s="498" t="str">
        <f>IF(D32="","",VLOOKUP(D32,'G-7 Rivers Data'!$B$2:$G$8,2,FALSE))</f>
        <v/>
      </c>
      <c r="G32" s="499" t="str">
        <f>IFERROR(VLOOKUP(F32,'G-7 Rivers Data'!$C$4:$D$8,2,FALSE),"")</f>
        <v/>
      </c>
      <c r="H32" s="145"/>
      <c r="I32" s="499" t="str">
        <f>IFERROR(INDEX('G-7 Rivers Data'!$H$4:$L$8,MATCH(D32,'G-7 Rivers Data'!$B$4:$B$8,0),MATCH(H32,'G-7 Rivers Data'!$H$3:$L$3,0)),"")</f>
        <v/>
      </c>
      <c r="J32" s="154"/>
      <c r="K32" s="520" t="str">
        <f>IF(J32="","",IF(VLOOKUP(J32,'G-7 Rivers Data'!$AK$4:$AM$9,2,FALSE)=0,"Spatial Data Missing ⚠",VLOOKUP(J32,'G-7 Rivers Data'!$AK$4:$AM$9,2,FALSE)))</f>
        <v/>
      </c>
      <c r="L32" s="524"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Data'!$B$4:$G$8,6,FALSE))</f>
        <v/>
      </c>
      <c r="R32" s="513" t="str">
        <f t="shared" si="0"/>
        <v/>
      </c>
      <c r="S32" s="40"/>
      <c r="T32" s="145"/>
      <c r="U32" s="157"/>
      <c r="V32" s="511" t="str">
        <f t="shared" si="1"/>
        <v/>
      </c>
      <c r="W32" s="511" t="str">
        <f t="shared" si="2"/>
        <v/>
      </c>
      <c r="X32" s="511" t="str">
        <f t="shared" si="3"/>
        <v/>
      </c>
      <c r="Y32" s="515"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8" x14ac:dyDescent="0.25">
      <c r="C33" s="141">
        <v>24</v>
      </c>
      <c r="D33" s="462"/>
      <c r="E33" s="153"/>
      <c r="F33" s="498" t="str">
        <f>IF(D33="","",VLOOKUP(D33,'G-7 Rivers Data'!$B$2:$G$8,2,FALSE))</f>
        <v/>
      </c>
      <c r="G33" s="499" t="str">
        <f>IFERROR(VLOOKUP(F33,'G-7 Rivers Data'!$C$4:$D$8,2,FALSE),"")</f>
        <v/>
      </c>
      <c r="H33" s="145"/>
      <c r="I33" s="499" t="str">
        <f>IFERROR(INDEX('G-7 Rivers Data'!$H$4:$L$8,MATCH(D33,'G-7 Rivers Data'!$B$4:$B$8,0),MATCH(H33,'G-7 Rivers Data'!$H$3:$L$3,0)),"")</f>
        <v/>
      </c>
      <c r="J33" s="154"/>
      <c r="K33" s="520" t="str">
        <f>IF(J33="","",IF(VLOOKUP(J33,'G-7 Rivers Data'!$AK$4:$AM$9,2,FALSE)=0,"Spatial Data Missing ⚠",VLOOKUP(J33,'G-7 Rivers Data'!$AK$4:$AM$9,2,FALSE)))</f>
        <v/>
      </c>
      <c r="L33" s="524"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Data'!$B$4:$G$8,6,FALSE))</f>
        <v/>
      </c>
      <c r="R33" s="513" t="str">
        <f t="shared" si="0"/>
        <v/>
      </c>
      <c r="S33" s="40"/>
      <c r="T33" s="145"/>
      <c r="U33" s="157"/>
      <c r="V33" s="511" t="str">
        <f t="shared" si="1"/>
        <v/>
      </c>
      <c r="W33" s="511" t="str">
        <f t="shared" si="2"/>
        <v/>
      </c>
      <c r="X33" s="511" t="str">
        <f t="shared" si="3"/>
        <v/>
      </c>
      <c r="Y33" s="515"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8" x14ac:dyDescent="0.25">
      <c r="C34" s="141">
        <v>25</v>
      </c>
      <c r="D34" s="462"/>
      <c r="E34" s="153"/>
      <c r="F34" s="498" t="str">
        <f>IF(D34="","",VLOOKUP(D34,'G-7 Rivers Data'!$B$2:$G$8,2,FALSE))</f>
        <v/>
      </c>
      <c r="G34" s="499" t="str">
        <f>IFERROR(VLOOKUP(F34,'G-7 Rivers Data'!$C$4:$D$8,2,FALSE),"")</f>
        <v/>
      </c>
      <c r="H34" s="145"/>
      <c r="I34" s="499" t="str">
        <f>IFERROR(INDEX('G-7 Rivers Data'!$H$4:$L$8,MATCH(D34,'G-7 Rivers Data'!$B$4:$B$8,0),MATCH(H34,'G-7 Rivers Data'!$H$3:$L$3,0)),"")</f>
        <v/>
      </c>
      <c r="J34" s="154"/>
      <c r="K34" s="520" t="str">
        <f>IF(J34="","",IF(VLOOKUP(J34,'G-7 Rivers Data'!$AK$4:$AM$9,2,FALSE)=0,"Spatial Data Missing ⚠",VLOOKUP(J34,'G-7 Rivers Data'!$AK$4:$AM$9,2,FALSE)))</f>
        <v/>
      </c>
      <c r="L34" s="524"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Data'!$B$4:$G$8,6,FALSE))</f>
        <v/>
      </c>
      <c r="R34" s="513" t="str">
        <f t="shared" si="0"/>
        <v/>
      </c>
      <c r="S34" s="40"/>
      <c r="T34" s="145"/>
      <c r="U34" s="157"/>
      <c r="V34" s="511" t="str">
        <f t="shared" si="1"/>
        <v/>
      </c>
      <c r="W34" s="511" t="str">
        <f t="shared" si="2"/>
        <v/>
      </c>
      <c r="X34" s="511" t="str">
        <f t="shared" si="3"/>
        <v/>
      </c>
      <c r="Y34" s="515"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8" x14ac:dyDescent="0.25">
      <c r="C35" s="141">
        <v>26</v>
      </c>
      <c r="D35" s="462"/>
      <c r="E35" s="153"/>
      <c r="F35" s="498" t="str">
        <f>IF(D35="","",VLOOKUP(D35,'G-7 Rivers Data'!$B$2:$G$8,2,FALSE))</f>
        <v/>
      </c>
      <c r="G35" s="499" t="str">
        <f>IFERROR(VLOOKUP(F35,'G-7 Rivers Data'!$C$4:$D$8,2,FALSE),"")</f>
        <v/>
      </c>
      <c r="H35" s="145"/>
      <c r="I35" s="499" t="str">
        <f>IFERROR(INDEX('G-7 Rivers Data'!$H$4:$L$8,MATCH(D35,'G-7 Rivers Data'!$B$4:$B$8,0),MATCH(H35,'G-7 Rivers Data'!$H$3:$L$3,0)),"")</f>
        <v/>
      </c>
      <c r="J35" s="154"/>
      <c r="K35" s="520" t="str">
        <f>IF(J35="","",IF(VLOOKUP(J35,'G-7 Rivers Data'!$AK$4:$AM$9,2,FALSE)=0,"Spatial Data Missing ⚠",VLOOKUP(J35,'G-7 Rivers Data'!$AK$4:$AM$9,2,FALSE)))</f>
        <v/>
      </c>
      <c r="L35" s="524"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Data'!$B$4:$G$8,6,FALSE))</f>
        <v/>
      </c>
      <c r="R35" s="513" t="str">
        <f t="shared" si="0"/>
        <v/>
      </c>
      <c r="S35" s="40"/>
      <c r="T35" s="145"/>
      <c r="U35" s="157"/>
      <c r="V35" s="511" t="str">
        <f t="shared" si="1"/>
        <v/>
      </c>
      <c r="W35" s="511" t="str">
        <f t="shared" si="2"/>
        <v/>
      </c>
      <c r="X35" s="511" t="str">
        <f t="shared" si="3"/>
        <v/>
      </c>
      <c r="Y35" s="515"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8" x14ac:dyDescent="0.25">
      <c r="C36" s="141">
        <v>27</v>
      </c>
      <c r="D36" s="462"/>
      <c r="E36" s="153"/>
      <c r="F36" s="498" t="str">
        <f>IF(D36="","",VLOOKUP(D36,'G-7 Rivers Data'!$B$2:$G$8,2,FALSE))</f>
        <v/>
      </c>
      <c r="G36" s="499" t="str">
        <f>IFERROR(VLOOKUP(F36,'G-7 Rivers Data'!$C$4:$D$8,2,FALSE),"")</f>
        <v/>
      </c>
      <c r="H36" s="145"/>
      <c r="I36" s="499" t="str">
        <f>IFERROR(INDEX('G-7 Rivers Data'!$H$4:$L$8,MATCH(D36,'G-7 Rivers Data'!$B$4:$B$8,0),MATCH(H36,'G-7 Rivers Data'!$H$3:$L$3,0)),"")</f>
        <v/>
      </c>
      <c r="J36" s="154"/>
      <c r="K36" s="520" t="str">
        <f>IF(J36="","",IF(VLOOKUP(J36,'G-7 Rivers Data'!$AK$4:$AM$9,2,FALSE)=0,"Spatial Data Missing ⚠",VLOOKUP(J36,'G-7 Rivers Data'!$AK$4:$AM$9,2,FALSE)))</f>
        <v/>
      </c>
      <c r="L36" s="524"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Data'!$B$4:$G$8,6,FALSE))</f>
        <v/>
      </c>
      <c r="R36" s="513" t="str">
        <f t="shared" si="0"/>
        <v/>
      </c>
      <c r="S36" s="40"/>
      <c r="T36" s="145"/>
      <c r="U36" s="157"/>
      <c r="V36" s="511" t="str">
        <f t="shared" si="1"/>
        <v/>
      </c>
      <c r="W36" s="511" t="str">
        <f t="shared" si="2"/>
        <v/>
      </c>
      <c r="X36" s="511" t="str">
        <f t="shared" si="3"/>
        <v/>
      </c>
      <c r="Y36" s="515"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8" x14ac:dyDescent="0.25">
      <c r="C37" s="141">
        <v>28</v>
      </c>
      <c r="D37" s="462"/>
      <c r="E37" s="153"/>
      <c r="F37" s="498" t="str">
        <f>IF(D37="","",VLOOKUP(D37,'G-7 Rivers Data'!$B$2:$G$8,2,FALSE))</f>
        <v/>
      </c>
      <c r="G37" s="499" t="str">
        <f>IFERROR(VLOOKUP(F37,'G-7 Rivers Data'!$C$4:$D$8,2,FALSE),"")</f>
        <v/>
      </c>
      <c r="H37" s="145"/>
      <c r="I37" s="499" t="str">
        <f>IFERROR(INDEX('G-7 Rivers Data'!$H$4:$L$8,MATCH(D37,'G-7 Rivers Data'!$B$4:$B$8,0),MATCH(H37,'G-7 Rivers Data'!$H$3:$L$3,0)),"")</f>
        <v/>
      </c>
      <c r="J37" s="154"/>
      <c r="K37" s="520" t="str">
        <f>IF(J37="","",IF(VLOOKUP(J37,'G-7 Rivers Data'!$AK$4:$AM$9,2,FALSE)=0,"Spatial Data Missing ⚠",VLOOKUP(J37,'G-7 Rivers Data'!$AK$4:$AM$9,2,FALSE)))</f>
        <v/>
      </c>
      <c r="L37" s="524"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Data'!$B$4:$G$8,6,FALSE))</f>
        <v/>
      </c>
      <c r="R37" s="513" t="str">
        <f t="shared" si="0"/>
        <v/>
      </c>
      <c r="S37" s="40"/>
      <c r="T37" s="145"/>
      <c r="U37" s="157"/>
      <c r="V37" s="511" t="str">
        <f t="shared" si="1"/>
        <v/>
      </c>
      <c r="W37" s="511" t="str">
        <f t="shared" si="2"/>
        <v/>
      </c>
      <c r="X37" s="511" t="str">
        <f t="shared" si="3"/>
        <v/>
      </c>
      <c r="Y37" s="515"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8" x14ac:dyDescent="0.25">
      <c r="C38" s="141">
        <v>29</v>
      </c>
      <c r="D38" s="462"/>
      <c r="E38" s="153"/>
      <c r="F38" s="498" t="str">
        <f>IF(D38="","",VLOOKUP(D38,'G-7 Rivers Data'!$B$2:$G$8,2,FALSE))</f>
        <v/>
      </c>
      <c r="G38" s="499" t="str">
        <f>IFERROR(VLOOKUP(F38,'G-7 Rivers Data'!$C$4:$D$8,2,FALSE),"")</f>
        <v/>
      </c>
      <c r="H38" s="145"/>
      <c r="I38" s="499" t="str">
        <f>IFERROR(INDEX('G-7 Rivers Data'!$H$4:$L$8,MATCH(D38,'G-7 Rivers Data'!$B$4:$B$8,0),MATCH(H38,'G-7 Rivers Data'!$H$3:$L$3,0)),"")</f>
        <v/>
      </c>
      <c r="J38" s="154"/>
      <c r="K38" s="520" t="str">
        <f>IF(J38="","",IF(VLOOKUP(J38,'G-7 Rivers Data'!$AK$4:$AM$9,2,FALSE)=0,"Spatial Data Missing ⚠",VLOOKUP(J38,'G-7 Rivers Data'!$AK$4:$AM$9,2,FALSE)))</f>
        <v/>
      </c>
      <c r="L38" s="524"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Data'!$B$4:$G$8,6,FALSE))</f>
        <v/>
      </c>
      <c r="R38" s="513" t="str">
        <f t="shared" si="0"/>
        <v/>
      </c>
      <c r="S38" s="40"/>
      <c r="T38" s="145"/>
      <c r="U38" s="157"/>
      <c r="V38" s="511" t="str">
        <f t="shared" si="1"/>
        <v/>
      </c>
      <c r="W38" s="511" t="str">
        <f t="shared" si="2"/>
        <v/>
      </c>
      <c r="X38" s="511" t="str">
        <f t="shared" si="3"/>
        <v/>
      </c>
      <c r="Y38" s="515"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8" x14ac:dyDescent="0.25">
      <c r="C39" s="141">
        <v>30</v>
      </c>
      <c r="D39" s="462"/>
      <c r="E39" s="153"/>
      <c r="F39" s="498" t="str">
        <f>IF(D39="","",VLOOKUP(D39,'G-7 Rivers Data'!$B$2:$G$8,2,FALSE))</f>
        <v/>
      </c>
      <c r="G39" s="499" t="str">
        <f>IFERROR(VLOOKUP(F39,'G-7 Rivers Data'!$C$4:$D$8,2,FALSE),"")</f>
        <v/>
      </c>
      <c r="H39" s="145"/>
      <c r="I39" s="499" t="str">
        <f>IFERROR(INDEX('G-7 Rivers Data'!$H$4:$L$8,MATCH(D39,'G-7 Rivers Data'!$B$4:$B$8,0),MATCH(H39,'G-7 Rivers Data'!$H$3:$L$3,0)),"")</f>
        <v/>
      </c>
      <c r="J39" s="154"/>
      <c r="K39" s="520" t="str">
        <f>IF(J39="","",IF(VLOOKUP(J39,'G-7 Rivers Data'!$AK$4:$AM$9,2,FALSE)=0,"Spatial Data Missing ⚠",VLOOKUP(J39,'G-7 Rivers Data'!$AK$4:$AM$9,2,FALSE)))</f>
        <v/>
      </c>
      <c r="L39" s="524"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Data'!$B$4:$G$8,6,FALSE))</f>
        <v/>
      </c>
      <c r="R39" s="513" t="str">
        <f t="shared" si="0"/>
        <v/>
      </c>
      <c r="S39" s="40"/>
      <c r="T39" s="145"/>
      <c r="U39" s="157"/>
      <c r="V39" s="511" t="str">
        <f t="shared" si="1"/>
        <v/>
      </c>
      <c r="W39" s="511" t="str">
        <f t="shared" si="2"/>
        <v/>
      </c>
      <c r="X39" s="511" t="str">
        <f t="shared" si="3"/>
        <v/>
      </c>
      <c r="Y39" s="515"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8" x14ac:dyDescent="0.25">
      <c r="C40" s="141">
        <v>31</v>
      </c>
      <c r="D40" s="462"/>
      <c r="E40" s="153"/>
      <c r="F40" s="498" t="str">
        <f>IF(D40="","",VLOOKUP(D40,'G-7 Rivers Data'!$B$2:$G$8,2,FALSE))</f>
        <v/>
      </c>
      <c r="G40" s="499" t="str">
        <f>IFERROR(VLOOKUP(F40,'G-7 Rivers Data'!$C$4:$D$8,2,FALSE),"")</f>
        <v/>
      </c>
      <c r="H40" s="145"/>
      <c r="I40" s="499" t="str">
        <f>IFERROR(INDEX('G-7 Rivers Data'!$H$4:$L$8,MATCH(D40,'G-7 Rivers Data'!$B$4:$B$8,0),MATCH(H40,'G-7 Rivers Data'!$H$3:$L$3,0)),"")</f>
        <v/>
      </c>
      <c r="J40" s="154"/>
      <c r="K40" s="520" t="str">
        <f>IF(J40="","",IF(VLOOKUP(J40,'G-7 Rivers Data'!$AK$4:$AM$9,2,FALSE)=0,"Spatial Data Missing ⚠",VLOOKUP(J40,'G-7 Rivers Data'!$AK$4:$AM$9,2,FALSE)))</f>
        <v/>
      </c>
      <c r="L40" s="524"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Data'!$B$4:$G$8,6,FALSE))</f>
        <v/>
      </c>
      <c r="R40" s="513" t="str">
        <f t="shared" si="0"/>
        <v/>
      </c>
      <c r="S40" s="40"/>
      <c r="T40" s="145"/>
      <c r="U40" s="157"/>
      <c r="V40" s="511" t="str">
        <f t="shared" si="1"/>
        <v/>
      </c>
      <c r="W40" s="511" t="str">
        <f t="shared" si="2"/>
        <v/>
      </c>
      <c r="X40" s="511" t="str">
        <f t="shared" si="3"/>
        <v/>
      </c>
      <c r="Y40" s="515"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8" x14ac:dyDescent="0.25">
      <c r="C41" s="141">
        <v>32</v>
      </c>
      <c r="D41" s="462"/>
      <c r="E41" s="153"/>
      <c r="F41" s="498" t="str">
        <f>IF(D41="","",VLOOKUP(D41,'G-7 Rivers Data'!$B$2:$G$8,2,FALSE))</f>
        <v/>
      </c>
      <c r="G41" s="499" t="str">
        <f>IFERROR(VLOOKUP(F41,'G-7 Rivers Data'!$C$4:$D$8,2,FALSE),"")</f>
        <v/>
      </c>
      <c r="H41" s="145"/>
      <c r="I41" s="499" t="str">
        <f>IFERROR(INDEX('G-7 Rivers Data'!$H$4:$L$8,MATCH(D41,'G-7 Rivers Data'!$B$4:$B$8,0),MATCH(H41,'G-7 Rivers Data'!$H$3:$L$3,0)),"")</f>
        <v/>
      </c>
      <c r="J41" s="154"/>
      <c r="K41" s="520" t="str">
        <f>IF(J41="","",IF(VLOOKUP(J41,'G-7 Rivers Data'!$AK$4:$AM$9,2,FALSE)=0,"Spatial Data Missing ⚠",VLOOKUP(J41,'G-7 Rivers Data'!$AK$4:$AM$9,2,FALSE)))</f>
        <v/>
      </c>
      <c r="L41" s="524"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Data'!$B$4:$G$8,6,FALSE))</f>
        <v/>
      </c>
      <c r="R41" s="513" t="str">
        <f t="shared" si="0"/>
        <v/>
      </c>
      <c r="S41" s="40"/>
      <c r="T41" s="145"/>
      <c r="U41" s="157"/>
      <c r="V41" s="511" t="str">
        <f t="shared" si="1"/>
        <v/>
      </c>
      <c r="W41" s="511" t="str">
        <f t="shared" si="2"/>
        <v/>
      </c>
      <c r="X41" s="511" t="str">
        <f t="shared" si="3"/>
        <v/>
      </c>
      <c r="Y41" s="515"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8" x14ac:dyDescent="0.25">
      <c r="C42" s="141">
        <v>33</v>
      </c>
      <c r="D42" s="462"/>
      <c r="E42" s="153"/>
      <c r="F42" s="498" t="str">
        <f>IF(D42="","",VLOOKUP(D42,'G-7 Rivers Data'!$B$2:$G$8,2,FALSE))</f>
        <v/>
      </c>
      <c r="G42" s="499" t="str">
        <f>IFERROR(VLOOKUP(F42,'G-7 Rivers Data'!$C$4:$D$8,2,FALSE),"")</f>
        <v/>
      </c>
      <c r="H42" s="145"/>
      <c r="I42" s="499" t="str">
        <f>IFERROR(INDEX('G-7 Rivers Data'!$H$4:$L$8,MATCH(D42,'G-7 Rivers Data'!$B$4:$B$8,0),MATCH(H42,'G-7 Rivers Data'!$H$3:$L$3,0)),"")</f>
        <v/>
      </c>
      <c r="J42" s="154"/>
      <c r="K42" s="520" t="str">
        <f>IF(J42="","",IF(VLOOKUP(J42,'G-7 Rivers Data'!$AK$4:$AM$9,2,FALSE)=0,"Spatial Data Missing ⚠",VLOOKUP(J42,'G-7 Rivers Data'!$AK$4:$AM$9,2,FALSE)))</f>
        <v/>
      </c>
      <c r="L42" s="524"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Data'!$B$4:$G$8,6,FALSE))</f>
        <v/>
      </c>
      <c r="R42" s="513" t="str">
        <f t="shared" si="0"/>
        <v/>
      </c>
      <c r="S42" s="40"/>
      <c r="T42" s="145"/>
      <c r="U42" s="157"/>
      <c r="V42" s="511" t="str">
        <f t="shared" si="1"/>
        <v/>
      </c>
      <c r="W42" s="511" t="str">
        <f t="shared" si="2"/>
        <v/>
      </c>
      <c r="X42" s="511" t="str">
        <f t="shared" si="3"/>
        <v/>
      </c>
      <c r="Y42" s="515"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8" x14ac:dyDescent="0.25">
      <c r="C43" s="141">
        <v>34</v>
      </c>
      <c r="D43" s="462"/>
      <c r="E43" s="153"/>
      <c r="F43" s="498" t="str">
        <f>IF(D43="","",VLOOKUP(D43,'G-7 Rivers Data'!$B$2:$G$8,2,FALSE))</f>
        <v/>
      </c>
      <c r="G43" s="499" t="str">
        <f>IFERROR(VLOOKUP(F43,'G-7 Rivers Data'!$C$4:$D$8,2,FALSE),"")</f>
        <v/>
      </c>
      <c r="H43" s="145"/>
      <c r="I43" s="499" t="str">
        <f>IFERROR(INDEX('G-7 Rivers Data'!$H$4:$L$8,MATCH(D43,'G-7 Rivers Data'!$B$4:$B$8,0),MATCH(H43,'G-7 Rivers Data'!$H$3:$L$3,0)),"")</f>
        <v/>
      </c>
      <c r="J43" s="154"/>
      <c r="K43" s="520" t="str">
        <f>IF(J43="","",IF(VLOOKUP(J43,'G-7 Rivers Data'!$AK$4:$AM$9,2,FALSE)=0,"Spatial Data Missing ⚠",VLOOKUP(J43,'G-7 Rivers Data'!$AK$4:$AM$9,2,FALSE)))</f>
        <v/>
      </c>
      <c r="L43" s="524"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Data'!$B$4:$G$8,6,FALSE))</f>
        <v/>
      </c>
      <c r="R43" s="513" t="str">
        <f t="shared" si="0"/>
        <v/>
      </c>
      <c r="S43" s="40"/>
      <c r="T43" s="145"/>
      <c r="U43" s="157"/>
      <c r="V43" s="511" t="str">
        <f t="shared" si="1"/>
        <v/>
      </c>
      <c r="W43" s="511" t="str">
        <f t="shared" si="2"/>
        <v/>
      </c>
      <c r="X43" s="511" t="str">
        <f t="shared" si="3"/>
        <v/>
      </c>
      <c r="Y43" s="515"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8" x14ac:dyDescent="0.25">
      <c r="C44" s="141">
        <v>35</v>
      </c>
      <c r="D44" s="462"/>
      <c r="E44" s="153"/>
      <c r="F44" s="498" t="str">
        <f>IF(D44="","",VLOOKUP(D44,'G-7 Rivers Data'!$B$2:$G$8,2,FALSE))</f>
        <v/>
      </c>
      <c r="G44" s="499" t="str">
        <f>IFERROR(VLOOKUP(F44,'G-7 Rivers Data'!$C$4:$D$8,2,FALSE),"")</f>
        <v/>
      </c>
      <c r="H44" s="145"/>
      <c r="I44" s="499" t="str">
        <f>IFERROR(INDEX('G-7 Rivers Data'!$H$4:$L$8,MATCH(D44,'G-7 Rivers Data'!$B$4:$B$8,0),MATCH(H44,'G-7 Rivers Data'!$H$3:$L$3,0)),"")</f>
        <v/>
      </c>
      <c r="J44" s="154"/>
      <c r="K44" s="520" t="str">
        <f>IF(J44="","",IF(VLOOKUP(J44,'G-7 Rivers Data'!$AK$4:$AM$9,2,FALSE)=0,"Spatial Data Missing ⚠",VLOOKUP(J44,'G-7 Rivers Data'!$AK$4:$AM$9,2,FALSE)))</f>
        <v/>
      </c>
      <c r="L44" s="524"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Data'!$B$4:$G$8,6,FALSE))</f>
        <v/>
      </c>
      <c r="R44" s="513" t="str">
        <f t="shared" si="0"/>
        <v/>
      </c>
      <c r="S44" s="40"/>
      <c r="T44" s="145"/>
      <c r="U44" s="157"/>
      <c r="V44" s="511" t="str">
        <f t="shared" si="1"/>
        <v/>
      </c>
      <c r="W44" s="511" t="str">
        <f t="shared" si="2"/>
        <v/>
      </c>
      <c r="X44" s="511" t="str">
        <f t="shared" si="3"/>
        <v/>
      </c>
      <c r="Y44" s="515"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8" x14ac:dyDescent="0.25">
      <c r="C45" s="141">
        <v>36</v>
      </c>
      <c r="D45" s="462"/>
      <c r="E45" s="153"/>
      <c r="F45" s="498" t="str">
        <f>IF(D45="","",VLOOKUP(D45,'G-7 Rivers Data'!$B$2:$G$8,2,FALSE))</f>
        <v/>
      </c>
      <c r="G45" s="499" t="str">
        <f>IFERROR(VLOOKUP(F45,'G-7 Rivers Data'!$C$4:$D$8,2,FALSE),"")</f>
        <v/>
      </c>
      <c r="H45" s="145"/>
      <c r="I45" s="499" t="str">
        <f>IFERROR(INDEX('G-7 Rivers Data'!$H$4:$L$8,MATCH(D45,'G-7 Rivers Data'!$B$4:$B$8,0),MATCH(H45,'G-7 Rivers Data'!$H$3:$L$3,0)),"")</f>
        <v/>
      </c>
      <c r="J45" s="154"/>
      <c r="K45" s="520" t="str">
        <f>IF(J45="","",IF(VLOOKUP(J45,'G-7 Rivers Data'!$AK$4:$AM$9,2,FALSE)=0,"Spatial Data Missing ⚠",VLOOKUP(J45,'G-7 Rivers Data'!$AK$4:$AM$9,2,FALSE)))</f>
        <v/>
      </c>
      <c r="L45" s="524"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Data'!$B$4:$G$8,6,FALSE))</f>
        <v/>
      </c>
      <c r="R45" s="513" t="str">
        <f t="shared" si="0"/>
        <v/>
      </c>
      <c r="S45" s="40"/>
      <c r="T45" s="145"/>
      <c r="U45" s="157"/>
      <c r="V45" s="511" t="str">
        <f t="shared" si="1"/>
        <v/>
      </c>
      <c r="W45" s="511" t="str">
        <f t="shared" si="2"/>
        <v/>
      </c>
      <c r="X45" s="511" t="str">
        <f t="shared" si="3"/>
        <v/>
      </c>
      <c r="Y45" s="515"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8" x14ac:dyDescent="0.25">
      <c r="C46" s="141">
        <v>37</v>
      </c>
      <c r="D46" s="462"/>
      <c r="E46" s="153"/>
      <c r="F46" s="498" t="str">
        <f>IF(D46="","",VLOOKUP(D46,'G-7 Rivers Data'!$B$2:$G$8,2,FALSE))</f>
        <v/>
      </c>
      <c r="G46" s="499" t="str">
        <f>IFERROR(VLOOKUP(F46,'G-7 Rivers Data'!$C$4:$D$8,2,FALSE),"")</f>
        <v/>
      </c>
      <c r="H46" s="145"/>
      <c r="I46" s="499" t="str">
        <f>IFERROR(INDEX('G-7 Rivers Data'!$H$4:$L$8,MATCH(D46,'G-7 Rivers Data'!$B$4:$B$8,0),MATCH(H46,'G-7 Rivers Data'!$H$3:$L$3,0)),"")</f>
        <v/>
      </c>
      <c r="J46" s="154"/>
      <c r="K46" s="520" t="str">
        <f>IF(J46="","",IF(VLOOKUP(J46,'G-7 Rivers Data'!$AK$4:$AM$9,2,FALSE)=0,"Spatial Data Missing ⚠",VLOOKUP(J46,'G-7 Rivers Data'!$AK$4:$AM$9,2,FALSE)))</f>
        <v/>
      </c>
      <c r="L46" s="524"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Data'!$B$4:$G$8,6,FALSE))</f>
        <v/>
      </c>
      <c r="R46" s="513" t="str">
        <f t="shared" si="0"/>
        <v/>
      </c>
      <c r="S46" s="40"/>
      <c r="T46" s="145"/>
      <c r="U46" s="157"/>
      <c r="V46" s="511" t="str">
        <f t="shared" si="1"/>
        <v/>
      </c>
      <c r="W46" s="511" t="str">
        <f t="shared" si="2"/>
        <v/>
      </c>
      <c r="X46" s="511" t="str">
        <f t="shared" si="3"/>
        <v/>
      </c>
      <c r="Y46" s="515"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8" x14ac:dyDescent="0.25">
      <c r="C47" s="141">
        <v>38</v>
      </c>
      <c r="D47" s="462"/>
      <c r="E47" s="153"/>
      <c r="F47" s="498" t="str">
        <f>IF(D47="","",VLOOKUP(D47,'G-7 Rivers Data'!$B$2:$G$8,2,FALSE))</f>
        <v/>
      </c>
      <c r="G47" s="499" t="str">
        <f>IFERROR(VLOOKUP(F47,'G-7 Rivers Data'!$C$4:$D$8,2,FALSE),"")</f>
        <v/>
      </c>
      <c r="H47" s="145"/>
      <c r="I47" s="499" t="str">
        <f>IFERROR(INDEX('G-7 Rivers Data'!$H$4:$L$8,MATCH(D47,'G-7 Rivers Data'!$B$4:$B$8,0),MATCH(H47,'G-7 Rivers Data'!$H$3:$L$3,0)),"")</f>
        <v/>
      </c>
      <c r="J47" s="154"/>
      <c r="K47" s="520" t="str">
        <f>IF(J47="","",IF(VLOOKUP(J47,'G-7 Rivers Data'!$AK$4:$AM$9,2,FALSE)=0,"Spatial Data Missing ⚠",VLOOKUP(J47,'G-7 Rivers Data'!$AK$4:$AM$9,2,FALSE)))</f>
        <v/>
      </c>
      <c r="L47" s="524"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Data'!$B$4:$G$8,6,FALSE))</f>
        <v/>
      </c>
      <c r="R47" s="513" t="str">
        <f t="shared" si="0"/>
        <v/>
      </c>
      <c r="S47" s="40"/>
      <c r="T47" s="145"/>
      <c r="U47" s="157"/>
      <c r="V47" s="511" t="str">
        <f t="shared" si="1"/>
        <v/>
      </c>
      <c r="W47" s="511" t="str">
        <f t="shared" si="2"/>
        <v/>
      </c>
      <c r="X47" s="511" t="str">
        <f t="shared" si="3"/>
        <v/>
      </c>
      <c r="Y47" s="515"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8" x14ac:dyDescent="0.25">
      <c r="C48" s="141">
        <v>39</v>
      </c>
      <c r="D48" s="462"/>
      <c r="E48" s="153"/>
      <c r="F48" s="498" t="str">
        <f>IF(D48="","",VLOOKUP(D48,'G-7 Rivers Data'!$B$2:$G$8,2,FALSE))</f>
        <v/>
      </c>
      <c r="G48" s="499" t="str">
        <f>IFERROR(VLOOKUP(F48,'G-7 Rivers Data'!$C$4:$D$8,2,FALSE),"")</f>
        <v/>
      </c>
      <c r="H48" s="145"/>
      <c r="I48" s="499" t="str">
        <f>IFERROR(INDEX('G-7 Rivers Data'!$H$4:$L$8,MATCH(D48,'G-7 Rivers Data'!$B$4:$B$8,0),MATCH(H48,'G-7 Rivers Data'!$H$3:$L$3,0)),"")</f>
        <v/>
      </c>
      <c r="J48" s="154"/>
      <c r="K48" s="520" t="str">
        <f>IF(J48="","",IF(VLOOKUP(J48,'G-7 Rivers Data'!$AK$4:$AM$9,2,FALSE)=0,"Spatial Data Missing ⚠",VLOOKUP(J48,'G-7 Rivers Data'!$AK$4:$AM$9,2,FALSE)))</f>
        <v/>
      </c>
      <c r="L48" s="524"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Data'!$B$4:$G$8,6,FALSE))</f>
        <v/>
      </c>
      <c r="R48" s="513" t="str">
        <f t="shared" si="0"/>
        <v/>
      </c>
      <c r="S48" s="40"/>
      <c r="T48" s="145"/>
      <c r="U48" s="157"/>
      <c r="V48" s="511" t="str">
        <f t="shared" si="1"/>
        <v/>
      </c>
      <c r="W48" s="511" t="str">
        <f t="shared" si="2"/>
        <v/>
      </c>
      <c r="X48" s="511" t="str">
        <f t="shared" si="3"/>
        <v/>
      </c>
      <c r="Y48" s="515"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8" x14ac:dyDescent="0.25">
      <c r="C49" s="141">
        <v>40</v>
      </c>
      <c r="D49" s="462"/>
      <c r="E49" s="153"/>
      <c r="F49" s="498" t="str">
        <f>IF(D49="","",VLOOKUP(D49,'G-7 Rivers Data'!$B$2:$G$8,2,FALSE))</f>
        <v/>
      </c>
      <c r="G49" s="499" t="str">
        <f>IFERROR(VLOOKUP(F49,'G-7 Rivers Data'!$C$4:$D$8,2,FALSE),"")</f>
        <v/>
      </c>
      <c r="H49" s="145"/>
      <c r="I49" s="499" t="str">
        <f>IFERROR(INDEX('G-7 Rivers Data'!$H$4:$L$8,MATCH(D49,'G-7 Rivers Data'!$B$4:$B$8,0),MATCH(H49,'G-7 Rivers Data'!$H$3:$L$3,0)),"")</f>
        <v/>
      </c>
      <c r="J49" s="154"/>
      <c r="K49" s="520" t="str">
        <f>IF(J49="","",IF(VLOOKUP(J49,'G-7 Rivers Data'!$AK$4:$AM$9,2,FALSE)=0,"Spatial Data Missing ⚠",VLOOKUP(J49,'G-7 Rivers Data'!$AK$4:$AM$9,2,FALSE)))</f>
        <v/>
      </c>
      <c r="L49" s="524"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Data'!$B$4:$G$8,6,FALSE))</f>
        <v/>
      </c>
      <c r="R49" s="513" t="str">
        <f t="shared" si="0"/>
        <v/>
      </c>
      <c r="S49" s="40"/>
      <c r="T49" s="145"/>
      <c r="U49" s="157"/>
      <c r="V49" s="511" t="str">
        <f t="shared" si="1"/>
        <v/>
      </c>
      <c r="W49" s="511" t="str">
        <f t="shared" si="2"/>
        <v/>
      </c>
      <c r="X49" s="511" t="str">
        <f t="shared" si="3"/>
        <v/>
      </c>
      <c r="Y49" s="515"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8" x14ac:dyDescent="0.25">
      <c r="C50" s="141">
        <v>41</v>
      </c>
      <c r="D50" s="462"/>
      <c r="E50" s="153"/>
      <c r="F50" s="498" t="str">
        <f>IF(D50="","",VLOOKUP(D50,'G-7 Rivers Data'!$B$2:$G$8,2,FALSE))</f>
        <v/>
      </c>
      <c r="G50" s="499" t="str">
        <f>IFERROR(VLOOKUP(F50,'G-7 Rivers Data'!$C$4:$D$8,2,FALSE),"")</f>
        <v/>
      </c>
      <c r="H50" s="145"/>
      <c r="I50" s="499" t="str">
        <f>IFERROR(INDEX('G-7 Rivers Data'!$H$4:$L$8,MATCH(D50,'G-7 Rivers Data'!$B$4:$B$8,0),MATCH(H50,'G-7 Rivers Data'!$H$3:$L$3,0)),"")</f>
        <v/>
      </c>
      <c r="J50" s="154"/>
      <c r="K50" s="520" t="str">
        <f>IF(J50="","",IF(VLOOKUP(J50,'G-7 Rivers Data'!$AK$4:$AM$9,2,FALSE)=0,"Spatial Data Missing ⚠",VLOOKUP(J50,'G-7 Rivers Data'!$AK$4:$AM$9,2,FALSE)))</f>
        <v/>
      </c>
      <c r="L50" s="524"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Data'!$B$4:$G$8,6,FALSE))</f>
        <v/>
      </c>
      <c r="R50" s="513" t="str">
        <f t="shared" si="0"/>
        <v/>
      </c>
      <c r="S50" s="40"/>
      <c r="T50" s="145"/>
      <c r="U50" s="157"/>
      <c r="V50" s="511" t="str">
        <f t="shared" si="1"/>
        <v/>
      </c>
      <c r="W50" s="511" t="str">
        <f t="shared" si="2"/>
        <v/>
      </c>
      <c r="X50" s="511" t="str">
        <f t="shared" si="3"/>
        <v/>
      </c>
      <c r="Y50" s="515"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8" x14ac:dyDescent="0.25">
      <c r="C51" s="141">
        <v>42</v>
      </c>
      <c r="D51" s="462"/>
      <c r="E51" s="153"/>
      <c r="F51" s="498" t="str">
        <f>IF(D51="","",VLOOKUP(D51,'G-7 Rivers Data'!$B$2:$G$8,2,FALSE))</f>
        <v/>
      </c>
      <c r="G51" s="499" t="str">
        <f>IFERROR(VLOOKUP(F51,'G-7 Rivers Data'!$C$4:$D$8,2,FALSE),"")</f>
        <v/>
      </c>
      <c r="H51" s="145"/>
      <c r="I51" s="499" t="str">
        <f>IFERROR(INDEX('G-7 Rivers Data'!$H$4:$L$8,MATCH(D51,'G-7 Rivers Data'!$B$4:$B$8,0),MATCH(H51,'G-7 Rivers Data'!$H$3:$L$3,0)),"")</f>
        <v/>
      </c>
      <c r="J51" s="154"/>
      <c r="K51" s="520" t="str">
        <f>IF(J51="","",IF(VLOOKUP(J51,'G-7 Rivers Data'!$AK$4:$AM$9,2,FALSE)=0,"Spatial Data Missing ⚠",VLOOKUP(J51,'G-7 Rivers Data'!$AK$4:$AM$9,2,FALSE)))</f>
        <v/>
      </c>
      <c r="L51" s="524"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Data'!$B$4:$G$8,6,FALSE))</f>
        <v/>
      </c>
      <c r="R51" s="513" t="str">
        <f t="shared" si="0"/>
        <v/>
      </c>
      <c r="S51" s="40"/>
      <c r="T51" s="145"/>
      <c r="U51" s="157"/>
      <c r="V51" s="511" t="str">
        <f t="shared" si="1"/>
        <v/>
      </c>
      <c r="W51" s="511" t="str">
        <f t="shared" si="2"/>
        <v/>
      </c>
      <c r="X51" s="511" t="str">
        <f t="shared" si="3"/>
        <v/>
      </c>
      <c r="Y51" s="515"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8" x14ac:dyDescent="0.25">
      <c r="C52" s="141">
        <v>43</v>
      </c>
      <c r="D52" s="462"/>
      <c r="E52" s="153"/>
      <c r="F52" s="498" t="str">
        <f>IF(D52="","",VLOOKUP(D52,'G-7 Rivers Data'!$B$2:$G$8,2,FALSE))</f>
        <v/>
      </c>
      <c r="G52" s="499" t="str">
        <f>IFERROR(VLOOKUP(F52,'G-7 Rivers Data'!$C$4:$D$8,2,FALSE),"")</f>
        <v/>
      </c>
      <c r="H52" s="145"/>
      <c r="I52" s="499" t="str">
        <f>IFERROR(INDEX('G-7 Rivers Data'!$H$4:$L$8,MATCH(D52,'G-7 Rivers Data'!$B$4:$B$8,0),MATCH(H52,'G-7 Rivers Data'!$H$3:$L$3,0)),"")</f>
        <v/>
      </c>
      <c r="J52" s="154"/>
      <c r="K52" s="520" t="str">
        <f>IF(J52="","",IF(VLOOKUP(J52,'G-7 Rivers Data'!$AK$4:$AM$9,2,FALSE)=0,"Spatial Data Missing ⚠",VLOOKUP(J52,'G-7 Rivers Data'!$AK$4:$AM$9,2,FALSE)))</f>
        <v/>
      </c>
      <c r="L52" s="524"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Data'!$B$4:$G$8,6,FALSE))</f>
        <v/>
      </c>
      <c r="R52" s="513" t="str">
        <f t="shared" si="0"/>
        <v/>
      </c>
      <c r="S52" s="40"/>
      <c r="T52" s="145"/>
      <c r="U52" s="157"/>
      <c r="V52" s="511" t="str">
        <f t="shared" si="1"/>
        <v/>
      </c>
      <c r="W52" s="511" t="str">
        <f t="shared" si="2"/>
        <v/>
      </c>
      <c r="X52" s="511" t="str">
        <f t="shared" si="3"/>
        <v/>
      </c>
      <c r="Y52" s="515"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8" x14ac:dyDescent="0.25">
      <c r="C53" s="141">
        <v>44</v>
      </c>
      <c r="D53" s="462"/>
      <c r="E53" s="153"/>
      <c r="F53" s="498" t="str">
        <f>IF(D53="","",VLOOKUP(D53,'G-7 Rivers Data'!$B$2:$G$8,2,FALSE))</f>
        <v/>
      </c>
      <c r="G53" s="499" t="str">
        <f>IFERROR(VLOOKUP(F53,'G-7 Rivers Data'!$C$4:$D$8,2,FALSE),"")</f>
        <v/>
      </c>
      <c r="H53" s="145"/>
      <c r="I53" s="499" t="str">
        <f>IFERROR(INDEX('G-7 Rivers Data'!$H$4:$L$8,MATCH(D53,'G-7 Rivers Data'!$B$4:$B$8,0),MATCH(H53,'G-7 Rivers Data'!$H$3:$L$3,0)),"")</f>
        <v/>
      </c>
      <c r="J53" s="154"/>
      <c r="K53" s="520" t="str">
        <f>IF(J53="","",IF(VLOOKUP(J53,'G-7 Rivers Data'!$AK$4:$AM$9,2,FALSE)=0,"Spatial Data Missing ⚠",VLOOKUP(J53,'G-7 Rivers Data'!$AK$4:$AM$9,2,FALSE)))</f>
        <v/>
      </c>
      <c r="L53" s="524"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Data'!$B$4:$G$8,6,FALSE))</f>
        <v/>
      </c>
      <c r="R53" s="513" t="str">
        <f t="shared" si="0"/>
        <v/>
      </c>
      <c r="S53" s="40"/>
      <c r="T53" s="145"/>
      <c r="U53" s="157"/>
      <c r="V53" s="511" t="str">
        <f t="shared" si="1"/>
        <v/>
      </c>
      <c r="W53" s="511" t="str">
        <f t="shared" si="2"/>
        <v/>
      </c>
      <c r="X53" s="511" t="str">
        <f t="shared" si="3"/>
        <v/>
      </c>
      <c r="Y53" s="515"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8" x14ac:dyDescent="0.25">
      <c r="C54" s="141">
        <v>45</v>
      </c>
      <c r="D54" s="462"/>
      <c r="E54" s="153"/>
      <c r="F54" s="498" t="str">
        <f>IF(D54="","",VLOOKUP(D54,'G-7 Rivers Data'!$B$2:$G$8,2,FALSE))</f>
        <v/>
      </c>
      <c r="G54" s="499" t="str">
        <f>IFERROR(VLOOKUP(F54,'G-7 Rivers Data'!$C$4:$D$8,2,FALSE),"")</f>
        <v/>
      </c>
      <c r="H54" s="145"/>
      <c r="I54" s="499" t="str">
        <f>IFERROR(INDEX('G-7 Rivers Data'!$H$4:$L$8,MATCH(D54,'G-7 Rivers Data'!$B$4:$B$8,0),MATCH(H54,'G-7 Rivers Data'!$H$3:$L$3,0)),"")</f>
        <v/>
      </c>
      <c r="J54" s="154"/>
      <c r="K54" s="520" t="str">
        <f>IF(J54="","",IF(VLOOKUP(J54,'G-7 Rivers Data'!$AK$4:$AM$9,2,FALSE)=0,"Spatial Data Missing ⚠",VLOOKUP(J54,'G-7 Rivers Data'!$AK$4:$AM$9,2,FALSE)))</f>
        <v/>
      </c>
      <c r="L54" s="524"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Data'!$B$4:$G$8,6,FALSE))</f>
        <v/>
      </c>
      <c r="R54" s="513" t="str">
        <f t="shared" si="0"/>
        <v/>
      </c>
      <c r="S54" s="40"/>
      <c r="T54" s="145"/>
      <c r="U54" s="157"/>
      <c r="V54" s="511" t="str">
        <f t="shared" si="1"/>
        <v/>
      </c>
      <c r="W54" s="511" t="str">
        <f t="shared" si="2"/>
        <v/>
      </c>
      <c r="X54" s="511" t="str">
        <f t="shared" si="3"/>
        <v/>
      </c>
      <c r="Y54" s="515"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8" x14ac:dyDescent="0.25">
      <c r="C55" s="141">
        <v>46</v>
      </c>
      <c r="D55" s="462"/>
      <c r="E55" s="153"/>
      <c r="F55" s="498" t="str">
        <f>IF(D55="","",VLOOKUP(D55,'G-7 Rivers Data'!$B$2:$G$8,2,FALSE))</f>
        <v/>
      </c>
      <c r="G55" s="499" t="str">
        <f>IFERROR(VLOOKUP(F55,'G-7 Rivers Data'!$C$4:$D$8,2,FALSE),"")</f>
        <v/>
      </c>
      <c r="H55" s="145"/>
      <c r="I55" s="499" t="str">
        <f>IFERROR(INDEX('G-7 Rivers Data'!$H$4:$L$8,MATCH(D55,'G-7 Rivers Data'!$B$4:$B$8,0),MATCH(H55,'G-7 Rivers Data'!$H$3:$L$3,0)),"")</f>
        <v/>
      </c>
      <c r="J55" s="154"/>
      <c r="K55" s="520" t="str">
        <f>IF(J55="","",IF(VLOOKUP(J55,'G-7 Rivers Data'!$AK$4:$AM$9,2,FALSE)=0,"Spatial Data Missing ⚠",VLOOKUP(J55,'G-7 Rivers Data'!$AK$4:$AM$9,2,FALSE)))</f>
        <v/>
      </c>
      <c r="L55" s="524"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Data'!$B$4:$G$8,6,FALSE))</f>
        <v/>
      </c>
      <c r="R55" s="513" t="str">
        <f t="shared" si="0"/>
        <v/>
      </c>
      <c r="S55" s="40"/>
      <c r="T55" s="145"/>
      <c r="U55" s="157"/>
      <c r="V55" s="511" t="str">
        <f t="shared" si="1"/>
        <v/>
      </c>
      <c r="W55" s="511" t="str">
        <f t="shared" si="2"/>
        <v/>
      </c>
      <c r="X55" s="511" t="str">
        <f t="shared" si="3"/>
        <v/>
      </c>
      <c r="Y55" s="515"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8" x14ac:dyDescent="0.25">
      <c r="C56" s="141">
        <v>47</v>
      </c>
      <c r="D56" s="462"/>
      <c r="E56" s="153"/>
      <c r="F56" s="498" t="str">
        <f>IF(D56="","",VLOOKUP(D56,'G-7 Rivers Data'!$B$2:$G$8,2,FALSE))</f>
        <v/>
      </c>
      <c r="G56" s="499" t="str">
        <f>IFERROR(VLOOKUP(F56,'G-7 Rivers Data'!$C$4:$D$8,2,FALSE),"")</f>
        <v/>
      </c>
      <c r="H56" s="145"/>
      <c r="I56" s="499" t="str">
        <f>IFERROR(INDEX('G-7 Rivers Data'!$H$4:$L$8,MATCH(D56,'G-7 Rivers Data'!$B$4:$B$8,0),MATCH(H56,'G-7 Rivers Data'!$H$3:$L$3,0)),"")</f>
        <v/>
      </c>
      <c r="J56" s="154"/>
      <c r="K56" s="520" t="str">
        <f>IF(J56="","",IF(VLOOKUP(J56,'G-7 Rivers Data'!$AK$4:$AM$9,2,FALSE)=0,"Spatial Data Missing ⚠",VLOOKUP(J56,'G-7 Rivers Data'!$AK$4:$AM$9,2,FALSE)))</f>
        <v/>
      </c>
      <c r="L56" s="524"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Data'!$B$4:$G$8,6,FALSE))</f>
        <v/>
      </c>
      <c r="R56" s="513" t="str">
        <f t="shared" si="0"/>
        <v/>
      </c>
      <c r="S56" s="40"/>
      <c r="T56" s="145"/>
      <c r="U56" s="157"/>
      <c r="V56" s="511" t="str">
        <f t="shared" si="1"/>
        <v/>
      </c>
      <c r="W56" s="511" t="str">
        <f t="shared" si="2"/>
        <v/>
      </c>
      <c r="X56" s="511" t="str">
        <f t="shared" si="3"/>
        <v/>
      </c>
      <c r="Y56" s="515"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8" x14ac:dyDescent="0.25">
      <c r="C57" s="141">
        <v>48</v>
      </c>
      <c r="D57" s="462"/>
      <c r="E57" s="153"/>
      <c r="F57" s="498" t="str">
        <f>IF(D57="","",VLOOKUP(D57,'G-7 Rivers Data'!$B$2:$G$8,2,FALSE))</f>
        <v/>
      </c>
      <c r="G57" s="499" t="str">
        <f>IFERROR(VLOOKUP(F57,'G-7 Rivers Data'!$C$4:$D$8,2,FALSE),"")</f>
        <v/>
      </c>
      <c r="H57" s="145"/>
      <c r="I57" s="499" t="str">
        <f>IFERROR(INDEX('G-7 Rivers Data'!$H$4:$L$8,MATCH(D57,'G-7 Rivers Data'!$B$4:$B$8,0),MATCH(H57,'G-7 Rivers Data'!$H$3:$L$3,0)),"")</f>
        <v/>
      </c>
      <c r="J57" s="154"/>
      <c r="K57" s="520" t="str">
        <f>IF(J57="","",IF(VLOOKUP(J57,'G-7 Rivers Data'!$AK$4:$AM$9,2,FALSE)=0,"Spatial Data Missing ⚠",VLOOKUP(J57,'G-7 Rivers Data'!$AK$4:$AM$9,2,FALSE)))</f>
        <v/>
      </c>
      <c r="L57" s="524"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Data'!$B$4:$G$8,6,FALSE))</f>
        <v/>
      </c>
      <c r="R57" s="513" t="str">
        <f t="shared" si="0"/>
        <v/>
      </c>
      <c r="S57" s="40"/>
      <c r="T57" s="145"/>
      <c r="U57" s="157"/>
      <c r="V57" s="511" t="str">
        <f t="shared" si="1"/>
        <v/>
      </c>
      <c r="W57" s="511" t="str">
        <f t="shared" si="2"/>
        <v/>
      </c>
      <c r="X57" s="511" t="str">
        <f t="shared" si="3"/>
        <v/>
      </c>
      <c r="Y57" s="515"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8" x14ac:dyDescent="0.25">
      <c r="C58" s="141">
        <v>49</v>
      </c>
      <c r="D58" s="462"/>
      <c r="E58" s="153"/>
      <c r="F58" s="498" t="str">
        <f>IF(D58="","",VLOOKUP(D58,'G-7 Rivers Data'!$B$2:$G$8,2,FALSE))</f>
        <v/>
      </c>
      <c r="G58" s="499" t="str">
        <f>IFERROR(VLOOKUP(F58,'G-7 Rivers Data'!$C$4:$D$8,2,FALSE),"")</f>
        <v/>
      </c>
      <c r="H58" s="145"/>
      <c r="I58" s="499" t="str">
        <f>IFERROR(INDEX('G-7 Rivers Data'!$H$4:$L$8,MATCH(D58,'G-7 Rivers Data'!$B$4:$B$8,0),MATCH(H58,'G-7 Rivers Data'!$H$3:$L$3,0)),"")</f>
        <v/>
      </c>
      <c r="J58" s="154"/>
      <c r="K58" s="520" t="str">
        <f>IF(J58="","",IF(VLOOKUP(J58,'G-7 Rivers Data'!$AK$4:$AM$9,2,FALSE)=0,"Spatial Data Missing ⚠",VLOOKUP(J58,'G-7 Rivers Data'!$AK$4:$AM$9,2,FALSE)))</f>
        <v/>
      </c>
      <c r="L58" s="524"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Data'!$B$4:$G$8,6,FALSE))</f>
        <v/>
      </c>
      <c r="R58" s="513" t="str">
        <f t="shared" si="0"/>
        <v/>
      </c>
      <c r="S58" s="40"/>
      <c r="T58" s="145"/>
      <c r="U58" s="157"/>
      <c r="V58" s="511" t="str">
        <f t="shared" si="1"/>
        <v/>
      </c>
      <c r="W58" s="511" t="str">
        <f t="shared" si="2"/>
        <v/>
      </c>
      <c r="X58" s="511" t="str">
        <f t="shared" si="3"/>
        <v/>
      </c>
      <c r="Y58" s="515"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8" x14ac:dyDescent="0.25">
      <c r="C59" s="141">
        <v>50</v>
      </c>
      <c r="D59" s="462"/>
      <c r="E59" s="153"/>
      <c r="F59" s="498" t="str">
        <f>IF(D59="","",VLOOKUP(D59,'G-7 Rivers Data'!$B$2:$G$8,2,FALSE))</f>
        <v/>
      </c>
      <c r="G59" s="499" t="str">
        <f>IFERROR(VLOOKUP(F59,'G-7 Rivers Data'!$C$4:$D$8,2,FALSE),"")</f>
        <v/>
      </c>
      <c r="H59" s="145"/>
      <c r="I59" s="499" t="str">
        <f>IFERROR(INDEX('G-7 Rivers Data'!$H$4:$L$8,MATCH(D59,'G-7 Rivers Data'!$B$4:$B$8,0),MATCH(H59,'G-7 Rivers Data'!$H$3:$L$3,0)),"")</f>
        <v/>
      </c>
      <c r="J59" s="154"/>
      <c r="K59" s="520" t="str">
        <f>IF(J59="","",IF(VLOOKUP(J59,'G-7 Rivers Data'!$AK$4:$AM$9,2,FALSE)=0,"Spatial Data Missing ⚠",VLOOKUP(J59,'G-7 Rivers Data'!$AK$4:$AM$9,2,FALSE)))</f>
        <v/>
      </c>
      <c r="L59" s="524"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Data'!$B$4:$G$8,6,FALSE))</f>
        <v/>
      </c>
      <c r="R59" s="513" t="str">
        <f t="shared" si="0"/>
        <v/>
      </c>
      <c r="S59" s="40"/>
      <c r="T59" s="145"/>
      <c r="U59" s="157"/>
      <c r="V59" s="511" t="str">
        <f t="shared" si="1"/>
        <v/>
      </c>
      <c r="W59" s="511" t="str">
        <f t="shared" si="2"/>
        <v/>
      </c>
      <c r="X59" s="511" t="str">
        <f t="shared" si="3"/>
        <v/>
      </c>
      <c r="Y59" s="515"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8" x14ac:dyDescent="0.25">
      <c r="C60" s="141">
        <v>51</v>
      </c>
      <c r="D60" s="462"/>
      <c r="E60" s="153"/>
      <c r="F60" s="498" t="str">
        <f>IF(D60="","",VLOOKUP(D60,'G-7 Rivers Data'!$B$2:$G$8,2,FALSE))</f>
        <v/>
      </c>
      <c r="G60" s="499" t="str">
        <f>IFERROR(VLOOKUP(F60,'G-7 Rivers Data'!$C$4:$D$8,2,FALSE),"")</f>
        <v/>
      </c>
      <c r="H60" s="145"/>
      <c r="I60" s="499" t="str">
        <f>IFERROR(INDEX('G-7 Rivers Data'!$H$4:$L$8,MATCH(D60,'G-7 Rivers Data'!$B$4:$B$8,0),MATCH(H60,'G-7 Rivers Data'!$H$3:$L$3,0)),"")</f>
        <v/>
      </c>
      <c r="J60" s="154"/>
      <c r="K60" s="520" t="str">
        <f>IF(J60="","",IF(VLOOKUP(J60,'G-7 Rivers Data'!$AK$4:$AM$9,2,FALSE)=0,"Spatial Data Missing ⚠",VLOOKUP(J60,'G-7 Rivers Data'!$AK$4:$AM$9,2,FALSE)))</f>
        <v/>
      </c>
      <c r="L60" s="524"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Data'!$B$4:$G$8,6,FALSE))</f>
        <v/>
      </c>
      <c r="R60" s="513" t="str">
        <f t="shared" si="0"/>
        <v/>
      </c>
      <c r="S60" s="40"/>
      <c r="T60" s="145"/>
      <c r="U60" s="157"/>
      <c r="V60" s="511" t="str">
        <f t="shared" si="1"/>
        <v/>
      </c>
      <c r="W60" s="511" t="str">
        <f t="shared" si="2"/>
        <v/>
      </c>
      <c r="X60" s="511" t="str">
        <f t="shared" si="3"/>
        <v/>
      </c>
      <c r="Y60" s="515"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8" x14ac:dyDescent="0.25">
      <c r="C61" s="141">
        <v>52</v>
      </c>
      <c r="D61" s="462"/>
      <c r="E61" s="153"/>
      <c r="F61" s="498" t="str">
        <f>IF(D61="","",VLOOKUP(D61,'G-7 Rivers Data'!$B$2:$G$8,2,FALSE))</f>
        <v/>
      </c>
      <c r="G61" s="499" t="str">
        <f>IFERROR(VLOOKUP(F61,'G-7 Rivers Data'!$C$4:$D$8,2,FALSE),"")</f>
        <v/>
      </c>
      <c r="H61" s="145"/>
      <c r="I61" s="499" t="str">
        <f>IFERROR(INDEX('G-7 Rivers Data'!$H$4:$L$8,MATCH(D61,'G-7 Rivers Data'!$B$4:$B$8,0),MATCH(H61,'G-7 Rivers Data'!$H$3:$L$3,0)),"")</f>
        <v/>
      </c>
      <c r="J61" s="154"/>
      <c r="K61" s="520" t="str">
        <f>IF(J61="","",IF(VLOOKUP(J61,'G-7 Rivers Data'!$AK$4:$AM$9,2,FALSE)=0,"Spatial Data Missing ⚠",VLOOKUP(J61,'G-7 Rivers Data'!$AK$4:$AM$9,2,FALSE)))</f>
        <v/>
      </c>
      <c r="L61" s="524"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Data'!$B$4:$G$8,6,FALSE))</f>
        <v/>
      </c>
      <c r="R61" s="513" t="str">
        <f t="shared" si="0"/>
        <v/>
      </c>
      <c r="S61" s="40"/>
      <c r="T61" s="145"/>
      <c r="U61" s="157"/>
      <c r="V61" s="511" t="str">
        <f t="shared" si="1"/>
        <v/>
      </c>
      <c r="W61" s="511" t="str">
        <f t="shared" si="2"/>
        <v/>
      </c>
      <c r="X61" s="511" t="str">
        <f t="shared" si="3"/>
        <v/>
      </c>
      <c r="Y61" s="515"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8" x14ac:dyDescent="0.25">
      <c r="C62" s="141">
        <v>53</v>
      </c>
      <c r="D62" s="462"/>
      <c r="E62" s="153"/>
      <c r="F62" s="498" t="str">
        <f>IF(D62="","",VLOOKUP(D62,'G-7 Rivers Data'!$B$2:$G$8,2,FALSE))</f>
        <v/>
      </c>
      <c r="G62" s="499" t="str">
        <f>IFERROR(VLOOKUP(F62,'G-7 Rivers Data'!$C$4:$D$8,2,FALSE),"")</f>
        <v/>
      </c>
      <c r="H62" s="145"/>
      <c r="I62" s="499" t="str">
        <f>IFERROR(INDEX('G-7 Rivers Data'!$H$4:$L$8,MATCH(D62,'G-7 Rivers Data'!$B$4:$B$8,0),MATCH(H62,'G-7 Rivers Data'!$H$3:$L$3,0)),"")</f>
        <v/>
      </c>
      <c r="J62" s="154"/>
      <c r="K62" s="520" t="str">
        <f>IF(J62="","",IF(VLOOKUP(J62,'G-7 Rivers Data'!$AK$4:$AM$9,2,FALSE)=0,"Spatial Data Missing ⚠",VLOOKUP(J62,'G-7 Rivers Data'!$AK$4:$AM$9,2,FALSE)))</f>
        <v/>
      </c>
      <c r="L62" s="524"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Data'!$B$4:$G$8,6,FALSE))</f>
        <v/>
      </c>
      <c r="R62" s="513" t="str">
        <f t="shared" si="0"/>
        <v/>
      </c>
      <c r="S62" s="40"/>
      <c r="T62" s="145"/>
      <c r="U62" s="157"/>
      <c r="V62" s="511" t="str">
        <f t="shared" si="1"/>
        <v/>
      </c>
      <c r="W62" s="511" t="str">
        <f t="shared" si="2"/>
        <v/>
      </c>
      <c r="X62" s="511" t="str">
        <f t="shared" si="3"/>
        <v/>
      </c>
      <c r="Y62" s="515"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8" x14ac:dyDescent="0.25">
      <c r="C63" s="141">
        <v>54</v>
      </c>
      <c r="D63" s="462"/>
      <c r="E63" s="153"/>
      <c r="F63" s="498" t="str">
        <f>IF(D63="","",VLOOKUP(D63,'G-7 Rivers Data'!$B$2:$G$8,2,FALSE))</f>
        <v/>
      </c>
      <c r="G63" s="499" t="str">
        <f>IFERROR(VLOOKUP(F63,'G-7 Rivers Data'!$C$4:$D$8,2,FALSE),"")</f>
        <v/>
      </c>
      <c r="H63" s="145"/>
      <c r="I63" s="499" t="str">
        <f>IFERROR(INDEX('G-7 Rivers Data'!$H$4:$L$8,MATCH(D63,'G-7 Rivers Data'!$B$4:$B$8,0),MATCH(H63,'G-7 Rivers Data'!$H$3:$L$3,0)),"")</f>
        <v/>
      </c>
      <c r="J63" s="154"/>
      <c r="K63" s="520" t="str">
        <f>IF(J63="","",IF(VLOOKUP(J63,'G-7 Rivers Data'!$AK$4:$AM$9,2,FALSE)=0,"Spatial Data Missing ⚠",VLOOKUP(J63,'G-7 Rivers Data'!$AK$4:$AM$9,2,FALSE)))</f>
        <v/>
      </c>
      <c r="L63" s="524"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Data'!$B$4:$G$8,6,FALSE))</f>
        <v/>
      </c>
      <c r="R63" s="513" t="str">
        <f t="shared" si="0"/>
        <v/>
      </c>
      <c r="S63" s="40"/>
      <c r="T63" s="145"/>
      <c r="U63" s="157"/>
      <c r="V63" s="511" t="str">
        <f t="shared" si="1"/>
        <v/>
      </c>
      <c r="W63" s="511" t="str">
        <f t="shared" si="2"/>
        <v/>
      </c>
      <c r="X63" s="511" t="str">
        <f t="shared" si="3"/>
        <v/>
      </c>
      <c r="Y63" s="515"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8" x14ac:dyDescent="0.25">
      <c r="C64" s="141">
        <v>55</v>
      </c>
      <c r="D64" s="462"/>
      <c r="E64" s="153"/>
      <c r="F64" s="498" t="str">
        <f>IF(D64="","",VLOOKUP(D64,'G-7 Rivers Data'!$B$2:$G$8,2,FALSE))</f>
        <v/>
      </c>
      <c r="G64" s="499" t="str">
        <f>IFERROR(VLOOKUP(F64,'G-7 Rivers Data'!$C$4:$D$8,2,FALSE),"")</f>
        <v/>
      </c>
      <c r="H64" s="145"/>
      <c r="I64" s="499" t="str">
        <f>IFERROR(INDEX('G-7 Rivers Data'!$H$4:$L$8,MATCH(D64,'G-7 Rivers Data'!$B$4:$B$8,0),MATCH(H64,'G-7 Rivers Data'!$H$3:$L$3,0)),"")</f>
        <v/>
      </c>
      <c r="J64" s="154"/>
      <c r="K64" s="520" t="str">
        <f>IF(J64="","",IF(VLOOKUP(J64,'G-7 Rivers Data'!$AK$4:$AM$9,2,FALSE)=0,"Spatial Data Missing ⚠",VLOOKUP(J64,'G-7 Rivers Data'!$AK$4:$AM$9,2,FALSE)))</f>
        <v/>
      </c>
      <c r="L64" s="524"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Data'!$B$4:$G$8,6,FALSE))</f>
        <v/>
      </c>
      <c r="R64" s="513" t="str">
        <f t="shared" si="0"/>
        <v/>
      </c>
      <c r="S64" s="40"/>
      <c r="T64" s="145"/>
      <c r="U64" s="157"/>
      <c r="V64" s="511" t="str">
        <f t="shared" si="1"/>
        <v/>
      </c>
      <c r="W64" s="511" t="str">
        <f t="shared" si="2"/>
        <v/>
      </c>
      <c r="X64" s="511" t="str">
        <f t="shared" si="3"/>
        <v/>
      </c>
      <c r="Y64" s="515"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8" x14ac:dyDescent="0.25">
      <c r="C65" s="141">
        <v>56</v>
      </c>
      <c r="D65" s="462"/>
      <c r="E65" s="153"/>
      <c r="F65" s="498" t="str">
        <f>IF(D65="","",VLOOKUP(D65,'G-7 Rivers Data'!$B$2:$G$8,2,FALSE))</f>
        <v/>
      </c>
      <c r="G65" s="499" t="str">
        <f>IFERROR(VLOOKUP(F65,'G-7 Rivers Data'!$C$4:$D$8,2,FALSE),"")</f>
        <v/>
      </c>
      <c r="H65" s="145"/>
      <c r="I65" s="499" t="str">
        <f>IFERROR(INDEX('G-7 Rivers Data'!$H$4:$L$8,MATCH(D65,'G-7 Rivers Data'!$B$4:$B$8,0),MATCH(H65,'G-7 Rivers Data'!$H$3:$L$3,0)),"")</f>
        <v/>
      </c>
      <c r="J65" s="154"/>
      <c r="K65" s="520" t="str">
        <f>IF(J65="","",IF(VLOOKUP(J65,'G-7 Rivers Data'!$AK$4:$AM$9,2,FALSE)=0,"Spatial Data Missing ⚠",VLOOKUP(J65,'G-7 Rivers Data'!$AK$4:$AM$9,2,FALSE)))</f>
        <v/>
      </c>
      <c r="L65" s="524"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Data'!$B$4:$G$8,6,FALSE))</f>
        <v/>
      </c>
      <c r="R65" s="513" t="str">
        <f t="shared" si="0"/>
        <v/>
      </c>
      <c r="S65" s="40"/>
      <c r="T65" s="145"/>
      <c r="U65" s="157"/>
      <c r="V65" s="511" t="str">
        <f t="shared" si="1"/>
        <v/>
      </c>
      <c r="W65" s="511" t="str">
        <f t="shared" si="2"/>
        <v/>
      </c>
      <c r="X65" s="511" t="str">
        <f t="shared" si="3"/>
        <v/>
      </c>
      <c r="Y65" s="515"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8" x14ac:dyDescent="0.25">
      <c r="C66" s="141">
        <v>57</v>
      </c>
      <c r="D66" s="462"/>
      <c r="E66" s="153"/>
      <c r="F66" s="498" t="str">
        <f>IF(D66="","",VLOOKUP(D66,'G-7 Rivers Data'!$B$2:$G$8,2,FALSE))</f>
        <v/>
      </c>
      <c r="G66" s="499" t="str">
        <f>IFERROR(VLOOKUP(F66,'G-7 Rivers Data'!$C$4:$D$8,2,FALSE),"")</f>
        <v/>
      </c>
      <c r="H66" s="145"/>
      <c r="I66" s="499" t="str">
        <f>IFERROR(INDEX('G-7 Rivers Data'!$H$4:$L$8,MATCH(D66,'G-7 Rivers Data'!$B$4:$B$8,0),MATCH(H66,'G-7 Rivers Data'!$H$3:$L$3,0)),"")</f>
        <v/>
      </c>
      <c r="J66" s="154"/>
      <c r="K66" s="520" t="str">
        <f>IF(J66="","",IF(VLOOKUP(J66,'G-7 Rivers Data'!$AK$4:$AM$9,2,FALSE)=0,"Spatial Data Missing ⚠",VLOOKUP(J66,'G-7 Rivers Data'!$AK$4:$AM$9,2,FALSE)))</f>
        <v/>
      </c>
      <c r="L66" s="524"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Data'!$B$4:$G$8,6,FALSE))</f>
        <v/>
      </c>
      <c r="R66" s="513" t="str">
        <f t="shared" si="0"/>
        <v/>
      </c>
      <c r="S66" s="40"/>
      <c r="T66" s="145"/>
      <c r="U66" s="157"/>
      <c r="V66" s="511" t="str">
        <f t="shared" si="1"/>
        <v/>
      </c>
      <c r="W66" s="511" t="str">
        <f t="shared" si="2"/>
        <v/>
      </c>
      <c r="X66" s="511" t="str">
        <f t="shared" si="3"/>
        <v/>
      </c>
      <c r="Y66" s="515"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8" x14ac:dyDescent="0.25">
      <c r="C67" s="141">
        <v>58</v>
      </c>
      <c r="D67" s="462"/>
      <c r="E67" s="153"/>
      <c r="F67" s="498" t="str">
        <f>IF(D67="","",VLOOKUP(D67,'G-7 Rivers Data'!$B$2:$G$8,2,FALSE))</f>
        <v/>
      </c>
      <c r="G67" s="499" t="str">
        <f>IFERROR(VLOOKUP(F67,'G-7 Rivers Data'!$C$4:$D$8,2,FALSE),"")</f>
        <v/>
      </c>
      <c r="H67" s="145"/>
      <c r="I67" s="499" t="str">
        <f>IFERROR(INDEX('G-7 Rivers Data'!$H$4:$L$8,MATCH(D67,'G-7 Rivers Data'!$B$4:$B$8,0),MATCH(H67,'G-7 Rivers Data'!$H$3:$L$3,0)),"")</f>
        <v/>
      </c>
      <c r="J67" s="154"/>
      <c r="K67" s="520" t="str">
        <f>IF(J67="","",IF(VLOOKUP(J67,'G-7 Rivers Data'!$AK$4:$AM$9,2,FALSE)=0,"Spatial Data Missing ⚠",VLOOKUP(J67,'G-7 Rivers Data'!$AK$4:$AM$9,2,FALSE)))</f>
        <v/>
      </c>
      <c r="L67" s="524"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Data'!$B$4:$G$8,6,FALSE))</f>
        <v/>
      </c>
      <c r="R67" s="513" t="str">
        <f t="shared" si="0"/>
        <v/>
      </c>
      <c r="S67" s="40"/>
      <c r="T67" s="145"/>
      <c r="U67" s="157"/>
      <c r="V67" s="511" t="str">
        <f t="shared" si="1"/>
        <v/>
      </c>
      <c r="W67" s="511" t="str">
        <f t="shared" si="2"/>
        <v/>
      </c>
      <c r="X67" s="511" t="str">
        <f t="shared" si="3"/>
        <v/>
      </c>
      <c r="Y67" s="515"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8" x14ac:dyDescent="0.25">
      <c r="C68" s="141">
        <v>59</v>
      </c>
      <c r="D68" s="462"/>
      <c r="E68" s="153"/>
      <c r="F68" s="498" t="str">
        <f>IF(D68="","",VLOOKUP(D68,'G-7 Rivers Data'!$B$2:$G$8,2,FALSE))</f>
        <v/>
      </c>
      <c r="G68" s="499" t="str">
        <f>IFERROR(VLOOKUP(F68,'G-7 Rivers Data'!$C$4:$D$8,2,FALSE),"")</f>
        <v/>
      </c>
      <c r="H68" s="145"/>
      <c r="I68" s="499" t="str">
        <f>IFERROR(INDEX('G-7 Rivers Data'!$H$4:$L$8,MATCH(D68,'G-7 Rivers Data'!$B$4:$B$8,0),MATCH(H68,'G-7 Rivers Data'!$H$3:$L$3,0)),"")</f>
        <v/>
      </c>
      <c r="J68" s="154"/>
      <c r="K68" s="520" t="str">
        <f>IF(J68="","",IF(VLOOKUP(J68,'G-7 Rivers Data'!$AK$4:$AM$9,2,FALSE)=0,"Spatial Data Missing ⚠",VLOOKUP(J68,'G-7 Rivers Data'!$AK$4:$AM$9,2,FALSE)))</f>
        <v/>
      </c>
      <c r="L68" s="524"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Data'!$B$4:$G$8,6,FALSE))</f>
        <v/>
      </c>
      <c r="R68" s="513" t="str">
        <f t="shared" si="0"/>
        <v/>
      </c>
      <c r="S68" s="40"/>
      <c r="T68" s="145"/>
      <c r="U68" s="157"/>
      <c r="V68" s="511" t="str">
        <f t="shared" si="1"/>
        <v/>
      </c>
      <c r="W68" s="511" t="str">
        <f t="shared" si="2"/>
        <v/>
      </c>
      <c r="X68" s="511" t="str">
        <f t="shared" si="3"/>
        <v/>
      </c>
      <c r="Y68" s="515"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8" x14ac:dyDescent="0.25">
      <c r="C69" s="141">
        <v>60</v>
      </c>
      <c r="D69" s="462"/>
      <c r="E69" s="153"/>
      <c r="F69" s="498" t="str">
        <f>IF(D69="","",VLOOKUP(D69,'G-7 Rivers Data'!$B$2:$G$8,2,FALSE))</f>
        <v/>
      </c>
      <c r="G69" s="499" t="str">
        <f>IFERROR(VLOOKUP(F69,'G-7 Rivers Data'!$C$4:$D$8,2,FALSE),"")</f>
        <v/>
      </c>
      <c r="H69" s="145"/>
      <c r="I69" s="499" t="str">
        <f>IFERROR(INDEX('G-7 Rivers Data'!$H$4:$L$8,MATCH(D69,'G-7 Rivers Data'!$B$4:$B$8,0),MATCH(H69,'G-7 Rivers Data'!$H$3:$L$3,0)),"")</f>
        <v/>
      </c>
      <c r="J69" s="154"/>
      <c r="K69" s="520" t="str">
        <f>IF(J69="","",IF(VLOOKUP(J69,'G-7 Rivers Data'!$AK$4:$AM$9,2,FALSE)=0,"Spatial Data Missing ⚠",VLOOKUP(J69,'G-7 Rivers Data'!$AK$4:$AM$9,2,FALSE)))</f>
        <v/>
      </c>
      <c r="L69" s="524"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Data'!$B$4:$G$8,6,FALSE))</f>
        <v/>
      </c>
      <c r="R69" s="513" t="str">
        <f t="shared" si="0"/>
        <v/>
      </c>
      <c r="S69" s="40"/>
      <c r="T69" s="145"/>
      <c r="U69" s="157"/>
      <c r="V69" s="511" t="str">
        <f t="shared" si="1"/>
        <v/>
      </c>
      <c r="W69" s="511" t="str">
        <f t="shared" si="2"/>
        <v/>
      </c>
      <c r="X69" s="511" t="str">
        <f t="shared" si="3"/>
        <v/>
      </c>
      <c r="Y69" s="515"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8" x14ac:dyDescent="0.25">
      <c r="C70" s="141">
        <v>61</v>
      </c>
      <c r="D70" s="462"/>
      <c r="E70" s="153"/>
      <c r="F70" s="498" t="str">
        <f>IF(D70="","",VLOOKUP(D70,'G-7 Rivers Data'!$B$2:$G$8,2,FALSE))</f>
        <v/>
      </c>
      <c r="G70" s="499" t="str">
        <f>IFERROR(VLOOKUP(F70,'G-7 Rivers Data'!$C$4:$D$8,2,FALSE),"")</f>
        <v/>
      </c>
      <c r="H70" s="145"/>
      <c r="I70" s="499" t="str">
        <f>IFERROR(INDEX('G-7 Rivers Data'!$H$4:$L$8,MATCH(D70,'G-7 Rivers Data'!$B$4:$B$8,0),MATCH(H70,'G-7 Rivers Data'!$H$3:$L$3,0)),"")</f>
        <v/>
      </c>
      <c r="J70" s="154"/>
      <c r="K70" s="520" t="str">
        <f>IF(J70="","",IF(VLOOKUP(J70,'G-7 Rivers Data'!$AK$4:$AM$9,2,FALSE)=0,"Spatial Data Missing ⚠",VLOOKUP(J70,'G-7 Rivers Data'!$AK$4:$AM$9,2,FALSE)))</f>
        <v/>
      </c>
      <c r="L70" s="524"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Data'!$B$4:$G$8,6,FALSE))</f>
        <v/>
      </c>
      <c r="R70" s="513" t="str">
        <f t="shared" si="0"/>
        <v/>
      </c>
      <c r="S70" s="40"/>
      <c r="T70" s="145"/>
      <c r="U70" s="157"/>
      <c r="V70" s="511" t="str">
        <f t="shared" si="1"/>
        <v/>
      </c>
      <c r="W70" s="511" t="str">
        <f t="shared" si="2"/>
        <v/>
      </c>
      <c r="X70" s="511" t="str">
        <f t="shared" si="3"/>
        <v/>
      </c>
      <c r="Y70" s="515"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8" x14ac:dyDescent="0.25">
      <c r="C71" s="141">
        <v>62</v>
      </c>
      <c r="D71" s="462"/>
      <c r="E71" s="153"/>
      <c r="F71" s="498" t="str">
        <f>IF(D71="","",VLOOKUP(D71,'G-7 Rivers Data'!$B$2:$G$8,2,FALSE))</f>
        <v/>
      </c>
      <c r="G71" s="499" t="str">
        <f>IFERROR(VLOOKUP(F71,'G-7 Rivers Data'!$C$4:$D$8,2,FALSE),"")</f>
        <v/>
      </c>
      <c r="H71" s="145"/>
      <c r="I71" s="499" t="str">
        <f>IFERROR(INDEX('G-7 Rivers Data'!$H$4:$L$8,MATCH(D71,'G-7 Rivers Data'!$B$4:$B$8,0),MATCH(H71,'G-7 Rivers Data'!$H$3:$L$3,0)),"")</f>
        <v/>
      </c>
      <c r="J71" s="154"/>
      <c r="K71" s="520" t="str">
        <f>IF(J71="","",IF(VLOOKUP(J71,'G-7 Rivers Data'!$AK$4:$AM$9,2,FALSE)=0,"Spatial Data Missing ⚠",VLOOKUP(J71,'G-7 Rivers Data'!$AK$4:$AM$9,2,FALSE)))</f>
        <v/>
      </c>
      <c r="L71" s="524"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Data'!$B$4:$G$8,6,FALSE))</f>
        <v/>
      </c>
      <c r="R71" s="513" t="str">
        <f t="shared" si="0"/>
        <v/>
      </c>
      <c r="S71" s="40"/>
      <c r="T71" s="145"/>
      <c r="U71" s="157"/>
      <c r="V71" s="511" t="str">
        <f t="shared" si="1"/>
        <v/>
      </c>
      <c r="W71" s="511" t="str">
        <f t="shared" si="2"/>
        <v/>
      </c>
      <c r="X71" s="511" t="str">
        <f t="shared" si="3"/>
        <v/>
      </c>
      <c r="Y71" s="515"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8" x14ac:dyDescent="0.25">
      <c r="C72" s="141">
        <v>63</v>
      </c>
      <c r="D72" s="462"/>
      <c r="E72" s="153"/>
      <c r="F72" s="498" t="str">
        <f>IF(D72="","",VLOOKUP(D72,'G-7 Rivers Data'!$B$2:$G$8,2,FALSE))</f>
        <v/>
      </c>
      <c r="G72" s="499" t="str">
        <f>IFERROR(VLOOKUP(F72,'G-7 Rivers Data'!$C$4:$D$8,2,FALSE),"")</f>
        <v/>
      </c>
      <c r="H72" s="145"/>
      <c r="I72" s="499" t="str">
        <f>IFERROR(INDEX('G-7 Rivers Data'!$H$4:$L$8,MATCH(D72,'G-7 Rivers Data'!$B$4:$B$8,0),MATCH(H72,'G-7 Rivers Data'!$H$3:$L$3,0)),"")</f>
        <v/>
      </c>
      <c r="J72" s="154"/>
      <c r="K72" s="520" t="str">
        <f>IF(J72="","",IF(VLOOKUP(J72,'G-7 Rivers Data'!$AK$4:$AM$9,2,FALSE)=0,"Spatial Data Missing ⚠",VLOOKUP(J72,'G-7 Rivers Data'!$AK$4:$AM$9,2,FALSE)))</f>
        <v/>
      </c>
      <c r="L72" s="524"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Data'!$B$4:$G$8,6,FALSE))</f>
        <v/>
      </c>
      <c r="R72" s="513" t="str">
        <f t="shared" si="0"/>
        <v/>
      </c>
      <c r="S72" s="40"/>
      <c r="T72" s="145"/>
      <c r="U72" s="157"/>
      <c r="V72" s="511" t="str">
        <f t="shared" si="1"/>
        <v/>
      </c>
      <c r="W72" s="511" t="str">
        <f t="shared" si="2"/>
        <v/>
      </c>
      <c r="X72" s="511" t="str">
        <f t="shared" si="3"/>
        <v/>
      </c>
      <c r="Y72" s="515"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8" x14ac:dyDescent="0.25">
      <c r="C73" s="141">
        <v>64</v>
      </c>
      <c r="D73" s="462"/>
      <c r="E73" s="153"/>
      <c r="F73" s="498" t="str">
        <f>IF(D73="","",VLOOKUP(D73,'G-7 Rivers Data'!$B$2:$G$8,2,FALSE))</f>
        <v/>
      </c>
      <c r="G73" s="499" t="str">
        <f>IFERROR(VLOOKUP(F73,'G-7 Rivers Data'!$C$4:$D$8,2,FALSE),"")</f>
        <v/>
      </c>
      <c r="H73" s="145"/>
      <c r="I73" s="499" t="str">
        <f>IFERROR(INDEX('G-7 Rivers Data'!$H$4:$L$8,MATCH(D73,'G-7 Rivers Data'!$B$4:$B$8,0),MATCH(H73,'G-7 Rivers Data'!$H$3:$L$3,0)),"")</f>
        <v/>
      </c>
      <c r="J73" s="154"/>
      <c r="K73" s="520" t="str">
        <f>IF(J73="","",IF(VLOOKUP(J73,'G-7 Rivers Data'!$AK$4:$AM$9,2,FALSE)=0,"Spatial Data Missing ⚠",VLOOKUP(J73,'G-7 Rivers Data'!$AK$4:$AM$9,2,FALSE)))</f>
        <v/>
      </c>
      <c r="L73" s="524"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Data'!$B$4:$G$8,6,FALSE))</f>
        <v/>
      </c>
      <c r="R73" s="513" t="str">
        <f t="shared" si="0"/>
        <v/>
      </c>
      <c r="S73" s="40"/>
      <c r="T73" s="145"/>
      <c r="U73" s="157"/>
      <c r="V73" s="511" t="str">
        <f t="shared" si="1"/>
        <v/>
      </c>
      <c r="W73" s="511" t="str">
        <f t="shared" si="2"/>
        <v/>
      </c>
      <c r="X73" s="511" t="str">
        <f t="shared" si="3"/>
        <v/>
      </c>
      <c r="Y73" s="515"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8" x14ac:dyDescent="0.25">
      <c r="C74" s="141">
        <v>65</v>
      </c>
      <c r="D74" s="462"/>
      <c r="E74" s="153"/>
      <c r="F74" s="498" t="str">
        <f>IF(D74="","",VLOOKUP(D74,'G-7 Rivers Data'!$B$2:$G$8,2,FALSE))</f>
        <v/>
      </c>
      <c r="G74" s="499" t="str">
        <f>IFERROR(VLOOKUP(F74,'G-7 Rivers Data'!$C$4:$D$8,2,FALSE),"")</f>
        <v/>
      </c>
      <c r="H74" s="145"/>
      <c r="I74" s="499" t="str">
        <f>IFERROR(INDEX('G-7 Rivers Data'!$H$4:$L$8,MATCH(D74,'G-7 Rivers Data'!$B$4:$B$8,0),MATCH(H74,'G-7 Rivers Data'!$H$3:$L$3,0)),"")</f>
        <v/>
      </c>
      <c r="J74" s="154"/>
      <c r="K74" s="520" t="str">
        <f>IF(J74="","",IF(VLOOKUP(J74,'G-7 Rivers Data'!$AK$4:$AM$9,2,FALSE)=0,"Spatial Data Missing ⚠",VLOOKUP(J74,'G-7 Rivers Data'!$AK$4:$AM$9,2,FALSE)))</f>
        <v/>
      </c>
      <c r="L74" s="524"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Data'!$B$4:$G$8,6,FALSE))</f>
        <v/>
      </c>
      <c r="R74" s="513" t="str">
        <f t="shared" si="0"/>
        <v/>
      </c>
      <c r="S74" s="40"/>
      <c r="T74" s="145"/>
      <c r="U74" s="157"/>
      <c r="V74" s="511" t="str">
        <f t="shared" si="1"/>
        <v/>
      </c>
      <c r="W74" s="511" t="str">
        <f t="shared" si="2"/>
        <v/>
      </c>
      <c r="X74" s="511" t="str">
        <f t="shared" si="3"/>
        <v/>
      </c>
      <c r="Y74" s="515"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8" x14ac:dyDescent="0.25">
      <c r="C75" s="141">
        <v>66</v>
      </c>
      <c r="D75" s="462"/>
      <c r="E75" s="153"/>
      <c r="F75" s="498" t="str">
        <f>IF(D75="","",VLOOKUP(D75,'G-7 Rivers Data'!$B$2:$G$8,2,FALSE))</f>
        <v/>
      </c>
      <c r="G75" s="499" t="str">
        <f>IFERROR(VLOOKUP(F75,'G-7 Rivers Data'!$C$4:$D$8,2,FALSE),"")</f>
        <v/>
      </c>
      <c r="H75" s="145"/>
      <c r="I75" s="499" t="str">
        <f>IFERROR(INDEX('G-7 Rivers Data'!$H$4:$L$8,MATCH(D75,'G-7 Rivers Data'!$B$4:$B$8,0),MATCH(H75,'G-7 Rivers Data'!$H$3:$L$3,0)),"")</f>
        <v/>
      </c>
      <c r="J75" s="154"/>
      <c r="K75" s="520" t="str">
        <f>IF(J75="","",IF(VLOOKUP(J75,'G-7 Rivers Data'!$AK$4:$AM$9,2,FALSE)=0,"Spatial Data Missing ⚠",VLOOKUP(J75,'G-7 Rivers Data'!$AK$4:$AM$9,2,FALSE)))</f>
        <v/>
      </c>
      <c r="L75" s="524"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Data'!$B$4:$G$8,6,FALSE))</f>
        <v/>
      </c>
      <c r="R75" s="513" t="str">
        <f t="shared" ref="R75:R138" si="8">IFERROR(E75*G75*I75*L75*N75*P75,"")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8" x14ac:dyDescent="0.25">
      <c r="C76" s="141">
        <v>67</v>
      </c>
      <c r="D76" s="462"/>
      <c r="E76" s="153"/>
      <c r="F76" s="498" t="str">
        <f>IF(D76="","",VLOOKUP(D76,'G-7 Rivers Data'!$B$2:$G$8,2,FALSE))</f>
        <v/>
      </c>
      <c r="G76" s="499" t="str">
        <f>IFERROR(VLOOKUP(F76,'G-7 Rivers Data'!$C$4:$D$8,2,FALSE),"")</f>
        <v/>
      </c>
      <c r="H76" s="145"/>
      <c r="I76" s="499" t="str">
        <f>IFERROR(INDEX('G-7 Rivers Data'!$H$4:$L$8,MATCH(D76,'G-7 Rivers Data'!$B$4:$B$8,0),MATCH(H76,'G-7 Rivers Data'!$H$3:$L$3,0)),"")</f>
        <v/>
      </c>
      <c r="J76" s="154"/>
      <c r="K76" s="520" t="str">
        <f>IF(J76="","",IF(VLOOKUP(J76,'G-7 Rivers Data'!$AK$4:$AM$9,2,FALSE)=0,"Spatial Data Missing ⚠",VLOOKUP(J76,'G-7 Rivers Data'!$AK$4:$AM$9,2,FALSE)))</f>
        <v/>
      </c>
      <c r="L76" s="524"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Data'!$B$4:$G$8,6,FALSE))</f>
        <v/>
      </c>
      <c r="R76" s="513" t="str">
        <f t="shared" si="8"/>
        <v/>
      </c>
      <c r="S76" s="40"/>
      <c r="T76" s="145"/>
      <c r="U76" s="157"/>
      <c r="V76" s="511" t="str">
        <f t="shared" si="9"/>
        <v/>
      </c>
      <c r="W76" s="511" t="str">
        <f t="shared" si="10"/>
        <v/>
      </c>
      <c r="X76" s="511" t="str">
        <f t="shared" si="11"/>
        <v/>
      </c>
      <c r="Y76" s="515"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8" x14ac:dyDescent="0.25">
      <c r="C77" s="141">
        <v>68</v>
      </c>
      <c r="D77" s="462"/>
      <c r="E77" s="153"/>
      <c r="F77" s="498" t="str">
        <f>IF(D77="","",VLOOKUP(D77,'G-7 Rivers Data'!$B$2:$G$8,2,FALSE))</f>
        <v/>
      </c>
      <c r="G77" s="499" t="str">
        <f>IFERROR(VLOOKUP(F77,'G-7 Rivers Data'!$C$4:$D$8,2,FALSE),"")</f>
        <v/>
      </c>
      <c r="H77" s="145"/>
      <c r="I77" s="499" t="str">
        <f>IFERROR(INDEX('G-7 Rivers Data'!$H$4:$L$8,MATCH(D77,'G-7 Rivers Data'!$B$4:$B$8,0),MATCH(H77,'G-7 Rivers Data'!$H$3:$L$3,0)),"")</f>
        <v/>
      </c>
      <c r="J77" s="154"/>
      <c r="K77" s="520" t="str">
        <f>IF(J77="","",IF(VLOOKUP(J77,'G-7 Rivers Data'!$AK$4:$AM$9,2,FALSE)=0,"Spatial Data Missing ⚠",VLOOKUP(J77,'G-7 Rivers Data'!$AK$4:$AM$9,2,FALSE)))</f>
        <v/>
      </c>
      <c r="L77" s="524"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Data'!$B$4:$G$8,6,FALSE))</f>
        <v/>
      </c>
      <c r="R77" s="513" t="str">
        <f t="shared" si="8"/>
        <v/>
      </c>
      <c r="S77" s="40"/>
      <c r="T77" s="145"/>
      <c r="U77" s="157"/>
      <c r="V77" s="511" t="str">
        <f t="shared" si="9"/>
        <v/>
      </c>
      <c r="W77" s="511" t="str">
        <f t="shared" si="10"/>
        <v/>
      </c>
      <c r="X77" s="511" t="str">
        <f t="shared" si="11"/>
        <v/>
      </c>
      <c r="Y77" s="515"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8" x14ac:dyDescent="0.25">
      <c r="C78" s="141">
        <v>69</v>
      </c>
      <c r="D78" s="462"/>
      <c r="E78" s="153"/>
      <c r="F78" s="498" t="str">
        <f>IF(D78="","",VLOOKUP(D78,'G-7 Rivers Data'!$B$2:$G$8,2,FALSE))</f>
        <v/>
      </c>
      <c r="G78" s="499" t="str">
        <f>IFERROR(VLOOKUP(F78,'G-7 Rivers Data'!$C$4:$D$8,2,FALSE),"")</f>
        <v/>
      </c>
      <c r="H78" s="145"/>
      <c r="I78" s="499" t="str">
        <f>IFERROR(INDEX('G-7 Rivers Data'!$H$4:$L$8,MATCH(D78,'G-7 Rivers Data'!$B$4:$B$8,0),MATCH(H78,'G-7 Rivers Data'!$H$3:$L$3,0)),"")</f>
        <v/>
      </c>
      <c r="J78" s="154"/>
      <c r="K78" s="520" t="str">
        <f>IF(J78="","",IF(VLOOKUP(J78,'G-7 Rivers Data'!$AK$4:$AM$9,2,FALSE)=0,"Spatial Data Missing ⚠",VLOOKUP(J78,'G-7 Rivers Data'!$AK$4:$AM$9,2,FALSE)))</f>
        <v/>
      </c>
      <c r="L78" s="524"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Data'!$B$4:$G$8,6,FALSE))</f>
        <v/>
      </c>
      <c r="R78" s="513" t="str">
        <f t="shared" si="8"/>
        <v/>
      </c>
      <c r="S78" s="40"/>
      <c r="T78" s="145"/>
      <c r="U78" s="157"/>
      <c r="V78" s="511" t="str">
        <f t="shared" si="9"/>
        <v/>
      </c>
      <c r="W78" s="511" t="str">
        <f t="shared" si="10"/>
        <v/>
      </c>
      <c r="X78" s="511" t="str">
        <f t="shared" si="11"/>
        <v/>
      </c>
      <c r="Y78" s="515"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8" x14ac:dyDescent="0.25">
      <c r="C79" s="141">
        <v>70</v>
      </c>
      <c r="D79" s="462"/>
      <c r="E79" s="153"/>
      <c r="F79" s="498" t="str">
        <f>IF(D79="","",VLOOKUP(D79,'G-7 Rivers Data'!$B$2:$G$8,2,FALSE))</f>
        <v/>
      </c>
      <c r="G79" s="499" t="str">
        <f>IFERROR(VLOOKUP(F79,'G-7 Rivers Data'!$C$4:$D$8,2,FALSE),"")</f>
        <v/>
      </c>
      <c r="H79" s="145"/>
      <c r="I79" s="499" t="str">
        <f>IFERROR(INDEX('G-7 Rivers Data'!$H$4:$L$8,MATCH(D79,'G-7 Rivers Data'!$B$4:$B$8,0),MATCH(H79,'G-7 Rivers Data'!$H$3:$L$3,0)),"")</f>
        <v/>
      </c>
      <c r="J79" s="154"/>
      <c r="K79" s="520" t="str">
        <f>IF(J79="","",IF(VLOOKUP(J79,'G-7 Rivers Data'!$AK$4:$AM$9,2,FALSE)=0,"Spatial Data Missing ⚠",VLOOKUP(J79,'G-7 Rivers Data'!$AK$4:$AM$9,2,FALSE)))</f>
        <v/>
      </c>
      <c r="L79" s="524"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Data'!$B$4:$G$8,6,FALSE))</f>
        <v/>
      </c>
      <c r="R79" s="513" t="str">
        <f t="shared" si="8"/>
        <v/>
      </c>
      <c r="S79" s="40"/>
      <c r="T79" s="145"/>
      <c r="U79" s="157"/>
      <c r="V79" s="511" t="str">
        <f t="shared" si="9"/>
        <v/>
      </c>
      <c r="W79" s="511" t="str">
        <f t="shared" si="10"/>
        <v/>
      </c>
      <c r="X79" s="511" t="str">
        <f t="shared" si="11"/>
        <v/>
      </c>
      <c r="Y79" s="515"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8" x14ac:dyDescent="0.25">
      <c r="C80" s="141">
        <v>71</v>
      </c>
      <c r="D80" s="462"/>
      <c r="E80" s="153"/>
      <c r="F80" s="498" t="str">
        <f>IF(D80="","",VLOOKUP(D80,'G-7 Rivers Data'!$B$2:$G$8,2,FALSE))</f>
        <v/>
      </c>
      <c r="G80" s="499" t="str">
        <f>IFERROR(VLOOKUP(F80,'G-7 Rivers Data'!$C$4:$D$8,2,FALSE),"")</f>
        <v/>
      </c>
      <c r="H80" s="145"/>
      <c r="I80" s="499" t="str">
        <f>IFERROR(INDEX('G-7 Rivers Data'!$H$4:$L$8,MATCH(D80,'G-7 Rivers Data'!$B$4:$B$8,0),MATCH(H80,'G-7 Rivers Data'!$H$3:$L$3,0)),"")</f>
        <v/>
      </c>
      <c r="J80" s="154"/>
      <c r="K80" s="520" t="str">
        <f>IF(J80="","",IF(VLOOKUP(J80,'G-7 Rivers Data'!$AK$4:$AM$9,2,FALSE)=0,"Spatial Data Missing ⚠",VLOOKUP(J80,'G-7 Rivers Data'!$AK$4:$AM$9,2,FALSE)))</f>
        <v/>
      </c>
      <c r="L80" s="524"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Data'!$B$4:$G$8,6,FALSE))</f>
        <v/>
      </c>
      <c r="R80" s="513" t="str">
        <f t="shared" si="8"/>
        <v/>
      </c>
      <c r="S80" s="40"/>
      <c r="T80" s="145"/>
      <c r="U80" s="157"/>
      <c r="V80" s="511" t="str">
        <f t="shared" si="9"/>
        <v/>
      </c>
      <c r="W80" s="511" t="str">
        <f t="shared" si="10"/>
        <v/>
      </c>
      <c r="X80" s="511" t="str">
        <f t="shared" si="11"/>
        <v/>
      </c>
      <c r="Y80" s="515"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8" x14ac:dyDescent="0.25">
      <c r="C81" s="141">
        <v>72</v>
      </c>
      <c r="D81" s="462"/>
      <c r="E81" s="153"/>
      <c r="F81" s="498" t="str">
        <f>IF(D81="","",VLOOKUP(D81,'G-7 Rivers Data'!$B$2:$G$8,2,FALSE))</f>
        <v/>
      </c>
      <c r="G81" s="499" t="str">
        <f>IFERROR(VLOOKUP(F81,'G-7 Rivers Data'!$C$4:$D$8,2,FALSE),"")</f>
        <v/>
      </c>
      <c r="H81" s="145"/>
      <c r="I81" s="499" t="str">
        <f>IFERROR(INDEX('G-7 Rivers Data'!$H$4:$L$8,MATCH(D81,'G-7 Rivers Data'!$B$4:$B$8,0),MATCH(H81,'G-7 Rivers Data'!$H$3:$L$3,0)),"")</f>
        <v/>
      </c>
      <c r="J81" s="154"/>
      <c r="K81" s="520" t="str">
        <f>IF(J81="","",IF(VLOOKUP(J81,'G-7 Rivers Data'!$AK$4:$AM$9,2,FALSE)=0,"Spatial Data Missing ⚠",VLOOKUP(J81,'G-7 Rivers Data'!$AK$4:$AM$9,2,FALSE)))</f>
        <v/>
      </c>
      <c r="L81" s="524"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Data'!$B$4:$G$8,6,FALSE))</f>
        <v/>
      </c>
      <c r="R81" s="513" t="str">
        <f t="shared" si="8"/>
        <v/>
      </c>
      <c r="S81" s="40"/>
      <c r="T81" s="145"/>
      <c r="U81" s="157"/>
      <c r="V81" s="511" t="str">
        <f t="shared" si="9"/>
        <v/>
      </c>
      <c r="W81" s="511" t="str">
        <f t="shared" si="10"/>
        <v/>
      </c>
      <c r="X81" s="511" t="str">
        <f t="shared" si="11"/>
        <v/>
      </c>
      <c r="Y81" s="515"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8" x14ac:dyDescent="0.25">
      <c r="C82" s="141">
        <v>73</v>
      </c>
      <c r="D82" s="462"/>
      <c r="E82" s="153"/>
      <c r="F82" s="498" t="str">
        <f>IF(D82="","",VLOOKUP(D82,'G-7 Rivers Data'!$B$2:$G$8,2,FALSE))</f>
        <v/>
      </c>
      <c r="G82" s="499" t="str">
        <f>IFERROR(VLOOKUP(F82,'G-7 Rivers Data'!$C$4:$D$8,2,FALSE),"")</f>
        <v/>
      </c>
      <c r="H82" s="145"/>
      <c r="I82" s="499" t="str">
        <f>IFERROR(INDEX('G-7 Rivers Data'!$H$4:$L$8,MATCH(D82,'G-7 Rivers Data'!$B$4:$B$8,0),MATCH(H82,'G-7 Rivers Data'!$H$3:$L$3,0)),"")</f>
        <v/>
      </c>
      <c r="J82" s="154"/>
      <c r="K82" s="520" t="str">
        <f>IF(J82="","",IF(VLOOKUP(J82,'G-7 Rivers Data'!$AK$4:$AM$9,2,FALSE)=0,"Spatial Data Missing ⚠",VLOOKUP(J82,'G-7 Rivers Data'!$AK$4:$AM$9,2,FALSE)))</f>
        <v/>
      </c>
      <c r="L82" s="524"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Data'!$B$4:$G$8,6,FALSE))</f>
        <v/>
      </c>
      <c r="R82" s="513" t="str">
        <f t="shared" si="8"/>
        <v/>
      </c>
      <c r="S82" s="40"/>
      <c r="T82" s="145"/>
      <c r="U82" s="157"/>
      <c r="V82" s="511" t="str">
        <f t="shared" si="9"/>
        <v/>
      </c>
      <c r="W82" s="511" t="str">
        <f t="shared" si="10"/>
        <v/>
      </c>
      <c r="X82" s="511" t="str">
        <f t="shared" si="11"/>
        <v/>
      </c>
      <c r="Y82" s="515"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8" x14ac:dyDescent="0.25">
      <c r="C83" s="141">
        <v>74</v>
      </c>
      <c r="D83" s="462"/>
      <c r="E83" s="153"/>
      <c r="F83" s="498" t="str">
        <f>IF(D83="","",VLOOKUP(D83,'G-7 Rivers Data'!$B$2:$G$8,2,FALSE))</f>
        <v/>
      </c>
      <c r="G83" s="499" t="str">
        <f>IFERROR(VLOOKUP(F83,'G-7 Rivers Data'!$C$4:$D$8,2,FALSE),"")</f>
        <v/>
      </c>
      <c r="H83" s="145"/>
      <c r="I83" s="499" t="str">
        <f>IFERROR(INDEX('G-7 Rivers Data'!$H$4:$L$8,MATCH(D83,'G-7 Rivers Data'!$B$4:$B$8,0),MATCH(H83,'G-7 Rivers Data'!$H$3:$L$3,0)),"")</f>
        <v/>
      </c>
      <c r="J83" s="154"/>
      <c r="K83" s="520" t="str">
        <f>IF(J83="","",IF(VLOOKUP(J83,'G-7 Rivers Data'!$AK$4:$AM$9,2,FALSE)=0,"Spatial Data Missing ⚠",VLOOKUP(J83,'G-7 Rivers Data'!$AK$4:$AM$9,2,FALSE)))</f>
        <v/>
      </c>
      <c r="L83" s="524"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Data'!$B$4:$G$8,6,FALSE))</f>
        <v/>
      </c>
      <c r="R83" s="513" t="str">
        <f t="shared" si="8"/>
        <v/>
      </c>
      <c r="S83" s="40"/>
      <c r="T83" s="145"/>
      <c r="U83" s="157"/>
      <c r="V83" s="511" t="str">
        <f t="shared" si="9"/>
        <v/>
      </c>
      <c r="W83" s="511" t="str">
        <f t="shared" si="10"/>
        <v/>
      </c>
      <c r="X83" s="511" t="str">
        <f t="shared" si="11"/>
        <v/>
      </c>
      <c r="Y83" s="515"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8" x14ac:dyDescent="0.25">
      <c r="C84" s="141">
        <v>75</v>
      </c>
      <c r="D84" s="462"/>
      <c r="E84" s="153"/>
      <c r="F84" s="498" t="str">
        <f>IF(D84="","",VLOOKUP(D84,'G-7 Rivers Data'!$B$2:$G$8,2,FALSE))</f>
        <v/>
      </c>
      <c r="G84" s="499" t="str">
        <f>IFERROR(VLOOKUP(F84,'G-7 Rivers Data'!$C$4:$D$8,2,FALSE),"")</f>
        <v/>
      </c>
      <c r="H84" s="145"/>
      <c r="I84" s="499" t="str">
        <f>IFERROR(INDEX('G-7 Rivers Data'!$H$4:$L$8,MATCH(D84,'G-7 Rivers Data'!$B$4:$B$8,0),MATCH(H84,'G-7 Rivers Data'!$H$3:$L$3,0)),"")</f>
        <v/>
      </c>
      <c r="J84" s="154"/>
      <c r="K84" s="520" t="str">
        <f>IF(J84="","",IF(VLOOKUP(J84,'G-7 Rivers Data'!$AK$4:$AM$9,2,FALSE)=0,"Spatial Data Missing ⚠",VLOOKUP(J84,'G-7 Rivers Data'!$AK$4:$AM$9,2,FALSE)))</f>
        <v/>
      </c>
      <c r="L84" s="524"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Data'!$B$4:$G$8,6,FALSE))</f>
        <v/>
      </c>
      <c r="R84" s="513" t="str">
        <f t="shared" si="8"/>
        <v/>
      </c>
      <c r="S84" s="40"/>
      <c r="T84" s="145"/>
      <c r="U84" s="157"/>
      <c r="V84" s="511" t="str">
        <f t="shared" si="9"/>
        <v/>
      </c>
      <c r="W84" s="511" t="str">
        <f t="shared" si="10"/>
        <v/>
      </c>
      <c r="X84" s="511" t="str">
        <f t="shared" si="11"/>
        <v/>
      </c>
      <c r="Y84" s="515"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8" x14ac:dyDescent="0.25">
      <c r="C85" s="141">
        <v>76</v>
      </c>
      <c r="D85" s="462"/>
      <c r="E85" s="153"/>
      <c r="F85" s="498" t="str">
        <f>IF(D85="","",VLOOKUP(D85,'G-7 Rivers Data'!$B$2:$G$8,2,FALSE))</f>
        <v/>
      </c>
      <c r="G85" s="499" t="str">
        <f>IFERROR(VLOOKUP(F85,'G-7 Rivers Data'!$C$4:$D$8,2,FALSE),"")</f>
        <v/>
      </c>
      <c r="H85" s="145"/>
      <c r="I85" s="499" t="str">
        <f>IFERROR(INDEX('G-7 Rivers Data'!$H$4:$L$8,MATCH(D85,'G-7 Rivers Data'!$B$4:$B$8,0),MATCH(H85,'G-7 Rivers Data'!$H$3:$L$3,0)),"")</f>
        <v/>
      </c>
      <c r="J85" s="154"/>
      <c r="K85" s="520" t="str">
        <f>IF(J85="","",IF(VLOOKUP(J85,'G-7 Rivers Data'!$AK$4:$AM$9,2,FALSE)=0,"Spatial Data Missing ⚠",VLOOKUP(J85,'G-7 Rivers Data'!$AK$4:$AM$9,2,FALSE)))</f>
        <v/>
      </c>
      <c r="L85" s="524"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Data'!$B$4:$G$8,6,FALSE))</f>
        <v/>
      </c>
      <c r="R85" s="513" t="str">
        <f t="shared" si="8"/>
        <v/>
      </c>
      <c r="S85" s="40"/>
      <c r="T85" s="145"/>
      <c r="U85" s="157"/>
      <c r="V85" s="511" t="str">
        <f t="shared" si="9"/>
        <v/>
      </c>
      <c r="W85" s="511" t="str">
        <f t="shared" si="10"/>
        <v/>
      </c>
      <c r="X85" s="511" t="str">
        <f t="shared" si="11"/>
        <v/>
      </c>
      <c r="Y85" s="515"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8" x14ac:dyDescent="0.25">
      <c r="C86" s="141">
        <v>77</v>
      </c>
      <c r="D86" s="462"/>
      <c r="E86" s="153"/>
      <c r="F86" s="498" t="str">
        <f>IF(D86="","",VLOOKUP(D86,'G-7 Rivers Data'!$B$2:$G$8,2,FALSE))</f>
        <v/>
      </c>
      <c r="G86" s="499" t="str">
        <f>IFERROR(VLOOKUP(F86,'G-7 Rivers Data'!$C$4:$D$8,2,FALSE),"")</f>
        <v/>
      </c>
      <c r="H86" s="145"/>
      <c r="I86" s="499" t="str">
        <f>IFERROR(INDEX('G-7 Rivers Data'!$H$4:$L$8,MATCH(D86,'G-7 Rivers Data'!$B$4:$B$8,0),MATCH(H86,'G-7 Rivers Data'!$H$3:$L$3,0)),"")</f>
        <v/>
      </c>
      <c r="J86" s="154"/>
      <c r="K86" s="520" t="str">
        <f>IF(J86="","",IF(VLOOKUP(J86,'G-7 Rivers Data'!$AK$4:$AM$9,2,FALSE)=0,"Spatial Data Missing ⚠",VLOOKUP(J86,'G-7 Rivers Data'!$AK$4:$AM$9,2,FALSE)))</f>
        <v/>
      </c>
      <c r="L86" s="524"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Data'!$B$4:$G$8,6,FALSE))</f>
        <v/>
      </c>
      <c r="R86" s="513" t="str">
        <f t="shared" si="8"/>
        <v/>
      </c>
      <c r="S86" s="40"/>
      <c r="T86" s="145"/>
      <c r="U86" s="157"/>
      <c r="V86" s="511" t="str">
        <f t="shared" si="9"/>
        <v/>
      </c>
      <c r="W86" s="511" t="str">
        <f t="shared" si="10"/>
        <v/>
      </c>
      <c r="X86" s="511" t="str">
        <f t="shared" si="11"/>
        <v/>
      </c>
      <c r="Y86" s="515"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8" x14ac:dyDescent="0.25">
      <c r="C87" s="141">
        <v>78</v>
      </c>
      <c r="D87" s="462"/>
      <c r="E87" s="153"/>
      <c r="F87" s="498" t="str">
        <f>IF(D87="","",VLOOKUP(D87,'G-7 Rivers Data'!$B$2:$G$8,2,FALSE))</f>
        <v/>
      </c>
      <c r="G87" s="499" t="str">
        <f>IFERROR(VLOOKUP(F87,'G-7 Rivers Data'!$C$4:$D$8,2,FALSE),"")</f>
        <v/>
      </c>
      <c r="H87" s="145"/>
      <c r="I87" s="499" t="str">
        <f>IFERROR(INDEX('G-7 Rivers Data'!$H$4:$L$8,MATCH(D87,'G-7 Rivers Data'!$B$4:$B$8,0),MATCH(H87,'G-7 Rivers Data'!$H$3:$L$3,0)),"")</f>
        <v/>
      </c>
      <c r="J87" s="154"/>
      <c r="K87" s="520" t="str">
        <f>IF(J87="","",IF(VLOOKUP(J87,'G-7 Rivers Data'!$AK$4:$AM$9,2,FALSE)=0,"Spatial Data Missing ⚠",VLOOKUP(J87,'G-7 Rivers Data'!$AK$4:$AM$9,2,FALSE)))</f>
        <v/>
      </c>
      <c r="L87" s="524"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Data'!$B$4:$G$8,6,FALSE))</f>
        <v/>
      </c>
      <c r="R87" s="513" t="str">
        <f t="shared" si="8"/>
        <v/>
      </c>
      <c r="S87" s="40"/>
      <c r="T87" s="145"/>
      <c r="U87" s="157"/>
      <c r="V87" s="511" t="str">
        <f t="shared" si="9"/>
        <v/>
      </c>
      <c r="W87" s="511" t="str">
        <f t="shared" si="10"/>
        <v/>
      </c>
      <c r="X87" s="511" t="str">
        <f t="shared" si="11"/>
        <v/>
      </c>
      <c r="Y87" s="515"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8" x14ac:dyDescent="0.25">
      <c r="C88" s="141">
        <v>79</v>
      </c>
      <c r="D88" s="462"/>
      <c r="E88" s="153"/>
      <c r="F88" s="498" t="str">
        <f>IF(D88="","",VLOOKUP(D88,'G-7 Rivers Data'!$B$2:$G$8,2,FALSE))</f>
        <v/>
      </c>
      <c r="G88" s="499" t="str">
        <f>IFERROR(VLOOKUP(F88,'G-7 Rivers Data'!$C$4:$D$8,2,FALSE),"")</f>
        <v/>
      </c>
      <c r="H88" s="145"/>
      <c r="I88" s="499" t="str">
        <f>IFERROR(INDEX('G-7 Rivers Data'!$H$4:$L$8,MATCH(D88,'G-7 Rivers Data'!$B$4:$B$8,0),MATCH(H88,'G-7 Rivers Data'!$H$3:$L$3,0)),"")</f>
        <v/>
      </c>
      <c r="J88" s="154"/>
      <c r="K88" s="520" t="str">
        <f>IF(J88="","",IF(VLOOKUP(J88,'G-7 Rivers Data'!$AK$4:$AM$9,2,FALSE)=0,"Spatial Data Missing ⚠",VLOOKUP(J88,'G-7 Rivers Data'!$AK$4:$AM$9,2,FALSE)))</f>
        <v/>
      </c>
      <c r="L88" s="524"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Data'!$B$4:$G$8,6,FALSE))</f>
        <v/>
      </c>
      <c r="R88" s="513" t="str">
        <f t="shared" si="8"/>
        <v/>
      </c>
      <c r="S88" s="40"/>
      <c r="T88" s="145"/>
      <c r="U88" s="157"/>
      <c r="V88" s="511" t="str">
        <f t="shared" si="9"/>
        <v/>
      </c>
      <c r="W88" s="511" t="str">
        <f t="shared" si="10"/>
        <v/>
      </c>
      <c r="X88" s="511" t="str">
        <f t="shared" si="11"/>
        <v/>
      </c>
      <c r="Y88" s="515"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8" x14ac:dyDescent="0.25">
      <c r="C89" s="141">
        <v>80</v>
      </c>
      <c r="D89" s="462"/>
      <c r="E89" s="153"/>
      <c r="F89" s="498" t="str">
        <f>IF(D89="","",VLOOKUP(D89,'G-7 Rivers Data'!$B$2:$G$8,2,FALSE))</f>
        <v/>
      </c>
      <c r="G89" s="499" t="str">
        <f>IFERROR(VLOOKUP(F89,'G-7 Rivers Data'!$C$4:$D$8,2,FALSE),"")</f>
        <v/>
      </c>
      <c r="H89" s="145"/>
      <c r="I89" s="499" t="str">
        <f>IFERROR(INDEX('G-7 Rivers Data'!$H$4:$L$8,MATCH(D89,'G-7 Rivers Data'!$B$4:$B$8,0),MATCH(H89,'G-7 Rivers Data'!$H$3:$L$3,0)),"")</f>
        <v/>
      </c>
      <c r="J89" s="154"/>
      <c r="K89" s="520" t="str">
        <f>IF(J89="","",IF(VLOOKUP(J89,'G-7 Rivers Data'!$AK$4:$AM$9,2,FALSE)=0,"Spatial Data Missing ⚠",VLOOKUP(J89,'G-7 Rivers Data'!$AK$4:$AM$9,2,FALSE)))</f>
        <v/>
      </c>
      <c r="L89" s="524"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Data'!$B$4:$G$8,6,FALSE))</f>
        <v/>
      </c>
      <c r="R89" s="513" t="str">
        <f t="shared" si="8"/>
        <v/>
      </c>
      <c r="S89" s="40"/>
      <c r="T89" s="145"/>
      <c r="U89" s="157"/>
      <c r="V89" s="511" t="str">
        <f t="shared" si="9"/>
        <v/>
      </c>
      <c r="W89" s="511" t="str">
        <f t="shared" si="10"/>
        <v/>
      </c>
      <c r="X89" s="511" t="str">
        <f t="shared" si="11"/>
        <v/>
      </c>
      <c r="Y89" s="515"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8" x14ac:dyDescent="0.25">
      <c r="C90" s="141">
        <v>81</v>
      </c>
      <c r="D90" s="462"/>
      <c r="E90" s="153"/>
      <c r="F90" s="498" t="str">
        <f>IF(D90="","",VLOOKUP(D90,'G-7 Rivers Data'!$B$2:$G$8,2,FALSE))</f>
        <v/>
      </c>
      <c r="G90" s="499" t="str">
        <f>IFERROR(VLOOKUP(F90,'G-7 Rivers Data'!$C$4:$D$8,2,FALSE),"")</f>
        <v/>
      </c>
      <c r="H90" s="145"/>
      <c r="I90" s="499" t="str">
        <f>IFERROR(INDEX('G-7 Rivers Data'!$H$4:$L$8,MATCH(D90,'G-7 Rivers Data'!$B$4:$B$8,0),MATCH(H90,'G-7 Rivers Data'!$H$3:$L$3,0)),"")</f>
        <v/>
      </c>
      <c r="J90" s="154"/>
      <c r="K90" s="520" t="str">
        <f>IF(J90="","",IF(VLOOKUP(J90,'G-7 Rivers Data'!$AK$4:$AM$9,2,FALSE)=0,"Spatial Data Missing ⚠",VLOOKUP(J90,'G-7 Rivers Data'!$AK$4:$AM$9,2,FALSE)))</f>
        <v/>
      </c>
      <c r="L90" s="524"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Data'!$B$4:$G$8,6,FALSE))</f>
        <v/>
      </c>
      <c r="R90" s="513" t="str">
        <f t="shared" si="8"/>
        <v/>
      </c>
      <c r="S90" s="40"/>
      <c r="T90" s="145"/>
      <c r="U90" s="157"/>
      <c r="V90" s="511" t="str">
        <f t="shared" si="9"/>
        <v/>
      </c>
      <c r="W90" s="511" t="str">
        <f t="shared" si="10"/>
        <v/>
      </c>
      <c r="X90" s="511" t="str">
        <f t="shared" si="11"/>
        <v/>
      </c>
      <c r="Y90" s="515"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8" x14ac:dyDescent="0.25">
      <c r="C91" s="141">
        <v>82</v>
      </c>
      <c r="D91" s="462"/>
      <c r="E91" s="153"/>
      <c r="F91" s="498" t="str">
        <f>IF(D91="","",VLOOKUP(D91,'G-7 Rivers Data'!$B$2:$G$8,2,FALSE))</f>
        <v/>
      </c>
      <c r="G91" s="499" t="str">
        <f>IFERROR(VLOOKUP(F91,'G-7 Rivers Data'!$C$4:$D$8,2,FALSE),"")</f>
        <v/>
      </c>
      <c r="H91" s="145"/>
      <c r="I91" s="499" t="str">
        <f>IFERROR(INDEX('G-7 Rivers Data'!$H$4:$L$8,MATCH(D91,'G-7 Rivers Data'!$B$4:$B$8,0),MATCH(H91,'G-7 Rivers Data'!$H$3:$L$3,0)),"")</f>
        <v/>
      </c>
      <c r="J91" s="154"/>
      <c r="K91" s="520" t="str">
        <f>IF(J91="","",IF(VLOOKUP(J91,'G-7 Rivers Data'!$AK$4:$AM$9,2,FALSE)=0,"Spatial Data Missing ⚠",VLOOKUP(J91,'G-7 Rivers Data'!$AK$4:$AM$9,2,FALSE)))</f>
        <v/>
      </c>
      <c r="L91" s="524"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Data'!$B$4:$G$8,6,FALSE))</f>
        <v/>
      </c>
      <c r="R91" s="513" t="str">
        <f t="shared" si="8"/>
        <v/>
      </c>
      <c r="S91" s="40"/>
      <c r="T91" s="145"/>
      <c r="U91" s="157"/>
      <c r="V91" s="511" t="str">
        <f t="shared" si="9"/>
        <v/>
      </c>
      <c r="W91" s="511" t="str">
        <f t="shared" si="10"/>
        <v/>
      </c>
      <c r="X91" s="511" t="str">
        <f t="shared" si="11"/>
        <v/>
      </c>
      <c r="Y91" s="515"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8" x14ac:dyDescent="0.25">
      <c r="C92" s="141">
        <v>83</v>
      </c>
      <c r="D92" s="462"/>
      <c r="E92" s="153"/>
      <c r="F92" s="498" t="str">
        <f>IF(D92="","",VLOOKUP(D92,'G-7 Rivers Data'!$B$2:$G$8,2,FALSE))</f>
        <v/>
      </c>
      <c r="G92" s="499" t="str">
        <f>IFERROR(VLOOKUP(F92,'G-7 Rivers Data'!$C$4:$D$8,2,FALSE),"")</f>
        <v/>
      </c>
      <c r="H92" s="145"/>
      <c r="I92" s="499" t="str">
        <f>IFERROR(INDEX('G-7 Rivers Data'!$H$4:$L$8,MATCH(D92,'G-7 Rivers Data'!$B$4:$B$8,0),MATCH(H92,'G-7 Rivers Data'!$H$3:$L$3,0)),"")</f>
        <v/>
      </c>
      <c r="J92" s="154"/>
      <c r="K92" s="520" t="str">
        <f>IF(J92="","",IF(VLOOKUP(J92,'G-7 Rivers Data'!$AK$4:$AM$9,2,FALSE)=0,"Spatial Data Missing ⚠",VLOOKUP(J92,'G-7 Rivers Data'!$AK$4:$AM$9,2,FALSE)))</f>
        <v/>
      </c>
      <c r="L92" s="524"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Data'!$B$4:$G$8,6,FALSE))</f>
        <v/>
      </c>
      <c r="R92" s="513" t="str">
        <f t="shared" si="8"/>
        <v/>
      </c>
      <c r="S92" s="40"/>
      <c r="T92" s="145"/>
      <c r="U92" s="157"/>
      <c r="V92" s="511" t="str">
        <f t="shared" si="9"/>
        <v/>
      </c>
      <c r="W92" s="511" t="str">
        <f t="shared" si="10"/>
        <v/>
      </c>
      <c r="X92" s="511" t="str">
        <f t="shared" si="11"/>
        <v/>
      </c>
      <c r="Y92" s="515"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8" x14ac:dyDescent="0.25">
      <c r="C93" s="141">
        <v>84</v>
      </c>
      <c r="D93" s="462"/>
      <c r="E93" s="153"/>
      <c r="F93" s="498" t="str">
        <f>IF(D93="","",VLOOKUP(D93,'G-7 Rivers Data'!$B$2:$G$8,2,FALSE))</f>
        <v/>
      </c>
      <c r="G93" s="499" t="str">
        <f>IFERROR(VLOOKUP(F93,'G-7 Rivers Data'!$C$4:$D$8,2,FALSE),"")</f>
        <v/>
      </c>
      <c r="H93" s="145"/>
      <c r="I93" s="499" t="str">
        <f>IFERROR(INDEX('G-7 Rivers Data'!$H$4:$L$8,MATCH(D93,'G-7 Rivers Data'!$B$4:$B$8,0),MATCH(H93,'G-7 Rivers Data'!$H$3:$L$3,0)),"")</f>
        <v/>
      </c>
      <c r="J93" s="154"/>
      <c r="K93" s="520" t="str">
        <f>IF(J93="","",IF(VLOOKUP(J93,'G-7 Rivers Data'!$AK$4:$AM$9,2,FALSE)=0,"Spatial Data Missing ⚠",VLOOKUP(J93,'G-7 Rivers Data'!$AK$4:$AM$9,2,FALSE)))</f>
        <v/>
      </c>
      <c r="L93" s="524"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Data'!$B$4:$G$8,6,FALSE))</f>
        <v/>
      </c>
      <c r="R93" s="513" t="str">
        <f t="shared" si="8"/>
        <v/>
      </c>
      <c r="S93" s="40"/>
      <c r="T93" s="145"/>
      <c r="U93" s="157"/>
      <c r="V93" s="511" t="str">
        <f t="shared" si="9"/>
        <v/>
      </c>
      <c r="W93" s="511" t="str">
        <f t="shared" si="10"/>
        <v/>
      </c>
      <c r="X93" s="511" t="str">
        <f t="shared" si="11"/>
        <v/>
      </c>
      <c r="Y93" s="515"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8" x14ac:dyDescent="0.25">
      <c r="C94" s="141">
        <v>85</v>
      </c>
      <c r="D94" s="462"/>
      <c r="E94" s="153"/>
      <c r="F94" s="498" t="str">
        <f>IF(D94="","",VLOOKUP(D94,'G-7 Rivers Data'!$B$2:$G$8,2,FALSE))</f>
        <v/>
      </c>
      <c r="G94" s="499" t="str">
        <f>IFERROR(VLOOKUP(F94,'G-7 Rivers Data'!$C$4:$D$8,2,FALSE),"")</f>
        <v/>
      </c>
      <c r="H94" s="145"/>
      <c r="I94" s="499" t="str">
        <f>IFERROR(INDEX('G-7 Rivers Data'!$H$4:$L$8,MATCH(D94,'G-7 Rivers Data'!$B$4:$B$8,0),MATCH(H94,'G-7 Rivers Data'!$H$3:$L$3,0)),"")</f>
        <v/>
      </c>
      <c r="J94" s="154"/>
      <c r="K94" s="520" t="str">
        <f>IF(J94="","",IF(VLOOKUP(J94,'G-7 Rivers Data'!$AK$4:$AM$9,2,FALSE)=0,"Spatial Data Missing ⚠",VLOOKUP(J94,'G-7 Rivers Data'!$AK$4:$AM$9,2,FALSE)))</f>
        <v/>
      </c>
      <c r="L94" s="524"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Data'!$B$4:$G$8,6,FALSE))</f>
        <v/>
      </c>
      <c r="R94" s="513" t="str">
        <f t="shared" si="8"/>
        <v/>
      </c>
      <c r="S94" s="40"/>
      <c r="T94" s="145"/>
      <c r="U94" s="157"/>
      <c r="V94" s="511" t="str">
        <f t="shared" si="9"/>
        <v/>
      </c>
      <c r="W94" s="511" t="str">
        <f t="shared" si="10"/>
        <v/>
      </c>
      <c r="X94" s="511" t="str">
        <f t="shared" si="11"/>
        <v/>
      </c>
      <c r="Y94" s="515"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8" x14ac:dyDescent="0.25">
      <c r="C95" s="141">
        <v>86</v>
      </c>
      <c r="D95" s="462"/>
      <c r="E95" s="153"/>
      <c r="F95" s="498" t="str">
        <f>IF(D95="","",VLOOKUP(D95,'G-7 Rivers Data'!$B$2:$G$8,2,FALSE))</f>
        <v/>
      </c>
      <c r="G95" s="499" t="str">
        <f>IFERROR(VLOOKUP(F95,'G-7 Rivers Data'!$C$4:$D$8,2,FALSE),"")</f>
        <v/>
      </c>
      <c r="H95" s="145"/>
      <c r="I95" s="499" t="str">
        <f>IFERROR(INDEX('G-7 Rivers Data'!$H$4:$L$8,MATCH(D95,'G-7 Rivers Data'!$B$4:$B$8,0),MATCH(H95,'G-7 Rivers Data'!$H$3:$L$3,0)),"")</f>
        <v/>
      </c>
      <c r="J95" s="154"/>
      <c r="K95" s="520" t="str">
        <f>IF(J95="","",IF(VLOOKUP(J95,'G-7 Rivers Data'!$AK$4:$AM$9,2,FALSE)=0,"Spatial Data Missing ⚠",VLOOKUP(J95,'G-7 Rivers Data'!$AK$4:$AM$9,2,FALSE)))</f>
        <v/>
      </c>
      <c r="L95" s="524"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Data'!$B$4:$G$8,6,FALSE))</f>
        <v/>
      </c>
      <c r="R95" s="513" t="str">
        <f t="shared" si="8"/>
        <v/>
      </c>
      <c r="S95" s="40"/>
      <c r="T95" s="145"/>
      <c r="U95" s="157"/>
      <c r="V95" s="511" t="str">
        <f t="shared" si="9"/>
        <v/>
      </c>
      <c r="W95" s="511" t="str">
        <f t="shared" si="10"/>
        <v/>
      </c>
      <c r="X95" s="511" t="str">
        <f t="shared" si="11"/>
        <v/>
      </c>
      <c r="Y95" s="515"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8" x14ac:dyDescent="0.25">
      <c r="C96" s="141">
        <v>87</v>
      </c>
      <c r="D96" s="462"/>
      <c r="E96" s="153"/>
      <c r="F96" s="498" t="str">
        <f>IF(D96="","",VLOOKUP(D96,'G-7 Rivers Data'!$B$2:$G$8,2,FALSE))</f>
        <v/>
      </c>
      <c r="G96" s="499" t="str">
        <f>IFERROR(VLOOKUP(F96,'G-7 Rivers Data'!$C$4:$D$8,2,FALSE),"")</f>
        <v/>
      </c>
      <c r="H96" s="145"/>
      <c r="I96" s="499" t="str">
        <f>IFERROR(INDEX('G-7 Rivers Data'!$H$4:$L$8,MATCH(D96,'G-7 Rivers Data'!$B$4:$B$8,0),MATCH(H96,'G-7 Rivers Data'!$H$3:$L$3,0)),"")</f>
        <v/>
      </c>
      <c r="J96" s="154"/>
      <c r="K96" s="520" t="str">
        <f>IF(J96="","",IF(VLOOKUP(J96,'G-7 Rivers Data'!$AK$4:$AM$9,2,FALSE)=0,"Spatial Data Missing ⚠",VLOOKUP(J96,'G-7 Rivers Data'!$AK$4:$AM$9,2,FALSE)))</f>
        <v/>
      </c>
      <c r="L96" s="524"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Data'!$B$4:$G$8,6,FALSE))</f>
        <v/>
      </c>
      <c r="R96" s="513" t="str">
        <f t="shared" si="8"/>
        <v/>
      </c>
      <c r="S96" s="40"/>
      <c r="T96" s="145"/>
      <c r="U96" s="157"/>
      <c r="V96" s="511" t="str">
        <f t="shared" si="9"/>
        <v/>
      </c>
      <c r="W96" s="511" t="str">
        <f t="shared" si="10"/>
        <v/>
      </c>
      <c r="X96" s="511" t="str">
        <f t="shared" si="11"/>
        <v/>
      </c>
      <c r="Y96" s="515"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8" x14ac:dyDescent="0.25">
      <c r="C97" s="141">
        <v>88</v>
      </c>
      <c r="D97" s="462"/>
      <c r="E97" s="153"/>
      <c r="F97" s="498" t="str">
        <f>IF(D97="","",VLOOKUP(D97,'G-7 Rivers Data'!$B$2:$G$8,2,FALSE))</f>
        <v/>
      </c>
      <c r="G97" s="499" t="str">
        <f>IFERROR(VLOOKUP(F97,'G-7 Rivers Data'!$C$4:$D$8,2,FALSE),"")</f>
        <v/>
      </c>
      <c r="H97" s="145"/>
      <c r="I97" s="499" t="str">
        <f>IFERROR(INDEX('G-7 Rivers Data'!$H$4:$L$8,MATCH(D97,'G-7 Rivers Data'!$B$4:$B$8,0),MATCH(H97,'G-7 Rivers Data'!$H$3:$L$3,0)),"")</f>
        <v/>
      </c>
      <c r="J97" s="154"/>
      <c r="K97" s="520" t="str">
        <f>IF(J97="","",IF(VLOOKUP(J97,'G-7 Rivers Data'!$AK$4:$AM$9,2,FALSE)=0,"Spatial Data Missing ⚠",VLOOKUP(J97,'G-7 Rivers Data'!$AK$4:$AM$9,2,FALSE)))</f>
        <v/>
      </c>
      <c r="L97" s="524"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Data'!$B$4:$G$8,6,FALSE))</f>
        <v/>
      </c>
      <c r="R97" s="513" t="str">
        <f t="shared" si="8"/>
        <v/>
      </c>
      <c r="S97" s="40"/>
      <c r="T97" s="145"/>
      <c r="U97" s="157"/>
      <c r="V97" s="511" t="str">
        <f t="shared" si="9"/>
        <v/>
      </c>
      <c r="W97" s="511" t="str">
        <f t="shared" si="10"/>
        <v/>
      </c>
      <c r="X97" s="511" t="str">
        <f t="shared" si="11"/>
        <v/>
      </c>
      <c r="Y97" s="515"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8" x14ac:dyDescent="0.25">
      <c r="C98" s="141">
        <v>89</v>
      </c>
      <c r="D98" s="462"/>
      <c r="E98" s="153"/>
      <c r="F98" s="498" t="str">
        <f>IF(D98="","",VLOOKUP(D98,'G-7 Rivers Data'!$B$2:$G$8,2,FALSE))</f>
        <v/>
      </c>
      <c r="G98" s="499" t="str">
        <f>IFERROR(VLOOKUP(F98,'G-7 Rivers Data'!$C$4:$D$8,2,FALSE),"")</f>
        <v/>
      </c>
      <c r="H98" s="145"/>
      <c r="I98" s="499" t="str">
        <f>IFERROR(INDEX('G-7 Rivers Data'!$H$4:$L$8,MATCH(D98,'G-7 Rivers Data'!$B$4:$B$8,0),MATCH(H98,'G-7 Rivers Data'!$H$3:$L$3,0)),"")</f>
        <v/>
      </c>
      <c r="J98" s="154"/>
      <c r="K98" s="520" t="str">
        <f>IF(J98="","",IF(VLOOKUP(J98,'G-7 Rivers Data'!$AK$4:$AM$9,2,FALSE)=0,"Spatial Data Missing ⚠",VLOOKUP(J98,'G-7 Rivers Data'!$AK$4:$AM$9,2,FALSE)))</f>
        <v/>
      </c>
      <c r="L98" s="524"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Data'!$B$4:$G$8,6,FALSE))</f>
        <v/>
      </c>
      <c r="R98" s="513" t="str">
        <f t="shared" si="8"/>
        <v/>
      </c>
      <c r="S98" s="40"/>
      <c r="T98" s="145"/>
      <c r="U98" s="157"/>
      <c r="V98" s="511" t="str">
        <f t="shared" si="9"/>
        <v/>
      </c>
      <c r="W98" s="511" t="str">
        <f t="shared" si="10"/>
        <v/>
      </c>
      <c r="X98" s="511" t="str">
        <f t="shared" si="11"/>
        <v/>
      </c>
      <c r="Y98" s="515"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8" x14ac:dyDescent="0.25">
      <c r="C99" s="141">
        <v>90</v>
      </c>
      <c r="D99" s="462"/>
      <c r="E99" s="153"/>
      <c r="F99" s="498" t="str">
        <f>IF(D99="","",VLOOKUP(D99,'G-7 Rivers Data'!$B$2:$G$8,2,FALSE))</f>
        <v/>
      </c>
      <c r="G99" s="499" t="str">
        <f>IFERROR(VLOOKUP(F99,'G-7 Rivers Data'!$C$4:$D$8,2,FALSE),"")</f>
        <v/>
      </c>
      <c r="H99" s="145"/>
      <c r="I99" s="499" t="str">
        <f>IFERROR(INDEX('G-7 Rivers Data'!$H$4:$L$8,MATCH(D99,'G-7 Rivers Data'!$B$4:$B$8,0),MATCH(H99,'G-7 Rivers Data'!$H$3:$L$3,0)),"")</f>
        <v/>
      </c>
      <c r="J99" s="154"/>
      <c r="K99" s="520" t="str">
        <f>IF(J99="","",IF(VLOOKUP(J99,'G-7 Rivers Data'!$AK$4:$AM$9,2,FALSE)=0,"Spatial Data Missing ⚠",VLOOKUP(J99,'G-7 Rivers Data'!$AK$4:$AM$9,2,FALSE)))</f>
        <v/>
      </c>
      <c r="L99" s="524"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Data'!$B$4:$G$8,6,FALSE))</f>
        <v/>
      </c>
      <c r="R99" s="513" t="str">
        <f t="shared" si="8"/>
        <v/>
      </c>
      <c r="S99" s="40"/>
      <c r="T99" s="145"/>
      <c r="U99" s="157"/>
      <c r="V99" s="511" t="str">
        <f t="shared" si="9"/>
        <v/>
      </c>
      <c r="W99" s="511" t="str">
        <f t="shared" si="10"/>
        <v/>
      </c>
      <c r="X99" s="511" t="str">
        <f t="shared" si="11"/>
        <v/>
      </c>
      <c r="Y99" s="515"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8" x14ac:dyDescent="0.25">
      <c r="C100" s="141">
        <v>91</v>
      </c>
      <c r="D100" s="462"/>
      <c r="E100" s="153"/>
      <c r="F100" s="498" t="str">
        <f>IF(D100="","",VLOOKUP(D100,'G-7 Rivers Data'!$B$2:$G$8,2,FALSE))</f>
        <v/>
      </c>
      <c r="G100" s="499" t="str">
        <f>IFERROR(VLOOKUP(F100,'G-7 Rivers Data'!$C$4:$D$8,2,FALSE),"")</f>
        <v/>
      </c>
      <c r="H100" s="145"/>
      <c r="I100" s="499" t="str">
        <f>IFERROR(INDEX('G-7 Rivers Data'!$H$4:$L$8,MATCH(D100,'G-7 Rivers Data'!$B$4:$B$8,0),MATCH(H100,'G-7 Rivers Data'!$H$3:$L$3,0)),"")</f>
        <v/>
      </c>
      <c r="J100" s="154"/>
      <c r="K100" s="520" t="str">
        <f>IF(J100="","",IF(VLOOKUP(J100,'G-7 Rivers Data'!$AK$4:$AM$9,2,FALSE)=0,"Spatial Data Missing ⚠",VLOOKUP(J100,'G-7 Rivers Data'!$AK$4:$AM$9,2,FALSE)))</f>
        <v/>
      </c>
      <c r="L100" s="524"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Data'!$B$4:$G$8,6,FALSE))</f>
        <v/>
      </c>
      <c r="R100" s="513" t="str">
        <f t="shared" si="8"/>
        <v/>
      </c>
      <c r="S100" s="40"/>
      <c r="T100" s="145"/>
      <c r="U100" s="157"/>
      <c r="V100" s="511" t="str">
        <f t="shared" si="9"/>
        <v/>
      </c>
      <c r="W100" s="511" t="str">
        <f t="shared" si="10"/>
        <v/>
      </c>
      <c r="X100" s="511" t="str">
        <f t="shared" si="11"/>
        <v/>
      </c>
      <c r="Y100" s="515"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8" x14ac:dyDescent="0.25">
      <c r="C101" s="141">
        <v>92</v>
      </c>
      <c r="D101" s="462"/>
      <c r="E101" s="153"/>
      <c r="F101" s="498" t="str">
        <f>IF(D101="","",VLOOKUP(D101,'G-7 Rivers Data'!$B$2:$G$8,2,FALSE))</f>
        <v/>
      </c>
      <c r="G101" s="499" t="str">
        <f>IFERROR(VLOOKUP(F101,'G-7 Rivers Data'!$C$4:$D$8,2,FALSE),"")</f>
        <v/>
      </c>
      <c r="H101" s="145"/>
      <c r="I101" s="499" t="str">
        <f>IFERROR(INDEX('G-7 Rivers Data'!$H$4:$L$8,MATCH(D101,'G-7 Rivers Data'!$B$4:$B$8,0),MATCH(H101,'G-7 Rivers Data'!$H$3:$L$3,0)),"")</f>
        <v/>
      </c>
      <c r="J101" s="154"/>
      <c r="K101" s="520" t="str">
        <f>IF(J101="","",IF(VLOOKUP(J101,'G-7 Rivers Data'!$AK$4:$AM$9,2,FALSE)=0,"Spatial Data Missing ⚠",VLOOKUP(J101,'G-7 Rivers Data'!$AK$4:$AM$9,2,FALSE)))</f>
        <v/>
      </c>
      <c r="L101" s="524"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Data'!$B$4:$G$8,6,FALSE))</f>
        <v/>
      </c>
      <c r="R101" s="513" t="str">
        <f t="shared" si="8"/>
        <v/>
      </c>
      <c r="S101" s="40"/>
      <c r="T101" s="145"/>
      <c r="U101" s="157"/>
      <c r="V101" s="511" t="str">
        <f t="shared" si="9"/>
        <v/>
      </c>
      <c r="W101" s="511" t="str">
        <f t="shared" si="10"/>
        <v/>
      </c>
      <c r="X101" s="511" t="str">
        <f t="shared" si="11"/>
        <v/>
      </c>
      <c r="Y101" s="515"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8" x14ac:dyDescent="0.25">
      <c r="C102" s="141">
        <v>93</v>
      </c>
      <c r="D102" s="462"/>
      <c r="E102" s="153"/>
      <c r="F102" s="498" t="str">
        <f>IF(D102="","",VLOOKUP(D102,'G-7 Rivers Data'!$B$2:$G$8,2,FALSE))</f>
        <v/>
      </c>
      <c r="G102" s="499" t="str">
        <f>IFERROR(VLOOKUP(F102,'G-7 Rivers Data'!$C$4:$D$8,2,FALSE),"")</f>
        <v/>
      </c>
      <c r="H102" s="145"/>
      <c r="I102" s="499" t="str">
        <f>IFERROR(INDEX('G-7 Rivers Data'!$H$4:$L$8,MATCH(D102,'G-7 Rivers Data'!$B$4:$B$8,0),MATCH(H102,'G-7 Rivers Data'!$H$3:$L$3,0)),"")</f>
        <v/>
      </c>
      <c r="J102" s="154"/>
      <c r="K102" s="520" t="str">
        <f>IF(J102="","",IF(VLOOKUP(J102,'G-7 Rivers Data'!$AK$4:$AM$9,2,FALSE)=0,"Spatial Data Missing ⚠",VLOOKUP(J102,'G-7 Rivers Data'!$AK$4:$AM$9,2,FALSE)))</f>
        <v/>
      </c>
      <c r="L102" s="524"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Data'!$B$4:$G$8,6,FALSE))</f>
        <v/>
      </c>
      <c r="R102" s="513" t="str">
        <f t="shared" si="8"/>
        <v/>
      </c>
      <c r="S102" s="40"/>
      <c r="T102" s="145"/>
      <c r="U102" s="157"/>
      <c r="V102" s="511" t="str">
        <f t="shared" si="9"/>
        <v/>
      </c>
      <c r="W102" s="511" t="str">
        <f t="shared" si="10"/>
        <v/>
      </c>
      <c r="X102" s="511" t="str">
        <f t="shared" si="11"/>
        <v/>
      </c>
      <c r="Y102" s="515"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8" x14ac:dyDescent="0.25">
      <c r="C103" s="141">
        <v>94</v>
      </c>
      <c r="D103" s="462"/>
      <c r="E103" s="153"/>
      <c r="F103" s="498" t="str">
        <f>IF(D103="","",VLOOKUP(D103,'G-7 Rivers Data'!$B$2:$G$8,2,FALSE))</f>
        <v/>
      </c>
      <c r="G103" s="499" t="str">
        <f>IFERROR(VLOOKUP(F103,'G-7 Rivers Data'!$C$4:$D$8,2,FALSE),"")</f>
        <v/>
      </c>
      <c r="H103" s="145"/>
      <c r="I103" s="499" t="str">
        <f>IFERROR(INDEX('G-7 Rivers Data'!$H$4:$L$8,MATCH(D103,'G-7 Rivers Data'!$B$4:$B$8,0),MATCH(H103,'G-7 Rivers Data'!$H$3:$L$3,0)),"")</f>
        <v/>
      </c>
      <c r="J103" s="154"/>
      <c r="K103" s="520" t="str">
        <f>IF(J103="","",IF(VLOOKUP(J103,'G-7 Rivers Data'!$AK$4:$AM$9,2,FALSE)=0,"Spatial Data Missing ⚠",VLOOKUP(J103,'G-7 Rivers Data'!$AK$4:$AM$9,2,FALSE)))</f>
        <v/>
      </c>
      <c r="L103" s="524"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Data'!$B$4:$G$8,6,FALSE))</f>
        <v/>
      </c>
      <c r="R103" s="513" t="str">
        <f t="shared" si="8"/>
        <v/>
      </c>
      <c r="S103" s="40"/>
      <c r="T103" s="145"/>
      <c r="U103" s="157"/>
      <c r="V103" s="511" t="str">
        <f t="shared" si="9"/>
        <v/>
      </c>
      <c r="W103" s="511" t="str">
        <f t="shared" si="10"/>
        <v/>
      </c>
      <c r="X103" s="511" t="str">
        <f t="shared" si="11"/>
        <v/>
      </c>
      <c r="Y103" s="515"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8" x14ac:dyDescent="0.25">
      <c r="C104" s="141">
        <v>95</v>
      </c>
      <c r="D104" s="462"/>
      <c r="E104" s="153"/>
      <c r="F104" s="498" t="str">
        <f>IF(D104="","",VLOOKUP(D104,'G-7 Rivers Data'!$B$2:$G$8,2,FALSE))</f>
        <v/>
      </c>
      <c r="G104" s="499" t="str">
        <f>IFERROR(VLOOKUP(F104,'G-7 Rivers Data'!$C$4:$D$8,2,FALSE),"")</f>
        <v/>
      </c>
      <c r="H104" s="145"/>
      <c r="I104" s="499" t="str">
        <f>IFERROR(INDEX('G-7 Rivers Data'!$H$4:$L$8,MATCH(D104,'G-7 Rivers Data'!$B$4:$B$8,0),MATCH(H104,'G-7 Rivers Data'!$H$3:$L$3,0)),"")</f>
        <v/>
      </c>
      <c r="J104" s="154"/>
      <c r="K104" s="520" t="str">
        <f>IF(J104="","",IF(VLOOKUP(J104,'G-7 Rivers Data'!$AK$4:$AM$9,2,FALSE)=0,"Spatial Data Missing ⚠",VLOOKUP(J104,'G-7 Rivers Data'!$AK$4:$AM$9,2,FALSE)))</f>
        <v/>
      </c>
      <c r="L104" s="524"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Data'!$B$4:$G$8,6,FALSE))</f>
        <v/>
      </c>
      <c r="R104" s="513" t="str">
        <f t="shared" si="8"/>
        <v/>
      </c>
      <c r="S104" s="40"/>
      <c r="T104" s="145"/>
      <c r="U104" s="157"/>
      <c r="V104" s="511" t="str">
        <f t="shared" si="9"/>
        <v/>
      </c>
      <c r="W104" s="511" t="str">
        <f t="shared" si="10"/>
        <v/>
      </c>
      <c r="X104" s="511" t="str">
        <f t="shared" si="11"/>
        <v/>
      </c>
      <c r="Y104" s="515"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8" x14ac:dyDescent="0.25">
      <c r="C105" s="141">
        <v>96</v>
      </c>
      <c r="D105" s="462"/>
      <c r="E105" s="153"/>
      <c r="F105" s="498" t="str">
        <f>IF(D105="","",VLOOKUP(D105,'G-7 Rivers Data'!$B$2:$G$8,2,FALSE))</f>
        <v/>
      </c>
      <c r="G105" s="499" t="str">
        <f>IFERROR(VLOOKUP(F105,'G-7 Rivers Data'!$C$4:$D$8,2,FALSE),"")</f>
        <v/>
      </c>
      <c r="H105" s="145"/>
      <c r="I105" s="499" t="str">
        <f>IFERROR(INDEX('G-7 Rivers Data'!$H$4:$L$8,MATCH(D105,'G-7 Rivers Data'!$B$4:$B$8,0),MATCH(H105,'G-7 Rivers Data'!$H$3:$L$3,0)),"")</f>
        <v/>
      </c>
      <c r="J105" s="154"/>
      <c r="K105" s="520" t="str">
        <f>IF(J105="","",IF(VLOOKUP(J105,'G-7 Rivers Data'!$AK$4:$AM$9,2,FALSE)=0,"Spatial Data Missing ⚠",VLOOKUP(J105,'G-7 Rivers Data'!$AK$4:$AM$9,2,FALSE)))</f>
        <v/>
      </c>
      <c r="L105" s="524"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Data'!$B$4:$G$8,6,FALSE))</f>
        <v/>
      </c>
      <c r="R105" s="513" t="str">
        <f t="shared" si="8"/>
        <v/>
      </c>
      <c r="S105" s="40"/>
      <c r="T105" s="145"/>
      <c r="U105" s="157"/>
      <c r="V105" s="511" t="str">
        <f t="shared" si="9"/>
        <v/>
      </c>
      <c r="W105" s="511" t="str">
        <f t="shared" si="10"/>
        <v/>
      </c>
      <c r="X105" s="511" t="str">
        <f t="shared" si="11"/>
        <v/>
      </c>
      <c r="Y105" s="515"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8" x14ac:dyDescent="0.25">
      <c r="C106" s="141">
        <v>97</v>
      </c>
      <c r="D106" s="462"/>
      <c r="E106" s="153"/>
      <c r="F106" s="498" t="str">
        <f>IF(D106="","",VLOOKUP(D106,'G-7 Rivers Data'!$B$2:$G$8,2,FALSE))</f>
        <v/>
      </c>
      <c r="G106" s="499" t="str">
        <f>IFERROR(VLOOKUP(F106,'G-7 Rivers Data'!$C$4:$D$8,2,FALSE),"")</f>
        <v/>
      </c>
      <c r="H106" s="145"/>
      <c r="I106" s="499" t="str">
        <f>IFERROR(INDEX('G-7 Rivers Data'!$H$4:$L$8,MATCH(D106,'G-7 Rivers Data'!$B$4:$B$8,0),MATCH(H106,'G-7 Rivers Data'!$H$3:$L$3,0)),"")</f>
        <v/>
      </c>
      <c r="J106" s="154"/>
      <c r="K106" s="520" t="str">
        <f>IF(J106="","",IF(VLOOKUP(J106,'G-7 Rivers Data'!$AK$4:$AM$9,2,FALSE)=0,"Spatial Data Missing ⚠",VLOOKUP(J106,'G-7 Rivers Data'!$AK$4:$AM$9,2,FALSE)))</f>
        <v/>
      </c>
      <c r="L106" s="524"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Data'!$B$4:$G$8,6,FALSE))</f>
        <v/>
      </c>
      <c r="R106" s="513" t="str">
        <f t="shared" si="8"/>
        <v/>
      </c>
      <c r="S106" s="40"/>
      <c r="T106" s="145"/>
      <c r="U106" s="157"/>
      <c r="V106" s="511" t="str">
        <f t="shared" si="9"/>
        <v/>
      </c>
      <c r="W106" s="511" t="str">
        <f t="shared" si="10"/>
        <v/>
      </c>
      <c r="X106" s="511" t="str">
        <f t="shared" si="11"/>
        <v/>
      </c>
      <c r="Y106" s="515"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8" x14ac:dyDescent="0.25">
      <c r="C107" s="141">
        <v>98</v>
      </c>
      <c r="D107" s="462"/>
      <c r="E107" s="153"/>
      <c r="F107" s="498" t="str">
        <f>IF(D107="","",VLOOKUP(D107,'G-7 Rivers Data'!$B$2:$G$8,2,FALSE))</f>
        <v/>
      </c>
      <c r="G107" s="499" t="str">
        <f>IFERROR(VLOOKUP(F107,'G-7 Rivers Data'!$C$4:$D$8,2,FALSE),"")</f>
        <v/>
      </c>
      <c r="H107" s="145"/>
      <c r="I107" s="499" t="str">
        <f>IFERROR(INDEX('G-7 Rivers Data'!$H$4:$L$8,MATCH(D107,'G-7 Rivers Data'!$B$4:$B$8,0),MATCH(H107,'G-7 Rivers Data'!$H$3:$L$3,0)),"")</f>
        <v/>
      </c>
      <c r="J107" s="154"/>
      <c r="K107" s="520" t="str">
        <f>IF(J107="","",IF(VLOOKUP(J107,'G-7 Rivers Data'!$AK$4:$AM$9,2,FALSE)=0,"Spatial Data Missing ⚠",VLOOKUP(J107,'G-7 Rivers Data'!$AK$4:$AM$9,2,FALSE)))</f>
        <v/>
      </c>
      <c r="L107" s="524"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Data'!$B$4:$G$8,6,FALSE))</f>
        <v/>
      </c>
      <c r="R107" s="513" t="str">
        <f t="shared" si="8"/>
        <v/>
      </c>
      <c r="S107" s="40"/>
      <c r="T107" s="145"/>
      <c r="U107" s="157"/>
      <c r="V107" s="511" t="str">
        <f t="shared" si="9"/>
        <v/>
      </c>
      <c r="W107" s="511" t="str">
        <f t="shared" si="10"/>
        <v/>
      </c>
      <c r="X107" s="511" t="str">
        <f t="shared" si="11"/>
        <v/>
      </c>
      <c r="Y107" s="515"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8" x14ac:dyDescent="0.25">
      <c r="C108" s="141">
        <v>99</v>
      </c>
      <c r="D108" s="462"/>
      <c r="E108" s="153"/>
      <c r="F108" s="498" t="str">
        <f>IF(D108="","",VLOOKUP(D108,'G-7 Rivers Data'!$B$2:$G$8,2,FALSE))</f>
        <v/>
      </c>
      <c r="G108" s="499" t="str">
        <f>IFERROR(VLOOKUP(F108,'G-7 Rivers Data'!$C$4:$D$8,2,FALSE),"")</f>
        <v/>
      </c>
      <c r="H108" s="145"/>
      <c r="I108" s="499" t="str">
        <f>IFERROR(INDEX('G-7 Rivers Data'!$H$4:$L$8,MATCH(D108,'G-7 Rivers Data'!$B$4:$B$8,0),MATCH(H108,'G-7 Rivers Data'!$H$3:$L$3,0)),"")</f>
        <v/>
      </c>
      <c r="J108" s="154"/>
      <c r="K108" s="520" t="str">
        <f>IF(J108="","",IF(VLOOKUP(J108,'G-7 Rivers Data'!$AK$4:$AM$9,2,FALSE)=0,"Spatial Data Missing ⚠",VLOOKUP(J108,'G-7 Rivers Data'!$AK$4:$AM$9,2,FALSE)))</f>
        <v/>
      </c>
      <c r="L108" s="524"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Data'!$B$4:$G$8,6,FALSE))</f>
        <v/>
      </c>
      <c r="R108" s="513" t="str">
        <f t="shared" si="8"/>
        <v/>
      </c>
      <c r="S108" s="40"/>
      <c r="T108" s="145"/>
      <c r="U108" s="157"/>
      <c r="V108" s="511" t="str">
        <f t="shared" si="9"/>
        <v/>
      </c>
      <c r="W108" s="511" t="str">
        <f t="shared" si="10"/>
        <v/>
      </c>
      <c r="X108" s="511" t="str">
        <f t="shared" si="11"/>
        <v/>
      </c>
      <c r="Y108" s="515"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8" x14ac:dyDescent="0.25">
      <c r="C109" s="141">
        <v>100</v>
      </c>
      <c r="D109" s="462"/>
      <c r="E109" s="153"/>
      <c r="F109" s="498" t="str">
        <f>IF(D109="","",VLOOKUP(D109,'G-7 Rivers Data'!$B$2:$G$8,2,FALSE))</f>
        <v/>
      </c>
      <c r="G109" s="499" t="str">
        <f>IFERROR(VLOOKUP(F109,'G-7 Rivers Data'!$C$4:$D$8,2,FALSE),"")</f>
        <v/>
      </c>
      <c r="H109" s="145"/>
      <c r="I109" s="499" t="str">
        <f>IFERROR(INDEX('G-7 Rivers Data'!$H$4:$L$8,MATCH(D109,'G-7 Rivers Data'!$B$4:$B$8,0),MATCH(H109,'G-7 Rivers Data'!$H$3:$L$3,0)),"")</f>
        <v/>
      </c>
      <c r="J109" s="154"/>
      <c r="K109" s="520" t="str">
        <f>IF(J109="","",IF(VLOOKUP(J109,'G-7 Rivers Data'!$AK$4:$AM$9,2,FALSE)=0,"Spatial Data Missing ⚠",VLOOKUP(J109,'G-7 Rivers Data'!$AK$4:$AM$9,2,FALSE)))</f>
        <v/>
      </c>
      <c r="L109" s="524"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Data'!$B$4:$G$8,6,FALSE))</f>
        <v/>
      </c>
      <c r="R109" s="513" t="str">
        <f t="shared" si="8"/>
        <v/>
      </c>
      <c r="S109" s="40"/>
      <c r="T109" s="145"/>
      <c r="U109" s="157"/>
      <c r="V109" s="511" t="str">
        <f t="shared" si="9"/>
        <v/>
      </c>
      <c r="W109" s="511" t="str">
        <f t="shared" si="10"/>
        <v/>
      </c>
      <c r="X109" s="511" t="str">
        <f t="shared" si="11"/>
        <v/>
      </c>
      <c r="Y109" s="515"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8" x14ac:dyDescent="0.25">
      <c r="C110" s="141">
        <v>101</v>
      </c>
      <c r="D110" s="462"/>
      <c r="E110" s="153"/>
      <c r="F110" s="498" t="str">
        <f>IF(D110="","",VLOOKUP(D110,'G-7 Rivers Data'!$B$2:$G$8,2,FALSE))</f>
        <v/>
      </c>
      <c r="G110" s="499" t="str">
        <f>IFERROR(VLOOKUP(F110,'G-7 Rivers Data'!$C$4:$D$8,2,FALSE),"")</f>
        <v/>
      </c>
      <c r="H110" s="145"/>
      <c r="I110" s="499" t="str">
        <f>IFERROR(INDEX('G-7 Rivers Data'!$H$4:$L$8,MATCH(D110,'G-7 Rivers Data'!$B$4:$B$8,0),MATCH(H110,'G-7 Rivers Data'!$H$3:$L$3,0)),"")</f>
        <v/>
      </c>
      <c r="J110" s="154"/>
      <c r="K110" s="520" t="str">
        <f>IF(J110="","",IF(VLOOKUP(J110,'G-7 Rivers Data'!$AK$4:$AM$9,2,FALSE)=0,"Spatial Data Missing ⚠",VLOOKUP(J110,'G-7 Rivers Data'!$AK$4:$AM$9,2,FALSE)))</f>
        <v/>
      </c>
      <c r="L110" s="524"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Data'!$B$4:$G$8,6,FALSE))</f>
        <v/>
      </c>
      <c r="R110" s="513" t="str">
        <f t="shared" si="8"/>
        <v/>
      </c>
      <c r="S110" s="40"/>
      <c r="T110" s="145"/>
      <c r="U110" s="157"/>
      <c r="V110" s="511" t="str">
        <f t="shared" si="9"/>
        <v/>
      </c>
      <c r="W110" s="511" t="str">
        <f t="shared" si="10"/>
        <v/>
      </c>
      <c r="X110" s="511" t="str">
        <f t="shared" si="11"/>
        <v/>
      </c>
      <c r="Y110" s="515"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8" x14ac:dyDescent="0.25">
      <c r="C111" s="141">
        <v>102</v>
      </c>
      <c r="D111" s="462"/>
      <c r="E111" s="153"/>
      <c r="F111" s="498" t="str">
        <f>IF(D111="","",VLOOKUP(D111,'G-7 Rivers Data'!$B$2:$G$8,2,FALSE))</f>
        <v/>
      </c>
      <c r="G111" s="499" t="str">
        <f>IFERROR(VLOOKUP(F111,'G-7 Rivers Data'!$C$4:$D$8,2,FALSE),"")</f>
        <v/>
      </c>
      <c r="H111" s="145"/>
      <c r="I111" s="499" t="str">
        <f>IFERROR(INDEX('G-7 Rivers Data'!$H$4:$L$8,MATCH(D111,'G-7 Rivers Data'!$B$4:$B$8,0),MATCH(H111,'G-7 Rivers Data'!$H$3:$L$3,0)),"")</f>
        <v/>
      </c>
      <c r="J111" s="154"/>
      <c r="K111" s="520" t="str">
        <f>IF(J111="","",IF(VLOOKUP(J111,'G-7 Rivers Data'!$AK$4:$AM$9,2,FALSE)=0,"Spatial Data Missing ⚠",VLOOKUP(J111,'G-7 Rivers Data'!$AK$4:$AM$9,2,FALSE)))</f>
        <v/>
      </c>
      <c r="L111" s="524"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Data'!$B$4:$G$8,6,FALSE))</f>
        <v/>
      </c>
      <c r="R111" s="513" t="str">
        <f t="shared" si="8"/>
        <v/>
      </c>
      <c r="S111" s="40"/>
      <c r="T111" s="145"/>
      <c r="U111" s="157"/>
      <c r="V111" s="511" t="str">
        <f t="shared" si="9"/>
        <v/>
      </c>
      <c r="W111" s="511" t="str">
        <f t="shared" si="10"/>
        <v/>
      </c>
      <c r="X111" s="511" t="str">
        <f t="shared" si="11"/>
        <v/>
      </c>
      <c r="Y111" s="515"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8" x14ac:dyDescent="0.25">
      <c r="C112" s="141">
        <v>103</v>
      </c>
      <c r="D112" s="462"/>
      <c r="E112" s="153"/>
      <c r="F112" s="498" t="str">
        <f>IF(D112="","",VLOOKUP(D112,'G-7 Rivers Data'!$B$2:$G$8,2,FALSE))</f>
        <v/>
      </c>
      <c r="G112" s="499" t="str">
        <f>IFERROR(VLOOKUP(F112,'G-7 Rivers Data'!$C$4:$D$8,2,FALSE),"")</f>
        <v/>
      </c>
      <c r="H112" s="145"/>
      <c r="I112" s="499" t="str">
        <f>IFERROR(INDEX('G-7 Rivers Data'!$H$4:$L$8,MATCH(D112,'G-7 Rivers Data'!$B$4:$B$8,0),MATCH(H112,'G-7 Rivers Data'!$H$3:$L$3,0)),"")</f>
        <v/>
      </c>
      <c r="J112" s="154"/>
      <c r="K112" s="520" t="str">
        <f>IF(J112="","",IF(VLOOKUP(J112,'G-7 Rivers Data'!$AK$4:$AM$9,2,FALSE)=0,"Spatial Data Missing ⚠",VLOOKUP(J112,'G-7 Rivers Data'!$AK$4:$AM$9,2,FALSE)))</f>
        <v/>
      </c>
      <c r="L112" s="524"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Data'!$B$4:$G$8,6,FALSE))</f>
        <v/>
      </c>
      <c r="R112" s="513" t="str">
        <f t="shared" si="8"/>
        <v/>
      </c>
      <c r="S112" s="40"/>
      <c r="T112" s="145"/>
      <c r="U112" s="157"/>
      <c r="V112" s="511" t="str">
        <f t="shared" si="9"/>
        <v/>
      </c>
      <c r="W112" s="511" t="str">
        <f t="shared" si="10"/>
        <v/>
      </c>
      <c r="X112" s="511" t="str">
        <f t="shared" si="11"/>
        <v/>
      </c>
      <c r="Y112" s="515"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8" x14ac:dyDescent="0.25">
      <c r="C113" s="141">
        <v>104</v>
      </c>
      <c r="D113" s="462"/>
      <c r="E113" s="153"/>
      <c r="F113" s="498" t="str">
        <f>IF(D113="","",VLOOKUP(D113,'G-7 Rivers Data'!$B$2:$G$8,2,FALSE))</f>
        <v/>
      </c>
      <c r="G113" s="499" t="str">
        <f>IFERROR(VLOOKUP(F113,'G-7 Rivers Data'!$C$4:$D$8,2,FALSE),"")</f>
        <v/>
      </c>
      <c r="H113" s="145"/>
      <c r="I113" s="499" t="str">
        <f>IFERROR(INDEX('G-7 Rivers Data'!$H$4:$L$8,MATCH(D113,'G-7 Rivers Data'!$B$4:$B$8,0),MATCH(H113,'G-7 Rivers Data'!$H$3:$L$3,0)),"")</f>
        <v/>
      </c>
      <c r="J113" s="154"/>
      <c r="K113" s="520" t="str">
        <f>IF(J113="","",IF(VLOOKUP(J113,'G-7 Rivers Data'!$AK$4:$AM$9,2,FALSE)=0,"Spatial Data Missing ⚠",VLOOKUP(J113,'G-7 Rivers Data'!$AK$4:$AM$9,2,FALSE)))</f>
        <v/>
      </c>
      <c r="L113" s="524"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Data'!$B$4:$G$8,6,FALSE))</f>
        <v/>
      </c>
      <c r="R113" s="513" t="str">
        <f t="shared" si="8"/>
        <v/>
      </c>
      <c r="S113" s="40"/>
      <c r="T113" s="145"/>
      <c r="U113" s="157"/>
      <c r="V113" s="511" t="str">
        <f t="shared" si="9"/>
        <v/>
      </c>
      <c r="W113" s="511" t="str">
        <f t="shared" si="10"/>
        <v/>
      </c>
      <c r="X113" s="511" t="str">
        <f t="shared" si="11"/>
        <v/>
      </c>
      <c r="Y113" s="515"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8" x14ac:dyDescent="0.25">
      <c r="C114" s="141">
        <v>105</v>
      </c>
      <c r="D114" s="462"/>
      <c r="E114" s="153"/>
      <c r="F114" s="498" t="str">
        <f>IF(D114="","",VLOOKUP(D114,'G-7 Rivers Data'!$B$2:$G$8,2,FALSE))</f>
        <v/>
      </c>
      <c r="G114" s="499" t="str">
        <f>IFERROR(VLOOKUP(F114,'G-7 Rivers Data'!$C$4:$D$8,2,FALSE),"")</f>
        <v/>
      </c>
      <c r="H114" s="145"/>
      <c r="I114" s="499" t="str">
        <f>IFERROR(INDEX('G-7 Rivers Data'!$H$4:$L$8,MATCH(D114,'G-7 Rivers Data'!$B$4:$B$8,0),MATCH(H114,'G-7 Rivers Data'!$H$3:$L$3,0)),"")</f>
        <v/>
      </c>
      <c r="J114" s="154"/>
      <c r="K114" s="520" t="str">
        <f>IF(J114="","",IF(VLOOKUP(J114,'G-7 Rivers Data'!$AK$4:$AM$9,2,FALSE)=0,"Spatial Data Missing ⚠",VLOOKUP(J114,'G-7 Rivers Data'!$AK$4:$AM$9,2,FALSE)))</f>
        <v/>
      </c>
      <c r="L114" s="524"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Data'!$B$4:$G$8,6,FALSE))</f>
        <v/>
      </c>
      <c r="R114" s="513" t="str">
        <f t="shared" si="8"/>
        <v/>
      </c>
      <c r="S114" s="40"/>
      <c r="T114" s="145"/>
      <c r="U114" s="157"/>
      <c r="V114" s="511" t="str">
        <f t="shared" si="9"/>
        <v/>
      </c>
      <c r="W114" s="511" t="str">
        <f t="shared" si="10"/>
        <v/>
      </c>
      <c r="X114" s="511" t="str">
        <f t="shared" si="11"/>
        <v/>
      </c>
      <c r="Y114" s="515"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8" x14ac:dyDescent="0.25">
      <c r="C115" s="141">
        <v>106</v>
      </c>
      <c r="D115" s="462"/>
      <c r="E115" s="153"/>
      <c r="F115" s="498" t="str">
        <f>IF(D115="","",VLOOKUP(D115,'G-7 Rivers Data'!$B$2:$G$8,2,FALSE))</f>
        <v/>
      </c>
      <c r="G115" s="499" t="str">
        <f>IFERROR(VLOOKUP(F115,'G-7 Rivers Data'!$C$4:$D$8,2,FALSE),"")</f>
        <v/>
      </c>
      <c r="H115" s="145"/>
      <c r="I115" s="499" t="str">
        <f>IFERROR(INDEX('G-7 Rivers Data'!$H$4:$L$8,MATCH(D115,'G-7 Rivers Data'!$B$4:$B$8,0),MATCH(H115,'G-7 Rivers Data'!$H$3:$L$3,0)),"")</f>
        <v/>
      </c>
      <c r="J115" s="154"/>
      <c r="K115" s="520" t="str">
        <f>IF(J115="","",IF(VLOOKUP(J115,'G-7 Rivers Data'!$AK$4:$AM$9,2,FALSE)=0,"Spatial Data Missing ⚠",VLOOKUP(J115,'G-7 Rivers Data'!$AK$4:$AM$9,2,FALSE)))</f>
        <v/>
      </c>
      <c r="L115" s="524"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Data'!$B$4:$G$8,6,FALSE))</f>
        <v/>
      </c>
      <c r="R115" s="513" t="str">
        <f t="shared" si="8"/>
        <v/>
      </c>
      <c r="S115" s="40"/>
      <c r="T115" s="145"/>
      <c r="U115" s="157"/>
      <c r="V115" s="511" t="str">
        <f t="shared" si="9"/>
        <v/>
      </c>
      <c r="W115" s="511" t="str">
        <f t="shared" si="10"/>
        <v/>
      </c>
      <c r="X115" s="511" t="str">
        <f t="shared" si="11"/>
        <v/>
      </c>
      <c r="Y115" s="515"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8" x14ac:dyDescent="0.25">
      <c r="C116" s="141">
        <v>107</v>
      </c>
      <c r="D116" s="462"/>
      <c r="E116" s="153"/>
      <c r="F116" s="498" t="str">
        <f>IF(D116="","",VLOOKUP(D116,'G-7 Rivers Data'!$B$2:$G$8,2,FALSE))</f>
        <v/>
      </c>
      <c r="G116" s="499" t="str">
        <f>IFERROR(VLOOKUP(F116,'G-7 Rivers Data'!$C$4:$D$8,2,FALSE),"")</f>
        <v/>
      </c>
      <c r="H116" s="145"/>
      <c r="I116" s="499" t="str">
        <f>IFERROR(INDEX('G-7 Rivers Data'!$H$4:$L$8,MATCH(D116,'G-7 Rivers Data'!$B$4:$B$8,0),MATCH(H116,'G-7 Rivers Data'!$H$3:$L$3,0)),"")</f>
        <v/>
      </c>
      <c r="J116" s="154"/>
      <c r="K116" s="520" t="str">
        <f>IF(J116="","",IF(VLOOKUP(J116,'G-7 Rivers Data'!$AK$4:$AM$9,2,FALSE)=0,"Spatial Data Missing ⚠",VLOOKUP(J116,'G-7 Rivers Data'!$AK$4:$AM$9,2,FALSE)))</f>
        <v/>
      </c>
      <c r="L116" s="524"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Data'!$B$4:$G$8,6,FALSE))</f>
        <v/>
      </c>
      <c r="R116" s="513" t="str">
        <f t="shared" si="8"/>
        <v/>
      </c>
      <c r="S116" s="40"/>
      <c r="T116" s="145"/>
      <c r="U116" s="157"/>
      <c r="V116" s="511" t="str">
        <f t="shared" si="9"/>
        <v/>
      </c>
      <c r="W116" s="511" t="str">
        <f t="shared" si="10"/>
        <v/>
      </c>
      <c r="X116" s="511" t="str">
        <f t="shared" si="11"/>
        <v/>
      </c>
      <c r="Y116" s="515"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8" x14ac:dyDescent="0.25">
      <c r="C117" s="141">
        <v>108</v>
      </c>
      <c r="D117" s="462"/>
      <c r="E117" s="153"/>
      <c r="F117" s="498" t="str">
        <f>IF(D117="","",VLOOKUP(D117,'G-7 Rivers Data'!$B$2:$G$8,2,FALSE))</f>
        <v/>
      </c>
      <c r="G117" s="499" t="str">
        <f>IFERROR(VLOOKUP(F117,'G-7 Rivers Data'!$C$4:$D$8,2,FALSE),"")</f>
        <v/>
      </c>
      <c r="H117" s="145"/>
      <c r="I117" s="499" t="str">
        <f>IFERROR(INDEX('G-7 Rivers Data'!$H$4:$L$8,MATCH(D117,'G-7 Rivers Data'!$B$4:$B$8,0),MATCH(H117,'G-7 Rivers Data'!$H$3:$L$3,0)),"")</f>
        <v/>
      </c>
      <c r="J117" s="154"/>
      <c r="K117" s="520" t="str">
        <f>IF(J117="","",IF(VLOOKUP(J117,'G-7 Rivers Data'!$AK$4:$AM$9,2,FALSE)=0,"Spatial Data Missing ⚠",VLOOKUP(J117,'G-7 Rivers Data'!$AK$4:$AM$9,2,FALSE)))</f>
        <v/>
      </c>
      <c r="L117" s="524"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Data'!$B$4:$G$8,6,FALSE))</f>
        <v/>
      </c>
      <c r="R117" s="513" t="str">
        <f t="shared" si="8"/>
        <v/>
      </c>
      <c r="S117" s="40"/>
      <c r="T117" s="145"/>
      <c r="U117" s="157"/>
      <c r="V117" s="511" t="str">
        <f t="shared" si="9"/>
        <v/>
      </c>
      <c r="W117" s="511" t="str">
        <f t="shared" si="10"/>
        <v/>
      </c>
      <c r="X117" s="511" t="str">
        <f t="shared" si="11"/>
        <v/>
      </c>
      <c r="Y117" s="515"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8" x14ac:dyDescent="0.25">
      <c r="C118" s="141">
        <v>109</v>
      </c>
      <c r="D118" s="462"/>
      <c r="E118" s="153"/>
      <c r="F118" s="498" t="str">
        <f>IF(D118="","",VLOOKUP(D118,'G-7 Rivers Data'!$B$2:$G$8,2,FALSE))</f>
        <v/>
      </c>
      <c r="G118" s="499" t="str">
        <f>IFERROR(VLOOKUP(F118,'G-7 Rivers Data'!$C$4:$D$8,2,FALSE),"")</f>
        <v/>
      </c>
      <c r="H118" s="145"/>
      <c r="I118" s="499" t="str">
        <f>IFERROR(INDEX('G-7 Rivers Data'!$H$4:$L$8,MATCH(D118,'G-7 Rivers Data'!$B$4:$B$8,0),MATCH(H118,'G-7 Rivers Data'!$H$3:$L$3,0)),"")</f>
        <v/>
      </c>
      <c r="J118" s="154"/>
      <c r="K118" s="520" t="str">
        <f>IF(J118="","",IF(VLOOKUP(J118,'G-7 Rivers Data'!$AK$4:$AM$9,2,FALSE)=0,"Spatial Data Missing ⚠",VLOOKUP(J118,'G-7 Rivers Data'!$AK$4:$AM$9,2,FALSE)))</f>
        <v/>
      </c>
      <c r="L118" s="524"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Data'!$B$4:$G$8,6,FALSE))</f>
        <v/>
      </c>
      <c r="R118" s="513" t="str">
        <f t="shared" si="8"/>
        <v/>
      </c>
      <c r="S118" s="40"/>
      <c r="T118" s="145"/>
      <c r="U118" s="157"/>
      <c r="V118" s="511" t="str">
        <f t="shared" si="9"/>
        <v/>
      </c>
      <c r="W118" s="511" t="str">
        <f t="shared" si="10"/>
        <v/>
      </c>
      <c r="X118" s="511" t="str">
        <f t="shared" si="11"/>
        <v/>
      </c>
      <c r="Y118" s="515"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8" x14ac:dyDescent="0.25">
      <c r="C119" s="141">
        <v>110</v>
      </c>
      <c r="D119" s="462"/>
      <c r="E119" s="153"/>
      <c r="F119" s="498" t="str">
        <f>IF(D119="","",VLOOKUP(D119,'G-7 Rivers Data'!$B$2:$G$8,2,FALSE))</f>
        <v/>
      </c>
      <c r="G119" s="499" t="str">
        <f>IFERROR(VLOOKUP(F119,'G-7 Rivers Data'!$C$4:$D$8,2,FALSE),"")</f>
        <v/>
      </c>
      <c r="H119" s="145"/>
      <c r="I119" s="499" t="str">
        <f>IFERROR(INDEX('G-7 Rivers Data'!$H$4:$L$8,MATCH(D119,'G-7 Rivers Data'!$B$4:$B$8,0),MATCH(H119,'G-7 Rivers Data'!$H$3:$L$3,0)),"")</f>
        <v/>
      </c>
      <c r="J119" s="154"/>
      <c r="K119" s="520" t="str">
        <f>IF(J119="","",IF(VLOOKUP(J119,'G-7 Rivers Data'!$AK$4:$AM$9,2,FALSE)=0,"Spatial Data Missing ⚠",VLOOKUP(J119,'G-7 Rivers Data'!$AK$4:$AM$9,2,FALSE)))</f>
        <v/>
      </c>
      <c r="L119" s="524"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Data'!$B$4:$G$8,6,FALSE))</f>
        <v/>
      </c>
      <c r="R119" s="513" t="str">
        <f t="shared" si="8"/>
        <v/>
      </c>
      <c r="S119" s="40"/>
      <c r="T119" s="145"/>
      <c r="U119" s="157"/>
      <c r="V119" s="511" t="str">
        <f t="shared" si="9"/>
        <v/>
      </c>
      <c r="W119" s="511" t="str">
        <f t="shared" si="10"/>
        <v/>
      </c>
      <c r="X119" s="511" t="str">
        <f t="shared" si="11"/>
        <v/>
      </c>
      <c r="Y119" s="515"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8" x14ac:dyDescent="0.25">
      <c r="C120" s="141">
        <v>111</v>
      </c>
      <c r="D120" s="462"/>
      <c r="E120" s="153"/>
      <c r="F120" s="498" t="str">
        <f>IF(D120="","",VLOOKUP(D120,'G-7 Rivers Data'!$B$2:$G$8,2,FALSE))</f>
        <v/>
      </c>
      <c r="G120" s="499" t="str">
        <f>IFERROR(VLOOKUP(F120,'G-7 Rivers Data'!$C$4:$D$8,2,FALSE),"")</f>
        <v/>
      </c>
      <c r="H120" s="145"/>
      <c r="I120" s="499" t="str">
        <f>IFERROR(INDEX('G-7 Rivers Data'!$H$4:$L$8,MATCH(D120,'G-7 Rivers Data'!$B$4:$B$8,0),MATCH(H120,'G-7 Rivers Data'!$H$3:$L$3,0)),"")</f>
        <v/>
      </c>
      <c r="J120" s="154"/>
      <c r="K120" s="520" t="str">
        <f>IF(J120="","",IF(VLOOKUP(J120,'G-7 Rivers Data'!$AK$4:$AM$9,2,FALSE)=0,"Spatial Data Missing ⚠",VLOOKUP(J120,'G-7 Rivers Data'!$AK$4:$AM$9,2,FALSE)))</f>
        <v/>
      </c>
      <c r="L120" s="524"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Data'!$B$4:$G$8,6,FALSE))</f>
        <v/>
      </c>
      <c r="R120" s="513" t="str">
        <f t="shared" si="8"/>
        <v/>
      </c>
      <c r="S120" s="40"/>
      <c r="T120" s="145"/>
      <c r="U120" s="157"/>
      <c r="V120" s="511" t="str">
        <f t="shared" si="9"/>
        <v/>
      </c>
      <c r="W120" s="511" t="str">
        <f t="shared" si="10"/>
        <v/>
      </c>
      <c r="X120" s="511" t="str">
        <f t="shared" si="11"/>
        <v/>
      </c>
      <c r="Y120" s="515"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8" x14ac:dyDescent="0.25">
      <c r="C121" s="141">
        <v>112</v>
      </c>
      <c r="D121" s="462"/>
      <c r="E121" s="153"/>
      <c r="F121" s="498" t="str">
        <f>IF(D121="","",VLOOKUP(D121,'G-7 Rivers Data'!$B$2:$G$8,2,FALSE))</f>
        <v/>
      </c>
      <c r="G121" s="499" t="str">
        <f>IFERROR(VLOOKUP(F121,'G-7 Rivers Data'!$C$4:$D$8,2,FALSE),"")</f>
        <v/>
      </c>
      <c r="H121" s="145"/>
      <c r="I121" s="499" t="str">
        <f>IFERROR(INDEX('G-7 Rivers Data'!$H$4:$L$8,MATCH(D121,'G-7 Rivers Data'!$B$4:$B$8,0),MATCH(H121,'G-7 Rivers Data'!$H$3:$L$3,0)),"")</f>
        <v/>
      </c>
      <c r="J121" s="154"/>
      <c r="K121" s="520" t="str">
        <f>IF(J121="","",IF(VLOOKUP(J121,'G-7 Rivers Data'!$AK$4:$AM$9,2,FALSE)=0,"Spatial Data Missing ⚠",VLOOKUP(J121,'G-7 Rivers Data'!$AK$4:$AM$9,2,FALSE)))</f>
        <v/>
      </c>
      <c r="L121" s="524"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Data'!$B$4:$G$8,6,FALSE))</f>
        <v/>
      </c>
      <c r="R121" s="513" t="str">
        <f t="shared" si="8"/>
        <v/>
      </c>
      <c r="S121" s="40"/>
      <c r="T121" s="145"/>
      <c r="U121" s="157"/>
      <c r="V121" s="511" t="str">
        <f t="shared" si="9"/>
        <v/>
      </c>
      <c r="W121" s="511" t="str">
        <f t="shared" si="10"/>
        <v/>
      </c>
      <c r="X121" s="511" t="str">
        <f t="shared" si="11"/>
        <v/>
      </c>
      <c r="Y121" s="515"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8" x14ac:dyDescent="0.25">
      <c r="C122" s="141">
        <v>113</v>
      </c>
      <c r="D122" s="462"/>
      <c r="E122" s="153"/>
      <c r="F122" s="498" t="str">
        <f>IF(D122="","",VLOOKUP(D122,'G-7 Rivers Data'!$B$2:$G$8,2,FALSE))</f>
        <v/>
      </c>
      <c r="G122" s="499" t="str">
        <f>IFERROR(VLOOKUP(F122,'G-7 Rivers Data'!$C$4:$D$8,2,FALSE),"")</f>
        <v/>
      </c>
      <c r="H122" s="145"/>
      <c r="I122" s="499" t="str">
        <f>IFERROR(INDEX('G-7 Rivers Data'!$H$4:$L$8,MATCH(D122,'G-7 Rivers Data'!$B$4:$B$8,0),MATCH(H122,'G-7 Rivers Data'!$H$3:$L$3,0)),"")</f>
        <v/>
      </c>
      <c r="J122" s="154"/>
      <c r="K122" s="520" t="str">
        <f>IF(J122="","",IF(VLOOKUP(J122,'G-7 Rivers Data'!$AK$4:$AM$9,2,FALSE)=0,"Spatial Data Missing ⚠",VLOOKUP(J122,'G-7 Rivers Data'!$AK$4:$AM$9,2,FALSE)))</f>
        <v/>
      </c>
      <c r="L122" s="524"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Data'!$B$4:$G$8,6,FALSE))</f>
        <v/>
      </c>
      <c r="R122" s="513" t="str">
        <f t="shared" si="8"/>
        <v/>
      </c>
      <c r="S122" s="40"/>
      <c r="T122" s="145"/>
      <c r="U122" s="157"/>
      <c r="V122" s="511" t="str">
        <f t="shared" si="9"/>
        <v/>
      </c>
      <c r="W122" s="511" t="str">
        <f t="shared" si="10"/>
        <v/>
      </c>
      <c r="X122" s="511" t="str">
        <f t="shared" si="11"/>
        <v/>
      </c>
      <c r="Y122" s="515"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8" x14ac:dyDescent="0.25">
      <c r="C123" s="141">
        <v>114</v>
      </c>
      <c r="D123" s="462"/>
      <c r="E123" s="153"/>
      <c r="F123" s="498" t="str">
        <f>IF(D123="","",VLOOKUP(D123,'G-7 Rivers Data'!$B$2:$G$8,2,FALSE))</f>
        <v/>
      </c>
      <c r="G123" s="499" t="str">
        <f>IFERROR(VLOOKUP(F123,'G-7 Rivers Data'!$C$4:$D$8,2,FALSE),"")</f>
        <v/>
      </c>
      <c r="H123" s="145"/>
      <c r="I123" s="499" t="str">
        <f>IFERROR(INDEX('G-7 Rivers Data'!$H$4:$L$8,MATCH(D123,'G-7 Rivers Data'!$B$4:$B$8,0),MATCH(H123,'G-7 Rivers Data'!$H$3:$L$3,0)),"")</f>
        <v/>
      </c>
      <c r="J123" s="154"/>
      <c r="K123" s="520" t="str">
        <f>IF(J123="","",IF(VLOOKUP(J123,'G-7 Rivers Data'!$AK$4:$AM$9,2,FALSE)=0,"Spatial Data Missing ⚠",VLOOKUP(J123,'G-7 Rivers Data'!$AK$4:$AM$9,2,FALSE)))</f>
        <v/>
      </c>
      <c r="L123" s="524"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Data'!$B$4:$G$8,6,FALSE))</f>
        <v/>
      </c>
      <c r="R123" s="513" t="str">
        <f t="shared" si="8"/>
        <v/>
      </c>
      <c r="S123" s="40"/>
      <c r="T123" s="145"/>
      <c r="U123" s="157"/>
      <c r="V123" s="511" t="str">
        <f t="shared" si="9"/>
        <v/>
      </c>
      <c r="W123" s="511" t="str">
        <f t="shared" si="10"/>
        <v/>
      </c>
      <c r="X123" s="511" t="str">
        <f t="shared" si="11"/>
        <v/>
      </c>
      <c r="Y123" s="515"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8" x14ac:dyDescent="0.25">
      <c r="C124" s="141">
        <v>115</v>
      </c>
      <c r="D124" s="462"/>
      <c r="E124" s="153"/>
      <c r="F124" s="498" t="str">
        <f>IF(D124="","",VLOOKUP(D124,'G-7 Rivers Data'!$B$2:$G$8,2,FALSE))</f>
        <v/>
      </c>
      <c r="G124" s="499" t="str">
        <f>IFERROR(VLOOKUP(F124,'G-7 Rivers Data'!$C$4:$D$8,2,FALSE),"")</f>
        <v/>
      </c>
      <c r="H124" s="145"/>
      <c r="I124" s="499" t="str">
        <f>IFERROR(INDEX('G-7 Rivers Data'!$H$4:$L$8,MATCH(D124,'G-7 Rivers Data'!$B$4:$B$8,0),MATCH(H124,'G-7 Rivers Data'!$H$3:$L$3,0)),"")</f>
        <v/>
      </c>
      <c r="J124" s="154"/>
      <c r="K124" s="520" t="str">
        <f>IF(J124="","",IF(VLOOKUP(J124,'G-7 Rivers Data'!$AK$4:$AM$9,2,FALSE)=0,"Spatial Data Missing ⚠",VLOOKUP(J124,'G-7 Rivers Data'!$AK$4:$AM$9,2,FALSE)))</f>
        <v/>
      </c>
      <c r="L124" s="524"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Data'!$B$4:$G$8,6,FALSE))</f>
        <v/>
      </c>
      <c r="R124" s="513" t="str">
        <f t="shared" si="8"/>
        <v/>
      </c>
      <c r="S124" s="40"/>
      <c r="T124" s="145"/>
      <c r="U124" s="157"/>
      <c r="V124" s="511" t="str">
        <f t="shared" si="9"/>
        <v/>
      </c>
      <c r="W124" s="511" t="str">
        <f t="shared" si="10"/>
        <v/>
      </c>
      <c r="X124" s="511" t="str">
        <f t="shared" si="11"/>
        <v/>
      </c>
      <c r="Y124" s="515"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8" x14ac:dyDescent="0.25">
      <c r="C125" s="141">
        <v>116</v>
      </c>
      <c r="D125" s="462"/>
      <c r="E125" s="153"/>
      <c r="F125" s="498" t="str">
        <f>IF(D125="","",VLOOKUP(D125,'G-7 Rivers Data'!$B$2:$G$8,2,FALSE))</f>
        <v/>
      </c>
      <c r="G125" s="499" t="str">
        <f>IFERROR(VLOOKUP(F125,'G-7 Rivers Data'!$C$4:$D$8,2,FALSE),"")</f>
        <v/>
      </c>
      <c r="H125" s="145"/>
      <c r="I125" s="499" t="str">
        <f>IFERROR(INDEX('G-7 Rivers Data'!$H$4:$L$8,MATCH(D125,'G-7 Rivers Data'!$B$4:$B$8,0),MATCH(H125,'G-7 Rivers Data'!$H$3:$L$3,0)),"")</f>
        <v/>
      </c>
      <c r="J125" s="154"/>
      <c r="K125" s="520" t="str">
        <f>IF(J125="","",IF(VLOOKUP(J125,'G-7 Rivers Data'!$AK$4:$AM$9,2,FALSE)=0,"Spatial Data Missing ⚠",VLOOKUP(J125,'G-7 Rivers Data'!$AK$4:$AM$9,2,FALSE)))</f>
        <v/>
      </c>
      <c r="L125" s="524"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Data'!$B$4:$G$8,6,FALSE))</f>
        <v/>
      </c>
      <c r="R125" s="513" t="str">
        <f t="shared" si="8"/>
        <v/>
      </c>
      <c r="S125" s="40"/>
      <c r="T125" s="145"/>
      <c r="U125" s="157"/>
      <c r="V125" s="511" t="str">
        <f t="shared" si="9"/>
        <v/>
      </c>
      <c r="W125" s="511" t="str">
        <f t="shared" si="10"/>
        <v/>
      </c>
      <c r="X125" s="511" t="str">
        <f t="shared" si="11"/>
        <v/>
      </c>
      <c r="Y125" s="515"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8" x14ac:dyDescent="0.25">
      <c r="C126" s="141">
        <v>117</v>
      </c>
      <c r="D126" s="462"/>
      <c r="E126" s="153"/>
      <c r="F126" s="498" t="str">
        <f>IF(D126="","",VLOOKUP(D126,'G-7 Rivers Data'!$B$2:$G$8,2,FALSE))</f>
        <v/>
      </c>
      <c r="G126" s="499" t="str">
        <f>IFERROR(VLOOKUP(F126,'G-7 Rivers Data'!$C$4:$D$8,2,FALSE),"")</f>
        <v/>
      </c>
      <c r="H126" s="145"/>
      <c r="I126" s="499" t="str">
        <f>IFERROR(INDEX('G-7 Rivers Data'!$H$4:$L$8,MATCH(D126,'G-7 Rivers Data'!$B$4:$B$8,0),MATCH(H126,'G-7 Rivers Data'!$H$3:$L$3,0)),"")</f>
        <v/>
      </c>
      <c r="J126" s="154"/>
      <c r="K126" s="520" t="str">
        <f>IF(J126="","",IF(VLOOKUP(J126,'G-7 Rivers Data'!$AK$4:$AM$9,2,FALSE)=0,"Spatial Data Missing ⚠",VLOOKUP(J126,'G-7 Rivers Data'!$AK$4:$AM$9,2,FALSE)))</f>
        <v/>
      </c>
      <c r="L126" s="524"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Data'!$B$4:$G$8,6,FALSE))</f>
        <v/>
      </c>
      <c r="R126" s="513" t="str">
        <f t="shared" si="8"/>
        <v/>
      </c>
      <c r="S126" s="40"/>
      <c r="T126" s="145"/>
      <c r="U126" s="157"/>
      <c r="V126" s="511" t="str">
        <f t="shared" si="9"/>
        <v/>
      </c>
      <c r="W126" s="511" t="str">
        <f t="shared" si="10"/>
        <v/>
      </c>
      <c r="X126" s="511" t="str">
        <f t="shared" si="11"/>
        <v/>
      </c>
      <c r="Y126" s="515"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8" x14ac:dyDescent="0.25">
      <c r="C127" s="141">
        <v>118</v>
      </c>
      <c r="D127" s="462"/>
      <c r="E127" s="153"/>
      <c r="F127" s="498" t="str">
        <f>IF(D127="","",VLOOKUP(D127,'G-7 Rivers Data'!$B$2:$G$8,2,FALSE))</f>
        <v/>
      </c>
      <c r="G127" s="499" t="str">
        <f>IFERROR(VLOOKUP(F127,'G-7 Rivers Data'!$C$4:$D$8,2,FALSE),"")</f>
        <v/>
      </c>
      <c r="H127" s="145"/>
      <c r="I127" s="499" t="str">
        <f>IFERROR(INDEX('G-7 Rivers Data'!$H$4:$L$8,MATCH(D127,'G-7 Rivers Data'!$B$4:$B$8,0),MATCH(H127,'G-7 Rivers Data'!$H$3:$L$3,0)),"")</f>
        <v/>
      </c>
      <c r="J127" s="154"/>
      <c r="K127" s="520" t="str">
        <f>IF(J127="","",IF(VLOOKUP(J127,'G-7 Rivers Data'!$AK$4:$AM$9,2,FALSE)=0,"Spatial Data Missing ⚠",VLOOKUP(J127,'G-7 Rivers Data'!$AK$4:$AM$9,2,FALSE)))</f>
        <v/>
      </c>
      <c r="L127" s="524"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Data'!$B$4:$G$8,6,FALSE))</f>
        <v/>
      </c>
      <c r="R127" s="513" t="str">
        <f t="shared" si="8"/>
        <v/>
      </c>
      <c r="S127" s="40"/>
      <c r="T127" s="145"/>
      <c r="U127" s="157"/>
      <c r="V127" s="511" t="str">
        <f t="shared" si="9"/>
        <v/>
      </c>
      <c r="W127" s="511" t="str">
        <f t="shared" si="10"/>
        <v/>
      </c>
      <c r="X127" s="511" t="str">
        <f t="shared" si="11"/>
        <v/>
      </c>
      <c r="Y127" s="515"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8" x14ac:dyDescent="0.25">
      <c r="C128" s="141">
        <v>119</v>
      </c>
      <c r="D128" s="462"/>
      <c r="E128" s="153"/>
      <c r="F128" s="498" t="str">
        <f>IF(D128="","",VLOOKUP(D128,'G-7 Rivers Data'!$B$2:$G$8,2,FALSE))</f>
        <v/>
      </c>
      <c r="G128" s="499" t="str">
        <f>IFERROR(VLOOKUP(F128,'G-7 Rivers Data'!$C$4:$D$8,2,FALSE),"")</f>
        <v/>
      </c>
      <c r="H128" s="145"/>
      <c r="I128" s="499" t="str">
        <f>IFERROR(INDEX('G-7 Rivers Data'!$H$4:$L$8,MATCH(D128,'G-7 Rivers Data'!$B$4:$B$8,0),MATCH(H128,'G-7 Rivers Data'!$H$3:$L$3,0)),"")</f>
        <v/>
      </c>
      <c r="J128" s="154"/>
      <c r="K128" s="520" t="str">
        <f>IF(J128="","",IF(VLOOKUP(J128,'G-7 Rivers Data'!$AK$4:$AM$9,2,FALSE)=0,"Spatial Data Missing ⚠",VLOOKUP(J128,'G-7 Rivers Data'!$AK$4:$AM$9,2,FALSE)))</f>
        <v/>
      </c>
      <c r="L128" s="524"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Data'!$B$4:$G$8,6,FALSE))</f>
        <v/>
      </c>
      <c r="R128" s="513" t="str">
        <f t="shared" si="8"/>
        <v/>
      </c>
      <c r="S128" s="40"/>
      <c r="T128" s="145"/>
      <c r="U128" s="157"/>
      <c r="V128" s="511" t="str">
        <f t="shared" si="9"/>
        <v/>
      </c>
      <c r="W128" s="511" t="str">
        <f t="shared" si="10"/>
        <v/>
      </c>
      <c r="X128" s="511" t="str">
        <f t="shared" si="11"/>
        <v/>
      </c>
      <c r="Y128" s="515"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8" x14ac:dyDescent="0.25">
      <c r="C129" s="141">
        <v>120</v>
      </c>
      <c r="D129" s="462"/>
      <c r="E129" s="153"/>
      <c r="F129" s="498" t="str">
        <f>IF(D129="","",VLOOKUP(D129,'G-7 Rivers Data'!$B$2:$G$8,2,FALSE))</f>
        <v/>
      </c>
      <c r="G129" s="499" t="str">
        <f>IFERROR(VLOOKUP(F129,'G-7 Rivers Data'!$C$4:$D$8,2,FALSE),"")</f>
        <v/>
      </c>
      <c r="H129" s="145"/>
      <c r="I129" s="499" t="str">
        <f>IFERROR(INDEX('G-7 Rivers Data'!$H$4:$L$8,MATCH(D129,'G-7 Rivers Data'!$B$4:$B$8,0),MATCH(H129,'G-7 Rivers Data'!$H$3:$L$3,0)),"")</f>
        <v/>
      </c>
      <c r="J129" s="154"/>
      <c r="K129" s="520" t="str">
        <f>IF(J129="","",IF(VLOOKUP(J129,'G-7 Rivers Data'!$AK$4:$AM$9,2,FALSE)=0,"Spatial Data Missing ⚠",VLOOKUP(J129,'G-7 Rivers Data'!$AK$4:$AM$9,2,FALSE)))</f>
        <v/>
      </c>
      <c r="L129" s="524"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Data'!$B$4:$G$8,6,FALSE))</f>
        <v/>
      </c>
      <c r="R129" s="513" t="str">
        <f t="shared" si="8"/>
        <v/>
      </c>
      <c r="S129" s="40"/>
      <c r="T129" s="145"/>
      <c r="U129" s="157"/>
      <c r="V129" s="511" t="str">
        <f t="shared" si="9"/>
        <v/>
      </c>
      <c r="W129" s="511" t="str">
        <f t="shared" si="10"/>
        <v/>
      </c>
      <c r="X129" s="511" t="str">
        <f t="shared" si="11"/>
        <v/>
      </c>
      <c r="Y129" s="515"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8" x14ac:dyDescent="0.25">
      <c r="C130" s="141">
        <v>121</v>
      </c>
      <c r="D130" s="462"/>
      <c r="E130" s="153"/>
      <c r="F130" s="498" t="str">
        <f>IF(D130="","",VLOOKUP(D130,'G-7 Rivers Data'!$B$2:$G$8,2,FALSE))</f>
        <v/>
      </c>
      <c r="G130" s="499" t="str">
        <f>IFERROR(VLOOKUP(F130,'G-7 Rivers Data'!$C$4:$D$8,2,FALSE),"")</f>
        <v/>
      </c>
      <c r="H130" s="145"/>
      <c r="I130" s="499" t="str">
        <f>IFERROR(INDEX('G-7 Rivers Data'!$H$4:$L$8,MATCH(D130,'G-7 Rivers Data'!$B$4:$B$8,0),MATCH(H130,'G-7 Rivers Data'!$H$3:$L$3,0)),"")</f>
        <v/>
      </c>
      <c r="J130" s="154"/>
      <c r="K130" s="520" t="str">
        <f>IF(J130="","",IF(VLOOKUP(J130,'G-7 Rivers Data'!$AK$4:$AM$9,2,FALSE)=0,"Spatial Data Missing ⚠",VLOOKUP(J130,'G-7 Rivers Data'!$AK$4:$AM$9,2,FALSE)))</f>
        <v/>
      </c>
      <c r="L130" s="524"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Data'!$B$4:$G$8,6,FALSE))</f>
        <v/>
      </c>
      <c r="R130" s="513" t="str">
        <f t="shared" si="8"/>
        <v/>
      </c>
      <c r="S130" s="40"/>
      <c r="T130" s="145"/>
      <c r="U130" s="157"/>
      <c r="V130" s="511" t="str">
        <f t="shared" si="9"/>
        <v/>
      </c>
      <c r="W130" s="511" t="str">
        <f t="shared" si="10"/>
        <v/>
      </c>
      <c r="X130" s="511" t="str">
        <f t="shared" si="11"/>
        <v/>
      </c>
      <c r="Y130" s="515"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8" x14ac:dyDescent="0.25">
      <c r="C131" s="141">
        <v>122</v>
      </c>
      <c r="D131" s="462"/>
      <c r="E131" s="153"/>
      <c r="F131" s="498" t="str">
        <f>IF(D131="","",VLOOKUP(D131,'G-7 Rivers Data'!$B$2:$G$8,2,FALSE))</f>
        <v/>
      </c>
      <c r="G131" s="499" t="str">
        <f>IFERROR(VLOOKUP(F131,'G-7 Rivers Data'!$C$4:$D$8,2,FALSE),"")</f>
        <v/>
      </c>
      <c r="H131" s="145"/>
      <c r="I131" s="499" t="str">
        <f>IFERROR(INDEX('G-7 Rivers Data'!$H$4:$L$8,MATCH(D131,'G-7 Rivers Data'!$B$4:$B$8,0),MATCH(H131,'G-7 Rivers Data'!$H$3:$L$3,0)),"")</f>
        <v/>
      </c>
      <c r="J131" s="154"/>
      <c r="K131" s="520" t="str">
        <f>IF(J131="","",IF(VLOOKUP(J131,'G-7 Rivers Data'!$AK$4:$AM$9,2,FALSE)=0,"Spatial Data Missing ⚠",VLOOKUP(J131,'G-7 Rivers Data'!$AK$4:$AM$9,2,FALSE)))</f>
        <v/>
      </c>
      <c r="L131" s="524"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Data'!$B$4:$G$8,6,FALSE))</f>
        <v/>
      </c>
      <c r="R131" s="513" t="str">
        <f t="shared" si="8"/>
        <v/>
      </c>
      <c r="S131" s="40"/>
      <c r="T131" s="145"/>
      <c r="U131" s="157"/>
      <c r="V131" s="511" t="str">
        <f t="shared" si="9"/>
        <v/>
      </c>
      <c r="W131" s="511" t="str">
        <f t="shared" si="10"/>
        <v/>
      </c>
      <c r="X131" s="511" t="str">
        <f t="shared" si="11"/>
        <v/>
      </c>
      <c r="Y131" s="515"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8" x14ac:dyDescent="0.25">
      <c r="C132" s="141">
        <v>123</v>
      </c>
      <c r="D132" s="462"/>
      <c r="E132" s="153"/>
      <c r="F132" s="498" t="str">
        <f>IF(D132="","",VLOOKUP(D132,'G-7 Rivers Data'!$B$2:$G$8,2,FALSE))</f>
        <v/>
      </c>
      <c r="G132" s="499" t="str">
        <f>IFERROR(VLOOKUP(F132,'G-7 Rivers Data'!$C$4:$D$8,2,FALSE),"")</f>
        <v/>
      </c>
      <c r="H132" s="145"/>
      <c r="I132" s="499" t="str">
        <f>IFERROR(INDEX('G-7 Rivers Data'!$H$4:$L$8,MATCH(D132,'G-7 Rivers Data'!$B$4:$B$8,0),MATCH(H132,'G-7 Rivers Data'!$H$3:$L$3,0)),"")</f>
        <v/>
      </c>
      <c r="J132" s="154"/>
      <c r="K132" s="520" t="str">
        <f>IF(J132="","",IF(VLOOKUP(J132,'G-7 Rivers Data'!$AK$4:$AM$9,2,FALSE)=0,"Spatial Data Missing ⚠",VLOOKUP(J132,'G-7 Rivers Data'!$AK$4:$AM$9,2,FALSE)))</f>
        <v/>
      </c>
      <c r="L132" s="524"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Data'!$B$4:$G$8,6,FALSE))</f>
        <v/>
      </c>
      <c r="R132" s="513" t="str">
        <f t="shared" si="8"/>
        <v/>
      </c>
      <c r="S132" s="40"/>
      <c r="T132" s="145"/>
      <c r="U132" s="157"/>
      <c r="V132" s="511" t="str">
        <f t="shared" si="9"/>
        <v/>
      </c>
      <c r="W132" s="511" t="str">
        <f t="shared" si="10"/>
        <v/>
      </c>
      <c r="X132" s="511" t="str">
        <f t="shared" si="11"/>
        <v/>
      </c>
      <c r="Y132" s="515"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8" x14ac:dyDescent="0.25">
      <c r="C133" s="141">
        <v>124</v>
      </c>
      <c r="D133" s="462"/>
      <c r="E133" s="153"/>
      <c r="F133" s="498" t="str">
        <f>IF(D133="","",VLOOKUP(D133,'G-7 Rivers Data'!$B$2:$G$8,2,FALSE))</f>
        <v/>
      </c>
      <c r="G133" s="499" t="str">
        <f>IFERROR(VLOOKUP(F133,'G-7 Rivers Data'!$C$4:$D$8,2,FALSE),"")</f>
        <v/>
      </c>
      <c r="H133" s="145"/>
      <c r="I133" s="499" t="str">
        <f>IFERROR(INDEX('G-7 Rivers Data'!$H$4:$L$8,MATCH(D133,'G-7 Rivers Data'!$B$4:$B$8,0),MATCH(H133,'G-7 Rivers Data'!$H$3:$L$3,0)),"")</f>
        <v/>
      </c>
      <c r="J133" s="154"/>
      <c r="K133" s="520" t="str">
        <f>IF(J133="","",IF(VLOOKUP(J133,'G-7 Rivers Data'!$AK$4:$AM$9,2,FALSE)=0,"Spatial Data Missing ⚠",VLOOKUP(J133,'G-7 Rivers Data'!$AK$4:$AM$9,2,FALSE)))</f>
        <v/>
      </c>
      <c r="L133" s="524"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Data'!$B$4:$G$8,6,FALSE))</f>
        <v/>
      </c>
      <c r="R133" s="513" t="str">
        <f t="shared" si="8"/>
        <v/>
      </c>
      <c r="S133" s="40"/>
      <c r="T133" s="145"/>
      <c r="U133" s="157"/>
      <c r="V133" s="511" t="str">
        <f t="shared" si="9"/>
        <v/>
      </c>
      <c r="W133" s="511" t="str">
        <f t="shared" si="10"/>
        <v/>
      </c>
      <c r="X133" s="511" t="str">
        <f t="shared" si="11"/>
        <v/>
      </c>
      <c r="Y133" s="515"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8" x14ac:dyDescent="0.25">
      <c r="C134" s="141">
        <v>125</v>
      </c>
      <c r="D134" s="462"/>
      <c r="E134" s="153"/>
      <c r="F134" s="498" t="str">
        <f>IF(D134="","",VLOOKUP(D134,'G-7 Rivers Data'!$B$2:$G$8,2,FALSE))</f>
        <v/>
      </c>
      <c r="G134" s="499" t="str">
        <f>IFERROR(VLOOKUP(F134,'G-7 Rivers Data'!$C$4:$D$8,2,FALSE),"")</f>
        <v/>
      </c>
      <c r="H134" s="145"/>
      <c r="I134" s="499" t="str">
        <f>IFERROR(INDEX('G-7 Rivers Data'!$H$4:$L$8,MATCH(D134,'G-7 Rivers Data'!$B$4:$B$8,0),MATCH(H134,'G-7 Rivers Data'!$H$3:$L$3,0)),"")</f>
        <v/>
      </c>
      <c r="J134" s="154"/>
      <c r="K134" s="520" t="str">
        <f>IF(J134="","",IF(VLOOKUP(J134,'G-7 Rivers Data'!$AK$4:$AM$9,2,FALSE)=0,"Spatial Data Missing ⚠",VLOOKUP(J134,'G-7 Rivers Data'!$AK$4:$AM$9,2,FALSE)))</f>
        <v/>
      </c>
      <c r="L134" s="524"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Data'!$B$4:$G$8,6,FALSE))</f>
        <v/>
      </c>
      <c r="R134" s="513" t="str">
        <f t="shared" si="8"/>
        <v/>
      </c>
      <c r="S134" s="40"/>
      <c r="T134" s="145"/>
      <c r="U134" s="157"/>
      <c r="V134" s="511" t="str">
        <f t="shared" si="9"/>
        <v/>
      </c>
      <c r="W134" s="511" t="str">
        <f t="shared" si="10"/>
        <v/>
      </c>
      <c r="X134" s="511" t="str">
        <f t="shared" si="11"/>
        <v/>
      </c>
      <c r="Y134" s="515"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8" x14ac:dyDescent="0.25">
      <c r="C135" s="141">
        <v>126</v>
      </c>
      <c r="D135" s="462"/>
      <c r="E135" s="153"/>
      <c r="F135" s="498" t="str">
        <f>IF(D135="","",VLOOKUP(D135,'G-7 Rivers Data'!$B$2:$G$8,2,FALSE))</f>
        <v/>
      </c>
      <c r="G135" s="499" t="str">
        <f>IFERROR(VLOOKUP(F135,'G-7 Rivers Data'!$C$4:$D$8,2,FALSE),"")</f>
        <v/>
      </c>
      <c r="H135" s="145"/>
      <c r="I135" s="499" t="str">
        <f>IFERROR(INDEX('G-7 Rivers Data'!$H$4:$L$8,MATCH(D135,'G-7 Rivers Data'!$B$4:$B$8,0),MATCH(H135,'G-7 Rivers Data'!$H$3:$L$3,0)),"")</f>
        <v/>
      </c>
      <c r="J135" s="154"/>
      <c r="K135" s="520" t="str">
        <f>IF(J135="","",IF(VLOOKUP(J135,'G-7 Rivers Data'!$AK$4:$AM$9,2,FALSE)=0,"Spatial Data Missing ⚠",VLOOKUP(J135,'G-7 Rivers Data'!$AK$4:$AM$9,2,FALSE)))</f>
        <v/>
      </c>
      <c r="L135" s="524"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Data'!$B$4:$G$8,6,FALSE))</f>
        <v/>
      </c>
      <c r="R135" s="513" t="str">
        <f t="shared" si="8"/>
        <v/>
      </c>
      <c r="S135" s="40"/>
      <c r="T135" s="145"/>
      <c r="U135" s="157"/>
      <c r="V135" s="511" t="str">
        <f t="shared" si="9"/>
        <v/>
      </c>
      <c r="W135" s="511" t="str">
        <f t="shared" si="10"/>
        <v/>
      </c>
      <c r="X135" s="511" t="str">
        <f t="shared" si="11"/>
        <v/>
      </c>
      <c r="Y135" s="515"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8" x14ac:dyDescent="0.25">
      <c r="C136" s="141">
        <v>127</v>
      </c>
      <c r="D136" s="462"/>
      <c r="E136" s="153"/>
      <c r="F136" s="498" t="str">
        <f>IF(D136="","",VLOOKUP(D136,'G-7 Rivers Data'!$B$2:$G$8,2,FALSE))</f>
        <v/>
      </c>
      <c r="G136" s="499" t="str">
        <f>IFERROR(VLOOKUP(F136,'G-7 Rivers Data'!$C$4:$D$8,2,FALSE),"")</f>
        <v/>
      </c>
      <c r="H136" s="145"/>
      <c r="I136" s="499" t="str">
        <f>IFERROR(INDEX('G-7 Rivers Data'!$H$4:$L$8,MATCH(D136,'G-7 Rivers Data'!$B$4:$B$8,0),MATCH(H136,'G-7 Rivers Data'!$H$3:$L$3,0)),"")</f>
        <v/>
      </c>
      <c r="J136" s="154"/>
      <c r="K136" s="520" t="str">
        <f>IF(J136="","",IF(VLOOKUP(J136,'G-7 Rivers Data'!$AK$4:$AM$9,2,FALSE)=0,"Spatial Data Missing ⚠",VLOOKUP(J136,'G-7 Rivers Data'!$AK$4:$AM$9,2,FALSE)))</f>
        <v/>
      </c>
      <c r="L136" s="524"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Data'!$B$4:$G$8,6,FALSE))</f>
        <v/>
      </c>
      <c r="R136" s="513" t="str">
        <f t="shared" si="8"/>
        <v/>
      </c>
      <c r="S136" s="40"/>
      <c r="T136" s="145"/>
      <c r="U136" s="157"/>
      <c r="V136" s="511" t="str">
        <f t="shared" si="9"/>
        <v/>
      </c>
      <c r="W136" s="511" t="str">
        <f t="shared" si="10"/>
        <v/>
      </c>
      <c r="X136" s="511" t="str">
        <f t="shared" si="11"/>
        <v/>
      </c>
      <c r="Y136" s="515"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8" x14ac:dyDescent="0.25">
      <c r="C137" s="141">
        <v>128</v>
      </c>
      <c r="D137" s="462"/>
      <c r="E137" s="153"/>
      <c r="F137" s="498" t="str">
        <f>IF(D137="","",VLOOKUP(D137,'G-7 Rivers Data'!$B$2:$G$8,2,FALSE))</f>
        <v/>
      </c>
      <c r="G137" s="499" t="str">
        <f>IFERROR(VLOOKUP(F137,'G-7 Rivers Data'!$C$4:$D$8,2,FALSE),"")</f>
        <v/>
      </c>
      <c r="H137" s="145"/>
      <c r="I137" s="499" t="str">
        <f>IFERROR(INDEX('G-7 Rivers Data'!$H$4:$L$8,MATCH(D137,'G-7 Rivers Data'!$B$4:$B$8,0),MATCH(H137,'G-7 Rivers Data'!$H$3:$L$3,0)),"")</f>
        <v/>
      </c>
      <c r="J137" s="154"/>
      <c r="K137" s="520" t="str">
        <f>IF(J137="","",IF(VLOOKUP(J137,'G-7 Rivers Data'!$AK$4:$AM$9,2,FALSE)=0,"Spatial Data Missing ⚠",VLOOKUP(J137,'G-7 Rivers Data'!$AK$4:$AM$9,2,FALSE)))</f>
        <v/>
      </c>
      <c r="L137" s="524"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Data'!$B$4:$G$8,6,FALSE))</f>
        <v/>
      </c>
      <c r="R137" s="513" t="str">
        <f t="shared" si="8"/>
        <v/>
      </c>
      <c r="S137" s="40"/>
      <c r="T137" s="145"/>
      <c r="U137" s="157"/>
      <c r="V137" s="511" t="str">
        <f t="shared" si="9"/>
        <v/>
      </c>
      <c r="W137" s="511" t="str">
        <f t="shared" si="10"/>
        <v/>
      </c>
      <c r="X137" s="511" t="str">
        <f t="shared" si="11"/>
        <v/>
      </c>
      <c r="Y137" s="515"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8" x14ac:dyDescent="0.25">
      <c r="C138" s="141">
        <v>129</v>
      </c>
      <c r="D138" s="462"/>
      <c r="E138" s="153"/>
      <c r="F138" s="498" t="str">
        <f>IF(D138="","",VLOOKUP(D138,'G-7 Rivers Data'!$B$2:$G$8,2,FALSE))</f>
        <v/>
      </c>
      <c r="G138" s="499" t="str">
        <f>IFERROR(VLOOKUP(F138,'G-7 Rivers Data'!$C$4:$D$8,2,FALSE),"")</f>
        <v/>
      </c>
      <c r="H138" s="145"/>
      <c r="I138" s="499" t="str">
        <f>IFERROR(INDEX('G-7 Rivers Data'!$H$4:$L$8,MATCH(D138,'G-7 Rivers Data'!$B$4:$B$8,0),MATCH(H138,'G-7 Rivers Data'!$H$3:$L$3,0)),"")</f>
        <v/>
      </c>
      <c r="J138" s="154"/>
      <c r="K138" s="520" t="str">
        <f>IF(J138="","",IF(VLOOKUP(J138,'G-7 Rivers Data'!$AK$4:$AM$9,2,FALSE)=0,"Spatial Data Missing ⚠",VLOOKUP(J138,'G-7 Rivers Data'!$AK$4:$AM$9,2,FALSE)))</f>
        <v/>
      </c>
      <c r="L138" s="524"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Data'!$B$4:$G$8,6,FALSE))</f>
        <v/>
      </c>
      <c r="R138" s="513" t="str">
        <f t="shared" si="8"/>
        <v/>
      </c>
      <c r="S138" s="40"/>
      <c r="T138" s="145"/>
      <c r="U138" s="157"/>
      <c r="V138" s="511" t="str">
        <f t="shared" si="9"/>
        <v/>
      </c>
      <c r="W138" s="511" t="str">
        <f t="shared" si="10"/>
        <v/>
      </c>
      <c r="X138" s="511" t="str">
        <f t="shared" si="11"/>
        <v/>
      </c>
      <c r="Y138" s="515"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8" x14ac:dyDescent="0.25">
      <c r="C139" s="141">
        <v>130</v>
      </c>
      <c r="D139" s="462"/>
      <c r="E139" s="153"/>
      <c r="F139" s="498" t="str">
        <f>IF(D139="","",VLOOKUP(D139,'G-7 Rivers Data'!$B$2:$G$8,2,FALSE))</f>
        <v/>
      </c>
      <c r="G139" s="499" t="str">
        <f>IFERROR(VLOOKUP(F139,'G-7 Rivers Data'!$C$4:$D$8,2,FALSE),"")</f>
        <v/>
      </c>
      <c r="H139" s="145"/>
      <c r="I139" s="499" t="str">
        <f>IFERROR(INDEX('G-7 Rivers Data'!$H$4:$L$8,MATCH(D139,'G-7 Rivers Data'!$B$4:$B$8,0),MATCH(H139,'G-7 Rivers Data'!$H$3:$L$3,0)),"")</f>
        <v/>
      </c>
      <c r="J139" s="154"/>
      <c r="K139" s="520" t="str">
        <f>IF(J139="","",IF(VLOOKUP(J139,'G-7 Rivers Data'!$AK$4:$AM$9,2,FALSE)=0,"Spatial Data Missing ⚠",VLOOKUP(J139,'G-7 Rivers Data'!$AK$4:$AM$9,2,FALSE)))</f>
        <v/>
      </c>
      <c r="L139" s="524"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Data'!$B$4:$G$8,6,FALSE))</f>
        <v/>
      </c>
      <c r="R139" s="513" t="str">
        <f t="shared" ref="R139:R202" si="16">IFERROR(E139*G139*I139*L139*N139*P139,"")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8" x14ac:dyDescent="0.25">
      <c r="C140" s="141">
        <v>131</v>
      </c>
      <c r="D140" s="462"/>
      <c r="E140" s="153"/>
      <c r="F140" s="498" t="str">
        <f>IF(D140="","",VLOOKUP(D140,'G-7 Rivers Data'!$B$2:$G$8,2,FALSE))</f>
        <v/>
      </c>
      <c r="G140" s="499" t="str">
        <f>IFERROR(VLOOKUP(F140,'G-7 Rivers Data'!$C$4:$D$8,2,FALSE),"")</f>
        <v/>
      </c>
      <c r="H140" s="145"/>
      <c r="I140" s="499" t="str">
        <f>IFERROR(INDEX('G-7 Rivers Data'!$H$4:$L$8,MATCH(D140,'G-7 Rivers Data'!$B$4:$B$8,0),MATCH(H140,'G-7 Rivers Data'!$H$3:$L$3,0)),"")</f>
        <v/>
      </c>
      <c r="J140" s="154"/>
      <c r="K140" s="520" t="str">
        <f>IF(J140="","",IF(VLOOKUP(J140,'G-7 Rivers Data'!$AK$4:$AM$9,2,FALSE)=0,"Spatial Data Missing ⚠",VLOOKUP(J140,'G-7 Rivers Data'!$AK$4:$AM$9,2,FALSE)))</f>
        <v/>
      </c>
      <c r="L140" s="524"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Data'!$B$4:$G$8,6,FALSE))</f>
        <v/>
      </c>
      <c r="R140" s="513" t="str">
        <f t="shared" si="16"/>
        <v/>
      </c>
      <c r="S140" s="40"/>
      <c r="T140" s="145"/>
      <c r="U140" s="157"/>
      <c r="V140" s="511" t="str">
        <f t="shared" si="17"/>
        <v/>
      </c>
      <c r="W140" s="511" t="str">
        <f t="shared" si="18"/>
        <v/>
      </c>
      <c r="X140" s="511" t="str">
        <f t="shared" si="19"/>
        <v/>
      </c>
      <c r="Y140" s="515"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8" x14ac:dyDescent="0.25">
      <c r="C141" s="141">
        <v>132</v>
      </c>
      <c r="D141" s="462"/>
      <c r="E141" s="153"/>
      <c r="F141" s="498" t="str">
        <f>IF(D141="","",VLOOKUP(D141,'G-7 Rivers Data'!$B$2:$G$8,2,FALSE))</f>
        <v/>
      </c>
      <c r="G141" s="499" t="str">
        <f>IFERROR(VLOOKUP(F141,'G-7 Rivers Data'!$C$4:$D$8,2,FALSE),"")</f>
        <v/>
      </c>
      <c r="H141" s="145"/>
      <c r="I141" s="499" t="str">
        <f>IFERROR(INDEX('G-7 Rivers Data'!$H$4:$L$8,MATCH(D141,'G-7 Rivers Data'!$B$4:$B$8,0),MATCH(H141,'G-7 Rivers Data'!$H$3:$L$3,0)),"")</f>
        <v/>
      </c>
      <c r="J141" s="154"/>
      <c r="K141" s="520" t="str">
        <f>IF(J141="","",IF(VLOOKUP(J141,'G-7 Rivers Data'!$AK$4:$AM$9,2,FALSE)=0,"Spatial Data Missing ⚠",VLOOKUP(J141,'G-7 Rivers Data'!$AK$4:$AM$9,2,FALSE)))</f>
        <v/>
      </c>
      <c r="L141" s="524"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Data'!$B$4:$G$8,6,FALSE))</f>
        <v/>
      </c>
      <c r="R141" s="513" t="str">
        <f t="shared" si="16"/>
        <v/>
      </c>
      <c r="S141" s="40"/>
      <c r="T141" s="145"/>
      <c r="U141" s="157"/>
      <c r="V141" s="511" t="str">
        <f t="shared" si="17"/>
        <v/>
      </c>
      <c r="W141" s="511" t="str">
        <f t="shared" si="18"/>
        <v/>
      </c>
      <c r="X141" s="511" t="str">
        <f t="shared" si="19"/>
        <v/>
      </c>
      <c r="Y141" s="515"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8" x14ac:dyDescent="0.25">
      <c r="C142" s="141">
        <v>133</v>
      </c>
      <c r="D142" s="462"/>
      <c r="E142" s="153"/>
      <c r="F142" s="498" t="str">
        <f>IF(D142="","",VLOOKUP(D142,'G-7 Rivers Data'!$B$2:$G$8,2,FALSE))</f>
        <v/>
      </c>
      <c r="G142" s="499" t="str">
        <f>IFERROR(VLOOKUP(F142,'G-7 Rivers Data'!$C$4:$D$8,2,FALSE),"")</f>
        <v/>
      </c>
      <c r="H142" s="145"/>
      <c r="I142" s="499" t="str">
        <f>IFERROR(INDEX('G-7 Rivers Data'!$H$4:$L$8,MATCH(D142,'G-7 Rivers Data'!$B$4:$B$8,0),MATCH(H142,'G-7 Rivers Data'!$H$3:$L$3,0)),"")</f>
        <v/>
      </c>
      <c r="J142" s="154"/>
      <c r="K142" s="520" t="str">
        <f>IF(J142="","",IF(VLOOKUP(J142,'G-7 Rivers Data'!$AK$4:$AM$9,2,FALSE)=0,"Spatial Data Missing ⚠",VLOOKUP(J142,'G-7 Rivers Data'!$AK$4:$AM$9,2,FALSE)))</f>
        <v/>
      </c>
      <c r="L142" s="524"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Data'!$B$4:$G$8,6,FALSE))</f>
        <v/>
      </c>
      <c r="R142" s="513" t="str">
        <f t="shared" si="16"/>
        <v/>
      </c>
      <c r="S142" s="40"/>
      <c r="T142" s="145"/>
      <c r="U142" s="157"/>
      <c r="V142" s="511" t="str">
        <f t="shared" si="17"/>
        <v/>
      </c>
      <c r="W142" s="511" t="str">
        <f t="shared" si="18"/>
        <v/>
      </c>
      <c r="X142" s="511" t="str">
        <f t="shared" si="19"/>
        <v/>
      </c>
      <c r="Y142" s="515"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8" x14ac:dyDescent="0.25">
      <c r="C143" s="141">
        <v>134</v>
      </c>
      <c r="D143" s="462"/>
      <c r="E143" s="153"/>
      <c r="F143" s="498" t="str">
        <f>IF(D143="","",VLOOKUP(D143,'G-7 Rivers Data'!$B$2:$G$8,2,FALSE))</f>
        <v/>
      </c>
      <c r="G143" s="499" t="str">
        <f>IFERROR(VLOOKUP(F143,'G-7 Rivers Data'!$C$4:$D$8,2,FALSE),"")</f>
        <v/>
      </c>
      <c r="H143" s="145"/>
      <c r="I143" s="499" t="str">
        <f>IFERROR(INDEX('G-7 Rivers Data'!$H$4:$L$8,MATCH(D143,'G-7 Rivers Data'!$B$4:$B$8,0),MATCH(H143,'G-7 Rivers Data'!$H$3:$L$3,0)),"")</f>
        <v/>
      </c>
      <c r="J143" s="154"/>
      <c r="K143" s="520" t="str">
        <f>IF(J143="","",IF(VLOOKUP(J143,'G-7 Rivers Data'!$AK$4:$AM$9,2,FALSE)=0,"Spatial Data Missing ⚠",VLOOKUP(J143,'G-7 Rivers Data'!$AK$4:$AM$9,2,FALSE)))</f>
        <v/>
      </c>
      <c r="L143" s="524"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Data'!$B$4:$G$8,6,FALSE))</f>
        <v/>
      </c>
      <c r="R143" s="513" t="str">
        <f t="shared" si="16"/>
        <v/>
      </c>
      <c r="S143" s="40"/>
      <c r="T143" s="145"/>
      <c r="U143" s="157"/>
      <c r="V143" s="511" t="str">
        <f t="shared" si="17"/>
        <v/>
      </c>
      <c r="W143" s="511" t="str">
        <f t="shared" si="18"/>
        <v/>
      </c>
      <c r="X143" s="511" t="str">
        <f t="shared" si="19"/>
        <v/>
      </c>
      <c r="Y143" s="515"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8" x14ac:dyDescent="0.25">
      <c r="C144" s="141">
        <v>135</v>
      </c>
      <c r="D144" s="462"/>
      <c r="E144" s="153"/>
      <c r="F144" s="498" t="str">
        <f>IF(D144="","",VLOOKUP(D144,'G-7 Rivers Data'!$B$2:$G$8,2,FALSE))</f>
        <v/>
      </c>
      <c r="G144" s="499" t="str">
        <f>IFERROR(VLOOKUP(F144,'G-7 Rivers Data'!$C$4:$D$8,2,FALSE),"")</f>
        <v/>
      </c>
      <c r="H144" s="145"/>
      <c r="I144" s="499" t="str">
        <f>IFERROR(INDEX('G-7 Rivers Data'!$H$4:$L$8,MATCH(D144,'G-7 Rivers Data'!$B$4:$B$8,0),MATCH(H144,'G-7 Rivers Data'!$H$3:$L$3,0)),"")</f>
        <v/>
      </c>
      <c r="J144" s="154"/>
      <c r="K144" s="520" t="str">
        <f>IF(J144="","",IF(VLOOKUP(J144,'G-7 Rivers Data'!$AK$4:$AM$9,2,FALSE)=0,"Spatial Data Missing ⚠",VLOOKUP(J144,'G-7 Rivers Data'!$AK$4:$AM$9,2,FALSE)))</f>
        <v/>
      </c>
      <c r="L144" s="524"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Data'!$B$4:$G$8,6,FALSE))</f>
        <v/>
      </c>
      <c r="R144" s="513" t="str">
        <f t="shared" si="16"/>
        <v/>
      </c>
      <c r="S144" s="40"/>
      <c r="T144" s="145"/>
      <c r="U144" s="157"/>
      <c r="V144" s="511" t="str">
        <f t="shared" si="17"/>
        <v/>
      </c>
      <c r="W144" s="511" t="str">
        <f t="shared" si="18"/>
        <v/>
      </c>
      <c r="X144" s="511" t="str">
        <f t="shared" si="19"/>
        <v/>
      </c>
      <c r="Y144" s="515"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8" x14ac:dyDescent="0.25">
      <c r="C145" s="141">
        <v>136</v>
      </c>
      <c r="D145" s="462"/>
      <c r="E145" s="153"/>
      <c r="F145" s="498" t="str">
        <f>IF(D145="","",VLOOKUP(D145,'G-7 Rivers Data'!$B$2:$G$8,2,FALSE))</f>
        <v/>
      </c>
      <c r="G145" s="499" t="str">
        <f>IFERROR(VLOOKUP(F145,'G-7 Rivers Data'!$C$4:$D$8,2,FALSE),"")</f>
        <v/>
      </c>
      <c r="H145" s="145"/>
      <c r="I145" s="499" t="str">
        <f>IFERROR(INDEX('G-7 Rivers Data'!$H$4:$L$8,MATCH(D145,'G-7 Rivers Data'!$B$4:$B$8,0),MATCH(H145,'G-7 Rivers Data'!$H$3:$L$3,0)),"")</f>
        <v/>
      </c>
      <c r="J145" s="154"/>
      <c r="K145" s="520" t="str">
        <f>IF(J145="","",IF(VLOOKUP(J145,'G-7 Rivers Data'!$AK$4:$AM$9,2,FALSE)=0,"Spatial Data Missing ⚠",VLOOKUP(J145,'G-7 Rivers Data'!$AK$4:$AM$9,2,FALSE)))</f>
        <v/>
      </c>
      <c r="L145" s="524"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Data'!$B$4:$G$8,6,FALSE))</f>
        <v/>
      </c>
      <c r="R145" s="513" t="str">
        <f t="shared" si="16"/>
        <v/>
      </c>
      <c r="S145" s="40"/>
      <c r="T145" s="145"/>
      <c r="U145" s="157"/>
      <c r="V145" s="511" t="str">
        <f t="shared" si="17"/>
        <v/>
      </c>
      <c r="W145" s="511" t="str">
        <f t="shared" si="18"/>
        <v/>
      </c>
      <c r="X145" s="511" t="str">
        <f t="shared" si="19"/>
        <v/>
      </c>
      <c r="Y145" s="515"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8" x14ac:dyDescent="0.25">
      <c r="C146" s="141">
        <v>137</v>
      </c>
      <c r="D146" s="462"/>
      <c r="E146" s="153"/>
      <c r="F146" s="498" t="str">
        <f>IF(D146="","",VLOOKUP(D146,'G-7 Rivers Data'!$B$2:$G$8,2,FALSE))</f>
        <v/>
      </c>
      <c r="G146" s="499" t="str">
        <f>IFERROR(VLOOKUP(F146,'G-7 Rivers Data'!$C$4:$D$8,2,FALSE),"")</f>
        <v/>
      </c>
      <c r="H146" s="145"/>
      <c r="I146" s="499" t="str">
        <f>IFERROR(INDEX('G-7 Rivers Data'!$H$4:$L$8,MATCH(D146,'G-7 Rivers Data'!$B$4:$B$8,0),MATCH(H146,'G-7 Rivers Data'!$H$3:$L$3,0)),"")</f>
        <v/>
      </c>
      <c r="J146" s="154"/>
      <c r="K146" s="520" t="str">
        <f>IF(J146="","",IF(VLOOKUP(J146,'G-7 Rivers Data'!$AK$4:$AM$9,2,FALSE)=0,"Spatial Data Missing ⚠",VLOOKUP(J146,'G-7 Rivers Data'!$AK$4:$AM$9,2,FALSE)))</f>
        <v/>
      </c>
      <c r="L146" s="524"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Data'!$B$4:$G$8,6,FALSE))</f>
        <v/>
      </c>
      <c r="R146" s="513" t="str">
        <f t="shared" si="16"/>
        <v/>
      </c>
      <c r="S146" s="40"/>
      <c r="T146" s="145"/>
      <c r="U146" s="157"/>
      <c r="V146" s="511" t="str">
        <f t="shared" si="17"/>
        <v/>
      </c>
      <c r="W146" s="511" t="str">
        <f t="shared" si="18"/>
        <v/>
      </c>
      <c r="X146" s="511" t="str">
        <f t="shared" si="19"/>
        <v/>
      </c>
      <c r="Y146" s="515"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8" x14ac:dyDescent="0.25">
      <c r="C147" s="141">
        <v>138</v>
      </c>
      <c r="D147" s="462"/>
      <c r="E147" s="153"/>
      <c r="F147" s="498" t="str">
        <f>IF(D147="","",VLOOKUP(D147,'G-7 Rivers Data'!$B$2:$G$8,2,FALSE))</f>
        <v/>
      </c>
      <c r="G147" s="499" t="str">
        <f>IFERROR(VLOOKUP(F147,'G-7 Rivers Data'!$C$4:$D$8,2,FALSE),"")</f>
        <v/>
      </c>
      <c r="H147" s="145"/>
      <c r="I147" s="499" t="str">
        <f>IFERROR(INDEX('G-7 Rivers Data'!$H$4:$L$8,MATCH(D147,'G-7 Rivers Data'!$B$4:$B$8,0),MATCH(H147,'G-7 Rivers Data'!$H$3:$L$3,0)),"")</f>
        <v/>
      </c>
      <c r="J147" s="154"/>
      <c r="K147" s="520" t="str">
        <f>IF(J147="","",IF(VLOOKUP(J147,'G-7 Rivers Data'!$AK$4:$AM$9,2,FALSE)=0,"Spatial Data Missing ⚠",VLOOKUP(J147,'G-7 Rivers Data'!$AK$4:$AM$9,2,FALSE)))</f>
        <v/>
      </c>
      <c r="L147" s="524"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Data'!$B$4:$G$8,6,FALSE))</f>
        <v/>
      </c>
      <c r="R147" s="513" t="str">
        <f t="shared" si="16"/>
        <v/>
      </c>
      <c r="S147" s="40"/>
      <c r="T147" s="145"/>
      <c r="U147" s="157"/>
      <c r="V147" s="511" t="str">
        <f t="shared" si="17"/>
        <v/>
      </c>
      <c r="W147" s="511" t="str">
        <f t="shared" si="18"/>
        <v/>
      </c>
      <c r="X147" s="511" t="str">
        <f t="shared" si="19"/>
        <v/>
      </c>
      <c r="Y147" s="515"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8" x14ac:dyDescent="0.25">
      <c r="C148" s="141">
        <v>139</v>
      </c>
      <c r="D148" s="462"/>
      <c r="E148" s="153"/>
      <c r="F148" s="498" t="str">
        <f>IF(D148="","",VLOOKUP(D148,'G-7 Rivers Data'!$B$2:$G$8,2,FALSE))</f>
        <v/>
      </c>
      <c r="G148" s="499" t="str">
        <f>IFERROR(VLOOKUP(F148,'G-7 Rivers Data'!$C$4:$D$8,2,FALSE),"")</f>
        <v/>
      </c>
      <c r="H148" s="145"/>
      <c r="I148" s="499" t="str">
        <f>IFERROR(INDEX('G-7 Rivers Data'!$H$4:$L$8,MATCH(D148,'G-7 Rivers Data'!$B$4:$B$8,0),MATCH(H148,'G-7 Rivers Data'!$H$3:$L$3,0)),"")</f>
        <v/>
      </c>
      <c r="J148" s="154"/>
      <c r="K148" s="520" t="str">
        <f>IF(J148="","",IF(VLOOKUP(J148,'G-7 Rivers Data'!$AK$4:$AM$9,2,FALSE)=0,"Spatial Data Missing ⚠",VLOOKUP(J148,'G-7 Rivers Data'!$AK$4:$AM$9,2,FALSE)))</f>
        <v/>
      </c>
      <c r="L148" s="524"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Data'!$B$4:$G$8,6,FALSE))</f>
        <v/>
      </c>
      <c r="R148" s="513" t="str">
        <f t="shared" si="16"/>
        <v/>
      </c>
      <c r="S148" s="40"/>
      <c r="T148" s="145"/>
      <c r="U148" s="157"/>
      <c r="V148" s="511" t="str">
        <f t="shared" si="17"/>
        <v/>
      </c>
      <c r="W148" s="511" t="str">
        <f t="shared" si="18"/>
        <v/>
      </c>
      <c r="X148" s="511" t="str">
        <f t="shared" si="19"/>
        <v/>
      </c>
      <c r="Y148" s="515"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8" x14ac:dyDescent="0.25">
      <c r="C149" s="141">
        <v>140</v>
      </c>
      <c r="D149" s="462"/>
      <c r="E149" s="153"/>
      <c r="F149" s="498" t="str">
        <f>IF(D149="","",VLOOKUP(D149,'G-7 Rivers Data'!$B$2:$G$8,2,FALSE))</f>
        <v/>
      </c>
      <c r="G149" s="499" t="str">
        <f>IFERROR(VLOOKUP(F149,'G-7 Rivers Data'!$C$4:$D$8,2,FALSE),"")</f>
        <v/>
      </c>
      <c r="H149" s="145"/>
      <c r="I149" s="499" t="str">
        <f>IFERROR(INDEX('G-7 Rivers Data'!$H$4:$L$8,MATCH(D149,'G-7 Rivers Data'!$B$4:$B$8,0),MATCH(H149,'G-7 Rivers Data'!$H$3:$L$3,0)),"")</f>
        <v/>
      </c>
      <c r="J149" s="154"/>
      <c r="K149" s="520" t="str">
        <f>IF(J149="","",IF(VLOOKUP(J149,'G-7 Rivers Data'!$AK$4:$AM$9,2,FALSE)=0,"Spatial Data Missing ⚠",VLOOKUP(J149,'G-7 Rivers Data'!$AK$4:$AM$9,2,FALSE)))</f>
        <v/>
      </c>
      <c r="L149" s="524"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Data'!$B$4:$G$8,6,FALSE))</f>
        <v/>
      </c>
      <c r="R149" s="513" t="str">
        <f t="shared" si="16"/>
        <v/>
      </c>
      <c r="S149" s="40"/>
      <c r="T149" s="145"/>
      <c r="U149" s="157"/>
      <c r="V149" s="511" t="str">
        <f t="shared" si="17"/>
        <v/>
      </c>
      <c r="W149" s="511" t="str">
        <f t="shared" si="18"/>
        <v/>
      </c>
      <c r="X149" s="511" t="str">
        <f t="shared" si="19"/>
        <v/>
      </c>
      <c r="Y149" s="515"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8" x14ac:dyDescent="0.25">
      <c r="C150" s="141">
        <v>141</v>
      </c>
      <c r="D150" s="462"/>
      <c r="E150" s="153"/>
      <c r="F150" s="498" t="str">
        <f>IF(D150="","",VLOOKUP(D150,'G-7 Rivers Data'!$B$2:$G$8,2,FALSE))</f>
        <v/>
      </c>
      <c r="G150" s="499" t="str">
        <f>IFERROR(VLOOKUP(F150,'G-7 Rivers Data'!$C$4:$D$8,2,FALSE),"")</f>
        <v/>
      </c>
      <c r="H150" s="145"/>
      <c r="I150" s="499" t="str">
        <f>IFERROR(INDEX('G-7 Rivers Data'!$H$4:$L$8,MATCH(D150,'G-7 Rivers Data'!$B$4:$B$8,0),MATCH(H150,'G-7 Rivers Data'!$H$3:$L$3,0)),"")</f>
        <v/>
      </c>
      <c r="J150" s="154"/>
      <c r="K150" s="520" t="str">
        <f>IF(J150="","",IF(VLOOKUP(J150,'G-7 Rivers Data'!$AK$4:$AM$9,2,FALSE)=0,"Spatial Data Missing ⚠",VLOOKUP(J150,'G-7 Rivers Data'!$AK$4:$AM$9,2,FALSE)))</f>
        <v/>
      </c>
      <c r="L150" s="524"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Data'!$B$4:$G$8,6,FALSE))</f>
        <v/>
      </c>
      <c r="R150" s="513" t="str">
        <f t="shared" si="16"/>
        <v/>
      </c>
      <c r="S150" s="40"/>
      <c r="T150" s="145"/>
      <c r="U150" s="157"/>
      <c r="V150" s="511" t="str">
        <f t="shared" si="17"/>
        <v/>
      </c>
      <c r="W150" s="511" t="str">
        <f t="shared" si="18"/>
        <v/>
      </c>
      <c r="X150" s="511" t="str">
        <f t="shared" si="19"/>
        <v/>
      </c>
      <c r="Y150" s="515"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8" x14ac:dyDescent="0.25">
      <c r="C151" s="141">
        <v>142</v>
      </c>
      <c r="D151" s="462"/>
      <c r="E151" s="153"/>
      <c r="F151" s="498" t="str">
        <f>IF(D151="","",VLOOKUP(D151,'G-7 Rivers Data'!$B$2:$G$8,2,FALSE))</f>
        <v/>
      </c>
      <c r="G151" s="499" t="str">
        <f>IFERROR(VLOOKUP(F151,'G-7 Rivers Data'!$C$4:$D$8,2,FALSE),"")</f>
        <v/>
      </c>
      <c r="H151" s="145"/>
      <c r="I151" s="499" t="str">
        <f>IFERROR(INDEX('G-7 Rivers Data'!$H$4:$L$8,MATCH(D151,'G-7 Rivers Data'!$B$4:$B$8,0),MATCH(H151,'G-7 Rivers Data'!$H$3:$L$3,0)),"")</f>
        <v/>
      </c>
      <c r="J151" s="154"/>
      <c r="K151" s="520" t="str">
        <f>IF(J151="","",IF(VLOOKUP(J151,'G-7 Rivers Data'!$AK$4:$AM$9,2,FALSE)=0,"Spatial Data Missing ⚠",VLOOKUP(J151,'G-7 Rivers Data'!$AK$4:$AM$9,2,FALSE)))</f>
        <v/>
      </c>
      <c r="L151" s="524"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Data'!$B$4:$G$8,6,FALSE))</f>
        <v/>
      </c>
      <c r="R151" s="513" t="str">
        <f t="shared" si="16"/>
        <v/>
      </c>
      <c r="S151" s="40"/>
      <c r="T151" s="145"/>
      <c r="U151" s="157"/>
      <c r="V151" s="511" t="str">
        <f t="shared" si="17"/>
        <v/>
      </c>
      <c r="W151" s="511" t="str">
        <f t="shared" si="18"/>
        <v/>
      </c>
      <c r="X151" s="511" t="str">
        <f t="shared" si="19"/>
        <v/>
      </c>
      <c r="Y151" s="515"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8" x14ac:dyDescent="0.25">
      <c r="C152" s="141">
        <v>143</v>
      </c>
      <c r="D152" s="462"/>
      <c r="E152" s="153"/>
      <c r="F152" s="498" t="str">
        <f>IF(D152="","",VLOOKUP(D152,'G-7 Rivers Data'!$B$2:$G$8,2,FALSE))</f>
        <v/>
      </c>
      <c r="G152" s="499" t="str">
        <f>IFERROR(VLOOKUP(F152,'G-7 Rivers Data'!$C$4:$D$8,2,FALSE),"")</f>
        <v/>
      </c>
      <c r="H152" s="145"/>
      <c r="I152" s="499" t="str">
        <f>IFERROR(INDEX('G-7 Rivers Data'!$H$4:$L$8,MATCH(D152,'G-7 Rivers Data'!$B$4:$B$8,0),MATCH(H152,'G-7 Rivers Data'!$H$3:$L$3,0)),"")</f>
        <v/>
      </c>
      <c r="J152" s="154"/>
      <c r="K152" s="520" t="str">
        <f>IF(J152="","",IF(VLOOKUP(J152,'G-7 Rivers Data'!$AK$4:$AM$9,2,FALSE)=0,"Spatial Data Missing ⚠",VLOOKUP(J152,'G-7 Rivers Data'!$AK$4:$AM$9,2,FALSE)))</f>
        <v/>
      </c>
      <c r="L152" s="524"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Data'!$B$4:$G$8,6,FALSE))</f>
        <v/>
      </c>
      <c r="R152" s="513" t="str">
        <f t="shared" si="16"/>
        <v/>
      </c>
      <c r="S152" s="40"/>
      <c r="T152" s="145"/>
      <c r="U152" s="157"/>
      <c r="V152" s="511" t="str">
        <f t="shared" si="17"/>
        <v/>
      </c>
      <c r="W152" s="511" t="str">
        <f t="shared" si="18"/>
        <v/>
      </c>
      <c r="X152" s="511" t="str">
        <f t="shared" si="19"/>
        <v/>
      </c>
      <c r="Y152" s="515"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8" x14ac:dyDescent="0.25">
      <c r="C153" s="141">
        <v>144</v>
      </c>
      <c r="D153" s="462"/>
      <c r="E153" s="153"/>
      <c r="F153" s="498" t="str">
        <f>IF(D153="","",VLOOKUP(D153,'G-7 Rivers Data'!$B$2:$G$8,2,FALSE))</f>
        <v/>
      </c>
      <c r="G153" s="499" t="str">
        <f>IFERROR(VLOOKUP(F153,'G-7 Rivers Data'!$C$4:$D$8,2,FALSE),"")</f>
        <v/>
      </c>
      <c r="H153" s="145"/>
      <c r="I153" s="499" t="str">
        <f>IFERROR(INDEX('G-7 Rivers Data'!$H$4:$L$8,MATCH(D153,'G-7 Rivers Data'!$B$4:$B$8,0),MATCH(H153,'G-7 Rivers Data'!$H$3:$L$3,0)),"")</f>
        <v/>
      </c>
      <c r="J153" s="154"/>
      <c r="K153" s="520" t="str">
        <f>IF(J153="","",IF(VLOOKUP(J153,'G-7 Rivers Data'!$AK$4:$AM$9,2,FALSE)=0,"Spatial Data Missing ⚠",VLOOKUP(J153,'G-7 Rivers Data'!$AK$4:$AM$9,2,FALSE)))</f>
        <v/>
      </c>
      <c r="L153" s="524"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Data'!$B$4:$G$8,6,FALSE))</f>
        <v/>
      </c>
      <c r="R153" s="513" t="str">
        <f t="shared" si="16"/>
        <v/>
      </c>
      <c r="S153" s="40"/>
      <c r="T153" s="145"/>
      <c r="U153" s="157"/>
      <c r="V153" s="511" t="str">
        <f t="shared" si="17"/>
        <v/>
      </c>
      <c r="W153" s="511" t="str">
        <f t="shared" si="18"/>
        <v/>
      </c>
      <c r="X153" s="511" t="str">
        <f t="shared" si="19"/>
        <v/>
      </c>
      <c r="Y153" s="515"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8" x14ac:dyDescent="0.25">
      <c r="C154" s="141">
        <v>145</v>
      </c>
      <c r="D154" s="462"/>
      <c r="E154" s="153"/>
      <c r="F154" s="498" t="str">
        <f>IF(D154="","",VLOOKUP(D154,'G-7 Rivers Data'!$B$2:$G$8,2,FALSE))</f>
        <v/>
      </c>
      <c r="G154" s="499" t="str">
        <f>IFERROR(VLOOKUP(F154,'G-7 Rivers Data'!$C$4:$D$8,2,FALSE),"")</f>
        <v/>
      </c>
      <c r="H154" s="145"/>
      <c r="I154" s="499" t="str">
        <f>IFERROR(INDEX('G-7 Rivers Data'!$H$4:$L$8,MATCH(D154,'G-7 Rivers Data'!$B$4:$B$8,0),MATCH(H154,'G-7 Rivers Data'!$H$3:$L$3,0)),"")</f>
        <v/>
      </c>
      <c r="J154" s="154"/>
      <c r="K154" s="520" t="str">
        <f>IF(J154="","",IF(VLOOKUP(J154,'G-7 Rivers Data'!$AK$4:$AM$9,2,FALSE)=0,"Spatial Data Missing ⚠",VLOOKUP(J154,'G-7 Rivers Data'!$AK$4:$AM$9,2,FALSE)))</f>
        <v/>
      </c>
      <c r="L154" s="524"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Data'!$B$4:$G$8,6,FALSE))</f>
        <v/>
      </c>
      <c r="R154" s="513" t="str">
        <f t="shared" si="16"/>
        <v/>
      </c>
      <c r="S154" s="40"/>
      <c r="T154" s="145"/>
      <c r="U154" s="157"/>
      <c r="V154" s="511" t="str">
        <f t="shared" si="17"/>
        <v/>
      </c>
      <c r="W154" s="511" t="str">
        <f t="shared" si="18"/>
        <v/>
      </c>
      <c r="X154" s="511" t="str">
        <f t="shared" si="19"/>
        <v/>
      </c>
      <c r="Y154" s="515"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8" x14ac:dyDescent="0.25">
      <c r="C155" s="141">
        <v>146</v>
      </c>
      <c r="D155" s="462"/>
      <c r="E155" s="153"/>
      <c r="F155" s="498" t="str">
        <f>IF(D155="","",VLOOKUP(D155,'G-7 Rivers Data'!$B$2:$G$8,2,FALSE))</f>
        <v/>
      </c>
      <c r="G155" s="499" t="str">
        <f>IFERROR(VLOOKUP(F155,'G-7 Rivers Data'!$C$4:$D$8,2,FALSE),"")</f>
        <v/>
      </c>
      <c r="H155" s="145"/>
      <c r="I155" s="499" t="str">
        <f>IFERROR(INDEX('G-7 Rivers Data'!$H$4:$L$8,MATCH(D155,'G-7 Rivers Data'!$B$4:$B$8,0),MATCH(H155,'G-7 Rivers Data'!$H$3:$L$3,0)),"")</f>
        <v/>
      </c>
      <c r="J155" s="154"/>
      <c r="K155" s="520" t="str">
        <f>IF(J155="","",IF(VLOOKUP(J155,'G-7 Rivers Data'!$AK$4:$AM$9,2,FALSE)=0,"Spatial Data Missing ⚠",VLOOKUP(J155,'G-7 Rivers Data'!$AK$4:$AM$9,2,FALSE)))</f>
        <v/>
      </c>
      <c r="L155" s="524"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Data'!$B$4:$G$8,6,FALSE))</f>
        <v/>
      </c>
      <c r="R155" s="513" t="str">
        <f t="shared" si="16"/>
        <v/>
      </c>
      <c r="S155" s="40"/>
      <c r="T155" s="145"/>
      <c r="U155" s="157"/>
      <c r="V155" s="511" t="str">
        <f t="shared" si="17"/>
        <v/>
      </c>
      <c r="W155" s="511" t="str">
        <f t="shared" si="18"/>
        <v/>
      </c>
      <c r="X155" s="511" t="str">
        <f t="shared" si="19"/>
        <v/>
      </c>
      <c r="Y155" s="515"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8" x14ac:dyDescent="0.25">
      <c r="C156" s="141">
        <v>147</v>
      </c>
      <c r="D156" s="462"/>
      <c r="E156" s="153"/>
      <c r="F156" s="498" t="str">
        <f>IF(D156="","",VLOOKUP(D156,'G-7 Rivers Data'!$B$2:$G$8,2,FALSE))</f>
        <v/>
      </c>
      <c r="G156" s="499" t="str">
        <f>IFERROR(VLOOKUP(F156,'G-7 Rivers Data'!$C$4:$D$8,2,FALSE),"")</f>
        <v/>
      </c>
      <c r="H156" s="145"/>
      <c r="I156" s="499" t="str">
        <f>IFERROR(INDEX('G-7 Rivers Data'!$H$4:$L$8,MATCH(D156,'G-7 Rivers Data'!$B$4:$B$8,0),MATCH(H156,'G-7 Rivers Data'!$H$3:$L$3,0)),"")</f>
        <v/>
      </c>
      <c r="J156" s="154"/>
      <c r="K156" s="520" t="str">
        <f>IF(J156="","",IF(VLOOKUP(J156,'G-7 Rivers Data'!$AK$4:$AM$9,2,FALSE)=0,"Spatial Data Missing ⚠",VLOOKUP(J156,'G-7 Rivers Data'!$AK$4:$AM$9,2,FALSE)))</f>
        <v/>
      </c>
      <c r="L156" s="524"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Data'!$B$4:$G$8,6,FALSE))</f>
        <v/>
      </c>
      <c r="R156" s="513" t="str">
        <f t="shared" si="16"/>
        <v/>
      </c>
      <c r="S156" s="40"/>
      <c r="T156" s="145"/>
      <c r="U156" s="157"/>
      <c r="V156" s="511" t="str">
        <f t="shared" si="17"/>
        <v/>
      </c>
      <c r="W156" s="511" t="str">
        <f t="shared" si="18"/>
        <v/>
      </c>
      <c r="X156" s="511" t="str">
        <f t="shared" si="19"/>
        <v/>
      </c>
      <c r="Y156" s="515"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8" x14ac:dyDescent="0.25">
      <c r="C157" s="141">
        <v>148</v>
      </c>
      <c r="D157" s="462"/>
      <c r="E157" s="153"/>
      <c r="F157" s="498" t="str">
        <f>IF(D157="","",VLOOKUP(D157,'G-7 Rivers Data'!$B$2:$G$8,2,FALSE))</f>
        <v/>
      </c>
      <c r="G157" s="499" t="str">
        <f>IFERROR(VLOOKUP(F157,'G-7 Rivers Data'!$C$4:$D$8,2,FALSE),"")</f>
        <v/>
      </c>
      <c r="H157" s="145"/>
      <c r="I157" s="499" t="str">
        <f>IFERROR(INDEX('G-7 Rivers Data'!$H$4:$L$8,MATCH(D157,'G-7 Rivers Data'!$B$4:$B$8,0),MATCH(H157,'G-7 Rivers Data'!$H$3:$L$3,0)),"")</f>
        <v/>
      </c>
      <c r="J157" s="154"/>
      <c r="K157" s="520" t="str">
        <f>IF(J157="","",IF(VLOOKUP(J157,'G-7 Rivers Data'!$AK$4:$AM$9,2,FALSE)=0,"Spatial Data Missing ⚠",VLOOKUP(J157,'G-7 Rivers Data'!$AK$4:$AM$9,2,FALSE)))</f>
        <v/>
      </c>
      <c r="L157" s="524"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Data'!$B$4:$G$8,6,FALSE))</f>
        <v/>
      </c>
      <c r="R157" s="513" t="str">
        <f t="shared" si="16"/>
        <v/>
      </c>
      <c r="S157" s="40"/>
      <c r="T157" s="145"/>
      <c r="U157" s="157"/>
      <c r="V157" s="511" t="str">
        <f t="shared" si="17"/>
        <v/>
      </c>
      <c r="W157" s="511" t="str">
        <f t="shared" si="18"/>
        <v/>
      </c>
      <c r="X157" s="511" t="str">
        <f t="shared" si="19"/>
        <v/>
      </c>
      <c r="Y157" s="515"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8" x14ac:dyDescent="0.25">
      <c r="C158" s="141">
        <v>149</v>
      </c>
      <c r="D158" s="462"/>
      <c r="E158" s="153"/>
      <c r="F158" s="498" t="str">
        <f>IF(D158="","",VLOOKUP(D158,'G-7 Rivers Data'!$B$2:$G$8,2,FALSE))</f>
        <v/>
      </c>
      <c r="G158" s="499" t="str">
        <f>IFERROR(VLOOKUP(F158,'G-7 Rivers Data'!$C$4:$D$8,2,FALSE),"")</f>
        <v/>
      </c>
      <c r="H158" s="145"/>
      <c r="I158" s="499" t="str">
        <f>IFERROR(INDEX('G-7 Rivers Data'!$H$4:$L$8,MATCH(D158,'G-7 Rivers Data'!$B$4:$B$8,0),MATCH(H158,'G-7 Rivers Data'!$H$3:$L$3,0)),"")</f>
        <v/>
      </c>
      <c r="J158" s="154"/>
      <c r="K158" s="520" t="str">
        <f>IF(J158="","",IF(VLOOKUP(J158,'G-7 Rivers Data'!$AK$4:$AM$9,2,FALSE)=0,"Spatial Data Missing ⚠",VLOOKUP(J158,'G-7 Rivers Data'!$AK$4:$AM$9,2,FALSE)))</f>
        <v/>
      </c>
      <c r="L158" s="524"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Data'!$B$4:$G$8,6,FALSE))</f>
        <v/>
      </c>
      <c r="R158" s="513" t="str">
        <f t="shared" si="16"/>
        <v/>
      </c>
      <c r="S158" s="40"/>
      <c r="T158" s="145"/>
      <c r="U158" s="157"/>
      <c r="V158" s="511" t="str">
        <f t="shared" si="17"/>
        <v/>
      </c>
      <c r="W158" s="511" t="str">
        <f t="shared" si="18"/>
        <v/>
      </c>
      <c r="X158" s="511" t="str">
        <f t="shared" si="19"/>
        <v/>
      </c>
      <c r="Y158" s="515"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8" x14ac:dyDescent="0.25">
      <c r="C159" s="141">
        <v>150</v>
      </c>
      <c r="D159" s="462"/>
      <c r="E159" s="153"/>
      <c r="F159" s="498" t="str">
        <f>IF(D159="","",VLOOKUP(D159,'G-7 Rivers Data'!$B$2:$G$8,2,FALSE))</f>
        <v/>
      </c>
      <c r="G159" s="499" t="str">
        <f>IFERROR(VLOOKUP(F159,'G-7 Rivers Data'!$C$4:$D$8,2,FALSE),"")</f>
        <v/>
      </c>
      <c r="H159" s="145"/>
      <c r="I159" s="499" t="str">
        <f>IFERROR(INDEX('G-7 Rivers Data'!$H$4:$L$8,MATCH(D159,'G-7 Rivers Data'!$B$4:$B$8,0),MATCH(H159,'G-7 Rivers Data'!$H$3:$L$3,0)),"")</f>
        <v/>
      </c>
      <c r="J159" s="154"/>
      <c r="K159" s="520" t="str">
        <f>IF(J159="","",IF(VLOOKUP(J159,'G-7 Rivers Data'!$AK$4:$AM$9,2,FALSE)=0,"Spatial Data Missing ⚠",VLOOKUP(J159,'G-7 Rivers Data'!$AK$4:$AM$9,2,FALSE)))</f>
        <v/>
      </c>
      <c r="L159" s="524"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Data'!$B$4:$G$8,6,FALSE))</f>
        <v/>
      </c>
      <c r="R159" s="513" t="str">
        <f t="shared" si="16"/>
        <v/>
      </c>
      <c r="S159" s="40"/>
      <c r="T159" s="145"/>
      <c r="U159" s="157"/>
      <c r="V159" s="511" t="str">
        <f t="shared" si="17"/>
        <v/>
      </c>
      <c r="W159" s="511" t="str">
        <f t="shared" si="18"/>
        <v/>
      </c>
      <c r="X159" s="511" t="str">
        <f t="shared" si="19"/>
        <v/>
      </c>
      <c r="Y159" s="515"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8" x14ac:dyDescent="0.25">
      <c r="C160" s="141">
        <v>151</v>
      </c>
      <c r="D160" s="462"/>
      <c r="E160" s="153"/>
      <c r="F160" s="498" t="str">
        <f>IF(D160="","",VLOOKUP(D160,'G-7 Rivers Data'!$B$2:$G$8,2,FALSE))</f>
        <v/>
      </c>
      <c r="G160" s="499" t="str">
        <f>IFERROR(VLOOKUP(F160,'G-7 Rivers Data'!$C$4:$D$8,2,FALSE),"")</f>
        <v/>
      </c>
      <c r="H160" s="145"/>
      <c r="I160" s="499" t="str">
        <f>IFERROR(INDEX('G-7 Rivers Data'!$H$4:$L$8,MATCH(D160,'G-7 Rivers Data'!$B$4:$B$8,0),MATCH(H160,'G-7 Rivers Data'!$H$3:$L$3,0)),"")</f>
        <v/>
      </c>
      <c r="J160" s="154"/>
      <c r="K160" s="520" t="str">
        <f>IF(J160="","",IF(VLOOKUP(J160,'G-7 Rivers Data'!$AK$4:$AM$9,2,FALSE)=0,"Spatial Data Missing ⚠",VLOOKUP(J160,'G-7 Rivers Data'!$AK$4:$AM$9,2,FALSE)))</f>
        <v/>
      </c>
      <c r="L160" s="524"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Data'!$B$4:$G$8,6,FALSE))</f>
        <v/>
      </c>
      <c r="R160" s="513" t="str">
        <f t="shared" si="16"/>
        <v/>
      </c>
      <c r="S160" s="40"/>
      <c r="T160" s="145"/>
      <c r="U160" s="157"/>
      <c r="V160" s="511" t="str">
        <f t="shared" si="17"/>
        <v/>
      </c>
      <c r="W160" s="511" t="str">
        <f t="shared" si="18"/>
        <v/>
      </c>
      <c r="X160" s="511" t="str">
        <f t="shared" si="19"/>
        <v/>
      </c>
      <c r="Y160" s="515"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8" x14ac:dyDescent="0.25">
      <c r="C161" s="141">
        <v>152</v>
      </c>
      <c r="D161" s="462"/>
      <c r="E161" s="153"/>
      <c r="F161" s="498" t="str">
        <f>IF(D161="","",VLOOKUP(D161,'G-7 Rivers Data'!$B$2:$G$8,2,FALSE))</f>
        <v/>
      </c>
      <c r="G161" s="499" t="str">
        <f>IFERROR(VLOOKUP(F161,'G-7 Rivers Data'!$C$4:$D$8,2,FALSE),"")</f>
        <v/>
      </c>
      <c r="H161" s="145"/>
      <c r="I161" s="499" t="str">
        <f>IFERROR(INDEX('G-7 Rivers Data'!$H$4:$L$8,MATCH(D161,'G-7 Rivers Data'!$B$4:$B$8,0),MATCH(H161,'G-7 Rivers Data'!$H$3:$L$3,0)),"")</f>
        <v/>
      </c>
      <c r="J161" s="154"/>
      <c r="K161" s="520" t="str">
        <f>IF(J161="","",IF(VLOOKUP(J161,'G-7 Rivers Data'!$AK$4:$AM$9,2,FALSE)=0,"Spatial Data Missing ⚠",VLOOKUP(J161,'G-7 Rivers Data'!$AK$4:$AM$9,2,FALSE)))</f>
        <v/>
      </c>
      <c r="L161" s="524"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Data'!$B$4:$G$8,6,FALSE))</f>
        <v/>
      </c>
      <c r="R161" s="513" t="str">
        <f t="shared" si="16"/>
        <v/>
      </c>
      <c r="S161" s="40"/>
      <c r="T161" s="145"/>
      <c r="U161" s="157"/>
      <c r="V161" s="511" t="str">
        <f t="shared" si="17"/>
        <v/>
      </c>
      <c r="W161" s="511" t="str">
        <f t="shared" si="18"/>
        <v/>
      </c>
      <c r="X161" s="511" t="str">
        <f t="shared" si="19"/>
        <v/>
      </c>
      <c r="Y161" s="515"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8" x14ac:dyDescent="0.25">
      <c r="C162" s="141">
        <v>153</v>
      </c>
      <c r="D162" s="462"/>
      <c r="E162" s="153"/>
      <c r="F162" s="498" t="str">
        <f>IF(D162="","",VLOOKUP(D162,'G-7 Rivers Data'!$B$2:$G$8,2,FALSE))</f>
        <v/>
      </c>
      <c r="G162" s="499" t="str">
        <f>IFERROR(VLOOKUP(F162,'G-7 Rivers Data'!$C$4:$D$8,2,FALSE),"")</f>
        <v/>
      </c>
      <c r="H162" s="145"/>
      <c r="I162" s="499" t="str">
        <f>IFERROR(INDEX('G-7 Rivers Data'!$H$4:$L$8,MATCH(D162,'G-7 Rivers Data'!$B$4:$B$8,0),MATCH(H162,'G-7 Rivers Data'!$H$3:$L$3,0)),"")</f>
        <v/>
      </c>
      <c r="J162" s="154"/>
      <c r="K162" s="520" t="str">
        <f>IF(J162="","",IF(VLOOKUP(J162,'G-7 Rivers Data'!$AK$4:$AM$9,2,FALSE)=0,"Spatial Data Missing ⚠",VLOOKUP(J162,'G-7 Rivers Data'!$AK$4:$AM$9,2,FALSE)))</f>
        <v/>
      </c>
      <c r="L162" s="524"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Data'!$B$4:$G$8,6,FALSE))</f>
        <v/>
      </c>
      <c r="R162" s="513" t="str">
        <f t="shared" si="16"/>
        <v/>
      </c>
      <c r="S162" s="40"/>
      <c r="T162" s="145"/>
      <c r="U162" s="157"/>
      <c r="V162" s="511" t="str">
        <f t="shared" si="17"/>
        <v/>
      </c>
      <c r="W162" s="511" t="str">
        <f t="shared" si="18"/>
        <v/>
      </c>
      <c r="X162" s="511" t="str">
        <f t="shared" si="19"/>
        <v/>
      </c>
      <c r="Y162" s="515"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8" x14ac:dyDescent="0.25">
      <c r="C163" s="141">
        <v>154</v>
      </c>
      <c r="D163" s="462"/>
      <c r="E163" s="153"/>
      <c r="F163" s="498" t="str">
        <f>IF(D163="","",VLOOKUP(D163,'G-7 Rivers Data'!$B$2:$G$8,2,FALSE))</f>
        <v/>
      </c>
      <c r="G163" s="499" t="str">
        <f>IFERROR(VLOOKUP(F163,'G-7 Rivers Data'!$C$4:$D$8,2,FALSE),"")</f>
        <v/>
      </c>
      <c r="H163" s="145"/>
      <c r="I163" s="499" t="str">
        <f>IFERROR(INDEX('G-7 Rivers Data'!$H$4:$L$8,MATCH(D163,'G-7 Rivers Data'!$B$4:$B$8,0),MATCH(H163,'G-7 Rivers Data'!$H$3:$L$3,0)),"")</f>
        <v/>
      </c>
      <c r="J163" s="154"/>
      <c r="K163" s="520" t="str">
        <f>IF(J163="","",IF(VLOOKUP(J163,'G-7 Rivers Data'!$AK$4:$AM$9,2,FALSE)=0,"Spatial Data Missing ⚠",VLOOKUP(J163,'G-7 Rivers Data'!$AK$4:$AM$9,2,FALSE)))</f>
        <v/>
      </c>
      <c r="L163" s="524"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Data'!$B$4:$G$8,6,FALSE))</f>
        <v/>
      </c>
      <c r="R163" s="513" t="str">
        <f t="shared" si="16"/>
        <v/>
      </c>
      <c r="S163" s="40"/>
      <c r="T163" s="145"/>
      <c r="U163" s="157"/>
      <c r="V163" s="511" t="str">
        <f t="shared" si="17"/>
        <v/>
      </c>
      <c r="W163" s="511" t="str">
        <f t="shared" si="18"/>
        <v/>
      </c>
      <c r="X163" s="511" t="str">
        <f t="shared" si="19"/>
        <v/>
      </c>
      <c r="Y163" s="515"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8" x14ac:dyDescent="0.25">
      <c r="C164" s="141">
        <v>155</v>
      </c>
      <c r="D164" s="462"/>
      <c r="E164" s="153"/>
      <c r="F164" s="498" t="str">
        <f>IF(D164="","",VLOOKUP(D164,'G-7 Rivers Data'!$B$2:$G$8,2,FALSE))</f>
        <v/>
      </c>
      <c r="G164" s="499" t="str">
        <f>IFERROR(VLOOKUP(F164,'G-7 Rivers Data'!$C$4:$D$8,2,FALSE),"")</f>
        <v/>
      </c>
      <c r="H164" s="145"/>
      <c r="I164" s="499" t="str">
        <f>IFERROR(INDEX('G-7 Rivers Data'!$H$4:$L$8,MATCH(D164,'G-7 Rivers Data'!$B$4:$B$8,0),MATCH(H164,'G-7 Rivers Data'!$H$3:$L$3,0)),"")</f>
        <v/>
      </c>
      <c r="J164" s="154"/>
      <c r="K164" s="520" t="str">
        <f>IF(J164="","",IF(VLOOKUP(J164,'G-7 Rivers Data'!$AK$4:$AM$9,2,FALSE)=0,"Spatial Data Missing ⚠",VLOOKUP(J164,'G-7 Rivers Data'!$AK$4:$AM$9,2,FALSE)))</f>
        <v/>
      </c>
      <c r="L164" s="524"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Data'!$B$4:$G$8,6,FALSE))</f>
        <v/>
      </c>
      <c r="R164" s="513" t="str">
        <f t="shared" si="16"/>
        <v/>
      </c>
      <c r="S164" s="40"/>
      <c r="T164" s="145"/>
      <c r="U164" s="157"/>
      <c r="V164" s="511" t="str">
        <f t="shared" si="17"/>
        <v/>
      </c>
      <c r="W164" s="511" t="str">
        <f t="shared" si="18"/>
        <v/>
      </c>
      <c r="X164" s="511" t="str">
        <f t="shared" si="19"/>
        <v/>
      </c>
      <c r="Y164" s="515"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8" x14ac:dyDescent="0.25">
      <c r="C165" s="141">
        <v>156</v>
      </c>
      <c r="D165" s="462"/>
      <c r="E165" s="153"/>
      <c r="F165" s="498" t="str">
        <f>IF(D165="","",VLOOKUP(D165,'G-7 Rivers Data'!$B$2:$G$8,2,FALSE))</f>
        <v/>
      </c>
      <c r="G165" s="499" t="str">
        <f>IFERROR(VLOOKUP(F165,'G-7 Rivers Data'!$C$4:$D$8,2,FALSE),"")</f>
        <v/>
      </c>
      <c r="H165" s="145"/>
      <c r="I165" s="499" t="str">
        <f>IFERROR(INDEX('G-7 Rivers Data'!$H$4:$L$8,MATCH(D165,'G-7 Rivers Data'!$B$4:$B$8,0),MATCH(H165,'G-7 Rivers Data'!$H$3:$L$3,0)),"")</f>
        <v/>
      </c>
      <c r="J165" s="154"/>
      <c r="K165" s="520" t="str">
        <f>IF(J165="","",IF(VLOOKUP(J165,'G-7 Rivers Data'!$AK$4:$AM$9,2,FALSE)=0,"Spatial Data Missing ⚠",VLOOKUP(J165,'G-7 Rivers Data'!$AK$4:$AM$9,2,FALSE)))</f>
        <v/>
      </c>
      <c r="L165" s="524"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Data'!$B$4:$G$8,6,FALSE))</f>
        <v/>
      </c>
      <c r="R165" s="513" t="str">
        <f t="shared" si="16"/>
        <v/>
      </c>
      <c r="S165" s="40"/>
      <c r="T165" s="145"/>
      <c r="U165" s="157"/>
      <c r="V165" s="511" t="str">
        <f t="shared" si="17"/>
        <v/>
      </c>
      <c r="W165" s="511" t="str">
        <f t="shared" si="18"/>
        <v/>
      </c>
      <c r="X165" s="511" t="str">
        <f t="shared" si="19"/>
        <v/>
      </c>
      <c r="Y165" s="515"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8" x14ac:dyDescent="0.25">
      <c r="C166" s="141">
        <v>157</v>
      </c>
      <c r="D166" s="462"/>
      <c r="E166" s="153"/>
      <c r="F166" s="498" t="str">
        <f>IF(D166="","",VLOOKUP(D166,'G-7 Rivers Data'!$B$2:$G$8,2,FALSE))</f>
        <v/>
      </c>
      <c r="G166" s="499" t="str">
        <f>IFERROR(VLOOKUP(F166,'G-7 Rivers Data'!$C$4:$D$8,2,FALSE),"")</f>
        <v/>
      </c>
      <c r="H166" s="145"/>
      <c r="I166" s="499" t="str">
        <f>IFERROR(INDEX('G-7 Rivers Data'!$H$4:$L$8,MATCH(D166,'G-7 Rivers Data'!$B$4:$B$8,0),MATCH(H166,'G-7 Rivers Data'!$H$3:$L$3,0)),"")</f>
        <v/>
      </c>
      <c r="J166" s="154"/>
      <c r="K166" s="520" t="str">
        <f>IF(J166="","",IF(VLOOKUP(J166,'G-7 Rivers Data'!$AK$4:$AM$9,2,FALSE)=0,"Spatial Data Missing ⚠",VLOOKUP(J166,'G-7 Rivers Data'!$AK$4:$AM$9,2,FALSE)))</f>
        <v/>
      </c>
      <c r="L166" s="524"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Data'!$B$4:$G$8,6,FALSE))</f>
        <v/>
      </c>
      <c r="R166" s="513" t="str">
        <f t="shared" si="16"/>
        <v/>
      </c>
      <c r="S166" s="40"/>
      <c r="T166" s="145"/>
      <c r="U166" s="157"/>
      <c r="V166" s="511" t="str">
        <f t="shared" si="17"/>
        <v/>
      </c>
      <c r="W166" s="511" t="str">
        <f t="shared" si="18"/>
        <v/>
      </c>
      <c r="X166" s="511" t="str">
        <f t="shared" si="19"/>
        <v/>
      </c>
      <c r="Y166" s="515"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8" x14ac:dyDescent="0.25">
      <c r="C167" s="141">
        <v>158</v>
      </c>
      <c r="D167" s="462"/>
      <c r="E167" s="153"/>
      <c r="F167" s="498" t="str">
        <f>IF(D167="","",VLOOKUP(D167,'G-7 Rivers Data'!$B$2:$G$8,2,FALSE))</f>
        <v/>
      </c>
      <c r="G167" s="499" t="str">
        <f>IFERROR(VLOOKUP(F167,'G-7 Rivers Data'!$C$4:$D$8,2,FALSE),"")</f>
        <v/>
      </c>
      <c r="H167" s="145"/>
      <c r="I167" s="499" t="str">
        <f>IFERROR(INDEX('G-7 Rivers Data'!$H$4:$L$8,MATCH(D167,'G-7 Rivers Data'!$B$4:$B$8,0),MATCH(H167,'G-7 Rivers Data'!$H$3:$L$3,0)),"")</f>
        <v/>
      </c>
      <c r="J167" s="154"/>
      <c r="K167" s="520" t="str">
        <f>IF(J167="","",IF(VLOOKUP(J167,'G-7 Rivers Data'!$AK$4:$AM$9,2,FALSE)=0,"Spatial Data Missing ⚠",VLOOKUP(J167,'G-7 Rivers Data'!$AK$4:$AM$9,2,FALSE)))</f>
        <v/>
      </c>
      <c r="L167" s="524"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Data'!$B$4:$G$8,6,FALSE))</f>
        <v/>
      </c>
      <c r="R167" s="513" t="str">
        <f t="shared" si="16"/>
        <v/>
      </c>
      <c r="S167" s="40"/>
      <c r="T167" s="145"/>
      <c r="U167" s="157"/>
      <c r="V167" s="511" t="str">
        <f t="shared" si="17"/>
        <v/>
      </c>
      <c r="W167" s="511" t="str">
        <f t="shared" si="18"/>
        <v/>
      </c>
      <c r="X167" s="511" t="str">
        <f t="shared" si="19"/>
        <v/>
      </c>
      <c r="Y167" s="515"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8" x14ac:dyDescent="0.25">
      <c r="C168" s="141">
        <v>159</v>
      </c>
      <c r="D168" s="462"/>
      <c r="E168" s="153"/>
      <c r="F168" s="498" t="str">
        <f>IF(D168="","",VLOOKUP(D168,'G-7 Rivers Data'!$B$2:$G$8,2,FALSE))</f>
        <v/>
      </c>
      <c r="G168" s="499" t="str">
        <f>IFERROR(VLOOKUP(F168,'G-7 Rivers Data'!$C$4:$D$8,2,FALSE),"")</f>
        <v/>
      </c>
      <c r="H168" s="145"/>
      <c r="I168" s="499" t="str">
        <f>IFERROR(INDEX('G-7 Rivers Data'!$H$4:$L$8,MATCH(D168,'G-7 Rivers Data'!$B$4:$B$8,0),MATCH(H168,'G-7 Rivers Data'!$H$3:$L$3,0)),"")</f>
        <v/>
      </c>
      <c r="J168" s="154"/>
      <c r="K168" s="520" t="str">
        <f>IF(J168="","",IF(VLOOKUP(J168,'G-7 Rivers Data'!$AK$4:$AM$9,2,FALSE)=0,"Spatial Data Missing ⚠",VLOOKUP(J168,'G-7 Rivers Data'!$AK$4:$AM$9,2,FALSE)))</f>
        <v/>
      </c>
      <c r="L168" s="524"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Data'!$B$4:$G$8,6,FALSE))</f>
        <v/>
      </c>
      <c r="R168" s="513" t="str">
        <f t="shared" si="16"/>
        <v/>
      </c>
      <c r="S168" s="40"/>
      <c r="T168" s="145"/>
      <c r="U168" s="157"/>
      <c r="V168" s="511" t="str">
        <f t="shared" si="17"/>
        <v/>
      </c>
      <c r="W168" s="511" t="str">
        <f t="shared" si="18"/>
        <v/>
      </c>
      <c r="X168" s="511" t="str">
        <f t="shared" si="19"/>
        <v/>
      </c>
      <c r="Y168" s="515"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8" x14ac:dyDescent="0.25">
      <c r="C169" s="141">
        <v>160</v>
      </c>
      <c r="D169" s="462"/>
      <c r="E169" s="153"/>
      <c r="F169" s="498" t="str">
        <f>IF(D169="","",VLOOKUP(D169,'G-7 Rivers Data'!$B$2:$G$8,2,FALSE))</f>
        <v/>
      </c>
      <c r="G169" s="499" t="str">
        <f>IFERROR(VLOOKUP(F169,'G-7 Rivers Data'!$C$4:$D$8,2,FALSE),"")</f>
        <v/>
      </c>
      <c r="H169" s="145"/>
      <c r="I169" s="499" t="str">
        <f>IFERROR(INDEX('G-7 Rivers Data'!$H$4:$L$8,MATCH(D169,'G-7 Rivers Data'!$B$4:$B$8,0),MATCH(H169,'G-7 Rivers Data'!$H$3:$L$3,0)),"")</f>
        <v/>
      </c>
      <c r="J169" s="154"/>
      <c r="K169" s="520" t="str">
        <f>IF(J169="","",IF(VLOOKUP(J169,'G-7 Rivers Data'!$AK$4:$AM$9,2,FALSE)=0,"Spatial Data Missing ⚠",VLOOKUP(J169,'G-7 Rivers Data'!$AK$4:$AM$9,2,FALSE)))</f>
        <v/>
      </c>
      <c r="L169" s="524"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Data'!$B$4:$G$8,6,FALSE))</f>
        <v/>
      </c>
      <c r="R169" s="513" t="str">
        <f t="shared" si="16"/>
        <v/>
      </c>
      <c r="S169" s="40"/>
      <c r="T169" s="145"/>
      <c r="U169" s="157"/>
      <c r="V169" s="511" t="str">
        <f t="shared" si="17"/>
        <v/>
      </c>
      <c r="W169" s="511" t="str">
        <f t="shared" si="18"/>
        <v/>
      </c>
      <c r="X169" s="511" t="str">
        <f t="shared" si="19"/>
        <v/>
      </c>
      <c r="Y169" s="515"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8" x14ac:dyDescent="0.25">
      <c r="C170" s="141">
        <v>161</v>
      </c>
      <c r="D170" s="462"/>
      <c r="E170" s="153"/>
      <c r="F170" s="498" t="str">
        <f>IF(D170="","",VLOOKUP(D170,'G-7 Rivers Data'!$B$2:$G$8,2,FALSE))</f>
        <v/>
      </c>
      <c r="G170" s="499" t="str">
        <f>IFERROR(VLOOKUP(F170,'G-7 Rivers Data'!$C$4:$D$8,2,FALSE),"")</f>
        <v/>
      </c>
      <c r="H170" s="145"/>
      <c r="I170" s="499" t="str">
        <f>IFERROR(INDEX('G-7 Rivers Data'!$H$4:$L$8,MATCH(D170,'G-7 Rivers Data'!$B$4:$B$8,0),MATCH(H170,'G-7 Rivers Data'!$H$3:$L$3,0)),"")</f>
        <v/>
      </c>
      <c r="J170" s="154"/>
      <c r="K170" s="520" t="str">
        <f>IF(J170="","",IF(VLOOKUP(J170,'G-7 Rivers Data'!$AK$4:$AM$9,2,FALSE)=0,"Spatial Data Missing ⚠",VLOOKUP(J170,'G-7 Rivers Data'!$AK$4:$AM$9,2,FALSE)))</f>
        <v/>
      </c>
      <c r="L170" s="524"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Data'!$B$4:$G$8,6,FALSE))</f>
        <v/>
      </c>
      <c r="R170" s="513" t="str">
        <f t="shared" si="16"/>
        <v/>
      </c>
      <c r="S170" s="40"/>
      <c r="T170" s="145"/>
      <c r="U170" s="157"/>
      <c r="V170" s="511" t="str">
        <f t="shared" si="17"/>
        <v/>
      </c>
      <c r="W170" s="511" t="str">
        <f t="shared" si="18"/>
        <v/>
      </c>
      <c r="X170" s="511" t="str">
        <f t="shared" si="19"/>
        <v/>
      </c>
      <c r="Y170" s="515"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8" x14ac:dyDescent="0.25">
      <c r="C171" s="141">
        <v>162</v>
      </c>
      <c r="D171" s="462"/>
      <c r="E171" s="153"/>
      <c r="F171" s="498" t="str">
        <f>IF(D171="","",VLOOKUP(D171,'G-7 Rivers Data'!$B$2:$G$8,2,FALSE))</f>
        <v/>
      </c>
      <c r="G171" s="499" t="str">
        <f>IFERROR(VLOOKUP(F171,'G-7 Rivers Data'!$C$4:$D$8,2,FALSE),"")</f>
        <v/>
      </c>
      <c r="H171" s="145"/>
      <c r="I171" s="499" t="str">
        <f>IFERROR(INDEX('G-7 Rivers Data'!$H$4:$L$8,MATCH(D171,'G-7 Rivers Data'!$B$4:$B$8,0),MATCH(H171,'G-7 Rivers Data'!$H$3:$L$3,0)),"")</f>
        <v/>
      </c>
      <c r="J171" s="154"/>
      <c r="K171" s="520" t="str">
        <f>IF(J171="","",IF(VLOOKUP(J171,'G-7 Rivers Data'!$AK$4:$AM$9,2,FALSE)=0,"Spatial Data Missing ⚠",VLOOKUP(J171,'G-7 Rivers Data'!$AK$4:$AM$9,2,FALSE)))</f>
        <v/>
      </c>
      <c r="L171" s="524"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Data'!$B$4:$G$8,6,FALSE))</f>
        <v/>
      </c>
      <c r="R171" s="513" t="str">
        <f t="shared" si="16"/>
        <v/>
      </c>
      <c r="S171" s="40"/>
      <c r="T171" s="145"/>
      <c r="U171" s="157"/>
      <c r="V171" s="511" t="str">
        <f t="shared" si="17"/>
        <v/>
      </c>
      <c r="W171" s="511" t="str">
        <f t="shared" si="18"/>
        <v/>
      </c>
      <c r="X171" s="511" t="str">
        <f t="shared" si="19"/>
        <v/>
      </c>
      <c r="Y171" s="515"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8" x14ac:dyDescent="0.25">
      <c r="C172" s="141">
        <v>163</v>
      </c>
      <c r="D172" s="462"/>
      <c r="E172" s="153"/>
      <c r="F172" s="498" t="str">
        <f>IF(D172="","",VLOOKUP(D172,'G-7 Rivers Data'!$B$2:$G$8,2,FALSE))</f>
        <v/>
      </c>
      <c r="G172" s="499" t="str">
        <f>IFERROR(VLOOKUP(F172,'G-7 Rivers Data'!$C$4:$D$8,2,FALSE),"")</f>
        <v/>
      </c>
      <c r="H172" s="145"/>
      <c r="I172" s="499" t="str">
        <f>IFERROR(INDEX('G-7 Rivers Data'!$H$4:$L$8,MATCH(D172,'G-7 Rivers Data'!$B$4:$B$8,0),MATCH(H172,'G-7 Rivers Data'!$H$3:$L$3,0)),"")</f>
        <v/>
      </c>
      <c r="J172" s="154"/>
      <c r="K172" s="520" t="str">
        <f>IF(J172="","",IF(VLOOKUP(J172,'G-7 Rivers Data'!$AK$4:$AM$9,2,FALSE)=0,"Spatial Data Missing ⚠",VLOOKUP(J172,'G-7 Rivers Data'!$AK$4:$AM$9,2,FALSE)))</f>
        <v/>
      </c>
      <c r="L172" s="524"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Data'!$B$4:$G$8,6,FALSE))</f>
        <v/>
      </c>
      <c r="R172" s="513" t="str">
        <f t="shared" si="16"/>
        <v/>
      </c>
      <c r="S172" s="40"/>
      <c r="T172" s="145"/>
      <c r="U172" s="157"/>
      <c r="V172" s="511" t="str">
        <f t="shared" si="17"/>
        <v/>
      </c>
      <c r="W172" s="511" t="str">
        <f t="shared" si="18"/>
        <v/>
      </c>
      <c r="X172" s="511" t="str">
        <f t="shared" si="19"/>
        <v/>
      </c>
      <c r="Y172" s="515"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8" x14ac:dyDescent="0.25">
      <c r="C173" s="141">
        <v>164</v>
      </c>
      <c r="D173" s="462"/>
      <c r="E173" s="153"/>
      <c r="F173" s="498" t="str">
        <f>IF(D173="","",VLOOKUP(D173,'G-7 Rivers Data'!$B$2:$G$8,2,FALSE))</f>
        <v/>
      </c>
      <c r="G173" s="499" t="str">
        <f>IFERROR(VLOOKUP(F173,'G-7 Rivers Data'!$C$4:$D$8,2,FALSE),"")</f>
        <v/>
      </c>
      <c r="H173" s="145"/>
      <c r="I173" s="499" t="str">
        <f>IFERROR(INDEX('G-7 Rivers Data'!$H$4:$L$8,MATCH(D173,'G-7 Rivers Data'!$B$4:$B$8,0),MATCH(H173,'G-7 Rivers Data'!$H$3:$L$3,0)),"")</f>
        <v/>
      </c>
      <c r="J173" s="154"/>
      <c r="K173" s="520" t="str">
        <f>IF(J173="","",IF(VLOOKUP(J173,'G-7 Rivers Data'!$AK$4:$AM$9,2,FALSE)=0,"Spatial Data Missing ⚠",VLOOKUP(J173,'G-7 Rivers Data'!$AK$4:$AM$9,2,FALSE)))</f>
        <v/>
      </c>
      <c r="L173" s="524"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Data'!$B$4:$G$8,6,FALSE))</f>
        <v/>
      </c>
      <c r="R173" s="513" t="str">
        <f t="shared" si="16"/>
        <v/>
      </c>
      <c r="S173" s="40"/>
      <c r="T173" s="145"/>
      <c r="U173" s="157"/>
      <c r="V173" s="511" t="str">
        <f t="shared" si="17"/>
        <v/>
      </c>
      <c r="W173" s="511" t="str">
        <f t="shared" si="18"/>
        <v/>
      </c>
      <c r="X173" s="511" t="str">
        <f t="shared" si="19"/>
        <v/>
      </c>
      <c r="Y173" s="515"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8" x14ac:dyDescent="0.25">
      <c r="C174" s="141">
        <v>165</v>
      </c>
      <c r="D174" s="462"/>
      <c r="E174" s="153"/>
      <c r="F174" s="498" t="str">
        <f>IF(D174="","",VLOOKUP(D174,'G-7 Rivers Data'!$B$2:$G$8,2,FALSE))</f>
        <v/>
      </c>
      <c r="G174" s="499" t="str">
        <f>IFERROR(VLOOKUP(F174,'G-7 Rivers Data'!$C$4:$D$8,2,FALSE),"")</f>
        <v/>
      </c>
      <c r="H174" s="145"/>
      <c r="I174" s="499" t="str">
        <f>IFERROR(INDEX('G-7 Rivers Data'!$H$4:$L$8,MATCH(D174,'G-7 Rivers Data'!$B$4:$B$8,0),MATCH(H174,'G-7 Rivers Data'!$H$3:$L$3,0)),"")</f>
        <v/>
      </c>
      <c r="J174" s="154"/>
      <c r="K174" s="520" t="str">
        <f>IF(J174="","",IF(VLOOKUP(J174,'G-7 Rivers Data'!$AK$4:$AM$9,2,FALSE)=0,"Spatial Data Missing ⚠",VLOOKUP(J174,'G-7 Rivers Data'!$AK$4:$AM$9,2,FALSE)))</f>
        <v/>
      </c>
      <c r="L174" s="524"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Data'!$B$4:$G$8,6,FALSE))</f>
        <v/>
      </c>
      <c r="R174" s="513" t="str">
        <f t="shared" si="16"/>
        <v/>
      </c>
      <c r="S174" s="40"/>
      <c r="T174" s="145"/>
      <c r="U174" s="157"/>
      <c r="V174" s="511" t="str">
        <f t="shared" si="17"/>
        <v/>
      </c>
      <c r="W174" s="511" t="str">
        <f t="shared" si="18"/>
        <v/>
      </c>
      <c r="X174" s="511" t="str">
        <f t="shared" si="19"/>
        <v/>
      </c>
      <c r="Y174" s="515"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8" x14ac:dyDescent="0.25">
      <c r="C175" s="141">
        <v>166</v>
      </c>
      <c r="D175" s="462"/>
      <c r="E175" s="153"/>
      <c r="F175" s="498" t="str">
        <f>IF(D175="","",VLOOKUP(D175,'G-7 Rivers Data'!$B$2:$G$8,2,FALSE))</f>
        <v/>
      </c>
      <c r="G175" s="499" t="str">
        <f>IFERROR(VLOOKUP(F175,'G-7 Rivers Data'!$C$4:$D$8,2,FALSE),"")</f>
        <v/>
      </c>
      <c r="H175" s="145"/>
      <c r="I175" s="499" t="str">
        <f>IFERROR(INDEX('G-7 Rivers Data'!$H$4:$L$8,MATCH(D175,'G-7 Rivers Data'!$B$4:$B$8,0),MATCH(H175,'G-7 Rivers Data'!$H$3:$L$3,0)),"")</f>
        <v/>
      </c>
      <c r="J175" s="154"/>
      <c r="K175" s="520" t="str">
        <f>IF(J175="","",IF(VLOOKUP(J175,'G-7 Rivers Data'!$AK$4:$AM$9,2,FALSE)=0,"Spatial Data Missing ⚠",VLOOKUP(J175,'G-7 Rivers Data'!$AK$4:$AM$9,2,FALSE)))</f>
        <v/>
      </c>
      <c r="L175" s="524"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Data'!$B$4:$G$8,6,FALSE))</f>
        <v/>
      </c>
      <c r="R175" s="513" t="str">
        <f t="shared" si="16"/>
        <v/>
      </c>
      <c r="S175" s="40"/>
      <c r="T175" s="145"/>
      <c r="U175" s="157"/>
      <c r="V175" s="511" t="str">
        <f t="shared" si="17"/>
        <v/>
      </c>
      <c r="W175" s="511" t="str">
        <f t="shared" si="18"/>
        <v/>
      </c>
      <c r="X175" s="511" t="str">
        <f t="shared" si="19"/>
        <v/>
      </c>
      <c r="Y175" s="515"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8" x14ac:dyDescent="0.25">
      <c r="C176" s="141">
        <v>167</v>
      </c>
      <c r="D176" s="462"/>
      <c r="E176" s="153"/>
      <c r="F176" s="498" t="str">
        <f>IF(D176="","",VLOOKUP(D176,'G-7 Rivers Data'!$B$2:$G$8,2,FALSE))</f>
        <v/>
      </c>
      <c r="G176" s="499" t="str">
        <f>IFERROR(VLOOKUP(F176,'G-7 Rivers Data'!$C$4:$D$8,2,FALSE),"")</f>
        <v/>
      </c>
      <c r="H176" s="145"/>
      <c r="I176" s="499" t="str">
        <f>IFERROR(INDEX('G-7 Rivers Data'!$H$4:$L$8,MATCH(D176,'G-7 Rivers Data'!$B$4:$B$8,0),MATCH(H176,'G-7 Rivers Data'!$H$3:$L$3,0)),"")</f>
        <v/>
      </c>
      <c r="J176" s="154"/>
      <c r="K176" s="520" t="str">
        <f>IF(J176="","",IF(VLOOKUP(J176,'G-7 Rivers Data'!$AK$4:$AM$9,2,FALSE)=0,"Spatial Data Missing ⚠",VLOOKUP(J176,'G-7 Rivers Data'!$AK$4:$AM$9,2,FALSE)))</f>
        <v/>
      </c>
      <c r="L176" s="524"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Data'!$B$4:$G$8,6,FALSE))</f>
        <v/>
      </c>
      <c r="R176" s="513" t="str">
        <f t="shared" si="16"/>
        <v/>
      </c>
      <c r="S176" s="40"/>
      <c r="T176" s="145"/>
      <c r="U176" s="157"/>
      <c r="V176" s="511" t="str">
        <f t="shared" si="17"/>
        <v/>
      </c>
      <c r="W176" s="511" t="str">
        <f t="shared" si="18"/>
        <v/>
      </c>
      <c r="X176" s="511" t="str">
        <f t="shared" si="19"/>
        <v/>
      </c>
      <c r="Y176" s="515"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8" x14ac:dyDescent="0.25">
      <c r="C177" s="141">
        <v>168</v>
      </c>
      <c r="D177" s="462"/>
      <c r="E177" s="153"/>
      <c r="F177" s="498" t="str">
        <f>IF(D177="","",VLOOKUP(D177,'G-7 Rivers Data'!$B$2:$G$8,2,FALSE))</f>
        <v/>
      </c>
      <c r="G177" s="499" t="str">
        <f>IFERROR(VLOOKUP(F177,'G-7 Rivers Data'!$C$4:$D$8,2,FALSE),"")</f>
        <v/>
      </c>
      <c r="H177" s="145"/>
      <c r="I177" s="499" t="str">
        <f>IFERROR(INDEX('G-7 Rivers Data'!$H$4:$L$8,MATCH(D177,'G-7 Rivers Data'!$B$4:$B$8,0),MATCH(H177,'G-7 Rivers Data'!$H$3:$L$3,0)),"")</f>
        <v/>
      </c>
      <c r="J177" s="154"/>
      <c r="K177" s="520" t="str">
        <f>IF(J177="","",IF(VLOOKUP(J177,'G-7 Rivers Data'!$AK$4:$AM$9,2,FALSE)=0,"Spatial Data Missing ⚠",VLOOKUP(J177,'G-7 Rivers Data'!$AK$4:$AM$9,2,FALSE)))</f>
        <v/>
      </c>
      <c r="L177" s="524"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Data'!$B$4:$G$8,6,FALSE))</f>
        <v/>
      </c>
      <c r="R177" s="513" t="str">
        <f t="shared" si="16"/>
        <v/>
      </c>
      <c r="S177" s="40"/>
      <c r="T177" s="145"/>
      <c r="U177" s="157"/>
      <c r="V177" s="511" t="str">
        <f t="shared" si="17"/>
        <v/>
      </c>
      <c r="W177" s="511" t="str">
        <f t="shared" si="18"/>
        <v/>
      </c>
      <c r="X177" s="511" t="str">
        <f t="shared" si="19"/>
        <v/>
      </c>
      <c r="Y177" s="515"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8" x14ac:dyDescent="0.25">
      <c r="C178" s="141">
        <v>169</v>
      </c>
      <c r="D178" s="462"/>
      <c r="E178" s="153"/>
      <c r="F178" s="498" t="str">
        <f>IF(D178="","",VLOOKUP(D178,'G-7 Rivers Data'!$B$2:$G$8,2,FALSE))</f>
        <v/>
      </c>
      <c r="G178" s="499" t="str">
        <f>IFERROR(VLOOKUP(F178,'G-7 Rivers Data'!$C$4:$D$8,2,FALSE),"")</f>
        <v/>
      </c>
      <c r="H178" s="145"/>
      <c r="I178" s="499" t="str">
        <f>IFERROR(INDEX('G-7 Rivers Data'!$H$4:$L$8,MATCH(D178,'G-7 Rivers Data'!$B$4:$B$8,0),MATCH(H178,'G-7 Rivers Data'!$H$3:$L$3,0)),"")</f>
        <v/>
      </c>
      <c r="J178" s="154"/>
      <c r="K178" s="520" t="str">
        <f>IF(J178="","",IF(VLOOKUP(J178,'G-7 Rivers Data'!$AK$4:$AM$9,2,FALSE)=0,"Spatial Data Missing ⚠",VLOOKUP(J178,'G-7 Rivers Data'!$AK$4:$AM$9,2,FALSE)))</f>
        <v/>
      </c>
      <c r="L178" s="524"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Data'!$B$4:$G$8,6,FALSE))</f>
        <v/>
      </c>
      <c r="R178" s="513" t="str">
        <f t="shared" si="16"/>
        <v/>
      </c>
      <c r="S178" s="40"/>
      <c r="T178" s="145"/>
      <c r="U178" s="157"/>
      <c r="V178" s="511" t="str">
        <f t="shared" si="17"/>
        <v/>
      </c>
      <c r="W178" s="511" t="str">
        <f t="shared" si="18"/>
        <v/>
      </c>
      <c r="X178" s="511" t="str">
        <f t="shared" si="19"/>
        <v/>
      </c>
      <c r="Y178" s="515"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8" x14ac:dyDescent="0.25">
      <c r="C179" s="141">
        <v>170</v>
      </c>
      <c r="D179" s="462"/>
      <c r="E179" s="153"/>
      <c r="F179" s="498" t="str">
        <f>IF(D179="","",VLOOKUP(D179,'G-7 Rivers Data'!$B$2:$G$8,2,FALSE))</f>
        <v/>
      </c>
      <c r="G179" s="499" t="str">
        <f>IFERROR(VLOOKUP(F179,'G-7 Rivers Data'!$C$4:$D$8,2,FALSE),"")</f>
        <v/>
      </c>
      <c r="H179" s="145"/>
      <c r="I179" s="499" t="str">
        <f>IFERROR(INDEX('G-7 Rivers Data'!$H$4:$L$8,MATCH(D179,'G-7 Rivers Data'!$B$4:$B$8,0),MATCH(H179,'G-7 Rivers Data'!$H$3:$L$3,0)),"")</f>
        <v/>
      </c>
      <c r="J179" s="154"/>
      <c r="K179" s="520" t="str">
        <f>IF(J179="","",IF(VLOOKUP(J179,'G-7 Rivers Data'!$AK$4:$AM$9,2,FALSE)=0,"Spatial Data Missing ⚠",VLOOKUP(J179,'G-7 Rivers Data'!$AK$4:$AM$9,2,FALSE)))</f>
        <v/>
      </c>
      <c r="L179" s="524"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Data'!$B$4:$G$8,6,FALSE))</f>
        <v/>
      </c>
      <c r="R179" s="513" t="str">
        <f t="shared" si="16"/>
        <v/>
      </c>
      <c r="S179" s="40"/>
      <c r="T179" s="145"/>
      <c r="U179" s="157"/>
      <c r="V179" s="511" t="str">
        <f t="shared" si="17"/>
        <v/>
      </c>
      <c r="W179" s="511" t="str">
        <f t="shared" si="18"/>
        <v/>
      </c>
      <c r="X179" s="511" t="str">
        <f t="shared" si="19"/>
        <v/>
      </c>
      <c r="Y179" s="515"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8" x14ac:dyDescent="0.25">
      <c r="C180" s="141">
        <v>171</v>
      </c>
      <c r="D180" s="462"/>
      <c r="E180" s="153"/>
      <c r="F180" s="498" t="str">
        <f>IF(D180="","",VLOOKUP(D180,'G-7 Rivers Data'!$B$2:$G$8,2,FALSE))</f>
        <v/>
      </c>
      <c r="G180" s="499" t="str">
        <f>IFERROR(VLOOKUP(F180,'G-7 Rivers Data'!$C$4:$D$8,2,FALSE),"")</f>
        <v/>
      </c>
      <c r="H180" s="145"/>
      <c r="I180" s="499" t="str">
        <f>IFERROR(INDEX('G-7 Rivers Data'!$H$4:$L$8,MATCH(D180,'G-7 Rivers Data'!$B$4:$B$8,0),MATCH(H180,'G-7 Rivers Data'!$H$3:$L$3,0)),"")</f>
        <v/>
      </c>
      <c r="J180" s="154"/>
      <c r="K180" s="520" t="str">
        <f>IF(J180="","",IF(VLOOKUP(J180,'G-7 Rivers Data'!$AK$4:$AM$9,2,FALSE)=0,"Spatial Data Missing ⚠",VLOOKUP(J180,'G-7 Rivers Data'!$AK$4:$AM$9,2,FALSE)))</f>
        <v/>
      </c>
      <c r="L180" s="524"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Data'!$B$4:$G$8,6,FALSE))</f>
        <v/>
      </c>
      <c r="R180" s="513" t="str">
        <f t="shared" si="16"/>
        <v/>
      </c>
      <c r="S180" s="40"/>
      <c r="T180" s="145"/>
      <c r="U180" s="157"/>
      <c r="V180" s="511" t="str">
        <f t="shared" si="17"/>
        <v/>
      </c>
      <c r="W180" s="511" t="str">
        <f t="shared" si="18"/>
        <v/>
      </c>
      <c r="X180" s="511" t="str">
        <f t="shared" si="19"/>
        <v/>
      </c>
      <c r="Y180" s="515"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8" x14ac:dyDescent="0.25">
      <c r="C181" s="141">
        <v>172</v>
      </c>
      <c r="D181" s="462"/>
      <c r="E181" s="153"/>
      <c r="F181" s="498" t="str">
        <f>IF(D181="","",VLOOKUP(D181,'G-7 Rivers Data'!$B$2:$G$8,2,FALSE))</f>
        <v/>
      </c>
      <c r="G181" s="499" t="str">
        <f>IFERROR(VLOOKUP(F181,'G-7 Rivers Data'!$C$4:$D$8,2,FALSE),"")</f>
        <v/>
      </c>
      <c r="H181" s="145"/>
      <c r="I181" s="499" t="str">
        <f>IFERROR(INDEX('G-7 Rivers Data'!$H$4:$L$8,MATCH(D181,'G-7 Rivers Data'!$B$4:$B$8,0),MATCH(H181,'G-7 Rivers Data'!$H$3:$L$3,0)),"")</f>
        <v/>
      </c>
      <c r="J181" s="154"/>
      <c r="K181" s="520" t="str">
        <f>IF(J181="","",IF(VLOOKUP(J181,'G-7 Rivers Data'!$AK$4:$AM$9,2,FALSE)=0,"Spatial Data Missing ⚠",VLOOKUP(J181,'G-7 Rivers Data'!$AK$4:$AM$9,2,FALSE)))</f>
        <v/>
      </c>
      <c r="L181" s="524"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Data'!$B$4:$G$8,6,FALSE))</f>
        <v/>
      </c>
      <c r="R181" s="513" t="str">
        <f t="shared" si="16"/>
        <v/>
      </c>
      <c r="S181" s="40"/>
      <c r="T181" s="145"/>
      <c r="U181" s="157"/>
      <c r="V181" s="511" t="str">
        <f t="shared" si="17"/>
        <v/>
      </c>
      <c r="W181" s="511" t="str">
        <f t="shared" si="18"/>
        <v/>
      </c>
      <c r="X181" s="511" t="str">
        <f t="shared" si="19"/>
        <v/>
      </c>
      <c r="Y181" s="515"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8" x14ac:dyDescent="0.25">
      <c r="C182" s="141">
        <v>173</v>
      </c>
      <c r="D182" s="462"/>
      <c r="E182" s="153"/>
      <c r="F182" s="498" t="str">
        <f>IF(D182="","",VLOOKUP(D182,'G-7 Rivers Data'!$B$2:$G$8,2,FALSE))</f>
        <v/>
      </c>
      <c r="G182" s="499" t="str">
        <f>IFERROR(VLOOKUP(F182,'G-7 Rivers Data'!$C$4:$D$8,2,FALSE),"")</f>
        <v/>
      </c>
      <c r="H182" s="145"/>
      <c r="I182" s="499" t="str">
        <f>IFERROR(INDEX('G-7 Rivers Data'!$H$4:$L$8,MATCH(D182,'G-7 Rivers Data'!$B$4:$B$8,0),MATCH(H182,'G-7 Rivers Data'!$H$3:$L$3,0)),"")</f>
        <v/>
      </c>
      <c r="J182" s="154"/>
      <c r="K182" s="520" t="str">
        <f>IF(J182="","",IF(VLOOKUP(J182,'G-7 Rivers Data'!$AK$4:$AM$9,2,FALSE)=0,"Spatial Data Missing ⚠",VLOOKUP(J182,'G-7 Rivers Data'!$AK$4:$AM$9,2,FALSE)))</f>
        <v/>
      </c>
      <c r="L182" s="524"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Data'!$B$4:$G$8,6,FALSE))</f>
        <v/>
      </c>
      <c r="R182" s="513" t="str">
        <f t="shared" si="16"/>
        <v/>
      </c>
      <c r="S182" s="40"/>
      <c r="T182" s="145"/>
      <c r="U182" s="157"/>
      <c r="V182" s="511" t="str">
        <f t="shared" si="17"/>
        <v/>
      </c>
      <c r="W182" s="511" t="str">
        <f t="shared" si="18"/>
        <v/>
      </c>
      <c r="X182" s="511" t="str">
        <f t="shared" si="19"/>
        <v/>
      </c>
      <c r="Y182" s="515"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8" x14ac:dyDescent="0.25">
      <c r="C183" s="141">
        <v>174</v>
      </c>
      <c r="D183" s="462"/>
      <c r="E183" s="153"/>
      <c r="F183" s="498" t="str">
        <f>IF(D183="","",VLOOKUP(D183,'G-7 Rivers Data'!$B$2:$G$8,2,FALSE))</f>
        <v/>
      </c>
      <c r="G183" s="499" t="str">
        <f>IFERROR(VLOOKUP(F183,'G-7 Rivers Data'!$C$4:$D$8,2,FALSE),"")</f>
        <v/>
      </c>
      <c r="H183" s="145"/>
      <c r="I183" s="499" t="str">
        <f>IFERROR(INDEX('G-7 Rivers Data'!$H$4:$L$8,MATCH(D183,'G-7 Rivers Data'!$B$4:$B$8,0),MATCH(H183,'G-7 Rivers Data'!$H$3:$L$3,0)),"")</f>
        <v/>
      </c>
      <c r="J183" s="154"/>
      <c r="K183" s="520" t="str">
        <f>IF(J183="","",IF(VLOOKUP(J183,'G-7 Rivers Data'!$AK$4:$AM$9,2,FALSE)=0,"Spatial Data Missing ⚠",VLOOKUP(J183,'G-7 Rivers Data'!$AK$4:$AM$9,2,FALSE)))</f>
        <v/>
      </c>
      <c r="L183" s="524"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Data'!$B$4:$G$8,6,FALSE))</f>
        <v/>
      </c>
      <c r="R183" s="513" t="str">
        <f t="shared" si="16"/>
        <v/>
      </c>
      <c r="S183" s="40"/>
      <c r="T183" s="145"/>
      <c r="U183" s="157"/>
      <c r="V183" s="511" t="str">
        <f t="shared" si="17"/>
        <v/>
      </c>
      <c r="W183" s="511" t="str">
        <f t="shared" si="18"/>
        <v/>
      </c>
      <c r="X183" s="511" t="str">
        <f t="shared" si="19"/>
        <v/>
      </c>
      <c r="Y183" s="515"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8" x14ac:dyDescent="0.25">
      <c r="C184" s="141">
        <v>175</v>
      </c>
      <c r="D184" s="462"/>
      <c r="E184" s="153"/>
      <c r="F184" s="498" t="str">
        <f>IF(D184="","",VLOOKUP(D184,'G-7 Rivers Data'!$B$2:$G$8,2,FALSE))</f>
        <v/>
      </c>
      <c r="G184" s="499" t="str">
        <f>IFERROR(VLOOKUP(F184,'G-7 Rivers Data'!$C$4:$D$8,2,FALSE),"")</f>
        <v/>
      </c>
      <c r="H184" s="145"/>
      <c r="I184" s="499" t="str">
        <f>IFERROR(INDEX('G-7 Rivers Data'!$H$4:$L$8,MATCH(D184,'G-7 Rivers Data'!$B$4:$B$8,0),MATCH(H184,'G-7 Rivers Data'!$H$3:$L$3,0)),"")</f>
        <v/>
      </c>
      <c r="J184" s="154"/>
      <c r="K184" s="520" t="str">
        <f>IF(J184="","",IF(VLOOKUP(J184,'G-7 Rivers Data'!$AK$4:$AM$9,2,FALSE)=0,"Spatial Data Missing ⚠",VLOOKUP(J184,'G-7 Rivers Data'!$AK$4:$AM$9,2,FALSE)))</f>
        <v/>
      </c>
      <c r="L184" s="524"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Data'!$B$4:$G$8,6,FALSE))</f>
        <v/>
      </c>
      <c r="R184" s="513" t="str">
        <f t="shared" si="16"/>
        <v/>
      </c>
      <c r="S184" s="40"/>
      <c r="T184" s="145"/>
      <c r="U184" s="157"/>
      <c r="V184" s="511" t="str">
        <f t="shared" si="17"/>
        <v/>
      </c>
      <c r="W184" s="511" t="str">
        <f t="shared" si="18"/>
        <v/>
      </c>
      <c r="X184" s="511" t="str">
        <f t="shared" si="19"/>
        <v/>
      </c>
      <c r="Y184" s="515"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8" x14ac:dyDescent="0.25">
      <c r="C185" s="141">
        <v>176</v>
      </c>
      <c r="D185" s="462"/>
      <c r="E185" s="153"/>
      <c r="F185" s="498" t="str">
        <f>IF(D185="","",VLOOKUP(D185,'G-7 Rivers Data'!$B$2:$G$8,2,FALSE))</f>
        <v/>
      </c>
      <c r="G185" s="499" t="str">
        <f>IFERROR(VLOOKUP(F185,'G-7 Rivers Data'!$C$4:$D$8,2,FALSE),"")</f>
        <v/>
      </c>
      <c r="H185" s="145"/>
      <c r="I185" s="499" t="str">
        <f>IFERROR(INDEX('G-7 Rivers Data'!$H$4:$L$8,MATCH(D185,'G-7 Rivers Data'!$B$4:$B$8,0),MATCH(H185,'G-7 Rivers Data'!$H$3:$L$3,0)),"")</f>
        <v/>
      </c>
      <c r="J185" s="154"/>
      <c r="K185" s="520" t="str">
        <f>IF(J185="","",IF(VLOOKUP(J185,'G-7 Rivers Data'!$AK$4:$AM$9,2,FALSE)=0,"Spatial Data Missing ⚠",VLOOKUP(J185,'G-7 Rivers Data'!$AK$4:$AM$9,2,FALSE)))</f>
        <v/>
      </c>
      <c r="L185" s="524"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Data'!$B$4:$G$8,6,FALSE))</f>
        <v/>
      </c>
      <c r="R185" s="513" t="str">
        <f t="shared" si="16"/>
        <v/>
      </c>
      <c r="S185" s="40"/>
      <c r="T185" s="145"/>
      <c r="U185" s="157"/>
      <c r="V185" s="511" t="str">
        <f t="shared" si="17"/>
        <v/>
      </c>
      <c r="W185" s="511" t="str">
        <f t="shared" si="18"/>
        <v/>
      </c>
      <c r="X185" s="511" t="str">
        <f t="shared" si="19"/>
        <v/>
      </c>
      <c r="Y185" s="515"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8" x14ac:dyDescent="0.25">
      <c r="C186" s="141">
        <v>177</v>
      </c>
      <c r="D186" s="462"/>
      <c r="E186" s="153"/>
      <c r="F186" s="498" t="str">
        <f>IF(D186="","",VLOOKUP(D186,'G-7 Rivers Data'!$B$2:$G$8,2,FALSE))</f>
        <v/>
      </c>
      <c r="G186" s="499" t="str">
        <f>IFERROR(VLOOKUP(F186,'G-7 Rivers Data'!$C$4:$D$8,2,FALSE),"")</f>
        <v/>
      </c>
      <c r="H186" s="145"/>
      <c r="I186" s="499" t="str">
        <f>IFERROR(INDEX('G-7 Rivers Data'!$H$4:$L$8,MATCH(D186,'G-7 Rivers Data'!$B$4:$B$8,0),MATCH(H186,'G-7 Rivers Data'!$H$3:$L$3,0)),"")</f>
        <v/>
      </c>
      <c r="J186" s="154"/>
      <c r="K186" s="520" t="str">
        <f>IF(J186="","",IF(VLOOKUP(J186,'G-7 Rivers Data'!$AK$4:$AM$9,2,FALSE)=0,"Spatial Data Missing ⚠",VLOOKUP(J186,'G-7 Rivers Data'!$AK$4:$AM$9,2,FALSE)))</f>
        <v/>
      </c>
      <c r="L186" s="524"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Data'!$B$4:$G$8,6,FALSE))</f>
        <v/>
      </c>
      <c r="R186" s="513" t="str">
        <f t="shared" si="16"/>
        <v/>
      </c>
      <c r="S186" s="40"/>
      <c r="T186" s="145"/>
      <c r="U186" s="157"/>
      <c r="V186" s="511" t="str">
        <f t="shared" si="17"/>
        <v/>
      </c>
      <c r="W186" s="511" t="str">
        <f t="shared" si="18"/>
        <v/>
      </c>
      <c r="X186" s="511" t="str">
        <f t="shared" si="19"/>
        <v/>
      </c>
      <c r="Y186" s="515"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8" x14ac:dyDescent="0.25">
      <c r="C187" s="141">
        <v>178</v>
      </c>
      <c r="D187" s="462"/>
      <c r="E187" s="153"/>
      <c r="F187" s="498" t="str">
        <f>IF(D187="","",VLOOKUP(D187,'G-7 Rivers Data'!$B$2:$G$8,2,FALSE))</f>
        <v/>
      </c>
      <c r="G187" s="499" t="str">
        <f>IFERROR(VLOOKUP(F187,'G-7 Rivers Data'!$C$4:$D$8,2,FALSE),"")</f>
        <v/>
      </c>
      <c r="H187" s="145"/>
      <c r="I187" s="499" t="str">
        <f>IFERROR(INDEX('G-7 Rivers Data'!$H$4:$L$8,MATCH(D187,'G-7 Rivers Data'!$B$4:$B$8,0),MATCH(H187,'G-7 Rivers Data'!$H$3:$L$3,0)),"")</f>
        <v/>
      </c>
      <c r="J187" s="154"/>
      <c r="K187" s="520" t="str">
        <f>IF(J187="","",IF(VLOOKUP(J187,'G-7 Rivers Data'!$AK$4:$AM$9,2,FALSE)=0,"Spatial Data Missing ⚠",VLOOKUP(J187,'G-7 Rivers Data'!$AK$4:$AM$9,2,FALSE)))</f>
        <v/>
      </c>
      <c r="L187" s="524"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Data'!$B$4:$G$8,6,FALSE))</f>
        <v/>
      </c>
      <c r="R187" s="513" t="str">
        <f t="shared" si="16"/>
        <v/>
      </c>
      <c r="S187" s="40"/>
      <c r="T187" s="145"/>
      <c r="U187" s="157"/>
      <c r="V187" s="511" t="str">
        <f t="shared" si="17"/>
        <v/>
      </c>
      <c r="W187" s="511" t="str">
        <f t="shared" si="18"/>
        <v/>
      </c>
      <c r="X187" s="511" t="str">
        <f t="shared" si="19"/>
        <v/>
      </c>
      <c r="Y187" s="515"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8" x14ac:dyDescent="0.25">
      <c r="C188" s="141">
        <v>179</v>
      </c>
      <c r="D188" s="462"/>
      <c r="E188" s="153"/>
      <c r="F188" s="498" t="str">
        <f>IF(D188="","",VLOOKUP(D188,'G-7 Rivers Data'!$B$2:$G$8,2,FALSE))</f>
        <v/>
      </c>
      <c r="G188" s="499" t="str">
        <f>IFERROR(VLOOKUP(F188,'G-7 Rivers Data'!$C$4:$D$8,2,FALSE),"")</f>
        <v/>
      </c>
      <c r="H188" s="145"/>
      <c r="I188" s="499" t="str">
        <f>IFERROR(INDEX('G-7 Rivers Data'!$H$4:$L$8,MATCH(D188,'G-7 Rivers Data'!$B$4:$B$8,0),MATCH(H188,'G-7 Rivers Data'!$H$3:$L$3,0)),"")</f>
        <v/>
      </c>
      <c r="J188" s="154"/>
      <c r="K188" s="520" t="str">
        <f>IF(J188="","",IF(VLOOKUP(J188,'G-7 Rivers Data'!$AK$4:$AM$9,2,FALSE)=0,"Spatial Data Missing ⚠",VLOOKUP(J188,'G-7 Rivers Data'!$AK$4:$AM$9,2,FALSE)))</f>
        <v/>
      </c>
      <c r="L188" s="524"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Data'!$B$4:$G$8,6,FALSE))</f>
        <v/>
      </c>
      <c r="R188" s="513" t="str">
        <f t="shared" si="16"/>
        <v/>
      </c>
      <c r="S188" s="40"/>
      <c r="T188" s="145"/>
      <c r="U188" s="157"/>
      <c r="V188" s="511" t="str">
        <f t="shared" si="17"/>
        <v/>
      </c>
      <c r="W188" s="511" t="str">
        <f t="shared" si="18"/>
        <v/>
      </c>
      <c r="X188" s="511" t="str">
        <f t="shared" si="19"/>
        <v/>
      </c>
      <c r="Y188" s="515"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8" x14ac:dyDescent="0.25">
      <c r="C189" s="141">
        <v>180</v>
      </c>
      <c r="D189" s="462"/>
      <c r="E189" s="153"/>
      <c r="F189" s="498" t="str">
        <f>IF(D189="","",VLOOKUP(D189,'G-7 Rivers Data'!$B$2:$G$8,2,FALSE))</f>
        <v/>
      </c>
      <c r="G189" s="499" t="str">
        <f>IFERROR(VLOOKUP(F189,'G-7 Rivers Data'!$C$4:$D$8,2,FALSE),"")</f>
        <v/>
      </c>
      <c r="H189" s="145"/>
      <c r="I189" s="499" t="str">
        <f>IFERROR(INDEX('G-7 Rivers Data'!$H$4:$L$8,MATCH(D189,'G-7 Rivers Data'!$B$4:$B$8,0),MATCH(H189,'G-7 Rivers Data'!$H$3:$L$3,0)),"")</f>
        <v/>
      </c>
      <c r="J189" s="154"/>
      <c r="K189" s="520" t="str">
        <f>IF(J189="","",IF(VLOOKUP(J189,'G-7 Rivers Data'!$AK$4:$AM$9,2,FALSE)=0,"Spatial Data Missing ⚠",VLOOKUP(J189,'G-7 Rivers Data'!$AK$4:$AM$9,2,FALSE)))</f>
        <v/>
      </c>
      <c r="L189" s="524"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Data'!$B$4:$G$8,6,FALSE))</f>
        <v/>
      </c>
      <c r="R189" s="513" t="str">
        <f t="shared" si="16"/>
        <v/>
      </c>
      <c r="S189" s="40"/>
      <c r="T189" s="145"/>
      <c r="U189" s="157"/>
      <c r="V189" s="511" t="str">
        <f t="shared" si="17"/>
        <v/>
      </c>
      <c r="W189" s="511" t="str">
        <f t="shared" si="18"/>
        <v/>
      </c>
      <c r="X189" s="511" t="str">
        <f t="shared" si="19"/>
        <v/>
      </c>
      <c r="Y189" s="515"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8" x14ac:dyDescent="0.25">
      <c r="C190" s="141">
        <v>181</v>
      </c>
      <c r="D190" s="462"/>
      <c r="E190" s="153"/>
      <c r="F190" s="498" t="str">
        <f>IF(D190="","",VLOOKUP(D190,'G-7 Rivers Data'!$B$2:$G$8,2,FALSE))</f>
        <v/>
      </c>
      <c r="G190" s="499" t="str">
        <f>IFERROR(VLOOKUP(F190,'G-7 Rivers Data'!$C$4:$D$8,2,FALSE),"")</f>
        <v/>
      </c>
      <c r="H190" s="145"/>
      <c r="I190" s="499" t="str">
        <f>IFERROR(INDEX('G-7 Rivers Data'!$H$4:$L$8,MATCH(D190,'G-7 Rivers Data'!$B$4:$B$8,0),MATCH(H190,'G-7 Rivers Data'!$H$3:$L$3,0)),"")</f>
        <v/>
      </c>
      <c r="J190" s="154"/>
      <c r="K190" s="520" t="str">
        <f>IF(J190="","",IF(VLOOKUP(J190,'G-7 Rivers Data'!$AK$4:$AM$9,2,FALSE)=0,"Spatial Data Missing ⚠",VLOOKUP(J190,'G-7 Rivers Data'!$AK$4:$AM$9,2,FALSE)))</f>
        <v/>
      </c>
      <c r="L190" s="524"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Data'!$B$4:$G$8,6,FALSE))</f>
        <v/>
      </c>
      <c r="R190" s="513" t="str">
        <f t="shared" si="16"/>
        <v/>
      </c>
      <c r="S190" s="40"/>
      <c r="T190" s="145"/>
      <c r="U190" s="157"/>
      <c r="V190" s="511" t="str">
        <f t="shared" si="17"/>
        <v/>
      </c>
      <c r="W190" s="511" t="str">
        <f t="shared" si="18"/>
        <v/>
      </c>
      <c r="X190" s="511" t="str">
        <f t="shared" si="19"/>
        <v/>
      </c>
      <c r="Y190" s="515"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8" x14ac:dyDescent="0.25">
      <c r="C191" s="141">
        <v>182</v>
      </c>
      <c r="D191" s="462"/>
      <c r="E191" s="153"/>
      <c r="F191" s="498" t="str">
        <f>IF(D191="","",VLOOKUP(D191,'G-7 Rivers Data'!$B$2:$G$8,2,FALSE))</f>
        <v/>
      </c>
      <c r="G191" s="499" t="str">
        <f>IFERROR(VLOOKUP(F191,'G-7 Rivers Data'!$C$4:$D$8,2,FALSE),"")</f>
        <v/>
      </c>
      <c r="H191" s="145"/>
      <c r="I191" s="499" t="str">
        <f>IFERROR(INDEX('G-7 Rivers Data'!$H$4:$L$8,MATCH(D191,'G-7 Rivers Data'!$B$4:$B$8,0),MATCH(H191,'G-7 Rivers Data'!$H$3:$L$3,0)),"")</f>
        <v/>
      </c>
      <c r="J191" s="154"/>
      <c r="K191" s="520" t="str">
        <f>IF(J191="","",IF(VLOOKUP(J191,'G-7 Rivers Data'!$AK$4:$AM$9,2,FALSE)=0,"Spatial Data Missing ⚠",VLOOKUP(J191,'G-7 Rivers Data'!$AK$4:$AM$9,2,FALSE)))</f>
        <v/>
      </c>
      <c r="L191" s="524"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Data'!$B$4:$G$8,6,FALSE))</f>
        <v/>
      </c>
      <c r="R191" s="513" t="str">
        <f t="shared" si="16"/>
        <v/>
      </c>
      <c r="S191" s="40"/>
      <c r="T191" s="145"/>
      <c r="U191" s="157"/>
      <c r="V191" s="511" t="str">
        <f t="shared" si="17"/>
        <v/>
      </c>
      <c r="W191" s="511" t="str">
        <f t="shared" si="18"/>
        <v/>
      </c>
      <c r="X191" s="511" t="str">
        <f t="shared" si="19"/>
        <v/>
      </c>
      <c r="Y191" s="515"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8" x14ac:dyDescent="0.25">
      <c r="C192" s="141">
        <v>183</v>
      </c>
      <c r="D192" s="462"/>
      <c r="E192" s="153"/>
      <c r="F192" s="498" t="str">
        <f>IF(D192="","",VLOOKUP(D192,'G-7 Rivers Data'!$B$2:$G$8,2,FALSE))</f>
        <v/>
      </c>
      <c r="G192" s="499" t="str">
        <f>IFERROR(VLOOKUP(F192,'G-7 Rivers Data'!$C$4:$D$8,2,FALSE),"")</f>
        <v/>
      </c>
      <c r="H192" s="145"/>
      <c r="I192" s="499" t="str">
        <f>IFERROR(INDEX('G-7 Rivers Data'!$H$4:$L$8,MATCH(D192,'G-7 Rivers Data'!$B$4:$B$8,0),MATCH(H192,'G-7 Rivers Data'!$H$3:$L$3,0)),"")</f>
        <v/>
      </c>
      <c r="J192" s="154"/>
      <c r="K192" s="520" t="str">
        <f>IF(J192="","",IF(VLOOKUP(J192,'G-7 Rivers Data'!$AK$4:$AM$9,2,FALSE)=0,"Spatial Data Missing ⚠",VLOOKUP(J192,'G-7 Rivers Data'!$AK$4:$AM$9,2,FALSE)))</f>
        <v/>
      </c>
      <c r="L192" s="524"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Data'!$B$4:$G$8,6,FALSE))</f>
        <v/>
      </c>
      <c r="R192" s="513" t="str">
        <f t="shared" si="16"/>
        <v/>
      </c>
      <c r="S192" s="40"/>
      <c r="T192" s="145"/>
      <c r="U192" s="157"/>
      <c r="V192" s="511" t="str">
        <f t="shared" si="17"/>
        <v/>
      </c>
      <c r="W192" s="511" t="str">
        <f t="shared" si="18"/>
        <v/>
      </c>
      <c r="X192" s="511" t="str">
        <f t="shared" si="19"/>
        <v/>
      </c>
      <c r="Y192" s="515"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8" x14ac:dyDescent="0.25">
      <c r="C193" s="141">
        <v>184</v>
      </c>
      <c r="D193" s="462"/>
      <c r="E193" s="153"/>
      <c r="F193" s="498" t="str">
        <f>IF(D193="","",VLOOKUP(D193,'G-7 Rivers Data'!$B$2:$G$8,2,FALSE))</f>
        <v/>
      </c>
      <c r="G193" s="499" t="str">
        <f>IFERROR(VLOOKUP(F193,'G-7 Rivers Data'!$C$4:$D$8,2,FALSE),"")</f>
        <v/>
      </c>
      <c r="H193" s="145"/>
      <c r="I193" s="499" t="str">
        <f>IFERROR(INDEX('G-7 Rivers Data'!$H$4:$L$8,MATCH(D193,'G-7 Rivers Data'!$B$4:$B$8,0),MATCH(H193,'G-7 Rivers Data'!$H$3:$L$3,0)),"")</f>
        <v/>
      </c>
      <c r="J193" s="154"/>
      <c r="K193" s="520" t="str">
        <f>IF(J193="","",IF(VLOOKUP(J193,'G-7 Rivers Data'!$AK$4:$AM$9,2,FALSE)=0,"Spatial Data Missing ⚠",VLOOKUP(J193,'G-7 Rivers Data'!$AK$4:$AM$9,2,FALSE)))</f>
        <v/>
      </c>
      <c r="L193" s="524"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Data'!$B$4:$G$8,6,FALSE))</f>
        <v/>
      </c>
      <c r="R193" s="513" t="str">
        <f t="shared" si="16"/>
        <v/>
      </c>
      <c r="S193" s="40"/>
      <c r="T193" s="145"/>
      <c r="U193" s="157"/>
      <c r="V193" s="511" t="str">
        <f t="shared" si="17"/>
        <v/>
      </c>
      <c r="W193" s="511" t="str">
        <f t="shared" si="18"/>
        <v/>
      </c>
      <c r="X193" s="511" t="str">
        <f t="shared" si="19"/>
        <v/>
      </c>
      <c r="Y193" s="515"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8" x14ac:dyDescent="0.25">
      <c r="C194" s="141">
        <v>185</v>
      </c>
      <c r="D194" s="462"/>
      <c r="E194" s="153"/>
      <c r="F194" s="498" t="str">
        <f>IF(D194="","",VLOOKUP(D194,'G-7 Rivers Data'!$B$2:$G$8,2,FALSE))</f>
        <v/>
      </c>
      <c r="G194" s="499" t="str">
        <f>IFERROR(VLOOKUP(F194,'G-7 Rivers Data'!$C$4:$D$8,2,FALSE),"")</f>
        <v/>
      </c>
      <c r="H194" s="145"/>
      <c r="I194" s="499" t="str">
        <f>IFERROR(INDEX('G-7 Rivers Data'!$H$4:$L$8,MATCH(D194,'G-7 Rivers Data'!$B$4:$B$8,0),MATCH(H194,'G-7 Rivers Data'!$H$3:$L$3,0)),"")</f>
        <v/>
      </c>
      <c r="J194" s="154"/>
      <c r="K194" s="520" t="str">
        <f>IF(J194="","",IF(VLOOKUP(J194,'G-7 Rivers Data'!$AK$4:$AM$9,2,FALSE)=0,"Spatial Data Missing ⚠",VLOOKUP(J194,'G-7 Rivers Data'!$AK$4:$AM$9,2,FALSE)))</f>
        <v/>
      </c>
      <c r="L194" s="524"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Data'!$B$4:$G$8,6,FALSE))</f>
        <v/>
      </c>
      <c r="R194" s="513" t="str">
        <f t="shared" si="16"/>
        <v/>
      </c>
      <c r="S194" s="40"/>
      <c r="T194" s="145"/>
      <c r="U194" s="157"/>
      <c r="V194" s="511" t="str">
        <f t="shared" si="17"/>
        <v/>
      </c>
      <c r="W194" s="511" t="str">
        <f t="shared" si="18"/>
        <v/>
      </c>
      <c r="X194" s="511" t="str">
        <f t="shared" si="19"/>
        <v/>
      </c>
      <c r="Y194" s="515"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8" x14ac:dyDescent="0.25">
      <c r="C195" s="141">
        <v>186</v>
      </c>
      <c r="D195" s="462"/>
      <c r="E195" s="153"/>
      <c r="F195" s="498" t="str">
        <f>IF(D195="","",VLOOKUP(D195,'G-7 Rivers Data'!$B$2:$G$8,2,FALSE))</f>
        <v/>
      </c>
      <c r="G195" s="499" t="str">
        <f>IFERROR(VLOOKUP(F195,'G-7 Rivers Data'!$C$4:$D$8,2,FALSE),"")</f>
        <v/>
      </c>
      <c r="H195" s="145"/>
      <c r="I195" s="499" t="str">
        <f>IFERROR(INDEX('G-7 Rivers Data'!$H$4:$L$8,MATCH(D195,'G-7 Rivers Data'!$B$4:$B$8,0),MATCH(H195,'G-7 Rivers Data'!$H$3:$L$3,0)),"")</f>
        <v/>
      </c>
      <c r="J195" s="154"/>
      <c r="K195" s="520" t="str">
        <f>IF(J195="","",IF(VLOOKUP(J195,'G-7 Rivers Data'!$AK$4:$AM$9,2,FALSE)=0,"Spatial Data Missing ⚠",VLOOKUP(J195,'G-7 Rivers Data'!$AK$4:$AM$9,2,FALSE)))</f>
        <v/>
      </c>
      <c r="L195" s="524"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Data'!$B$4:$G$8,6,FALSE))</f>
        <v/>
      </c>
      <c r="R195" s="513" t="str">
        <f t="shared" si="16"/>
        <v/>
      </c>
      <c r="S195" s="40"/>
      <c r="T195" s="145"/>
      <c r="U195" s="157"/>
      <c r="V195" s="511" t="str">
        <f t="shared" si="17"/>
        <v/>
      </c>
      <c r="W195" s="511" t="str">
        <f t="shared" si="18"/>
        <v/>
      </c>
      <c r="X195" s="511" t="str">
        <f t="shared" si="19"/>
        <v/>
      </c>
      <c r="Y195" s="515"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8" x14ac:dyDescent="0.25">
      <c r="C196" s="141">
        <v>187</v>
      </c>
      <c r="D196" s="462"/>
      <c r="E196" s="153"/>
      <c r="F196" s="498" t="str">
        <f>IF(D196="","",VLOOKUP(D196,'G-7 Rivers Data'!$B$2:$G$8,2,FALSE))</f>
        <v/>
      </c>
      <c r="G196" s="499" t="str">
        <f>IFERROR(VLOOKUP(F196,'G-7 Rivers Data'!$C$4:$D$8,2,FALSE),"")</f>
        <v/>
      </c>
      <c r="H196" s="145"/>
      <c r="I196" s="499" t="str">
        <f>IFERROR(INDEX('G-7 Rivers Data'!$H$4:$L$8,MATCH(D196,'G-7 Rivers Data'!$B$4:$B$8,0),MATCH(H196,'G-7 Rivers Data'!$H$3:$L$3,0)),"")</f>
        <v/>
      </c>
      <c r="J196" s="154"/>
      <c r="K196" s="520" t="str">
        <f>IF(J196="","",IF(VLOOKUP(J196,'G-7 Rivers Data'!$AK$4:$AM$9,2,FALSE)=0,"Spatial Data Missing ⚠",VLOOKUP(J196,'G-7 Rivers Data'!$AK$4:$AM$9,2,FALSE)))</f>
        <v/>
      </c>
      <c r="L196" s="524"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Data'!$B$4:$G$8,6,FALSE))</f>
        <v/>
      </c>
      <c r="R196" s="513" t="str">
        <f t="shared" si="16"/>
        <v/>
      </c>
      <c r="S196" s="40"/>
      <c r="T196" s="145"/>
      <c r="U196" s="157"/>
      <c r="V196" s="511" t="str">
        <f t="shared" si="17"/>
        <v/>
      </c>
      <c r="W196" s="511" t="str">
        <f t="shared" si="18"/>
        <v/>
      </c>
      <c r="X196" s="511" t="str">
        <f t="shared" si="19"/>
        <v/>
      </c>
      <c r="Y196" s="515"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8" x14ac:dyDescent="0.25">
      <c r="C197" s="141">
        <v>188</v>
      </c>
      <c r="D197" s="462"/>
      <c r="E197" s="153"/>
      <c r="F197" s="498" t="str">
        <f>IF(D197="","",VLOOKUP(D197,'G-7 Rivers Data'!$B$2:$G$8,2,FALSE))</f>
        <v/>
      </c>
      <c r="G197" s="499" t="str">
        <f>IFERROR(VLOOKUP(F197,'G-7 Rivers Data'!$C$4:$D$8,2,FALSE),"")</f>
        <v/>
      </c>
      <c r="H197" s="145"/>
      <c r="I197" s="499" t="str">
        <f>IFERROR(INDEX('G-7 Rivers Data'!$H$4:$L$8,MATCH(D197,'G-7 Rivers Data'!$B$4:$B$8,0),MATCH(H197,'G-7 Rivers Data'!$H$3:$L$3,0)),"")</f>
        <v/>
      </c>
      <c r="J197" s="154"/>
      <c r="K197" s="520" t="str">
        <f>IF(J197="","",IF(VLOOKUP(J197,'G-7 Rivers Data'!$AK$4:$AM$9,2,FALSE)=0,"Spatial Data Missing ⚠",VLOOKUP(J197,'G-7 Rivers Data'!$AK$4:$AM$9,2,FALSE)))</f>
        <v/>
      </c>
      <c r="L197" s="524"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Data'!$B$4:$G$8,6,FALSE))</f>
        <v/>
      </c>
      <c r="R197" s="513" t="str">
        <f t="shared" si="16"/>
        <v/>
      </c>
      <c r="S197" s="40"/>
      <c r="T197" s="145"/>
      <c r="U197" s="157"/>
      <c r="V197" s="511" t="str">
        <f t="shared" si="17"/>
        <v/>
      </c>
      <c r="W197" s="511" t="str">
        <f t="shared" si="18"/>
        <v/>
      </c>
      <c r="X197" s="511" t="str">
        <f t="shared" si="19"/>
        <v/>
      </c>
      <c r="Y197" s="515"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8" x14ac:dyDescent="0.25">
      <c r="C198" s="141">
        <v>189</v>
      </c>
      <c r="D198" s="462"/>
      <c r="E198" s="153"/>
      <c r="F198" s="498" t="str">
        <f>IF(D198="","",VLOOKUP(D198,'G-7 Rivers Data'!$B$2:$G$8,2,FALSE))</f>
        <v/>
      </c>
      <c r="G198" s="499" t="str">
        <f>IFERROR(VLOOKUP(F198,'G-7 Rivers Data'!$C$4:$D$8,2,FALSE),"")</f>
        <v/>
      </c>
      <c r="H198" s="145"/>
      <c r="I198" s="499" t="str">
        <f>IFERROR(INDEX('G-7 Rivers Data'!$H$4:$L$8,MATCH(D198,'G-7 Rivers Data'!$B$4:$B$8,0),MATCH(H198,'G-7 Rivers Data'!$H$3:$L$3,0)),"")</f>
        <v/>
      </c>
      <c r="J198" s="154"/>
      <c r="K198" s="520" t="str">
        <f>IF(J198="","",IF(VLOOKUP(J198,'G-7 Rivers Data'!$AK$4:$AM$9,2,FALSE)=0,"Spatial Data Missing ⚠",VLOOKUP(J198,'G-7 Rivers Data'!$AK$4:$AM$9,2,FALSE)))</f>
        <v/>
      </c>
      <c r="L198" s="524"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Data'!$B$4:$G$8,6,FALSE))</f>
        <v/>
      </c>
      <c r="R198" s="513" t="str">
        <f t="shared" si="16"/>
        <v/>
      </c>
      <c r="S198" s="40"/>
      <c r="T198" s="145"/>
      <c r="U198" s="157"/>
      <c r="V198" s="511" t="str">
        <f t="shared" si="17"/>
        <v/>
      </c>
      <c r="W198" s="511" t="str">
        <f t="shared" si="18"/>
        <v/>
      </c>
      <c r="X198" s="511" t="str">
        <f t="shared" si="19"/>
        <v/>
      </c>
      <c r="Y198" s="515"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8" x14ac:dyDescent="0.25">
      <c r="C199" s="141">
        <v>190</v>
      </c>
      <c r="D199" s="462"/>
      <c r="E199" s="153"/>
      <c r="F199" s="498" t="str">
        <f>IF(D199="","",VLOOKUP(D199,'G-7 Rivers Data'!$B$2:$G$8,2,FALSE))</f>
        <v/>
      </c>
      <c r="G199" s="499" t="str">
        <f>IFERROR(VLOOKUP(F199,'G-7 Rivers Data'!$C$4:$D$8,2,FALSE),"")</f>
        <v/>
      </c>
      <c r="H199" s="145"/>
      <c r="I199" s="499" t="str">
        <f>IFERROR(INDEX('G-7 Rivers Data'!$H$4:$L$8,MATCH(D199,'G-7 Rivers Data'!$B$4:$B$8,0),MATCH(H199,'G-7 Rivers Data'!$H$3:$L$3,0)),"")</f>
        <v/>
      </c>
      <c r="J199" s="154"/>
      <c r="K199" s="520" t="str">
        <f>IF(J199="","",IF(VLOOKUP(J199,'G-7 Rivers Data'!$AK$4:$AM$9,2,FALSE)=0,"Spatial Data Missing ⚠",VLOOKUP(J199,'G-7 Rivers Data'!$AK$4:$AM$9,2,FALSE)))</f>
        <v/>
      </c>
      <c r="L199" s="524"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Data'!$B$4:$G$8,6,FALSE))</f>
        <v/>
      </c>
      <c r="R199" s="513" t="str">
        <f t="shared" si="16"/>
        <v/>
      </c>
      <c r="S199" s="40"/>
      <c r="T199" s="145"/>
      <c r="U199" s="157"/>
      <c r="V199" s="511" t="str">
        <f t="shared" si="17"/>
        <v/>
      </c>
      <c r="W199" s="511" t="str">
        <f t="shared" si="18"/>
        <v/>
      </c>
      <c r="X199" s="511" t="str">
        <f t="shared" si="19"/>
        <v/>
      </c>
      <c r="Y199" s="515"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8" x14ac:dyDescent="0.25">
      <c r="C200" s="141">
        <v>191</v>
      </c>
      <c r="D200" s="462"/>
      <c r="E200" s="153"/>
      <c r="F200" s="498" t="str">
        <f>IF(D200="","",VLOOKUP(D200,'G-7 Rivers Data'!$B$2:$G$8,2,FALSE))</f>
        <v/>
      </c>
      <c r="G200" s="499" t="str">
        <f>IFERROR(VLOOKUP(F200,'G-7 Rivers Data'!$C$4:$D$8,2,FALSE),"")</f>
        <v/>
      </c>
      <c r="H200" s="145"/>
      <c r="I200" s="499" t="str">
        <f>IFERROR(INDEX('G-7 Rivers Data'!$H$4:$L$8,MATCH(D200,'G-7 Rivers Data'!$B$4:$B$8,0),MATCH(H200,'G-7 Rivers Data'!$H$3:$L$3,0)),"")</f>
        <v/>
      </c>
      <c r="J200" s="154"/>
      <c r="K200" s="520" t="str">
        <f>IF(J200="","",IF(VLOOKUP(J200,'G-7 Rivers Data'!$AK$4:$AM$9,2,FALSE)=0,"Spatial Data Missing ⚠",VLOOKUP(J200,'G-7 Rivers Data'!$AK$4:$AM$9,2,FALSE)))</f>
        <v/>
      </c>
      <c r="L200" s="524"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Data'!$B$4:$G$8,6,FALSE))</f>
        <v/>
      </c>
      <c r="R200" s="513" t="str">
        <f t="shared" si="16"/>
        <v/>
      </c>
      <c r="S200" s="40"/>
      <c r="T200" s="145"/>
      <c r="U200" s="157"/>
      <c r="V200" s="511" t="str">
        <f t="shared" si="17"/>
        <v/>
      </c>
      <c r="W200" s="511" t="str">
        <f t="shared" si="18"/>
        <v/>
      </c>
      <c r="X200" s="511" t="str">
        <f t="shared" si="19"/>
        <v/>
      </c>
      <c r="Y200" s="515"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8" x14ac:dyDescent="0.25">
      <c r="C201" s="141">
        <v>192</v>
      </c>
      <c r="D201" s="462"/>
      <c r="E201" s="153"/>
      <c r="F201" s="498" t="str">
        <f>IF(D201="","",VLOOKUP(D201,'G-7 Rivers Data'!$B$2:$G$8,2,FALSE))</f>
        <v/>
      </c>
      <c r="G201" s="499" t="str">
        <f>IFERROR(VLOOKUP(F201,'G-7 Rivers Data'!$C$4:$D$8,2,FALSE),"")</f>
        <v/>
      </c>
      <c r="H201" s="145"/>
      <c r="I201" s="499" t="str">
        <f>IFERROR(INDEX('G-7 Rivers Data'!$H$4:$L$8,MATCH(D201,'G-7 Rivers Data'!$B$4:$B$8,0),MATCH(H201,'G-7 Rivers Data'!$H$3:$L$3,0)),"")</f>
        <v/>
      </c>
      <c r="J201" s="154"/>
      <c r="K201" s="520" t="str">
        <f>IF(J201="","",IF(VLOOKUP(J201,'G-7 Rivers Data'!$AK$4:$AM$9,2,FALSE)=0,"Spatial Data Missing ⚠",VLOOKUP(J201,'G-7 Rivers Data'!$AK$4:$AM$9,2,FALSE)))</f>
        <v/>
      </c>
      <c r="L201" s="524"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Data'!$B$4:$G$8,6,FALSE))</f>
        <v/>
      </c>
      <c r="R201" s="513" t="str">
        <f t="shared" si="16"/>
        <v/>
      </c>
      <c r="S201" s="40"/>
      <c r="T201" s="145"/>
      <c r="U201" s="157"/>
      <c r="V201" s="511" t="str">
        <f t="shared" si="17"/>
        <v/>
      </c>
      <c r="W201" s="511" t="str">
        <f t="shared" si="18"/>
        <v/>
      </c>
      <c r="X201" s="511" t="str">
        <f t="shared" si="19"/>
        <v/>
      </c>
      <c r="Y201" s="515"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8" x14ac:dyDescent="0.25">
      <c r="C202" s="141">
        <v>193</v>
      </c>
      <c r="D202" s="462"/>
      <c r="E202" s="153"/>
      <c r="F202" s="498" t="str">
        <f>IF(D202="","",VLOOKUP(D202,'G-7 Rivers Data'!$B$2:$G$8,2,FALSE))</f>
        <v/>
      </c>
      <c r="G202" s="499" t="str">
        <f>IFERROR(VLOOKUP(F202,'G-7 Rivers Data'!$C$4:$D$8,2,FALSE),"")</f>
        <v/>
      </c>
      <c r="H202" s="145"/>
      <c r="I202" s="499" t="str">
        <f>IFERROR(INDEX('G-7 Rivers Data'!$H$4:$L$8,MATCH(D202,'G-7 Rivers Data'!$B$4:$B$8,0),MATCH(H202,'G-7 Rivers Data'!$H$3:$L$3,0)),"")</f>
        <v/>
      </c>
      <c r="J202" s="154"/>
      <c r="K202" s="520" t="str">
        <f>IF(J202="","",IF(VLOOKUP(J202,'G-7 Rivers Data'!$AK$4:$AM$9,2,FALSE)=0,"Spatial Data Missing ⚠",VLOOKUP(J202,'G-7 Rivers Data'!$AK$4:$AM$9,2,FALSE)))</f>
        <v/>
      </c>
      <c r="L202" s="524"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Data'!$B$4:$G$8,6,FALSE))</f>
        <v/>
      </c>
      <c r="R202" s="513" t="str">
        <f t="shared" si="16"/>
        <v/>
      </c>
      <c r="S202" s="40"/>
      <c r="T202" s="145"/>
      <c r="U202" s="157"/>
      <c r="V202" s="511" t="str">
        <f t="shared" si="17"/>
        <v/>
      </c>
      <c r="W202" s="511" t="str">
        <f t="shared" si="18"/>
        <v/>
      </c>
      <c r="X202" s="511" t="str">
        <f t="shared" si="19"/>
        <v/>
      </c>
      <c r="Y202" s="515"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8" x14ac:dyDescent="0.25">
      <c r="C203" s="141">
        <v>194</v>
      </c>
      <c r="D203" s="462"/>
      <c r="E203" s="153"/>
      <c r="F203" s="498" t="str">
        <f>IF(D203="","",VLOOKUP(D203,'G-7 Rivers Data'!$B$2:$G$8,2,FALSE))</f>
        <v/>
      </c>
      <c r="G203" s="499" t="str">
        <f>IFERROR(VLOOKUP(F203,'G-7 Rivers Data'!$C$4:$D$8,2,FALSE),"")</f>
        <v/>
      </c>
      <c r="H203" s="145"/>
      <c r="I203" s="499" t="str">
        <f>IFERROR(INDEX('G-7 Rivers Data'!$H$4:$L$8,MATCH(D203,'G-7 Rivers Data'!$B$4:$B$8,0),MATCH(H203,'G-7 Rivers Data'!$H$3:$L$3,0)),"")</f>
        <v/>
      </c>
      <c r="J203" s="154"/>
      <c r="K203" s="520" t="str">
        <f>IF(J203="","",IF(VLOOKUP(J203,'G-7 Rivers Data'!$AK$4:$AM$9,2,FALSE)=0,"Spatial Data Missing ⚠",VLOOKUP(J203,'G-7 Rivers Data'!$AK$4:$AM$9,2,FALSE)))</f>
        <v/>
      </c>
      <c r="L203" s="524"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Data'!$B$4:$G$8,6,FALSE))</f>
        <v/>
      </c>
      <c r="R203" s="513" t="str">
        <f t="shared" ref="R203:R257" si="24">IFERROR(E203*G203*I203*L203*N203*P203,"")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8" x14ac:dyDescent="0.25">
      <c r="C204" s="141">
        <v>195</v>
      </c>
      <c r="D204" s="462"/>
      <c r="E204" s="153"/>
      <c r="F204" s="498" t="str">
        <f>IF(D204="","",VLOOKUP(D204,'G-7 Rivers Data'!$B$2:$G$8,2,FALSE))</f>
        <v/>
      </c>
      <c r="G204" s="499" t="str">
        <f>IFERROR(VLOOKUP(F204,'G-7 Rivers Data'!$C$4:$D$8,2,FALSE),"")</f>
        <v/>
      </c>
      <c r="H204" s="145"/>
      <c r="I204" s="499" t="str">
        <f>IFERROR(INDEX('G-7 Rivers Data'!$H$4:$L$8,MATCH(D204,'G-7 Rivers Data'!$B$4:$B$8,0),MATCH(H204,'G-7 Rivers Data'!$H$3:$L$3,0)),"")</f>
        <v/>
      </c>
      <c r="J204" s="154"/>
      <c r="K204" s="520" t="str">
        <f>IF(J204="","",IF(VLOOKUP(J204,'G-7 Rivers Data'!$AK$4:$AM$9,2,FALSE)=0,"Spatial Data Missing ⚠",VLOOKUP(J204,'G-7 Rivers Data'!$AK$4:$AM$9,2,FALSE)))</f>
        <v/>
      </c>
      <c r="L204" s="524"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Data'!$B$4:$G$8,6,FALSE))</f>
        <v/>
      </c>
      <c r="R204" s="513" t="str">
        <f t="shared" si="24"/>
        <v/>
      </c>
      <c r="S204" s="40"/>
      <c r="T204" s="145"/>
      <c r="U204" s="157"/>
      <c r="V204" s="511" t="str">
        <f t="shared" si="25"/>
        <v/>
      </c>
      <c r="W204" s="511" t="str">
        <f t="shared" si="26"/>
        <v/>
      </c>
      <c r="X204" s="511" t="str">
        <f t="shared" si="27"/>
        <v/>
      </c>
      <c r="Y204" s="515"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8" x14ac:dyDescent="0.25">
      <c r="C205" s="141">
        <v>196</v>
      </c>
      <c r="D205" s="462"/>
      <c r="E205" s="153"/>
      <c r="F205" s="498" t="str">
        <f>IF(D205="","",VLOOKUP(D205,'G-7 Rivers Data'!$B$2:$G$8,2,FALSE))</f>
        <v/>
      </c>
      <c r="G205" s="499" t="str">
        <f>IFERROR(VLOOKUP(F205,'G-7 Rivers Data'!$C$4:$D$8,2,FALSE),"")</f>
        <v/>
      </c>
      <c r="H205" s="145"/>
      <c r="I205" s="499" t="str">
        <f>IFERROR(INDEX('G-7 Rivers Data'!$H$4:$L$8,MATCH(D205,'G-7 Rivers Data'!$B$4:$B$8,0),MATCH(H205,'G-7 Rivers Data'!$H$3:$L$3,0)),"")</f>
        <v/>
      </c>
      <c r="J205" s="154"/>
      <c r="K205" s="520" t="str">
        <f>IF(J205="","",IF(VLOOKUP(J205,'G-7 Rivers Data'!$AK$4:$AM$9,2,FALSE)=0,"Spatial Data Missing ⚠",VLOOKUP(J205,'G-7 Rivers Data'!$AK$4:$AM$9,2,FALSE)))</f>
        <v/>
      </c>
      <c r="L205" s="524"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Data'!$B$4:$G$8,6,FALSE))</f>
        <v/>
      </c>
      <c r="R205" s="513" t="str">
        <f t="shared" si="24"/>
        <v/>
      </c>
      <c r="S205" s="40"/>
      <c r="T205" s="145"/>
      <c r="U205" s="157"/>
      <c r="V205" s="511" t="str">
        <f t="shared" si="25"/>
        <v/>
      </c>
      <c r="W205" s="511" t="str">
        <f t="shared" si="26"/>
        <v/>
      </c>
      <c r="X205" s="511" t="str">
        <f t="shared" si="27"/>
        <v/>
      </c>
      <c r="Y205" s="515"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8" x14ac:dyDescent="0.25">
      <c r="C206" s="141">
        <v>197</v>
      </c>
      <c r="D206" s="462"/>
      <c r="E206" s="153"/>
      <c r="F206" s="498" t="str">
        <f>IF(D206="","",VLOOKUP(D206,'G-7 Rivers Data'!$B$2:$G$8,2,FALSE))</f>
        <v/>
      </c>
      <c r="G206" s="499" t="str">
        <f>IFERROR(VLOOKUP(F206,'G-7 Rivers Data'!$C$4:$D$8,2,FALSE),"")</f>
        <v/>
      </c>
      <c r="H206" s="145"/>
      <c r="I206" s="499" t="str">
        <f>IFERROR(INDEX('G-7 Rivers Data'!$H$4:$L$8,MATCH(D206,'G-7 Rivers Data'!$B$4:$B$8,0),MATCH(H206,'G-7 Rivers Data'!$H$3:$L$3,0)),"")</f>
        <v/>
      </c>
      <c r="J206" s="154"/>
      <c r="K206" s="520" t="str">
        <f>IF(J206="","",IF(VLOOKUP(J206,'G-7 Rivers Data'!$AK$4:$AM$9,2,FALSE)=0,"Spatial Data Missing ⚠",VLOOKUP(J206,'G-7 Rivers Data'!$AK$4:$AM$9,2,FALSE)))</f>
        <v/>
      </c>
      <c r="L206" s="524"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Data'!$B$4:$G$8,6,FALSE))</f>
        <v/>
      </c>
      <c r="R206" s="513" t="str">
        <f t="shared" si="24"/>
        <v/>
      </c>
      <c r="S206" s="40"/>
      <c r="T206" s="145"/>
      <c r="U206" s="157"/>
      <c r="V206" s="511" t="str">
        <f t="shared" si="25"/>
        <v/>
      </c>
      <c r="W206" s="511" t="str">
        <f t="shared" si="26"/>
        <v/>
      </c>
      <c r="X206" s="511" t="str">
        <f t="shared" si="27"/>
        <v/>
      </c>
      <c r="Y206" s="515"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8" x14ac:dyDescent="0.25">
      <c r="C207" s="141">
        <v>198</v>
      </c>
      <c r="D207" s="462"/>
      <c r="E207" s="153"/>
      <c r="F207" s="498" t="str">
        <f>IF(D207="","",VLOOKUP(D207,'G-7 Rivers Data'!$B$2:$G$8,2,FALSE))</f>
        <v/>
      </c>
      <c r="G207" s="499" t="str">
        <f>IFERROR(VLOOKUP(F207,'G-7 Rivers Data'!$C$4:$D$8,2,FALSE),"")</f>
        <v/>
      </c>
      <c r="H207" s="145"/>
      <c r="I207" s="499" t="str">
        <f>IFERROR(INDEX('G-7 Rivers Data'!$H$4:$L$8,MATCH(D207,'G-7 Rivers Data'!$B$4:$B$8,0),MATCH(H207,'G-7 Rivers Data'!$H$3:$L$3,0)),"")</f>
        <v/>
      </c>
      <c r="J207" s="154"/>
      <c r="K207" s="520" t="str">
        <f>IF(J207="","",IF(VLOOKUP(J207,'G-7 Rivers Data'!$AK$4:$AM$9,2,FALSE)=0,"Spatial Data Missing ⚠",VLOOKUP(J207,'G-7 Rivers Data'!$AK$4:$AM$9,2,FALSE)))</f>
        <v/>
      </c>
      <c r="L207" s="524"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Data'!$B$4:$G$8,6,FALSE))</f>
        <v/>
      </c>
      <c r="R207" s="513" t="str">
        <f t="shared" si="24"/>
        <v/>
      </c>
      <c r="S207" s="40"/>
      <c r="T207" s="145"/>
      <c r="U207" s="157"/>
      <c r="V207" s="511" t="str">
        <f t="shared" si="25"/>
        <v/>
      </c>
      <c r="W207" s="511" t="str">
        <f t="shared" si="26"/>
        <v/>
      </c>
      <c r="X207" s="511" t="str">
        <f t="shared" si="27"/>
        <v/>
      </c>
      <c r="Y207" s="515"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8" x14ac:dyDescent="0.25">
      <c r="C208" s="141">
        <v>199</v>
      </c>
      <c r="D208" s="462"/>
      <c r="E208" s="153"/>
      <c r="F208" s="498" t="str">
        <f>IF(D208="","",VLOOKUP(D208,'G-7 Rivers Data'!$B$2:$G$8,2,FALSE))</f>
        <v/>
      </c>
      <c r="G208" s="499" t="str">
        <f>IFERROR(VLOOKUP(F208,'G-7 Rivers Data'!$C$4:$D$8,2,FALSE),"")</f>
        <v/>
      </c>
      <c r="H208" s="145"/>
      <c r="I208" s="499" t="str">
        <f>IFERROR(INDEX('G-7 Rivers Data'!$H$4:$L$8,MATCH(D208,'G-7 Rivers Data'!$B$4:$B$8,0),MATCH(H208,'G-7 Rivers Data'!$H$3:$L$3,0)),"")</f>
        <v/>
      </c>
      <c r="J208" s="154"/>
      <c r="K208" s="520" t="str">
        <f>IF(J208="","",IF(VLOOKUP(J208,'G-7 Rivers Data'!$AK$4:$AM$9,2,FALSE)=0,"Spatial Data Missing ⚠",VLOOKUP(J208,'G-7 Rivers Data'!$AK$4:$AM$9,2,FALSE)))</f>
        <v/>
      </c>
      <c r="L208" s="524"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Data'!$B$4:$G$8,6,FALSE))</f>
        <v/>
      </c>
      <c r="R208" s="513" t="str">
        <f t="shared" si="24"/>
        <v/>
      </c>
      <c r="S208" s="40"/>
      <c r="T208" s="145"/>
      <c r="U208" s="157"/>
      <c r="V208" s="511" t="str">
        <f t="shared" si="25"/>
        <v/>
      </c>
      <c r="W208" s="511" t="str">
        <f t="shared" si="26"/>
        <v/>
      </c>
      <c r="X208" s="511" t="str">
        <f t="shared" si="27"/>
        <v/>
      </c>
      <c r="Y208" s="515"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8" x14ac:dyDescent="0.25">
      <c r="C209" s="141">
        <v>200</v>
      </c>
      <c r="D209" s="462"/>
      <c r="E209" s="153"/>
      <c r="F209" s="498" t="str">
        <f>IF(D209="","",VLOOKUP(D209,'G-7 Rivers Data'!$B$2:$G$8,2,FALSE))</f>
        <v/>
      </c>
      <c r="G209" s="499" t="str">
        <f>IFERROR(VLOOKUP(F209,'G-7 Rivers Data'!$C$4:$D$8,2,FALSE),"")</f>
        <v/>
      </c>
      <c r="H209" s="145"/>
      <c r="I209" s="499" t="str">
        <f>IFERROR(INDEX('G-7 Rivers Data'!$H$4:$L$8,MATCH(D209,'G-7 Rivers Data'!$B$4:$B$8,0),MATCH(H209,'G-7 Rivers Data'!$H$3:$L$3,0)),"")</f>
        <v/>
      </c>
      <c r="J209" s="154"/>
      <c r="K209" s="520" t="str">
        <f>IF(J209="","",IF(VLOOKUP(J209,'G-7 Rivers Data'!$AK$4:$AM$9,2,FALSE)=0,"Spatial Data Missing ⚠",VLOOKUP(J209,'G-7 Rivers Data'!$AK$4:$AM$9,2,FALSE)))</f>
        <v/>
      </c>
      <c r="L209" s="524"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Data'!$B$4:$G$8,6,FALSE))</f>
        <v/>
      </c>
      <c r="R209" s="513" t="str">
        <f t="shared" si="24"/>
        <v/>
      </c>
      <c r="S209" s="40"/>
      <c r="T209" s="145"/>
      <c r="U209" s="157"/>
      <c r="V209" s="511" t="str">
        <f t="shared" si="25"/>
        <v/>
      </c>
      <c r="W209" s="511" t="str">
        <f t="shared" si="26"/>
        <v/>
      </c>
      <c r="X209" s="511" t="str">
        <f t="shared" si="27"/>
        <v/>
      </c>
      <c r="Y209" s="515"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8" x14ac:dyDescent="0.25">
      <c r="C210" s="141">
        <v>201</v>
      </c>
      <c r="D210" s="462"/>
      <c r="E210" s="153"/>
      <c r="F210" s="498" t="str">
        <f>IF(D210="","",VLOOKUP(D210,'G-7 Rivers Data'!$B$2:$G$8,2,FALSE))</f>
        <v/>
      </c>
      <c r="G210" s="499" t="str">
        <f>IFERROR(VLOOKUP(F210,'G-7 Rivers Data'!$C$4:$D$8,2,FALSE),"")</f>
        <v/>
      </c>
      <c r="H210" s="145"/>
      <c r="I210" s="499" t="str">
        <f>IFERROR(INDEX('G-7 Rivers Data'!$H$4:$L$8,MATCH(D210,'G-7 Rivers Data'!$B$4:$B$8,0),MATCH(H210,'G-7 Rivers Data'!$H$3:$L$3,0)),"")</f>
        <v/>
      </c>
      <c r="J210" s="154"/>
      <c r="K210" s="520" t="str">
        <f>IF(J210="","",IF(VLOOKUP(J210,'G-7 Rivers Data'!$AK$4:$AM$9,2,FALSE)=0,"Spatial Data Missing ⚠",VLOOKUP(J210,'G-7 Rivers Data'!$AK$4:$AM$9,2,FALSE)))</f>
        <v/>
      </c>
      <c r="L210" s="524"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Data'!$B$4:$G$8,6,FALSE))</f>
        <v/>
      </c>
      <c r="R210" s="513" t="str">
        <f t="shared" si="24"/>
        <v/>
      </c>
      <c r="S210" s="40"/>
      <c r="T210" s="145"/>
      <c r="U210" s="157"/>
      <c r="V210" s="511" t="str">
        <f t="shared" si="25"/>
        <v/>
      </c>
      <c r="W210" s="511" t="str">
        <f t="shared" si="26"/>
        <v/>
      </c>
      <c r="X210" s="511" t="str">
        <f t="shared" si="27"/>
        <v/>
      </c>
      <c r="Y210" s="515"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8" x14ac:dyDescent="0.25">
      <c r="C211" s="141">
        <v>202</v>
      </c>
      <c r="D211" s="462"/>
      <c r="E211" s="153"/>
      <c r="F211" s="498" t="str">
        <f>IF(D211="","",VLOOKUP(D211,'G-7 Rivers Data'!$B$2:$G$8,2,FALSE))</f>
        <v/>
      </c>
      <c r="G211" s="499" t="str">
        <f>IFERROR(VLOOKUP(F211,'G-7 Rivers Data'!$C$4:$D$8,2,FALSE),"")</f>
        <v/>
      </c>
      <c r="H211" s="145"/>
      <c r="I211" s="499" t="str">
        <f>IFERROR(INDEX('G-7 Rivers Data'!$H$4:$L$8,MATCH(D211,'G-7 Rivers Data'!$B$4:$B$8,0),MATCH(H211,'G-7 Rivers Data'!$H$3:$L$3,0)),"")</f>
        <v/>
      </c>
      <c r="J211" s="154"/>
      <c r="K211" s="520" t="str">
        <f>IF(J211="","",IF(VLOOKUP(J211,'G-7 Rivers Data'!$AK$4:$AM$9,2,FALSE)=0,"Spatial Data Missing ⚠",VLOOKUP(J211,'G-7 Rivers Data'!$AK$4:$AM$9,2,FALSE)))</f>
        <v/>
      </c>
      <c r="L211" s="524"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Data'!$B$4:$G$8,6,FALSE))</f>
        <v/>
      </c>
      <c r="R211" s="513" t="str">
        <f t="shared" si="24"/>
        <v/>
      </c>
      <c r="S211" s="40"/>
      <c r="T211" s="145"/>
      <c r="U211" s="157"/>
      <c r="V211" s="511" t="str">
        <f t="shared" si="25"/>
        <v/>
      </c>
      <c r="W211" s="511" t="str">
        <f t="shared" si="26"/>
        <v/>
      </c>
      <c r="X211" s="511" t="str">
        <f t="shared" si="27"/>
        <v/>
      </c>
      <c r="Y211" s="515"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8" x14ac:dyDescent="0.25">
      <c r="C212" s="141">
        <v>203</v>
      </c>
      <c r="D212" s="462"/>
      <c r="E212" s="153"/>
      <c r="F212" s="498" t="str">
        <f>IF(D212="","",VLOOKUP(D212,'G-7 Rivers Data'!$B$2:$G$8,2,FALSE))</f>
        <v/>
      </c>
      <c r="G212" s="499" t="str">
        <f>IFERROR(VLOOKUP(F212,'G-7 Rivers Data'!$C$4:$D$8,2,FALSE),"")</f>
        <v/>
      </c>
      <c r="H212" s="145"/>
      <c r="I212" s="499" t="str">
        <f>IFERROR(INDEX('G-7 Rivers Data'!$H$4:$L$8,MATCH(D212,'G-7 Rivers Data'!$B$4:$B$8,0),MATCH(H212,'G-7 Rivers Data'!$H$3:$L$3,0)),"")</f>
        <v/>
      </c>
      <c r="J212" s="154"/>
      <c r="K212" s="520" t="str">
        <f>IF(J212="","",IF(VLOOKUP(J212,'G-7 Rivers Data'!$AK$4:$AM$9,2,FALSE)=0,"Spatial Data Missing ⚠",VLOOKUP(J212,'G-7 Rivers Data'!$AK$4:$AM$9,2,FALSE)))</f>
        <v/>
      </c>
      <c r="L212" s="524"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Data'!$B$4:$G$8,6,FALSE))</f>
        <v/>
      </c>
      <c r="R212" s="513" t="str">
        <f t="shared" si="24"/>
        <v/>
      </c>
      <c r="S212" s="40"/>
      <c r="T212" s="145"/>
      <c r="U212" s="157"/>
      <c r="V212" s="511" t="str">
        <f t="shared" si="25"/>
        <v/>
      </c>
      <c r="W212" s="511" t="str">
        <f t="shared" si="26"/>
        <v/>
      </c>
      <c r="X212" s="511" t="str">
        <f t="shared" si="27"/>
        <v/>
      </c>
      <c r="Y212" s="515"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8" x14ac:dyDescent="0.25">
      <c r="C213" s="141">
        <v>204</v>
      </c>
      <c r="D213" s="462"/>
      <c r="E213" s="153"/>
      <c r="F213" s="498" t="str">
        <f>IF(D213="","",VLOOKUP(D213,'G-7 Rivers Data'!$B$2:$G$8,2,FALSE))</f>
        <v/>
      </c>
      <c r="G213" s="499" t="str">
        <f>IFERROR(VLOOKUP(F213,'G-7 Rivers Data'!$C$4:$D$8,2,FALSE),"")</f>
        <v/>
      </c>
      <c r="H213" s="145"/>
      <c r="I213" s="499" t="str">
        <f>IFERROR(INDEX('G-7 Rivers Data'!$H$4:$L$8,MATCH(D213,'G-7 Rivers Data'!$B$4:$B$8,0),MATCH(H213,'G-7 Rivers Data'!$H$3:$L$3,0)),"")</f>
        <v/>
      </c>
      <c r="J213" s="154"/>
      <c r="K213" s="520" t="str">
        <f>IF(J213="","",IF(VLOOKUP(J213,'G-7 Rivers Data'!$AK$4:$AM$9,2,FALSE)=0,"Spatial Data Missing ⚠",VLOOKUP(J213,'G-7 Rivers Data'!$AK$4:$AM$9,2,FALSE)))</f>
        <v/>
      </c>
      <c r="L213" s="524"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Data'!$B$4:$G$8,6,FALSE))</f>
        <v/>
      </c>
      <c r="R213" s="513" t="str">
        <f t="shared" si="24"/>
        <v/>
      </c>
      <c r="S213" s="40"/>
      <c r="T213" s="145"/>
      <c r="U213" s="157"/>
      <c r="V213" s="511" t="str">
        <f t="shared" si="25"/>
        <v/>
      </c>
      <c r="W213" s="511" t="str">
        <f t="shared" si="26"/>
        <v/>
      </c>
      <c r="X213" s="511" t="str">
        <f t="shared" si="27"/>
        <v/>
      </c>
      <c r="Y213" s="515"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8" x14ac:dyDescent="0.25">
      <c r="C214" s="141">
        <v>205</v>
      </c>
      <c r="D214" s="462"/>
      <c r="E214" s="153"/>
      <c r="F214" s="498" t="str">
        <f>IF(D214="","",VLOOKUP(D214,'G-7 Rivers Data'!$B$2:$G$8,2,FALSE))</f>
        <v/>
      </c>
      <c r="G214" s="499" t="str">
        <f>IFERROR(VLOOKUP(F214,'G-7 Rivers Data'!$C$4:$D$8,2,FALSE),"")</f>
        <v/>
      </c>
      <c r="H214" s="145"/>
      <c r="I214" s="499" t="str">
        <f>IFERROR(INDEX('G-7 Rivers Data'!$H$4:$L$8,MATCH(D214,'G-7 Rivers Data'!$B$4:$B$8,0),MATCH(H214,'G-7 Rivers Data'!$H$3:$L$3,0)),"")</f>
        <v/>
      </c>
      <c r="J214" s="154"/>
      <c r="K214" s="520" t="str">
        <f>IF(J214="","",IF(VLOOKUP(J214,'G-7 Rivers Data'!$AK$4:$AM$9,2,FALSE)=0,"Spatial Data Missing ⚠",VLOOKUP(J214,'G-7 Rivers Data'!$AK$4:$AM$9,2,FALSE)))</f>
        <v/>
      </c>
      <c r="L214" s="524"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Data'!$B$4:$G$8,6,FALSE))</f>
        <v/>
      </c>
      <c r="R214" s="513" t="str">
        <f t="shared" si="24"/>
        <v/>
      </c>
      <c r="S214" s="40"/>
      <c r="T214" s="145"/>
      <c r="U214" s="157"/>
      <c r="V214" s="511" t="str">
        <f t="shared" si="25"/>
        <v/>
      </c>
      <c r="W214" s="511" t="str">
        <f t="shared" si="26"/>
        <v/>
      </c>
      <c r="X214" s="511" t="str">
        <f t="shared" si="27"/>
        <v/>
      </c>
      <c r="Y214" s="515"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8" x14ac:dyDescent="0.25">
      <c r="C215" s="141">
        <v>206</v>
      </c>
      <c r="D215" s="462"/>
      <c r="E215" s="153"/>
      <c r="F215" s="498" t="str">
        <f>IF(D215="","",VLOOKUP(D215,'G-7 Rivers Data'!$B$2:$G$8,2,FALSE))</f>
        <v/>
      </c>
      <c r="G215" s="499" t="str">
        <f>IFERROR(VLOOKUP(F215,'G-7 Rivers Data'!$C$4:$D$8,2,FALSE),"")</f>
        <v/>
      </c>
      <c r="H215" s="145"/>
      <c r="I215" s="499" t="str">
        <f>IFERROR(INDEX('G-7 Rivers Data'!$H$4:$L$8,MATCH(D215,'G-7 Rivers Data'!$B$4:$B$8,0),MATCH(H215,'G-7 Rivers Data'!$H$3:$L$3,0)),"")</f>
        <v/>
      </c>
      <c r="J215" s="154"/>
      <c r="K215" s="520" t="str">
        <f>IF(J215="","",IF(VLOOKUP(J215,'G-7 Rivers Data'!$AK$4:$AM$9,2,FALSE)=0,"Spatial Data Missing ⚠",VLOOKUP(J215,'G-7 Rivers Data'!$AK$4:$AM$9,2,FALSE)))</f>
        <v/>
      </c>
      <c r="L215" s="524"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Data'!$B$4:$G$8,6,FALSE))</f>
        <v/>
      </c>
      <c r="R215" s="513" t="str">
        <f t="shared" si="24"/>
        <v/>
      </c>
      <c r="S215" s="40"/>
      <c r="T215" s="145"/>
      <c r="U215" s="157"/>
      <c r="V215" s="511" t="str">
        <f t="shared" si="25"/>
        <v/>
      </c>
      <c r="W215" s="511" t="str">
        <f t="shared" si="26"/>
        <v/>
      </c>
      <c r="X215" s="511" t="str">
        <f t="shared" si="27"/>
        <v/>
      </c>
      <c r="Y215" s="515"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8" x14ac:dyDescent="0.25">
      <c r="C216" s="141">
        <v>207</v>
      </c>
      <c r="D216" s="462"/>
      <c r="E216" s="153"/>
      <c r="F216" s="498" t="str">
        <f>IF(D216="","",VLOOKUP(D216,'G-7 Rivers Data'!$B$2:$G$8,2,FALSE))</f>
        <v/>
      </c>
      <c r="G216" s="499" t="str">
        <f>IFERROR(VLOOKUP(F216,'G-7 Rivers Data'!$C$4:$D$8,2,FALSE),"")</f>
        <v/>
      </c>
      <c r="H216" s="145"/>
      <c r="I216" s="499" t="str">
        <f>IFERROR(INDEX('G-7 Rivers Data'!$H$4:$L$8,MATCH(D216,'G-7 Rivers Data'!$B$4:$B$8,0),MATCH(H216,'G-7 Rivers Data'!$H$3:$L$3,0)),"")</f>
        <v/>
      </c>
      <c r="J216" s="154"/>
      <c r="K216" s="520" t="str">
        <f>IF(J216="","",IF(VLOOKUP(J216,'G-7 Rivers Data'!$AK$4:$AM$9,2,FALSE)=0,"Spatial Data Missing ⚠",VLOOKUP(J216,'G-7 Rivers Data'!$AK$4:$AM$9,2,FALSE)))</f>
        <v/>
      </c>
      <c r="L216" s="524"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Data'!$B$4:$G$8,6,FALSE))</f>
        <v/>
      </c>
      <c r="R216" s="513" t="str">
        <f t="shared" si="24"/>
        <v/>
      </c>
      <c r="S216" s="40"/>
      <c r="T216" s="145"/>
      <c r="U216" s="157"/>
      <c r="V216" s="511" t="str">
        <f t="shared" si="25"/>
        <v/>
      </c>
      <c r="W216" s="511" t="str">
        <f t="shared" si="26"/>
        <v/>
      </c>
      <c r="X216" s="511" t="str">
        <f t="shared" si="27"/>
        <v/>
      </c>
      <c r="Y216" s="515"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8" x14ac:dyDescent="0.25">
      <c r="C217" s="141">
        <v>208</v>
      </c>
      <c r="D217" s="462"/>
      <c r="E217" s="153"/>
      <c r="F217" s="498" t="str">
        <f>IF(D217="","",VLOOKUP(D217,'G-7 Rivers Data'!$B$2:$G$8,2,FALSE))</f>
        <v/>
      </c>
      <c r="G217" s="499" t="str">
        <f>IFERROR(VLOOKUP(F217,'G-7 Rivers Data'!$C$4:$D$8,2,FALSE),"")</f>
        <v/>
      </c>
      <c r="H217" s="145"/>
      <c r="I217" s="499" t="str">
        <f>IFERROR(INDEX('G-7 Rivers Data'!$H$4:$L$8,MATCH(D217,'G-7 Rivers Data'!$B$4:$B$8,0),MATCH(H217,'G-7 Rivers Data'!$H$3:$L$3,0)),"")</f>
        <v/>
      </c>
      <c r="J217" s="154"/>
      <c r="K217" s="520" t="str">
        <f>IF(J217="","",IF(VLOOKUP(J217,'G-7 Rivers Data'!$AK$4:$AM$9,2,FALSE)=0,"Spatial Data Missing ⚠",VLOOKUP(J217,'G-7 Rivers Data'!$AK$4:$AM$9,2,FALSE)))</f>
        <v/>
      </c>
      <c r="L217" s="524"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Data'!$B$4:$G$8,6,FALSE))</f>
        <v/>
      </c>
      <c r="R217" s="513" t="str">
        <f t="shared" si="24"/>
        <v/>
      </c>
      <c r="S217" s="40"/>
      <c r="T217" s="145"/>
      <c r="U217" s="157"/>
      <c r="V217" s="511" t="str">
        <f t="shared" si="25"/>
        <v/>
      </c>
      <c r="W217" s="511" t="str">
        <f t="shared" si="26"/>
        <v/>
      </c>
      <c r="X217" s="511" t="str">
        <f t="shared" si="27"/>
        <v/>
      </c>
      <c r="Y217" s="515"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8" x14ac:dyDescent="0.25">
      <c r="C218" s="141">
        <v>209</v>
      </c>
      <c r="D218" s="462"/>
      <c r="E218" s="153"/>
      <c r="F218" s="498" t="str">
        <f>IF(D218="","",VLOOKUP(D218,'G-7 Rivers Data'!$B$2:$G$8,2,FALSE))</f>
        <v/>
      </c>
      <c r="G218" s="499" t="str">
        <f>IFERROR(VLOOKUP(F218,'G-7 Rivers Data'!$C$4:$D$8,2,FALSE),"")</f>
        <v/>
      </c>
      <c r="H218" s="145"/>
      <c r="I218" s="499" t="str">
        <f>IFERROR(INDEX('G-7 Rivers Data'!$H$4:$L$8,MATCH(D218,'G-7 Rivers Data'!$B$4:$B$8,0),MATCH(H218,'G-7 Rivers Data'!$H$3:$L$3,0)),"")</f>
        <v/>
      </c>
      <c r="J218" s="154"/>
      <c r="K218" s="520" t="str">
        <f>IF(J218="","",IF(VLOOKUP(J218,'G-7 Rivers Data'!$AK$4:$AM$9,2,FALSE)=0,"Spatial Data Missing ⚠",VLOOKUP(J218,'G-7 Rivers Data'!$AK$4:$AM$9,2,FALSE)))</f>
        <v/>
      </c>
      <c r="L218" s="524"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Data'!$B$4:$G$8,6,FALSE))</f>
        <v/>
      </c>
      <c r="R218" s="513" t="str">
        <f t="shared" si="24"/>
        <v/>
      </c>
      <c r="S218" s="40"/>
      <c r="T218" s="145"/>
      <c r="U218" s="157"/>
      <c r="V218" s="511" t="str">
        <f t="shared" si="25"/>
        <v/>
      </c>
      <c r="W218" s="511" t="str">
        <f t="shared" si="26"/>
        <v/>
      </c>
      <c r="X218" s="511" t="str">
        <f t="shared" si="27"/>
        <v/>
      </c>
      <c r="Y218" s="515"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8" x14ac:dyDescent="0.25">
      <c r="C219" s="141">
        <v>210</v>
      </c>
      <c r="D219" s="462"/>
      <c r="E219" s="153"/>
      <c r="F219" s="498" t="str">
        <f>IF(D219="","",VLOOKUP(D219,'G-7 Rivers Data'!$B$2:$G$8,2,FALSE))</f>
        <v/>
      </c>
      <c r="G219" s="499" t="str">
        <f>IFERROR(VLOOKUP(F219,'G-7 Rivers Data'!$C$4:$D$8,2,FALSE),"")</f>
        <v/>
      </c>
      <c r="H219" s="145"/>
      <c r="I219" s="499" t="str">
        <f>IFERROR(INDEX('G-7 Rivers Data'!$H$4:$L$8,MATCH(D219,'G-7 Rivers Data'!$B$4:$B$8,0),MATCH(H219,'G-7 Rivers Data'!$H$3:$L$3,0)),"")</f>
        <v/>
      </c>
      <c r="J219" s="154"/>
      <c r="K219" s="520" t="str">
        <f>IF(J219="","",IF(VLOOKUP(J219,'G-7 Rivers Data'!$AK$4:$AM$9,2,FALSE)=0,"Spatial Data Missing ⚠",VLOOKUP(J219,'G-7 Rivers Data'!$AK$4:$AM$9,2,FALSE)))</f>
        <v/>
      </c>
      <c r="L219" s="524"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Data'!$B$4:$G$8,6,FALSE))</f>
        <v/>
      </c>
      <c r="R219" s="513" t="str">
        <f t="shared" si="24"/>
        <v/>
      </c>
      <c r="S219" s="40"/>
      <c r="T219" s="145"/>
      <c r="U219" s="157"/>
      <c r="V219" s="511" t="str">
        <f t="shared" si="25"/>
        <v/>
      </c>
      <c r="W219" s="511" t="str">
        <f t="shared" si="26"/>
        <v/>
      </c>
      <c r="X219" s="511" t="str">
        <f t="shared" si="27"/>
        <v/>
      </c>
      <c r="Y219" s="515"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8" x14ac:dyDescent="0.25">
      <c r="C220" s="141">
        <v>211</v>
      </c>
      <c r="D220" s="462"/>
      <c r="E220" s="153"/>
      <c r="F220" s="498" t="str">
        <f>IF(D220="","",VLOOKUP(D220,'G-7 Rivers Data'!$B$2:$G$8,2,FALSE))</f>
        <v/>
      </c>
      <c r="G220" s="499" t="str">
        <f>IFERROR(VLOOKUP(F220,'G-7 Rivers Data'!$C$4:$D$8,2,FALSE),"")</f>
        <v/>
      </c>
      <c r="H220" s="145"/>
      <c r="I220" s="499" t="str">
        <f>IFERROR(INDEX('G-7 Rivers Data'!$H$4:$L$8,MATCH(D220,'G-7 Rivers Data'!$B$4:$B$8,0),MATCH(H220,'G-7 Rivers Data'!$H$3:$L$3,0)),"")</f>
        <v/>
      </c>
      <c r="J220" s="154"/>
      <c r="K220" s="520" t="str">
        <f>IF(J220="","",IF(VLOOKUP(J220,'G-7 Rivers Data'!$AK$4:$AM$9,2,FALSE)=0,"Spatial Data Missing ⚠",VLOOKUP(J220,'G-7 Rivers Data'!$AK$4:$AM$9,2,FALSE)))</f>
        <v/>
      </c>
      <c r="L220" s="524"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Data'!$B$4:$G$8,6,FALSE))</f>
        <v/>
      </c>
      <c r="R220" s="513" t="str">
        <f t="shared" si="24"/>
        <v/>
      </c>
      <c r="S220" s="40"/>
      <c r="T220" s="145"/>
      <c r="U220" s="157"/>
      <c r="V220" s="511" t="str">
        <f t="shared" si="25"/>
        <v/>
      </c>
      <c r="W220" s="511" t="str">
        <f t="shared" si="26"/>
        <v/>
      </c>
      <c r="X220" s="511" t="str">
        <f t="shared" si="27"/>
        <v/>
      </c>
      <c r="Y220" s="515"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8" x14ac:dyDescent="0.25">
      <c r="C221" s="141">
        <v>212</v>
      </c>
      <c r="D221" s="462"/>
      <c r="E221" s="153"/>
      <c r="F221" s="498" t="str">
        <f>IF(D221="","",VLOOKUP(D221,'G-7 Rivers Data'!$B$2:$G$8,2,FALSE))</f>
        <v/>
      </c>
      <c r="G221" s="499" t="str">
        <f>IFERROR(VLOOKUP(F221,'G-7 Rivers Data'!$C$4:$D$8,2,FALSE),"")</f>
        <v/>
      </c>
      <c r="H221" s="145"/>
      <c r="I221" s="499" t="str">
        <f>IFERROR(INDEX('G-7 Rivers Data'!$H$4:$L$8,MATCH(D221,'G-7 Rivers Data'!$B$4:$B$8,0),MATCH(H221,'G-7 Rivers Data'!$H$3:$L$3,0)),"")</f>
        <v/>
      </c>
      <c r="J221" s="154"/>
      <c r="K221" s="520" t="str">
        <f>IF(J221="","",IF(VLOOKUP(J221,'G-7 Rivers Data'!$AK$4:$AM$9,2,FALSE)=0,"Spatial Data Missing ⚠",VLOOKUP(J221,'G-7 Rivers Data'!$AK$4:$AM$9,2,FALSE)))</f>
        <v/>
      </c>
      <c r="L221" s="524"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Data'!$B$4:$G$8,6,FALSE))</f>
        <v/>
      </c>
      <c r="R221" s="513" t="str">
        <f t="shared" si="24"/>
        <v/>
      </c>
      <c r="S221" s="40"/>
      <c r="T221" s="145"/>
      <c r="U221" s="157"/>
      <c r="V221" s="511" t="str">
        <f t="shared" si="25"/>
        <v/>
      </c>
      <c r="W221" s="511" t="str">
        <f t="shared" si="26"/>
        <v/>
      </c>
      <c r="X221" s="511" t="str">
        <f t="shared" si="27"/>
        <v/>
      </c>
      <c r="Y221" s="515"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8" x14ac:dyDescent="0.25">
      <c r="C222" s="141">
        <v>213</v>
      </c>
      <c r="D222" s="462"/>
      <c r="E222" s="153"/>
      <c r="F222" s="498" t="str">
        <f>IF(D222="","",VLOOKUP(D222,'G-7 Rivers Data'!$B$2:$G$8,2,FALSE))</f>
        <v/>
      </c>
      <c r="G222" s="499" t="str">
        <f>IFERROR(VLOOKUP(F222,'G-7 Rivers Data'!$C$4:$D$8,2,FALSE),"")</f>
        <v/>
      </c>
      <c r="H222" s="145"/>
      <c r="I222" s="499" t="str">
        <f>IFERROR(INDEX('G-7 Rivers Data'!$H$4:$L$8,MATCH(D222,'G-7 Rivers Data'!$B$4:$B$8,0),MATCH(H222,'G-7 Rivers Data'!$H$3:$L$3,0)),"")</f>
        <v/>
      </c>
      <c r="J222" s="154"/>
      <c r="K222" s="520" t="str">
        <f>IF(J222="","",IF(VLOOKUP(J222,'G-7 Rivers Data'!$AK$4:$AM$9,2,FALSE)=0,"Spatial Data Missing ⚠",VLOOKUP(J222,'G-7 Rivers Data'!$AK$4:$AM$9,2,FALSE)))</f>
        <v/>
      </c>
      <c r="L222" s="524"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Data'!$B$4:$G$8,6,FALSE))</f>
        <v/>
      </c>
      <c r="R222" s="513" t="str">
        <f t="shared" si="24"/>
        <v/>
      </c>
      <c r="S222" s="40"/>
      <c r="T222" s="145"/>
      <c r="U222" s="157"/>
      <c r="V222" s="511" t="str">
        <f t="shared" si="25"/>
        <v/>
      </c>
      <c r="W222" s="511" t="str">
        <f t="shared" si="26"/>
        <v/>
      </c>
      <c r="X222" s="511" t="str">
        <f t="shared" si="27"/>
        <v/>
      </c>
      <c r="Y222" s="515"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8" x14ac:dyDescent="0.25">
      <c r="C223" s="141">
        <v>214</v>
      </c>
      <c r="D223" s="462"/>
      <c r="E223" s="153"/>
      <c r="F223" s="498" t="str">
        <f>IF(D223="","",VLOOKUP(D223,'G-7 Rivers Data'!$B$2:$G$8,2,FALSE))</f>
        <v/>
      </c>
      <c r="G223" s="499" t="str">
        <f>IFERROR(VLOOKUP(F223,'G-7 Rivers Data'!$C$4:$D$8,2,FALSE),"")</f>
        <v/>
      </c>
      <c r="H223" s="145"/>
      <c r="I223" s="499" t="str">
        <f>IFERROR(INDEX('G-7 Rivers Data'!$H$4:$L$8,MATCH(D223,'G-7 Rivers Data'!$B$4:$B$8,0),MATCH(H223,'G-7 Rivers Data'!$H$3:$L$3,0)),"")</f>
        <v/>
      </c>
      <c r="J223" s="154"/>
      <c r="K223" s="520" t="str">
        <f>IF(J223="","",IF(VLOOKUP(J223,'G-7 Rivers Data'!$AK$4:$AM$9,2,FALSE)=0,"Spatial Data Missing ⚠",VLOOKUP(J223,'G-7 Rivers Data'!$AK$4:$AM$9,2,FALSE)))</f>
        <v/>
      </c>
      <c r="L223" s="524"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Data'!$B$4:$G$8,6,FALSE))</f>
        <v/>
      </c>
      <c r="R223" s="513" t="str">
        <f t="shared" si="24"/>
        <v/>
      </c>
      <c r="S223" s="40"/>
      <c r="T223" s="145"/>
      <c r="U223" s="157"/>
      <c r="V223" s="511" t="str">
        <f t="shared" si="25"/>
        <v/>
      </c>
      <c r="W223" s="511" t="str">
        <f t="shared" si="26"/>
        <v/>
      </c>
      <c r="X223" s="511" t="str">
        <f t="shared" si="27"/>
        <v/>
      </c>
      <c r="Y223" s="515"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8" x14ac:dyDescent="0.25">
      <c r="C224" s="141">
        <v>215</v>
      </c>
      <c r="D224" s="462"/>
      <c r="E224" s="153"/>
      <c r="F224" s="498" t="str">
        <f>IF(D224="","",VLOOKUP(D224,'G-7 Rivers Data'!$B$2:$G$8,2,FALSE))</f>
        <v/>
      </c>
      <c r="G224" s="499" t="str">
        <f>IFERROR(VLOOKUP(F224,'G-7 Rivers Data'!$C$4:$D$8,2,FALSE),"")</f>
        <v/>
      </c>
      <c r="H224" s="145"/>
      <c r="I224" s="499" t="str">
        <f>IFERROR(INDEX('G-7 Rivers Data'!$H$4:$L$8,MATCH(D224,'G-7 Rivers Data'!$B$4:$B$8,0),MATCH(H224,'G-7 Rivers Data'!$H$3:$L$3,0)),"")</f>
        <v/>
      </c>
      <c r="J224" s="154"/>
      <c r="K224" s="520" t="str">
        <f>IF(J224="","",IF(VLOOKUP(J224,'G-7 Rivers Data'!$AK$4:$AM$9,2,FALSE)=0,"Spatial Data Missing ⚠",VLOOKUP(J224,'G-7 Rivers Data'!$AK$4:$AM$9,2,FALSE)))</f>
        <v/>
      </c>
      <c r="L224" s="524"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Data'!$B$4:$G$8,6,FALSE))</f>
        <v/>
      </c>
      <c r="R224" s="513" t="str">
        <f t="shared" si="24"/>
        <v/>
      </c>
      <c r="S224" s="40"/>
      <c r="T224" s="145"/>
      <c r="U224" s="157"/>
      <c r="V224" s="511" t="str">
        <f t="shared" si="25"/>
        <v/>
      </c>
      <c r="W224" s="511" t="str">
        <f t="shared" si="26"/>
        <v/>
      </c>
      <c r="X224" s="511" t="str">
        <f t="shared" si="27"/>
        <v/>
      </c>
      <c r="Y224" s="515"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8" x14ac:dyDescent="0.25">
      <c r="C225" s="141">
        <v>216</v>
      </c>
      <c r="D225" s="462"/>
      <c r="E225" s="153"/>
      <c r="F225" s="498" t="str">
        <f>IF(D225="","",VLOOKUP(D225,'G-7 Rivers Data'!$B$2:$G$8,2,FALSE))</f>
        <v/>
      </c>
      <c r="G225" s="499" t="str">
        <f>IFERROR(VLOOKUP(F225,'G-7 Rivers Data'!$C$4:$D$8,2,FALSE),"")</f>
        <v/>
      </c>
      <c r="H225" s="145"/>
      <c r="I225" s="499" t="str">
        <f>IFERROR(INDEX('G-7 Rivers Data'!$H$4:$L$8,MATCH(D225,'G-7 Rivers Data'!$B$4:$B$8,0),MATCH(H225,'G-7 Rivers Data'!$H$3:$L$3,0)),"")</f>
        <v/>
      </c>
      <c r="J225" s="154"/>
      <c r="K225" s="520" t="str">
        <f>IF(J225="","",IF(VLOOKUP(J225,'G-7 Rivers Data'!$AK$4:$AM$9,2,FALSE)=0,"Spatial Data Missing ⚠",VLOOKUP(J225,'G-7 Rivers Data'!$AK$4:$AM$9,2,FALSE)))</f>
        <v/>
      </c>
      <c r="L225" s="524"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Data'!$B$4:$G$8,6,FALSE))</f>
        <v/>
      </c>
      <c r="R225" s="513" t="str">
        <f t="shared" si="24"/>
        <v/>
      </c>
      <c r="S225" s="40"/>
      <c r="T225" s="145"/>
      <c r="U225" s="157"/>
      <c r="V225" s="511" t="str">
        <f t="shared" si="25"/>
        <v/>
      </c>
      <c r="W225" s="511" t="str">
        <f t="shared" si="26"/>
        <v/>
      </c>
      <c r="X225" s="511" t="str">
        <f t="shared" si="27"/>
        <v/>
      </c>
      <c r="Y225" s="515"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8" x14ac:dyDescent="0.25">
      <c r="C226" s="141">
        <v>217</v>
      </c>
      <c r="D226" s="462"/>
      <c r="E226" s="153"/>
      <c r="F226" s="498" t="str">
        <f>IF(D226="","",VLOOKUP(D226,'G-7 Rivers Data'!$B$2:$G$8,2,FALSE))</f>
        <v/>
      </c>
      <c r="G226" s="499" t="str">
        <f>IFERROR(VLOOKUP(F226,'G-7 Rivers Data'!$C$4:$D$8,2,FALSE),"")</f>
        <v/>
      </c>
      <c r="H226" s="145"/>
      <c r="I226" s="499" t="str">
        <f>IFERROR(INDEX('G-7 Rivers Data'!$H$4:$L$8,MATCH(D226,'G-7 Rivers Data'!$B$4:$B$8,0),MATCH(H226,'G-7 Rivers Data'!$H$3:$L$3,0)),"")</f>
        <v/>
      </c>
      <c r="J226" s="154"/>
      <c r="K226" s="520" t="str">
        <f>IF(J226="","",IF(VLOOKUP(J226,'G-7 Rivers Data'!$AK$4:$AM$9,2,FALSE)=0,"Spatial Data Missing ⚠",VLOOKUP(J226,'G-7 Rivers Data'!$AK$4:$AM$9,2,FALSE)))</f>
        <v/>
      </c>
      <c r="L226" s="524"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Data'!$B$4:$G$8,6,FALSE))</f>
        <v/>
      </c>
      <c r="R226" s="513" t="str">
        <f t="shared" si="24"/>
        <v/>
      </c>
      <c r="S226" s="40"/>
      <c r="T226" s="145"/>
      <c r="U226" s="157"/>
      <c r="V226" s="511" t="str">
        <f t="shared" si="25"/>
        <v/>
      </c>
      <c r="W226" s="511" t="str">
        <f t="shared" si="26"/>
        <v/>
      </c>
      <c r="X226" s="511" t="str">
        <f t="shared" si="27"/>
        <v/>
      </c>
      <c r="Y226" s="515"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8" x14ac:dyDescent="0.25">
      <c r="C227" s="141">
        <v>218</v>
      </c>
      <c r="D227" s="462"/>
      <c r="E227" s="153"/>
      <c r="F227" s="498" t="str">
        <f>IF(D227="","",VLOOKUP(D227,'G-7 Rivers Data'!$B$2:$G$8,2,FALSE))</f>
        <v/>
      </c>
      <c r="G227" s="499" t="str">
        <f>IFERROR(VLOOKUP(F227,'G-7 Rivers Data'!$C$4:$D$8,2,FALSE),"")</f>
        <v/>
      </c>
      <c r="H227" s="145"/>
      <c r="I227" s="499" t="str">
        <f>IFERROR(INDEX('G-7 Rivers Data'!$H$4:$L$8,MATCH(D227,'G-7 Rivers Data'!$B$4:$B$8,0),MATCH(H227,'G-7 Rivers Data'!$H$3:$L$3,0)),"")</f>
        <v/>
      </c>
      <c r="J227" s="154"/>
      <c r="K227" s="520" t="str">
        <f>IF(J227="","",IF(VLOOKUP(J227,'G-7 Rivers Data'!$AK$4:$AM$9,2,FALSE)=0,"Spatial Data Missing ⚠",VLOOKUP(J227,'G-7 Rivers Data'!$AK$4:$AM$9,2,FALSE)))</f>
        <v/>
      </c>
      <c r="L227" s="524"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Data'!$B$4:$G$8,6,FALSE))</f>
        <v/>
      </c>
      <c r="R227" s="513" t="str">
        <f t="shared" si="24"/>
        <v/>
      </c>
      <c r="S227" s="40"/>
      <c r="T227" s="145"/>
      <c r="U227" s="157"/>
      <c r="V227" s="511" t="str">
        <f t="shared" si="25"/>
        <v/>
      </c>
      <c r="W227" s="511" t="str">
        <f t="shared" si="26"/>
        <v/>
      </c>
      <c r="X227" s="511" t="str">
        <f t="shared" si="27"/>
        <v/>
      </c>
      <c r="Y227" s="515"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8" x14ac:dyDescent="0.25">
      <c r="C228" s="141">
        <v>219</v>
      </c>
      <c r="D228" s="462"/>
      <c r="E228" s="153"/>
      <c r="F228" s="498" t="str">
        <f>IF(D228="","",VLOOKUP(D228,'G-7 Rivers Data'!$B$2:$G$8,2,FALSE))</f>
        <v/>
      </c>
      <c r="G228" s="499" t="str">
        <f>IFERROR(VLOOKUP(F228,'G-7 Rivers Data'!$C$4:$D$8,2,FALSE),"")</f>
        <v/>
      </c>
      <c r="H228" s="145"/>
      <c r="I228" s="499" t="str">
        <f>IFERROR(INDEX('G-7 Rivers Data'!$H$4:$L$8,MATCH(D228,'G-7 Rivers Data'!$B$4:$B$8,0),MATCH(H228,'G-7 Rivers Data'!$H$3:$L$3,0)),"")</f>
        <v/>
      </c>
      <c r="J228" s="154"/>
      <c r="K228" s="520" t="str">
        <f>IF(J228="","",IF(VLOOKUP(J228,'G-7 Rivers Data'!$AK$4:$AM$9,2,FALSE)=0,"Spatial Data Missing ⚠",VLOOKUP(J228,'G-7 Rivers Data'!$AK$4:$AM$9,2,FALSE)))</f>
        <v/>
      </c>
      <c r="L228" s="524"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Data'!$B$4:$G$8,6,FALSE))</f>
        <v/>
      </c>
      <c r="R228" s="513" t="str">
        <f t="shared" si="24"/>
        <v/>
      </c>
      <c r="S228" s="40"/>
      <c r="T228" s="145"/>
      <c r="U228" s="157"/>
      <c r="V228" s="511" t="str">
        <f t="shared" si="25"/>
        <v/>
      </c>
      <c r="W228" s="511" t="str">
        <f t="shared" si="26"/>
        <v/>
      </c>
      <c r="X228" s="511" t="str">
        <f t="shared" si="27"/>
        <v/>
      </c>
      <c r="Y228" s="515"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8" x14ac:dyDescent="0.25">
      <c r="C229" s="141">
        <v>220</v>
      </c>
      <c r="D229" s="462"/>
      <c r="E229" s="153"/>
      <c r="F229" s="498" t="str">
        <f>IF(D229="","",VLOOKUP(D229,'G-7 Rivers Data'!$B$2:$G$8,2,FALSE))</f>
        <v/>
      </c>
      <c r="G229" s="499" t="str">
        <f>IFERROR(VLOOKUP(F229,'G-7 Rivers Data'!$C$4:$D$8,2,FALSE),"")</f>
        <v/>
      </c>
      <c r="H229" s="145"/>
      <c r="I229" s="499" t="str">
        <f>IFERROR(INDEX('G-7 Rivers Data'!$H$4:$L$8,MATCH(D229,'G-7 Rivers Data'!$B$4:$B$8,0),MATCH(H229,'G-7 Rivers Data'!$H$3:$L$3,0)),"")</f>
        <v/>
      </c>
      <c r="J229" s="154"/>
      <c r="K229" s="520" t="str">
        <f>IF(J229="","",IF(VLOOKUP(J229,'G-7 Rivers Data'!$AK$4:$AM$9,2,FALSE)=0,"Spatial Data Missing ⚠",VLOOKUP(J229,'G-7 Rivers Data'!$AK$4:$AM$9,2,FALSE)))</f>
        <v/>
      </c>
      <c r="L229" s="524"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Data'!$B$4:$G$8,6,FALSE))</f>
        <v/>
      </c>
      <c r="R229" s="513" t="str">
        <f t="shared" si="24"/>
        <v/>
      </c>
      <c r="S229" s="40"/>
      <c r="T229" s="145"/>
      <c r="U229" s="157"/>
      <c r="V229" s="511" t="str">
        <f t="shared" si="25"/>
        <v/>
      </c>
      <c r="W229" s="511" t="str">
        <f t="shared" si="26"/>
        <v/>
      </c>
      <c r="X229" s="511" t="str">
        <f t="shared" si="27"/>
        <v/>
      </c>
      <c r="Y229" s="515"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8" x14ac:dyDescent="0.25">
      <c r="C230" s="141">
        <v>221</v>
      </c>
      <c r="D230" s="462"/>
      <c r="E230" s="153"/>
      <c r="F230" s="498" t="str">
        <f>IF(D230="","",VLOOKUP(D230,'G-7 Rivers Data'!$B$2:$G$8,2,FALSE))</f>
        <v/>
      </c>
      <c r="G230" s="499" t="str">
        <f>IFERROR(VLOOKUP(F230,'G-7 Rivers Data'!$C$4:$D$8,2,FALSE),"")</f>
        <v/>
      </c>
      <c r="H230" s="145"/>
      <c r="I230" s="499" t="str">
        <f>IFERROR(INDEX('G-7 Rivers Data'!$H$4:$L$8,MATCH(D230,'G-7 Rivers Data'!$B$4:$B$8,0),MATCH(H230,'G-7 Rivers Data'!$H$3:$L$3,0)),"")</f>
        <v/>
      </c>
      <c r="J230" s="154"/>
      <c r="K230" s="520" t="str">
        <f>IF(J230="","",IF(VLOOKUP(J230,'G-7 Rivers Data'!$AK$4:$AM$9,2,FALSE)=0,"Spatial Data Missing ⚠",VLOOKUP(J230,'G-7 Rivers Data'!$AK$4:$AM$9,2,FALSE)))</f>
        <v/>
      </c>
      <c r="L230" s="524"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Data'!$B$4:$G$8,6,FALSE))</f>
        <v/>
      </c>
      <c r="R230" s="513" t="str">
        <f t="shared" si="24"/>
        <v/>
      </c>
      <c r="S230" s="40"/>
      <c r="T230" s="145"/>
      <c r="U230" s="157"/>
      <c r="V230" s="511" t="str">
        <f t="shared" si="25"/>
        <v/>
      </c>
      <c r="W230" s="511" t="str">
        <f t="shared" si="26"/>
        <v/>
      </c>
      <c r="X230" s="511" t="str">
        <f t="shared" si="27"/>
        <v/>
      </c>
      <c r="Y230" s="515"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8" x14ac:dyDescent="0.25">
      <c r="C231" s="141">
        <v>222</v>
      </c>
      <c r="D231" s="462"/>
      <c r="E231" s="153"/>
      <c r="F231" s="498" t="str">
        <f>IF(D231="","",VLOOKUP(D231,'G-7 Rivers Data'!$B$2:$G$8,2,FALSE))</f>
        <v/>
      </c>
      <c r="G231" s="499" t="str">
        <f>IFERROR(VLOOKUP(F231,'G-7 Rivers Data'!$C$4:$D$8,2,FALSE),"")</f>
        <v/>
      </c>
      <c r="H231" s="145"/>
      <c r="I231" s="499" t="str">
        <f>IFERROR(INDEX('G-7 Rivers Data'!$H$4:$L$8,MATCH(D231,'G-7 Rivers Data'!$B$4:$B$8,0),MATCH(H231,'G-7 Rivers Data'!$H$3:$L$3,0)),"")</f>
        <v/>
      </c>
      <c r="J231" s="154"/>
      <c r="K231" s="520" t="str">
        <f>IF(J231="","",IF(VLOOKUP(J231,'G-7 Rivers Data'!$AK$4:$AM$9,2,FALSE)=0,"Spatial Data Missing ⚠",VLOOKUP(J231,'G-7 Rivers Data'!$AK$4:$AM$9,2,FALSE)))</f>
        <v/>
      </c>
      <c r="L231" s="524"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Data'!$B$4:$G$8,6,FALSE))</f>
        <v/>
      </c>
      <c r="R231" s="513" t="str">
        <f t="shared" si="24"/>
        <v/>
      </c>
      <c r="S231" s="40"/>
      <c r="T231" s="145"/>
      <c r="U231" s="157"/>
      <c r="V231" s="511" t="str">
        <f t="shared" si="25"/>
        <v/>
      </c>
      <c r="W231" s="511" t="str">
        <f t="shared" si="26"/>
        <v/>
      </c>
      <c r="X231" s="511" t="str">
        <f t="shared" si="27"/>
        <v/>
      </c>
      <c r="Y231" s="515"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8" x14ac:dyDescent="0.25">
      <c r="C232" s="141">
        <v>223</v>
      </c>
      <c r="D232" s="462"/>
      <c r="E232" s="153"/>
      <c r="F232" s="498" t="str">
        <f>IF(D232="","",VLOOKUP(D232,'G-7 Rivers Data'!$B$2:$G$8,2,FALSE))</f>
        <v/>
      </c>
      <c r="G232" s="499" t="str">
        <f>IFERROR(VLOOKUP(F232,'G-7 Rivers Data'!$C$4:$D$8,2,FALSE),"")</f>
        <v/>
      </c>
      <c r="H232" s="145"/>
      <c r="I232" s="499" t="str">
        <f>IFERROR(INDEX('G-7 Rivers Data'!$H$4:$L$8,MATCH(D232,'G-7 Rivers Data'!$B$4:$B$8,0),MATCH(H232,'G-7 Rivers Data'!$H$3:$L$3,0)),"")</f>
        <v/>
      </c>
      <c r="J232" s="154"/>
      <c r="K232" s="520" t="str">
        <f>IF(J232="","",IF(VLOOKUP(J232,'G-7 Rivers Data'!$AK$4:$AM$9,2,FALSE)=0,"Spatial Data Missing ⚠",VLOOKUP(J232,'G-7 Rivers Data'!$AK$4:$AM$9,2,FALSE)))</f>
        <v/>
      </c>
      <c r="L232" s="524"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Data'!$B$4:$G$8,6,FALSE))</f>
        <v/>
      </c>
      <c r="R232" s="513" t="str">
        <f t="shared" si="24"/>
        <v/>
      </c>
      <c r="S232" s="40"/>
      <c r="T232" s="145"/>
      <c r="U232" s="157"/>
      <c r="V232" s="511" t="str">
        <f t="shared" si="25"/>
        <v/>
      </c>
      <c r="W232" s="511" t="str">
        <f t="shared" si="26"/>
        <v/>
      </c>
      <c r="X232" s="511" t="str">
        <f t="shared" si="27"/>
        <v/>
      </c>
      <c r="Y232" s="515"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8" x14ac:dyDescent="0.25">
      <c r="C233" s="141">
        <v>224</v>
      </c>
      <c r="D233" s="462"/>
      <c r="E233" s="153"/>
      <c r="F233" s="498" t="str">
        <f>IF(D233="","",VLOOKUP(D233,'G-7 Rivers Data'!$B$2:$G$8,2,FALSE))</f>
        <v/>
      </c>
      <c r="G233" s="499" t="str">
        <f>IFERROR(VLOOKUP(F233,'G-7 Rivers Data'!$C$4:$D$8,2,FALSE),"")</f>
        <v/>
      </c>
      <c r="H233" s="145"/>
      <c r="I233" s="499" t="str">
        <f>IFERROR(INDEX('G-7 Rivers Data'!$H$4:$L$8,MATCH(D233,'G-7 Rivers Data'!$B$4:$B$8,0),MATCH(H233,'G-7 Rivers Data'!$H$3:$L$3,0)),"")</f>
        <v/>
      </c>
      <c r="J233" s="154"/>
      <c r="K233" s="520" t="str">
        <f>IF(J233="","",IF(VLOOKUP(J233,'G-7 Rivers Data'!$AK$4:$AM$9,2,FALSE)=0,"Spatial Data Missing ⚠",VLOOKUP(J233,'G-7 Rivers Data'!$AK$4:$AM$9,2,FALSE)))</f>
        <v/>
      </c>
      <c r="L233" s="524"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Data'!$B$4:$G$8,6,FALSE))</f>
        <v/>
      </c>
      <c r="R233" s="513" t="str">
        <f t="shared" si="24"/>
        <v/>
      </c>
      <c r="S233" s="40"/>
      <c r="T233" s="145"/>
      <c r="U233" s="157"/>
      <c r="V233" s="511" t="str">
        <f t="shared" si="25"/>
        <v/>
      </c>
      <c r="W233" s="511" t="str">
        <f t="shared" si="26"/>
        <v/>
      </c>
      <c r="X233" s="511" t="str">
        <f t="shared" si="27"/>
        <v/>
      </c>
      <c r="Y233" s="515"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8" x14ac:dyDescent="0.25">
      <c r="C234" s="141">
        <v>225</v>
      </c>
      <c r="D234" s="462"/>
      <c r="E234" s="153"/>
      <c r="F234" s="498" t="str">
        <f>IF(D234="","",VLOOKUP(D234,'G-7 Rivers Data'!$B$2:$G$8,2,FALSE))</f>
        <v/>
      </c>
      <c r="G234" s="499" t="str">
        <f>IFERROR(VLOOKUP(F234,'G-7 Rivers Data'!$C$4:$D$8,2,FALSE),"")</f>
        <v/>
      </c>
      <c r="H234" s="145"/>
      <c r="I234" s="499" t="str">
        <f>IFERROR(INDEX('G-7 Rivers Data'!$H$4:$L$8,MATCH(D234,'G-7 Rivers Data'!$B$4:$B$8,0),MATCH(H234,'G-7 Rivers Data'!$H$3:$L$3,0)),"")</f>
        <v/>
      </c>
      <c r="J234" s="154"/>
      <c r="K234" s="520" t="str">
        <f>IF(J234="","",IF(VLOOKUP(J234,'G-7 Rivers Data'!$AK$4:$AM$9,2,FALSE)=0,"Spatial Data Missing ⚠",VLOOKUP(J234,'G-7 Rivers Data'!$AK$4:$AM$9,2,FALSE)))</f>
        <v/>
      </c>
      <c r="L234" s="524"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Data'!$B$4:$G$8,6,FALSE))</f>
        <v/>
      </c>
      <c r="R234" s="513" t="str">
        <f t="shared" si="24"/>
        <v/>
      </c>
      <c r="S234" s="40"/>
      <c r="T234" s="145"/>
      <c r="U234" s="157"/>
      <c r="V234" s="511" t="str">
        <f t="shared" si="25"/>
        <v/>
      </c>
      <c r="W234" s="511" t="str">
        <f t="shared" si="26"/>
        <v/>
      </c>
      <c r="X234" s="511" t="str">
        <f t="shared" si="27"/>
        <v/>
      </c>
      <c r="Y234" s="515"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8" x14ac:dyDescent="0.25">
      <c r="C235" s="141">
        <v>226</v>
      </c>
      <c r="D235" s="462"/>
      <c r="E235" s="153"/>
      <c r="F235" s="498" t="str">
        <f>IF(D235="","",VLOOKUP(D235,'G-7 Rivers Data'!$B$2:$G$8,2,FALSE))</f>
        <v/>
      </c>
      <c r="G235" s="499" t="str">
        <f>IFERROR(VLOOKUP(F235,'G-7 Rivers Data'!$C$4:$D$8,2,FALSE),"")</f>
        <v/>
      </c>
      <c r="H235" s="145"/>
      <c r="I235" s="499" t="str">
        <f>IFERROR(INDEX('G-7 Rivers Data'!$H$4:$L$8,MATCH(D235,'G-7 Rivers Data'!$B$4:$B$8,0),MATCH(H235,'G-7 Rivers Data'!$H$3:$L$3,0)),"")</f>
        <v/>
      </c>
      <c r="J235" s="154"/>
      <c r="K235" s="520" t="str">
        <f>IF(J235="","",IF(VLOOKUP(J235,'G-7 Rivers Data'!$AK$4:$AM$9,2,FALSE)=0,"Spatial Data Missing ⚠",VLOOKUP(J235,'G-7 Rivers Data'!$AK$4:$AM$9,2,FALSE)))</f>
        <v/>
      </c>
      <c r="L235" s="524"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Data'!$B$4:$G$8,6,FALSE))</f>
        <v/>
      </c>
      <c r="R235" s="513" t="str">
        <f t="shared" si="24"/>
        <v/>
      </c>
      <c r="S235" s="40"/>
      <c r="T235" s="145"/>
      <c r="U235" s="157"/>
      <c r="V235" s="511" t="str">
        <f t="shared" si="25"/>
        <v/>
      </c>
      <c r="W235" s="511" t="str">
        <f t="shared" si="26"/>
        <v/>
      </c>
      <c r="X235" s="511" t="str">
        <f t="shared" si="27"/>
        <v/>
      </c>
      <c r="Y235" s="515"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8" x14ac:dyDescent="0.25">
      <c r="C236" s="141">
        <v>227</v>
      </c>
      <c r="D236" s="462"/>
      <c r="E236" s="153"/>
      <c r="F236" s="498" t="str">
        <f>IF(D236="","",VLOOKUP(D236,'G-7 Rivers Data'!$B$2:$G$8,2,FALSE))</f>
        <v/>
      </c>
      <c r="G236" s="499" t="str">
        <f>IFERROR(VLOOKUP(F236,'G-7 Rivers Data'!$C$4:$D$8,2,FALSE),"")</f>
        <v/>
      </c>
      <c r="H236" s="145"/>
      <c r="I236" s="499" t="str">
        <f>IFERROR(INDEX('G-7 Rivers Data'!$H$4:$L$8,MATCH(D236,'G-7 Rivers Data'!$B$4:$B$8,0),MATCH(H236,'G-7 Rivers Data'!$H$3:$L$3,0)),"")</f>
        <v/>
      </c>
      <c r="J236" s="154"/>
      <c r="K236" s="520" t="str">
        <f>IF(J236="","",IF(VLOOKUP(J236,'G-7 Rivers Data'!$AK$4:$AM$9,2,FALSE)=0,"Spatial Data Missing ⚠",VLOOKUP(J236,'G-7 Rivers Data'!$AK$4:$AM$9,2,FALSE)))</f>
        <v/>
      </c>
      <c r="L236" s="524"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Data'!$B$4:$G$8,6,FALSE))</f>
        <v/>
      </c>
      <c r="R236" s="513" t="str">
        <f t="shared" si="24"/>
        <v/>
      </c>
      <c r="S236" s="40"/>
      <c r="T236" s="145"/>
      <c r="U236" s="157"/>
      <c r="V236" s="511" t="str">
        <f t="shared" si="25"/>
        <v/>
      </c>
      <c r="W236" s="511" t="str">
        <f t="shared" si="26"/>
        <v/>
      </c>
      <c r="X236" s="511" t="str">
        <f t="shared" si="27"/>
        <v/>
      </c>
      <c r="Y236" s="515"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8" x14ac:dyDescent="0.25">
      <c r="C237" s="141">
        <v>228</v>
      </c>
      <c r="D237" s="462"/>
      <c r="E237" s="153"/>
      <c r="F237" s="498" t="str">
        <f>IF(D237="","",VLOOKUP(D237,'G-7 Rivers Data'!$B$2:$G$8,2,FALSE))</f>
        <v/>
      </c>
      <c r="G237" s="499" t="str">
        <f>IFERROR(VLOOKUP(F237,'G-7 Rivers Data'!$C$4:$D$8,2,FALSE),"")</f>
        <v/>
      </c>
      <c r="H237" s="145"/>
      <c r="I237" s="499" t="str">
        <f>IFERROR(INDEX('G-7 Rivers Data'!$H$4:$L$8,MATCH(D237,'G-7 Rivers Data'!$B$4:$B$8,0),MATCH(H237,'G-7 Rivers Data'!$H$3:$L$3,0)),"")</f>
        <v/>
      </c>
      <c r="J237" s="154"/>
      <c r="K237" s="520" t="str">
        <f>IF(J237="","",IF(VLOOKUP(J237,'G-7 Rivers Data'!$AK$4:$AM$9,2,FALSE)=0,"Spatial Data Missing ⚠",VLOOKUP(J237,'G-7 Rivers Data'!$AK$4:$AM$9,2,FALSE)))</f>
        <v/>
      </c>
      <c r="L237" s="524"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Data'!$B$4:$G$8,6,FALSE))</f>
        <v/>
      </c>
      <c r="R237" s="513" t="str">
        <f t="shared" si="24"/>
        <v/>
      </c>
      <c r="S237" s="40"/>
      <c r="T237" s="145"/>
      <c r="U237" s="157"/>
      <c r="V237" s="511" t="str">
        <f t="shared" si="25"/>
        <v/>
      </c>
      <c r="W237" s="511" t="str">
        <f t="shared" si="26"/>
        <v/>
      </c>
      <c r="X237" s="511" t="str">
        <f t="shared" si="27"/>
        <v/>
      </c>
      <c r="Y237" s="515"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8" x14ac:dyDescent="0.25">
      <c r="C238" s="141">
        <v>229</v>
      </c>
      <c r="D238" s="462"/>
      <c r="E238" s="153"/>
      <c r="F238" s="498" t="str">
        <f>IF(D238="","",VLOOKUP(D238,'G-7 Rivers Data'!$B$2:$G$8,2,FALSE))</f>
        <v/>
      </c>
      <c r="G238" s="499" t="str">
        <f>IFERROR(VLOOKUP(F238,'G-7 Rivers Data'!$C$4:$D$8,2,FALSE),"")</f>
        <v/>
      </c>
      <c r="H238" s="145"/>
      <c r="I238" s="499" t="str">
        <f>IFERROR(INDEX('G-7 Rivers Data'!$H$4:$L$8,MATCH(D238,'G-7 Rivers Data'!$B$4:$B$8,0),MATCH(H238,'G-7 Rivers Data'!$H$3:$L$3,0)),"")</f>
        <v/>
      </c>
      <c r="J238" s="154"/>
      <c r="K238" s="520" t="str">
        <f>IF(J238="","",IF(VLOOKUP(J238,'G-7 Rivers Data'!$AK$4:$AM$9,2,FALSE)=0,"Spatial Data Missing ⚠",VLOOKUP(J238,'G-7 Rivers Data'!$AK$4:$AM$9,2,FALSE)))</f>
        <v/>
      </c>
      <c r="L238" s="524"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Data'!$B$4:$G$8,6,FALSE))</f>
        <v/>
      </c>
      <c r="R238" s="513" t="str">
        <f t="shared" si="24"/>
        <v/>
      </c>
      <c r="S238" s="40"/>
      <c r="T238" s="145"/>
      <c r="U238" s="157"/>
      <c r="V238" s="511" t="str">
        <f t="shared" si="25"/>
        <v/>
      </c>
      <c r="W238" s="511" t="str">
        <f t="shared" si="26"/>
        <v/>
      </c>
      <c r="X238" s="511" t="str">
        <f t="shared" si="27"/>
        <v/>
      </c>
      <c r="Y238" s="515"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8" x14ac:dyDescent="0.25">
      <c r="C239" s="141">
        <v>230</v>
      </c>
      <c r="D239" s="462"/>
      <c r="E239" s="153"/>
      <c r="F239" s="498" t="str">
        <f>IF(D239="","",VLOOKUP(D239,'G-7 Rivers Data'!$B$2:$G$8,2,FALSE))</f>
        <v/>
      </c>
      <c r="G239" s="499" t="str">
        <f>IFERROR(VLOOKUP(F239,'G-7 Rivers Data'!$C$4:$D$8,2,FALSE),"")</f>
        <v/>
      </c>
      <c r="H239" s="145"/>
      <c r="I239" s="499" t="str">
        <f>IFERROR(INDEX('G-7 Rivers Data'!$H$4:$L$8,MATCH(D239,'G-7 Rivers Data'!$B$4:$B$8,0),MATCH(H239,'G-7 Rivers Data'!$H$3:$L$3,0)),"")</f>
        <v/>
      </c>
      <c r="J239" s="154"/>
      <c r="K239" s="520" t="str">
        <f>IF(J239="","",IF(VLOOKUP(J239,'G-7 Rivers Data'!$AK$4:$AM$9,2,FALSE)=0,"Spatial Data Missing ⚠",VLOOKUP(J239,'G-7 Rivers Data'!$AK$4:$AM$9,2,FALSE)))</f>
        <v/>
      </c>
      <c r="L239" s="524"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Data'!$B$4:$G$8,6,FALSE))</f>
        <v/>
      </c>
      <c r="R239" s="513" t="str">
        <f t="shared" si="24"/>
        <v/>
      </c>
      <c r="S239" s="40"/>
      <c r="T239" s="145"/>
      <c r="U239" s="157"/>
      <c r="V239" s="511" t="str">
        <f t="shared" si="25"/>
        <v/>
      </c>
      <c r="W239" s="511" t="str">
        <f t="shared" si="26"/>
        <v/>
      </c>
      <c r="X239" s="511" t="str">
        <f t="shared" si="27"/>
        <v/>
      </c>
      <c r="Y239" s="515"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8" x14ac:dyDescent="0.25">
      <c r="C240" s="141">
        <v>231</v>
      </c>
      <c r="D240" s="462"/>
      <c r="E240" s="153"/>
      <c r="F240" s="498" t="str">
        <f>IF(D240="","",VLOOKUP(D240,'G-7 Rivers Data'!$B$2:$G$8,2,FALSE))</f>
        <v/>
      </c>
      <c r="G240" s="499" t="str">
        <f>IFERROR(VLOOKUP(F240,'G-7 Rivers Data'!$C$4:$D$8,2,FALSE),"")</f>
        <v/>
      </c>
      <c r="H240" s="145"/>
      <c r="I240" s="499" t="str">
        <f>IFERROR(INDEX('G-7 Rivers Data'!$H$4:$L$8,MATCH(D240,'G-7 Rivers Data'!$B$4:$B$8,0),MATCH(H240,'G-7 Rivers Data'!$H$3:$L$3,0)),"")</f>
        <v/>
      </c>
      <c r="J240" s="154"/>
      <c r="K240" s="520" t="str">
        <f>IF(J240="","",IF(VLOOKUP(J240,'G-7 Rivers Data'!$AK$4:$AM$9,2,FALSE)=0,"Spatial Data Missing ⚠",VLOOKUP(J240,'G-7 Rivers Data'!$AK$4:$AM$9,2,FALSE)))</f>
        <v/>
      </c>
      <c r="L240" s="524"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Data'!$B$4:$G$8,6,FALSE))</f>
        <v/>
      </c>
      <c r="R240" s="513" t="str">
        <f t="shared" si="24"/>
        <v/>
      </c>
      <c r="S240" s="40"/>
      <c r="T240" s="145"/>
      <c r="U240" s="157"/>
      <c r="V240" s="511" t="str">
        <f t="shared" si="25"/>
        <v/>
      </c>
      <c r="W240" s="511" t="str">
        <f t="shared" si="26"/>
        <v/>
      </c>
      <c r="X240" s="511" t="str">
        <f t="shared" si="27"/>
        <v/>
      </c>
      <c r="Y240" s="515"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8" x14ac:dyDescent="0.25">
      <c r="C241" s="141">
        <v>232</v>
      </c>
      <c r="D241" s="462"/>
      <c r="E241" s="153"/>
      <c r="F241" s="498" t="str">
        <f>IF(D241="","",VLOOKUP(D241,'G-7 Rivers Data'!$B$2:$G$8,2,FALSE))</f>
        <v/>
      </c>
      <c r="G241" s="499" t="str">
        <f>IFERROR(VLOOKUP(F241,'G-7 Rivers Data'!$C$4:$D$8,2,FALSE),"")</f>
        <v/>
      </c>
      <c r="H241" s="145"/>
      <c r="I241" s="499" t="str">
        <f>IFERROR(INDEX('G-7 Rivers Data'!$H$4:$L$8,MATCH(D241,'G-7 Rivers Data'!$B$4:$B$8,0),MATCH(H241,'G-7 Rivers Data'!$H$3:$L$3,0)),"")</f>
        <v/>
      </c>
      <c r="J241" s="154"/>
      <c r="K241" s="520" t="str">
        <f>IF(J241="","",IF(VLOOKUP(J241,'G-7 Rivers Data'!$AK$4:$AM$9,2,FALSE)=0,"Spatial Data Missing ⚠",VLOOKUP(J241,'G-7 Rivers Data'!$AK$4:$AM$9,2,FALSE)))</f>
        <v/>
      </c>
      <c r="L241" s="524"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Data'!$B$4:$G$8,6,FALSE))</f>
        <v/>
      </c>
      <c r="R241" s="513" t="str">
        <f t="shared" si="24"/>
        <v/>
      </c>
      <c r="S241" s="40"/>
      <c r="T241" s="145"/>
      <c r="U241" s="157"/>
      <c r="V241" s="511" t="str">
        <f t="shared" si="25"/>
        <v/>
      </c>
      <c r="W241" s="511" t="str">
        <f t="shared" si="26"/>
        <v/>
      </c>
      <c r="X241" s="511" t="str">
        <f t="shared" si="27"/>
        <v/>
      </c>
      <c r="Y241" s="515"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8" x14ac:dyDescent="0.25">
      <c r="C242" s="141">
        <v>233</v>
      </c>
      <c r="D242" s="462"/>
      <c r="E242" s="153"/>
      <c r="F242" s="498" t="str">
        <f>IF(D242="","",VLOOKUP(D242,'G-7 Rivers Data'!$B$2:$G$8,2,FALSE))</f>
        <v/>
      </c>
      <c r="G242" s="499" t="str">
        <f>IFERROR(VLOOKUP(F242,'G-7 Rivers Data'!$C$4:$D$8,2,FALSE),"")</f>
        <v/>
      </c>
      <c r="H242" s="145"/>
      <c r="I242" s="499" t="str">
        <f>IFERROR(INDEX('G-7 Rivers Data'!$H$4:$L$8,MATCH(D242,'G-7 Rivers Data'!$B$4:$B$8,0),MATCH(H242,'G-7 Rivers Data'!$H$3:$L$3,0)),"")</f>
        <v/>
      </c>
      <c r="J242" s="154"/>
      <c r="K242" s="520" t="str">
        <f>IF(J242="","",IF(VLOOKUP(J242,'G-7 Rivers Data'!$AK$4:$AM$9,2,FALSE)=0,"Spatial Data Missing ⚠",VLOOKUP(J242,'G-7 Rivers Data'!$AK$4:$AM$9,2,FALSE)))</f>
        <v/>
      </c>
      <c r="L242" s="524"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Data'!$B$4:$G$8,6,FALSE))</f>
        <v/>
      </c>
      <c r="R242" s="513" t="str">
        <f t="shared" si="24"/>
        <v/>
      </c>
      <c r="S242" s="40"/>
      <c r="T242" s="145"/>
      <c r="U242" s="157"/>
      <c r="V242" s="511" t="str">
        <f t="shared" si="25"/>
        <v/>
      </c>
      <c r="W242" s="511" t="str">
        <f t="shared" si="26"/>
        <v/>
      </c>
      <c r="X242" s="511" t="str">
        <f t="shared" si="27"/>
        <v/>
      </c>
      <c r="Y242" s="515"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8" x14ac:dyDescent="0.25">
      <c r="C243" s="141">
        <v>234</v>
      </c>
      <c r="D243" s="462"/>
      <c r="E243" s="153"/>
      <c r="F243" s="498" t="str">
        <f>IF(D243="","",VLOOKUP(D243,'G-7 Rivers Data'!$B$2:$G$8,2,FALSE))</f>
        <v/>
      </c>
      <c r="G243" s="499" t="str">
        <f>IFERROR(VLOOKUP(F243,'G-7 Rivers Data'!$C$4:$D$8,2,FALSE),"")</f>
        <v/>
      </c>
      <c r="H243" s="145"/>
      <c r="I243" s="499" t="str">
        <f>IFERROR(INDEX('G-7 Rivers Data'!$H$4:$L$8,MATCH(D243,'G-7 Rivers Data'!$B$4:$B$8,0),MATCH(H243,'G-7 Rivers Data'!$H$3:$L$3,0)),"")</f>
        <v/>
      </c>
      <c r="J243" s="154"/>
      <c r="K243" s="520" t="str">
        <f>IF(J243="","",IF(VLOOKUP(J243,'G-7 Rivers Data'!$AK$4:$AM$9,2,FALSE)=0,"Spatial Data Missing ⚠",VLOOKUP(J243,'G-7 Rivers Data'!$AK$4:$AM$9,2,FALSE)))</f>
        <v/>
      </c>
      <c r="L243" s="524"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Data'!$B$4:$G$8,6,FALSE))</f>
        <v/>
      </c>
      <c r="R243" s="513" t="str">
        <f t="shared" si="24"/>
        <v/>
      </c>
      <c r="S243" s="40"/>
      <c r="T243" s="145"/>
      <c r="U243" s="157"/>
      <c r="V243" s="511" t="str">
        <f t="shared" si="25"/>
        <v/>
      </c>
      <c r="W243" s="511" t="str">
        <f t="shared" si="26"/>
        <v/>
      </c>
      <c r="X243" s="511" t="str">
        <f t="shared" si="27"/>
        <v/>
      </c>
      <c r="Y243" s="515"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8" x14ac:dyDescent="0.25">
      <c r="C244" s="141">
        <v>235</v>
      </c>
      <c r="D244" s="462"/>
      <c r="E244" s="153"/>
      <c r="F244" s="498" t="str">
        <f>IF(D244="","",VLOOKUP(D244,'G-7 Rivers Data'!$B$2:$G$8,2,FALSE))</f>
        <v/>
      </c>
      <c r="G244" s="499" t="str">
        <f>IFERROR(VLOOKUP(F244,'G-7 Rivers Data'!$C$4:$D$8,2,FALSE),"")</f>
        <v/>
      </c>
      <c r="H244" s="145"/>
      <c r="I244" s="499" t="str">
        <f>IFERROR(INDEX('G-7 Rivers Data'!$H$4:$L$8,MATCH(D244,'G-7 Rivers Data'!$B$4:$B$8,0),MATCH(H244,'G-7 Rivers Data'!$H$3:$L$3,0)),"")</f>
        <v/>
      </c>
      <c r="J244" s="154"/>
      <c r="K244" s="520" t="str">
        <f>IF(J244="","",IF(VLOOKUP(J244,'G-7 Rivers Data'!$AK$4:$AM$9,2,FALSE)=0,"Spatial Data Missing ⚠",VLOOKUP(J244,'G-7 Rivers Data'!$AK$4:$AM$9,2,FALSE)))</f>
        <v/>
      </c>
      <c r="L244" s="524"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Data'!$B$4:$G$8,6,FALSE))</f>
        <v/>
      </c>
      <c r="R244" s="513" t="str">
        <f t="shared" si="24"/>
        <v/>
      </c>
      <c r="S244" s="40"/>
      <c r="T244" s="145"/>
      <c r="U244" s="157"/>
      <c r="V244" s="511" t="str">
        <f t="shared" si="25"/>
        <v/>
      </c>
      <c r="W244" s="511" t="str">
        <f t="shared" si="26"/>
        <v/>
      </c>
      <c r="X244" s="511" t="str">
        <f t="shared" si="27"/>
        <v/>
      </c>
      <c r="Y244" s="515"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8" x14ac:dyDescent="0.25">
      <c r="C245" s="141">
        <v>236</v>
      </c>
      <c r="D245" s="462"/>
      <c r="E245" s="153"/>
      <c r="F245" s="498" t="str">
        <f>IF(D245="","",VLOOKUP(D245,'G-7 Rivers Data'!$B$2:$G$8,2,FALSE))</f>
        <v/>
      </c>
      <c r="G245" s="499" t="str">
        <f>IFERROR(VLOOKUP(F245,'G-7 Rivers Data'!$C$4:$D$8,2,FALSE),"")</f>
        <v/>
      </c>
      <c r="H245" s="145"/>
      <c r="I245" s="499" t="str">
        <f>IFERROR(INDEX('G-7 Rivers Data'!$H$4:$L$8,MATCH(D245,'G-7 Rivers Data'!$B$4:$B$8,0),MATCH(H245,'G-7 Rivers Data'!$H$3:$L$3,0)),"")</f>
        <v/>
      </c>
      <c r="J245" s="154"/>
      <c r="K245" s="520" t="str">
        <f>IF(J245="","",IF(VLOOKUP(J245,'G-7 Rivers Data'!$AK$4:$AM$9,2,FALSE)=0,"Spatial Data Missing ⚠",VLOOKUP(J245,'G-7 Rivers Data'!$AK$4:$AM$9,2,FALSE)))</f>
        <v/>
      </c>
      <c r="L245" s="524"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Data'!$B$4:$G$8,6,FALSE))</f>
        <v/>
      </c>
      <c r="R245" s="513" t="str">
        <f t="shared" si="24"/>
        <v/>
      </c>
      <c r="S245" s="40"/>
      <c r="T245" s="145"/>
      <c r="U245" s="157"/>
      <c r="V245" s="511" t="str">
        <f t="shared" si="25"/>
        <v/>
      </c>
      <c r="W245" s="511" t="str">
        <f t="shared" si="26"/>
        <v/>
      </c>
      <c r="X245" s="511" t="str">
        <f t="shared" si="27"/>
        <v/>
      </c>
      <c r="Y245" s="515"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8" x14ac:dyDescent="0.25">
      <c r="C246" s="141">
        <v>237</v>
      </c>
      <c r="D246" s="462"/>
      <c r="E246" s="153"/>
      <c r="F246" s="498" t="str">
        <f>IF(D246="","",VLOOKUP(D246,'G-7 Rivers Data'!$B$2:$G$8,2,FALSE))</f>
        <v/>
      </c>
      <c r="G246" s="499" t="str">
        <f>IFERROR(VLOOKUP(F246,'G-7 Rivers Data'!$C$4:$D$8,2,FALSE),"")</f>
        <v/>
      </c>
      <c r="H246" s="145"/>
      <c r="I246" s="499" t="str">
        <f>IFERROR(INDEX('G-7 Rivers Data'!$H$4:$L$8,MATCH(D246,'G-7 Rivers Data'!$B$4:$B$8,0),MATCH(H246,'G-7 Rivers Data'!$H$3:$L$3,0)),"")</f>
        <v/>
      </c>
      <c r="J246" s="154"/>
      <c r="K246" s="520" t="str">
        <f>IF(J246="","",IF(VLOOKUP(J246,'G-7 Rivers Data'!$AK$4:$AM$9,2,FALSE)=0,"Spatial Data Missing ⚠",VLOOKUP(J246,'G-7 Rivers Data'!$AK$4:$AM$9,2,FALSE)))</f>
        <v/>
      </c>
      <c r="L246" s="524"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Data'!$B$4:$G$8,6,FALSE))</f>
        <v/>
      </c>
      <c r="R246" s="513" t="str">
        <f t="shared" si="24"/>
        <v/>
      </c>
      <c r="S246" s="40"/>
      <c r="T246" s="145"/>
      <c r="U246" s="157"/>
      <c r="V246" s="511" t="str">
        <f t="shared" si="25"/>
        <v/>
      </c>
      <c r="W246" s="511" t="str">
        <f t="shared" si="26"/>
        <v/>
      </c>
      <c r="X246" s="511" t="str">
        <f t="shared" si="27"/>
        <v/>
      </c>
      <c r="Y246" s="515"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8" x14ac:dyDescent="0.25">
      <c r="C247" s="141">
        <v>238</v>
      </c>
      <c r="D247" s="462"/>
      <c r="E247" s="153"/>
      <c r="F247" s="498" t="str">
        <f>IF(D247="","",VLOOKUP(D247,'G-7 Rivers Data'!$B$2:$G$8,2,FALSE))</f>
        <v/>
      </c>
      <c r="G247" s="499" t="str">
        <f>IFERROR(VLOOKUP(F247,'G-7 Rivers Data'!$C$4:$D$8,2,FALSE),"")</f>
        <v/>
      </c>
      <c r="H247" s="145"/>
      <c r="I247" s="499" t="str">
        <f>IFERROR(INDEX('G-7 Rivers Data'!$H$4:$L$8,MATCH(D247,'G-7 Rivers Data'!$B$4:$B$8,0),MATCH(H247,'G-7 Rivers Data'!$H$3:$L$3,0)),"")</f>
        <v/>
      </c>
      <c r="J247" s="154"/>
      <c r="K247" s="520" t="str">
        <f>IF(J247="","",IF(VLOOKUP(J247,'G-7 Rivers Data'!$AK$4:$AM$9,2,FALSE)=0,"Spatial Data Missing ⚠",VLOOKUP(J247,'G-7 Rivers Data'!$AK$4:$AM$9,2,FALSE)))</f>
        <v/>
      </c>
      <c r="L247" s="524"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Data'!$B$4:$G$8,6,FALSE))</f>
        <v/>
      </c>
      <c r="R247" s="513" t="str">
        <f t="shared" si="24"/>
        <v/>
      </c>
      <c r="S247" s="40"/>
      <c r="T247" s="145"/>
      <c r="U247" s="157"/>
      <c r="V247" s="511" t="str">
        <f t="shared" si="25"/>
        <v/>
      </c>
      <c r="W247" s="511" t="str">
        <f t="shared" si="26"/>
        <v/>
      </c>
      <c r="X247" s="511" t="str">
        <f t="shared" si="27"/>
        <v/>
      </c>
      <c r="Y247" s="515"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8" x14ac:dyDescent="0.25">
      <c r="C248" s="141">
        <v>239</v>
      </c>
      <c r="D248" s="462"/>
      <c r="E248" s="153"/>
      <c r="F248" s="498" t="str">
        <f>IF(D248="","",VLOOKUP(D248,'G-7 Rivers Data'!$B$2:$G$8,2,FALSE))</f>
        <v/>
      </c>
      <c r="G248" s="499" t="str">
        <f>IFERROR(VLOOKUP(F248,'G-7 Rivers Data'!$C$4:$D$8,2,FALSE),"")</f>
        <v/>
      </c>
      <c r="H248" s="145"/>
      <c r="I248" s="499" t="str">
        <f>IFERROR(INDEX('G-7 Rivers Data'!$H$4:$L$8,MATCH(D248,'G-7 Rivers Data'!$B$4:$B$8,0),MATCH(H248,'G-7 Rivers Data'!$H$3:$L$3,0)),"")</f>
        <v/>
      </c>
      <c r="J248" s="154"/>
      <c r="K248" s="520" t="str">
        <f>IF(J248="","",IF(VLOOKUP(J248,'G-7 Rivers Data'!$AK$4:$AM$9,2,FALSE)=0,"Spatial Data Missing ⚠",VLOOKUP(J248,'G-7 Rivers Data'!$AK$4:$AM$9,2,FALSE)))</f>
        <v/>
      </c>
      <c r="L248" s="524"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Data'!$B$4:$G$8,6,FALSE))</f>
        <v/>
      </c>
      <c r="R248" s="513" t="str">
        <f t="shared" si="24"/>
        <v/>
      </c>
      <c r="S248" s="40"/>
      <c r="T248" s="145"/>
      <c r="U248" s="157"/>
      <c r="V248" s="511" t="str">
        <f t="shared" si="25"/>
        <v/>
      </c>
      <c r="W248" s="511" t="str">
        <f t="shared" si="26"/>
        <v/>
      </c>
      <c r="X248" s="511" t="str">
        <f t="shared" si="27"/>
        <v/>
      </c>
      <c r="Y248" s="515"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8" x14ac:dyDescent="0.25">
      <c r="C249" s="141">
        <v>240</v>
      </c>
      <c r="D249" s="462"/>
      <c r="E249" s="153"/>
      <c r="F249" s="498" t="str">
        <f>IF(D249="","",VLOOKUP(D249,'G-7 Rivers Data'!$B$2:$G$8,2,FALSE))</f>
        <v/>
      </c>
      <c r="G249" s="499" t="str">
        <f>IFERROR(VLOOKUP(F249,'G-7 Rivers Data'!$C$4:$D$8,2,FALSE),"")</f>
        <v/>
      </c>
      <c r="H249" s="145"/>
      <c r="I249" s="499" t="str">
        <f>IFERROR(INDEX('G-7 Rivers Data'!$H$4:$L$8,MATCH(D249,'G-7 Rivers Data'!$B$4:$B$8,0),MATCH(H249,'G-7 Rivers Data'!$H$3:$L$3,0)),"")</f>
        <v/>
      </c>
      <c r="J249" s="154"/>
      <c r="K249" s="520" t="str">
        <f>IF(J249="","",IF(VLOOKUP(J249,'G-7 Rivers Data'!$AK$4:$AM$9,2,FALSE)=0,"Spatial Data Missing ⚠",VLOOKUP(J249,'G-7 Rivers Data'!$AK$4:$AM$9,2,FALSE)))</f>
        <v/>
      </c>
      <c r="L249" s="524"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Data'!$B$4:$G$8,6,FALSE))</f>
        <v/>
      </c>
      <c r="R249" s="513" t="str">
        <f t="shared" si="24"/>
        <v/>
      </c>
      <c r="S249" s="40"/>
      <c r="T249" s="145"/>
      <c r="U249" s="157"/>
      <c r="V249" s="511" t="str">
        <f t="shared" si="25"/>
        <v/>
      </c>
      <c r="W249" s="511" t="str">
        <f t="shared" si="26"/>
        <v/>
      </c>
      <c r="X249" s="511" t="str">
        <f t="shared" si="27"/>
        <v/>
      </c>
      <c r="Y249" s="515"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8" x14ac:dyDescent="0.25">
      <c r="C250" s="141">
        <v>241</v>
      </c>
      <c r="D250" s="462"/>
      <c r="E250" s="153"/>
      <c r="F250" s="498" t="str">
        <f>IF(D250="","",VLOOKUP(D250,'G-7 Rivers Data'!$B$2:$G$8,2,FALSE))</f>
        <v/>
      </c>
      <c r="G250" s="499" t="str">
        <f>IFERROR(VLOOKUP(F250,'G-7 Rivers Data'!$C$4:$D$8,2,FALSE),"")</f>
        <v/>
      </c>
      <c r="H250" s="145"/>
      <c r="I250" s="499" t="str">
        <f>IFERROR(INDEX('G-7 Rivers Data'!$H$4:$L$8,MATCH(D250,'G-7 Rivers Data'!$B$4:$B$8,0),MATCH(H250,'G-7 Rivers Data'!$H$3:$L$3,0)),"")</f>
        <v/>
      </c>
      <c r="J250" s="154"/>
      <c r="K250" s="520" t="str">
        <f>IF(J250="","",IF(VLOOKUP(J250,'G-7 Rivers Data'!$AK$4:$AM$9,2,FALSE)=0,"Spatial Data Missing ⚠",VLOOKUP(J250,'G-7 Rivers Data'!$AK$4:$AM$9,2,FALSE)))</f>
        <v/>
      </c>
      <c r="L250" s="524"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Data'!$B$4:$G$8,6,FALSE))</f>
        <v/>
      </c>
      <c r="R250" s="513" t="str">
        <f t="shared" si="24"/>
        <v/>
      </c>
      <c r="S250" s="40"/>
      <c r="T250" s="145"/>
      <c r="U250" s="157"/>
      <c r="V250" s="511" t="str">
        <f t="shared" si="25"/>
        <v/>
      </c>
      <c r="W250" s="511" t="str">
        <f t="shared" si="26"/>
        <v/>
      </c>
      <c r="X250" s="511" t="str">
        <f t="shared" si="27"/>
        <v/>
      </c>
      <c r="Y250" s="515"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8" x14ac:dyDescent="0.25">
      <c r="C251" s="141">
        <v>242</v>
      </c>
      <c r="D251" s="462"/>
      <c r="E251" s="153"/>
      <c r="F251" s="498" t="str">
        <f>IF(D251="","",VLOOKUP(D251,'G-7 Rivers Data'!$B$2:$G$8,2,FALSE))</f>
        <v/>
      </c>
      <c r="G251" s="499" t="str">
        <f>IFERROR(VLOOKUP(F251,'G-7 Rivers Data'!$C$4:$D$8,2,FALSE),"")</f>
        <v/>
      </c>
      <c r="H251" s="145"/>
      <c r="I251" s="499" t="str">
        <f>IFERROR(INDEX('G-7 Rivers Data'!$H$4:$L$8,MATCH(D251,'G-7 Rivers Data'!$B$4:$B$8,0),MATCH(H251,'G-7 Rivers Data'!$H$3:$L$3,0)),"")</f>
        <v/>
      </c>
      <c r="J251" s="154"/>
      <c r="K251" s="520" t="str">
        <f>IF(J251="","",IF(VLOOKUP(J251,'G-7 Rivers Data'!$AK$4:$AM$9,2,FALSE)=0,"Spatial Data Missing ⚠",VLOOKUP(J251,'G-7 Rivers Data'!$AK$4:$AM$9,2,FALSE)))</f>
        <v/>
      </c>
      <c r="L251" s="524"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Data'!$B$4:$G$8,6,FALSE))</f>
        <v/>
      </c>
      <c r="R251" s="513" t="str">
        <f t="shared" si="24"/>
        <v/>
      </c>
      <c r="S251" s="40"/>
      <c r="T251" s="145"/>
      <c r="U251" s="157"/>
      <c r="V251" s="511" t="str">
        <f t="shared" si="25"/>
        <v/>
      </c>
      <c r="W251" s="511" t="str">
        <f t="shared" si="26"/>
        <v/>
      </c>
      <c r="X251" s="511" t="str">
        <f t="shared" si="27"/>
        <v/>
      </c>
      <c r="Y251" s="515"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8" x14ac:dyDescent="0.25">
      <c r="C252" s="141">
        <v>243</v>
      </c>
      <c r="D252" s="462"/>
      <c r="E252" s="153"/>
      <c r="F252" s="498" t="str">
        <f>IF(D252="","",VLOOKUP(D252,'G-7 Rivers Data'!$B$2:$G$8,2,FALSE))</f>
        <v/>
      </c>
      <c r="G252" s="499" t="str">
        <f>IFERROR(VLOOKUP(F252,'G-7 Rivers Data'!$C$4:$D$8,2,FALSE),"")</f>
        <v/>
      </c>
      <c r="H252" s="145"/>
      <c r="I252" s="499" t="str">
        <f>IFERROR(INDEX('G-7 Rivers Data'!$H$4:$L$8,MATCH(D252,'G-7 Rivers Data'!$B$4:$B$8,0),MATCH(H252,'G-7 Rivers Data'!$H$3:$L$3,0)),"")</f>
        <v/>
      </c>
      <c r="J252" s="154"/>
      <c r="K252" s="520" t="str">
        <f>IF(J252="","",IF(VLOOKUP(J252,'G-7 Rivers Data'!$AK$4:$AM$9,2,FALSE)=0,"Spatial Data Missing ⚠",VLOOKUP(J252,'G-7 Rivers Data'!$AK$4:$AM$9,2,FALSE)))</f>
        <v/>
      </c>
      <c r="L252" s="524"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Data'!$B$4:$G$8,6,FALSE))</f>
        <v/>
      </c>
      <c r="R252" s="513" t="str">
        <f t="shared" si="24"/>
        <v/>
      </c>
      <c r="S252" s="40"/>
      <c r="T252" s="145"/>
      <c r="U252" s="157"/>
      <c r="V252" s="511" t="str">
        <f t="shared" si="25"/>
        <v/>
      </c>
      <c r="W252" s="511" t="str">
        <f t="shared" si="26"/>
        <v/>
      </c>
      <c r="X252" s="511" t="str">
        <f t="shared" si="27"/>
        <v/>
      </c>
      <c r="Y252" s="515"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8" x14ac:dyDescent="0.25">
      <c r="C253" s="141">
        <v>244</v>
      </c>
      <c r="D253" s="462"/>
      <c r="E253" s="153"/>
      <c r="F253" s="498" t="str">
        <f>IF(D253="","",VLOOKUP(D253,'G-7 Rivers Data'!$B$2:$G$8,2,FALSE))</f>
        <v/>
      </c>
      <c r="G253" s="499" t="str">
        <f>IFERROR(VLOOKUP(F253,'G-7 Rivers Data'!$C$4:$D$8,2,FALSE),"")</f>
        <v/>
      </c>
      <c r="H253" s="145"/>
      <c r="I253" s="499" t="str">
        <f>IFERROR(INDEX('G-7 Rivers Data'!$H$4:$L$8,MATCH(D253,'G-7 Rivers Data'!$B$4:$B$8,0),MATCH(H253,'G-7 Rivers Data'!$H$3:$L$3,0)),"")</f>
        <v/>
      </c>
      <c r="J253" s="154"/>
      <c r="K253" s="520" t="str">
        <f>IF(J253="","",IF(VLOOKUP(J253,'G-7 Rivers Data'!$AK$4:$AM$9,2,FALSE)=0,"Spatial Data Missing ⚠",VLOOKUP(J253,'G-7 Rivers Data'!$AK$4:$AM$9,2,FALSE)))</f>
        <v/>
      </c>
      <c r="L253" s="524"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Data'!$B$4:$G$8,6,FALSE))</f>
        <v/>
      </c>
      <c r="R253" s="513" t="str">
        <f t="shared" si="24"/>
        <v/>
      </c>
      <c r="S253" s="40"/>
      <c r="T253" s="145"/>
      <c r="U253" s="157"/>
      <c r="V253" s="511" t="str">
        <f t="shared" si="25"/>
        <v/>
      </c>
      <c r="W253" s="511" t="str">
        <f t="shared" si="26"/>
        <v/>
      </c>
      <c r="X253" s="511" t="str">
        <f t="shared" si="27"/>
        <v/>
      </c>
      <c r="Y253" s="515"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8" x14ac:dyDescent="0.25">
      <c r="C254" s="141">
        <v>245</v>
      </c>
      <c r="D254" s="462"/>
      <c r="E254" s="153"/>
      <c r="F254" s="498" t="str">
        <f>IF(D254="","",VLOOKUP(D254,'G-7 Rivers Data'!$B$2:$G$8,2,FALSE))</f>
        <v/>
      </c>
      <c r="G254" s="499" t="str">
        <f>IFERROR(VLOOKUP(F254,'G-7 Rivers Data'!$C$4:$D$8,2,FALSE),"")</f>
        <v/>
      </c>
      <c r="H254" s="145"/>
      <c r="I254" s="499" t="str">
        <f>IFERROR(INDEX('G-7 Rivers Data'!$H$4:$L$8,MATCH(D254,'G-7 Rivers Data'!$B$4:$B$8,0),MATCH(H254,'G-7 Rivers Data'!$H$3:$L$3,0)),"")</f>
        <v/>
      </c>
      <c r="J254" s="154"/>
      <c r="K254" s="520" t="str">
        <f>IF(J254="","",IF(VLOOKUP(J254,'G-7 Rivers Data'!$AK$4:$AM$9,2,FALSE)=0,"Spatial Data Missing ⚠",VLOOKUP(J254,'G-7 Rivers Data'!$AK$4:$AM$9,2,FALSE)))</f>
        <v/>
      </c>
      <c r="L254" s="524"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Data'!$B$4:$G$8,6,FALSE))</f>
        <v/>
      </c>
      <c r="R254" s="513" t="str">
        <f t="shared" si="24"/>
        <v/>
      </c>
      <c r="S254" s="40"/>
      <c r="T254" s="145"/>
      <c r="U254" s="157"/>
      <c r="V254" s="511" t="str">
        <f t="shared" si="25"/>
        <v/>
      </c>
      <c r="W254" s="511" t="str">
        <f t="shared" si="26"/>
        <v/>
      </c>
      <c r="X254" s="511" t="str">
        <f t="shared" si="27"/>
        <v/>
      </c>
      <c r="Y254" s="515"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8" x14ac:dyDescent="0.25">
      <c r="C255" s="141">
        <v>246</v>
      </c>
      <c r="D255" s="462"/>
      <c r="E255" s="153"/>
      <c r="F255" s="498" t="str">
        <f>IF(D255="","",VLOOKUP(D255,'G-7 Rivers Data'!$B$2:$G$8,2,FALSE))</f>
        <v/>
      </c>
      <c r="G255" s="499" t="str">
        <f>IFERROR(VLOOKUP(F255,'G-7 Rivers Data'!$C$4:$D$8,2,FALSE),"")</f>
        <v/>
      </c>
      <c r="H255" s="145"/>
      <c r="I255" s="499" t="str">
        <f>IFERROR(INDEX('G-7 Rivers Data'!$H$4:$L$8,MATCH(D255,'G-7 Rivers Data'!$B$4:$B$8,0),MATCH(H255,'G-7 Rivers Data'!$H$3:$L$3,0)),"")</f>
        <v/>
      </c>
      <c r="J255" s="154"/>
      <c r="K255" s="520" t="str">
        <f>IF(J255="","",IF(VLOOKUP(J255,'G-7 Rivers Data'!$AK$4:$AM$9,2,FALSE)=0,"Spatial Data Missing ⚠",VLOOKUP(J255,'G-7 Rivers Data'!$AK$4:$AM$9,2,FALSE)))</f>
        <v/>
      </c>
      <c r="L255" s="524"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Data'!$B$4:$G$8,6,FALSE))</f>
        <v/>
      </c>
      <c r="R255" s="513" t="str">
        <f t="shared" si="24"/>
        <v/>
      </c>
      <c r="S255" s="40"/>
      <c r="T255" s="145"/>
      <c r="U255" s="157"/>
      <c r="V255" s="511" t="str">
        <f t="shared" si="25"/>
        <v/>
      </c>
      <c r="W255" s="511" t="str">
        <f t="shared" si="26"/>
        <v/>
      </c>
      <c r="X255" s="511" t="str">
        <f t="shared" si="27"/>
        <v/>
      </c>
      <c r="Y255" s="515"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8" x14ac:dyDescent="0.25">
      <c r="C256" s="141">
        <v>247</v>
      </c>
      <c r="D256" s="462"/>
      <c r="E256" s="153"/>
      <c r="F256" s="498" t="str">
        <f>IF(D256="","",VLOOKUP(D256,'G-7 Rivers Data'!$B$2:$G$8,2,FALSE))</f>
        <v/>
      </c>
      <c r="G256" s="499" t="str">
        <f>IFERROR(VLOOKUP(F256,'G-7 Rivers Data'!$C$4:$D$8,2,FALSE),"")</f>
        <v/>
      </c>
      <c r="H256" s="145"/>
      <c r="I256" s="499" t="str">
        <f>IFERROR(INDEX('G-7 Rivers Data'!$H$4:$L$8,MATCH(D256,'G-7 Rivers Data'!$B$4:$B$8,0),MATCH(H256,'G-7 Rivers Data'!$H$3:$L$3,0)),"")</f>
        <v/>
      </c>
      <c r="J256" s="154"/>
      <c r="K256" s="520" t="str">
        <f>IF(J256="","",IF(VLOOKUP(J256,'G-7 Rivers Data'!$AK$4:$AM$9,2,FALSE)=0,"Spatial Data Missing ⚠",VLOOKUP(J256,'G-7 Rivers Data'!$AK$4:$AM$9,2,FALSE)))</f>
        <v/>
      </c>
      <c r="L256" s="524"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Data'!$B$4:$G$8,6,FALSE))</f>
        <v/>
      </c>
      <c r="R256" s="513" t="str">
        <f t="shared" si="24"/>
        <v/>
      </c>
      <c r="S256" s="40"/>
      <c r="T256" s="145"/>
      <c r="U256" s="157"/>
      <c r="V256" s="511" t="str">
        <f t="shared" si="25"/>
        <v/>
      </c>
      <c r="W256" s="511" t="str">
        <f t="shared" si="26"/>
        <v/>
      </c>
      <c r="X256" s="511" t="str">
        <f t="shared" si="27"/>
        <v/>
      </c>
      <c r="Y256" s="515"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 thickBot="1" x14ac:dyDescent="0.3">
      <c r="C257" s="158">
        <v>248</v>
      </c>
      <c r="D257" s="463"/>
      <c r="E257" s="160"/>
      <c r="F257" s="500" t="str">
        <f>IF(D257="","",VLOOKUP(D257,'G-7 Rivers Data'!$B$2:$G$8,2,FALSE))</f>
        <v/>
      </c>
      <c r="G257" s="501" t="str">
        <f>IFERROR(VLOOKUP(F257,'G-7 Rivers Data'!$C$4:$D$8,2,FALSE),"")</f>
        <v/>
      </c>
      <c r="H257" s="161"/>
      <c r="I257" s="501" t="str">
        <f>IFERROR(INDEX('G-7 Rivers Data'!$H$4:$L$8,MATCH(D257,'G-7 Rivers Data'!$B$4:$B$8,0),MATCH(H257,'G-7 Rivers Data'!$H$3:$L$3,0)),"")</f>
        <v/>
      </c>
      <c r="J257" s="161"/>
      <c r="K257" s="520" t="str">
        <f>IF(J257="","",IF(VLOOKUP(J257,'G-7 Rivers Data'!$AK$4:$AM$9,2,FALSE)=0,"Spatial Data Missing ⚠",VLOOKUP(J257,'G-7 Rivers Data'!$AK$4:$AM$9,2,FALSE)))</f>
        <v/>
      </c>
      <c r="L257" s="524"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70" t="str">
        <f>IF(D257="","",VLOOKUP(D257,'G-7 Rivers Data'!$B$4:$G$8,6,FALSE))</f>
        <v/>
      </c>
      <c r="R257" s="513" t="str">
        <f t="shared" si="24"/>
        <v/>
      </c>
      <c r="S257" s="40"/>
      <c r="T257" s="145"/>
      <c r="U257" s="157"/>
      <c r="V257" s="511" t="str">
        <f t="shared" si="25"/>
        <v/>
      </c>
      <c r="W257" s="511" t="str">
        <f t="shared" si="26"/>
        <v/>
      </c>
      <c r="X257" s="511" t="str">
        <f t="shared" si="27"/>
        <v/>
      </c>
      <c r="Y257" s="515"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3"/>
      <c r="E258" s="563">
        <f>SUM(E10:E257)</f>
        <v>0</v>
      </c>
      <c r="F258" s="46"/>
      <c r="G258" s="46"/>
      <c r="H258" s="46"/>
      <c r="I258" s="46"/>
      <c r="J258" s="46"/>
      <c r="K258" s="46"/>
      <c r="L258" s="46"/>
      <c r="M258" s="46"/>
      <c r="N258" s="46"/>
      <c r="O258" s="46"/>
      <c r="P258" s="1024"/>
      <c r="Q258" s="1025"/>
      <c r="R258" s="563">
        <f>SUM(R10:R257)</f>
        <v>0</v>
      </c>
      <c r="S258" s="166"/>
      <c r="T258" s="517">
        <f>SUM(T10:T257)</f>
        <v>0</v>
      </c>
      <c r="U258" s="518">
        <f t="shared" ref="U258:X258" si="32">SUM(U10:U257)</f>
        <v>0</v>
      </c>
      <c r="V258" s="518">
        <f t="shared" si="32"/>
        <v>0</v>
      </c>
      <c r="W258" s="518">
        <f t="shared" si="32"/>
        <v>0</v>
      </c>
      <c r="X258" s="518">
        <f t="shared" si="32"/>
        <v>0</v>
      </c>
      <c r="Y258" s="515">
        <f t="shared" si="28"/>
        <v>0</v>
      </c>
      <c r="Z258" s="46"/>
      <c r="AA258" s="46"/>
    </row>
    <row r="259" spans="2:40" ht="13.8" x14ac:dyDescent="0.25">
      <c r="B259" s="31"/>
      <c r="C259" s="31"/>
      <c r="S259" s="166"/>
      <c r="T259" s="166"/>
      <c r="U259" s="166"/>
      <c r="V259" s="166"/>
      <c r="W259" s="166"/>
      <c r="X259" s="166"/>
      <c r="Y259" s="166"/>
    </row>
    <row r="260" spans="2:40" ht="13.8" x14ac:dyDescent="0.25"/>
    <row r="261" spans="2:40" ht="13.8" x14ac:dyDescent="0.25"/>
    <row r="262" spans="2:40" ht="13.8" x14ac:dyDescent="0.25"/>
    <row r="263" spans="2:40" ht="13.8" x14ac:dyDescent="0.25"/>
    <row r="264" spans="2:40" ht="13.8" x14ac:dyDescent="0.25"/>
    <row r="265" spans="2:40" ht="13.8" x14ac:dyDescent="0.25"/>
    <row r="266" spans="2:40" ht="13.8" x14ac:dyDescent="0.25"/>
    <row r="267" spans="2:40" ht="13.8" x14ac:dyDescent="0.25"/>
    <row r="268" spans="2:40" ht="13.8" x14ac:dyDescent="0.25"/>
    <row r="269" spans="2:40" ht="13.8" x14ac:dyDescent="0.25"/>
    <row r="270" spans="2:40" ht="13.8" x14ac:dyDescent="0.25"/>
    <row r="271" spans="2:40" ht="13.8" x14ac:dyDescent="0.25"/>
    <row r="272" spans="2:40" ht="13.8"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7.109375" style="31" customWidth="1"/>
    <col min="4" max="4" width="10.44140625" style="31" customWidth="1"/>
    <col min="5" max="5" width="17.44140625" style="31" customWidth="1"/>
    <col min="6" max="6" width="13.109375" style="31" customWidth="1"/>
    <col min="7" max="7" width="12.5546875" style="31" bestFit="1" customWidth="1"/>
    <col min="8" max="8" width="12.5546875" style="31" customWidth="1"/>
    <col min="9" max="9" width="33.6640625" style="31" customWidth="1"/>
    <col min="10" max="10" width="15.44140625" style="31" customWidth="1"/>
    <col min="11" max="11" width="12.33203125" style="31" customWidth="1"/>
    <col min="12" max="14" width="17.6640625" style="31" customWidth="1"/>
    <col min="15" max="15" width="34.5546875" style="31" customWidth="1"/>
    <col min="16" max="16" width="17.6640625" style="31" customWidth="1"/>
    <col min="17" max="17" width="15.33203125" style="31" customWidth="1"/>
    <col min="18" max="18" width="10.6640625" style="31" customWidth="1"/>
    <col min="19" max="19" width="26.109375" style="31" customWidth="1"/>
    <col min="20" max="20" width="13.44140625" style="31" customWidth="1"/>
    <col min="21" max="21" width="12.33203125" style="31" customWidth="1"/>
    <col min="22" max="22" width="16.44140625" style="31" customWidth="1"/>
    <col min="23" max="23" width="12.44140625" style="31" customWidth="1"/>
    <col min="24" max="24" width="17" style="31" customWidth="1"/>
    <col min="25" max="25" width="12.5546875" style="31" customWidth="1"/>
    <col min="26" max="26" width="30.33203125" style="31" customWidth="1"/>
    <col min="27" max="27" width="12.6640625" style="31" customWidth="1"/>
    <col min="28" max="28" width="17.33203125" style="31" customWidth="1"/>
    <col min="29" max="30" width="34.88671875" style="31" customWidth="1"/>
    <col min="31" max="36" width="8.88671875" style="31" customWidth="1"/>
    <col min="37" max="37" width="15.44140625" style="31" hidden="1" customWidth="1"/>
    <col min="38" max="45" width="0" style="31" hidden="1" customWidth="1"/>
    <col min="46" max="16384" width="8.88671875" style="31" hidden="1"/>
  </cols>
  <sheetData>
    <row r="1" spans="2:37" ht="14.4" thickBot="1" x14ac:dyDescent="0.3"/>
    <row r="2" spans="2:37" ht="18.600000000000001" customHeight="1" thickBot="1" x14ac:dyDescent="0.3">
      <c r="B2" s="786" t="str">
        <f>IF([2]Start!$F$12="","",[2]Start!$F$12)</f>
        <v/>
      </c>
      <c r="C2" s="787"/>
      <c r="D2" s="788"/>
      <c r="L2" s="909" t="str">
        <f>IF(OR(COUNTIF(L$12:$L259,"*30+*")&gt;0,COUNTIF(P$12:$P259,"*30+*")&gt;0),"Note; Habitat selected has a time to target condition greater than 30 years. Non standard agreement may be required.","")</f>
        <v/>
      </c>
      <c r="M2" s="909"/>
      <c r="N2" s="909"/>
      <c r="O2" s="909"/>
      <c r="P2" s="909"/>
      <c r="Q2" s="909"/>
    </row>
    <row r="3" spans="2:37" ht="15.6" customHeight="1" thickBot="1" x14ac:dyDescent="0.3">
      <c r="B3" s="958" t="str">
        <f ca="1">MID(CELL("filename",A1),FIND("]",CELL("filename",A1))+1,256)</f>
        <v>F-2 Off Site River Creation</v>
      </c>
      <c r="C3" s="959"/>
      <c r="D3" s="960"/>
      <c r="L3" s="909"/>
      <c r="M3" s="909"/>
      <c r="N3" s="909"/>
      <c r="O3" s="909"/>
      <c r="P3" s="909"/>
      <c r="Q3" s="909"/>
    </row>
    <row r="4" spans="2:37" ht="9.6" customHeight="1" thickBot="1" x14ac:dyDescent="0.3">
      <c r="B4" s="958"/>
      <c r="C4" s="959"/>
      <c r="D4" s="960"/>
      <c r="L4" s="909"/>
      <c r="M4" s="909"/>
      <c r="N4" s="909"/>
      <c r="O4" s="909"/>
      <c r="P4" s="909"/>
      <c r="Q4" s="909"/>
    </row>
    <row r="5" spans="2:37" ht="26.4" customHeight="1" x14ac:dyDescent="0.25">
      <c r="L5" s="909"/>
      <c r="M5" s="909"/>
      <c r="N5" s="909"/>
      <c r="O5" s="909"/>
      <c r="P5" s="909"/>
      <c r="Q5" s="909"/>
    </row>
    <row r="6" spans="2:37" ht="23.25" customHeight="1" x14ac:dyDescent="0.25">
      <c r="D6" s="131"/>
      <c r="L6" s="403"/>
      <c r="M6" s="403"/>
      <c r="N6" s="403"/>
      <c r="O6" s="403"/>
      <c r="P6" s="403"/>
    </row>
    <row r="7" spans="2:37" ht="13.8" x14ac:dyDescent="0.25"/>
    <row r="8" spans="2:37" ht="13.8" x14ac:dyDescent="0.25"/>
    <row r="9" spans="2:37" ht="15.75" customHeight="1" thickBot="1" x14ac:dyDescent="0.3"/>
    <row r="10" spans="2:37" s="42" customFormat="1" ht="29.25" customHeight="1" thickBot="1" x14ac:dyDescent="0.3">
      <c r="B10" s="247"/>
      <c r="C10" s="970" t="s">
        <v>301</v>
      </c>
      <c r="D10" s="972"/>
      <c r="E10" s="970" t="s">
        <v>272</v>
      </c>
      <c r="F10" s="972"/>
      <c r="G10" s="970" t="s">
        <v>336</v>
      </c>
      <c r="H10" s="972"/>
      <c r="I10" s="949" t="s">
        <v>191</v>
      </c>
      <c r="J10" s="949"/>
      <c r="K10" s="949"/>
      <c r="L10" s="949" t="s">
        <v>228</v>
      </c>
      <c r="M10" s="949"/>
      <c r="N10" s="949"/>
      <c r="O10" s="949"/>
      <c r="P10" s="949"/>
      <c r="Q10" s="949"/>
      <c r="R10" s="970" t="s">
        <v>229</v>
      </c>
      <c r="S10" s="971"/>
      <c r="T10" s="971"/>
      <c r="U10" s="972"/>
      <c r="V10" s="949" t="s">
        <v>319</v>
      </c>
      <c r="W10" s="949"/>
      <c r="X10" s="949" t="s">
        <v>320</v>
      </c>
      <c r="Y10" s="949"/>
      <c r="Z10" s="949" t="s">
        <v>283</v>
      </c>
      <c r="AA10" s="949"/>
      <c r="AB10" s="939" t="s">
        <v>329</v>
      </c>
      <c r="AC10" s="872" t="s">
        <v>196</v>
      </c>
      <c r="AD10" s="870"/>
    </row>
    <row r="11" spans="2:37" s="42" customFormat="1" ht="55.2" x14ac:dyDescent="0.25">
      <c r="B11" s="135" t="s">
        <v>254</v>
      </c>
      <c r="C11" s="304" t="s">
        <v>138</v>
      </c>
      <c r="D11" s="202" t="s">
        <v>337</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338</v>
      </c>
      <c r="R11" s="368" t="s">
        <v>238</v>
      </c>
      <c r="S11" s="201" t="s">
        <v>282</v>
      </c>
      <c r="T11" s="201" t="s">
        <v>240</v>
      </c>
      <c r="U11" s="202" t="s">
        <v>241</v>
      </c>
      <c r="V11" s="368" t="s">
        <v>322</v>
      </c>
      <c r="W11" s="202" t="s">
        <v>323</v>
      </c>
      <c r="X11" s="368" t="s">
        <v>322</v>
      </c>
      <c r="Y11" s="202" t="s">
        <v>323</v>
      </c>
      <c r="Z11" s="368" t="s">
        <v>339</v>
      </c>
      <c r="AA11" s="202" t="s">
        <v>323</v>
      </c>
      <c r="AB11" s="949"/>
      <c r="AC11" s="141" t="s">
        <v>215</v>
      </c>
      <c r="AD11" s="359" t="s">
        <v>216</v>
      </c>
      <c r="AK11" s="261" t="s">
        <v>200</v>
      </c>
    </row>
    <row r="12" spans="2:37" ht="13.8" x14ac:dyDescent="0.25">
      <c r="B12" s="368">
        <v>1</v>
      </c>
      <c r="C12" s="260"/>
      <c r="D12" s="70"/>
      <c r="E12" s="498" t="str">
        <f>IF(C12="","",VLOOKUP(C12,'G-7 Rivers Data'!$B$2:$Z$9,2,FALSE))</f>
        <v/>
      </c>
      <c r="F12" s="499" t="str">
        <f>IFERROR(VLOOKUP(E12,'G-7 Rivers Data'!$C$4:$D$8,2,FALSE),"")</f>
        <v/>
      </c>
      <c r="G12" s="71"/>
      <c r="H12" s="499" t="str">
        <f>IFERROR(INDEX('G-7 Rivers Data'!$H$4:$L$8,MATCH(C12,'G-7 Rivers Data'!$B$4:$B$8,0),MATCH(G12,'G-7 Rivers Data'!$H$3:$L$3,0)),"")</f>
        <v/>
      </c>
      <c r="I12" s="71"/>
      <c r="J12" s="540" t="str">
        <f>IF(I12="","",IF(VLOOKUP(I12,'G-7 Rivers Data'!$AG$4:$AI$9,2,FALSE)=0,"Spatial Data Missing ⚠",VLOOKUP(I12,'G-7 Rivers Data'!$AG$4:$AI$9,2,FALSE)))</f>
        <v/>
      </c>
      <c r="K12" s="499" t="str">
        <f>IF(I12="","",IF(VLOOKUP(I12,'G-7 Rivers Data'!$AG$4:$AI$9,3,FALSE)=0,"Spatial Data Missing ⚠",VLOOKUP(I12,'G-7 Rivers Data'!$AG$4:$AI$9,3,FALSE)))</f>
        <v/>
      </c>
      <c r="L12" s="635" t="str">
        <f>IFERROR(INDEX('G-7 Rivers Data'!$O$3:$O$7,MATCH(G12,'G-7 Rivers Data'!$N$3:$N$7,0)),"")</f>
        <v/>
      </c>
      <c r="M12" s="7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⚠","No - Low Difficulty - only applicable if all habitat created before losses ⚠","Standard difficulty applied"))))</f>
        <v/>
      </c>
      <c r="T12" s="540" t="str">
        <f>(IF(AND(S12="Standard difficulty applied",L12&gt;M12),R12,IF(AND(S12="No - 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146"/>
      <c r="AA12" s="524" t="str">
        <f>IF(Z12="","",VLOOKUP(Z12,'G-7 Rivers Data'!$AO$4:$AP$7,2,FALSE))</f>
        <v/>
      </c>
      <c r="AB12" s="545" t="str">
        <f>IFERROR(D12*F12*H12*K12*Q12*U12*W12*Y12*AA12,"")</f>
        <v/>
      </c>
      <c r="AC12" s="239"/>
      <c r="AD12" s="240"/>
      <c r="AK12" s="31" t="str">
        <f>IFERROR(INDEX('G-7 Rivers Data'!$AZ$3:$AZ$7,MATCH(C12,'G-7 Rivers Data'!$AY$3:$AY$7,0)),"")</f>
        <v/>
      </c>
    </row>
    <row r="13" spans="2:37" ht="13.8" x14ac:dyDescent="0.25">
      <c r="B13" s="141">
        <v>2</v>
      </c>
      <c r="C13" s="665"/>
      <c r="D13" s="70"/>
      <c r="E13" s="498" t="str">
        <f>IF(C13="","",VLOOKUP(C13,'G-7 Rivers Data'!$B$2:$Z$9,2,FALSE))</f>
        <v/>
      </c>
      <c r="F13" s="499" t="str">
        <f>IFERROR(VLOOKUP(E13,'G-7 Rivers Data'!$C$4:$D$8,2,FALSE),"")</f>
        <v/>
      </c>
      <c r="G13" s="71"/>
      <c r="H13" s="499" t="str">
        <f>IFERROR(INDEX('G-7 Rivers Data'!$H$4:$L$8,MATCH(C13,'G-7 Rivers Data'!$B$4:$B$8,0),MATCH(G13,'G-7 Rivers Data'!$H$3:$L$3,0)),"")</f>
        <v/>
      </c>
      <c r="I13" s="71"/>
      <c r="J13" s="540" t="str">
        <f>IF(I13="","",IF(VLOOKUP(I13,'G-7 Rivers Data'!$AG$4:$AI$9,2,FALSE)=0,"Spatial Data Missing ⚠",VLOOKUP(I13,'G-7 Rivers Data'!$AG$4:$AI$9,2,FALSE)))</f>
        <v/>
      </c>
      <c r="K13" s="499" t="str">
        <f>IF(I13="","",IF(VLOOKUP(I13,'G-7 Rivers Data'!$AG$4:$AI$9,3,FALSE)=0,"Spatial Data Missing ⚠",VLOOKUP(I13,'G-7 Rivers Data'!$AG$4:$AI$9,3,FALSE)))</f>
        <v/>
      </c>
      <c r="L13" s="635" t="str">
        <f>IFERROR(INDEX('G-7 Rivers Data'!$O$3:$O$7,MATCH(G13,'G-7 Rivers Data'!$N$3:$N$7,0)),"")</f>
        <v/>
      </c>
      <c r="M13" s="7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⚠","No - Low Difficulty - only applicable if all habitat created before losses ⚠","Standard difficulty applied"))))</f>
        <v/>
      </c>
      <c r="T13" s="540" t="str">
        <f t="shared" ref="T13:T76" si="4">(IF(AND(S13="Standard difficulty applied",L13&gt;M13),R13,IF(AND(S13="No - 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146"/>
      <c r="AA13" s="524" t="str">
        <f>IF(Z13="","",VLOOKUP(Z13,'G-7 Rivers Data'!$AO$4:$AP$7,2,FALSE))</f>
        <v/>
      </c>
      <c r="AB13" s="545" t="str">
        <f t="shared" ref="AB13:AB76" si="6">IFERROR(D13*F13*H13*K13*Q13*U13*W13*Y13*AA13,"")</f>
        <v/>
      </c>
      <c r="AC13" s="239"/>
      <c r="AD13" s="240"/>
      <c r="AK13" s="31" t="str">
        <f>IFERROR(INDEX('G-7 Rivers Data'!$AZ$3:$AZ$7,MATCH(C13,'G-7 Rivers Data'!$AY$3:$AY$7,0)),"")</f>
        <v/>
      </c>
    </row>
    <row r="14" spans="2:37" ht="13.8" x14ac:dyDescent="0.25">
      <c r="B14" s="141">
        <v>3</v>
      </c>
      <c r="C14" s="665"/>
      <c r="D14" s="70"/>
      <c r="E14" s="498" t="str">
        <f>IF(C14="","",VLOOKUP(C14,'G-7 Rivers Data'!$B$2:$Z$9,2,FALSE))</f>
        <v/>
      </c>
      <c r="F14" s="499" t="str">
        <f>IFERROR(VLOOKUP(E14,'G-7 Rivers Data'!$C$4:$D$8,2,FALSE),"")</f>
        <v/>
      </c>
      <c r="G14" s="71"/>
      <c r="H14" s="499" t="str">
        <f>IFERROR(INDEX('G-7 Rivers Data'!$H$4:$L$8,MATCH(C14,'G-7 Rivers Data'!$B$4:$B$8,0),MATCH(G14,'G-7 Rivers Data'!$H$3:$L$3,0)),"")</f>
        <v/>
      </c>
      <c r="I14" s="71"/>
      <c r="J14" s="540" t="str">
        <f>IF(I14="","",IF(VLOOKUP(I14,'G-7 Rivers Data'!$AG$4:$AI$9,2,FALSE)=0,"Spatial Data Missing ⚠",VLOOKUP(I14,'G-7 Rivers Data'!$AG$4:$AI$9,2,FALSE)))</f>
        <v/>
      </c>
      <c r="K14" s="499" t="str">
        <f>IF(I14="","",IF(VLOOKUP(I14,'G-7 Rivers Data'!$AG$4:$AI$9,3,FALSE)=0,"Spatial Data Missing ⚠",VLOOKUP(I14,'G-7 Rivers Data'!$AG$4:$AI$9,3,FALSE)))</f>
        <v/>
      </c>
      <c r="L14" s="635" t="str">
        <f>IFERROR(INDEX('G-7 Rivers Data'!$O$3:$O$7,MATCH(G14,'G-7 Rivers Data'!$N$3:$N$7,0)),"")</f>
        <v/>
      </c>
      <c r="M14" s="7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146"/>
      <c r="AA14" s="524" t="str">
        <f>IF(Z14="","",VLOOKUP(Z14,'G-7 Rivers Data'!$AO$4:$AP$7,2,FALSE))</f>
        <v/>
      </c>
      <c r="AB14" s="545" t="str">
        <f t="shared" si="6"/>
        <v/>
      </c>
      <c r="AC14" s="239"/>
      <c r="AD14" s="240"/>
      <c r="AK14" s="31" t="str">
        <f>IFERROR(INDEX('G-7 Rivers Data'!$AZ$3:$AZ$7,MATCH(C14,'G-7 Rivers Data'!$AY$3:$AY$7,0)),"")</f>
        <v/>
      </c>
    </row>
    <row r="15" spans="2:37" ht="13.8" x14ac:dyDescent="0.25">
      <c r="B15" s="141">
        <v>4</v>
      </c>
      <c r="C15" s="665"/>
      <c r="D15" s="70"/>
      <c r="E15" s="498" t="str">
        <f>IF(C15="","",VLOOKUP(C15,'G-7 Rivers Data'!$B$2:$Z$9,2,FALSE))</f>
        <v/>
      </c>
      <c r="F15" s="499" t="str">
        <f>IFERROR(VLOOKUP(E15,'G-7 Rivers Data'!$C$4:$D$8,2,FALSE),"")</f>
        <v/>
      </c>
      <c r="G15" s="71"/>
      <c r="H15" s="499" t="str">
        <f>IFERROR(INDEX('G-7 Rivers Data'!$H$4:$L$8,MATCH(C15,'G-7 Rivers Data'!$B$4:$B$8,0),MATCH(G15,'G-7 Rivers Data'!$H$3:$L$3,0)),"")</f>
        <v/>
      </c>
      <c r="I15" s="71"/>
      <c r="J15" s="540" t="str">
        <f>IF(I15="","",IF(VLOOKUP(I15,'G-7 Rivers Data'!$AG$4:$AI$9,2,FALSE)=0,"Spatial Data Missing ⚠",VLOOKUP(I15,'G-7 Rivers Data'!$AG$4:$AI$9,2,FALSE)))</f>
        <v/>
      </c>
      <c r="K15" s="499" t="str">
        <f>IF(I15="","",IF(VLOOKUP(I15,'G-7 Rivers Data'!$AG$4:$AI$9,3,FALSE)=0,"Spatial Data Missing ⚠",VLOOKUP(I15,'G-7 Rivers Data'!$AG$4:$AI$9,3,FALSE)))</f>
        <v/>
      </c>
      <c r="L15" s="635" t="str">
        <f>IFERROR(INDEX('G-7 Rivers Data'!$O$3:$O$7,MATCH(G15,'G-7 Rivers Data'!$N$3:$N$7,0)),"")</f>
        <v/>
      </c>
      <c r="M15" s="7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146"/>
      <c r="AA15" s="524" t="str">
        <f>IF(Z15="","",VLOOKUP(Z15,'G-7 Rivers Data'!$AO$4:$AP$7,2,FALSE))</f>
        <v/>
      </c>
      <c r="AB15" s="545" t="str">
        <f t="shared" si="6"/>
        <v/>
      </c>
      <c r="AC15" s="239"/>
      <c r="AD15" s="240"/>
      <c r="AK15" s="31" t="str">
        <f>IFERROR(INDEX('G-7 Rivers Data'!$AZ$3:$AZ$7,MATCH(C15,'G-7 Rivers Data'!$AY$3:$AY$7,0)),"")</f>
        <v/>
      </c>
    </row>
    <row r="16" spans="2:37" ht="13.8" x14ac:dyDescent="0.25">
      <c r="B16" s="141">
        <v>5</v>
      </c>
      <c r="C16" s="666"/>
      <c r="D16" s="172"/>
      <c r="E16" s="498" t="str">
        <f>IF(C16="","",VLOOKUP(C16,'G-7 Rivers Data'!$B$2:$Z$9,2,FALSE))</f>
        <v/>
      </c>
      <c r="F16" s="499" t="str">
        <f>IFERROR(VLOOKUP(E16,'G-7 Rivers Data'!$C$4:$D$8,2,FALSE),"")</f>
        <v/>
      </c>
      <c r="G16" s="145"/>
      <c r="H16" s="499" t="str">
        <f>IFERROR(INDEX('G-7 Rivers Data'!$H$4:$L$8,MATCH(C16,'G-7 Rivers Data'!$B$4:$B$8,0),MATCH(G16,'G-7 Rivers Data'!$H$3:$L$3,0)),"")</f>
        <v/>
      </c>
      <c r="I16" s="71"/>
      <c r="J16" s="540" t="str">
        <f>IF(I16="","",IF(VLOOKUP(I16,'G-7 Rivers Data'!$AG$4:$AI$9,2,FALSE)=0,"Spatial Data Missing ⚠",VLOOKUP(I16,'G-7 Rivers Data'!$AG$4:$AI$9,2,FALSE)))</f>
        <v/>
      </c>
      <c r="K16" s="499" t="str">
        <f>IF(I16="","",IF(VLOOKUP(I16,'G-7 Rivers Data'!$AG$4:$AI$9,3,FALSE)=0,"Spatial Data Missing ⚠",VLOOKUP(I16,'G-7 Rivers Data'!$AG$4:$AI$9,3,FALSE)))</f>
        <v/>
      </c>
      <c r="L16" s="635" t="str">
        <f>IFERROR(INDEX('G-7 Rivers Data'!$O$3:$O$7,MATCH(G16,'G-7 Rivers Data'!$N$3:$N$7,0)),"")</f>
        <v/>
      </c>
      <c r="M16" s="7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146"/>
      <c r="AA16" s="524" t="str">
        <f>IF(Z16="","",VLOOKUP(Z16,'G-7 Rivers Data'!$AO$4:$AP$7,2,FALSE))</f>
        <v/>
      </c>
      <c r="AB16" s="545" t="str">
        <f t="shared" si="6"/>
        <v/>
      </c>
      <c r="AC16" s="149"/>
      <c r="AD16" s="150"/>
      <c r="AK16" s="31" t="str">
        <f>IFERROR(INDEX('G-7 Rivers Data'!$AZ$3:$AZ$7,MATCH(C16,'G-7 Rivers Data'!$AY$3:$AY$7,0)),"")</f>
        <v/>
      </c>
    </row>
    <row r="17" spans="2:37" ht="13.8" x14ac:dyDescent="0.25">
      <c r="B17" s="141">
        <v>6</v>
      </c>
      <c r="C17" s="666"/>
      <c r="D17" s="172"/>
      <c r="E17" s="498" t="str">
        <f>IF(C17="","",VLOOKUP(C17,'G-7 Rivers Data'!$B$2:$Z$9,2,FALSE))</f>
        <v/>
      </c>
      <c r="F17" s="499" t="str">
        <f>IFERROR(VLOOKUP(E17,'G-7 Rivers Data'!$C$4:$D$8,2,FALSE),"")</f>
        <v/>
      </c>
      <c r="G17" s="145"/>
      <c r="H17" s="499" t="str">
        <f>IFERROR(INDEX('G-7 Rivers Data'!$H$4:$L$8,MATCH(C17,'G-7 Rivers Data'!$B$4:$B$8,0),MATCH(G17,'G-7 Rivers Data'!$H$3:$L$3,0)),"")</f>
        <v/>
      </c>
      <c r="I17" s="145"/>
      <c r="J17" s="540" t="str">
        <f>IF(I17="","",IF(VLOOKUP(I17,'G-7 Rivers Data'!$AG$4:$AI$9,2,FALSE)=0,"Spatial Data Missing ⚠",VLOOKUP(I17,'G-7 Rivers Data'!$AG$4:$AI$9,2,FALSE)))</f>
        <v/>
      </c>
      <c r="K17" s="499" t="str">
        <f>IF(I17="","",IF(VLOOKUP(I17,'G-7 Rivers Data'!$AG$4:$AI$9,3,FALSE)=0,"Spatial Data Missing ⚠",VLOOKUP(I17,'G-7 Rivers Data'!$AG$4:$AI$9,3,FALSE)))</f>
        <v/>
      </c>
      <c r="L17" s="635" t="str">
        <f>IFERROR(INDEX('G-7 Rivers Data'!$O$3:$O$7,MATCH(G17,'G-7 Rivers Data'!$N$3:$N$7,0)),"")</f>
        <v/>
      </c>
      <c r="M17" s="7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154"/>
      <c r="AA17" s="524" t="str">
        <f>IF(Z17="","",VLOOKUP(Z17,'G-7 Rivers Data'!$AO$4:$AP$7,2,FALSE))</f>
        <v/>
      </c>
      <c r="AB17" s="545" t="str">
        <f t="shared" si="6"/>
        <v/>
      </c>
      <c r="AC17" s="149"/>
      <c r="AD17" s="150"/>
      <c r="AK17" s="31" t="str">
        <f>IFERROR(INDEX('G-7 Rivers Data'!$AZ$3:$AZ$7,MATCH(C17,'G-7 Rivers Data'!$AY$3:$AY$7,0)),"")</f>
        <v/>
      </c>
    </row>
    <row r="18" spans="2:37" ht="13.8" x14ac:dyDescent="0.25">
      <c r="B18" s="141">
        <v>7</v>
      </c>
      <c r="C18" s="666"/>
      <c r="D18" s="172"/>
      <c r="E18" s="498" t="str">
        <f>IF(C18="","",VLOOKUP(C18,'G-7 Rivers Data'!$B$2:$Z$9,2,FALSE))</f>
        <v/>
      </c>
      <c r="F18" s="499" t="str">
        <f>IFERROR(VLOOKUP(E18,'G-7 Rivers Data'!$C$4:$D$8,2,FALSE),"")</f>
        <v/>
      </c>
      <c r="G18" s="145"/>
      <c r="H18" s="499" t="str">
        <f>IFERROR(INDEX('G-7 Rivers Data'!$H$4:$L$8,MATCH(C18,'G-7 Rivers Data'!$B$4:$B$8,0),MATCH(G18,'G-7 Rivers Data'!$H$3:$L$3,0)),"")</f>
        <v/>
      </c>
      <c r="I18" s="145"/>
      <c r="J18" s="540" t="str">
        <f>IF(I18="","",IF(VLOOKUP(I18,'G-7 Rivers Data'!$AG$4:$AI$9,2,FALSE)=0,"Spatial Data Missing ⚠",VLOOKUP(I18,'G-7 Rivers Data'!$AG$4:$AI$9,2,FALSE)))</f>
        <v/>
      </c>
      <c r="K18" s="499" t="str">
        <f>IF(I18="","",IF(VLOOKUP(I18,'G-7 Rivers Data'!$AG$4:$AI$9,3,FALSE)=0,"Spatial Data Missing ⚠",VLOOKUP(I18,'G-7 Rivers Data'!$AG$4:$AI$9,3,FALSE)))</f>
        <v/>
      </c>
      <c r="L18" s="635" t="str">
        <f>IFERROR(INDEX('G-7 Rivers Data'!$O$3:$O$7,MATCH(G18,'G-7 Rivers Data'!$N$3:$N$7,0)),"")</f>
        <v/>
      </c>
      <c r="M18" s="7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154"/>
      <c r="AA18" s="524" t="str">
        <f>IF(Z18="","",VLOOKUP(Z18,'G-7 Rivers Data'!$AO$4:$AP$7,2,FALSE))</f>
        <v/>
      </c>
      <c r="AB18" s="545" t="str">
        <f t="shared" si="6"/>
        <v/>
      </c>
      <c r="AC18" s="149"/>
      <c r="AD18" s="150"/>
      <c r="AK18" s="31" t="str">
        <f>IFERROR(INDEX('G-7 Rivers Data'!$AZ$3:$AZ$7,MATCH(C18,'G-7 Rivers Data'!$AY$3:$AY$7,0)),"")</f>
        <v/>
      </c>
    </row>
    <row r="19" spans="2:37" ht="13.8" x14ac:dyDescent="0.25">
      <c r="B19" s="141">
        <v>8</v>
      </c>
      <c r="C19" s="666"/>
      <c r="D19" s="172"/>
      <c r="E19" s="498" t="str">
        <f>IF(C19="","",VLOOKUP(C19,'G-7 Rivers Data'!$B$2:$Z$9,2,FALSE))</f>
        <v/>
      </c>
      <c r="F19" s="499" t="str">
        <f>IFERROR(VLOOKUP(E19,'G-7 Rivers Data'!$C$4:$D$8,2,FALSE),"")</f>
        <v/>
      </c>
      <c r="G19" s="145"/>
      <c r="H19" s="499" t="str">
        <f>IFERROR(INDEX('G-7 Rivers Data'!$H$4:$L$8,MATCH(C19,'G-7 Rivers Data'!$B$4:$B$8,0),MATCH(G19,'G-7 Rivers Data'!$H$3:$L$3,0)),"")</f>
        <v/>
      </c>
      <c r="I19" s="145"/>
      <c r="J19" s="540" t="str">
        <f>IF(I19="","",IF(VLOOKUP(I19,'G-7 Rivers Data'!$AG$4:$AI$9,2,FALSE)=0,"Spatial Data Missing ⚠",VLOOKUP(I19,'G-7 Rivers Data'!$AG$4:$AI$9,2,FALSE)))</f>
        <v/>
      </c>
      <c r="K19" s="499" t="str">
        <f>IF(I19="","",IF(VLOOKUP(I19,'G-7 Rivers Data'!$AG$4:$AI$9,3,FALSE)=0,"Spatial Data Missing ⚠",VLOOKUP(I19,'G-7 Rivers Data'!$AG$4:$AI$9,3,FALSE)))</f>
        <v/>
      </c>
      <c r="L19" s="635" t="str">
        <f>IFERROR(INDEX('G-7 Rivers Data'!$O$3:$O$7,MATCH(G19,'G-7 Rivers Data'!$N$3:$N$7,0)),"")</f>
        <v/>
      </c>
      <c r="M19" s="7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154"/>
      <c r="AA19" s="524" t="str">
        <f>IF(Z19="","",VLOOKUP(Z19,'G-7 Rivers Data'!$AO$4:$AP$7,2,FALSE))</f>
        <v/>
      </c>
      <c r="AB19" s="545" t="str">
        <f t="shared" si="6"/>
        <v/>
      </c>
      <c r="AC19" s="149"/>
      <c r="AD19" s="150"/>
      <c r="AK19" s="31" t="str">
        <f>IFERROR(INDEX('G-7 Rivers Data'!$AZ$3:$AZ$7,MATCH(C19,'G-7 Rivers Data'!$AY$3:$AY$7,0)),"")</f>
        <v/>
      </c>
    </row>
    <row r="20" spans="2:37" ht="13.8" x14ac:dyDescent="0.25">
      <c r="B20" s="141">
        <v>9</v>
      </c>
      <c r="C20" s="666"/>
      <c r="D20" s="172"/>
      <c r="E20" s="498" t="str">
        <f>IF(C20="","",VLOOKUP(C20,'G-7 Rivers Data'!$B$2:$Z$9,2,FALSE))</f>
        <v/>
      </c>
      <c r="F20" s="499" t="str">
        <f>IFERROR(VLOOKUP(E20,'G-7 Rivers Data'!$C$4:$D$8,2,FALSE),"")</f>
        <v/>
      </c>
      <c r="G20" s="145"/>
      <c r="H20" s="499" t="str">
        <f>IFERROR(INDEX('G-7 Rivers Data'!$H$4:$L$8,MATCH(C20,'G-7 Rivers Data'!$B$4:$B$8,0),MATCH(G20,'G-7 Rivers Data'!$H$3:$L$3,0)),"")</f>
        <v/>
      </c>
      <c r="I20" s="145"/>
      <c r="J20" s="540" t="str">
        <f>IF(I20="","",IF(VLOOKUP(I20,'G-7 Rivers Data'!$AG$4:$AI$9,2,FALSE)=0,"Spatial Data Missing ⚠",VLOOKUP(I20,'G-7 Rivers Data'!$AG$4:$AI$9,2,FALSE)))</f>
        <v/>
      </c>
      <c r="K20" s="499" t="str">
        <f>IF(I20="","",IF(VLOOKUP(I20,'G-7 Rivers Data'!$AG$4:$AI$9,3,FALSE)=0,"Spatial Data Missing ⚠",VLOOKUP(I20,'G-7 Rivers Data'!$AG$4:$AI$9,3,FALSE)))</f>
        <v/>
      </c>
      <c r="L20" s="635" t="str">
        <f>IFERROR(INDEX('G-7 Rivers Data'!$O$3:$O$7,MATCH(G20,'G-7 Rivers Data'!$N$3:$N$7,0)),"")</f>
        <v/>
      </c>
      <c r="M20" s="7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154"/>
      <c r="AA20" s="524" t="str">
        <f>IF(Z20="","",VLOOKUP(Z20,'G-7 Rivers Data'!$AO$4:$AP$7,2,FALSE))</f>
        <v/>
      </c>
      <c r="AB20" s="545" t="str">
        <f t="shared" si="6"/>
        <v/>
      </c>
      <c r="AC20" s="149"/>
      <c r="AD20" s="150"/>
      <c r="AK20" s="31" t="str">
        <f>IFERROR(INDEX('G-7 Rivers Data'!$AZ$3:$AZ$7,MATCH(C20,'G-7 Rivers Data'!$AY$3:$AY$7,0)),"")</f>
        <v/>
      </c>
    </row>
    <row r="21" spans="2:37" ht="13.8" x14ac:dyDescent="0.25">
      <c r="B21" s="141">
        <v>10</v>
      </c>
      <c r="C21" s="666"/>
      <c r="D21" s="172"/>
      <c r="E21" s="498" t="str">
        <f>IF(C21="","",VLOOKUP(C21,'G-7 Rivers Data'!$B$2:$Z$9,2,FALSE))</f>
        <v/>
      </c>
      <c r="F21" s="499" t="str">
        <f>IFERROR(VLOOKUP(E21,'G-7 Rivers Data'!$C$4:$D$8,2,FALSE),"")</f>
        <v/>
      </c>
      <c r="G21" s="145"/>
      <c r="H21" s="499" t="str">
        <f>IFERROR(INDEX('G-7 Rivers Data'!$H$4:$L$8,MATCH(C21,'G-7 Rivers Data'!$B$4:$B$8,0),MATCH(G21,'G-7 Rivers Data'!$H$3:$L$3,0)),"")</f>
        <v/>
      </c>
      <c r="I21" s="145"/>
      <c r="J21" s="540" t="str">
        <f>IF(I21="","",IF(VLOOKUP(I21,'G-7 Rivers Data'!$AG$4:$AI$9,2,FALSE)=0,"Spatial Data Missing ⚠",VLOOKUP(I21,'G-7 Rivers Data'!$AG$4:$AI$9,2,FALSE)))</f>
        <v/>
      </c>
      <c r="K21" s="499" t="str">
        <f>IF(I21="","",IF(VLOOKUP(I21,'G-7 Rivers Data'!$AG$4:$AI$9,3,FALSE)=0,"Spatial Data Missing ⚠",VLOOKUP(I21,'G-7 Rivers Data'!$AG$4:$AI$9,3,FALSE)))</f>
        <v/>
      </c>
      <c r="L21" s="635" t="str">
        <f>IFERROR(INDEX('G-7 Rivers Data'!$O$3:$O$7,MATCH(G21,'G-7 Rivers Data'!$N$3:$N$7,0)),"")</f>
        <v/>
      </c>
      <c r="M21" s="7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154"/>
      <c r="AA21" s="524" t="str">
        <f>IF(Z21="","",VLOOKUP(Z21,'G-7 Rivers Data'!$AO$4:$AP$7,2,FALSE))</f>
        <v/>
      </c>
      <c r="AB21" s="545" t="str">
        <f t="shared" si="6"/>
        <v/>
      </c>
      <c r="AC21" s="149"/>
      <c r="AD21" s="150"/>
      <c r="AK21" s="31" t="str">
        <f>IFERROR(INDEX('G-7 Rivers Data'!$AZ$3:$AZ$7,MATCH(C21,'G-7 Rivers Data'!$AY$3:$AY$7,0)),"")</f>
        <v/>
      </c>
    </row>
    <row r="22" spans="2:37" ht="13.8" x14ac:dyDescent="0.25">
      <c r="B22" s="141">
        <v>11</v>
      </c>
      <c r="C22" s="666"/>
      <c r="D22" s="172"/>
      <c r="E22" s="498" t="str">
        <f>IF(C22="","",VLOOKUP(C22,'G-7 Rivers Data'!$B$2:$Z$9,2,FALSE))</f>
        <v/>
      </c>
      <c r="F22" s="499" t="str">
        <f>IFERROR(VLOOKUP(E22,'G-7 Rivers Data'!$C$4:$D$8,2,FALSE),"")</f>
        <v/>
      </c>
      <c r="G22" s="145"/>
      <c r="H22" s="499" t="str">
        <f>IFERROR(INDEX('G-7 Rivers Data'!$H$4:$L$8,MATCH(C22,'G-7 Rivers Data'!$B$4:$B$8,0),MATCH(G22,'G-7 Rivers Data'!$H$3:$L$3,0)),"")</f>
        <v/>
      </c>
      <c r="I22" s="145"/>
      <c r="J22" s="540" t="str">
        <f>IF(I22="","",IF(VLOOKUP(I22,'G-7 Rivers Data'!$AG$4:$AI$9,2,FALSE)=0,"Spatial Data Missing ⚠",VLOOKUP(I22,'G-7 Rivers Data'!$AG$4:$AI$9,2,FALSE)))</f>
        <v/>
      </c>
      <c r="K22" s="499" t="str">
        <f>IF(I22="","",IF(VLOOKUP(I22,'G-7 Rivers Data'!$AG$4:$AI$9,3,FALSE)=0,"Spatial Data Missing ⚠",VLOOKUP(I22,'G-7 Rivers Data'!$AG$4:$AI$9,3,FALSE)))</f>
        <v/>
      </c>
      <c r="L22" s="635" t="str">
        <f>IFERROR(INDEX('G-7 Rivers Data'!$O$3:$O$7,MATCH(G22,'G-7 Rivers Data'!$N$3:$N$7,0)),"")</f>
        <v/>
      </c>
      <c r="M22" s="7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154"/>
      <c r="AA22" s="524" t="str">
        <f>IF(Z22="","",VLOOKUP(Z22,'G-7 Rivers Data'!$AO$4:$AP$7,2,FALSE))</f>
        <v/>
      </c>
      <c r="AB22" s="545" t="str">
        <f t="shared" si="6"/>
        <v/>
      </c>
      <c r="AC22" s="149"/>
      <c r="AD22" s="150"/>
      <c r="AK22" s="31" t="str">
        <f>IFERROR(INDEX('G-7 Rivers Data'!$AZ$3:$AZ$7,MATCH(C22,'G-7 Rivers Data'!$AY$3:$AY$7,0)),"")</f>
        <v/>
      </c>
    </row>
    <row r="23" spans="2:37" ht="13.8" x14ac:dyDescent="0.25">
      <c r="B23" s="141">
        <v>12</v>
      </c>
      <c r="C23" s="666"/>
      <c r="D23" s="172"/>
      <c r="E23" s="498" t="str">
        <f>IF(C23="","",VLOOKUP(C23,'G-7 Rivers Data'!$B$2:$Z$9,2,FALSE))</f>
        <v/>
      </c>
      <c r="F23" s="499" t="str">
        <f>IFERROR(VLOOKUP(E23,'G-7 Rivers Data'!$C$4:$D$8,2,FALSE),"")</f>
        <v/>
      </c>
      <c r="G23" s="145"/>
      <c r="H23" s="499" t="str">
        <f>IFERROR(INDEX('G-7 Rivers Data'!$H$4:$L$8,MATCH(C23,'G-7 Rivers Data'!$B$4:$B$8,0),MATCH(G23,'G-7 Rivers Data'!$H$3:$L$3,0)),"")</f>
        <v/>
      </c>
      <c r="I23" s="145"/>
      <c r="J23" s="540" t="str">
        <f>IF(I23="","",IF(VLOOKUP(I23,'G-7 Rivers Data'!$AG$4:$AI$9,2,FALSE)=0,"Spatial Data Missing ⚠",VLOOKUP(I23,'G-7 Rivers Data'!$AG$4:$AI$9,2,FALSE)))</f>
        <v/>
      </c>
      <c r="K23" s="499" t="str">
        <f>IF(I23="","",IF(VLOOKUP(I23,'G-7 Rivers Data'!$AG$4:$AI$9,3,FALSE)=0,"Spatial Data Missing ⚠",VLOOKUP(I23,'G-7 Rivers Data'!$AG$4:$AI$9,3,FALSE)))</f>
        <v/>
      </c>
      <c r="L23" s="635" t="str">
        <f>IFERROR(INDEX('G-7 Rivers Data'!$O$3:$O$7,MATCH(G23,'G-7 Rivers Data'!$N$3:$N$7,0)),"")</f>
        <v/>
      </c>
      <c r="M23" s="7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154"/>
      <c r="AA23" s="524" t="str">
        <f>IF(Z23="","",VLOOKUP(Z23,'G-7 Rivers Data'!$AO$4:$AP$7,2,FALSE))</f>
        <v/>
      </c>
      <c r="AB23" s="545" t="str">
        <f t="shared" si="6"/>
        <v/>
      </c>
      <c r="AC23" s="149"/>
      <c r="AD23" s="150"/>
      <c r="AK23" s="31" t="str">
        <f>IFERROR(INDEX('G-7 Rivers Data'!$AZ$3:$AZ$7,MATCH(C23,'G-7 Rivers Data'!$AY$3:$AY$7,0)),"")</f>
        <v/>
      </c>
    </row>
    <row r="24" spans="2:37" ht="13.8" x14ac:dyDescent="0.25">
      <c r="B24" s="141">
        <v>13</v>
      </c>
      <c r="C24" s="666"/>
      <c r="D24" s="172"/>
      <c r="E24" s="498" t="str">
        <f>IF(C24="","",VLOOKUP(C24,'G-7 Rivers Data'!$B$2:$Z$9,2,FALSE))</f>
        <v/>
      </c>
      <c r="F24" s="499" t="str">
        <f>IFERROR(VLOOKUP(E24,'G-7 Rivers Data'!$C$4:$D$8,2,FALSE),"")</f>
        <v/>
      </c>
      <c r="G24" s="145"/>
      <c r="H24" s="499" t="str">
        <f>IFERROR(INDEX('G-7 Rivers Data'!$H$4:$L$8,MATCH(C24,'G-7 Rivers Data'!$B$4:$B$8,0),MATCH(G24,'G-7 Rivers Data'!$H$3:$L$3,0)),"")</f>
        <v/>
      </c>
      <c r="I24" s="145"/>
      <c r="J24" s="540" t="str">
        <f>IF(I24="","",IF(VLOOKUP(I24,'G-7 Rivers Data'!$AG$4:$AI$9,2,FALSE)=0,"Spatial Data Missing ⚠",VLOOKUP(I24,'G-7 Rivers Data'!$AG$4:$AI$9,2,FALSE)))</f>
        <v/>
      </c>
      <c r="K24" s="499" t="str">
        <f>IF(I24="","",IF(VLOOKUP(I24,'G-7 Rivers Data'!$AG$4:$AI$9,3,FALSE)=0,"Spatial Data Missing ⚠",VLOOKUP(I24,'G-7 Rivers Data'!$AG$4:$AI$9,3,FALSE)))</f>
        <v/>
      </c>
      <c r="L24" s="635" t="str">
        <f>IFERROR(INDEX('G-7 Rivers Data'!$O$3:$O$7,MATCH(G24,'G-7 Rivers Data'!$N$3:$N$7,0)),"")</f>
        <v/>
      </c>
      <c r="M24" s="7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154"/>
      <c r="AA24" s="524" t="str">
        <f>IF(Z24="","",VLOOKUP(Z24,'G-7 Rivers Data'!$AO$4:$AP$7,2,FALSE))</f>
        <v/>
      </c>
      <c r="AB24" s="545" t="str">
        <f t="shared" si="6"/>
        <v/>
      </c>
      <c r="AC24" s="149"/>
      <c r="AD24" s="150"/>
      <c r="AK24" s="31" t="str">
        <f>IFERROR(INDEX('G-7 Rivers Data'!$AZ$3:$AZ$7,MATCH(C24,'G-7 Rivers Data'!$AY$3:$AY$7,0)),"")</f>
        <v/>
      </c>
    </row>
    <row r="25" spans="2:37" ht="13.8" x14ac:dyDescent="0.25">
      <c r="B25" s="141">
        <v>14</v>
      </c>
      <c r="C25" s="666"/>
      <c r="D25" s="172"/>
      <c r="E25" s="498" t="str">
        <f>IF(C25="","",VLOOKUP(C25,'G-7 Rivers Data'!$B$2:$Z$9,2,FALSE))</f>
        <v/>
      </c>
      <c r="F25" s="499" t="str">
        <f>IFERROR(VLOOKUP(E25,'G-7 Rivers Data'!$C$4:$D$8,2,FALSE),"")</f>
        <v/>
      </c>
      <c r="G25" s="145"/>
      <c r="H25" s="499" t="str">
        <f>IFERROR(INDEX('G-7 Rivers Data'!$H$4:$L$8,MATCH(C25,'G-7 Rivers Data'!$B$4:$B$8,0),MATCH(G25,'G-7 Rivers Data'!$H$3:$L$3,0)),"")</f>
        <v/>
      </c>
      <c r="I25" s="145"/>
      <c r="J25" s="540" t="str">
        <f>IF(I25="","",IF(VLOOKUP(I25,'G-7 Rivers Data'!$AG$4:$AI$9,2,FALSE)=0,"Spatial Data Missing ⚠",VLOOKUP(I25,'G-7 Rivers Data'!$AG$4:$AI$9,2,FALSE)))</f>
        <v/>
      </c>
      <c r="K25" s="499" t="str">
        <f>IF(I25="","",IF(VLOOKUP(I25,'G-7 Rivers Data'!$AG$4:$AI$9,3,FALSE)=0,"Spatial Data Missing ⚠",VLOOKUP(I25,'G-7 Rivers Data'!$AG$4:$AI$9,3,FALSE)))</f>
        <v/>
      </c>
      <c r="L25" s="635" t="str">
        <f>IFERROR(INDEX('G-7 Rivers Data'!$O$3:$O$7,MATCH(G25,'G-7 Rivers Data'!$N$3:$N$7,0)),"")</f>
        <v/>
      </c>
      <c r="M25" s="7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154"/>
      <c r="AA25" s="524" t="str">
        <f>IF(Z25="","",VLOOKUP(Z25,'G-7 Rivers Data'!$AO$4:$AP$7,2,FALSE))</f>
        <v/>
      </c>
      <c r="AB25" s="545" t="str">
        <f t="shared" si="6"/>
        <v/>
      </c>
      <c r="AC25" s="149"/>
      <c r="AD25" s="150"/>
      <c r="AK25" s="31" t="str">
        <f>IFERROR(INDEX('G-7 Rivers Data'!$AZ$3:$AZ$7,MATCH(C25,'G-7 Rivers Data'!$AY$3:$AY$7,0)),"")</f>
        <v/>
      </c>
    </row>
    <row r="26" spans="2:37" ht="13.8" x14ac:dyDescent="0.25">
      <c r="B26" s="141">
        <v>15</v>
      </c>
      <c r="C26" s="666"/>
      <c r="D26" s="172"/>
      <c r="E26" s="498" t="str">
        <f>IF(C26="","",VLOOKUP(C26,'G-7 Rivers Data'!$B$2:$Z$9,2,FALSE))</f>
        <v/>
      </c>
      <c r="F26" s="499" t="str">
        <f>IFERROR(VLOOKUP(E26,'G-7 Rivers Data'!$C$4:$D$8,2,FALSE),"")</f>
        <v/>
      </c>
      <c r="G26" s="145"/>
      <c r="H26" s="499" t="str">
        <f>IFERROR(INDEX('G-7 Rivers Data'!$H$4:$L$8,MATCH(C26,'G-7 Rivers Data'!$B$4:$B$8,0),MATCH(G26,'G-7 Rivers Data'!$H$3:$L$3,0)),"")</f>
        <v/>
      </c>
      <c r="I26" s="145"/>
      <c r="J26" s="540" t="str">
        <f>IF(I26="","",IF(VLOOKUP(I26,'G-7 Rivers Data'!$AG$4:$AI$9,2,FALSE)=0,"Spatial Data Missing ⚠",VLOOKUP(I26,'G-7 Rivers Data'!$AG$4:$AI$9,2,FALSE)))</f>
        <v/>
      </c>
      <c r="K26" s="499" t="str">
        <f>IF(I26="","",IF(VLOOKUP(I26,'G-7 Rivers Data'!$AG$4:$AI$9,3,FALSE)=0,"Spatial Data Missing ⚠",VLOOKUP(I26,'G-7 Rivers Data'!$AG$4:$AI$9,3,FALSE)))</f>
        <v/>
      </c>
      <c r="L26" s="635" t="str">
        <f>IFERROR(INDEX('G-7 Rivers Data'!$O$3:$O$7,MATCH(G26,'G-7 Rivers Data'!$N$3:$N$7,0)),"")</f>
        <v/>
      </c>
      <c r="M26" s="7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154"/>
      <c r="AA26" s="524" t="str">
        <f>IF(Z26="","",VLOOKUP(Z26,'G-7 Rivers Data'!$AO$4:$AP$7,2,FALSE))</f>
        <v/>
      </c>
      <c r="AB26" s="545" t="str">
        <f t="shared" si="6"/>
        <v/>
      </c>
      <c r="AC26" s="149"/>
      <c r="AD26" s="150"/>
      <c r="AK26" s="31" t="str">
        <f>IFERROR(INDEX('G-7 Rivers Data'!$AZ$3:$AZ$7,MATCH(C26,'G-7 Rivers Data'!$AY$3:$AY$7,0)),"")</f>
        <v/>
      </c>
    </row>
    <row r="27" spans="2:37" ht="13.8" x14ac:dyDescent="0.25">
      <c r="B27" s="141">
        <v>16</v>
      </c>
      <c r="C27" s="666"/>
      <c r="D27" s="172"/>
      <c r="E27" s="498" t="str">
        <f>IF(C27="","",VLOOKUP(C27,'G-7 Rivers Data'!$B$2:$Z$9,2,FALSE))</f>
        <v/>
      </c>
      <c r="F27" s="499" t="str">
        <f>IFERROR(VLOOKUP(E27,'G-7 Rivers Data'!$C$4:$D$8,2,FALSE),"")</f>
        <v/>
      </c>
      <c r="G27" s="145"/>
      <c r="H27" s="499" t="str">
        <f>IFERROR(INDEX('G-7 Rivers Data'!$H$4:$L$8,MATCH(C27,'G-7 Rivers Data'!$B$4:$B$8,0),MATCH(G27,'G-7 Rivers Data'!$H$3:$L$3,0)),"")</f>
        <v/>
      </c>
      <c r="I27" s="145"/>
      <c r="J27" s="540" t="str">
        <f>IF(I27="","",IF(VLOOKUP(I27,'G-7 Rivers Data'!$AG$4:$AI$9,2,FALSE)=0,"Spatial Data Missing ⚠",VLOOKUP(I27,'G-7 Rivers Data'!$AG$4:$AI$9,2,FALSE)))</f>
        <v/>
      </c>
      <c r="K27" s="499" t="str">
        <f>IF(I27="","",IF(VLOOKUP(I27,'G-7 Rivers Data'!$AG$4:$AI$9,3,FALSE)=0,"Spatial Data Missing ⚠",VLOOKUP(I27,'G-7 Rivers Data'!$AG$4:$AI$9,3,FALSE)))</f>
        <v/>
      </c>
      <c r="L27" s="635" t="str">
        <f>IFERROR(INDEX('G-7 Rivers Data'!$O$3:$O$7,MATCH(G27,'G-7 Rivers Data'!$N$3:$N$7,0)),"")</f>
        <v/>
      </c>
      <c r="M27" s="7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154"/>
      <c r="AA27" s="524" t="str">
        <f>IF(Z27="","",VLOOKUP(Z27,'G-7 Rivers Data'!$AO$4:$AP$7,2,FALSE))</f>
        <v/>
      </c>
      <c r="AB27" s="545" t="str">
        <f t="shared" si="6"/>
        <v/>
      </c>
      <c r="AC27" s="149"/>
      <c r="AD27" s="150"/>
      <c r="AK27" s="31" t="str">
        <f>IFERROR(INDEX('G-7 Rivers Data'!$AZ$3:$AZ$7,MATCH(C27,'G-7 Rivers Data'!$AY$3:$AY$7,0)),"")</f>
        <v/>
      </c>
    </row>
    <row r="28" spans="2:37" ht="13.8" x14ac:dyDescent="0.25">
      <c r="B28" s="141">
        <v>17</v>
      </c>
      <c r="C28" s="666"/>
      <c r="D28" s="172"/>
      <c r="E28" s="498" t="str">
        <f>IF(C28="","",VLOOKUP(C28,'G-7 Rivers Data'!$B$2:$Z$9,2,FALSE))</f>
        <v/>
      </c>
      <c r="F28" s="499" t="str">
        <f>IFERROR(VLOOKUP(E28,'G-7 Rivers Data'!$C$4:$D$8,2,FALSE),"")</f>
        <v/>
      </c>
      <c r="G28" s="145"/>
      <c r="H28" s="499" t="str">
        <f>IFERROR(INDEX('G-7 Rivers Data'!$H$4:$L$8,MATCH(C28,'G-7 Rivers Data'!$B$4:$B$8,0),MATCH(G28,'G-7 Rivers Data'!$H$3:$L$3,0)),"")</f>
        <v/>
      </c>
      <c r="I28" s="145"/>
      <c r="J28" s="540" t="str">
        <f>IF(I28="","",IF(VLOOKUP(I28,'G-7 Rivers Data'!$AG$4:$AI$9,2,FALSE)=0,"Spatial Data Missing ⚠",VLOOKUP(I28,'G-7 Rivers Data'!$AG$4:$AI$9,2,FALSE)))</f>
        <v/>
      </c>
      <c r="K28" s="499" t="str">
        <f>IF(I28="","",IF(VLOOKUP(I28,'G-7 Rivers Data'!$AG$4:$AI$9,3,FALSE)=0,"Spatial Data Missing ⚠",VLOOKUP(I28,'G-7 Rivers Data'!$AG$4:$AI$9,3,FALSE)))</f>
        <v/>
      </c>
      <c r="L28" s="635" t="str">
        <f>IFERROR(INDEX('G-7 Rivers Data'!$O$3:$O$7,MATCH(G28,'G-7 Rivers Data'!$N$3:$N$7,0)),"")</f>
        <v/>
      </c>
      <c r="M28" s="7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154"/>
      <c r="AA28" s="524" t="str">
        <f>IF(Z28="","",VLOOKUP(Z28,'G-7 Rivers Data'!$AO$4:$AP$7,2,FALSE))</f>
        <v/>
      </c>
      <c r="AB28" s="545" t="str">
        <f t="shared" si="6"/>
        <v/>
      </c>
      <c r="AC28" s="149"/>
      <c r="AD28" s="150"/>
      <c r="AK28" s="31" t="str">
        <f>IFERROR(INDEX('G-7 Rivers Data'!$AZ$3:$AZ$7,MATCH(C28,'G-7 Rivers Data'!$AY$3:$AY$7,0)),"")</f>
        <v/>
      </c>
    </row>
    <row r="29" spans="2:37" ht="13.8" x14ac:dyDescent="0.25">
      <c r="B29" s="141">
        <v>18</v>
      </c>
      <c r="C29" s="666"/>
      <c r="D29" s="172"/>
      <c r="E29" s="498" t="str">
        <f>IF(C29="","",VLOOKUP(C29,'G-7 Rivers Data'!$B$2:$Z$9,2,FALSE))</f>
        <v/>
      </c>
      <c r="F29" s="499" t="str">
        <f>IFERROR(VLOOKUP(E29,'G-7 Rivers Data'!$C$4:$D$8,2,FALSE),"")</f>
        <v/>
      </c>
      <c r="G29" s="145"/>
      <c r="H29" s="499" t="str">
        <f>IFERROR(INDEX('G-7 Rivers Data'!$H$4:$L$8,MATCH(C29,'G-7 Rivers Data'!$B$4:$B$8,0),MATCH(G29,'G-7 Rivers Data'!$H$3:$L$3,0)),"")</f>
        <v/>
      </c>
      <c r="I29" s="145"/>
      <c r="J29" s="540" t="str">
        <f>IF(I29="","",IF(VLOOKUP(I29,'G-7 Rivers Data'!$AG$4:$AI$9,2,FALSE)=0,"Spatial Data Missing ⚠",VLOOKUP(I29,'G-7 Rivers Data'!$AG$4:$AI$9,2,FALSE)))</f>
        <v/>
      </c>
      <c r="K29" s="499" t="str">
        <f>IF(I29="","",IF(VLOOKUP(I29,'G-7 Rivers Data'!$AG$4:$AI$9,3,FALSE)=0,"Spatial Data Missing ⚠",VLOOKUP(I29,'G-7 Rivers Data'!$AG$4:$AI$9,3,FALSE)))</f>
        <v/>
      </c>
      <c r="L29" s="635" t="str">
        <f>IFERROR(INDEX('G-7 Rivers Data'!$O$3:$O$7,MATCH(G29,'G-7 Rivers Data'!$N$3:$N$7,0)),"")</f>
        <v/>
      </c>
      <c r="M29" s="7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154"/>
      <c r="AA29" s="524" t="str">
        <f>IF(Z29="","",VLOOKUP(Z29,'G-7 Rivers Data'!$AO$4:$AP$7,2,FALSE))</f>
        <v/>
      </c>
      <c r="AB29" s="545" t="str">
        <f t="shared" si="6"/>
        <v/>
      </c>
      <c r="AC29" s="149"/>
      <c r="AD29" s="150"/>
      <c r="AK29" s="31" t="str">
        <f>IFERROR(INDEX('G-7 Rivers Data'!$AZ$3:$AZ$7,MATCH(C29,'G-7 Rivers Data'!$AY$3:$AY$7,0)),"")</f>
        <v/>
      </c>
    </row>
    <row r="30" spans="2:37" ht="13.8" x14ac:dyDescent="0.25">
      <c r="B30" s="141">
        <v>19</v>
      </c>
      <c r="C30" s="666"/>
      <c r="D30" s="172"/>
      <c r="E30" s="498" t="str">
        <f>IF(C30="","",VLOOKUP(C30,'G-7 Rivers Data'!$B$2:$Z$9,2,FALSE))</f>
        <v/>
      </c>
      <c r="F30" s="499" t="str">
        <f>IFERROR(VLOOKUP(E30,'G-7 Rivers Data'!$C$4:$D$8,2,FALSE),"")</f>
        <v/>
      </c>
      <c r="G30" s="145"/>
      <c r="H30" s="499" t="str">
        <f>IFERROR(INDEX('G-7 Rivers Data'!$H$4:$L$8,MATCH(C30,'G-7 Rivers Data'!$B$4:$B$8,0),MATCH(G30,'G-7 Rivers Data'!$H$3:$L$3,0)),"")</f>
        <v/>
      </c>
      <c r="I30" s="145"/>
      <c r="J30" s="540" t="str">
        <f>IF(I30="","",IF(VLOOKUP(I30,'G-7 Rivers Data'!$AG$4:$AI$9,2,FALSE)=0,"Spatial Data Missing ⚠",VLOOKUP(I30,'G-7 Rivers Data'!$AG$4:$AI$9,2,FALSE)))</f>
        <v/>
      </c>
      <c r="K30" s="499" t="str">
        <f>IF(I30="","",IF(VLOOKUP(I30,'G-7 Rivers Data'!$AG$4:$AI$9,3,FALSE)=0,"Spatial Data Missing ⚠",VLOOKUP(I30,'G-7 Rivers Data'!$AG$4:$AI$9,3,FALSE)))</f>
        <v/>
      </c>
      <c r="L30" s="635" t="str">
        <f>IFERROR(INDEX('G-7 Rivers Data'!$O$3:$O$7,MATCH(G30,'G-7 Rivers Data'!$N$3:$N$7,0)),"")</f>
        <v/>
      </c>
      <c r="M30" s="7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154"/>
      <c r="AA30" s="524" t="str">
        <f>IF(Z30="","",VLOOKUP(Z30,'G-7 Rivers Data'!$AO$4:$AP$7,2,FALSE))</f>
        <v/>
      </c>
      <c r="AB30" s="545" t="str">
        <f t="shared" si="6"/>
        <v/>
      </c>
      <c r="AC30" s="149"/>
      <c r="AD30" s="150"/>
      <c r="AK30" s="31" t="str">
        <f>IFERROR(INDEX('G-7 Rivers Data'!$AZ$3:$AZ$7,MATCH(C30,'G-7 Rivers Data'!$AY$3:$AY$7,0)),"")</f>
        <v/>
      </c>
    </row>
    <row r="31" spans="2:37" ht="13.8" x14ac:dyDescent="0.25">
      <c r="B31" s="141">
        <v>20</v>
      </c>
      <c r="C31" s="666"/>
      <c r="D31" s="172"/>
      <c r="E31" s="498" t="str">
        <f>IF(C31="","",VLOOKUP(C31,'G-7 Rivers Data'!$B$2:$Z$9,2,FALSE))</f>
        <v/>
      </c>
      <c r="F31" s="499" t="str">
        <f>IFERROR(VLOOKUP(E31,'G-7 Rivers Data'!$C$4:$D$8,2,FALSE),"")</f>
        <v/>
      </c>
      <c r="G31" s="145"/>
      <c r="H31" s="499" t="str">
        <f>IFERROR(INDEX('G-7 Rivers Data'!$H$4:$L$8,MATCH(C31,'G-7 Rivers Data'!$B$4:$B$8,0),MATCH(G31,'G-7 Rivers Data'!$H$3:$L$3,0)),"")</f>
        <v/>
      </c>
      <c r="I31" s="145"/>
      <c r="J31" s="540" t="str">
        <f>IF(I31="","",IF(VLOOKUP(I31,'G-7 Rivers Data'!$AG$4:$AI$9,2,FALSE)=0,"Spatial Data Missing ⚠",VLOOKUP(I31,'G-7 Rivers Data'!$AG$4:$AI$9,2,FALSE)))</f>
        <v/>
      </c>
      <c r="K31" s="499" t="str">
        <f>IF(I31="","",IF(VLOOKUP(I31,'G-7 Rivers Data'!$AG$4:$AI$9,3,FALSE)=0,"Spatial Data Missing ⚠",VLOOKUP(I31,'G-7 Rivers Data'!$AG$4:$AI$9,3,FALSE)))</f>
        <v/>
      </c>
      <c r="L31" s="635" t="str">
        <f>IFERROR(INDEX('G-7 Rivers Data'!$O$3:$O$7,MATCH(G31,'G-7 Rivers Data'!$N$3:$N$7,0)),"")</f>
        <v/>
      </c>
      <c r="M31" s="7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154"/>
      <c r="AA31" s="524" t="str">
        <f>IF(Z31="","",VLOOKUP(Z31,'G-7 Rivers Data'!$AO$4:$AP$7,2,FALSE))</f>
        <v/>
      </c>
      <c r="AB31" s="545" t="str">
        <f t="shared" si="6"/>
        <v/>
      </c>
      <c r="AC31" s="149"/>
      <c r="AD31" s="150"/>
      <c r="AK31" s="31" t="str">
        <f>IFERROR(INDEX('G-7 Rivers Data'!$AZ$3:$AZ$7,MATCH(C31,'G-7 Rivers Data'!$AY$3:$AY$7,0)),"")</f>
        <v/>
      </c>
    </row>
    <row r="32" spans="2:37" ht="13.8" x14ac:dyDescent="0.25">
      <c r="B32" s="141">
        <v>21</v>
      </c>
      <c r="C32" s="666"/>
      <c r="D32" s="172"/>
      <c r="E32" s="498" t="str">
        <f>IF(C32="","",VLOOKUP(C32,'G-7 Rivers Data'!$B$2:$Z$9,2,FALSE))</f>
        <v/>
      </c>
      <c r="F32" s="499" t="str">
        <f>IFERROR(VLOOKUP(E32,'G-7 Rivers Data'!$C$4:$D$8,2,FALSE),"")</f>
        <v/>
      </c>
      <c r="G32" s="145"/>
      <c r="H32" s="499" t="str">
        <f>IFERROR(INDEX('G-7 Rivers Data'!$H$4:$L$8,MATCH(C32,'G-7 Rivers Data'!$B$4:$B$8,0),MATCH(G32,'G-7 Rivers Data'!$H$3:$L$3,0)),"")</f>
        <v/>
      </c>
      <c r="I32" s="145"/>
      <c r="J32" s="540" t="str">
        <f>IF(I32="","",IF(VLOOKUP(I32,'G-7 Rivers Data'!$AG$4:$AI$9,2,FALSE)=0,"Spatial Data Missing ⚠",VLOOKUP(I32,'G-7 Rivers Data'!$AG$4:$AI$9,2,FALSE)))</f>
        <v/>
      </c>
      <c r="K32" s="499" t="str">
        <f>IF(I32="","",IF(VLOOKUP(I32,'G-7 Rivers Data'!$AG$4:$AI$9,3,FALSE)=0,"Spatial Data Missing ⚠",VLOOKUP(I32,'G-7 Rivers Data'!$AG$4:$AI$9,3,FALSE)))</f>
        <v/>
      </c>
      <c r="L32" s="635" t="str">
        <f>IFERROR(INDEX('G-7 Rivers Data'!$O$3:$O$7,MATCH(G32,'G-7 Rivers Data'!$N$3:$N$7,0)),"")</f>
        <v/>
      </c>
      <c r="M32" s="7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154"/>
      <c r="AA32" s="524" t="str">
        <f>IF(Z32="","",VLOOKUP(Z32,'G-7 Rivers Data'!$AO$4:$AP$7,2,FALSE))</f>
        <v/>
      </c>
      <c r="AB32" s="545" t="str">
        <f t="shared" si="6"/>
        <v/>
      </c>
      <c r="AC32" s="149"/>
      <c r="AD32" s="150"/>
      <c r="AK32" s="31" t="str">
        <f>IFERROR(INDEX('G-7 Rivers Data'!$AZ$3:$AZ$7,MATCH(C32,'G-7 Rivers Data'!$AY$3:$AY$7,0)),"")</f>
        <v/>
      </c>
    </row>
    <row r="33" spans="2:37" ht="13.8" x14ac:dyDescent="0.25">
      <c r="B33" s="141">
        <v>22</v>
      </c>
      <c r="C33" s="666"/>
      <c r="D33" s="172"/>
      <c r="E33" s="498" t="str">
        <f>IF(C33="","",VLOOKUP(C33,'G-7 Rivers Data'!$B$2:$Z$9,2,FALSE))</f>
        <v/>
      </c>
      <c r="F33" s="499" t="str">
        <f>IFERROR(VLOOKUP(E33,'G-7 Rivers Data'!$C$4:$D$8,2,FALSE),"")</f>
        <v/>
      </c>
      <c r="G33" s="145"/>
      <c r="H33" s="499" t="str">
        <f>IFERROR(INDEX('G-7 Rivers Data'!$H$4:$L$8,MATCH(C33,'G-7 Rivers Data'!$B$4:$B$8,0),MATCH(G33,'G-7 Rivers Data'!$H$3:$L$3,0)),"")</f>
        <v/>
      </c>
      <c r="I33" s="145"/>
      <c r="J33" s="540" t="str">
        <f>IF(I33="","",IF(VLOOKUP(I33,'G-7 Rivers Data'!$AG$4:$AI$9,2,FALSE)=0,"Spatial Data Missing ⚠",VLOOKUP(I33,'G-7 Rivers Data'!$AG$4:$AI$9,2,FALSE)))</f>
        <v/>
      </c>
      <c r="K33" s="499" t="str">
        <f>IF(I33="","",IF(VLOOKUP(I33,'G-7 Rivers Data'!$AG$4:$AI$9,3,FALSE)=0,"Spatial Data Missing ⚠",VLOOKUP(I33,'G-7 Rivers Data'!$AG$4:$AI$9,3,FALSE)))</f>
        <v/>
      </c>
      <c r="L33" s="635" t="str">
        <f>IFERROR(INDEX('G-7 Rivers Data'!$O$3:$O$7,MATCH(G33,'G-7 Rivers Data'!$N$3:$N$7,0)),"")</f>
        <v/>
      </c>
      <c r="M33" s="7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154"/>
      <c r="AA33" s="524" t="str">
        <f>IF(Z33="","",VLOOKUP(Z33,'G-7 Rivers Data'!$AO$4:$AP$7,2,FALSE))</f>
        <v/>
      </c>
      <c r="AB33" s="545" t="str">
        <f t="shared" si="6"/>
        <v/>
      </c>
      <c r="AC33" s="149"/>
      <c r="AD33" s="150"/>
      <c r="AK33" s="31" t="str">
        <f>IFERROR(INDEX('G-7 Rivers Data'!$AZ$3:$AZ$7,MATCH(C33,'G-7 Rivers Data'!$AY$3:$AY$7,0)),"")</f>
        <v/>
      </c>
    </row>
    <row r="34" spans="2:37" ht="13.8" x14ac:dyDescent="0.25">
      <c r="B34" s="141">
        <v>23</v>
      </c>
      <c r="C34" s="666"/>
      <c r="D34" s="172"/>
      <c r="E34" s="498" t="str">
        <f>IF(C34="","",VLOOKUP(C34,'G-7 Rivers Data'!$B$2:$Z$9,2,FALSE))</f>
        <v/>
      </c>
      <c r="F34" s="499" t="str">
        <f>IFERROR(VLOOKUP(E34,'G-7 Rivers Data'!$C$4:$D$8,2,FALSE),"")</f>
        <v/>
      </c>
      <c r="G34" s="145"/>
      <c r="H34" s="499" t="str">
        <f>IFERROR(INDEX('G-7 Rivers Data'!$H$4:$L$8,MATCH(C34,'G-7 Rivers Data'!$B$4:$B$8,0),MATCH(G34,'G-7 Rivers Data'!$H$3:$L$3,0)),"")</f>
        <v/>
      </c>
      <c r="I34" s="145"/>
      <c r="J34" s="540" t="str">
        <f>IF(I34="","",IF(VLOOKUP(I34,'G-7 Rivers Data'!$AG$4:$AI$9,2,FALSE)=0,"Spatial Data Missing ⚠",VLOOKUP(I34,'G-7 Rivers Data'!$AG$4:$AI$9,2,FALSE)))</f>
        <v/>
      </c>
      <c r="K34" s="499" t="str">
        <f>IF(I34="","",IF(VLOOKUP(I34,'G-7 Rivers Data'!$AG$4:$AI$9,3,FALSE)=0,"Spatial Data Missing ⚠",VLOOKUP(I34,'G-7 Rivers Data'!$AG$4:$AI$9,3,FALSE)))</f>
        <v/>
      </c>
      <c r="L34" s="635" t="str">
        <f>IFERROR(INDEX('G-7 Rivers Data'!$O$3:$O$7,MATCH(G34,'G-7 Rivers Data'!$N$3:$N$7,0)),"")</f>
        <v/>
      </c>
      <c r="M34" s="7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154"/>
      <c r="AA34" s="524" t="str">
        <f>IF(Z34="","",VLOOKUP(Z34,'G-7 Rivers Data'!$AO$4:$AP$7,2,FALSE))</f>
        <v/>
      </c>
      <c r="AB34" s="545" t="str">
        <f t="shared" si="6"/>
        <v/>
      </c>
      <c r="AC34" s="149"/>
      <c r="AD34" s="150"/>
      <c r="AK34" s="31" t="str">
        <f>IFERROR(INDEX('G-7 Rivers Data'!$AZ$3:$AZ$7,MATCH(C34,'G-7 Rivers Data'!$AY$3:$AY$7,0)),"")</f>
        <v/>
      </c>
    </row>
    <row r="35" spans="2:37" ht="13.8" x14ac:dyDescent="0.25">
      <c r="B35" s="141">
        <v>24</v>
      </c>
      <c r="C35" s="666"/>
      <c r="D35" s="172"/>
      <c r="E35" s="498" t="str">
        <f>IF(C35="","",VLOOKUP(C35,'G-7 Rivers Data'!$B$2:$Z$9,2,FALSE))</f>
        <v/>
      </c>
      <c r="F35" s="499" t="str">
        <f>IFERROR(VLOOKUP(E35,'G-7 Rivers Data'!$C$4:$D$8,2,FALSE),"")</f>
        <v/>
      </c>
      <c r="G35" s="145"/>
      <c r="H35" s="499" t="str">
        <f>IFERROR(INDEX('G-7 Rivers Data'!$H$4:$L$8,MATCH(C35,'G-7 Rivers Data'!$B$4:$B$8,0),MATCH(G35,'G-7 Rivers Data'!$H$3:$L$3,0)),"")</f>
        <v/>
      </c>
      <c r="I35" s="145"/>
      <c r="J35" s="540" t="str">
        <f>IF(I35="","",IF(VLOOKUP(I35,'G-7 Rivers Data'!$AG$4:$AI$9,2,FALSE)=0,"Spatial Data Missing ⚠",VLOOKUP(I35,'G-7 Rivers Data'!$AG$4:$AI$9,2,FALSE)))</f>
        <v/>
      </c>
      <c r="K35" s="499" t="str">
        <f>IF(I35="","",IF(VLOOKUP(I35,'G-7 Rivers Data'!$AG$4:$AI$9,3,FALSE)=0,"Spatial Data Missing ⚠",VLOOKUP(I35,'G-7 Rivers Data'!$AG$4:$AI$9,3,FALSE)))</f>
        <v/>
      </c>
      <c r="L35" s="635" t="str">
        <f>IFERROR(INDEX('G-7 Rivers Data'!$O$3:$O$7,MATCH(G35,'G-7 Rivers Data'!$N$3:$N$7,0)),"")</f>
        <v/>
      </c>
      <c r="M35" s="7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154"/>
      <c r="AA35" s="524" t="str">
        <f>IF(Z35="","",VLOOKUP(Z35,'G-7 Rivers Data'!$AO$4:$AP$7,2,FALSE))</f>
        <v/>
      </c>
      <c r="AB35" s="545" t="str">
        <f t="shared" si="6"/>
        <v/>
      </c>
      <c r="AC35" s="149"/>
      <c r="AD35" s="150"/>
      <c r="AK35" s="31" t="str">
        <f>IFERROR(INDEX('G-7 Rivers Data'!$AZ$3:$AZ$7,MATCH(C35,'G-7 Rivers Data'!$AY$3:$AY$7,0)),"")</f>
        <v/>
      </c>
    </row>
    <row r="36" spans="2:37" ht="13.8" x14ac:dyDescent="0.25">
      <c r="B36" s="141">
        <v>25</v>
      </c>
      <c r="C36" s="666"/>
      <c r="D36" s="172"/>
      <c r="E36" s="498" t="str">
        <f>IF(C36="","",VLOOKUP(C36,'G-7 Rivers Data'!$B$2:$Z$9,2,FALSE))</f>
        <v/>
      </c>
      <c r="F36" s="499" t="str">
        <f>IFERROR(VLOOKUP(E36,'G-7 Rivers Data'!$C$4:$D$8,2,FALSE),"")</f>
        <v/>
      </c>
      <c r="G36" s="145"/>
      <c r="H36" s="499" t="str">
        <f>IFERROR(INDEX('G-7 Rivers Data'!$H$4:$L$8,MATCH(C36,'G-7 Rivers Data'!$B$4:$B$8,0),MATCH(G36,'G-7 Rivers Data'!$H$3:$L$3,0)),"")</f>
        <v/>
      </c>
      <c r="I36" s="145"/>
      <c r="J36" s="540" t="str">
        <f>IF(I36="","",IF(VLOOKUP(I36,'G-7 Rivers Data'!$AG$4:$AI$9,2,FALSE)=0,"Spatial Data Missing ⚠",VLOOKUP(I36,'G-7 Rivers Data'!$AG$4:$AI$9,2,FALSE)))</f>
        <v/>
      </c>
      <c r="K36" s="499" t="str">
        <f>IF(I36="","",IF(VLOOKUP(I36,'G-7 Rivers Data'!$AG$4:$AI$9,3,FALSE)=0,"Spatial Data Missing ⚠",VLOOKUP(I36,'G-7 Rivers Data'!$AG$4:$AI$9,3,FALSE)))</f>
        <v/>
      </c>
      <c r="L36" s="635" t="str">
        <f>IFERROR(INDEX('G-7 Rivers Data'!$O$3:$O$7,MATCH(G36,'G-7 Rivers Data'!$N$3:$N$7,0)),"")</f>
        <v/>
      </c>
      <c r="M36" s="7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154"/>
      <c r="AA36" s="524" t="str">
        <f>IF(Z36="","",VLOOKUP(Z36,'G-7 Rivers Data'!$AO$4:$AP$7,2,FALSE))</f>
        <v/>
      </c>
      <c r="AB36" s="545" t="str">
        <f t="shared" si="6"/>
        <v/>
      </c>
      <c r="AC36" s="149"/>
      <c r="AD36" s="150"/>
      <c r="AK36" s="31" t="str">
        <f>IFERROR(INDEX('G-7 Rivers Data'!$AZ$3:$AZ$7,MATCH(C36,'G-7 Rivers Data'!$AY$3:$AY$7,0)),"")</f>
        <v/>
      </c>
    </row>
    <row r="37" spans="2:37" ht="13.8" x14ac:dyDescent="0.25">
      <c r="B37" s="141">
        <v>26</v>
      </c>
      <c r="C37" s="666"/>
      <c r="D37" s="172"/>
      <c r="E37" s="498" t="str">
        <f>IF(C37="","",VLOOKUP(C37,'G-7 Rivers Data'!$B$2:$Z$9,2,FALSE))</f>
        <v/>
      </c>
      <c r="F37" s="499" t="str">
        <f>IFERROR(VLOOKUP(E37,'G-7 Rivers Data'!$C$4:$D$8,2,FALSE),"")</f>
        <v/>
      </c>
      <c r="G37" s="145"/>
      <c r="H37" s="499" t="str">
        <f>IFERROR(INDEX('G-7 Rivers Data'!$H$4:$L$8,MATCH(C37,'G-7 Rivers Data'!$B$4:$B$8,0),MATCH(G37,'G-7 Rivers Data'!$H$3:$L$3,0)),"")</f>
        <v/>
      </c>
      <c r="I37" s="145"/>
      <c r="J37" s="540" t="str">
        <f>IF(I37="","",IF(VLOOKUP(I37,'G-7 Rivers Data'!$AG$4:$AI$9,2,FALSE)=0,"Spatial Data Missing ⚠",VLOOKUP(I37,'G-7 Rivers Data'!$AG$4:$AI$9,2,FALSE)))</f>
        <v/>
      </c>
      <c r="K37" s="499" t="str">
        <f>IF(I37="","",IF(VLOOKUP(I37,'G-7 Rivers Data'!$AG$4:$AI$9,3,FALSE)=0,"Spatial Data Missing ⚠",VLOOKUP(I37,'G-7 Rivers Data'!$AG$4:$AI$9,3,FALSE)))</f>
        <v/>
      </c>
      <c r="L37" s="635" t="str">
        <f>IFERROR(INDEX('G-7 Rivers Data'!$O$3:$O$7,MATCH(G37,'G-7 Rivers Data'!$N$3:$N$7,0)),"")</f>
        <v/>
      </c>
      <c r="M37" s="7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154"/>
      <c r="AA37" s="524" t="str">
        <f>IF(Z37="","",VLOOKUP(Z37,'G-7 Rivers Data'!$AO$4:$AP$7,2,FALSE))</f>
        <v/>
      </c>
      <c r="AB37" s="545" t="str">
        <f t="shared" si="6"/>
        <v/>
      </c>
      <c r="AC37" s="149"/>
      <c r="AD37" s="150"/>
      <c r="AK37" s="31" t="str">
        <f>IFERROR(INDEX('G-7 Rivers Data'!$AZ$3:$AZ$7,MATCH(C37,'G-7 Rivers Data'!$AY$3:$AY$7,0)),"")</f>
        <v/>
      </c>
    </row>
    <row r="38" spans="2:37" ht="13.8" x14ac:dyDescent="0.25">
      <c r="B38" s="141">
        <v>27</v>
      </c>
      <c r="C38" s="666"/>
      <c r="D38" s="172"/>
      <c r="E38" s="498" t="str">
        <f>IF(C38="","",VLOOKUP(C38,'G-7 Rivers Data'!$B$2:$Z$9,2,FALSE))</f>
        <v/>
      </c>
      <c r="F38" s="499" t="str">
        <f>IFERROR(VLOOKUP(E38,'G-7 Rivers Data'!$C$4:$D$8,2,FALSE),"")</f>
        <v/>
      </c>
      <c r="G38" s="145"/>
      <c r="H38" s="499" t="str">
        <f>IFERROR(INDEX('G-7 Rivers Data'!$H$4:$L$8,MATCH(C38,'G-7 Rivers Data'!$B$4:$B$8,0),MATCH(G38,'G-7 Rivers Data'!$H$3:$L$3,0)),"")</f>
        <v/>
      </c>
      <c r="I38" s="145"/>
      <c r="J38" s="540" t="str">
        <f>IF(I38="","",IF(VLOOKUP(I38,'G-7 Rivers Data'!$AG$4:$AI$9,2,FALSE)=0,"Spatial Data Missing ⚠",VLOOKUP(I38,'G-7 Rivers Data'!$AG$4:$AI$9,2,FALSE)))</f>
        <v/>
      </c>
      <c r="K38" s="499" t="str">
        <f>IF(I38="","",IF(VLOOKUP(I38,'G-7 Rivers Data'!$AG$4:$AI$9,3,FALSE)=0,"Spatial Data Missing ⚠",VLOOKUP(I38,'G-7 Rivers Data'!$AG$4:$AI$9,3,FALSE)))</f>
        <v/>
      </c>
      <c r="L38" s="635" t="str">
        <f>IFERROR(INDEX('G-7 Rivers Data'!$O$3:$O$7,MATCH(G38,'G-7 Rivers Data'!$N$3:$N$7,0)),"")</f>
        <v/>
      </c>
      <c r="M38" s="7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154"/>
      <c r="AA38" s="524" t="str">
        <f>IF(Z38="","",VLOOKUP(Z38,'G-7 Rivers Data'!$AO$4:$AP$7,2,FALSE))</f>
        <v/>
      </c>
      <c r="AB38" s="545" t="str">
        <f t="shared" si="6"/>
        <v/>
      </c>
      <c r="AC38" s="149"/>
      <c r="AD38" s="150"/>
      <c r="AK38" s="31" t="str">
        <f>IFERROR(INDEX('G-7 Rivers Data'!$AZ$3:$AZ$7,MATCH(C38,'G-7 Rivers Data'!$AY$3:$AY$7,0)),"")</f>
        <v/>
      </c>
    </row>
    <row r="39" spans="2:37" ht="13.8" x14ac:dyDescent="0.25">
      <c r="B39" s="141">
        <v>28</v>
      </c>
      <c r="C39" s="666"/>
      <c r="D39" s="172"/>
      <c r="E39" s="498" t="str">
        <f>IF(C39="","",VLOOKUP(C39,'G-7 Rivers Data'!$B$2:$Z$9,2,FALSE))</f>
        <v/>
      </c>
      <c r="F39" s="499" t="str">
        <f>IFERROR(VLOOKUP(E39,'G-7 Rivers Data'!$C$4:$D$8,2,FALSE),"")</f>
        <v/>
      </c>
      <c r="G39" s="145"/>
      <c r="H39" s="499" t="str">
        <f>IFERROR(INDEX('G-7 Rivers Data'!$H$4:$L$8,MATCH(C39,'G-7 Rivers Data'!$B$4:$B$8,0),MATCH(G39,'G-7 Rivers Data'!$H$3:$L$3,0)),"")</f>
        <v/>
      </c>
      <c r="I39" s="145"/>
      <c r="J39" s="540" t="str">
        <f>IF(I39="","",IF(VLOOKUP(I39,'G-7 Rivers Data'!$AG$4:$AI$9,2,FALSE)=0,"Spatial Data Missing ⚠",VLOOKUP(I39,'G-7 Rivers Data'!$AG$4:$AI$9,2,FALSE)))</f>
        <v/>
      </c>
      <c r="K39" s="499" t="str">
        <f>IF(I39="","",IF(VLOOKUP(I39,'G-7 Rivers Data'!$AG$4:$AI$9,3,FALSE)=0,"Spatial Data Missing ⚠",VLOOKUP(I39,'G-7 Rivers Data'!$AG$4:$AI$9,3,FALSE)))</f>
        <v/>
      </c>
      <c r="L39" s="635" t="str">
        <f>IFERROR(INDEX('G-7 Rivers Data'!$O$3:$O$7,MATCH(G39,'G-7 Rivers Data'!$N$3:$N$7,0)),"")</f>
        <v/>
      </c>
      <c r="M39" s="7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154"/>
      <c r="AA39" s="524" t="str">
        <f>IF(Z39="","",VLOOKUP(Z39,'G-7 Rivers Data'!$AO$4:$AP$7,2,FALSE))</f>
        <v/>
      </c>
      <c r="AB39" s="545" t="str">
        <f t="shared" si="6"/>
        <v/>
      </c>
      <c r="AC39" s="149"/>
      <c r="AD39" s="150"/>
      <c r="AK39" s="31" t="str">
        <f>IFERROR(INDEX('G-7 Rivers Data'!$AZ$3:$AZ$7,MATCH(C39,'G-7 Rivers Data'!$AY$3:$AY$7,0)),"")</f>
        <v/>
      </c>
    </row>
    <row r="40" spans="2:37" ht="13.8" x14ac:dyDescent="0.25">
      <c r="B40" s="141">
        <v>29</v>
      </c>
      <c r="C40" s="666"/>
      <c r="D40" s="172"/>
      <c r="E40" s="498" t="str">
        <f>IF(C40="","",VLOOKUP(C40,'G-7 Rivers Data'!$B$2:$Z$9,2,FALSE))</f>
        <v/>
      </c>
      <c r="F40" s="499" t="str">
        <f>IFERROR(VLOOKUP(E40,'G-7 Rivers Data'!$C$4:$D$8,2,FALSE),"")</f>
        <v/>
      </c>
      <c r="G40" s="145"/>
      <c r="H40" s="499" t="str">
        <f>IFERROR(INDEX('G-7 Rivers Data'!$H$4:$L$8,MATCH(C40,'G-7 Rivers Data'!$B$4:$B$8,0),MATCH(G40,'G-7 Rivers Data'!$H$3:$L$3,0)),"")</f>
        <v/>
      </c>
      <c r="I40" s="145"/>
      <c r="J40" s="540" t="str">
        <f>IF(I40="","",IF(VLOOKUP(I40,'G-7 Rivers Data'!$AG$4:$AI$9,2,FALSE)=0,"Spatial Data Missing ⚠",VLOOKUP(I40,'G-7 Rivers Data'!$AG$4:$AI$9,2,FALSE)))</f>
        <v/>
      </c>
      <c r="K40" s="499" t="str">
        <f>IF(I40="","",IF(VLOOKUP(I40,'G-7 Rivers Data'!$AG$4:$AI$9,3,FALSE)=0,"Spatial Data Missing ⚠",VLOOKUP(I40,'G-7 Rivers Data'!$AG$4:$AI$9,3,FALSE)))</f>
        <v/>
      </c>
      <c r="L40" s="635" t="str">
        <f>IFERROR(INDEX('G-7 Rivers Data'!$O$3:$O$7,MATCH(G40,'G-7 Rivers Data'!$N$3:$N$7,0)),"")</f>
        <v/>
      </c>
      <c r="M40" s="7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154"/>
      <c r="AA40" s="524" t="str">
        <f>IF(Z40="","",VLOOKUP(Z40,'G-7 Rivers Data'!$AO$4:$AP$7,2,FALSE))</f>
        <v/>
      </c>
      <c r="AB40" s="545" t="str">
        <f t="shared" si="6"/>
        <v/>
      </c>
      <c r="AC40" s="149"/>
      <c r="AD40" s="150"/>
      <c r="AK40" s="31" t="str">
        <f>IFERROR(INDEX('G-7 Rivers Data'!$AZ$3:$AZ$7,MATCH(C40,'G-7 Rivers Data'!$AY$3:$AY$7,0)),"")</f>
        <v/>
      </c>
    </row>
    <row r="41" spans="2:37" ht="13.8" x14ac:dyDescent="0.25">
      <c r="B41" s="141">
        <v>30</v>
      </c>
      <c r="C41" s="666"/>
      <c r="D41" s="172"/>
      <c r="E41" s="498" t="str">
        <f>IF(C41="","",VLOOKUP(C41,'G-7 Rivers Data'!$B$2:$Z$9,2,FALSE))</f>
        <v/>
      </c>
      <c r="F41" s="499" t="str">
        <f>IFERROR(VLOOKUP(E41,'G-7 Rivers Data'!$C$4:$D$8,2,FALSE),"")</f>
        <v/>
      </c>
      <c r="G41" s="145"/>
      <c r="H41" s="499" t="str">
        <f>IFERROR(INDEX('G-7 Rivers Data'!$H$4:$L$8,MATCH(C41,'G-7 Rivers Data'!$B$4:$B$8,0),MATCH(G41,'G-7 Rivers Data'!$H$3:$L$3,0)),"")</f>
        <v/>
      </c>
      <c r="I41" s="145"/>
      <c r="J41" s="540" t="str">
        <f>IF(I41="","",IF(VLOOKUP(I41,'G-7 Rivers Data'!$AG$4:$AI$9,2,FALSE)=0,"Spatial Data Missing ⚠",VLOOKUP(I41,'G-7 Rivers Data'!$AG$4:$AI$9,2,FALSE)))</f>
        <v/>
      </c>
      <c r="K41" s="499" t="str">
        <f>IF(I41="","",IF(VLOOKUP(I41,'G-7 Rivers Data'!$AG$4:$AI$9,3,FALSE)=0,"Spatial Data Missing ⚠",VLOOKUP(I41,'G-7 Rivers Data'!$AG$4:$AI$9,3,FALSE)))</f>
        <v/>
      </c>
      <c r="L41" s="635" t="str">
        <f>IFERROR(INDEX('G-7 Rivers Data'!$O$3:$O$7,MATCH(G41,'G-7 Rivers Data'!$N$3:$N$7,0)),"")</f>
        <v/>
      </c>
      <c r="M41" s="7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154"/>
      <c r="AA41" s="524" t="str">
        <f>IF(Z41="","",VLOOKUP(Z41,'G-7 Rivers Data'!$AO$4:$AP$7,2,FALSE))</f>
        <v/>
      </c>
      <c r="AB41" s="545" t="str">
        <f t="shared" si="6"/>
        <v/>
      </c>
      <c r="AC41" s="149"/>
      <c r="AD41" s="150"/>
      <c r="AK41" s="31" t="str">
        <f>IFERROR(INDEX('G-7 Rivers Data'!$AZ$3:$AZ$7,MATCH(C41,'G-7 Rivers Data'!$AY$3:$AY$7,0)),"")</f>
        <v/>
      </c>
    </row>
    <row r="42" spans="2:37" ht="13.8" x14ac:dyDescent="0.25">
      <c r="B42" s="141">
        <v>31</v>
      </c>
      <c r="C42" s="666"/>
      <c r="D42" s="172"/>
      <c r="E42" s="498" t="str">
        <f>IF(C42="","",VLOOKUP(C42,'G-7 Rivers Data'!$B$2:$Z$9,2,FALSE))</f>
        <v/>
      </c>
      <c r="F42" s="499" t="str">
        <f>IFERROR(VLOOKUP(E42,'G-7 Rivers Data'!$C$4:$D$8,2,FALSE),"")</f>
        <v/>
      </c>
      <c r="G42" s="145"/>
      <c r="H42" s="499" t="str">
        <f>IFERROR(INDEX('G-7 Rivers Data'!$H$4:$L$8,MATCH(C42,'G-7 Rivers Data'!$B$4:$B$8,0),MATCH(G42,'G-7 Rivers Data'!$H$3:$L$3,0)),"")</f>
        <v/>
      </c>
      <c r="I42" s="145"/>
      <c r="J42" s="540" t="str">
        <f>IF(I42="","",IF(VLOOKUP(I42,'G-7 Rivers Data'!$AG$4:$AI$9,2,FALSE)=0,"Spatial Data Missing ⚠",VLOOKUP(I42,'G-7 Rivers Data'!$AG$4:$AI$9,2,FALSE)))</f>
        <v/>
      </c>
      <c r="K42" s="499" t="str">
        <f>IF(I42="","",IF(VLOOKUP(I42,'G-7 Rivers Data'!$AG$4:$AI$9,3,FALSE)=0,"Spatial Data Missing ⚠",VLOOKUP(I42,'G-7 Rivers Data'!$AG$4:$AI$9,3,FALSE)))</f>
        <v/>
      </c>
      <c r="L42" s="635" t="str">
        <f>IFERROR(INDEX('G-7 Rivers Data'!$O$3:$O$7,MATCH(G42,'G-7 Rivers Data'!$N$3:$N$7,0)),"")</f>
        <v/>
      </c>
      <c r="M42" s="7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154"/>
      <c r="AA42" s="524" t="str">
        <f>IF(Z42="","",VLOOKUP(Z42,'G-7 Rivers Data'!$AO$4:$AP$7,2,FALSE))</f>
        <v/>
      </c>
      <c r="AB42" s="545" t="str">
        <f t="shared" si="6"/>
        <v/>
      </c>
      <c r="AC42" s="149"/>
      <c r="AD42" s="150"/>
      <c r="AK42" s="31" t="str">
        <f>IFERROR(INDEX('G-7 Rivers Data'!$AZ$3:$AZ$7,MATCH(C42,'G-7 Rivers Data'!$AY$3:$AY$7,0)),"")</f>
        <v/>
      </c>
    </row>
    <row r="43" spans="2:37" ht="13.8" x14ac:dyDescent="0.25">
      <c r="B43" s="141">
        <v>32</v>
      </c>
      <c r="C43" s="666"/>
      <c r="D43" s="172"/>
      <c r="E43" s="498" t="str">
        <f>IF(C43="","",VLOOKUP(C43,'G-7 Rivers Data'!$B$2:$Z$9,2,FALSE))</f>
        <v/>
      </c>
      <c r="F43" s="499" t="str">
        <f>IFERROR(VLOOKUP(E43,'G-7 Rivers Data'!$C$4:$D$8,2,FALSE),"")</f>
        <v/>
      </c>
      <c r="G43" s="145"/>
      <c r="H43" s="499" t="str">
        <f>IFERROR(INDEX('G-7 Rivers Data'!$H$4:$L$8,MATCH(C43,'G-7 Rivers Data'!$B$4:$B$8,0),MATCH(G43,'G-7 Rivers Data'!$H$3:$L$3,0)),"")</f>
        <v/>
      </c>
      <c r="I43" s="145"/>
      <c r="J43" s="540" t="str">
        <f>IF(I43="","",IF(VLOOKUP(I43,'G-7 Rivers Data'!$AG$4:$AI$9,2,FALSE)=0,"Spatial Data Missing ⚠",VLOOKUP(I43,'G-7 Rivers Data'!$AG$4:$AI$9,2,FALSE)))</f>
        <v/>
      </c>
      <c r="K43" s="499" t="str">
        <f>IF(I43="","",IF(VLOOKUP(I43,'G-7 Rivers Data'!$AG$4:$AI$9,3,FALSE)=0,"Spatial Data Missing ⚠",VLOOKUP(I43,'G-7 Rivers Data'!$AG$4:$AI$9,3,FALSE)))</f>
        <v/>
      </c>
      <c r="L43" s="635" t="str">
        <f>IFERROR(INDEX('G-7 Rivers Data'!$O$3:$O$7,MATCH(G43,'G-7 Rivers Data'!$N$3:$N$7,0)),"")</f>
        <v/>
      </c>
      <c r="M43" s="7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154"/>
      <c r="AA43" s="524" t="str">
        <f>IF(Z43="","",VLOOKUP(Z43,'G-7 Rivers Data'!$AO$4:$AP$7,2,FALSE))</f>
        <v/>
      </c>
      <c r="AB43" s="545" t="str">
        <f t="shared" si="6"/>
        <v/>
      </c>
      <c r="AC43" s="149"/>
      <c r="AD43" s="150"/>
      <c r="AK43" s="31" t="str">
        <f>IFERROR(INDEX('G-7 Rivers Data'!$AZ$3:$AZ$7,MATCH(C43,'G-7 Rivers Data'!$AY$3:$AY$7,0)),"")</f>
        <v/>
      </c>
    </row>
    <row r="44" spans="2:37" ht="13.8" x14ac:dyDescent="0.25">
      <c r="B44" s="141">
        <v>33</v>
      </c>
      <c r="C44" s="666"/>
      <c r="D44" s="172"/>
      <c r="E44" s="498" t="str">
        <f>IF(C44="","",VLOOKUP(C44,'G-7 Rivers Data'!$B$2:$Z$9,2,FALSE))</f>
        <v/>
      </c>
      <c r="F44" s="499" t="str">
        <f>IFERROR(VLOOKUP(E44,'G-7 Rivers Data'!$C$4:$D$8,2,FALSE),"")</f>
        <v/>
      </c>
      <c r="G44" s="145"/>
      <c r="H44" s="499" t="str">
        <f>IFERROR(INDEX('G-7 Rivers Data'!$H$4:$L$8,MATCH(C44,'G-7 Rivers Data'!$B$4:$B$8,0),MATCH(G44,'G-7 Rivers Data'!$H$3:$L$3,0)),"")</f>
        <v/>
      </c>
      <c r="I44" s="145"/>
      <c r="J44" s="540" t="str">
        <f>IF(I44="","",IF(VLOOKUP(I44,'G-7 Rivers Data'!$AG$4:$AI$9,2,FALSE)=0,"Spatial Data Missing ⚠",VLOOKUP(I44,'G-7 Rivers Data'!$AG$4:$AI$9,2,FALSE)))</f>
        <v/>
      </c>
      <c r="K44" s="499" t="str">
        <f>IF(I44="","",IF(VLOOKUP(I44,'G-7 Rivers Data'!$AG$4:$AI$9,3,FALSE)=0,"Spatial Data Missing ⚠",VLOOKUP(I44,'G-7 Rivers Data'!$AG$4:$AI$9,3,FALSE)))</f>
        <v/>
      </c>
      <c r="L44" s="635" t="str">
        <f>IFERROR(INDEX('G-7 Rivers Data'!$O$3:$O$7,MATCH(G44,'G-7 Rivers Data'!$N$3:$N$7,0)),"")</f>
        <v/>
      </c>
      <c r="M44" s="7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154"/>
      <c r="AA44" s="524" t="str">
        <f>IF(Z44="","",VLOOKUP(Z44,'G-7 Rivers Data'!$AO$4:$AP$7,2,FALSE))</f>
        <v/>
      </c>
      <c r="AB44" s="545" t="str">
        <f t="shared" si="6"/>
        <v/>
      </c>
      <c r="AC44" s="149"/>
      <c r="AD44" s="150"/>
      <c r="AK44" s="31" t="str">
        <f>IFERROR(INDEX('G-7 Rivers Data'!$AZ$3:$AZ$7,MATCH(C44,'G-7 Rivers Data'!$AY$3:$AY$7,0)),"")</f>
        <v/>
      </c>
    </row>
    <row r="45" spans="2:37" ht="13.8" x14ac:dyDescent="0.25">
      <c r="B45" s="141">
        <v>34</v>
      </c>
      <c r="C45" s="666"/>
      <c r="D45" s="172"/>
      <c r="E45" s="498" t="str">
        <f>IF(C45="","",VLOOKUP(C45,'G-7 Rivers Data'!$B$2:$Z$9,2,FALSE))</f>
        <v/>
      </c>
      <c r="F45" s="499" t="str">
        <f>IFERROR(VLOOKUP(E45,'G-7 Rivers Data'!$C$4:$D$8,2,FALSE),"")</f>
        <v/>
      </c>
      <c r="G45" s="145"/>
      <c r="H45" s="499" t="str">
        <f>IFERROR(INDEX('G-7 Rivers Data'!$H$4:$L$8,MATCH(C45,'G-7 Rivers Data'!$B$4:$B$8,0),MATCH(G45,'G-7 Rivers Data'!$H$3:$L$3,0)),"")</f>
        <v/>
      </c>
      <c r="I45" s="145"/>
      <c r="J45" s="540" t="str">
        <f>IF(I45="","",IF(VLOOKUP(I45,'G-7 Rivers Data'!$AG$4:$AI$9,2,FALSE)=0,"Spatial Data Missing ⚠",VLOOKUP(I45,'G-7 Rivers Data'!$AG$4:$AI$9,2,FALSE)))</f>
        <v/>
      </c>
      <c r="K45" s="499" t="str">
        <f>IF(I45="","",IF(VLOOKUP(I45,'G-7 Rivers Data'!$AG$4:$AI$9,3,FALSE)=0,"Spatial Data Missing ⚠",VLOOKUP(I45,'G-7 Rivers Data'!$AG$4:$AI$9,3,FALSE)))</f>
        <v/>
      </c>
      <c r="L45" s="635" t="str">
        <f>IFERROR(INDEX('G-7 Rivers Data'!$O$3:$O$7,MATCH(G45,'G-7 Rivers Data'!$N$3:$N$7,0)),"")</f>
        <v/>
      </c>
      <c r="M45" s="7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154"/>
      <c r="AA45" s="524" t="str">
        <f>IF(Z45="","",VLOOKUP(Z45,'G-7 Rivers Data'!$AO$4:$AP$7,2,FALSE))</f>
        <v/>
      </c>
      <c r="AB45" s="545" t="str">
        <f t="shared" si="6"/>
        <v/>
      </c>
      <c r="AC45" s="149"/>
      <c r="AD45" s="150"/>
      <c r="AK45" s="31" t="str">
        <f>IFERROR(INDEX('G-7 Rivers Data'!$AZ$3:$AZ$7,MATCH(C45,'G-7 Rivers Data'!$AY$3:$AY$7,0)),"")</f>
        <v/>
      </c>
    </row>
    <row r="46" spans="2:37" ht="13.8" x14ac:dyDescent="0.25">
      <c r="B46" s="141">
        <v>35</v>
      </c>
      <c r="C46" s="666"/>
      <c r="D46" s="172"/>
      <c r="E46" s="498" t="str">
        <f>IF(C46="","",VLOOKUP(C46,'G-7 Rivers Data'!$B$2:$Z$9,2,FALSE))</f>
        <v/>
      </c>
      <c r="F46" s="499" t="str">
        <f>IFERROR(VLOOKUP(E46,'G-7 Rivers Data'!$C$4:$D$8,2,FALSE),"")</f>
        <v/>
      </c>
      <c r="G46" s="145"/>
      <c r="H46" s="499" t="str">
        <f>IFERROR(INDEX('G-7 Rivers Data'!$H$4:$L$8,MATCH(C46,'G-7 Rivers Data'!$B$4:$B$8,0),MATCH(G46,'G-7 Rivers Data'!$H$3:$L$3,0)),"")</f>
        <v/>
      </c>
      <c r="I46" s="145"/>
      <c r="J46" s="540" t="str">
        <f>IF(I46="","",IF(VLOOKUP(I46,'G-7 Rivers Data'!$AG$4:$AI$9,2,FALSE)=0,"Spatial Data Missing ⚠",VLOOKUP(I46,'G-7 Rivers Data'!$AG$4:$AI$9,2,FALSE)))</f>
        <v/>
      </c>
      <c r="K46" s="499" t="str">
        <f>IF(I46="","",IF(VLOOKUP(I46,'G-7 Rivers Data'!$AG$4:$AI$9,3,FALSE)=0,"Spatial Data Missing ⚠",VLOOKUP(I46,'G-7 Rivers Data'!$AG$4:$AI$9,3,FALSE)))</f>
        <v/>
      </c>
      <c r="L46" s="635" t="str">
        <f>IFERROR(INDEX('G-7 Rivers Data'!$O$3:$O$7,MATCH(G46,'G-7 Rivers Data'!$N$3:$N$7,0)),"")</f>
        <v/>
      </c>
      <c r="M46" s="7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154"/>
      <c r="AA46" s="524" t="str">
        <f>IF(Z46="","",VLOOKUP(Z46,'G-7 Rivers Data'!$AO$4:$AP$7,2,FALSE))</f>
        <v/>
      </c>
      <c r="AB46" s="545" t="str">
        <f t="shared" si="6"/>
        <v/>
      </c>
      <c r="AC46" s="149"/>
      <c r="AD46" s="150"/>
      <c r="AK46" s="31" t="str">
        <f>IFERROR(INDEX('G-7 Rivers Data'!$AZ$3:$AZ$7,MATCH(C46,'G-7 Rivers Data'!$AY$3:$AY$7,0)),"")</f>
        <v/>
      </c>
    </row>
    <row r="47" spans="2:37" ht="13.8" x14ac:dyDescent="0.25">
      <c r="B47" s="141">
        <v>36</v>
      </c>
      <c r="C47" s="666"/>
      <c r="D47" s="172"/>
      <c r="E47" s="498" t="str">
        <f>IF(C47="","",VLOOKUP(C47,'G-7 Rivers Data'!$B$2:$Z$9,2,FALSE))</f>
        <v/>
      </c>
      <c r="F47" s="499" t="str">
        <f>IFERROR(VLOOKUP(E47,'G-7 Rivers Data'!$C$4:$D$8,2,FALSE),"")</f>
        <v/>
      </c>
      <c r="G47" s="145"/>
      <c r="H47" s="499" t="str">
        <f>IFERROR(INDEX('G-7 Rivers Data'!$H$4:$L$8,MATCH(C47,'G-7 Rivers Data'!$B$4:$B$8,0),MATCH(G47,'G-7 Rivers Data'!$H$3:$L$3,0)),"")</f>
        <v/>
      </c>
      <c r="I47" s="145"/>
      <c r="J47" s="540" t="str">
        <f>IF(I47="","",IF(VLOOKUP(I47,'G-7 Rivers Data'!$AG$4:$AI$9,2,FALSE)=0,"Spatial Data Missing ⚠",VLOOKUP(I47,'G-7 Rivers Data'!$AG$4:$AI$9,2,FALSE)))</f>
        <v/>
      </c>
      <c r="K47" s="499" t="str">
        <f>IF(I47="","",IF(VLOOKUP(I47,'G-7 Rivers Data'!$AG$4:$AI$9,3,FALSE)=0,"Spatial Data Missing ⚠",VLOOKUP(I47,'G-7 Rivers Data'!$AG$4:$AI$9,3,FALSE)))</f>
        <v/>
      </c>
      <c r="L47" s="635" t="str">
        <f>IFERROR(INDEX('G-7 Rivers Data'!$O$3:$O$7,MATCH(G47,'G-7 Rivers Data'!$N$3:$N$7,0)),"")</f>
        <v/>
      </c>
      <c r="M47" s="7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154"/>
      <c r="AA47" s="524" t="str">
        <f>IF(Z47="","",VLOOKUP(Z47,'G-7 Rivers Data'!$AO$4:$AP$7,2,FALSE))</f>
        <v/>
      </c>
      <c r="AB47" s="545" t="str">
        <f t="shared" si="6"/>
        <v/>
      </c>
      <c r="AC47" s="149"/>
      <c r="AD47" s="150"/>
      <c r="AK47" s="31" t="str">
        <f>IFERROR(INDEX('G-7 Rivers Data'!$AZ$3:$AZ$7,MATCH(C47,'G-7 Rivers Data'!$AY$3:$AY$7,0)),"")</f>
        <v/>
      </c>
    </row>
    <row r="48" spans="2:37" ht="13.8" x14ac:dyDescent="0.25">
      <c r="B48" s="141">
        <v>37</v>
      </c>
      <c r="C48" s="666"/>
      <c r="D48" s="172"/>
      <c r="E48" s="498" t="str">
        <f>IF(C48="","",VLOOKUP(C48,'G-7 Rivers Data'!$B$2:$Z$9,2,FALSE))</f>
        <v/>
      </c>
      <c r="F48" s="499" t="str">
        <f>IFERROR(VLOOKUP(E48,'G-7 Rivers Data'!$C$4:$D$8,2,FALSE),"")</f>
        <v/>
      </c>
      <c r="G48" s="145"/>
      <c r="H48" s="499" t="str">
        <f>IFERROR(INDEX('G-7 Rivers Data'!$H$4:$L$8,MATCH(C48,'G-7 Rivers Data'!$B$4:$B$8,0),MATCH(G48,'G-7 Rivers Data'!$H$3:$L$3,0)),"")</f>
        <v/>
      </c>
      <c r="I48" s="145"/>
      <c r="J48" s="540" t="str">
        <f>IF(I48="","",IF(VLOOKUP(I48,'G-7 Rivers Data'!$AG$4:$AI$9,2,FALSE)=0,"Spatial Data Missing ⚠",VLOOKUP(I48,'G-7 Rivers Data'!$AG$4:$AI$9,2,FALSE)))</f>
        <v/>
      </c>
      <c r="K48" s="499" t="str">
        <f>IF(I48="","",IF(VLOOKUP(I48,'G-7 Rivers Data'!$AG$4:$AI$9,3,FALSE)=0,"Spatial Data Missing ⚠",VLOOKUP(I48,'G-7 Rivers Data'!$AG$4:$AI$9,3,FALSE)))</f>
        <v/>
      </c>
      <c r="L48" s="635" t="str">
        <f>IFERROR(INDEX('G-7 Rivers Data'!$O$3:$O$7,MATCH(G48,'G-7 Rivers Data'!$N$3:$N$7,0)),"")</f>
        <v/>
      </c>
      <c r="M48" s="7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154"/>
      <c r="AA48" s="524" t="str">
        <f>IF(Z48="","",VLOOKUP(Z48,'G-7 Rivers Data'!$AO$4:$AP$7,2,FALSE))</f>
        <v/>
      </c>
      <c r="AB48" s="545" t="str">
        <f t="shared" si="6"/>
        <v/>
      </c>
      <c r="AC48" s="149"/>
      <c r="AD48" s="150"/>
      <c r="AK48" s="31" t="str">
        <f>IFERROR(INDEX('G-7 Rivers Data'!$AZ$3:$AZ$7,MATCH(C48,'G-7 Rivers Data'!$AY$3:$AY$7,0)),"")</f>
        <v/>
      </c>
    </row>
    <row r="49" spans="2:37" ht="13.8" x14ac:dyDescent="0.25">
      <c r="B49" s="141">
        <v>38</v>
      </c>
      <c r="C49" s="666"/>
      <c r="D49" s="172"/>
      <c r="E49" s="498" t="str">
        <f>IF(C49="","",VLOOKUP(C49,'G-7 Rivers Data'!$B$2:$Z$9,2,FALSE))</f>
        <v/>
      </c>
      <c r="F49" s="499" t="str">
        <f>IFERROR(VLOOKUP(E49,'G-7 Rivers Data'!$C$4:$D$8,2,FALSE),"")</f>
        <v/>
      </c>
      <c r="G49" s="145"/>
      <c r="H49" s="499" t="str">
        <f>IFERROR(INDEX('G-7 Rivers Data'!$H$4:$L$8,MATCH(C49,'G-7 Rivers Data'!$B$4:$B$8,0),MATCH(G49,'G-7 Rivers Data'!$H$3:$L$3,0)),"")</f>
        <v/>
      </c>
      <c r="I49" s="145"/>
      <c r="J49" s="540" t="str">
        <f>IF(I49="","",IF(VLOOKUP(I49,'G-7 Rivers Data'!$AG$4:$AI$9,2,FALSE)=0,"Spatial Data Missing ⚠",VLOOKUP(I49,'G-7 Rivers Data'!$AG$4:$AI$9,2,FALSE)))</f>
        <v/>
      </c>
      <c r="K49" s="499" t="str">
        <f>IF(I49="","",IF(VLOOKUP(I49,'G-7 Rivers Data'!$AG$4:$AI$9,3,FALSE)=0,"Spatial Data Missing ⚠",VLOOKUP(I49,'G-7 Rivers Data'!$AG$4:$AI$9,3,FALSE)))</f>
        <v/>
      </c>
      <c r="L49" s="635" t="str">
        <f>IFERROR(INDEX('G-7 Rivers Data'!$O$3:$O$7,MATCH(G49,'G-7 Rivers Data'!$N$3:$N$7,0)),"")</f>
        <v/>
      </c>
      <c r="M49" s="7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154"/>
      <c r="AA49" s="524" t="str">
        <f>IF(Z49="","",VLOOKUP(Z49,'G-7 Rivers Data'!$AO$4:$AP$7,2,FALSE))</f>
        <v/>
      </c>
      <c r="AB49" s="545" t="str">
        <f t="shared" si="6"/>
        <v/>
      </c>
      <c r="AC49" s="149"/>
      <c r="AD49" s="150"/>
      <c r="AK49" s="31" t="str">
        <f>IFERROR(INDEX('G-7 Rivers Data'!$AZ$3:$AZ$7,MATCH(C49,'G-7 Rivers Data'!$AY$3:$AY$7,0)),"")</f>
        <v/>
      </c>
    </row>
    <row r="50" spans="2:37" ht="13.8" x14ac:dyDescent="0.25">
      <c r="B50" s="141">
        <v>39</v>
      </c>
      <c r="C50" s="666"/>
      <c r="D50" s="172"/>
      <c r="E50" s="498" t="str">
        <f>IF(C50="","",VLOOKUP(C50,'G-7 Rivers Data'!$B$2:$Z$9,2,FALSE))</f>
        <v/>
      </c>
      <c r="F50" s="499" t="str">
        <f>IFERROR(VLOOKUP(E50,'G-7 Rivers Data'!$C$4:$D$8,2,FALSE),"")</f>
        <v/>
      </c>
      <c r="G50" s="145"/>
      <c r="H50" s="499" t="str">
        <f>IFERROR(INDEX('G-7 Rivers Data'!$H$4:$L$8,MATCH(C50,'G-7 Rivers Data'!$B$4:$B$8,0),MATCH(G50,'G-7 Rivers Data'!$H$3:$L$3,0)),"")</f>
        <v/>
      </c>
      <c r="I50" s="145"/>
      <c r="J50" s="540" t="str">
        <f>IF(I50="","",IF(VLOOKUP(I50,'G-7 Rivers Data'!$AG$4:$AI$9,2,FALSE)=0,"Spatial Data Missing ⚠",VLOOKUP(I50,'G-7 Rivers Data'!$AG$4:$AI$9,2,FALSE)))</f>
        <v/>
      </c>
      <c r="K50" s="499" t="str">
        <f>IF(I50="","",IF(VLOOKUP(I50,'G-7 Rivers Data'!$AG$4:$AI$9,3,FALSE)=0,"Spatial Data Missing ⚠",VLOOKUP(I50,'G-7 Rivers Data'!$AG$4:$AI$9,3,FALSE)))</f>
        <v/>
      </c>
      <c r="L50" s="635" t="str">
        <f>IFERROR(INDEX('G-7 Rivers Data'!$O$3:$O$7,MATCH(G50,'G-7 Rivers Data'!$N$3:$N$7,0)),"")</f>
        <v/>
      </c>
      <c r="M50" s="7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154"/>
      <c r="AA50" s="524" t="str">
        <f>IF(Z50="","",VLOOKUP(Z50,'G-7 Rivers Data'!$AO$4:$AP$7,2,FALSE))</f>
        <v/>
      </c>
      <c r="AB50" s="545" t="str">
        <f t="shared" si="6"/>
        <v/>
      </c>
      <c r="AC50" s="149"/>
      <c r="AD50" s="150"/>
      <c r="AK50" s="31" t="str">
        <f>IFERROR(INDEX('G-7 Rivers Data'!$AZ$3:$AZ$7,MATCH(C50,'G-7 Rivers Data'!$AY$3:$AY$7,0)),"")</f>
        <v/>
      </c>
    </row>
    <row r="51" spans="2:37" ht="13.8" x14ac:dyDescent="0.25">
      <c r="B51" s="141">
        <v>40</v>
      </c>
      <c r="C51" s="666"/>
      <c r="D51" s="172"/>
      <c r="E51" s="498" t="str">
        <f>IF(C51="","",VLOOKUP(C51,'G-7 Rivers Data'!$B$2:$Z$9,2,FALSE))</f>
        <v/>
      </c>
      <c r="F51" s="499" t="str">
        <f>IFERROR(VLOOKUP(E51,'G-7 Rivers Data'!$C$4:$D$8,2,FALSE),"")</f>
        <v/>
      </c>
      <c r="G51" s="145"/>
      <c r="H51" s="499" t="str">
        <f>IFERROR(INDEX('G-7 Rivers Data'!$H$4:$L$8,MATCH(C51,'G-7 Rivers Data'!$B$4:$B$8,0),MATCH(G51,'G-7 Rivers Data'!$H$3:$L$3,0)),"")</f>
        <v/>
      </c>
      <c r="I51" s="145"/>
      <c r="J51" s="540" t="str">
        <f>IF(I51="","",IF(VLOOKUP(I51,'G-7 Rivers Data'!$AG$4:$AI$9,2,FALSE)=0,"Spatial Data Missing ⚠",VLOOKUP(I51,'G-7 Rivers Data'!$AG$4:$AI$9,2,FALSE)))</f>
        <v/>
      </c>
      <c r="K51" s="499" t="str">
        <f>IF(I51="","",IF(VLOOKUP(I51,'G-7 Rivers Data'!$AG$4:$AI$9,3,FALSE)=0,"Spatial Data Missing ⚠",VLOOKUP(I51,'G-7 Rivers Data'!$AG$4:$AI$9,3,FALSE)))</f>
        <v/>
      </c>
      <c r="L51" s="635" t="str">
        <f>IFERROR(INDEX('G-7 Rivers Data'!$O$3:$O$7,MATCH(G51,'G-7 Rivers Data'!$N$3:$N$7,0)),"")</f>
        <v/>
      </c>
      <c r="M51" s="7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154"/>
      <c r="AA51" s="524" t="str">
        <f>IF(Z51="","",VLOOKUP(Z51,'G-7 Rivers Data'!$AO$4:$AP$7,2,FALSE))</f>
        <v/>
      </c>
      <c r="AB51" s="545" t="str">
        <f t="shared" si="6"/>
        <v/>
      </c>
      <c r="AC51" s="149"/>
      <c r="AD51" s="150"/>
      <c r="AK51" s="31" t="str">
        <f>IFERROR(INDEX('G-7 Rivers Data'!$AZ$3:$AZ$7,MATCH(C51,'G-7 Rivers Data'!$AY$3:$AY$7,0)),"")</f>
        <v/>
      </c>
    </row>
    <row r="52" spans="2:37" ht="13.8" x14ac:dyDescent="0.25">
      <c r="B52" s="141">
        <v>41</v>
      </c>
      <c r="C52" s="666"/>
      <c r="D52" s="172"/>
      <c r="E52" s="498" t="str">
        <f>IF(C52="","",VLOOKUP(C52,'G-7 Rivers Data'!$B$2:$Z$9,2,FALSE))</f>
        <v/>
      </c>
      <c r="F52" s="499" t="str">
        <f>IFERROR(VLOOKUP(E52,'G-7 Rivers Data'!$C$4:$D$8,2,FALSE),"")</f>
        <v/>
      </c>
      <c r="G52" s="145"/>
      <c r="H52" s="499" t="str">
        <f>IFERROR(INDEX('G-7 Rivers Data'!$H$4:$L$8,MATCH(C52,'G-7 Rivers Data'!$B$4:$B$8,0),MATCH(G52,'G-7 Rivers Data'!$H$3:$L$3,0)),"")</f>
        <v/>
      </c>
      <c r="I52" s="145"/>
      <c r="J52" s="540" t="str">
        <f>IF(I52="","",IF(VLOOKUP(I52,'G-7 Rivers Data'!$AG$4:$AI$9,2,FALSE)=0,"Spatial Data Missing ⚠",VLOOKUP(I52,'G-7 Rivers Data'!$AG$4:$AI$9,2,FALSE)))</f>
        <v/>
      </c>
      <c r="K52" s="499" t="str">
        <f>IF(I52="","",IF(VLOOKUP(I52,'G-7 Rivers Data'!$AG$4:$AI$9,3,FALSE)=0,"Spatial Data Missing ⚠",VLOOKUP(I52,'G-7 Rivers Data'!$AG$4:$AI$9,3,FALSE)))</f>
        <v/>
      </c>
      <c r="L52" s="635" t="str">
        <f>IFERROR(INDEX('G-7 Rivers Data'!$O$3:$O$7,MATCH(G52,'G-7 Rivers Data'!$N$3:$N$7,0)),"")</f>
        <v/>
      </c>
      <c r="M52" s="7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154"/>
      <c r="AA52" s="524" t="str">
        <f>IF(Z52="","",VLOOKUP(Z52,'G-7 Rivers Data'!$AO$4:$AP$7,2,FALSE))</f>
        <v/>
      </c>
      <c r="AB52" s="545" t="str">
        <f t="shared" si="6"/>
        <v/>
      </c>
      <c r="AC52" s="149"/>
      <c r="AD52" s="150"/>
      <c r="AK52" s="31" t="str">
        <f>IFERROR(INDEX('G-7 Rivers Data'!$AZ$3:$AZ$7,MATCH(C52,'G-7 Rivers Data'!$AY$3:$AY$7,0)),"")</f>
        <v/>
      </c>
    </row>
    <row r="53" spans="2:37" ht="13.8" x14ac:dyDescent="0.25">
      <c r="B53" s="141">
        <v>42</v>
      </c>
      <c r="C53" s="666"/>
      <c r="D53" s="172"/>
      <c r="E53" s="498" t="str">
        <f>IF(C53="","",VLOOKUP(C53,'G-7 Rivers Data'!$B$2:$Z$9,2,FALSE))</f>
        <v/>
      </c>
      <c r="F53" s="499" t="str">
        <f>IFERROR(VLOOKUP(E53,'G-7 Rivers Data'!$C$4:$D$8,2,FALSE),"")</f>
        <v/>
      </c>
      <c r="G53" s="145"/>
      <c r="H53" s="499" t="str">
        <f>IFERROR(INDEX('G-7 Rivers Data'!$H$4:$L$8,MATCH(C53,'G-7 Rivers Data'!$B$4:$B$8,0),MATCH(G53,'G-7 Rivers Data'!$H$3:$L$3,0)),"")</f>
        <v/>
      </c>
      <c r="I53" s="145"/>
      <c r="J53" s="540" t="str">
        <f>IF(I53="","",IF(VLOOKUP(I53,'G-7 Rivers Data'!$AG$4:$AI$9,2,FALSE)=0,"Spatial Data Missing ⚠",VLOOKUP(I53,'G-7 Rivers Data'!$AG$4:$AI$9,2,FALSE)))</f>
        <v/>
      </c>
      <c r="K53" s="499" t="str">
        <f>IF(I53="","",IF(VLOOKUP(I53,'G-7 Rivers Data'!$AG$4:$AI$9,3,FALSE)=0,"Spatial Data Missing ⚠",VLOOKUP(I53,'G-7 Rivers Data'!$AG$4:$AI$9,3,FALSE)))</f>
        <v/>
      </c>
      <c r="L53" s="635" t="str">
        <f>IFERROR(INDEX('G-7 Rivers Data'!$O$3:$O$7,MATCH(G53,'G-7 Rivers Data'!$N$3:$N$7,0)),"")</f>
        <v/>
      </c>
      <c r="M53" s="7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154"/>
      <c r="AA53" s="524" t="str">
        <f>IF(Z53="","",VLOOKUP(Z53,'G-7 Rivers Data'!$AO$4:$AP$7,2,FALSE))</f>
        <v/>
      </c>
      <c r="AB53" s="545" t="str">
        <f t="shared" si="6"/>
        <v/>
      </c>
      <c r="AC53" s="149"/>
      <c r="AD53" s="150"/>
      <c r="AK53" s="31" t="str">
        <f>IFERROR(INDEX('G-7 Rivers Data'!$AZ$3:$AZ$7,MATCH(C53,'G-7 Rivers Data'!$AY$3:$AY$7,0)),"")</f>
        <v/>
      </c>
    </row>
    <row r="54" spans="2:37" ht="13.8" x14ac:dyDescent="0.25">
      <c r="B54" s="141">
        <v>43</v>
      </c>
      <c r="C54" s="666"/>
      <c r="D54" s="172"/>
      <c r="E54" s="498" t="str">
        <f>IF(C54="","",VLOOKUP(C54,'G-7 Rivers Data'!$B$2:$Z$9,2,FALSE))</f>
        <v/>
      </c>
      <c r="F54" s="499" t="str">
        <f>IFERROR(VLOOKUP(E54,'G-7 Rivers Data'!$C$4:$D$8,2,FALSE),"")</f>
        <v/>
      </c>
      <c r="G54" s="145"/>
      <c r="H54" s="499" t="str">
        <f>IFERROR(INDEX('G-7 Rivers Data'!$H$4:$L$8,MATCH(C54,'G-7 Rivers Data'!$B$4:$B$8,0),MATCH(G54,'G-7 Rivers Data'!$H$3:$L$3,0)),"")</f>
        <v/>
      </c>
      <c r="I54" s="145"/>
      <c r="J54" s="540" t="str">
        <f>IF(I54="","",IF(VLOOKUP(I54,'G-7 Rivers Data'!$AG$4:$AI$9,2,FALSE)=0,"Spatial Data Missing ⚠",VLOOKUP(I54,'G-7 Rivers Data'!$AG$4:$AI$9,2,FALSE)))</f>
        <v/>
      </c>
      <c r="K54" s="499" t="str">
        <f>IF(I54="","",IF(VLOOKUP(I54,'G-7 Rivers Data'!$AG$4:$AI$9,3,FALSE)=0,"Spatial Data Missing ⚠",VLOOKUP(I54,'G-7 Rivers Data'!$AG$4:$AI$9,3,FALSE)))</f>
        <v/>
      </c>
      <c r="L54" s="635" t="str">
        <f>IFERROR(INDEX('G-7 Rivers Data'!$O$3:$O$7,MATCH(G54,'G-7 Rivers Data'!$N$3:$N$7,0)),"")</f>
        <v/>
      </c>
      <c r="M54" s="7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154"/>
      <c r="AA54" s="524" t="str">
        <f>IF(Z54="","",VLOOKUP(Z54,'G-7 Rivers Data'!$AO$4:$AP$7,2,FALSE))</f>
        <v/>
      </c>
      <c r="AB54" s="545" t="str">
        <f t="shared" si="6"/>
        <v/>
      </c>
      <c r="AC54" s="149"/>
      <c r="AD54" s="150"/>
      <c r="AK54" s="31" t="str">
        <f>IFERROR(INDEX('G-7 Rivers Data'!$AZ$3:$AZ$7,MATCH(C54,'G-7 Rivers Data'!$AY$3:$AY$7,0)),"")</f>
        <v/>
      </c>
    </row>
    <row r="55" spans="2:37" ht="13.8" x14ac:dyDescent="0.25">
      <c r="B55" s="141">
        <v>44</v>
      </c>
      <c r="C55" s="666"/>
      <c r="D55" s="172"/>
      <c r="E55" s="498" t="str">
        <f>IF(C55="","",VLOOKUP(C55,'G-7 Rivers Data'!$B$2:$Z$9,2,FALSE))</f>
        <v/>
      </c>
      <c r="F55" s="499" t="str">
        <f>IFERROR(VLOOKUP(E55,'G-7 Rivers Data'!$C$4:$D$8,2,FALSE),"")</f>
        <v/>
      </c>
      <c r="G55" s="145"/>
      <c r="H55" s="499" t="str">
        <f>IFERROR(INDEX('G-7 Rivers Data'!$H$4:$L$8,MATCH(C55,'G-7 Rivers Data'!$B$4:$B$8,0),MATCH(G55,'G-7 Rivers Data'!$H$3:$L$3,0)),"")</f>
        <v/>
      </c>
      <c r="I55" s="145"/>
      <c r="J55" s="540" t="str">
        <f>IF(I55="","",IF(VLOOKUP(I55,'G-7 Rivers Data'!$AG$4:$AI$9,2,FALSE)=0,"Spatial Data Missing ⚠",VLOOKUP(I55,'G-7 Rivers Data'!$AG$4:$AI$9,2,FALSE)))</f>
        <v/>
      </c>
      <c r="K55" s="499" t="str">
        <f>IF(I55="","",IF(VLOOKUP(I55,'G-7 Rivers Data'!$AG$4:$AI$9,3,FALSE)=0,"Spatial Data Missing ⚠",VLOOKUP(I55,'G-7 Rivers Data'!$AG$4:$AI$9,3,FALSE)))</f>
        <v/>
      </c>
      <c r="L55" s="635" t="str">
        <f>IFERROR(INDEX('G-7 Rivers Data'!$O$3:$O$7,MATCH(G55,'G-7 Rivers Data'!$N$3:$N$7,0)),"")</f>
        <v/>
      </c>
      <c r="M55" s="7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154"/>
      <c r="AA55" s="524" t="str">
        <f>IF(Z55="","",VLOOKUP(Z55,'G-7 Rivers Data'!$AO$4:$AP$7,2,FALSE))</f>
        <v/>
      </c>
      <c r="AB55" s="545" t="str">
        <f t="shared" si="6"/>
        <v/>
      </c>
      <c r="AC55" s="149"/>
      <c r="AD55" s="150"/>
      <c r="AK55" s="31" t="str">
        <f>IFERROR(INDEX('G-7 Rivers Data'!$AZ$3:$AZ$7,MATCH(C55,'G-7 Rivers Data'!$AY$3:$AY$7,0)),"")</f>
        <v/>
      </c>
    </row>
    <row r="56" spans="2:37" ht="13.8" x14ac:dyDescent="0.25">
      <c r="B56" s="141">
        <v>45</v>
      </c>
      <c r="C56" s="666"/>
      <c r="D56" s="172"/>
      <c r="E56" s="498" t="str">
        <f>IF(C56="","",VLOOKUP(C56,'G-7 Rivers Data'!$B$2:$Z$9,2,FALSE))</f>
        <v/>
      </c>
      <c r="F56" s="499" t="str">
        <f>IFERROR(VLOOKUP(E56,'G-7 Rivers Data'!$C$4:$D$8,2,FALSE),"")</f>
        <v/>
      </c>
      <c r="G56" s="145"/>
      <c r="H56" s="499" t="str">
        <f>IFERROR(INDEX('G-7 Rivers Data'!$H$4:$L$8,MATCH(C56,'G-7 Rivers Data'!$B$4:$B$8,0),MATCH(G56,'G-7 Rivers Data'!$H$3:$L$3,0)),"")</f>
        <v/>
      </c>
      <c r="I56" s="145"/>
      <c r="J56" s="540" t="str">
        <f>IF(I56="","",IF(VLOOKUP(I56,'G-7 Rivers Data'!$AG$4:$AI$9,2,FALSE)=0,"Spatial Data Missing ⚠",VLOOKUP(I56,'G-7 Rivers Data'!$AG$4:$AI$9,2,FALSE)))</f>
        <v/>
      </c>
      <c r="K56" s="499" t="str">
        <f>IF(I56="","",IF(VLOOKUP(I56,'G-7 Rivers Data'!$AG$4:$AI$9,3,FALSE)=0,"Spatial Data Missing ⚠",VLOOKUP(I56,'G-7 Rivers Data'!$AG$4:$AI$9,3,FALSE)))</f>
        <v/>
      </c>
      <c r="L56" s="635" t="str">
        <f>IFERROR(INDEX('G-7 Rivers Data'!$O$3:$O$7,MATCH(G56,'G-7 Rivers Data'!$N$3:$N$7,0)),"")</f>
        <v/>
      </c>
      <c r="M56" s="7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154"/>
      <c r="AA56" s="524" t="str">
        <f>IF(Z56="","",VLOOKUP(Z56,'G-7 Rivers Data'!$AO$4:$AP$7,2,FALSE))</f>
        <v/>
      </c>
      <c r="AB56" s="545" t="str">
        <f t="shared" si="6"/>
        <v/>
      </c>
      <c r="AC56" s="149"/>
      <c r="AD56" s="150"/>
      <c r="AK56" s="31" t="str">
        <f>IFERROR(INDEX('G-7 Rivers Data'!$AZ$3:$AZ$7,MATCH(C56,'G-7 Rivers Data'!$AY$3:$AY$7,0)),"")</f>
        <v/>
      </c>
    </row>
    <row r="57" spans="2:37" ht="13.8" x14ac:dyDescent="0.25">
      <c r="B57" s="141">
        <v>46</v>
      </c>
      <c r="C57" s="666"/>
      <c r="D57" s="172"/>
      <c r="E57" s="498" t="str">
        <f>IF(C57="","",VLOOKUP(C57,'G-7 Rivers Data'!$B$2:$Z$9,2,FALSE))</f>
        <v/>
      </c>
      <c r="F57" s="499" t="str">
        <f>IFERROR(VLOOKUP(E57,'G-7 Rivers Data'!$C$4:$D$8,2,FALSE),"")</f>
        <v/>
      </c>
      <c r="G57" s="145"/>
      <c r="H57" s="499" t="str">
        <f>IFERROR(INDEX('G-7 Rivers Data'!$H$4:$L$8,MATCH(C57,'G-7 Rivers Data'!$B$4:$B$8,0),MATCH(G57,'G-7 Rivers Data'!$H$3:$L$3,0)),"")</f>
        <v/>
      </c>
      <c r="I57" s="145"/>
      <c r="J57" s="540" t="str">
        <f>IF(I57="","",IF(VLOOKUP(I57,'G-7 Rivers Data'!$AG$4:$AI$9,2,FALSE)=0,"Spatial Data Missing ⚠",VLOOKUP(I57,'G-7 Rivers Data'!$AG$4:$AI$9,2,FALSE)))</f>
        <v/>
      </c>
      <c r="K57" s="499" t="str">
        <f>IF(I57="","",IF(VLOOKUP(I57,'G-7 Rivers Data'!$AG$4:$AI$9,3,FALSE)=0,"Spatial Data Missing ⚠",VLOOKUP(I57,'G-7 Rivers Data'!$AG$4:$AI$9,3,FALSE)))</f>
        <v/>
      </c>
      <c r="L57" s="635" t="str">
        <f>IFERROR(INDEX('G-7 Rivers Data'!$O$3:$O$7,MATCH(G57,'G-7 Rivers Data'!$N$3:$N$7,0)),"")</f>
        <v/>
      </c>
      <c r="M57" s="7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154"/>
      <c r="AA57" s="524" t="str">
        <f>IF(Z57="","",VLOOKUP(Z57,'G-7 Rivers Data'!$AO$4:$AP$7,2,FALSE))</f>
        <v/>
      </c>
      <c r="AB57" s="545" t="str">
        <f t="shared" si="6"/>
        <v/>
      </c>
      <c r="AC57" s="149"/>
      <c r="AD57" s="150"/>
      <c r="AK57" s="31" t="str">
        <f>IFERROR(INDEX('G-7 Rivers Data'!$AZ$3:$AZ$7,MATCH(C57,'G-7 Rivers Data'!$AY$3:$AY$7,0)),"")</f>
        <v/>
      </c>
    </row>
    <row r="58" spans="2:37" ht="13.8" x14ac:dyDescent="0.25">
      <c r="B58" s="141">
        <v>47</v>
      </c>
      <c r="C58" s="666"/>
      <c r="D58" s="172"/>
      <c r="E58" s="498" t="str">
        <f>IF(C58="","",VLOOKUP(C58,'G-7 Rivers Data'!$B$2:$Z$9,2,FALSE))</f>
        <v/>
      </c>
      <c r="F58" s="499" t="str">
        <f>IFERROR(VLOOKUP(E58,'G-7 Rivers Data'!$C$4:$D$8,2,FALSE),"")</f>
        <v/>
      </c>
      <c r="G58" s="145"/>
      <c r="H58" s="499" t="str">
        <f>IFERROR(INDEX('G-7 Rivers Data'!$H$4:$L$8,MATCH(C58,'G-7 Rivers Data'!$B$4:$B$8,0),MATCH(G58,'G-7 Rivers Data'!$H$3:$L$3,0)),"")</f>
        <v/>
      </c>
      <c r="I58" s="145"/>
      <c r="J58" s="540" t="str">
        <f>IF(I58="","",IF(VLOOKUP(I58,'G-7 Rivers Data'!$AG$4:$AI$9,2,FALSE)=0,"Spatial Data Missing ⚠",VLOOKUP(I58,'G-7 Rivers Data'!$AG$4:$AI$9,2,FALSE)))</f>
        <v/>
      </c>
      <c r="K58" s="499" t="str">
        <f>IF(I58="","",IF(VLOOKUP(I58,'G-7 Rivers Data'!$AG$4:$AI$9,3,FALSE)=0,"Spatial Data Missing ⚠",VLOOKUP(I58,'G-7 Rivers Data'!$AG$4:$AI$9,3,FALSE)))</f>
        <v/>
      </c>
      <c r="L58" s="635" t="str">
        <f>IFERROR(INDEX('G-7 Rivers Data'!$O$3:$O$7,MATCH(G58,'G-7 Rivers Data'!$N$3:$N$7,0)),"")</f>
        <v/>
      </c>
      <c r="M58" s="7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154"/>
      <c r="AA58" s="524" t="str">
        <f>IF(Z58="","",VLOOKUP(Z58,'G-7 Rivers Data'!$AO$4:$AP$7,2,FALSE))</f>
        <v/>
      </c>
      <c r="AB58" s="545" t="str">
        <f t="shared" si="6"/>
        <v/>
      </c>
      <c r="AC58" s="149"/>
      <c r="AD58" s="150"/>
      <c r="AK58" s="31" t="str">
        <f>IFERROR(INDEX('G-7 Rivers Data'!$AZ$3:$AZ$7,MATCH(C58,'G-7 Rivers Data'!$AY$3:$AY$7,0)),"")</f>
        <v/>
      </c>
    </row>
    <row r="59" spans="2:37" ht="13.8" x14ac:dyDescent="0.25">
      <c r="B59" s="141">
        <v>48</v>
      </c>
      <c r="C59" s="666"/>
      <c r="D59" s="172"/>
      <c r="E59" s="498" t="str">
        <f>IF(C59="","",VLOOKUP(C59,'G-7 Rivers Data'!$B$2:$Z$9,2,FALSE))</f>
        <v/>
      </c>
      <c r="F59" s="499" t="str">
        <f>IFERROR(VLOOKUP(E59,'G-7 Rivers Data'!$C$4:$D$8,2,FALSE),"")</f>
        <v/>
      </c>
      <c r="G59" s="145"/>
      <c r="H59" s="499" t="str">
        <f>IFERROR(INDEX('G-7 Rivers Data'!$H$4:$L$8,MATCH(C59,'G-7 Rivers Data'!$B$4:$B$8,0),MATCH(G59,'G-7 Rivers Data'!$H$3:$L$3,0)),"")</f>
        <v/>
      </c>
      <c r="I59" s="145"/>
      <c r="J59" s="540" t="str">
        <f>IF(I59="","",IF(VLOOKUP(I59,'G-7 Rivers Data'!$AG$4:$AI$9,2,FALSE)=0,"Spatial Data Missing ⚠",VLOOKUP(I59,'G-7 Rivers Data'!$AG$4:$AI$9,2,FALSE)))</f>
        <v/>
      </c>
      <c r="K59" s="499" t="str">
        <f>IF(I59="","",IF(VLOOKUP(I59,'G-7 Rivers Data'!$AG$4:$AI$9,3,FALSE)=0,"Spatial Data Missing ⚠",VLOOKUP(I59,'G-7 Rivers Data'!$AG$4:$AI$9,3,FALSE)))</f>
        <v/>
      </c>
      <c r="L59" s="635" t="str">
        <f>IFERROR(INDEX('G-7 Rivers Data'!$O$3:$O$7,MATCH(G59,'G-7 Rivers Data'!$N$3:$N$7,0)),"")</f>
        <v/>
      </c>
      <c r="M59" s="7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154"/>
      <c r="AA59" s="524" t="str">
        <f>IF(Z59="","",VLOOKUP(Z59,'G-7 Rivers Data'!$AO$4:$AP$7,2,FALSE))</f>
        <v/>
      </c>
      <c r="AB59" s="545" t="str">
        <f t="shared" si="6"/>
        <v/>
      </c>
      <c r="AC59" s="149"/>
      <c r="AD59" s="150"/>
      <c r="AK59" s="31" t="str">
        <f>IFERROR(INDEX('G-7 Rivers Data'!$AZ$3:$AZ$7,MATCH(C59,'G-7 Rivers Data'!$AY$3:$AY$7,0)),"")</f>
        <v/>
      </c>
    </row>
    <row r="60" spans="2:37" ht="13.8" x14ac:dyDescent="0.25">
      <c r="B60" s="141">
        <v>49</v>
      </c>
      <c r="C60" s="666"/>
      <c r="D60" s="172"/>
      <c r="E60" s="498" t="str">
        <f>IF(C60="","",VLOOKUP(C60,'G-7 Rivers Data'!$B$2:$Z$9,2,FALSE))</f>
        <v/>
      </c>
      <c r="F60" s="499" t="str">
        <f>IFERROR(VLOOKUP(E60,'G-7 Rivers Data'!$C$4:$D$8,2,FALSE),"")</f>
        <v/>
      </c>
      <c r="G60" s="145"/>
      <c r="H60" s="499" t="str">
        <f>IFERROR(INDEX('G-7 Rivers Data'!$H$4:$L$8,MATCH(C60,'G-7 Rivers Data'!$B$4:$B$8,0),MATCH(G60,'G-7 Rivers Data'!$H$3:$L$3,0)),"")</f>
        <v/>
      </c>
      <c r="I60" s="145"/>
      <c r="J60" s="540" t="str">
        <f>IF(I60="","",IF(VLOOKUP(I60,'G-7 Rivers Data'!$AG$4:$AI$9,2,FALSE)=0,"Spatial Data Missing ⚠",VLOOKUP(I60,'G-7 Rivers Data'!$AG$4:$AI$9,2,FALSE)))</f>
        <v/>
      </c>
      <c r="K60" s="499" t="str">
        <f>IF(I60="","",IF(VLOOKUP(I60,'G-7 Rivers Data'!$AG$4:$AI$9,3,FALSE)=0,"Spatial Data Missing ⚠",VLOOKUP(I60,'G-7 Rivers Data'!$AG$4:$AI$9,3,FALSE)))</f>
        <v/>
      </c>
      <c r="L60" s="635" t="str">
        <f>IFERROR(INDEX('G-7 Rivers Data'!$O$3:$O$7,MATCH(G60,'G-7 Rivers Data'!$N$3:$N$7,0)),"")</f>
        <v/>
      </c>
      <c r="M60" s="7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154"/>
      <c r="AA60" s="524" t="str">
        <f>IF(Z60="","",VLOOKUP(Z60,'G-7 Rivers Data'!$AO$4:$AP$7,2,FALSE))</f>
        <v/>
      </c>
      <c r="AB60" s="545" t="str">
        <f t="shared" si="6"/>
        <v/>
      </c>
      <c r="AC60" s="149"/>
      <c r="AD60" s="150"/>
      <c r="AK60" s="31" t="str">
        <f>IFERROR(INDEX('G-7 Rivers Data'!$AZ$3:$AZ$7,MATCH(C60,'G-7 Rivers Data'!$AY$3:$AY$7,0)),"")</f>
        <v/>
      </c>
    </row>
    <row r="61" spans="2:37" ht="13.8" x14ac:dyDescent="0.25">
      <c r="B61" s="141">
        <v>50</v>
      </c>
      <c r="C61" s="666"/>
      <c r="D61" s="172"/>
      <c r="E61" s="498" t="str">
        <f>IF(C61="","",VLOOKUP(C61,'G-7 Rivers Data'!$B$2:$Z$9,2,FALSE))</f>
        <v/>
      </c>
      <c r="F61" s="499" t="str">
        <f>IFERROR(VLOOKUP(E61,'G-7 Rivers Data'!$C$4:$D$8,2,FALSE),"")</f>
        <v/>
      </c>
      <c r="G61" s="145"/>
      <c r="H61" s="499" t="str">
        <f>IFERROR(INDEX('G-7 Rivers Data'!$H$4:$L$8,MATCH(C61,'G-7 Rivers Data'!$B$4:$B$8,0),MATCH(G61,'G-7 Rivers Data'!$H$3:$L$3,0)),"")</f>
        <v/>
      </c>
      <c r="I61" s="145"/>
      <c r="J61" s="540" t="str">
        <f>IF(I61="","",IF(VLOOKUP(I61,'G-7 Rivers Data'!$AG$4:$AI$9,2,FALSE)=0,"Spatial Data Missing ⚠",VLOOKUP(I61,'G-7 Rivers Data'!$AG$4:$AI$9,2,FALSE)))</f>
        <v/>
      </c>
      <c r="K61" s="499" t="str">
        <f>IF(I61="","",IF(VLOOKUP(I61,'G-7 Rivers Data'!$AG$4:$AI$9,3,FALSE)=0,"Spatial Data Missing ⚠",VLOOKUP(I61,'G-7 Rivers Data'!$AG$4:$AI$9,3,FALSE)))</f>
        <v/>
      </c>
      <c r="L61" s="635" t="str">
        <f>IFERROR(INDEX('G-7 Rivers Data'!$O$3:$O$7,MATCH(G61,'G-7 Rivers Data'!$N$3:$N$7,0)),"")</f>
        <v/>
      </c>
      <c r="M61" s="7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154"/>
      <c r="AA61" s="524" t="str">
        <f>IF(Z61="","",VLOOKUP(Z61,'G-7 Rivers Data'!$AO$4:$AP$7,2,FALSE))</f>
        <v/>
      </c>
      <c r="AB61" s="545" t="str">
        <f t="shared" si="6"/>
        <v/>
      </c>
      <c r="AC61" s="149"/>
      <c r="AD61" s="150"/>
      <c r="AK61" s="31" t="str">
        <f>IFERROR(INDEX('G-7 Rivers Data'!$AZ$3:$AZ$7,MATCH(C61,'G-7 Rivers Data'!$AY$3:$AY$7,0)),"")</f>
        <v/>
      </c>
    </row>
    <row r="62" spans="2:37" ht="13.8" x14ac:dyDescent="0.25">
      <c r="B62" s="141">
        <v>51</v>
      </c>
      <c r="C62" s="666"/>
      <c r="D62" s="172"/>
      <c r="E62" s="498" t="str">
        <f>IF(C62="","",VLOOKUP(C62,'G-7 Rivers Data'!$B$2:$Z$9,2,FALSE))</f>
        <v/>
      </c>
      <c r="F62" s="499" t="str">
        <f>IFERROR(VLOOKUP(E62,'G-7 Rivers Data'!$C$4:$D$8,2,FALSE),"")</f>
        <v/>
      </c>
      <c r="G62" s="145"/>
      <c r="H62" s="499" t="str">
        <f>IFERROR(INDEX('G-7 Rivers Data'!$H$4:$L$8,MATCH(C62,'G-7 Rivers Data'!$B$4:$B$8,0),MATCH(G62,'G-7 Rivers Data'!$H$3:$L$3,0)),"")</f>
        <v/>
      </c>
      <c r="I62" s="145"/>
      <c r="J62" s="540" t="str">
        <f>IF(I62="","",IF(VLOOKUP(I62,'G-7 Rivers Data'!$AG$4:$AI$9,2,FALSE)=0,"Spatial Data Missing ⚠",VLOOKUP(I62,'G-7 Rivers Data'!$AG$4:$AI$9,2,FALSE)))</f>
        <v/>
      </c>
      <c r="K62" s="499" t="str">
        <f>IF(I62="","",IF(VLOOKUP(I62,'G-7 Rivers Data'!$AG$4:$AI$9,3,FALSE)=0,"Spatial Data Missing ⚠",VLOOKUP(I62,'G-7 Rivers Data'!$AG$4:$AI$9,3,FALSE)))</f>
        <v/>
      </c>
      <c r="L62" s="635" t="str">
        <f>IFERROR(INDEX('G-7 Rivers Data'!$O$3:$O$7,MATCH(G62,'G-7 Rivers Data'!$N$3:$N$7,0)),"")</f>
        <v/>
      </c>
      <c r="M62" s="7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154"/>
      <c r="AA62" s="524" t="str">
        <f>IF(Z62="","",VLOOKUP(Z62,'G-7 Rivers Data'!$AO$4:$AP$7,2,FALSE))</f>
        <v/>
      </c>
      <c r="AB62" s="545" t="str">
        <f t="shared" si="6"/>
        <v/>
      </c>
      <c r="AC62" s="149"/>
      <c r="AD62" s="150"/>
      <c r="AK62" s="31" t="str">
        <f>IFERROR(INDEX('G-7 Rivers Data'!$AZ$3:$AZ$7,MATCH(C62,'G-7 Rivers Data'!$AY$3:$AY$7,0)),"")</f>
        <v/>
      </c>
    </row>
    <row r="63" spans="2:37" ht="13.8" x14ac:dyDescent="0.25">
      <c r="B63" s="141">
        <v>52</v>
      </c>
      <c r="C63" s="666"/>
      <c r="D63" s="172"/>
      <c r="E63" s="498" t="str">
        <f>IF(C63="","",VLOOKUP(C63,'G-7 Rivers Data'!$B$2:$Z$9,2,FALSE))</f>
        <v/>
      </c>
      <c r="F63" s="499" t="str">
        <f>IFERROR(VLOOKUP(E63,'G-7 Rivers Data'!$C$4:$D$8,2,FALSE),"")</f>
        <v/>
      </c>
      <c r="G63" s="145"/>
      <c r="H63" s="499" t="str">
        <f>IFERROR(INDEX('G-7 Rivers Data'!$H$4:$L$8,MATCH(C63,'G-7 Rivers Data'!$B$4:$B$8,0),MATCH(G63,'G-7 Rivers Data'!$H$3:$L$3,0)),"")</f>
        <v/>
      </c>
      <c r="I63" s="145"/>
      <c r="J63" s="540" t="str">
        <f>IF(I63="","",IF(VLOOKUP(I63,'G-7 Rivers Data'!$AG$4:$AI$9,2,FALSE)=0,"Spatial Data Missing ⚠",VLOOKUP(I63,'G-7 Rivers Data'!$AG$4:$AI$9,2,FALSE)))</f>
        <v/>
      </c>
      <c r="K63" s="499" t="str">
        <f>IF(I63="","",IF(VLOOKUP(I63,'G-7 Rivers Data'!$AG$4:$AI$9,3,FALSE)=0,"Spatial Data Missing ⚠",VLOOKUP(I63,'G-7 Rivers Data'!$AG$4:$AI$9,3,FALSE)))</f>
        <v/>
      </c>
      <c r="L63" s="635" t="str">
        <f>IFERROR(INDEX('G-7 Rivers Data'!$O$3:$O$7,MATCH(G63,'G-7 Rivers Data'!$N$3:$N$7,0)),"")</f>
        <v/>
      </c>
      <c r="M63" s="7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154"/>
      <c r="AA63" s="524" t="str">
        <f>IF(Z63="","",VLOOKUP(Z63,'G-7 Rivers Data'!$AO$4:$AP$7,2,FALSE))</f>
        <v/>
      </c>
      <c r="AB63" s="545" t="str">
        <f t="shared" si="6"/>
        <v/>
      </c>
      <c r="AC63" s="149"/>
      <c r="AD63" s="150"/>
      <c r="AK63" s="31" t="str">
        <f>IFERROR(INDEX('G-7 Rivers Data'!$AZ$3:$AZ$7,MATCH(C63,'G-7 Rivers Data'!$AY$3:$AY$7,0)),"")</f>
        <v/>
      </c>
    </row>
    <row r="64" spans="2:37" ht="13.8" x14ac:dyDescent="0.25">
      <c r="B64" s="141">
        <v>53</v>
      </c>
      <c r="C64" s="666"/>
      <c r="D64" s="172"/>
      <c r="E64" s="498" t="str">
        <f>IF(C64="","",VLOOKUP(C64,'G-7 Rivers Data'!$B$2:$Z$9,2,FALSE))</f>
        <v/>
      </c>
      <c r="F64" s="499" t="str">
        <f>IFERROR(VLOOKUP(E64,'G-7 Rivers Data'!$C$4:$D$8,2,FALSE),"")</f>
        <v/>
      </c>
      <c r="G64" s="145"/>
      <c r="H64" s="499" t="str">
        <f>IFERROR(INDEX('G-7 Rivers Data'!$H$4:$L$8,MATCH(C64,'G-7 Rivers Data'!$B$4:$B$8,0),MATCH(G64,'G-7 Rivers Data'!$H$3:$L$3,0)),"")</f>
        <v/>
      </c>
      <c r="I64" s="145"/>
      <c r="J64" s="540" t="str">
        <f>IF(I64="","",IF(VLOOKUP(I64,'G-7 Rivers Data'!$AG$4:$AI$9,2,FALSE)=0,"Spatial Data Missing ⚠",VLOOKUP(I64,'G-7 Rivers Data'!$AG$4:$AI$9,2,FALSE)))</f>
        <v/>
      </c>
      <c r="K64" s="499" t="str">
        <f>IF(I64="","",IF(VLOOKUP(I64,'G-7 Rivers Data'!$AG$4:$AI$9,3,FALSE)=0,"Spatial Data Missing ⚠",VLOOKUP(I64,'G-7 Rivers Data'!$AG$4:$AI$9,3,FALSE)))</f>
        <v/>
      </c>
      <c r="L64" s="635" t="str">
        <f>IFERROR(INDEX('G-7 Rivers Data'!$O$3:$O$7,MATCH(G64,'G-7 Rivers Data'!$N$3:$N$7,0)),"")</f>
        <v/>
      </c>
      <c r="M64" s="7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154"/>
      <c r="AA64" s="524" t="str">
        <f>IF(Z64="","",VLOOKUP(Z64,'G-7 Rivers Data'!$AO$4:$AP$7,2,FALSE))</f>
        <v/>
      </c>
      <c r="AB64" s="545" t="str">
        <f t="shared" si="6"/>
        <v/>
      </c>
      <c r="AC64" s="149"/>
      <c r="AD64" s="150"/>
      <c r="AK64" s="31" t="str">
        <f>IFERROR(INDEX('G-7 Rivers Data'!$AZ$3:$AZ$7,MATCH(C64,'G-7 Rivers Data'!$AY$3:$AY$7,0)),"")</f>
        <v/>
      </c>
    </row>
    <row r="65" spans="2:37" ht="13.8" x14ac:dyDescent="0.25">
      <c r="B65" s="141">
        <v>54</v>
      </c>
      <c r="C65" s="666"/>
      <c r="D65" s="172"/>
      <c r="E65" s="498" t="str">
        <f>IF(C65="","",VLOOKUP(C65,'G-7 Rivers Data'!$B$2:$Z$9,2,FALSE))</f>
        <v/>
      </c>
      <c r="F65" s="499" t="str">
        <f>IFERROR(VLOOKUP(E65,'G-7 Rivers Data'!$C$4:$D$8,2,FALSE),"")</f>
        <v/>
      </c>
      <c r="G65" s="145"/>
      <c r="H65" s="499" t="str">
        <f>IFERROR(INDEX('G-7 Rivers Data'!$H$4:$L$8,MATCH(C65,'G-7 Rivers Data'!$B$4:$B$8,0),MATCH(G65,'G-7 Rivers Data'!$H$3:$L$3,0)),"")</f>
        <v/>
      </c>
      <c r="I65" s="145"/>
      <c r="J65" s="540" t="str">
        <f>IF(I65="","",IF(VLOOKUP(I65,'G-7 Rivers Data'!$AG$4:$AI$9,2,FALSE)=0,"Spatial Data Missing ⚠",VLOOKUP(I65,'G-7 Rivers Data'!$AG$4:$AI$9,2,FALSE)))</f>
        <v/>
      </c>
      <c r="K65" s="499" t="str">
        <f>IF(I65="","",IF(VLOOKUP(I65,'G-7 Rivers Data'!$AG$4:$AI$9,3,FALSE)=0,"Spatial Data Missing ⚠",VLOOKUP(I65,'G-7 Rivers Data'!$AG$4:$AI$9,3,FALSE)))</f>
        <v/>
      </c>
      <c r="L65" s="635" t="str">
        <f>IFERROR(INDEX('G-7 Rivers Data'!$O$3:$O$7,MATCH(G65,'G-7 Rivers Data'!$N$3:$N$7,0)),"")</f>
        <v/>
      </c>
      <c r="M65" s="7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154"/>
      <c r="AA65" s="524" t="str">
        <f>IF(Z65="","",VLOOKUP(Z65,'G-7 Rivers Data'!$AO$4:$AP$7,2,FALSE))</f>
        <v/>
      </c>
      <c r="AB65" s="545" t="str">
        <f t="shared" si="6"/>
        <v/>
      </c>
      <c r="AC65" s="149"/>
      <c r="AD65" s="150"/>
      <c r="AK65" s="31" t="str">
        <f>IFERROR(INDEX('G-7 Rivers Data'!$AZ$3:$AZ$7,MATCH(C65,'G-7 Rivers Data'!$AY$3:$AY$7,0)),"")</f>
        <v/>
      </c>
    </row>
    <row r="66" spans="2:37" ht="13.8" x14ac:dyDescent="0.25">
      <c r="B66" s="141">
        <v>55</v>
      </c>
      <c r="C66" s="666"/>
      <c r="D66" s="172"/>
      <c r="E66" s="498" t="str">
        <f>IF(C66="","",VLOOKUP(C66,'G-7 Rivers Data'!$B$2:$Z$9,2,FALSE))</f>
        <v/>
      </c>
      <c r="F66" s="499" t="str">
        <f>IFERROR(VLOOKUP(E66,'G-7 Rivers Data'!$C$4:$D$8,2,FALSE),"")</f>
        <v/>
      </c>
      <c r="G66" s="145"/>
      <c r="H66" s="499" t="str">
        <f>IFERROR(INDEX('G-7 Rivers Data'!$H$4:$L$8,MATCH(C66,'G-7 Rivers Data'!$B$4:$B$8,0),MATCH(G66,'G-7 Rivers Data'!$H$3:$L$3,0)),"")</f>
        <v/>
      </c>
      <c r="I66" s="145"/>
      <c r="J66" s="540" t="str">
        <f>IF(I66="","",IF(VLOOKUP(I66,'G-7 Rivers Data'!$AG$4:$AI$9,2,FALSE)=0,"Spatial Data Missing ⚠",VLOOKUP(I66,'G-7 Rivers Data'!$AG$4:$AI$9,2,FALSE)))</f>
        <v/>
      </c>
      <c r="K66" s="499" t="str">
        <f>IF(I66="","",IF(VLOOKUP(I66,'G-7 Rivers Data'!$AG$4:$AI$9,3,FALSE)=0,"Spatial Data Missing ⚠",VLOOKUP(I66,'G-7 Rivers Data'!$AG$4:$AI$9,3,FALSE)))</f>
        <v/>
      </c>
      <c r="L66" s="635" t="str">
        <f>IFERROR(INDEX('G-7 Rivers Data'!$O$3:$O$7,MATCH(G66,'G-7 Rivers Data'!$N$3:$N$7,0)),"")</f>
        <v/>
      </c>
      <c r="M66" s="7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154"/>
      <c r="AA66" s="524" t="str">
        <f>IF(Z66="","",VLOOKUP(Z66,'G-7 Rivers Data'!$AO$4:$AP$7,2,FALSE))</f>
        <v/>
      </c>
      <c r="AB66" s="545" t="str">
        <f t="shared" si="6"/>
        <v/>
      </c>
      <c r="AC66" s="149"/>
      <c r="AD66" s="150"/>
      <c r="AK66" s="31" t="str">
        <f>IFERROR(INDEX('G-7 Rivers Data'!$AZ$3:$AZ$7,MATCH(C66,'G-7 Rivers Data'!$AY$3:$AY$7,0)),"")</f>
        <v/>
      </c>
    </row>
    <row r="67" spans="2:37" ht="13.8" x14ac:dyDescent="0.25">
      <c r="B67" s="141">
        <v>56</v>
      </c>
      <c r="C67" s="666"/>
      <c r="D67" s="172"/>
      <c r="E67" s="498" t="str">
        <f>IF(C67="","",VLOOKUP(C67,'G-7 Rivers Data'!$B$2:$Z$9,2,FALSE))</f>
        <v/>
      </c>
      <c r="F67" s="499" t="str">
        <f>IFERROR(VLOOKUP(E67,'G-7 Rivers Data'!$C$4:$D$8,2,FALSE),"")</f>
        <v/>
      </c>
      <c r="G67" s="145"/>
      <c r="H67" s="499" t="str">
        <f>IFERROR(INDEX('G-7 Rivers Data'!$H$4:$L$8,MATCH(C67,'G-7 Rivers Data'!$B$4:$B$8,0),MATCH(G67,'G-7 Rivers Data'!$H$3:$L$3,0)),"")</f>
        <v/>
      </c>
      <c r="I67" s="145"/>
      <c r="J67" s="540" t="str">
        <f>IF(I67="","",IF(VLOOKUP(I67,'G-7 Rivers Data'!$AG$4:$AI$9,2,FALSE)=0,"Spatial Data Missing ⚠",VLOOKUP(I67,'G-7 Rivers Data'!$AG$4:$AI$9,2,FALSE)))</f>
        <v/>
      </c>
      <c r="K67" s="499" t="str">
        <f>IF(I67="","",IF(VLOOKUP(I67,'G-7 Rivers Data'!$AG$4:$AI$9,3,FALSE)=0,"Spatial Data Missing ⚠",VLOOKUP(I67,'G-7 Rivers Data'!$AG$4:$AI$9,3,FALSE)))</f>
        <v/>
      </c>
      <c r="L67" s="635" t="str">
        <f>IFERROR(INDEX('G-7 Rivers Data'!$O$3:$O$7,MATCH(G67,'G-7 Rivers Data'!$N$3:$N$7,0)),"")</f>
        <v/>
      </c>
      <c r="M67" s="7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154"/>
      <c r="AA67" s="524" t="str">
        <f>IF(Z67="","",VLOOKUP(Z67,'G-7 Rivers Data'!$AO$4:$AP$7,2,FALSE))</f>
        <v/>
      </c>
      <c r="AB67" s="545" t="str">
        <f t="shared" si="6"/>
        <v/>
      </c>
      <c r="AC67" s="149"/>
      <c r="AD67" s="150"/>
      <c r="AK67" s="31" t="str">
        <f>IFERROR(INDEX('G-7 Rivers Data'!$AZ$3:$AZ$7,MATCH(C67,'G-7 Rivers Data'!$AY$3:$AY$7,0)),"")</f>
        <v/>
      </c>
    </row>
    <row r="68" spans="2:37" ht="13.8" x14ac:dyDescent="0.25">
      <c r="B68" s="141">
        <v>57</v>
      </c>
      <c r="C68" s="666"/>
      <c r="D68" s="172"/>
      <c r="E68" s="498" t="str">
        <f>IF(C68="","",VLOOKUP(C68,'G-7 Rivers Data'!$B$2:$Z$9,2,FALSE))</f>
        <v/>
      </c>
      <c r="F68" s="499" t="str">
        <f>IFERROR(VLOOKUP(E68,'G-7 Rivers Data'!$C$4:$D$8,2,FALSE),"")</f>
        <v/>
      </c>
      <c r="G68" s="145"/>
      <c r="H68" s="499" t="str">
        <f>IFERROR(INDEX('G-7 Rivers Data'!$H$4:$L$8,MATCH(C68,'G-7 Rivers Data'!$B$4:$B$8,0),MATCH(G68,'G-7 Rivers Data'!$H$3:$L$3,0)),"")</f>
        <v/>
      </c>
      <c r="I68" s="145"/>
      <c r="J68" s="540" t="str">
        <f>IF(I68="","",IF(VLOOKUP(I68,'G-7 Rivers Data'!$AG$4:$AI$9,2,FALSE)=0,"Spatial Data Missing ⚠",VLOOKUP(I68,'G-7 Rivers Data'!$AG$4:$AI$9,2,FALSE)))</f>
        <v/>
      </c>
      <c r="K68" s="499" t="str">
        <f>IF(I68="","",IF(VLOOKUP(I68,'G-7 Rivers Data'!$AG$4:$AI$9,3,FALSE)=0,"Spatial Data Missing ⚠",VLOOKUP(I68,'G-7 Rivers Data'!$AG$4:$AI$9,3,FALSE)))</f>
        <v/>
      </c>
      <c r="L68" s="635" t="str">
        <f>IFERROR(INDEX('G-7 Rivers Data'!$O$3:$O$7,MATCH(G68,'G-7 Rivers Data'!$N$3:$N$7,0)),"")</f>
        <v/>
      </c>
      <c r="M68" s="7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154"/>
      <c r="AA68" s="524" t="str">
        <f>IF(Z68="","",VLOOKUP(Z68,'G-7 Rivers Data'!$AO$4:$AP$7,2,FALSE))</f>
        <v/>
      </c>
      <c r="AB68" s="545" t="str">
        <f t="shared" si="6"/>
        <v/>
      </c>
      <c r="AC68" s="149"/>
      <c r="AD68" s="150"/>
      <c r="AK68" s="31" t="str">
        <f>IFERROR(INDEX('G-7 Rivers Data'!$AZ$3:$AZ$7,MATCH(C68,'G-7 Rivers Data'!$AY$3:$AY$7,0)),"")</f>
        <v/>
      </c>
    </row>
    <row r="69" spans="2:37" ht="13.8" x14ac:dyDescent="0.25">
      <c r="B69" s="141">
        <v>58</v>
      </c>
      <c r="C69" s="666"/>
      <c r="D69" s="172"/>
      <c r="E69" s="498" t="str">
        <f>IF(C69="","",VLOOKUP(C69,'G-7 Rivers Data'!$B$2:$Z$9,2,FALSE))</f>
        <v/>
      </c>
      <c r="F69" s="499" t="str">
        <f>IFERROR(VLOOKUP(E69,'G-7 Rivers Data'!$C$4:$D$8,2,FALSE),"")</f>
        <v/>
      </c>
      <c r="G69" s="145"/>
      <c r="H69" s="499" t="str">
        <f>IFERROR(INDEX('G-7 Rivers Data'!$H$4:$L$8,MATCH(C69,'G-7 Rivers Data'!$B$4:$B$8,0),MATCH(G69,'G-7 Rivers Data'!$H$3:$L$3,0)),"")</f>
        <v/>
      </c>
      <c r="I69" s="145"/>
      <c r="J69" s="540" t="str">
        <f>IF(I69="","",IF(VLOOKUP(I69,'G-7 Rivers Data'!$AG$4:$AI$9,2,FALSE)=0,"Spatial Data Missing ⚠",VLOOKUP(I69,'G-7 Rivers Data'!$AG$4:$AI$9,2,FALSE)))</f>
        <v/>
      </c>
      <c r="K69" s="499" t="str">
        <f>IF(I69="","",IF(VLOOKUP(I69,'G-7 Rivers Data'!$AG$4:$AI$9,3,FALSE)=0,"Spatial Data Missing ⚠",VLOOKUP(I69,'G-7 Rivers Data'!$AG$4:$AI$9,3,FALSE)))</f>
        <v/>
      </c>
      <c r="L69" s="635" t="str">
        <f>IFERROR(INDEX('G-7 Rivers Data'!$O$3:$O$7,MATCH(G69,'G-7 Rivers Data'!$N$3:$N$7,0)),"")</f>
        <v/>
      </c>
      <c r="M69" s="7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154"/>
      <c r="AA69" s="524" t="str">
        <f>IF(Z69="","",VLOOKUP(Z69,'G-7 Rivers Data'!$AO$4:$AP$7,2,FALSE))</f>
        <v/>
      </c>
      <c r="AB69" s="545" t="str">
        <f t="shared" si="6"/>
        <v/>
      </c>
      <c r="AC69" s="149"/>
      <c r="AD69" s="150"/>
      <c r="AK69" s="31" t="str">
        <f>IFERROR(INDEX('G-7 Rivers Data'!$AZ$3:$AZ$7,MATCH(C69,'G-7 Rivers Data'!$AY$3:$AY$7,0)),"")</f>
        <v/>
      </c>
    </row>
    <row r="70" spans="2:37" ht="13.8" x14ac:dyDescent="0.25">
      <c r="B70" s="141">
        <v>59</v>
      </c>
      <c r="C70" s="666"/>
      <c r="D70" s="172"/>
      <c r="E70" s="498" t="str">
        <f>IF(C70="","",VLOOKUP(C70,'G-7 Rivers Data'!$B$2:$Z$9,2,FALSE))</f>
        <v/>
      </c>
      <c r="F70" s="499" t="str">
        <f>IFERROR(VLOOKUP(E70,'G-7 Rivers Data'!$C$4:$D$8,2,FALSE),"")</f>
        <v/>
      </c>
      <c r="G70" s="145"/>
      <c r="H70" s="499" t="str">
        <f>IFERROR(INDEX('G-7 Rivers Data'!$H$4:$L$8,MATCH(C70,'G-7 Rivers Data'!$B$4:$B$8,0),MATCH(G70,'G-7 Rivers Data'!$H$3:$L$3,0)),"")</f>
        <v/>
      </c>
      <c r="I70" s="145"/>
      <c r="J70" s="540" t="str">
        <f>IF(I70="","",IF(VLOOKUP(I70,'G-7 Rivers Data'!$AG$4:$AI$9,2,FALSE)=0,"Spatial Data Missing ⚠",VLOOKUP(I70,'G-7 Rivers Data'!$AG$4:$AI$9,2,FALSE)))</f>
        <v/>
      </c>
      <c r="K70" s="499" t="str">
        <f>IF(I70="","",IF(VLOOKUP(I70,'G-7 Rivers Data'!$AG$4:$AI$9,3,FALSE)=0,"Spatial Data Missing ⚠",VLOOKUP(I70,'G-7 Rivers Data'!$AG$4:$AI$9,3,FALSE)))</f>
        <v/>
      </c>
      <c r="L70" s="635" t="str">
        <f>IFERROR(INDEX('G-7 Rivers Data'!$O$3:$O$7,MATCH(G70,'G-7 Rivers Data'!$N$3:$N$7,0)),"")</f>
        <v/>
      </c>
      <c r="M70" s="7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154"/>
      <c r="AA70" s="524" t="str">
        <f>IF(Z70="","",VLOOKUP(Z70,'G-7 Rivers Data'!$AO$4:$AP$7,2,FALSE))</f>
        <v/>
      </c>
      <c r="AB70" s="545" t="str">
        <f t="shared" si="6"/>
        <v/>
      </c>
      <c r="AC70" s="149"/>
      <c r="AD70" s="150"/>
      <c r="AK70" s="31" t="str">
        <f>IFERROR(INDEX('G-7 Rivers Data'!$AZ$3:$AZ$7,MATCH(C70,'G-7 Rivers Data'!$AY$3:$AY$7,0)),"")</f>
        <v/>
      </c>
    </row>
    <row r="71" spans="2:37" ht="13.8" x14ac:dyDescent="0.25">
      <c r="B71" s="141">
        <v>60</v>
      </c>
      <c r="C71" s="666"/>
      <c r="D71" s="172"/>
      <c r="E71" s="498" t="str">
        <f>IF(C71="","",VLOOKUP(C71,'G-7 Rivers Data'!$B$2:$Z$9,2,FALSE))</f>
        <v/>
      </c>
      <c r="F71" s="499" t="str">
        <f>IFERROR(VLOOKUP(E71,'G-7 Rivers Data'!$C$4:$D$8,2,FALSE),"")</f>
        <v/>
      </c>
      <c r="G71" s="145"/>
      <c r="H71" s="499" t="str">
        <f>IFERROR(INDEX('G-7 Rivers Data'!$H$4:$L$8,MATCH(C71,'G-7 Rivers Data'!$B$4:$B$8,0),MATCH(G71,'G-7 Rivers Data'!$H$3:$L$3,0)),"")</f>
        <v/>
      </c>
      <c r="I71" s="145"/>
      <c r="J71" s="540" t="str">
        <f>IF(I71="","",IF(VLOOKUP(I71,'G-7 Rivers Data'!$AG$4:$AI$9,2,FALSE)=0,"Spatial Data Missing ⚠",VLOOKUP(I71,'G-7 Rivers Data'!$AG$4:$AI$9,2,FALSE)))</f>
        <v/>
      </c>
      <c r="K71" s="499" t="str">
        <f>IF(I71="","",IF(VLOOKUP(I71,'G-7 Rivers Data'!$AG$4:$AI$9,3,FALSE)=0,"Spatial Data Missing ⚠",VLOOKUP(I71,'G-7 Rivers Data'!$AG$4:$AI$9,3,FALSE)))</f>
        <v/>
      </c>
      <c r="L71" s="635" t="str">
        <f>IFERROR(INDEX('G-7 Rivers Data'!$O$3:$O$7,MATCH(G71,'G-7 Rivers Data'!$N$3:$N$7,0)),"")</f>
        <v/>
      </c>
      <c r="M71" s="7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154"/>
      <c r="AA71" s="524" t="str">
        <f>IF(Z71="","",VLOOKUP(Z71,'G-7 Rivers Data'!$AO$4:$AP$7,2,FALSE))</f>
        <v/>
      </c>
      <c r="AB71" s="545" t="str">
        <f t="shared" si="6"/>
        <v/>
      </c>
      <c r="AC71" s="149"/>
      <c r="AD71" s="150"/>
      <c r="AK71" s="31" t="str">
        <f>IFERROR(INDEX('G-7 Rivers Data'!$AZ$3:$AZ$7,MATCH(C71,'G-7 Rivers Data'!$AY$3:$AY$7,0)),"")</f>
        <v/>
      </c>
    </row>
    <row r="72" spans="2:37" ht="13.8" x14ac:dyDescent="0.25">
      <c r="B72" s="141">
        <v>61</v>
      </c>
      <c r="C72" s="666"/>
      <c r="D72" s="172"/>
      <c r="E72" s="498" t="str">
        <f>IF(C72="","",VLOOKUP(C72,'G-7 Rivers Data'!$B$2:$Z$9,2,FALSE))</f>
        <v/>
      </c>
      <c r="F72" s="499" t="str">
        <f>IFERROR(VLOOKUP(E72,'G-7 Rivers Data'!$C$4:$D$8,2,FALSE),"")</f>
        <v/>
      </c>
      <c r="G72" s="145"/>
      <c r="H72" s="499" t="str">
        <f>IFERROR(INDEX('G-7 Rivers Data'!$H$4:$L$8,MATCH(C72,'G-7 Rivers Data'!$B$4:$B$8,0),MATCH(G72,'G-7 Rivers Data'!$H$3:$L$3,0)),"")</f>
        <v/>
      </c>
      <c r="I72" s="145"/>
      <c r="J72" s="540" t="str">
        <f>IF(I72="","",IF(VLOOKUP(I72,'G-7 Rivers Data'!$AG$4:$AI$9,2,FALSE)=0,"Spatial Data Missing ⚠",VLOOKUP(I72,'G-7 Rivers Data'!$AG$4:$AI$9,2,FALSE)))</f>
        <v/>
      </c>
      <c r="K72" s="499" t="str">
        <f>IF(I72="","",IF(VLOOKUP(I72,'G-7 Rivers Data'!$AG$4:$AI$9,3,FALSE)=0,"Spatial Data Missing ⚠",VLOOKUP(I72,'G-7 Rivers Data'!$AG$4:$AI$9,3,FALSE)))</f>
        <v/>
      </c>
      <c r="L72" s="635" t="str">
        <f>IFERROR(INDEX('G-7 Rivers Data'!$O$3:$O$7,MATCH(G72,'G-7 Rivers Data'!$N$3:$N$7,0)),"")</f>
        <v/>
      </c>
      <c r="M72" s="7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154"/>
      <c r="AA72" s="524" t="str">
        <f>IF(Z72="","",VLOOKUP(Z72,'G-7 Rivers Data'!$AO$4:$AP$7,2,FALSE))</f>
        <v/>
      </c>
      <c r="AB72" s="545" t="str">
        <f t="shared" si="6"/>
        <v/>
      </c>
      <c r="AC72" s="149"/>
      <c r="AD72" s="150"/>
      <c r="AK72" s="31" t="str">
        <f>IFERROR(INDEX('G-7 Rivers Data'!$AZ$3:$AZ$7,MATCH(C72,'G-7 Rivers Data'!$AY$3:$AY$7,0)),"")</f>
        <v/>
      </c>
    </row>
    <row r="73" spans="2:37" ht="13.8" x14ac:dyDescent="0.25">
      <c r="B73" s="141">
        <v>62</v>
      </c>
      <c r="C73" s="666"/>
      <c r="D73" s="172"/>
      <c r="E73" s="498" t="str">
        <f>IF(C73="","",VLOOKUP(C73,'G-7 Rivers Data'!$B$2:$Z$9,2,FALSE))</f>
        <v/>
      </c>
      <c r="F73" s="499" t="str">
        <f>IFERROR(VLOOKUP(E73,'G-7 Rivers Data'!$C$4:$D$8,2,FALSE),"")</f>
        <v/>
      </c>
      <c r="G73" s="145"/>
      <c r="H73" s="499" t="str">
        <f>IFERROR(INDEX('G-7 Rivers Data'!$H$4:$L$8,MATCH(C73,'G-7 Rivers Data'!$B$4:$B$8,0),MATCH(G73,'G-7 Rivers Data'!$H$3:$L$3,0)),"")</f>
        <v/>
      </c>
      <c r="I73" s="145"/>
      <c r="J73" s="540" t="str">
        <f>IF(I73="","",IF(VLOOKUP(I73,'G-7 Rivers Data'!$AG$4:$AI$9,2,FALSE)=0,"Spatial Data Missing ⚠",VLOOKUP(I73,'G-7 Rivers Data'!$AG$4:$AI$9,2,FALSE)))</f>
        <v/>
      </c>
      <c r="K73" s="499" t="str">
        <f>IF(I73="","",IF(VLOOKUP(I73,'G-7 Rivers Data'!$AG$4:$AI$9,3,FALSE)=0,"Spatial Data Missing ⚠",VLOOKUP(I73,'G-7 Rivers Data'!$AG$4:$AI$9,3,FALSE)))</f>
        <v/>
      </c>
      <c r="L73" s="635" t="str">
        <f>IFERROR(INDEX('G-7 Rivers Data'!$O$3:$O$7,MATCH(G73,'G-7 Rivers Data'!$N$3:$N$7,0)),"")</f>
        <v/>
      </c>
      <c r="M73" s="7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154"/>
      <c r="AA73" s="524" t="str">
        <f>IF(Z73="","",VLOOKUP(Z73,'G-7 Rivers Data'!$AO$4:$AP$7,2,FALSE))</f>
        <v/>
      </c>
      <c r="AB73" s="545" t="str">
        <f t="shared" si="6"/>
        <v/>
      </c>
      <c r="AC73" s="149"/>
      <c r="AD73" s="150"/>
      <c r="AK73" s="31" t="str">
        <f>IFERROR(INDEX('G-7 Rivers Data'!$AZ$3:$AZ$7,MATCH(C73,'G-7 Rivers Data'!$AY$3:$AY$7,0)),"")</f>
        <v/>
      </c>
    </row>
    <row r="74" spans="2:37" ht="13.8" x14ac:dyDescent="0.25">
      <c r="B74" s="141">
        <v>63</v>
      </c>
      <c r="C74" s="666"/>
      <c r="D74" s="172"/>
      <c r="E74" s="498" t="str">
        <f>IF(C74="","",VLOOKUP(C74,'G-7 Rivers Data'!$B$2:$Z$9,2,FALSE))</f>
        <v/>
      </c>
      <c r="F74" s="499" t="str">
        <f>IFERROR(VLOOKUP(E74,'G-7 Rivers Data'!$C$4:$D$8,2,FALSE),"")</f>
        <v/>
      </c>
      <c r="G74" s="145"/>
      <c r="H74" s="499" t="str">
        <f>IFERROR(INDEX('G-7 Rivers Data'!$H$4:$L$8,MATCH(C74,'G-7 Rivers Data'!$B$4:$B$8,0),MATCH(G74,'G-7 Rivers Data'!$H$3:$L$3,0)),"")</f>
        <v/>
      </c>
      <c r="I74" s="145"/>
      <c r="J74" s="540" t="str">
        <f>IF(I74="","",IF(VLOOKUP(I74,'G-7 Rivers Data'!$AG$4:$AI$9,2,FALSE)=0,"Spatial Data Missing ⚠",VLOOKUP(I74,'G-7 Rivers Data'!$AG$4:$AI$9,2,FALSE)))</f>
        <v/>
      </c>
      <c r="K74" s="499" t="str">
        <f>IF(I74="","",IF(VLOOKUP(I74,'G-7 Rivers Data'!$AG$4:$AI$9,3,FALSE)=0,"Spatial Data Missing ⚠",VLOOKUP(I74,'G-7 Rivers Data'!$AG$4:$AI$9,3,FALSE)))</f>
        <v/>
      </c>
      <c r="L74" s="635" t="str">
        <f>IFERROR(INDEX('G-7 Rivers Data'!$O$3:$O$7,MATCH(G74,'G-7 Rivers Data'!$N$3:$N$7,0)),"")</f>
        <v/>
      </c>
      <c r="M74" s="7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154"/>
      <c r="AA74" s="524" t="str">
        <f>IF(Z74="","",VLOOKUP(Z74,'G-7 Rivers Data'!$AO$4:$AP$7,2,FALSE))</f>
        <v/>
      </c>
      <c r="AB74" s="545" t="str">
        <f t="shared" si="6"/>
        <v/>
      </c>
      <c r="AC74" s="149"/>
      <c r="AD74" s="150"/>
      <c r="AK74" s="31" t="str">
        <f>IFERROR(INDEX('G-7 Rivers Data'!$AZ$3:$AZ$7,MATCH(C74,'G-7 Rivers Data'!$AY$3:$AY$7,0)),"")</f>
        <v/>
      </c>
    </row>
    <row r="75" spans="2:37" ht="13.8" x14ac:dyDescent="0.25">
      <c r="B75" s="141">
        <v>64</v>
      </c>
      <c r="C75" s="666"/>
      <c r="D75" s="172"/>
      <c r="E75" s="498" t="str">
        <f>IF(C75="","",VLOOKUP(C75,'G-7 Rivers Data'!$B$2:$Z$9,2,FALSE))</f>
        <v/>
      </c>
      <c r="F75" s="499" t="str">
        <f>IFERROR(VLOOKUP(E75,'G-7 Rivers Data'!$C$4:$D$8,2,FALSE),"")</f>
        <v/>
      </c>
      <c r="G75" s="145"/>
      <c r="H75" s="499" t="str">
        <f>IFERROR(INDEX('G-7 Rivers Data'!$H$4:$L$8,MATCH(C75,'G-7 Rivers Data'!$B$4:$B$8,0),MATCH(G75,'G-7 Rivers Data'!$H$3:$L$3,0)),"")</f>
        <v/>
      </c>
      <c r="I75" s="145"/>
      <c r="J75" s="540" t="str">
        <f>IF(I75="","",IF(VLOOKUP(I75,'G-7 Rivers Data'!$AG$4:$AI$9,2,FALSE)=0,"Spatial Data Missing ⚠",VLOOKUP(I75,'G-7 Rivers Data'!$AG$4:$AI$9,2,FALSE)))</f>
        <v/>
      </c>
      <c r="K75" s="499" t="str">
        <f>IF(I75="","",IF(VLOOKUP(I75,'G-7 Rivers Data'!$AG$4:$AI$9,3,FALSE)=0,"Spatial Data Missing ⚠",VLOOKUP(I75,'G-7 Rivers Data'!$AG$4:$AI$9,3,FALSE)))</f>
        <v/>
      </c>
      <c r="L75" s="635" t="str">
        <f>IFERROR(INDEX('G-7 Rivers Data'!$O$3:$O$7,MATCH(G75,'G-7 Rivers Data'!$N$3:$N$7,0)),"")</f>
        <v/>
      </c>
      <c r="M75" s="7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154"/>
      <c r="AA75" s="524" t="str">
        <f>IF(Z75="","",VLOOKUP(Z75,'G-7 Rivers Data'!$AO$4:$AP$7,2,FALSE))</f>
        <v/>
      </c>
      <c r="AB75" s="545" t="str">
        <f t="shared" si="6"/>
        <v/>
      </c>
      <c r="AC75" s="149"/>
      <c r="AD75" s="150"/>
      <c r="AK75" s="31" t="str">
        <f>IFERROR(INDEX('G-7 Rivers Data'!$AZ$3:$AZ$7,MATCH(C75,'G-7 Rivers Data'!$AY$3:$AY$7,0)),"")</f>
        <v/>
      </c>
    </row>
    <row r="76" spans="2:37" ht="13.8" x14ac:dyDescent="0.25">
      <c r="B76" s="141">
        <v>65</v>
      </c>
      <c r="C76" s="666"/>
      <c r="D76" s="172"/>
      <c r="E76" s="498" t="str">
        <f>IF(C76="","",VLOOKUP(C76,'G-7 Rivers Data'!$B$2:$Z$9,2,FALSE))</f>
        <v/>
      </c>
      <c r="F76" s="499" t="str">
        <f>IFERROR(VLOOKUP(E76,'G-7 Rivers Data'!$C$4:$D$8,2,FALSE),"")</f>
        <v/>
      </c>
      <c r="G76" s="145"/>
      <c r="H76" s="499" t="str">
        <f>IFERROR(INDEX('G-7 Rivers Data'!$H$4:$L$8,MATCH(C76,'G-7 Rivers Data'!$B$4:$B$8,0),MATCH(G76,'G-7 Rivers Data'!$H$3:$L$3,0)),"")</f>
        <v/>
      </c>
      <c r="I76" s="145"/>
      <c r="J76" s="540" t="str">
        <f>IF(I76="","",IF(VLOOKUP(I76,'G-7 Rivers Data'!$AG$4:$AI$9,2,FALSE)=0,"Spatial Data Missing ⚠",VLOOKUP(I76,'G-7 Rivers Data'!$AG$4:$AI$9,2,FALSE)))</f>
        <v/>
      </c>
      <c r="K76" s="499" t="str">
        <f>IF(I76="","",IF(VLOOKUP(I76,'G-7 Rivers Data'!$AG$4:$AI$9,3,FALSE)=0,"Spatial Data Missing ⚠",VLOOKUP(I76,'G-7 Rivers Data'!$AG$4:$AI$9,3,FALSE)))</f>
        <v/>
      </c>
      <c r="L76" s="635" t="str">
        <f>IFERROR(INDEX('G-7 Rivers Data'!$O$3:$O$7,MATCH(G76,'G-7 Rivers Data'!$N$3:$N$7,0)),"")</f>
        <v/>
      </c>
      <c r="M76" s="7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154"/>
      <c r="AA76" s="524" t="str">
        <f>IF(Z76="","",VLOOKUP(Z76,'G-7 Rivers Data'!$AO$4:$AP$7,2,FALSE))</f>
        <v/>
      </c>
      <c r="AB76" s="545" t="str">
        <f t="shared" si="6"/>
        <v/>
      </c>
      <c r="AC76" s="149"/>
      <c r="AD76" s="150"/>
      <c r="AK76" s="31" t="str">
        <f>IFERROR(INDEX('G-7 Rivers Data'!$AZ$3:$AZ$7,MATCH(C76,'G-7 Rivers Data'!$AY$3:$AY$7,0)),"")</f>
        <v/>
      </c>
    </row>
    <row r="77" spans="2:37" ht="13.8" x14ac:dyDescent="0.25">
      <c r="B77" s="141">
        <v>66</v>
      </c>
      <c r="C77" s="666"/>
      <c r="D77" s="172"/>
      <c r="E77" s="498" t="str">
        <f>IF(C77="","",VLOOKUP(C77,'G-7 Rivers Data'!$B$2:$Z$9,2,FALSE))</f>
        <v/>
      </c>
      <c r="F77" s="499" t="str">
        <f>IFERROR(VLOOKUP(E77,'G-7 Rivers Data'!$C$4:$D$8,2,FALSE),"")</f>
        <v/>
      </c>
      <c r="G77" s="145"/>
      <c r="H77" s="499" t="str">
        <f>IFERROR(INDEX('G-7 Rivers Data'!$H$4:$L$8,MATCH(C77,'G-7 Rivers Data'!$B$4:$B$8,0),MATCH(G77,'G-7 Rivers Data'!$H$3:$L$3,0)),"")</f>
        <v/>
      </c>
      <c r="I77" s="145"/>
      <c r="J77" s="540" t="str">
        <f>IF(I77="","",IF(VLOOKUP(I77,'G-7 Rivers Data'!$AG$4:$AI$9,2,FALSE)=0,"Spatial Data Missing ⚠",VLOOKUP(I77,'G-7 Rivers Data'!$AG$4:$AI$9,2,FALSE)))</f>
        <v/>
      </c>
      <c r="K77" s="499" t="str">
        <f>IF(I77="","",IF(VLOOKUP(I77,'G-7 Rivers Data'!$AG$4:$AI$9,3,FALSE)=0,"Spatial Data Missing ⚠",VLOOKUP(I77,'G-7 Rivers Data'!$AG$4:$AI$9,3,FALSE)))</f>
        <v/>
      </c>
      <c r="L77" s="635" t="str">
        <f>IFERROR(INDEX('G-7 Rivers Data'!$O$3:$O$7,MATCH(G77,'G-7 Rivers Data'!$N$3:$N$7,0)),"")</f>
        <v/>
      </c>
      <c r="M77" s="7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⚠","No - Low Difficulty - only applicable if all habitat created before losses ⚠","Standard difficulty applied"))))</f>
        <v/>
      </c>
      <c r="T77" s="540" t="str">
        <f t="shared" ref="T77:T140" si="10">(IF(AND(S77="Standard difficulty applied",L77&gt;M77),R77,IF(AND(S77="No - 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154"/>
      <c r="AA77" s="524" t="str">
        <f>IF(Z77="","",VLOOKUP(Z77,'G-7 Rivers Data'!$AO$4:$AP$7,2,FALSE))</f>
        <v/>
      </c>
      <c r="AB77" s="545" t="str">
        <f t="shared" ref="AB77:AB140" si="12">IFERROR(D77*F77*H77*K77*Q77*U77*W77*Y77*AA77,"")</f>
        <v/>
      </c>
      <c r="AC77" s="149"/>
      <c r="AD77" s="150"/>
      <c r="AK77" s="31" t="str">
        <f>IFERROR(INDEX('G-7 Rivers Data'!$AZ$3:$AZ$7,MATCH(C77,'G-7 Rivers Data'!$AY$3:$AY$7,0)),"")</f>
        <v/>
      </c>
    </row>
    <row r="78" spans="2:37" ht="13.8" x14ac:dyDescent="0.25">
      <c r="B78" s="141">
        <v>67</v>
      </c>
      <c r="C78" s="666"/>
      <c r="D78" s="172"/>
      <c r="E78" s="498" t="str">
        <f>IF(C78="","",VLOOKUP(C78,'G-7 Rivers Data'!$B$2:$Z$9,2,FALSE))</f>
        <v/>
      </c>
      <c r="F78" s="499" t="str">
        <f>IFERROR(VLOOKUP(E78,'G-7 Rivers Data'!$C$4:$D$8,2,FALSE),"")</f>
        <v/>
      </c>
      <c r="G78" s="145"/>
      <c r="H78" s="499" t="str">
        <f>IFERROR(INDEX('G-7 Rivers Data'!$H$4:$L$8,MATCH(C78,'G-7 Rivers Data'!$B$4:$B$8,0),MATCH(G78,'G-7 Rivers Data'!$H$3:$L$3,0)),"")</f>
        <v/>
      </c>
      <c r="I78" s="145"/>
      <c r="J78" s="540" t="str">
        <f>IF(I78="","",IF(VLOOKUP(I78,'G-7 Rivers Data'!$AG$4:$AI$9,2,FALSE)=0,"Spatial Data Missing ⚠",VLOOKUP(I78,'G-7 Rivers Data'!$AG$4:$AI$9,2,FALSE)))</f>
        <v/>
      </c>
      <c r="K78" s="499" t="str">
        <f>IF(I78="","",IF(VLOOKUP(I78,'G-7 Rivers Data'!$AG$4:$AI$9,3,FALSE)=0,"Spatial Data Missing ⚠",VLOOKUP(I78,'G-7 Rivers Data'!$AG$4:$AI$9,3,FALSE)))</f>
        <v/>
      </c>
      <c r="L78" s="635" t="str">
        <f>IFERROR(INDEX('G-7 Rivers Data'!$O$3:$O$7,MATCH(G78,'G-7 Rivers Data'!$N$3:$N$7,0)),"")</f>
        <v/>
      </c>
      <c r="M78" s="7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154"/>
      <c r="AA78" s="524" t="str">
        <f>IF(Z78="","",VLOOKUP(Z78,'G-7 Rivers Data'!$AO$4:$AP$7,2,FALSE))</f>
        <v/>
      </c>
      <c r="AB78" s="545" t="str">
        <f t="shared" si="12"/>
        <v/>
      </c>
      <c r="AC78" s="149"/>
      <c r="AD78" s="150"/>
      <c r="AK78" s="31" t="str">
        <f>IFERROR(INDEX('G-7 Rivers Data'!$AZ$3:$AZ$7,MATCH(C78,'G-7 Rivers Data'!$AY$3:$AY$7,0)),"")</f>
        <v/>
      </c>
    </row>
    <row r="79" spans="2:37" ht="13.8" x14ac:dyDescent="0.25">
      <c r="B79" s="141">
        <v>68</v>
      </c>
      <c r="C79" s="666"/>
      <c r="D79" s="172"/>
      <c r="E79" s="498" t="str">
        <f>IF(C79="","",VLOOKUP(C79,'G-7 Rivers Data'!$B$2:$Z$9,2,FALSE))</f>
        <v/>
      </c>
      <c r="F79" s="499" t="str">
        <f>IFERROR(VLOOKUP(E79,'G-7 Rivers Data'!$C$4:$D$8,2,FALSE),"")</f>
        <v/>
      </c>
      <c r="G79" s="145"/>
      <c r="H79" s="499" t="str">
        <f>IFERROR(INDEX('G-7 Rivers Data'!$H$4:$L$8,MATCH(C79,'G-7 Rivers Data'!$B$4:$B$8,0),MATCH(G79,'G-7 Rivers Data'!$H$3:$L$3,0)),"")</f>
        <v/>
      </c>
      <c r="I79" s="145"/>
      <c r="J79" s="540" t="str">
        <f>IF(I79="","",IF(VLOOKUP(I79,'G-7 Rivers Data'!$AG$4:$AI$9,2,FALSE)=0,"Spatial Data Missing ⚠",VLOOKUP(I79,'G-7 Rivers Data'!$AG$4:$AI$9,2,FALSE)))</f>
        <v/>
      </c>
      <c r="K79" s="499" t="str">
        <f>IF(I79="","",IF(VLOOKUP(I79,'G-7 Rivers Data'!$AG$4:$AI$9,3,FALSE)=0,"Spatial Data Missing ⚠",VLOOKUP(I79,'G-7 Rivers Data'!$AG$4:$AI$9,3,FALSE)))</f>
        <v/>
      </c>
      <c r="L79" s="635" t="str">
        <f>IFERROR(INDEX('G-7 Rivers Data'!$O$3:$O$7,MATCH(G79,'G-7 Rivers Data'!$N$3:$N$7,0)),"")</f>
        <v/>
      </c>
      <c r="M79" s="7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154"/>
      <c r="AA79" s="524" t="str">
        <f>IF(Z79="","",VLOOKUP(Z79,'G-7 Rivers Data'!$AO$4:$AP$7,2,FALSE))</f>
        <v/>
      </c>
      <c r="AB79" s="545" t="str">
        <f t="shared" si="12"/>
        <v/>
      </c>
      <c r="AC79" s="149"/>
      <c r="AD79" s="150"/>
      <c r="AK79" s="31" t="str">
        <f>IFERROR(INDEX('G-7 Rivers Data'!$AZ$3:$AZ$7,MATCH(C79,'G-7 Rivers Data'!$AY$3:$AY$7,0)),"")</f>
        <v/>
      </c>
    </row>
    <row r="80" spans="2:37" ht="13.8" x14ac:dyDescent="0.25">
      <c r="B80" s="141">
        <v>69</v>
      </c>
      <c r="C80" s="666"/>
      <c r="D80" s="172"/>
      <c r="E80" s="498" t="str">
        <f>IF(C80="","",VLOOKUP(C80,'G-7 Rivers Data'!$B$2:$Z$9,2,FALSE))</f>
        <v/>
      </c>
      <c r="F80" s="499" t="str">
        <f>IFERROR(VLOOKUP(E80,'G-7 Rivers Data'!$C$4:$D$8,2,FALSE),"")</f>
        <v/>
      </c>
      <c r="G80" s="145"/>
      <c r="H80" s="499" t="str">
        <f>IFERROR(INDEX('G-7 Rivers Data'!$H$4:$L$8,MATCH(C80,'G-7 Rivers Data'!$B$4:$B$8,0),MATCH(G80,'G-7 Rivers Data'!$H$3:$L$3,0)),"")</f>
        <v/>
      </c>
      <c r="I80" s="145"/>
      <c r="J80" s="540" t="str">
        <f>IF(I80="","",IF(VLOOKUP(I80,'G-7 Rivers Data'!$AG$4:$AI$9,2,FALSE)=0,"Spatial Data Missing ⚠",VLOOKUP(I80,'G-7 Rivers Data'!$AG$4:$AI$9,2,FALSE)))</f>
        <v/>
      </c>
      <c r="K80" s="499" t="str">
        <f>IF(I80="","",IF(VLOOKUP(I80,'G-7 Rivers Data'!$AG$4:$AI$9,3,FALSE)=0,"Spatial Data Missing ⚠",VLOOKUP(I80,'G-7 Rivers Data'!$AG$4:$AI$9,3,FALSE)))</f>
        <v/>
      </c>
      <c r="L80" s="635" t="str">
        <f>IFERROR(INDEX('G-7 Rivers Data'!$O$3:$O$7,MATCH(G80,'G-7 Rivers Data'!$N$3:$N$7,0)),"")</f>
        <v/>
      </c>
      <c r="M80" s="7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154"/>
      <c r="AA80" s="524" t="str">
        <f>IF(Z80="","",VLOOKUP(Z80,'G-7 Rivers Data'!$AO$4:$AP$7,2,FALSE))</f>
        <v/>
      </c>
      <c r="AB80" s="545" t="str">
        <f t="shared" si="12"/>
        <v/>
      </c>
      <c r="AC80" s="149"/>
      <c r="AD80" s="150"/>
      <c r="AK80" s="31" t="str">
        <f>IFERROR(INDEX('G-7 Rivers Data'!$AZ$3:$AZ$7,MATCH(C80,'G-7 Rivers Data'!$AY$3:$AY$7,0)),"")</f>
        <v/>
      </c>
    </row>
    <row r="81" spans="2:37" ht="13.8" x14ac:dyDescent="0.25">
      <c r="B81" s="141">
        <v>70</v>
      </c>
      <c r="C81" s="666"/>
      <c r="D81" s="172"/>
      <c r="E81" s="498" t="str">
        <f>IF(C81="","",VLOOKUP(C81,'G-7 Rivers Data'!$B$2:$Z$9,2,FALSE))</f>
        <v/>
      </c>
      <c r="F81" s="499" t="str">
        <f>IFERROR(VLOOKUP(E81,'G-7 Rivers Data'!$C$4:$D$8,2,FALSE),"")</f>
        <v/>
      </c>
      <c r="G81" s="145"/>
      <c r="H81" s="499" t="str">
        <f>IFERROR(INDEX('G-7 Rivers Data'!$H$4:$L$8,MATCH(C81,'G-7 Rivers Data'!$B$4:$B$8,0),MATCH(G81,'G-7 Rivers Data'!$H$3:$L$3,0)),"")</f>
        <v/>
      </c>
      <c r="I81" s="145"/>
      <c r="J81" s="540" t="str">
        <f>IF(I81="","",IF(VLOOKUP(I81,'G-7 Rivers Data'!$AG$4:$AI$9,2,FALSE)=0,"Spatial Data Missing ⚠",VLOOKUP(I81,'G-7 Rivers Data'!$AG$4:$AI$9,2,FALSE)))</f>
        <v/>
      </c>
      <c r="K81" s="499" t="str">
        <f>IF(I81="","",IF(VLOOKUP(I81,'G-7 Rivers Data'!$AG$4:$AI$9,3,FALSE)=0,"Spatial Data Missing ⚠",VLOOKUP(I81,'G-7 Rivers Data'!$AG$4:$AI$9,3,FALSE)))</f>
        <v/>
      </c>
      <c r="L81" s="635" t="str">
        <f>IFERROR(INDEX('G-7 Rivers Data'!$O$3:$O$7,MATCH(G81,'G-7 Rivers Data'!$N$3:$N$7,0)),"")</f>
        <v/>
      </c>
      <c r="M81" s="7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154"/>
      <c r="AA81" s="524" t="str">
        <f>IF(Z81="","",VLOOKUP(Z81,'G-7 Rivers Data'!$AO$4:$AP$7,2,FALSE))</f>
        <v/>
      </c>
      <c r="AB81" s="545" t="str">
        <f t="shared" si="12"/>
        <v/>
      </c>
      <c r="AC81" s="149"/>
      <c r="AD81" s="150"/>
      <c r="AK81" s="31" t="str">
        <f>IFERROR(INDEX('G-7 Rivers Data'!$AZ$3:$AZ$7,MATCH(C81,'G-7 Rivers Data'!$AY$3:$AY$7,0)),"")</f>
        <v/>
      </c>
    </row>
    <row r="82" spans="2:37" ht="13.8" x14ac:dyDescent="0.25">
      <c r="B82" s="141">
        <v>71</v>
      </c>
      <c r="C82" s="666"/>
      <c r="D82" s="172"/>
      <c r="E82" s="498" t="str">
        <f>IF(C82="","",VLOOKUP(C82,'G-7 Rivers Data'!$B$2:$Z$9,2,FALSE))</f>
        <v/>
      </c>
      <c r="F82" s="499" t="str">
        <f>IFERROR(VLOOKUP(E82,'G-7 Rivers Data'!$C$4:$D$8,2,FALSE),"")</f>
        <v/>
      </c>
      <c r="G82" s="145"/>
      <c r="H82" s="499" t="str">
        <f>IFERROR(INDEX('G-7 Rivers Data'!$H$4:$L$8,MATCH(C82,'G-7 Rivers Data'!$B$4:$B$8,0),MATCH(G82,'G-7 Rivers Data'!$H$3:$L$3,0)),"")</f>
        <v/>
      </c>
      <c r="I82" s="145"/>
      <c r="J82" s="540" t="str">
        <f>IF(I82="","",IF(VLOOKUP(I82,'G-7 Rivers Data'!$AG$4:$AI$9,2,FALSE)=0,"Spatial Data Missing ⚠",VLOOKUP(I82,'G-7 Rivers Data'!$AG$4:$AI$9,2,FALSE)))</f>
        <v/>
      </c>
      <c r="K82" s="499" t="str">
        <f>IF(I82="","",IF(VLOOKUP(I82,'G-7 Rivers Data'!$AG$4:$AI$9,3,FALSE)=0,"Spatial Data Missing ⚠",VLOOKUP(I82,'G-7 Rivers Data'!$AG$4:$AI$9,3,FALSE)))</f>
        <v/>
      </c>
      <c r="L82" s="635" t="str">
        <f>IFERROR(INDEX('G-7 Rivers Data'!$O$3:$O$7,MATCH(G82,'G-7 Rivers Data'!$N$3:$N$7,0)),"")</f>
        <v/>
      </c>
      <c r="M82" s="7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154"/>
      <c r="AA82" s="524" t="str">
        <f>IF(Z82="","",VLOOKUP(Z82,'G-7 Rivers Data'!$AO$4:$AP$7,2,FALSE))</f>
        <v/>
      </c>
      <c r="AB82" s="545" t="str">
        <f t="shared" si="12"/>
        <v/>
      </c>
      <c r="AC82" s="149"/>
      <c r="AD82" s="150"/>
      <c r="AK82" s="31" t="str">
        <f>IFERROR(INDEX('G-7 Rivers Data'!$AZ$3:$AZ$7,MATCH(C82,'G-7 Rivers Data'!$AY$3:$AY$7,0)),"")</f>
        <v/>
      </c>
    </row>
    <row r="83" spans="2:37" ht="13.8" x14ac:dyDescent="0.25">
      <c r="B83" s="141">
        <v>72</v>
      </c>
      <c r="C83" s="666"/>
      <c r="D83" s="172"/>
      <c r="E83" s="498" t="str">
        <f>IF(C83="","",VLOOKUP(C83,'G-7 Rivers Data'!$B$2:$Z$9,2,FALSE))</f>
        <v/>
      </c>
      <c r="F83" s="499" t="str">
        <f>IFERROR(VLOOKUP(E83,'G-7 Rivers Data'!$C$4:$D$8,2,FALSE),"")</f>
        <v/>
      </c>
      <c r="G83" s="145"/>
      <c r="H83" s="499" t="str">
        <f>IFERROR(INDEX('G-7 Rivers Data'!$H$4:$L$8,MATCH(C83,'G-7 Rivers Data'!$B$4:$B$8,0),MATCH(G83,'G-7 Rivers Data'!$H$3:$L$3,0)),"")</f>
        <v/>
      </c>
      <c r="I83" s="145"/>
      <c r="J83" s="540" t="str">
        <f>IF(I83="","",IF(VLOOKUP(I83,'G-7 Rivers Data'!$AG$4:$AI$9,2,FALSE)=0,"Spatial Data Missing ⚠",VLOOKUP(I83,'G-7 Rivers Data'!$AG$4:$AI$9,2,FALSE)))</f>
        <v/>
      </c>
      <c r="K83" s="499" t="str">
        <f>IF(I83="","",IF(VLOOKUP(I83,'G-7 Rivers Data'!$AG$4:$AI$9,3,FALSE)=0,"Spatial Data Missing ⚠",VLOOKUP(I83,'G-7 Rivers Data'!$AG$4:$AI$9,3,FALSE)))</f>
        <v/>
      </c>
      <c r="L83" s="635" t="str">
        <f>IFERROR(INDEX('G-7 Rivers Data'!$O$3:$O$7,MATCH(G83,'G-7 Rivers Data'!$N$3:$N$7,0)),"")</f>
        <v/>
      </c>
      <c r="M83" s="7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154"/>
      <c r="AA83" s="524" t="str">
        <f>IF(Z83="","",VLOOKUP(Z83,'G-7 Rivers Data'!$AO$4:$AP$7,2,FALSE))</f>
        <v/>
      </c>
      <c r="AB83" s="545" t="str">
        <f t="shared" si="12"/>
        <v/>
      </c>
      <c r="AC83" s="149"/>
      <c r="AD83" s="150"/>
      <c r="AK83" s="31" t="str">
        <f>IFERROR(INDEX('G-7 Rivers Data'!$AZ$3:$AZ$7,MATCH(C83,'G-7 Rivers Data'!$AY$3:$AY$7,0)),"")</f>
        <v/>
      </c>
    </row>
    <row r="84" spans="2:37" ht="13.8" x14ac:dyDescent="0.25">
      <c r="B84" s="141">
        <v>73</v>
      </c>
      <c r="C84" s="666"/>
      <c r="D84" s="172"/>
      <c r="E84" s="498" t="str">
        <f>IF(C84="","",VLOOKUP(C84,'G-7 Rivers Data'!$B$2:$Z$9,2,FALSE))</f>
        <v/>
      </c>
      <c r="F84" s="499" t="str">
        <f>IFERROR(VLOOKUP(E84,'G-7 Rivers Data'!$C$4:$D$8,2,FALSE),"")</f>
        <v/>
      </c>
      <c r="G84" s="145"/>
      <c r="H84" s="499" t="str">
        <f>IFERROR(INDEX('G-7 Rivers Data'!$H$4:$L$8,MATCH(C84,'G-7 Rivers Data'!$B$4:$B$8,0),MATCH(G84,'G-7 Rivers Data'!$H$3:$L$3,0)),"")</f>
        <v/>
      </c>
      <c r="I84" s="145"/>
      <c r="J84" s="540" t="str">
        <f>IF(I84="","",IF(VLOOKUP(I84,'G-7 Rivers Data'!$AG$4:$AI$9,2,FALSE)=0,"Spatial Data Missing ⚠",VLOOKUP(I84,'G-7 Rivers Data'!$AG$4:$AI$9,2,FALSE)))</f>
        <v/>
      </c>
      <c r="K84" s="499" t="str">
        <f>IF(I84="","",IF(VLOOKUP(I84,'G-7 Rivers Data'!$AG$4:$AI$9,3,FALSE)=0,"Spatial Data Missing ⚠",VLOOKUP(I84,'G-7 Rivers Data'!$AG$4:$AI$9,3,FALSE)))</f>
        <v/>
      </c>
      <c r="L84" s="635" t="str">
        <f>IFERROR(INDEX('G-7 Rivers Data'!$O$3:$O$7,MATCH(G84,'G-7 Rivers Data'!$N$3:$N$7,0)),"")</f>
        <v/>
      </c>
      <c r="M84" s="7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154"/>
      <c r="AA84" s="524" t="str">
        <f>IF(Z84="","",VLOOKUP(Z84,'G-7 Rivers Data'!$AO$4:$AP$7,2,FALSE))</f>
        <v/>
      </c>
      <c r="AB84" s="545" t="str">
        <f t="shared" si="12"/>
        <v/>
      </c>
      <c r="AC84" s="149"/>
      <c r="AD84" s="150"/>
      <c r="AK84" s="31" t="str">
        <f>IFERROR(INDEX('G-7 Rivers Data'!$AZ$3:$AZ$7,MATCH(C84,'G-7 Rivers Data'!$AY$3:$AY$7,0)),"")</f>
        <v/>
      </c>
    </row>
    <row r="85" spans="2:37" ht="13.8" x14ac:dyDescent="0.25">
      <c r="B85" s="141">
        <v>74</v>
      </c>
      <c r="C85" s="666"/>
      <c r="D85" s="172"/>
      <c r="E85" s="498" t="str">
        <f>IF(C85="","",VLOOKUP(C85,'G-7 Rivers Data'!$B$2:$Z$9,2,FALSE))</f>
        <v/>
      </c>
      <c r="F85" s="499" t="str">
        <f>IFERROR(VLOOKUP(E85,'G-7 Rivers Data'!$C$4:$D$8,2,FALSE),"")</f>
        <v/>
      </c>
      <c r="G85" s="145"/>
      <c r="H85" s="499" t="str">
        <f>IFERROR(INDEX('G-7 Rivers Data'!$H$4:$L$8,MATCH(C85,'G-7 Rivers Data'!$B$4:$B$8,0),MATCH(G85,'G-7 Rivers Data'!$H$3:$L$3,0)),"")</f>
        <v/>
      </c>
      <c r="I85" s="145"/>
      <c r="J85" s="540" t="str">
        <f>IF(I85="","",IF(VLOOKUP(I85,'G-7 Rivers Data'!$AG$4:$AI$9,2,FALSE)=0,"Spatial Data Missing ⚠",VLOOKUP(I85,'G-7 Rivers Data'!$AG$4:$AI$9,2,FALSE)))</f>
        <v/>
      </c>
      <c r="K85" s="499" t="str">
        <f>IF(I85="","",IF(VLOOKUP(I85,'G-7 Rivers Data'!$AG$4:$AI$9,3,FALSE)=0,"Spatial Data Missing ⚠",VLOOKUP(I85,'G-7 Rivers Data'!$AG$4:$AI$9,3,FALSE)))</f>
        <v/>
      </c>
      <c r="L85" s="635" t="str">
        <f>IFERROR(INDEX('G-7 Rivers Data'!$O$3:$O$7,MATCH(G85,'G-7 Rivers Data'!$N$3:$N$7,0)),"")</f>
        <v/>
      </c>
      <c r="M85" s="7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154"/>
      <c r="AA85" s="524" t="str">
        <f>IF(Z85="","",VLOOKUP(Z85,'G-7 Rivers Data'!$AO$4:$AP$7,2,FALSE))</f>
        <v/>
      </c>
      <c r="AB85" s="545" t="str">
        <f t="shared" si="12"/>
        <v/>
      </c>
      <c r="AC85" s="149"/>
      <c r="AD85" s="150"/>
      <c r="AK85" s="31" t="str">
        <f>IFERROR(INDEX('G-7 Rivers Data'!$AZ$3:$AZ$7,MATCH(C85,'G-7 Rivers Data'!$AY$3:$AY$7,0)),"")</f>
        <v/>
      </c>
    </row>
    <row r="86" spans="2:37" ht="13.8" x14ac:dyDescent="0.25">
      <c r="B86" s="141">
        <v>75</v>
      </c>
      <c r="C86" s="666"/>
      <c r="D86" s="172"/>
      <c r="E86" s="498" t="str">
        <f>IF(C86="","",VLOOKUP(C86,'G-7 Rivers Data'!$B$2:$Z$9,2,FALSE))</f>
        <v/>
      </c>
      <c r="F86" s="499" t="str">
        <f>IFERROR(VLOOKUP(E86,'G-7 Rivers Data'!$C$4:$D$8,2,FALSE),"")</f>
        <v/>
      </c>
      <c r="G86" s="145"/>
      <c r="H86" s="499" t="str">
        <f>IFERROR(INDEX('G-7 Rivers Data'!$H$4:$L$8,MATCH(C86,'G-7 Rivers Data'!$B$4:$B$8,0),MATCH(G86,'G-7 Rivers Data'!$H$3:$L$3,0)),"")</f>
        <v/>
      </c>
      <c r="I86" s="145"/>
      <c r="J86" s="540" t="str">
        <f>IF(I86="","",IF(VLOOKUP(I86,'G-7 Rivers Data'!$AG$4:$AI$9,2,FALSE)=0,"Spatial Data Missing ⚠",VLOOKUP(I86,'G-7 Rivers Data'!$AG$4:$AI$9,2,FALSE)))</f>
        <v/>
      </c>
      <c r="K86" s="499" t="str">
        <f>IF(I86="","",IF(VLOOKUP(I86,'G-7 Rivers Data'!$AG$4:$AI$9,3,FALSE)=0,"Spatial Data Missing ⚠",VLOOKUP(I86,'G-7 Rivers Data'!$AG$4:$AI$9,3,FALSE)))</f>
        <v/>
      </c>
      <c r="L86" s="635" t="str">
        <f>IFERROR(INDEX('G-7 Rivers Data'!$O$3:$O$7,MATCH(G86,'G-7 Rivers Data'!$N$3:$N$7,0)),"")</f>
        <v/>
      </c>
      <c r="M86" s="7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154"/>
      <c r="AA86" s="524" t="str">
        <f>IF(Z86="","",VLOOKUP(Z86,'G-7 Rivers Data'!$AO$4:$AP$7,2,FALSE))</f>
        <v/>
      </c>
      <c r="AB86" s="545" t="str">
        <f t="shared" si="12"/>
        <v/>
      </c>
      <c r="AC86" s="149"/>
      <c r="AD86" s="150"/>
      <c r="AK86" s="31" t="str">
        <f>IFERROR(INDEX('G-7 Rivers Data'!$AZ$3:$AZ$7,MATCH(C86,'G-7 Rivers Data'!$AY$3:$AY$7,0)),"")</f>
        <v/>
      </c>
    </row>
    <row r="87" spans="2:37" ht="13.8" x14ac:dyDescent="0.25">
      <c r="B87" s="141">
        <v>76</v>
      </c>
      <c r="C87" s="666"/>
      <c r="D87" s="172"/>
      <c r="E87" s="498" t="str">
        <f>IF(C87="","",VLOOKUP(C87,'G-7 Rivers Data'!$B$2:$Z$9,2,FALSE))</f>
        <v/>
      </c>
      <c r="F87" s="499" t="str">
        <f>IFERROR(VLOOKUP(E87,'G-7 Rivers Data'!$C$4:$D$8,2,FALSE),"")</f>
        <v/>
      </c>
      <c r="G87" s="145"/>
      <c r="H87" s="499" t="str">
        <f>IFERROR(INDEX('G-7 Rivers Data'!$H$4:$L$8,MATCH(C87,'G-7 Rivers Data'!$B$4:$B$8,0),MATCH(G87,'G-7 Rivers Data'!$H$3:$L$3,0)),"")</f>
        <v/>
      </c>
      <c r="I87" s="145"/>
      <c r="J87" s="540" t="str">
        <f>IF(I87="","",IF(VLOOKUP(I87,'G-7 Rivers Data'!$AG$4:$AI$9,2,FALSE)=0,"Spatial Data Missing ⚠",VLOOKUP(I87,'G-7 Rivers Data'!$AG$4:$AI$9,2,FALSE)))</f>
        <v/>
      </c>
      <c r="K87" s="499" t="str">
        <f>IF(I87="","",IF(VLOOKUP(I87,'G-7 Rivers Data'!$AG$4:$AI$9,3,FALSE)=0,"Spatial Data Missing ⚠",VLOOKUP(I87,'G-7 Rivers Data'!$AG$4:$AI$9,3,FALSE)))</f>
        <v/>
      </c>
      <c r="L87" s="635" t="str">
        <f>IFERROR(INDEX('G-7 Rivers Data'!$O$3:$O$7,MATCH(G87,'G-7 Rivers Data'!$N$3:$N$7,0)),"")</f>
        <v/>
      </c>
      <c r="M87" s="7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154"/>
      <c r="AA87" s="524" t="str">
        <f>IF(Z87="","",VLOOKUP(Z87,'G-7 Rivers Data'!$AO$4:$AP$7,2,FALSE))</f>
        <v/>
      </c>
      <c r="AB87" s="545" t="str">
        <f t="shared" si="12"/>
        <v/>
      </c>
      <c r="AC87" s="149"/>
      <c r="AD87" s="150"/>
      <c r="AK87" s="31" t="str">
        <f>IFERROR(INDEX('G-7 Rivers Data'!$AZ$3:$AZ$7,MATCH(C87,'G-7 Rivers Data'!$AY$3:$AY$7,0)),"")</f>
        <v/>
      </c>
    </row>
    <row r="88" spans="2:37" ht="13.8" x14ac:dyDescent="0.25">
      <c r="B88" s="141">
        <v>77</v>
      </c>
      <c r="C88" s="666"/>
      <c r="D88" s="172"/>
      <c r="E88" s="498" t="str">
        <f>IF(C88="","",VLOOKUP(C88,'G-7 Rivers Data'!$B$2:$Z$9,2,FALSE))</f>
        <v/>
      </c>
      <c r="F88" s="499" t="str">
        <f>IFERROR(VLOOKUP(E88,'G-7 Rivers Data'!$C$4:$D$8,2,FALSE),"")</f>
        <v/>
      </c>
      <c r="G88" s="145"/>
      <c r="H88" s="499" t="str">
        <f>IFERROR(INDEX('G-7 Rivers Data'!$H$4:$L$8,MATCH(C88,'G-7 Rivers Data'!$B$4:$B$8,0),MATCH(G88,'G-7 Rivers Data'!$H$3:$L$3,0)),"")</f>
        <v/>
      </c>
      <c r="I88" s="145"/>
      <c r="J88" s="540" t="str">
        <f>IF(I88="","",IF(VLOOKUP(I88,'G-7 Rivers Data'!$AG$4:$AI$9,2,FALSE)=0,"Spatial Data Missing ⚠",VLOOKUP(I88,'G-7 Rivers Data'!$AG$4:$AI$9,2,FALSE)))</f>
        <v/>
      </c>
      <c r="K88" s="499" t="str">
        <f>IF(I88="","",IF(VLOOKUP(I88,'G-7 Rivers Data'!$AG$4:$AI$9,3,FALSE)=0,"Spatial Data Missing ⚠",VLOOKUP(I88,'G-7 Rivers Data'!$AG$4:$AI$9,3,FALSE)))</f>
        <v/>
      </c>
      <c r="L88" s="635" t="str">
        <f>IFERROR(INDEX('G-7 Rivers Data'!$O$3:$O$7,MATCH(G88,'G-7 Rivers Data'!$N$3:$N$7,0)),"")</f>
        <v/>
      </c>
      <c r="M88" s="7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154"/>
      <c r="AA88" s="524" t="str">
        <f>IF(Z88="","",VLOOKUP(Z88,'G-7 Rivers Data'!$AO$4:$AP$7,2,FALSE))</f>
        <v/>
      </c>
      <c r="AB88" s="545" t="str">
        <f t="shared" si="12"/>
        <v/>
      </c>
      <c r="AC88" s="149"/>
      <c r="AD88" s="150"/>
      <c r="AK88" s="31" t="str">
        <f>IFERROR(INDEX('G-7 Rivers Data'!$AZ$3:$AZ$7,MATCH(C88,'G-7 Rivers Data'!$AY$3:$AY$7,0)),"")</f>
        <v/>
      </c>
    </row>
    <row r="89" spans="2:37" ht="13.8" x14ac:dyDescent="0.25">
      <c r="B89" s="141">
        <v>78</v>
      </c>
      <c r="C89" s="666"/>
      <c r="D89" s="172"/>
      <c r="E89" s="498" t="str">
        <f>IF(C89="","",VLOOKUP(C89,'G-7 Rivers Data'!$B$2:$Z$9,2,FALSE))</f>
        <v/>
      </c>
      <c r="F89" s="499" t="str">
        <f>IFERROR(VLOOKUP(E89,'G-7 Rivers Data'!$C$4:$D$8,2,FALSE),"")</f>
        <v/>
      </c>
      <c r="G89" s="145"/>
      <c r="H89" s="499" t="str">
        <f>IFERROR(INDEX('G-7 Rivers Data'!$H$4:$L$8,MATCH(C89,'G-7 Rivers Data'!$B$4:$B$8,0),MATCH(G89,'G-7 Rivers Data'!$H$3:$L$3,0)),"")</f>
        <v/>
      </c>
      <c r="I89" s="145"/>
      <c r="J89" s="540" t="str">
        <f>IF(I89="","",IF(VLOOKUP(I89,'G-7 Rivers Data'!$AG$4:$AI$9,2,FALSE)=0,"Spatial Data Missing ⚠",VLOOKUP(I89,'G-7 Rivers Data'!$AG$4:$AI$9,2,FALSE)))</f>
        <v/>
      </c>
      <c r="K89" s="499" t="str">
        <f>IF(I89="","",IF(VLOOKUP(I89,'G-7 Rivers Data'!$AG$4:$AI$9,3,FALSE)=0,"Spatial Data Missing ⚠",VLOOKUP(I89,'G-7 Rivers Data'!$AG$4:$AI$9,3,FALSE)))</f>
        <v/>
      </c>
      <c r="L89" s="635" t="str">
        <f>IFERROR(INDEX('G-7 Rivers Data'!$O$3:$O$7,MATCH(G89,'G-7 Rivers Data'!$N$3:$N$7,0)),"")</f>
        <v/>
      </c>
      <c r="M89" s="7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154"/>
      <c r="AA89" s="524" t="str">
        <f>IF(Z89="","",VLOOKUP(Z89,'G-7 Rivers Data'!$AO$4:$AP$7,2,FALSE))</f>
        <v/>
      </c>
      <c r="AB89" s="545" t="str">
        <f t="shared" si="12"/>
        <v/>
      </c>
      <c r="AC89" s="149"/>
      <c r="AD89" s="150"/>
      <c r="AK89" s="31" t="str">
        <f>IFERROR(INDEX('G-7 Rivers Data'!$AZ$3:$AZ$7,MATCH(C89,'G-7 Rivers Data'!$AY$3:$AY$7,0)),"")</f>
        <v/>
      </c>
    </row>
    <row r="90" spans="2:37" ht="13.8" x14ac:dyDescent="0.25">
      <c r="B90" s="141">
        <v>79</v>
      </c>
      <c r="C90" s="666"/>
      <c r="D90" s="172"/>
      <c r="E90" s="498" t="str">
        <f>IF(C90="","",VLOOKUP(C90,'G-7 Rivers Data'!$B$2:$Z$9,2,FALSE))</f>
        <v/>
      </c>
      <c r="F90" s="499" t="str">
        <f>IFERROR(VLOOKUP(E90,'G-7 Rivers Data'!$C$4:$D$8,2,FALSE),"")</f>
        <v/>
      </c>
      <c r="G90" s="145"/>
      <c r="H90" s="499" t="str">
        <f>IFERROR(INDEX('G-7 Rivers Data'!$H$4:$L$8,MATCH(C90,'G-7 Rivers Data'!$B$4:$B$8,0),MATCH(G90,'G-7 Rivers Data'!$H$3:$L$3,0)),"")</f>
        <v/>
      </c>
      <c r="I90" s="145"/>
      <c r="J90" s="540" t="str">
        <f>IF(I90="","",IF(VLOOKUP(I90,'G-7 Rivers Data'!$AG$4:$AI$9,2,FALSE)=0,"Spatial Data Missing ⚠",VLOOKUP(I90,'G-7 Rivers Data'!$AG$4:$AI$9,2,FALSE)))</f>
        <v/>
      </c>
      <c r="K90" s="499" t="str">
        <f>IF(I90="","",IF(VLOOKUP(I90,'G-7 Rivers Data'!$AG$4:$AI$9,3,FALSE)=0,"Spatial Data Missing ⚠",VLOOKUP(I90,'G-7 Rivers Data'!$AG$4:$AI$9,3,FALSE)))</f>
        <v/>
      </c>
      <c r="L90" s="635" t="str">
        <f>IFERROR(INDEX('G-7 Rivers Data'!$O$3:$O$7,MATCH(G90,'G-7 Rivers Data'!$N$3:$N$7,0)),"")</f>
        <v/>
      </c>
      <c r="M90" s="7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154"/>
      <c r="AA90" s="524" t="str">
        <f>IF(Z90="","",VLOOKUP(Z90,'G-7 Rivers Data'!$AO$4:$AP$7,2,FALSE))</f>
        <v/>
      </c>
      <c r="AB90" s="545" t="str">
        <f t="shared" si="12"/>
        <v/>
      </c>
      <c r="AC90" s="149"/>
      <c r="AD90" s="150"/>
      <c r="AK90" s="31" t="str">
        <f>IFERROR(INDEX('G-7 Rivers Data'!$AZ$3:$AZ$7,MATCH(C90,'G-7 Rivers Data'!$AY$3:$AY$7,0)),"")</f>
        <v/>
      </c>
    </row>
    <row r="91" spans="2:37" ht="13.8" x14ac:dyDescent="0.25">
      <c r="B91" s="141">
        <v>80</v>
      </c>
      <c r="C91" s="666"/>
      <c r="D91" s="172"/>
      <c r="E91" s="498" t="str">
        <f>IF(C91="","",VLOOKUP(C91,'G-7 Rivers Data'!$B$2:$Z$9,2,FALSE))</f>
        <v/>
      </c>
      <c r="F91" s="499" t="str">
        <f>IFERROR(VLOOKUP(E91,'G-7 Rivers Data'!$C$4:$D$8,2,FALSE),"")</f>
        <v/>
      </c>
      <c r="G91" s="145"/>
      <c r="H91" s="499" t="str">
        <f>IFERROR(INDEX('G-7 Rivers Data'!$H$4:$L$8,MATCH(C91,'G-7 Rivers Data'!$B$4:$B$8,0),MATCH(G91,'G-7 Rivers Data'!$H$3:$L$3,0)),"")</f>
        <v/>
      </c>
      <c r="I91" s="145"/>
      <c r="J91" s="540" t="str">
        <f>IF(I91="","",IF(VLOOKUP(I91,'G-7 Rivers Data'!$AG$4:$AI$9,2,FALSE)=0,"Spatial Data Missing ⚠",VLOOKUP(I91,'G-7 Rivers Data'!$AG$4:$AI$9,2,FALSE)))</f>
        <v/>
      </c>
      <c r="K91" s="499" t="str">
        <f>IF(I91="","",IF(VLOOKUP(I91,'G-7 Rivers Data'!$AG$4:$AI$9,3,FALSE)=0,"Spatial Data Missing ⚠",VLOOKUP(I91,'G-7 Rivers Data'!$AG$4:$AI$9,3,FALSE)))</f>
        <v/>
      </c>
      <c r="L91" s="635" t="str">
        <f>IFERROR(INDEX('G-7 Rivers Data'!$O$3:$O$7,MATCH(G91,'G-7 Rivers Data'!$N$3:$N$7,0)),"")</f>
        <v/>
      </c>
      <c r="M91" s="7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154"/>
      <c r="AA91" s="524" t="str">
        <f>IF(Z91="","",VLOOKUP(Z91,'G-7 Rivers Data'!$AO$4:$AP$7,2,FALSE))</f>
        <v/>
      </c>
      <c r="AB91" s="545" t="str">
        <f t="shared" si="12"/>
        <v/>
      </c>
      <c r="AC91" s="149"/>
      <c r="AD91" s="150"/>
      <c r="AK91" s="31" t="str">
        <f>IFERROR(INDEX('G-7 Rivers Data'!$AZ$3:$AZ$7,MATCH(C91,'G-7 Rivers Data'!$AY$3:$AY$7,0)),"")</f>
        <v/>
      </c>
    </row>
    <row r="92" spans="2:37" ht="13.8" x14ac:dyDescent="0.25">
      <c r="B92" s="141">
        <v>81</v>
      </c>
      <c r="C92" s="666"/>
      <c r="D92" s="172"/>
      <c r="E92" s="498" t="str">
        <f>IF(C92="","",VLOOKUP(C92,'G-7 Rivers Data'!$B$2:$Z$9,2,FALSE))</f>
        <v/>
      </c>
      <c r="F92" s="499" t="str">
        <f>IFERROR(VLOOKUP(E92,'G-7 Rivers Data'!$C$4:$D$8,2,FALSE),"")</f>
        <v/>
      </c>
      <c r="G92" s="145"/>
      <c r="H92" s="499" t="str">
        <f>IFERROR(INDEX('G-7 Rivers Data'!$H$4:$L$8,MATCH(C92,'G-7 Rivers Data'!$B$4:$B$8,0),MATCH(G92,'G-7 Rivers Data'!$H$3:$L$3,0)),"")</f>
        <v/>
      </c>
      <c r="I92" s="145"/>
      <c r="J92" s="540" t="str">
        <f>IF(I92="","",IF(VLOOKUP(I92,'G-7 Rivers Data'!$AG$4:$AI$9,2,FALSE)=0,"Spatial Data Missing ⚠",VLOOKUP(I92,'G-7 Rivers Data'!$AG$4:$AI$9,2,FALSE)))</f>
        <v/>
      </c>
      <c r="K92" s="499" t="str">
        <f>IF(I92="","",IF(VLOOKUP(I92,'G-7 Rivers Data'!$AG$4:$AI$9,3,FALSE)=0,"Spatial Data Missing ⚠",VLOOKUP(I92,'G-7 Rivers Data'!$AG$4:$AI$9,3,FALSE)))</f>
        <v/>
      </c>
      <c r="L92" s="635" t="str">
        <f>IFERROR(INDEX('G-7 Rivers Data'!$O$3:$O$7,MATCH(G92,'G-7 Rivers Data'!$N$3:$N$7,0)),"")</f>
        <v/>
      </c>
      <c r="M92" s="7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154"/>
      <c r="AA92" s="524" t="str">
        <f>IF(Z92="","",VLOOKUP(Z92,'G-7 Rivers Data'!$AO$4:$AP$7,2,FALSE))</f>
        <v/>
      </c>
      <c r="AB92" s="545" t="str">
        <f t="shared" si="12"/>
        <v/>
      </c>
      <c r="AC92" s="149"/>
      <c r="AD92" s="150"/>
      <c r="AK92" s="31" t="str">
        <f>IFERROR(INDEX('G-7 Rivers Data'!$AZ$3:$AZ$7,MATCH(C92,'G-7 Rivers Data'!$AY$3:$AY$7,0)),"")</f>
        <v/>
      </c>
    </row>
    <row r="93" spans="2:37" ht="13.8" x14ac:dyDescent="0.25">
      <c r="B93" s="141">
        <v>82</v>
      </c>
      <c r="C93" s="666"/>
      <c r="D93" s="172"/>
      <c r="E93" s="498" t="str">
        <f>IF(C93="","",VLOOKUP(C93,'G-7 Rivers Data'!$B$2:$Z$9,2,FALSE))</f>
        <v/>
      </c>
      <c r="F93" s="499" t="str">
        <f>IFERROR(VLOOKUP(E93,'G-7 Rivers Data'!$C$4:$D$8,2,FALSE),"")</f>
        <v/>
      </c>
      <c r="G93" s="145"/>
      <c r="H93" s="499" t="str">
        <f>IFERROR(INDEX('G-7 Rivers Data'!$H$4:$L$8,MATCH(C93,'G-7 Rivers Data'!$B$4:$B$8,0),MATCH(G93,'G-7 Rivers Data'!$H$3:$L$3,0)),"")</f>
        <v/>
      </c>
      <c r="I93" s="145"/>
      <c r="J93" s="540" t="str">
        <f>IF(I93="","",IF(VLOOKUP(I93,'G-7 Rivers Data'!$AG$4:$AI$9,2,FALSE)=0,"Spatial Data Missing ⚠",VLOOKUP(I93,'G-7 Rivers Data'!$AG$4:$AI$9,2,FALSE)))</f>
        <v/>
      </c>
      <c r="K93" s="499" t="str">
        <f>IF(I93="","",IF(VLOOKUP(I93,'G-7 Rivers Data'!$AG$4:$AI$9,3,FALSE)=0,"Spatial Data Missing ⚠",VLOOKUP(I93,'G-7 Rivers Data'!$AG$4:$AI$9,3,FALSE)))</f>
        <v/>
      </c>
      <c r="L93" s="635" t="str">
        <f>IFERROR(INDEX('G-7 Rivers Data'!$O$3:$O$7,MATCH(G93,'G-7 Rivers Data'!$N$3:$N$7,0)),"")</f>
        <v/>
      </c>
      <c r="M93" s="7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154"/>
      <c r="AA93" s="524" t="str">
        <f>IF(Z93="","",VLOOKUP(Z93,'G-7 Rivers Data'!$AO$4:$AP$7,2,FALSE))</f>
        <v/>
      </c>
      <c r="AB93" s="545" t="str">
        <f t="shared" si="12"/>
        <v/>
      </c>
      <c r="AC93" s="149"/>
      <c r="AD93" s="150"/>
      <c r="AK93" s="31" t="str">
        <f>IFERROR(INDEX('G-7 Rivers Data'!$AZ$3:$AZ$7,MATCH(C93,'G-7 Rivers Data'!$AY$3:$AY$7,0)),"")</f>
        <v/>
      </c>
    </row>
    <row r="94" spans="2:37" ht="13.8" x14ac:dyDescent="0.25">
      <c r="B94" s="141">
        <v>83</v>
      </c>
      <c r="C94" s="666"/>
      <c r="D94" s="172"/>
      <c r="E94" s="498" t="str">
        <f>IF(C94="","",VLOOKUP(C94,'G-7 Rivers Data'!$B$2:$Z$9,2,FALSE))</f>
        <v/>
      </c>
      <c r="F94" s="499" t="str">
        <f>IFERROR(VLOOKUP(E94,'G-7 Rivers Data'!$C$4:$D$8,2,FALSE),"")</f>
        <v/>
      </c>
      <c r="G94" s="145"/>
      <c r="H94" s="499" t="str">
        <f>IFERROR(INDEX('G-7 Rivers Data'!$H$4:$L$8,MATCH(C94,'G-7 Rivers Data'!$B$4:$B$8,0),MATCH(G94,'G-7 Rivers Data'!$H$3:$L$3,0)),"")</f>
        <v/>
      </c>
      <c r="I94" s="145"/>
      <c r="J94" s="540" t="str">
        <f>IF(I94="","",IF(VLOOKUP(I94,'G-7 Rivers Data'!$AG$4:$AI$9,2,FALSE)=0,"Spatial Data Missing ⚠",VLOOKUP(I94,'G-7 Rivers Data'!$AG$4:$AI$9,2,FALSE)))</f>
        <v/>
      </c>
      <c r="K94" s="499" t="str">
        <f>IF(I94="","",IF(VLOOKUP(I94,'G-7 Rivers Data'!$AG$4:$AI$9,3,FALSE)=0,"Spatial Data Missing ⚠",VLOOKUP(I94,'G-7 Rivers Data'!$AG$4:$AI$9,3,FALSE)))</f>
        <v/>
      </c>
      <c r="L94" s="635" t="str">
        <f>IFERROR(INDEX('G-7 Rivers Data'!$O$3:$O$7,MATCH(G94,'G-7 Rivers Data'!$N$3:$N$7,0)),"")</f>
        <v/>
      </c>
      <c r="M94" s="7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154"/>
      <c r="AA94" s="524" t="str">
        <f>IF(Z94="","",VLOOKUP(Z94,'G-7 Rivers Data'!$AO$4:$AP$7,2,FALSE))</f>
        <v/>
      </c>
      <c r="AB94" s="545" t="str">
        <f t="shared" si="12"/>
        <v/>
      </c>
      <c r="AC94" s="149"/>
      <c r="AD94" s="150"/>
      <c r="AK94" s="31" t="str">
        <f>IFERROR(INDEX('G-7 Rivers Data'!$AZ$3:$AZ$7,MATCH(C94,'G-7 Rivers Data'!$AY$3:$AY$7,0)),"")</f>
        <v/>
      </c>
    </row>
    <row r="95" spans="2:37" ht="13.8" x14ac:dyDescent="0.25">
      <c r="B95" s="141">
        <v>84</v>
      </c>
      <c r="C95" s="666"/>
      <c r="D95" s="172"/>
      <c r="E95" s="498" t="str">
        <f>IF(C95="","",VLOOKUP(C95,'G-7 Rivers Data'!$B$2:$Z$9,2,FALSE))</f>
        <v/>
      </c>
      <c r="F95" s="499" t="str">
        <f>IFERROR(VLOOKUP(E95,'G-7 Rivers Data'!$C$4:$D$8,2,FALSE),"")</f>
        <v/>
      </c>
      <c r="G95" s="145"/>
      <c r="H95" s="499" t="str">
        <f>IFERROR(INDEX('G-7 Rivers Data'!$H$4:$L$8,MATCH(C95,'G-7 Rivers Data'!$B$4:$B$8,0),MATCH(G95,'G-7 Rivers Data'!$H$3:$L$3,0)),"")</f>
        <v/>
      </c>
      <c r="I95" s="145"/>
      <c r="J95" s="540" t="str">
        <f>IF(I95="","",IF(VLOOKUP(I95,'G-7 Rivers Data'!$AG$4:$AI$9,2,FALSE)=0,"Spatial Data Missing ⚠",VLOOKUP(I95,'G-7 Rivers Data'!$AG$4:$AI$9,2,FALSE)))</f>
        <v/>
      </c>
      <c r="K95" s="499" t="str">
        <f>IF(I95="","",IF(VLOOKUP(I95,'G-7 Rivers Data'!$AG$4:$AI$9,3,FALSE)=0,"Spatial Data Missing ⚠",VLOOKUP(I95,'G-7 Rivers Data'!$AG$4:$AI$9,3,FALSE)))</f>
        <v/>
      </c>
      <c r="L95" s="635" t="str">
        <f>IFERROR(INDEX('G-7 Rivers Data'!$O$3:$O$7,MATCH(G95,'G-7 Rivers Data'!$N$3:$N$7,0)),"")</f>
        <v/>
      </c>
      <c r="M95" s="7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154"/>
      <c r="AA95" s="524" t="str">
        <f>IF(Z95="","",VLOOKUP(Z95,'G-7 Rivers Data'!$AO$4:$AP$7,2,FALSE))</f>
        <v/>
      </c>
      <c r="AB95" s="545" t="str">
        <f t="shared" si="12"/>
        <v/>
      </c>
      <c r="AC95" s="149"/>
      <c r="AD95" s="150"/>
      <c r="AK95" s="31" t="str">
        <f>IFERROR(INDEX('G-7 Rivers Data'!$AZ$3:$AZ$7,MATCH(C95,'G-7 Rivers Data'!$AY$3:$AY$7,0)),"")</f>
        <v/>
      </c>
    </row>
    <row r="96" spans="2:37" ht="13.8" x14ac:dyDescent="0.25">
      <c r="B96" s="141">
        <v>85</v>
      </c>
      <c r="C96" s="666"/>
      <c r="D96" s="172"/>
      <c r="E96" s="498" t="str">
        <f>IF(C96="","",VLOOKUP(C96,'G-7 Rivers Data'!$B$2:$Z$9,2,FALSE))</f>
        <v/>
      </c>
      <c r="F96" s="499" t="str">
        <f>IFERROR(VLOOKUP(E96,'G-7 Rivers Data'!$C$4:$D$8,2,FALSE),"")</f>
        <v/>
      </c>
      <c r="G96" s="145"/>
      <c r="H96" s="499" t="str">
        <f>IFERROR(INDEX('G-7 Rivers Data'!$H$4:$L$8,MATCH(C96,'G-7 Rivers Data'!$B$4:$B$8,0),MATCH(G96,'G-7 Rivers Data'!$H$3:$L$3,0)),"")</f>
        <v/>
      </c>
      <c r="I96" s="145"/>
      <c r="J96" s="540" t="str">
        <f>IF(I96="","",IF(VLOOKUP(I96,'G-7 Rivers Data'!$AG$4:$AI$9,2,FALSE)=0,"Spatial Data Missing ⚠",VLOOKUP(I96,'G-7 Rivers Data'!$AG$4:$AI$9,2,FALSE)))</f>
        <v/>
      </c>
      <c r="K96" s="499" t="str">
        <f>IF(I96="","",IF(VLOOKUP(I96,'G-7 Rivers Data'!$AG$4:$AI$9,3,FALSE)=0,"Spatial Data Missing ⚠",VLOOKUP(I96,'G-7 Rivers Data'!$AG$4:$AI$9,3,FALSE)))</f>
        <v/>
      </c>
      <c r="L96" s="635" t="str">
        <f>IFERROR(INDEX('G-7 Rivers Data'!$O$3:$O$7,MATCH(G96,'G-7 Rivers Data'!$N$3:$N$7,0)),"")</f>
        <v/>
      </c>
      <c r="M96" s="7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154"/>
      <c r="AA96" s="524" t="str">
        <f>IF(Z96="","",VLOOKUP(Z96,'G-7 Rivers Data'!$AO$4:$AP$7,2,FALSE))</f>
        <v/>
      </c>
      <c r="AB96" s="545" t="str">
        <f t="shared" si="12"/>
        <v/>
      </c>
      <c r="AC96" s="149"/>
      <c r="AD96" s="150"/>
      <c r="AK96" s="31" t="str">
        <f>IFERROR(INDEX('G-7 Rivers Data'!$AZ$3:$AZ$7,MATCH(C96,'G-7 Rivers Data'!$AY$3:$AY$7,0)),"")</f>
        <v/>
      </c>
    </row>
    <row r="97" spans="2:37" ht="13.8" x14ac:dyDescent="0.25">
      <c r="B97" s="141">
        <v>86</v>
      </c>
      <c r="C97" s="666"/>
      <c r="D97" s="172"/>
      <c r="E97" s="498" t="str">
        <f>IF(C97="","",VLOOKUP(C97,'G-7 Rivers Data'!$B$2:$Z$9,2,FALSE))</f>
        <v/>
      </c>
      <c r="F97" s="499" t="str">
        <f>IFERROR(VLOOKUP(E97,'G-7 Rivers Data'!$C$4:$D$8,2,FALSE),"")</f>
        <v/>
      </c>
      <c r="G97" s="145"/>
      <c r="H97" s="499" t="str">
        <f>IFERROR(INDEX('G-7 Rivers Data'!$H$4:$L$8,MATCH(C97,'G-7 Rivers Data'!$B$4:$B$8,0),MATCH(G97,'G-7 Rivers Data'!$H$3:$L$3,0)),"")</f>
        <v/>
      </c>
      <c r="I97" s="145"/>
      <c r="J97" s="540" t="str">
        <f>IF(I97="","",IF(VLOOKUP(I97,'G-7 Rivers Data'!$AG$4:$AI$9,2,FALSE)=0,"Spatial Data Missing ⚠",VLOOKUP(I97,'G-7 Rivers Data'!$AG$4:$AI$9,2,FALSE)))</f>
        <v/>
      </c>
      <c r="K97" s="499" t="str">
        <f>IF(I97="","",IF(VLOOKUP(I97,'G-7 Rivers Data'!$AG$4:$AI$9,3,FALSE)=0,"Spatial Data Missing ⚠",VLOOKUP(I97,'G-7 Rivers Data'!$AG$4:$AI$9,3,FALSE)))</f>
        <v/>
      </c>
      <c r="L97" s="635" t="str">
        <f>IFERROR(INDEX('G-7 Rivers Data'!$O$3:$O$7,MATCH(G97,'G-7 Rivers Data'!$N$3:$N$7,0)),"")</f>
        <v/>
      </c>
      <c r="M97" s="7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154"/>
      <c r="AA97" s="524" t="str">
        <f>IF(Z97="","",VLOOKUP(Z97,'G-7 Rivers Data'!$AO$4:$AP$7,2,FALSE))</f>
        <v/>
      </c>
      <c r="AB97" s="545" t="str">
        <f t="shared" si="12"/>
        <v/>
      </c>
      <c r="AC97" s="149"/>
      <c r="AD97" s="150"/>
      <c r="AK97" s="31" t="str">
        <f>IFERROR(INDEX('G-7 Rivers Data'!$AZ$3:$AZ$7,MATCH(C97,'G-7 Rivers Data'!$AY$3:$AY$7,0)),"")</f>
        <v/>
      </c>
    </row>
    <row r="98" spans="2:37" ht="13.8" x14ac:dyDescent="0.25">
      <c r="B98" s="141">
        <v>87</v>
      </c>
      <c r="C98" s="666"/>
      <c r="D98" s="172"/>
      <c r="E98" s="498" t="str">
        <f>IF(C98="","",VLOOKUP(C98,'G-7 Rivers Data'!$B$2:$Z$9,2,FALSE))</f>
        <v/>
      </c>
      <c r="F98" s="499" t="str">
        <f>IFERROR(VLOOKUP(E98,'G-7 Rivers Data'!$C$4:$D$8,2,FALSE),"")</f>
        <v/>
      </c>
      <c r="G98" s="145"/>
      <c r="H98" s="499" t="str">
        <f>IFERROR(INDEX('G-7 Rivers Data'!$H$4:$L$8,MATCH(C98,'G-7 Rivers Data'!$B$4:$B$8,0),MATCH(G98,'G-7 Rivers Data'!$H$3:$L$3,0)),"")</f>
        <v/>
      </c>
      <c r="I98" s="145"/>
      <c r="J98" s="540" t="str">
        <f>IF(I98="","",IF(VLOOKUP(I98,'G-7 Rivers Data'!$AG$4:$AI$9,2,FALSE)=0,"Spatial Data Missing ⚠",VLOOKUP(I98,'G-7 Rivers Data'!$AG$4:$AI$9,2,FALSE)))</f>
        <v/>
      </c>
      <c r="K98" s="499" t="str">
        <f>IF(I98="","",IF(VLOOKUP(I98,'G-7 Rivers Data'!$AG$4:$AI$9,3,FALSE)=0,"Spatial Data Missing ⚠",VLOOKUP(I98,'G-7 Rivers Data'!$AG$4:$AI$9,3,FALSE)))</f>
        <v/>
      </c>
      <c r="L98" s="635" t="str">
        <f>IFERROR(INDEX('G-7 Rivers Data'!$O$3:$O$7,MATCH(G98,'G-7 Rivers Data'!$N$3:$N$7,0)),"")</f>
        <v/>
      </c>
      <c r="M98" s="7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154"/>
      <c r="AA98" s="524" t="str">
        <f>IF(Z98="","",VLOOKUP(Z98,'G-7 Rivers Data'!$AO$4:$AP$7,2,FALSE))</f>
        <v/>
      </c>
      <c r="AB98" s="545" t="str">
        <f t="shared" si="12"/>
        <v/>
      </c>
      <c r="AC98" s="149"/>
      <c r="AD98" s="150"/>
      <c r="AK98" s="31" t="str">
        <f>IFERROR(INDEX('G-7 Rivers Data'!$AZ$3:$AZ$7,MATCH(C98,'G-7 Rivers Data'!$AY$3:$AY$7,0)),"")</f>
        <v/>
      </c>
    </row>
    <row r="99" spans="2:37" ht="13.8" x14ac:dyDescent="0.25">
      <c r="B99" s="141">
        <v>88</v>
      </c>
      <c r="C99" s="666"/>
      <c r="D99" s="172"/>
      <c r="E99" s="498" t="str">
        <f>IF(C99="","",VLOOKUP(C99,'G-7 Rivers Data'!$B$2:$Z$9,2,FALSE))</f>
        <v/>
      </c>
      <c r="F99" s="499" t="str">
        <f>IFERROR(VLOOKUP(E99,'G-7 Rivers Data'!$C$4:$D$8,2,FALSE),"")</f>
        <v/>
      </c>
      <c r="G99" s="145"/>
      <c r="H99" s="499" t="str">
        <f>IFERROR(INDEX('G-7 Rivers Data'!$H$4:$L$8,MATCH(C99,'G-7 Rivers Data'!$B$4:$B$8,0),MATCH(G99,'G-7 Rivers Data'!$H$3:$L$3,0)),"")</f>
        <v/>
      </c>
      <c r="I99" s="145"/>
      <c r="J99" s="540" t="str">
        <f>IF(I99="","",IF(VLOOKUP(I99,'G-7 Rivers Data'!$AG$4:$AI$9,2,FALSE)=0,"Spatial Data Missing ⚠",VLOOKUP(I99,'G-7 Rivers Data'!$AG$4:$AI$9,2,FALSE)))</f>
        <v/>
      </c>
      <c r="K99" s="499" t="str">
        <f>IF(I99="","",IF(VLOOKUP(I99,'G-7 Rivers Data'!$AG$4:$AI$9,3,FALSE)=0,"Spatial Data Missing ⚠",VLOOKUP(I99,'G-7 Rivers Data'!$AG$4:$AI$9,3,FALSE)))</f>
        <v/>
      </c>
      <c r="L99" s="635" t="str">
        <f>IFERROR(INDEX('G-7 Rivers Data'!$O$3:$O$7,MATCH(G99,'G-7 Rivers Data'!$N$3:$N$7,0)),"")</f>
        <v/>
      </c>
      <c r="M99" s="7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154"/>
      <c r="AA99" s="524" t="str">
        <f>IF(Z99="","",VLOOKUP(Z99,'G-7 Rivers Data'!$AO$4:$AP$7,2,FALSE))</f>
        <v/>
      </c>
      <c r="AB99" s="545" t="str">
        <f t="shared" si="12"/>
        <v/>
      </c>
      <c r="AC99" s="149"/>
      <c r="AD99" s="150"/>
      <c r="AK99" s="31" t="str">
        <f>IFERROR(INDEX('G-7 Rivers Data'!$AZ$3:$AZ$7,MATCH(C99,'G-7 Rivers Data'!$AY$3:$AY$7,0)),"")</f>
        <v/>
      </c>
    </row>
    <row r="100" spans="2:37" ht="13.8" x14ac:dyDescent="0.25">
      <c r="B100" s="141">
        <v>89</v>
      </c>
      <c r="C100" s="666"/>
      <c r="D100" s="172"/>
      <c r="E100" s="498" t="str">
        <f>IF(C100="","",VLOOKUP(C100,'G-7 Rivers Data'!$B$2:$Z$9,2,FALSE))</f>
        <v/>
      </c>
      <c r="F100" s="499" t="str">
        <f>IFERROR(VLOOKUP(E100,'G-7 Rivers Data'!$C$4:$D$8,2,FALSE),"")</f>
        <v/>
      </c>
      <c r="G100" s="145"/>
      <c r="H100" s="499" t="str">
        <f>IFERROR(INDEX('G-7 Rivers Data'!$H$4:$L$8,MATCH(C100,'G-7 Rivers Data'!$B$4:$B$8,0),MATCH(G100,'G-7 Rivers Data'!$H$3:$L$3,0)),"")</f>
        <v/>
      </c>
      <c r="I100" s="145"/>
      <c r="J100" s="540" t="str">
        <f>IF(I100="","",IF(VLOOKUP(I100,'G-7 Rivers Data'!$AG$4:$AI$9,2,FALSE)=0,"Spatial Data Missing ⚠",VLOOKUP(I100,'G-7 Rivers Data'!$AG$4:$AI$9,2,FALSE)))</f>
        <v/>
      </c>
      <c r="K100" s="499" t="str">
        <f>IF(I100="","",IF(VLOOKUP(I100,'G-7 Rivers Data'!$AG$4:$AI$9,3,FALSE)=0,"Spatial Data Missing ⚠",VLOOKUP(I100,'G-7 Rivers Data'!$AG$4:$AI$9,3,FALSE)))</f>
        <v/>
      </c>
      <c r="L100" s="635" t="str">
        <f>IFERROR(INDEX('G-7 Rivers Data'!$O$3:$O$7,MATCH(G100,'G-7 Rivers Data'!$N$3:$N$7,0)),"")</f>
        <v/>
      </c>
      <c r="M100" s="7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154"/>
      <c r="AA100" s="524" t="str">
        <f>IF(Z100="","",VLOOKUP(Z100,'G-7 Rivers Data'!$AO$4:$AP$7,2,FALSE))</f>
        <v/>
      </c>
      <c r="AB100" s="545" t="str">
        <f t="shared" si="12"/>
        <v/>
      </c>
      <c r="AC100" s="149"/>
      <c r="AD100" s="150"/>
      <c r="AK100" s="31" t="str">
        <f>IFERROR(INDEX('G-7 Rivers Data'!$AZ$3:$AZ$7,MATCH(C100,'G-7 Rivers Data'!$AY$3:$AY$7,0)),"")</f>
        <v/>
      </c>
    </row>
    <row r="101" spans="2:37" ht="13.8" x14ac:dyDescent="0.25">
      <c r="B101" s="141">
        <v>90</v>
      </c>
      <c r="C101" s="666"/>
      <c r="D101" s="172"/>
      <c r="E101" s="498" t="str">
        <f>IF(C101="","",VLOOKUP(C101,'G-7 Rivers Data'!$B$2:$Z$9,2,FALSE))</f>
        <v/>
      </c>
      <c r="F101" s="499" t="str">
        <f>IFERROR(VLOOKUP(E101,'G-7 Rivers Data'!$C$4:$D$8,2,FALSE),"")</f>
        <v/>
      </c>
      <c r="G101" s="145"/>
      <c r="H101" s="499" t="str">
        <f>IFERROR(INDEX('G-7 Rivers Data'!$H$4:$L$8,MATCH(C101,'G-7 Rivers Data'!$B$4:$B$8,0),MATCH(G101,'G-7 Rivers Data'!$H$3:$L$3,0)),"")</f>
        <v/>
      </c>
      <c r="I101" s="145"/>
      <c r="J101" s="540" t="str">
        <f>IF(I101="","",IF(VLOOKUP(I101,'G-7 Rivers Data'!$AG$4:$AI$9,2,FALSE)=0,"Spatial Data Missing ⚠",VLOOKUP(I101,'G-7 Rivers Data'!$AG$4:$AI$9,2,FALSE)))</f>
        <v/>
      </c>
      <c r="K101" s="499" t="str">
        <f>IF(I101="","",IF(VLOOKUP(I101,'G-7 Rivers Data'!$AG$4:$AI$9,3,FALSE)=0,"Spatial Data Missing ⚠",VLOOKUP(I101,'G-7 Rivers Data'!$AG$4:$AI$9,3,FALSE)))</f>
        <v/>
      </c>
      <c r="L101" s="635" t="str">
        <f>IFERROR(INDEX('G-7 Rivers Data'!$O$3:$O$7,MATCH(G101,'G-7 Rivers Data'!$N$3:$N$7,0)),"")</f>
        <v/>
      </c>
      <c r="M101" s="7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154"/>
      <c r="AA101" s="524" t="str">
        <f>IF(Z101="","",VLOOKUP(Z101,'G-7 Rivers Data'!$AO$4:$AP$7,2,FALSE))</f>
        <v/>
      </c>
      <c r="AB101" s="545" t="str">
        <f t="shared" si="12"/>
        <v/>
      </c>
      <c r="AC101" s="149"/>
      <c r="AD101" s="150"/>
      <c r="AK101" s="31" t="str">
        <f>IFERROR(INDEX('G-7 Rivers Data'!$AZ$3:$AZ$7,MATCH(C101,'G-7 Rivers Data'!$AY$3:$AY$7,0)),"")</f>
        <v/>
      </c>
    </row>
    <row r="102" spans="2:37" ht="13.8" x14ac:dyDescent="0.25">
      <c r="B102" s="141">
        <v>91</v>
      </c>
      <c r="C102" s="666"/>
      <c r="D102" s="172"/>
      <c r="E102" s="498" t="str">
        <f>IF(C102="","",VLOOKUP(C102,'G-7 Rivers Data'!$B$2:$Z$9,2,FALSE))</f>
        <v/>
      </c>
      <c r="F102" s="499" t="str">
        <f>IFERROR(VLOOKUP(E102,'G-7 Rivers Data'!$C$4:$D$8,2,FALSE),"")</f>
        <v/>
      </c>
      <c r="G102" s="145"/>
      <c r="H102" s="499" t="str">
        <f>IFERROR(INDEX('G-7 Rivers Data'!$H$4:$L$8,MATCH(C102,'G-7 Rivers Data'!$B$4:$B$8,0),MATCH(G102,'G-7 Rivers Data'!$H$3:$L$3,0)),"")</f>
        <v/>
      </c>
      <c r="I102" s="145"/>
      <c r="J102" s="540" t="str">
        <f>IF(I102="","",IF(VLOOKUP(I102,'G-7 Rivers Data'!$AG$4:$AI$9,2,FALSE)=0,"Spatial Data Missing ⚠",VLOOKUP(I102,'G-7 Rivers Data'!$AG$4:$AI$9,2,FALSE)))</f>
        <v/>
      </c>
      <c r="K102" s="499" t="str">
        <f>IF(I102="","",IF(VLOOKUP(I102,'G-7 Rivers Data'!$AG$4:$AI$9,3,FALSE)=0,"Spatial Data Missing ⚠",VLOOKUP(I102,'G-7 Rivers Data'!$AG$4:$AI$9,3,FALSE)))</f>
        <v/>
      </c>
      <c r="L102" s="635" t="str">
        <f>IFERROR(INDEX('G-7 Rivers Data'!$O$3:$O$7,MATCH(G102,'G-7 Rivers Data'!$N$3:$N$7,0)),"")</f>
        <v/>
      </c>
      <c r="M102" s="7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154"/>
      <c r="AA102" s="524" t="str">
        <f>IF(Z102="","",VLOOKUP(Z102,'G-7 Rivers Data'!$AO$4:$AP$7,2,FALSE))</f>
        <v/>
      </c>
      <c r="AB102" s="545" t="str">
        <f t="shared" si="12"/>
        <v/>
      </c>
      <c r="AC102" s="149"/>
      <c r="AD102" s="150"/>
      <c r="AK102" s="31" t="str">
        <f>IFERROR(INDEX('G-7 Rivers Data'!$AZ$3:$AZ$7,MATCH(C102,'G-7 Rivers Data'!$AY$3:$AY$7,0)),"")</f>
        <v/>
      </c>
    </row>
    <row r="103" spans="2:37" ht="13.8" x14ac:dyDescent="0.25">
      <c r="B103" s="141">
        <v>92</v>
      </c>
      <c r="C103" s="666"/>
      <c r="D103" s="172"/>
      <c r="E103" s="498" t="str">
        <f>IF(C103="","",VLOOKUP(C103,'G-7 Rivers Data'!$B$2:$Z$9,2,FALSE))</f>
        <v/>
      </c>
      <c r="F103" s="499" t="str">
        <f>IFERROR(VLOOKUP(E103,'G-7 Rivers Data'!$C$4:$D$8,2,FALSE),"")</f>
        <v/>
      </c>
      <c r="G103" s="145"/>
      <c r="H103" s="499" t="str">
        <f>IFERROR(INDEX('G-7 Rivers Data'!$H$4:$L$8,MATCH(C103,'G-7 Rivers Data'!$B$4:$B$8,0),MATCH(G103,'G-7 Rivers Data'!$H$3:$L$3,0)),"")</f>
        <v/>
      </c>
      <c r="I103" s="145"/>
      <c r="J103" s="540" t="str">
        <f>IF(I103="","",IF(VLOOKUP(I103,'G-7 Rivers Data'!$AG$4:$AI$9,2,FALSE)=0,"Spatial Data Missing ⚠",VLOOKUP(I103,'G-7 Rivers Data'!$AG$4:$AI$9,2,FALSE)))</f>
        <v/>
      </c>
      <c r="K103" s="499" t="str">
        <f>IF(I103="","",IF(VLOOKUP(I103,'G-7 Rivers Data'!$AG$4:$AI$9,3,FALSE)=0,"Spatial Data Missing ⚠",VLOOKUP(I103,'G-7 Rivers Data'!$AG$4:$AI$9,3,FALSE)))</f>
        <v/>
      </c>
      <c r="L103" s="635" t="str">
        <f>IFERROR(INDEX('G-7 Rivers Data'!$O$3:$O$7,MATCH(G103,'G-7 Rivers Data'!$N$3:$N$7,0)),"")</f>
        <v/>
      </c>
      <c r="M103" s="7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154"/>
      <c r="AA103" s="524" t="str">
        <f>IF(Z103="","",VLOOKUP(Z103,'G-7 Rivers Data'!$AO$4:$AP$7,2,FALSE))</f>
        <v/>
      </c>
      <c r="AB103" s="545" t="str">
        <f t="shared" si="12"/>
        <v/>
      </c>
      <c r="AC103" s="149"/>
      <c r="AD103" s="150"/>
      <c r="AK103" s="31" t="str">
        <f>IFERROR(INDEX('G-7 Rivers Data'!$AZ$3:$AZ$7,MATCH(C103,'G-7 Rivers Data'!$AY$3:$AY$7,0)),"")</f>
        <v/>
      </c>
    </row>
    <row r="104" spans="2:37" ht="13.8" x14ac:dyDescent="0.25">
      <c r="B104" s="141">
        <v>93</v>
      </c>
      <c r="C104" s="666"/>
      <c r="D104" s="172"/>
      <c r="E104" s="498" t="str">
        <f>IF(C104="","",VLOOKUP(C104,'G-7 Rivers Data'!$B$2:$Z$9,2,FALSE))</f>
        <v/>
      </c>
      <c r="F104" s="499" t="str">
        <f>IFERROR(VLOOKUP(E104,'G-7 Rivers Data'!$C$4:$D$8,2,FALSE),"")</f>
        <v/>
      </c>
      <c r="G104" s="145"/>
      <c r="H104" s="499" t="str">
        <f>IFERROR(INDEX('G-7 Rivers Data'!$H$4:$L$8,MATCH(C104,'G-7 Rivers Data'!$B$4:$B$8,0),MATCH(G104,'G-7 Rivers Data'!$H$3:$L$3,0)),"")</f>
        <v/>
      </c>
      <c r="I104" s="145"/>
      <c r="J104" s="540" t="str">
        <f>IF(I104="","",IF(VLOOKUP(I104,'G-7 Rivers Data'!$AG$4:$AI$9,2,FALSE)=0,"Spatial Data Missing ⚠",VLOOKUP(I104,'G-7 Rivers Data'!$AG$4:$AI$9,2,FALSE)))</f>
        <v/>
      </c>
      <c r="K104" s="499" t="str">
        <f>IF(I104="","",IF(VLOOKUP(I104,'G-7 Rivers Data'!$AG$4:$AI$9,3,FALSE)=0,"Spatial Data Missing ⚠",VLOOKUP(I104,'G-7 Rivers Data'!$AG$4:$AI$9,3,FALSE)))</f>
        <v/>
      </c>
      <c r="L104" s="635" t="str">
        <f>IFERROR(INDEX('G-7 Rivers Data'!$O$3:$O$7,MATCH(G104,'G-7 Rivers Data'!$N$3:$N$7,0)),"")</f>
        <v/>
      </c>
      <c r="M104" s="7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154"/>
      <c r="AA104" s="524" t="str">
        <f>IF(Z104="","",VLOOKUP(Z104,'G-7 Rivers Data'!$AO$4:$AP$7,2,FALSE))</f>
        <v/>
      </c>
      <c r="AB104" s="545" t="str">
        <f t="shared" si="12"/>
        <v/>
      </c>
      <c r="AC104" s="149"/>
      <c r="AD104" s="150"/>
      <c r="AK104" s="31" t="str">
        <f>IFERROR(INDEX('G-7 Rivers Data'!$AZ$3:$AZ$7,MATCH(C104,'G-7 Rivers Data'!$AY$3:$AY$7,0)),"")</f>
        <v/>
      </c>
    </row>
    <row r="105" spans="2:37" ht="13.8" x14ac:dyDescent="0.25">
      <c r="B105" s="141">
        <v>94</v>
      </c>
      <c r="C105" s="666"/>
      <c r="D105" s="172"/>
      <c r="E105" s="498" t="str">
        <f>IF(C105="","",VLOOKUP(C105,'G-7 Rivers Data'!$B$2:$Z$9,2,FALSE))</f>
        <v/>
      </c>
      <c r="F105" s="499" t="str">
        <f>IFERROR(VLOOKUP(E105,'G-7 Rivers Data'!$C$4:$D$8,2,FALSE),"")</f>
        <v/>
      </c>
      <c r="G105" s="145"/>
      <c r="H105" s="499" t="str">
        <f>IFERROR(INDEX('G-7 Rivers Data'!$H$4:$L$8,MATCH(C105,'G-7 Rivers Data'!$B$4:$B$8,0),MATCH(G105,'G-7 Rivers Data'!$H$3:$L$3,0)),"")</f>
        <v/>
      </c>
      <c r="I105" s="145"/>
      <c r="J105" s="540" t="str">
        <f>IF(I105="","",IF(VLOOKUP(I105,'G-7 Rivers Data'!$AG$4:$AI$9,2,FALSE)=0,"Spatial Data Missing ⚠",VLOOKUP(I105,'G-7 Rivers Data'!$AG$4:$AI$9,2,FALSE)))</f>
        <v/>
      </c>
      <c r="K105" s="499" t="str">
        <f>IF(I105="","",IF(VLOOKUP(I105,'G-7 Rivers Data'!$AG$4:$AI$9,3,FALSE)=0,"Spatial Data Missing ⚠",VLOOKUP(I105,'G-7 Rivers Data'!$AG$4:$AI$9,3,FALSE)))</f>
        <v/>
      </c>
      <c r="L105" s="635" t="str">
        <f>IFERROR(INDEX('G-7 Rivers Data'!$O$3:$O$7,MATCH(G105,'G-7 Rivers Data'!$N$3:$N$7,0)),"")</f>
        <v/>
      </c>
      <c r="M105" s="7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154"/>
      <c r="AA105" s="524" t="str">
        <f>IF(Z105="","",VLOOKUP(Z105,'G-7 Rivers Data'!$AO$4:$AP$7,2,FALSE))</f>
        <v/>
      </c>
      <c r="AB105" s="545" t="str">
        <f t="shared" si="12"/>
        <v/>
      </c>
      <c r="AC105" s="149"/>
      <c r="AD105" s="150"/>
      <c r="AK105" s="31" t="str">
        <f>IFERROR(INDEX('G-7 Rivers Data'!$AZ$3:$AZ$7,MATCH(C105,'G-7 Rivers Data'!$AY$3:$AY$7,0)),"")</f>
        <v/>
      </c>
    </row>
    <row r="106" spans="2:37" ht="13.8" x14ac:dyDescent="0.25">
      <c r="B106" s="141">
        <v>95</v>
      </c>
      <c r="C106" s="666"/>
      <c r="D106" s="172"/>
      <c r="E106" s="498" t="str">
        <f>IF(C106="","",VLOOKUP(C106,'G-7 Rivers Data'!$B$2:$Z$9,2,FALSE))</f>
        <v/>
      </c>
      <c r="F106" s="499" t="str">
        <f>IFERROR(VLOOKUP(E106,'G-7 Rivers Data'!$C$4:$D$8,2,FALSE),"")</f>
        <v/>
      </c>
      <c r="G106" s="145"/>
      <c r="H106" s="499" t="str">
        <f>IFERROR(INDEX('G-7 Rivers Data'!$H$4:$L$8,MATCH(C106,'G-7 Rivers Data'!$B$4:$B$8,0),MATCH(G106,'G-7 Rivers Data'!$H$3:$L$3,0)),"")</f>
        <v/>
      </c>
      <c r="I106" s="145"/>
      <c r="J106" s="540" t="str">
        <f>IF(I106="","",IF(VLOOKUP(I106,'G-7 Rivers Data'!$AG$4:$AI$9,2,FALSE)=0,"Spatial Data Missing ⚠",VLOOKUP(I106,'G-7 Rivers Data'!$AG$4:$AI$9,2,FALSE)))</f>
        <v/>
      </c>
      <c r="K106" s="499" t="str">
        <f>IF(I106="","",IF(VLOOKUP(I106,'G-7 Rivers Data'!$AG$4:$AI$9,3,FALSE)=0,"Spatial Data Missing ⚠",VLOOKUP(I106,'G-7 Rivers Data'!$AG$4:$AI$9,3,FALSE)))</f>
        <v/>
      </c>
      <c r="L106" s="635" t="str">
        <f>IFERROR(INDEX('G-7 Rivers Data'!$O$3:$O$7,MATCH(G106,'G-7 Rivers Data'!$N$3:$N$7,0)),"")</f>
        <v/>
      </c>
      <c r="M106" s="7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154"/>
      <c r="AA106" s="524" t="str">
        <f>IF(Z106="","",VLOOKUP(Z106,'G-7 Rivers Data'!$AO$4:$AP$7,2,FALSE))</f>
        <v/>
      </c>
      <c r="AB106" s="545" t="str">
        <f t="shared" si="12"/>
        <v/>
      </c>
      <c r="AC106" s="149"/>
      <c r="AD106" s="150"/>
      <c r="AK106" s="31" t="str">
        <f>IFERROR(INDEX('G-7 Rivers Data'!$AZ$3:$AZ$7,MATCH(C106,'G-7 Rivers Data'!$AY$3:$AY$7,0)),"")</f>
        <v/>
      </c>
    </row>
    <row r="107" spans="2:37" ht="13.8" x14ac:dyDescent="0.25">
      <c r="B107" s="141">
        <v>96</v>
      </c>
      <c r="C107" s="666"/>
      <c r="D107" s="172"/>
      <c r="E107" s="498" t="str">
        <f>IF(C107="","",VLOOKUP(C107,'G-7 Rivers Data'!$B$2:$Z$9,2,FALSE))</f>
        <v/>
      </c>
      <c r="F107" s="499" t="str">
        <f>IFERROR(VLOOKUP(E107,'G-7 Rivers Data'!$C$4:$D$8,2,FALSE),"")</f>
        <v/>
      </c>
      <c r="G107" s="145"/>
      <c r="H107" s="499" t="str">
        <f>IFERROR(INDEX('G-7 Rivers Data'!$H$4:$L$8,MATCH(C107,'G-7 Rivers Data'!$B$4:$B$8,0),MATCH(G107,'G-7 Rivers Data'!$H$3:$L$3,0)),"")</f>
        <v/>
      </c>
      <c r="I107" s="145"/>
      <c r="J107" s="540" t="str">
        <f>IF(I107="","",IF(VLOOKUP(I107,'G-7 Rivers Data'!$AG$4:$AI$9,2,FALSE)=0,"Spatial Data Missing ⚠",VLOOKUP(I107,'G-7 Rivers Data'!$AG$4:$AI$9,2,FALSE)))</f>
        <v/>
      </c>
      <c r="K107" s="499" t="str">
        <f>IF(I107="","",IF(VLOOKUP(I107,'G-7 Rivers Data'!$AG$4:$AI$9,3,FALSE)=0,"Spatial Data Missing ⚠",VLOOKUP(I107,'G-7 Rivers Data'!$AG$4:$AI$9,3,FALSE)))</f>
        <v/>
      </c>
      <c r="L107" s="635" t="str">
        <f>IFERROR(INDEX('G-7 Rivers Data'!$O$3:$O$7,MATCH(G107,'G-7 Rivers Data'!$N$3:$N$7,0)),"")</f>
        <v/>
      </c>
      <c r="M107" s="7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154"/>
      <c r="AA107" s="524" t="str">
        <f>IF(Z107="","",VLOOKUP(Z107,'G-7 Rivers Data'!$AO$4:$AP$7,2,FALSE))</f>
        <v/>
      </c>
      <c r="AB107" s="545" t="str">
        <f t="shared" si="12"/>
        <v/>
      </c>
      <c r="AC107" s="149"/>
      <c r="AD107" s="150"/>
      <c r="AK107" s="31" t="str">
        <f>IFERROR(INDEX('G-7 Rivers Data'!$AZ$3:$AZ$7,MATCH(C107,'G-7 Rivers Data'!$AY$3:$AY$7,0)),"")</f>
        <v/>
      </c>
    </row>
    <row r="108" spans="2:37" ht="13.8" x14ac:dyDescent="0.25">
      <c r="B108" s="141">
        <v>97</v>
      </c>
      <c r="C108" s="666"/>
      <c r="D108" s="172"/>
      <c r="E108" s="498" t="str">
        <f>IF(C108="","",VLOOKUP(C108,'G-7 Rivers Data'!$B$2:$Z$9,2,FALSE))</f>
        <v/>
      </c>
      <c r="F108" s="499" t="str">
        <f>IFERROR(VLOOKUP(E108,'G-7 Rivers Data'!$C$4:$D$8,2,FALSE),"")</f>
        <v/>
      </c>
      <c r="G108" s="145"/>
      <c r="H108" s="499" t="str">
        <f>IFERROR(INDEX('G-7 Rivers Data'!$H$4:$L$8,MATCH(C108,'G-7 Rivers Data'!$B$4:$B$8,0),MATCH(G108,'G-7 Rivers Data'!$H$3:$L$3,0)),"")</f>
        <v/>
      </c>
      <c r="I108" s="145"/>
      <c r="J108" s="540" t="str">
        <f>IF(I108="","",IF(VLOOKUP(I108,'G-7 Rivers Data'!$AG$4:$AI$9,2,FALSE)=0,"Spatial Data Missing ⚠",VLOOKUP(I108,'G-7 Rivers Data'!$AG$4:$AI$9,2,FALSE)))</f>
        <v/>
      </c>
      <c r="K108" s="499" t="str">
        <f>IF(I108="","",IF(VLOOKUP(I108,'G-7 Rivers Data'!$AG$4:$AI$9,3,FALSE)=0,"Spatial Data Missing ⚠",VLOOKUP(I108,'G-7 Rivers Data'!$AG$4:$AI$9,3,FALSE)))</f>
        <v/>
      </c>
      <c r="L108" s="635" t="str">
        <f>IFERROR(INDEX('G-7 Rivers Data'!$O$3:$O$7,MATCH(G108,'G-7 Rivers Data'!$N$3:$N$7,0)),"")</f>
        <v/>
      </c>
      <c r="M108" s="7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154"/>
      <c r="AA108" s="524" t="str">
        <f>IF(Z108="","",VLOOKUP(Z108,'G-7 Rivers Data'!$AO$4:$AP$7,2,FALSE))</f>
        <v/>
      </c>
      <c r="AB108" s="545" t="str">
        <f t="shared" si="12"/>
        <v/>
      </c>
      <c r="AC108" s="149"/>
      <c r="AD108" s="150"/>
      <c r="AK108" s="31" t="str">
        <f>IFERROR(INDEX('G-7 Rivers Data'!$AZ$3:$AZ$7,MATCH(C108,'G-7 Rivers Data'!$AY$3:$AY$7,0)),"")</f>
        <v/>
      </c>
    </row>
    <row r="109" spans="2:37" ht="13.8" x14ac:dyDescent="0.25">
      <c r="B109" s="141">
        <v>98</v>
      </c>
      <c r="C109" s="666"/>
      <c r="D109" s="172"/>
      <c r="E109" s="498" t="str">
        <f>IF(C109="","",VLOOKUP(C109,'G-7 Rivers Data'!$B$2:$Z$9,2,FALSE))</f>
        <v/>
      </c>
      <c r="F109" s="499" t="str">
        <f>IFERROR(VLOOKUP(E109,'G-7 Rivers Data'!$C$4:$D$8,2,FALSE),"")</f>
        <v/>
      </c>
      <c r="G109" s="145"/>
      <c r="H109" s="499" t="str">
        <f>IFERROR(INDEX('G-7 Rivers Data'!$H$4:$L$8,MATCH(C109,'G-7 Rivers Data'!$B$4:$B$8,0),MATCH(G109,'G-7 Rivers Data'!$H$3:$L$3,0)),"")</f>
        <v/>
      </c>
      <c r="I109" s="145"/>
      <c r="J109" s="540" t="str">
        <f>IF(I109="","",IF(VLOOKUP(I109,'G-7 Rivers Data'!$AG$4:$AI$9,2,FALSE)=0,"Spatial Data Missing ⚠",VLOOKUP(I109,'G-7 Rivers Data'!$AG$4:$AI$9,2,FALSE)))</f>
        <v/>
      </c>
      <c r="K109" s="499" t="str">
        <f>IF(I109="","",IF(VLOOKUP(I109,'G-7 Rivers Data'!$AG$4:$AI$9,3,FALSE)=0,"Spatial Data Missing ⚠",VLOOKUP(I109,'G-7 Rivers Data'!$AG$4:$AI$9,3,FALSE)))</f>
        <v/>
      </c>
      <c r="L109" s="635" t="str">
        <f>IFERROR(INDEX('G-7 Rivers Data'!$O$3:$O$7,MATCH(G109,'G-7 Rivers Data'!$N$3:$N$7,0)),"")</f>
        <v/>
      </c>
      <c r="M109" s="7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154"/>
      <c r="AA109" s="524" t="str">
        <f>IF(Z109="","",VLOOKUP(Z109,'G-7 Rivers Data'!$AO$4:$AP$7,2,FALSE))</f>
        <v/>
      </c>
      <c r="AB109" s="545" t="str">
        <f t="shared" si="12"/>
        <v/>
      </c>
      <c r="AC109" s="149"/>
      <c r="AD109" s="150"/>
      <c r="AK109" s="31" t="str">
        <f>IFERROR(INDEX('G-7 Rivers Data'!$AZ$3:$AZ$7,MATCH(C109,'G-7 Rivers Data'!$AY$3:$AY$7,0)),"")</f>
        <v/>
      </c>
    </row>
    <row r="110" spans="2:37" ht="13.8" x14ac:dyDescent="0.25">
      <c r="B110" s="141">
        <v>99</v>
      </c>
      <c r="C110" s="666"/>
      <c r="D110" s="172"/>
      <c r="E110" s="498" t="str">
        <f>IF(C110="","",VLOOKUP(C110,'G-7 Rivers Data'!$B$2:$Z$9,2,FALSE))</f>
        <v/>
      </c>
      <c r="F110" s="499" t="str">
        <f>IFERROR(VLOOKUP(E110,'G-7 Rivers Data'!$C$4:$D$8,2,FALSE),"")</f>
        <v/>
      </c>
      <c r="G110" s="145"/>
      <c r="H110" s="499" t="str">
        <f>IFERROR(INDEX('G-7 Rivers Data'!$H$4:$L$8,MATCH(C110,'G-7 Rivers Data'!$B$4:$B$8,0),MATCH(G110,'G-7 Rivers Data'!$H$3:$L$3,0)),"")</f>
        <v/>
      </c>
      <c r="I110" s="145"/>
      <c r="J110" s="540" t="str">
        <f>IF(I110="","",IF(VLOOKUP(I110,'G-7 Rivers Data'!$AG$4:$AI$9,2,FALSE)=0,"Spatial Data Missing ⚠",VLOOKUP(I110,'G-7 Rivers Data'!$AG$4:$AI$9,2,FALSE)))</f>
        <v/>
      </c>
      <c r="K110" s="499" t="str">
        <f>IF(I110="","",IF(VLOOKUP(I110,'G-7 Rivers Data'!$AG$4:$AI$9,3,FALSE)=0,"Spatial Data Missing ⚠",VLOOKUP(I110,'G-7 Rivers Data'!$AG$4:$AI$9,3,FALSE)))</f>
        <v/>
      </c>
      <c r="L110" s="635" t="str">
        <f>IFERROR(INDEX('G-7 Rivers Data'!$O$3:$O$7,MATCH(G110,'G-7 Rivers Data'!$N$3:$N$7,0)),"")</f>
        <v/>
      </c>
      <c r="M110" s="7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154"/>
      <c r="AA110" s="524" t="str">
        <f>IF(Z110="","",VLOOKUP(Z110,'G-7 Rivers Data'!$AO$4:$AP$7,2,FALSE))</f>
        <v/>
      </c>
      <c r="AB110" s="545" t="str">
        <f t="shared" si="12"/>
        <v/>
      </c>
      <c r="AC110" s="149"/>
      <c r="AD110" s="150"/>
      <c r="AK110" s="31" t="str">
        <f>IFERROR(INDEX('G-7 Rivers Data'!$AZ$3:$AZ$7,MATCH(C110,'G-7 Rivers Data'!$AY$3:$AY$7,0)),"")</f>
        <v/>
      </c>
    </row>
    <row r="111" spans="2:37" ht="13.8" x14ac:dyDescent="0.25">
      <c r="B111" s="141">
        <v>100</v>
      </c>
      <c r="C111" s="666"/>
      <c r="D111" s="172"/>
      <c r="E111" s="498" t="str">
        <f>IF(C111="","",VLOOKUP(C111,'G-7 Rivers Data'!$B$2:$Z$9,2,FALSE))</f>
        <v/>
      </c>
      <c r="F111" s="499" t="str">
        <f>IFERROR(VLOOKUP(E111,'G-7 Rivers Data'!$C$4:$D$8,2,FALSE),"")</f>
        <v/>
      </c>
      <c r="G111" s="145"/>
      <c r="H111" s="499" t="str">
        <f>IFERROR(INDEX('G-7 Rivers Data'!$H$4:$L$8,MATCH(C111,'G-7 Rivers Data'!$B$4:$B$8,0),MATCH(G111,'G-7 Rivers Data'!$H$3:$L$3,0)),"")</f>
        <v/>
      </c>
      <c r="I111" s="145"/>
      <c r="J111" s="540" t="str">
        <f>IF(I111="","",IF(VLOOKUP(I111,'G-7 Rivers Data'!$AG$4:$AI$9,2,FALSE)=0,"Spatial Data Missing ⚠",VLOOKUP(I111,'G-7 Rivers Data'!$AG$4:$AI$9,2,FALSE)))</f>
        <v/>
      </c>
      <c r="K111" s="499" t="str">
        <f>IF(I111="","",IF(VLOOKUP(I111,'G-7 Rivers Data'!$AG$4:$AI$9,3,FALSE)=0,"Spatial Data Missing ⚠",VLOOKUP(I111,'G-7 Rivers Data'!$AG$4:$AI$9,3,FALSE)))</f>
        <v/>
      </c>
      <c r="L111" s="635" t="str">
        <f>IFERROR(INDEX('G-7 Rivers Data'!$O$3:$O$7,MATCH(G111,'G-7 Rivers Data'!$N$3:$N$7,0)),"")</f>
        <v/>
      </c>
      <c r="M111" s="7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154"/>
      <c r="AA111" s="524" t="str">
        <f>IF(Z111="","",VLOOKUP(Z111,'G-7 Rivers Data'!$AO$4:$AP$7,2,FALSE))</f>
        <v/>
      </c>
      <c r="AB111" s="545" t="str">
        <f t="shared" si="12"/>
        <v/>
      </c>
      <c r="AC111" s="149"/>
      <c r="AD111" s="150"/>
      <c r="AK111" s="31" t="str">
        <f>IFERROR(INDEX('G-7 Rivers Data'!$AZ$3:$AZ$7,MATCH(C111,'G-7 Rivers Data'!$AY$3:$AY$7,0)),"")</f>
        <v/>
      </c>
    </row>
    <row r="112" spans="2:37" ht="13.8" x14ac:dyDescent="0.25">
      <c r="B112" s="141">
        <v>101</v>
      </c>
      <c r="C112" s="666"/>
      <c r="D112" s="172"/>
      <c r="E112" s="498" t="str">
        <f>IF(C112="","",VLOOKUP(C112,'G-7 Rivers Data'!$B$2:$Z$9,2,FALSE))</f>
        <v/>
      </c>
      <c r="F112" s="499" t="str">
        <f>IFERROR(VLOOKUP(E112,'G-7 Rivers Data'!$C$4:$D$8,2,FALSE),"")</f>
        <v/>
      </c>
      <c r="G112" s="145"/>
      <c r="H112" s="499" t="str">
        <f>IFERROR(INDEX('G-7 Rivers Data'!$H$4:$L$8,MATCH(C112,'G-7 Rivers Data'!$B$4:$B$8,0),MATCH(G112,'G-7 Rivers Data'!$H$3:$L$3,0)),"")</f>
        <v/>
      </c>
      <c r="I112" s="145"/>
      <c r="J112" s="540" t="str">
        <f>IF(I112="","",IF(VLOOKUP(I112,'G-7 Rivers Data'!$AG$4:$AI$9,2,FALSE)=0,"Spatial Data Missing ⚠",VLOOKUP(I112,'G-7 Rivers Data'!$AG$4:$AI$9,2,FALSE)))</f>
        <v/>
      </c>
      <c r="K112" s="499" t="str">
        <f>IF(I112="","",IF(VLOOKUP(I112,'G-7 Rivers Data'!$AG$4:$AI$9,3,FALSE)=0,"Spatial Data Missing ⚠",VLOOKUP(I112,'G-7 Rivers Data'!$AG$4:$AI$9,3,FALSE)))</f>
        <v/>
      </c>
      <c r="L112" s="635" t="str">
        <f>IFERROR(INDEX('G-7 Rivers Data'!$O$3:$O$7,MATCH(G112,'G-7 Rivers Data'!$N$3:$N$7,0)),"")</f>
        <v/>
      </c>
      <c r="M112" s="7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154"/>
      <c r="AA112" s="524" t="str">
        <f>IF(Z112="","",VLOOKUP(Z112,'G-7 Rivers Data'!$AO$4:$AP$7,2,FALSE))</f>
        <v/>
      </c>
      <c r="AB112" s="545" t="str">
        <f t="shared" si="12"/>
        <v/>
      </c>
      <c r="AC112" s="149"/>
      <c r="AD112" s="150"/>
      <c r="AK112" s="31" t="str">
        <f>IFERROR(INDEX('G-7 Rivers Data'!$AZ$3:$AZ$7,MATCH(C112,'G-7 Rivers Data'!$AY$3:$AY$7,0)),"")</f>
        <v/>
      </c>
    </row>
    <row r="113" spans="2:37" ht="13.8" x14ac:dyDescent="0.25">
      <c r="B113" s="141">
        <v>102</v>
      </c>
      <c r="C113" s="666"/>
      <c r="D113" s="172"/>
      <c r="E113" s="498" t="str">
        <f>IF(C113="","",VLOOKUP(C113,'G-7 Rivers Data'!$B$2:$Z$9,2,FALSE))</f>
        <v/>
      </c>
      <c r="F113" s="499" t="str">
        <f>IFERROR(VLOOKUP(E113,'G-7 Rivers Data'!$C$4:$D$8,2,FALSE),"")</f>
        <v/>
      </c>
      <c r="G113" s="145"/>
      <c r="H113" s="499" t="str">
        <f>IFERROR(INDEX('G-7 Rivers Data'!$H$4:$L$8,MATCH(C113,'G-7 Rivers Data'!$B$4:$B$8,0),MATCH(G113,'G-7 Rivers Data'!$H$3:$L$3,0)),"")</f>
        <v/>
      </c>
      <c r="I113" s="145"/>
      <c r="J113" s="540" t="str">
        <f>IF(I113="","",IF(VLOOKUP(I113,'G-7 Rivers Data'!$AG$4:$AI$9,2,FALSE)=0,"Spatial Data Missing ⚠",VLOOKUP(I113,'G-7 Rivers Data'!$AG$4:$AI$9,2,FALSE)))</f>
        <v/>
      </c>
      <c r="K113" s="499" t="str">
        <f>IF(I113="","",IF(VLOOKUP(I113,'G-7 Rivers Data'!$AG$4:$AI$9,3,FALSE)=0,"Spatial Data Missing ⚠",VLOOKUP(I113,'G-7 Rivers Data'!$AG$4:$AI$9,3,FALSE)))</f>
        <v/>
      </c>
      <c r="L113" s="635" t="str">
        <f>IFERROR(INDEX('G-7 Rivers Data'!$O$3:$O$7,MATCH(G113,'G-7 Rivers Data'!$N$3:$N$7,0)),"")</f>
        <v/>
      </c>
      <c r="M113" s="7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154"/>
      <c r="AA113" s="524" t="str">
        <f>IF(Z113="","",VLOOKUP(Z113,'G-7 Rivers Data'!$AO$4:$AP$7,2,FALSE))</f>
        <v/>
      </c>
      <c r="AB113" s="545" t="str">
        <f t="shared" si="12"/>
        <v/>
      </c>
      <c r="AC113" s="149"/>
      <c r="AD113" s="150"/>
      <c r="AK113" s="31" t="str">
        <f>IFERROR(INDEX('G-7 Rivers Data'!$AZ$3:$AZ$7,MATCH(C113,'G-7 Rivers Data'!$AY$3:$AY$7,0)),"")</f>
        <v/>
      </c>
    </row>
    <row r="114" spans="2:37" ht="13.8" x14ac:dyDescent="0.25">
      <c r="B114" s="141">
        <v>103</v>
      </c>
      <c r="C114" s="666"/>
      <c r="D114" s="172"/>
      <c r="E114" s="498" t="str">
        <f>IF(C114="","",VLOOKUP(C114,'G-7 Rivers Data'!$B$2:$Z$9,2,FALSE))</f>
        <v/>
      </c>
      <c r="F114" s="499" t="str">
        <f>IFERROR(VLOOKUP(E114,'G-7 Rivers Data'!$C$4:$D$8,2,FALSE),"")</f>
        <v/>
      </c>
      <c r="G114" s="145"/>
      <c r="H114" s="499" t="str">
        <f>IFERROR(INDEX('G-7 Rivers Data'!$H$4:$L$8,MATCH(C114,'G-7 Rivers Data'!$B$4:$B$8,0),MATCH(G114,'G-7 Rivers Data'!$H$3:$L$3,0)),"")</f>
        <v/>
      </c>
      <c r="I114" s="145"/>
      <c r="J114" s="540" t="str">
        <f>IF(I114="","",IF(VLOOKUP(I114,'G-7 Rivers Data'!$AG$4:$AI$9,2,FALSE)=0,"Spatial Data Missing ⚠",VLOOKUP(I114,'G-7 Rivers Data'!$AG$4:$AI$9,2,FALSE)))</f>
        <v/>
      </c>
      <c r="K114" s="499" t="str">
        <f>IF(I114="","",IF(VLOOKUP(I114,'G-7 Rivers Data'!$AG$4:$AI$9,3,FALSE)=0,"Spatial Data Missing ⚠",VLOOKUP(I114,'G-7 Rivers Data'!$AG$4:$AI$9,3,FALSE)))</f>
        <v/>
      </c>
      <c r="L114" s="635" t="str">
        <f>IFERROR(INDEX('G-7 Rivers Data'!$O$3:$O$7,MATCH(G114,'G-7 Rivers Data'!$N$3:$N$7,0)),"")</f>
        <v/>
      </c>
      <c r="M114" s="7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154"/>
      <c r="AA114" s="524" t="str">
        <f>IF(Z114="","",VLOOKUP(Z114,'G-7 Rivers Data'!$AO$4:$AP$7,2,FALSE))</f>
        <v/>
      </c>
      <c r="AB114" s="545" t="str">
        <f t="shared" si="12"/>
        <v/>
      </c>
      <c r="AC114" s="149"/>
      <c r="AD114" s="150"/>
      <c r="AK114" s="31" t="str">
        <f>IFERROR(INDEX('G-7 Rivers Data'!$AZ$3:$AZ$7,MATCH(C114,'G-7 Rivers Data'!$AY$3:$AY$7,0)),"")</f>
        <v/>
      </c>
    </row>
    <row r="115" spans="2:37" ht="13.8" x14ac:dyDescent="0.25">
      <c r="B115" s="141">
        <v>104</v>
      </c>
      <c r="C115" s="666"/>
      <c r="D115" s="172"/>
      <c r="E115" s="498" t="str">
        <f>IF(C115="","",VLOOKUP(C115,'G-7 Rivers Data'!$B$2:$Z$9,2,FALSE))</f>
        <v/>
      </c>
      <c r="F115" s="499" t="str">
        <f>IFERROR(VLOOKUP(E115,'G-7 Rivers Data'!$C$4:$D$8,2,FALSE),"")</f>
        <v/>
      </c>
      <c r="G115" s="145"/>
      <c r="H115" s="499" t="str">
        <f>IFERROR(INDEX('G-7 Rivers Data'!$H$4:$L$8,MATCH(C115,'G-7 Rivers Data'!$B$4:$B$8,0),MATCH(G115,'G-7 Rivers Data'!$H$3:$L$3,0)),"")</f>
        <v/>
      </c>
      <c r="I115" s="145"/>
      <c r="J115" s="540" t="str">
        <f>IF(I115="","",IF(VLOOKUP(I115,'G-7 Rivers Data'!$AG$4:$AI$9,2,FALSE)=0,"Spatial Data Missing ⚠",VLOOKUP(I115,'G-7 Rivers Data'!$AG$4:$AI$9,2,FALSE)))</f>
        <v/>
      </c>
      <c r="K115" s="499" t="str">
        <f>IF(I115="","",IF(VLOOKUP(I115,'G-7 Rivers Data'!$AG$4:$AI$9,3,FALSE)=0,"Spatial Data Missing ⚠",VLOOKUP(I115,'G-7 Rivers Data'!$AG$4:$AI$9,3,FALSE)))</f>
        <v/>
      </c>
      <c r="L115" s="635" t="str">
        <f>IFERROR(INDEX('G-7 Rivers Data'!$O$3:$O$7,MATCH(G115,'G-7 Rivers Data'!$N$3:$N$7,0)),"")</f>
        <v/>
      </c>
      <c r="M115" s="7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154"/>
      <c r="AA115" s="524" t="str">
        <f>IF(Z115="","",VLOOKUP(Z115,'G-7 Rivers Data'!$AO$4:$AP$7,2,FALSE))</f>
        <v/>
      </c>
      <c r="AB115" s="545" t="str">
        <f t="shared" si="12"/>
        <v/>
      </c>
      <c r="AC115" s="149"/>
      <c r="AD115" s="150"/>
      <c r="AK115" s="31" t="str">
        <f>IFERROR(INDEX('G-7 Rivers Data'!$AZ$3:$AZ$7,MATCH(C115,'G-7 Rivers Data'!$AY$3:$AY$7,0)),"")</f>
        <v/>
      </c>
    </row>
    <row r="116" spans="2:37" ht="13.8" x14ac:dyDescent="0.25">
      <c r="B116" s="141">
        <v>105</v>
      </c>
      <c r="C116" s="666"/>
      <c r="D116" s="172"/>
      <c r="E116" s="498" t="str">
        <f>IF(C116="","",VLOOKUP(C116,'G-7 Rivers Data'!$B$2:$Z$9,2,FALSE))</f>
        <v/>
      </c>
      <c r="F116" s="499" t="str">
        <f>IFERROR(VLOOKUP(E116,'G-7 Rivers Data'!$C$4:$D$8,2,FALSE),"")</f>
        <v/>
      </c>
      <c r="G116" s="145"/>
      <c r="H116" s="499" t="str">
        <f>IFERROR(INDEX('G-7 Rivers Data'!$H$4:$L$8,MATCH(C116,'G-7 Rivers Data'!$B$4:$B$8,0),MATCH(G116,'G-7 Rivers Data'!$H$3:$L$3,0)),"")</f>
        <v/>
      </c>
      <c r="I116" s="145"/>
      <c r="J116" s="540" t="str">
        <f>IF(I116="","",IF(VLOOKUP(I116,'G-7 Rivers Data'!$AG$4:$AI$9,2,FALSE)=0,"Spatial Data Missing ⚠",VLOOKUP(I116,'G-7 Rivers Data'!$AG$4:$AI$9,2,FALSE)))</f>
        <v/>
      </c>
      <c r="K116" s="499" t="str">
        <f>IF(I116="","",IF(VLOOKUP(I116,'G-7 Rivers Data'!$AG$4:$AI$9,3,FALSE)=0,"Spatial Data Missing ⚠",VLOOKUP(I116,'G-7 Rivers Data'!$AG$4:$AI$9,3,FALSE)))</f>
        <v/>
      </c>
      <c r="L116" s="635" t="str">
        <f>IFERROR(INDEX('G-7 Rivers Data'!$O$3:$O$7,MATCH(G116,'G-7 Rivers Data'!$N$3:$N$7,0)),"")</f>
        <v/>
      </c>
      <c r="M116" s="7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154"/>
      <c r="AA116" s="524" t="str">
        <f>IF(Z116="","",VLOOKUP(Z116,'G-7 Rivers Data'!$AO$4:$AP$7,2,FALSE))</f>
        <v/>
      </c>
      <c r="AB116" s="545" t="str">
        <f t="shared" si="12"/>
        <v/>
      </c>
      <c r="AC116" s="149"/>
      <c r="AD116" s="150"/>
      <c r="AK116" s="31" t="str">
        <f>IFERROR(INDEX('G-7 Rivers Data'!$AZ$3:$AZ$7,MATCH(C116,'G-7 Rivers Data'!$AY$3:$AY$7,0)),"")</f>
        <v/>
      </c>
    </row>
    <row r="117" spans="2:37" ht="13.8" x14ac:dyDescent="0.25">
      <c r="B117" s="141">
        <v>106</v>
      </c>
      <c r="C117" s="666"/>
      <c r="D117" s="172"/>
      <c r="E117" s="498" t="str">
        <f>IF(C117="","",VLOOKUP(C117,'G-7 Rivers Data'!$B$2:$Z$9,2,FALSE))</f>
        <v/>
      </c>
      <c r="F117" s="499" t="str">
        <f>IFERROR(VLOOKUP(E117,'G-7 Rivers Data'!$C$4:$D$8,2,FALSE),"")</f>
        <v/>
      </c>
      <c r="G117" s="145"/>
      <c r="H117" s="499" t="str">
        <f>IFERROR(INDEX('G-7 Rivers Data'!$H$4:$L$8,MATCH(C117,'G-7 Rivers Data'!$B$4:$B$8,0),MATCH(G117,'G-7 Rivers Data'!$H$3:$L$3,0)),"")</f>
        <v/>
      </c>
      <c r="I117" s="145"/>
      <c r="J117" s="540" t="str">
        <f>IF(I117="","",IF(VLOOKUP(I117,'G-7 Rivers Data'!$AG$4:$AI$9,2,FALSE)=0,"Spatial Data Missing ⚠",VLOOKUP(I117,'G-7 Rivers Data'!$AG$4:$AI$9,2,FALSE)))</f>
        <v/>
      </c>
      <c r="K117" s="499" t="str">
        <f>IF(I117="","",IF(VLOOKUP(I117,'G-7 Rivers Data'!$AG$4:$AI$9,3,FALSE)=0,"Spatial Data Missing ⚠",VLOOKUP(I117,'G-7 Rivers Data'!$AG$4:$AI$9,3,FALSE)))</f>
        <v/>
      </c>
      <c r="L117" s="635" t="str">
        <f>IFERROR(INDEX('G-7 Rivers Data'!$O$3:$O$7,MATCH(G117,'G-7 Rivers Data'!$N$3:$N$7,0)),"")</f>
        <v/>
      </c>
      <c r="M117" s="7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154"/>
      <c r="AA117" s="524" t="str">
        <f>IF(Z117="","",VLOOKUP(Z117,'G-7 Rivers Data'!$AO$4:$AP$7,2,FALSE))</f>
        <v/>
      </c>
      <c r="AB117" s="545" t="str">
        <f t="shared" si="12"/>
        <v/>
      </c>
      <c r="AC117" s="149"/>
      <c r="AD117" s="150"/>
      <c r="AK117" s="31" t="str">
        <f>IFERROR(INDEX('G-7 Rivers Data'!$AZ$3:$AZ$7,MATCH(C117,'G-7 Rivers Data'!$AY$3:$AY$7,0)),"")</f>
        <v/>
      </c>
    </row>
    <row r="118" spans="2:37" ht="13.8" x14ac:dyDescent="0.25">
      <c r="B118" s="141">
        <v>107</v>
      </c>
      <c r="C118" s="666"/>
      <c r="D118" s="172"/>
      <c r="E118" s="498" t="str">
        <f>IF(C118="","",VLOOKUP(C118,'G-7 Rivers Data'!$B$2:$Z$9,2,FALSE))</f>
        <v/>
      </c>
      <c r="F118" s="499" t="str">
        <f>IFERROR(VLOOKUP(E118,'G-7 Rivers Data'!$C$4:$D$8,2,FALSE),"")</f>
        <v/>
      </c>
      <c r="G118" s="145"/>
      <c r="H118" s="499" t="str">
        <f>IFERROR(INDEX('G-7 Rivers Data'!$H$4:$L$8,MATCH(C118,'G-7 Rivers Data'!$B$4:$B$8,0),MATCH(G118,'G-7 Rivers Data'!$H$3:$L$3,0)),"")</f>
        <v/>
      </c>
      <c r="I118" s="145"/>
      <c r="J118" s="540" t="str">
        <f>IF(I118="","",IF(VLOOKUP(I118,'G-7 Rivers Data'!$AG$4:$AI$9,2,FALSE)=0,"Spatial Data Missing ⚠",VLOOKUP(I118,'G-7 Rivers Data'!$AG$4:$AI$9,2,FALSE)))</f>
        <v/>
      </c>
      <c r="K118" s="499" t="str">
        <f>IF(I118="","",IF(VLOOKUP(I118,'G-7 Rivers Data'!$AG$4:$AI$9,3,FALSE)=0,"Spatial Data Missing ⚠",VLOOKUP(I118,'G-7 Rivers Data'!$AG$4:$AI$9,3,FALSE)))</f>
        <v/>
      </c>
      <c r="L118" s="635" t="str">
        <f>IFERROR(INDEX('G-7 Rivers Data'!$O$3:$O$7,MATCH(G118,'G-7 Rivers Data'!$N$3:$N$7,0)),"")</f>
        <v/>
      </c>
      <c r="M118" s="7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154"/>
      <c r="AA118" s="524" t="str">
        <f>IF(Z118="","",VLOOKUP(Z118,'G-7 Rivers Data'!$AO$4:$AP$7,2,FALSE))</f>
        <v/>
      </c>
      <c r="AB118" s="545" t="str">
        <f t="shared" si="12"/>
        <v/>
      </c>
      <c r="AC118" s="149"/>
      <c r="AD118" s="150"/>
      <c r="AK118" s="31" t="str">
        <f>IFERROR(INDEX('G-7 Rivers Data'!$AZ$3:$AZ$7,MATCH(C118,'G-7 Rivers Data'!$AY$3:$AY$7,0)),"")</f>
        <v/>
      </c>
    </row>
    <row r="119" spans="2:37" ht="13.8" x14ac:dyDescent="0.25">
      <c r="B119" s="141">
        <v>108</v>
      </c>
      <c r="C119" s="666"/>
      <c r="D119" s="172"/>
      <c r="E119" s="498" t="str">
        <f>IF(C119="","",VLOOKUP(C119,'G-7 Rivers Data'!$B$2:$Z$9,2,FALSE))</f>
        <v/>
      </c>
      <c r="F119" s="499" t="str">
        <f>IFERROR(VLOOKUP(E119,'G-7 Rivers Data'!$C$4:$D$8,2,FALSE),"")</f>
        <v/>
      </c>
      <c r="G119" s="145"/>
      <c r="H119" s="499" t="str">
        <f>IFERROR(INDEX('G-7 Rivers Data'!$H$4:$L$8,MATCH(C119,'G-7 Rivers Data'!$B$4:$B$8,0),MATCH(G119,'G-7 Rivers Data'!$H$3:$L$3,0)),"")</f>
        <v/>
      </c>
      <c r="I119" s="145"/>
      <c r="J119" s="540" t="str">
        <f>IF(I119="","",IF(VLOOKUP(I119,'G-7 Rivers Data'!$AG$4:$AI$9,2,FALSE)=0,"Spatial Data Missing ⚠",VLOOKUP(I119,'G-7 Rivers Data'!$AG$4:$AI$9,2,FALSE)))</f>
        <v/>
      </c>
      <c r="K119" s="499" t="str">
        <f>IF(I119="","",IF(VLOOKUP(I119,'G-7 Rivers Data'!$AG$4:$AI$9,3,FALSE)=0,"Spatial Data Missing ⚠",VLOOKUP(I119,'G-7 Rivers Data'!$AG$4:$AI$9,3,FALSE)))</f>
        <v/>
      </c>
      <c r="L119" s="635" t="str">
        <f>IFERROR(INDEX('G-7 Rivers Data'!$O$3:$O$7,MATCH(G119,'G-7 Rivers Data'!$N$3:$N$7,0)),"")</f>
        <v/>
      </c>
      <c r="M119" s="7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154"/>
      <c r="AA119" s="524" t="str">
        <f>IF(Z119="","",VLOOKUP(Z119,'G-7 Rivers Data'!$AO$4:$AP$7,2,FALSE))</f>
        <v/>
      </c>
      <c r="AB119" s="545" t="str">
        <f t="shared" si="12"/>
        <v/>
      </c>
      <c r="AC119" s="149"/>
      <c r="AD119" s="150"/>
      <c r="AK119" s="31" t="str">
        <f>IFERROR(INDEX('G-7 Rivers Data'!$AZ$3:$AZ$7,MATCH(C119,'G-7 Rivers Data'!$AY$3:$AY$7,0)),"")</f>
        <v/>
      </c>
    </row>
    <row r="120" spans="2:37" ht="13.8" x14ac:dyDescent="0.25">
      <c r="B120" s="141">
        <v>109</v>
      </c>
      <c r="C120" s="666"/>
      <c r="D120" s="172"/>
      <c r="E120" s="498" t="str">
        <f>IF(C120="","",VLOOKUP(C120,'G-7 Rivers Data'!$B$2:$Z$9,2,FALSE))</f>
        <v/>
      </c>
      <c r="F120" s="499" t="str">
        <f>IFERROR(VLOOKUP(E120,'G-7 Rivers Data'!$C$4:$D$8,2,FALSE),"")</f>
        <v/>
      </c>
      <c r="G120" s="145"/>
      <c r="H120" s="499" t="str">
        <f>IFERROR(INDEX('G-7 Rivers Data'!$H$4:$L$8,MATCH(C120,'G-7 Rivers Data'!$B$4:$B$8,0),MATCH(G120,'G-7 Rivers Data'!$H$3:$L$3,0)),"")</f>
        <v/>
      </c>
      <c r="I120" s="145"/>
      <c r="J120" s="540" t="str">
        <f>IF(I120="","",IF(VLOOKUP(I120,'G-7 Rivers Data'!$AG$4:$AI$9,2,FALSE)=0,"Spatial Data Missing ⚠",VLOOKUP(I120,'G-7 Rivers Data'!$AG$4:$AI$9,2,FALSE)))</f>
        <v/>
      </c>
      <c r="K120" s="499" t="str">
        <f>IF(I120="","",IF(VLOOKUP(I120,'G-7 Rivers Data'!$AG$4:$AI$9,3,FALSE)=0,"Spatial Data Missing ⚠",VLOOKUP(I120,'G-7 Rivers Data'!$AG$4:$AI$9,3,FALSE)))</f>
        <v/>
      </c>
      <c r="L120" s="635" t="str">
        <f>IFERROR(INDEX('G-7 Rivers Data'!$O$3:$O$7,MATCH(G120,'G-7 Rivers Data'!$N$3:$N$7,0)),"")</f>
        <v/>
      </c>
      <c r="M120" s="7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154"/>
      <c r="AA120" s="524" t="str">
        <f>IF(Z120="","",VLOOKUP(Z120,'G-7 Rivers Data'!$AO$4:$AP$7,2,FALSE))</f>
        <v/>
      </c>
      <c r="AB120" s="545" t="str">
        <f t="shared" si="12"/>
        <v/>
      </c>
      <c r="AC120" s="149"/>
      <c r="AD120" s="150"/>
      <c r="AK120" s="31" t="str">
        <f>IFERROR(INDEX('G-7 Rivers Data'!$AZ$3:$AZ$7,MATCH(C120,'G-7 Rivers Data'!$AY$3:$AY$7,0)),"")</f>
        <v/>
      </c>
    </row>
    <row r="121" spans="2:37" ht="13.8" x14ac:dyDescent="0.25">
      <c r="B121" s="141">
        <v>110</v>
      </c>
      <c r="C121" s="666"/>
      <c r="D121" s="172"/>
      <c r="E121" s="498" t="str">
        <f>IF(C121="","",VLOOKUP(C121,'G-7 Rivers Data'!$B$2:$Z$9,2,FALSE))</f>
        <v/>
      </c>
      <c r="F121" s="499" t="str">
        <f>IFERROR(VLOOKUP(E121,'G-7 Rivers Data'!$C$4:$D$8,2,FALSE),"")</f>
        <v/>
      </c>
      <c r="G121" s="145"/>
      <c r="H121" s="499" t="str">
        <f>IFERROR(INDEX('G-7 Rivers Data'!$H$4:$L$8,MATCH(C121,'G-7 Rivers Data'!$B$4:$B$8,0),MATCH(G121,'G-7 Rivers Data'!$H$3:$L$3,0)),"")</f>
        <v/>
      </c>
      <c r="I121" s="145"/>
      <c r="J121" s="540" t="str">
        <f>IF(I121="","",IF(VLOOKUP(I121,'G-7 Rivers Data'!$AG$4:$AI$9,2,FALSE)=0,"Spatial Data Missing ⚠",VLOOKUP(I121,'G-7 Rivers Data'!$AG$4:$AI$9,2,FALSE)))</f>
        <v/>
      </c>
      <c r="K121" s="499" t="str">
        <f>IF(I121="","",IF(VLOOKUP(I121,'G-7 Rivers Data'!$AG$4:$AI$9,3,FALSE)=0,"Spatial Data Missing ⚠",VLOOKUP(I121,'G-7 Rivers Data'!$AG$4:$AI$9,3,FALSE)))</f>
        <v/>
      </c>
      <c r="L121" s="635" t="str">
        <f>IFERROR(INDEX('G-7 Rivers Data'!$O$3:$O$7,MATCH(G121,'G-7 Rivers Data'!$N$3:$N$7,0)),"")</f>
        <v/>
      </c>
      <c r="M121" s="7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154"/>
      <c r="AA121" s="524" t="str">
        <f>IF(Z121="","",VLOOKUP(Z121,'G-7 Rivers Data'!$AO$4:$AP$7,2,FALSE))</f>
        <v/>
      </c>
      <c r="AB121" s="545" t="str">
        <f t="shared" si="12"/>
        <v/>
      </c>
      <c r="AC121" s="149"/>
      <c r="AD121" s="150"/>
      <c r="AK121" s="31" t="str">
        <f>IFERROR(INDEX('G-7 Rivers Data'!$AZ$3:$AZ$7,MATCH(C121,'G-7 Rivers Data'!$AY$3:$AY$7,0)),"")</f>
        <v/>
      </c>
    </row>
    <row r="122" spans="2:37" ht="13.8" x14ac:dyDescent="0.25">
      <c r="B122" s="141">
        <v>111</v>
      </c>
      <c r="C122" s="666"/>
      <c r="D122" s="172"/>
      <c r="E122" s="498" t="str">
        <f>IF(C122="","",VLOOKUP(C122,'G-7 Rivers Data'!$B$2:$Z$9,2,FALSE))</f>
        <v/>
      </c>
      <c r="F122" s="499" t="str">
        <f>IFERROR(VLOOKUP(E122,'G-7 Rivers Data'!$C$4:$D$8,2,FALSE),"")</f>
        <v/>
      </c>
      <c r="G122" s="145"/>
      <c r="H122" s="499" t="str">
        <f>IFERROR(INDEX('G-7 Rivers Data'!$H$4:$L$8,MATCH(C122,'G-7 Rivers Data'!$B$4:$B$8,0),MATCH(G122,'G-7 Rivers Data'!$H$3:$L$3,0)),"")</f>
        <v/>
      </c>
      <c r="I122" s="145"/>
      <c r="J122" s="540" t="str">
        <f>IF(I122="","",IF(VLOOKUP(I122,'G-7 Rivers Data'!$AG$4:$AI$9,2,FALSE)=0,"Spatial Data Missing ⚠",VLOOKUP(I122,'G-7 Rivers Data'!$AG$4:$AI$9,2,FALSE)))</f>
        <v/>
      </c>
      <c r="K122" s="499" t="str">
        <f>IF(I122="","",IF(VLOOKUP(I122,'G-7 Rivers Data'!$AG$4:$AI$9,3,FALSE)=0,"Spatial Data Missing ⚠",VLOOKUP(I122,'G-7 Rivers Data'!$AG$4:$AI$9,3,FALSE)))</f>
        <v/>
      </c>
      <c r="L122" s="635" t="str">
        <f>IFERROR(INDEX('G-7 Rivers Data'!$O$3:$O$7,MATCH(G122,'G-7 Rivers Data'!$N$3:$N$7,0)),"")</f>
        <v/>
      </c>
      <c r="M122" s="7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154"/>
      <c r="AA122" s="524" t="str">
        <f>IF(Z122="","",VLOOKUP(Z122,'G-7 Rivers Data'!$AO$4:$AP$7,2,FALSE))</f>
        <v/>
      </c>
      <c r="AB122" s="545" t="str">
        <f t="shared" si="12"/>
        <v/>
      </c>
      <c r="AC122" s="149"/>
      <c r="AD122" s="150"/>
      <c r="AK122" s="31" t="str">
        <f>IFERROR(INDEX('G-7 Rivers Data'!$AZ$3:$AZ$7,MATCH(C122,'G-7 Rivers Data'!$AY$3:$AY$7,0)),"")</f>
        <v/>
      </c>
    </row>
    <row r="123" spans="2:37" ht="13.8" x14ac:dyDescent="0.25">
      <c r="B123" s="141">
        <v>112</v>
      </c>
      <c r="C123" s="666"/>
      <c r="D123" s="172"/>
      <c r="E123" s="498" t="str">
        <f>IF(C123="","",VLOOKUP(C123,'G-7 Rivers Data'!$B$2:$Z$9,2,FALSE))</f>
        <v/>
      </c>
      <c r="F123" s="499" t="str">
        <f>IFERROR(VLOOKUP(E123,'G-7 Rivers Data'!$C$4:$D$8,2,FALSE),"")</f>
        <v/>
      </c>
      <c r="G123" s="145"/>
      <c r="H123" s="499" t="str">
        <f>IFERROR(INDEX('G-7 Rivers Data'!$H$4:$L$8,MATCH(C123,'G-7 Rivers Data'!$B$4:$B$8,0),MATCH(G123,'G-7 Rivers Data'!$H$3:$L$3,0)),"")</f>
        <v/>
      </c>
      <c r="I123" s="145"/>
      <c r="J123" s="540" t="str">
        <f>IF(I123="","",IF(VLOOKUP(I123,'G-7 Rivers Data'!$AG$4:$AI$9,2,FALSE)=0,"Spatial Data Missing ⚠",VLOOKUP(I123,'G-7 Rivers Data'!$AG$4:$AI$9,2,FALSE)))</f>
        <v/>
      </c>
      <c r="K123" s="499" t="str">
        <f>IF(I123="","",IF(VLOOKUP(I123,'G-7 Rivers Data'!$AG$4:$AI$9,3,FALSE)=0,"Spatial Data Missing ⚠",VLOOKUP(I123,'G-7 Rivers Data'!$AG$4:$AI$9,3,FALSE)))</f>
        <v/>
      </c>
      <c r="L123" s="635" t="str">
        <f>IFERROR(INDEX('G-7 Rivers Data'!$O$3:$O$7,MATCH(G123,'G-7 Rivers Data'!$N$3:$N$7,0)),"")</f>
        <v/>
      </c>
      <c r="M123" s="7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154"/>
      <c r="AA123" s="524" t="str">
        <f>IF(Z123="","",VLOOKUP(Z123,'G-7 Rivers Data'!$AO$4:$AP$7,2,FALSE))</f>
        <v/>
      </c>
      <c r="AB123" s="545" t="str">
        <f t="shared" si="12"/>
        <v/>
      </c>
      <c r="AC123" s="149"/>
      <c r="AD123" s="150"/>
      <c r="AK123" s="31" t="str">
        <f>IFERROR(INDEX('G-7 Rivers Data'!$AZ$3:$AZ$7,MATCH(C123,'G-7 Rivers Data'!$AY$3:$AY$7,0)),"")</f>
        <v/>
      </c>
    </row>
    <row r="124" spans="2:37" ht="13.8" x14ac:dyDescent="0.25">
      <c r="B124" s="141">
        <v>113</v>
      </c>
      <c r="C124" s="666"/>
      <c r="D124" s="172"/>
      <c r="E124" s="498" t="str">
        <f>IF(C124="","",VLOOKUP(C124,'G-7 Rivers Data'!$B$2:$Z$9,2,FALSE))</f>
        <v/>
      </c>
      <c r="F124" s="499" t="str">
        <f>IFERROR(VLOOKUP(E124,'G-7 Rivers Data'!$C$4:$D$8,2,FALSE),"")</f>
        <v/>
      </c>
      <c r="G124" s="145"/>
      <c r="H124" s="499" t="str">
        <f>IFERROR(INDEX('G-7 Rivers Data'!$H$4:$L$8,MATCH(C124,'G-7 Rivers Data'!$B$4:$B$8,0),MATCH(G124,'G-7 Rivers Data'!$H$3:$L$3,0)),"")</f>
        <v/>
      </c>
      <c r="I124" s="145"/>
      <c r="J124" s="540" t="str">
        <f>IF(I124="","",IF(VLOOKUP(I124,'G-7 Rivers Data'!$AG$4:$AI$9,2,FALSE)=0,"Spatial Data Missing ⚠",VLOOKUP(I124,'G-7 Rivers Data'!$AG$4:$AI$9,2,FALSE)))</f>
        <v/>
      </c>
      <c r="K124" s="499" t="str">
        <f>IF(I124="","",IF(VLOOKUP(I124,'G-7 Rivers Data'!$AG$4:$AI$9,3,FALSE)=0,"Spatial Data Missing ⚠",VLOOKUP(I124,'G-7 Rivers Data'!$AG$4:$AI$9,3,FALSE)))</f>
        <v/>
      </c>
      <c r="L124" s="635" t="str">
        <f>IFERROR(INDEX('G-7 Rivers Data'!$O$3:$O$7,MATCH(G124,'G-7 Rivers Data'!$N$3:$N$7,0)),"")</f>
        <v/>
      </c>
      <c r="M124" s="7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154"/>
      <c r="AA124" s="524" t="str">
        <f>IF(Z124="","",VLOOKUP(Z124,'G-7 Rivers Data'!$AO$4:$AP$7,2,FALSE))</f>
        <v/>
      </c>
      <c r="AB124" s="545" t="str">
        <f t="shared" si="12"/>
        <v/>
      </c>
      <c r="AC124" s="149"/>
      <c r="AD124" s="150"/>
      <c r="AK124" s="31" t="str">
        <f>IFERROR(INDEX('G-7 Rivers Data'!$AZ$3:$AZ$7,MATCH(C124,'G-7 Rivers Data'!$AY$3:$AY$7,0)),"")</f>
        <v/>
      </c>
    </row>
    <row r="125" spans="2:37" ht="13.8" x14ac:dyDescent="0.25">
      <c r="B125" s="141">
        <v>114</v>
      </c>
      <c r="C125" s="666"/>
      <c r="D125" s="172"/>
      <c r="E125" s="498" t="str">
        <f>IF(C125="","",VLOOKUP(C125,'G-7 Rivers Data'!$B$2:$Z$9,2,FALSE))</f>
        <v/>
      </c>
      <c r="F125" s="499" t="str">
        <f>IFERROR(VLOOKUP(E125,'G-7 Rivers Data'!$C$4:$D$8,2,FALSE),"")</f>
        <v/>
      </c>
      <c r="G125" s="145"/>
      <c r="H125" s="499" t="str">
        <f>IFERROR(INDEX('G-7 Rivers Data'!$H$4:$L$8,MATCH(C125,'G-7 Rivers Data'!$B$4:$B$8,0),MATCH(G125,'G-7 Rivers Data'!$H$3:$L$3,0)),"")</f>
        <v/>
      </c>
      <c r="I125" s="145"/>
      <c r="J125" s="540" t="str">
        <f>IF(I125="","",IF(VLOOKUP(I125,'G-7 Rivers Data'!$AG$4:$AI$9,2,FALSE)=0,"Spatial Data Missing ⚠",VLOOKUP(I125,'G-7 Rivers Data'!$AG$4:$AI$9,2,FALSE)))</f>
        <v/>
      </c>
      <c r="K125" s="499" t="str">
        <f>IF(I125="","",IF(VLOOKUP(I125,'G-7 Rivers Data'!$AG$4:$AI$9,3,FALSE)=0,"Spatial Data Missing ⚠",VLOOKUP(I125,'G-7 Rivers Data'!$AG$4:$AI$9,3,FALSE)))</f>
        <v/>
      </c>
      <c r="L125" s="635" t="str">
        <f>IFERROR(INDEX('G-7 Rivers Data'!$O$3:$O$7,MATCH(G125,'G-7 Rivers Data'!$N$3:$N$7,0)),"")</f>
        <v/>
      </c>
      <c r="M125" s="7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154"/>
      <c r="AA125" s="524" t="str">
        <f>IF(Z125="","",VLOOKUP(Z125,'G-7 Rivers Data'!$AO$4:$AP$7,2,FALSE))</f>
        <v/>
      </c>
      <c r="AB125" s="545" t="str">
        <f t="shared" si="12"/>
        <v/>
      </c>
      <c r="AC125" s="149"/>
      <c r="AD125" s="150"/>
      <c r="AK125" s="31" t="str">
        <f>IFERROR(INDEX('G-7 Rivers Data'!$AZ$3:$AZ$7,MATCH(C125,'G-7 Rivers Data'!$AY$3:$AY$7,0)),"")</f>
        <v/>
      </c>
    </row>
    <row r="126" spans="2:37" ht="13.8" x14ac:dyDescent="0.25">
      <c r="B126" s="141">
        <v>115</v>
      </c>
      <c r="C126" s="666"/>
      <c r="D126" s="172"/>
      <c r="E126" s="498" t="str">
        <f>IF(C126="","",VLOOKUP(C126,'G-7 Rivers Data'!$B$2:$Z$9,2,FALSE))</f>
        <v/>
      </c>
      <c r="F126" s="499" t="str">
        <f>IFERROR(VLOOKUP(E126,'G-7 Rivers Data'!$C$4:$D$8,2,FALSE),"")</f>
        <v/>
      </c>
      <c r="G126" s="145"/>
      <c r="H126" s="499" t="str">
        <f>IFERROR(INDEX('G-7 Rivers Data'!$H$4:$L$8,MATCH(C126,'G-7 Rivers Data'!$B$4:$B$8,0),MATCH(G126,'G-7 Rivers Data'!$H$3:$L$3,0)),"")</f>
        <v/>
      </c>
      <c r="I126" s="145"/>
      <c r="J126" s="540" t="str">
        <f>IF(I126="","",IF(VLOOKUP(I126,'G-7 Rivers Data'!$AG$4:$AI$9,2,FALSE)=0,"Spatial Data Missing ⚠",VLOOKUP(I126,'G-7 Rivers Data'!$AG$4:$AI$9,2,FALSE)))</f>
        <v/>
      </c>
      <c r="K126" s="499" t="str">
        <f>IF(I126="","",IF(VLOOKUP(I126,'G-7 Rivers Data'!$AG$4:$AI$9,3,FALSE)=0,"Spatial Data Missing ⚠",VLOOKUP(I126,'G-7 Rivers Data'!$AG$4:$AI$9,3,FALSE)))</f>
        <v/>
      </c>
      <c r="L126" s="635" t="str">
        <f>IFERROR(INDEX('G-7 Rivers Data'!$O$3:$O$7,MATCH(G126,'G-7 Rivers Data'!$N$3:$N$7,0)),"")</f>
        <v/>
      </c>
      <c r="M126" s="7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154"/>
      <c r="AA126" s="524" t="str">
        <f>IF(Z126="","",VLOOKUP(Z126,'G-7 Rivers Data'!$AO$4:$AP$7,2,FALSE))</f>
        <v/>
      </c>
      <c r="AB126" s="545" t="str">
        <f t="shared" si="12"/>
        <v/>
      </c>
      <c r="AC126" s="149"/>
      <c r="AD126" s="150"/>
      <c r="AK126" s="31" t="str">
        <f>IFERROR(INDEX('G-7 Rivers Data'!$AZ$3:$AZ$7,MATCH(C126,'G-7 Rivers Data'!$AY$3:$AY$7,0)),"")</f>
        <v/>
      </c>
    </row>
    <row r="127" spans="2:37" ht="13.8" x14ac:dyDescent="0.25">
      <c r="B127" s="141">
        <v>116</v>
      </c>
      <c r="C127" s="666"/>
      <c r="D127" s="172"/>
      <c r="E127" s="498" t="str">
        <f>IF(C127="","",VLOOKUP(C127,'G-7 Rivers Data'!$B$2:$Z$9,2,FALSE))</f>
        <v/>
      </c>
      <c r="F127" s="499" t="str">
        <f>IFERROR(VLOOKUP(E127,'G-7 Rivers Data'!$C$4:$D$8,2,FALSE),"")</f>
        <v/>
      </c>
      <c r="G127" s="145"/>
      <c r="H127" s="499" t="str">
        <f>IFERROR(INDEX('G-7 Rivers Data'!$H$4:$L$8,MATCH(C127,'G-7 Rivers Data'!$B$4:$B$8,0),MATCH(G127,'G-7 Rivers Data'!$H$3:$L$3,0)),"")</f>
        <v/>
      </c>
      <c r="I127" s="145"/>
      <c r="J127" s="540" t="str">
        <f>IF(I127="","",IF(VLOOKUP(I127,'G-7 Rivers Data'!$AG$4:$AI$9,2,FALSE)=0,"Spatial Data Missing ⚠",VLOOKUP(I127,'G-7 Rivers Data'!$AG$4:$AI$9,2,FALSE)))</f>
        <v/>
      </c>
      <c r="K127" s="499" t="str">
        <f>IF(I127="","",IF(VLOOKUP(I127,'G-7 Rivers Data'!$AG$4:$AI$9,3,FALSE)=0,"Spatial Data Missing ⚠",VLOOKUP(I127,'G-7 Rivers Data'!$AG$4:$AI$9,3,FALSE)))</f>
        <v/>
      </c>
      <c r="L127" s="635" t="str">
        <f>IFERROR(INDEX('G-7 Rivers Data'!$O$3:$O$7,MATCH(G127,'G-7 Rivers Data'!$N$3:$N$7,0)),"")</f>
        <v/>
      </c>
      <c r="M127" s="7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154"/>
      <c r="AA127" s="524" t="str">
        <f>IF(Z127="","",VLOOKUP(Z127,'G-7 Rivers Data'!$AO$4:$AP$7,2,FALSE))</f>
        <v/>
      </c>
      <c r="AB127" s="545" t="str">
        <f t="shared" si="12"/>
        <v/>
      </c>
      <c r="AC127" s="149"/>
      <c r="AD127" s="150"/>
      <c r="AK127" s="31" t="str">
        <f>IFERROR(INDEX('G-7 Rivers Data'!$AZ$3:$AZ$7,MATCH(C127,'G-7 Rivers Data'!$AY$3:$AY$7,0)),"")</f>
        <v/>
      </c>
    </row>
    <row r="128" spans="2:37" ht="13.8" x14ac:dyDescent="0.25">
      <c r="B128" s="141">
        <v>117</v>
      </c>
      <c r="C128" s="666"/>
      <c r="D128" s="172"/>
      <c r="E128" s="498" t="str">
        <f>IF(C128="","",VLOOKUP(C128,'G-7 Rivers Data'!$B$2:$Z$9,2,FALSE))</f>
        <v/>
      </c>
      <c r="F128" s="499" t="str">
        <f>IFERROR(VLOOKUP(E128,'G-7 Rivers Data'!$C$4:$D$8,2,FALSE),"")</f>
        <v/>
      </c>
      <c r="G128" s="145"/>
      <c r="H128" s="499" t="str">
        <f>IFERROR(INDEX('G-7 Rivers Data'!$H$4:$L$8,MATCH(C128,'G-7 Rivers Data'!$B$4:$B$8,0),MATCH(G128,'G-7 Rivers Data'!$H$3:$L$3,0)),"")</f>
        <v/>
      </c>
      <c r="I128" s="145"/>
      <c r="J128" s="540" t="str">
        <f>IF(I128="","",IF(VLOOKUP(I128,'G-7 Rivers Data'!$AG$4:$AI$9,2,FALSE)=0,"Spatial Data Missing ⚠",VLOOKUP(I128,'G-7 Rivers Data'!$AG$4:$AI$9,2,FALSE)))</f>
        <v/>
      </c>
      <c r="K128" s="499" t="str">
        <f>IF(I128="","",IF(VLOOKUP(I128,'G-7 Rivers Data'!$AG$4:$AI$9,3,FALSE)=0,"Spatial Data Missing ⚠",VLOOKUP(I128,'G-7 Rivers Data'!$AG$4:$AI$9,3,FALSE)))</f>
        <v/>
      </c>
      <c r="L128" s="635" t="str">
        <f>IFERROR(INDEX('G-7 Rivers Data'!$O$3:$O$7,MATCH(G128,'G-7 Rivers Data'!$N$3:$N$7,0)),"")</f>
        <v/>
      </c>
      <c r="M128" s="7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154"/>
      <c r="AA128" s="524" t="str">
        <f>IF(Z128="","",VLOOKUP(Z128,'G-7 Rivers Data'!$AO$4:$AP$7,2,FALSE))</f>
        <v/>
      </c>
      <c r="AB128" s="545" t="str">
        <f t="shared" si="12"/>
        <v/>
      </c>
      <c r="AC128" s="149"/>
      <c r="AD128" s="150"/>
      <c r="AK128" s="31" t="str">
        <f>IFERROR(INDEX('G-7 Rivers Data'!$AZ$3:$AZ$7,MATCH(C128,'G-7 Rivers Data'!$AY$3:$AY$7,0)),"")</f>
        <v/>
      </c>
    </row>
    <row r="129" spans="2:37" ht="13.8" x14ac:dyDescent="0.25">
      <c r="B129" s="141">
        <v>118</v>
      </c>
      <c r="C129" s="666"/>
      <c r="D129" s="172"/>
      <c r="E129" s="498" t="str">
        <f>IF(C129="","",VLOOKUP(C129,'G-7 Rivers Data'!$B$2:$Z$9,2,FALSE))</f>
        <v/>
      </c>
      <c r="F129" s="499" t="str">
        <f>IFERROR(VLOOKUP(E129,'G-7 Rivers Data'!$C$4:$D$8,2,FALSE),"")</f>
        <v/>
      </c>
      <c r="G129" s="145"/>
      <c r="H129" s="499" t="str">
        <f>IFERROR(INDEX('G-7 Rivers Data'!$H$4:$L$8,MATCH(C129,'G-7 Rivers Data'!$B$4:$B$8,0),MATCH(G129,'G-7 Rivers Data'!$H$3:$L$3,0)),"")</f>
        <v/>
      </c>
      <c r="I129" s="145"/>
      <c r="J129" s="540" t="str">
        <f>IF(I129="","",IF(VLOOKUP(I129,'G-7 Rivers Data'!$AG$4:$AI$9,2,FALSE)=0,"Spatial Data Missing ⚠",VLOOKUP(I129,'G-7 Rivers Data'!$AG$4:$AI$9,2,FALSE)))</f>
        <v/>
      </c>
      <c r="K129" s="499" t="str">
        <f>IF(I129="","",IF(VLOOKUP(I129,'G-7 Rivers Data'!$AG$4:$AI$9,3,FALSE)=0,"Spatial Data Missing ⚠",VLOOKUP(I129,'G-7 Rivers Data'!$AG$4:$AI$9,3,FALSE)))</f>
        <v/>
      </c>
      <c r="L129" s="635" t="str">
        <f>IFERROR(INDEX('G-7 Rivers Data'!$O$3:$O$7,MATCH(G129,'G-7 Rivers Data'!$N$3:$N$7,0)),"")</f>
        <v/>
      </c>
      <c r="M129" s="7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154"/>
      <c r="AA129" s="524" t="str">
        <f>IF(Z129="","",VLOOKUP(Z129,'G-7 Rivers Data'!$AO$4:$AP$7,2,FALSE))</f>
        <v/>
      </c>
      <c r="AB129" s="545" t="str">
        <f t="shared" si="12"/>
        <v/>
      </c>
      <c r="AC129" s="149"/>
      <c r="AD129" s="150"/>
      <c r="AK129" s="31" t="str">
        <f>IFERROR(INDEX('G-7 Rivers Data'!$AZ$3:$AZ$7,MATCH(C129,'G-7 Rivers Data'!$AY$3:$AY$7,0)),"")</f>
        <v/>
      </c>
    </row>
    <row r="130" spans="2:37" ht="13.8" x14ac:dyDescent="0.25">
      <c r="B130" s="141">
        <v>119</v>
      </c>
      <c r="C130" s="666"/>
      <c r="D130" s="172"/>
      <c r="E130" s="498" t="str">
        <f>IF(C130="","",VLOOKUP(C130,'G-7 Rivers Data'!$B$2:$Z$9,2,FALSE))</f>
        <v/>
      </c>
      <c r="F130" s="499" t="str">
        <f>IFERROR(VLOOKUP(E130,'G-7 Rivers Data'!$C$4:$D$8,2,FALSE),"")</f>
        <v/>
      </c>
      <c r="G130" s="145"/>
      <c r="H130" s="499" t="str">
        <f>IFERROR(INDEX('G-7 Rivers Data'!$H$4:$L$8,MATCH(C130,'G-7 Rivers Data'!$B$4:$B$8,0),MATCH(G130,'G-7 Rivers Data'!$H$3:$L$3,0)),"")</f>
        <v/>
      </c>
      <c r="I130" s="145"/>
      <c r="J130" s="540" t="str">
        <f>IF(I130="","",IF(VLOOKUP(I130,'G-7 Rivers Data'!$AG$4:$AI$9,2,FALSE)=0,"Spatial Data Missing ⚠",VLOOKUP(I130,'G-7 Rivers Data'!$AG$4:$AI$9,2,FALSE)))</f>
        <v/>
      </c>
      <c r="K130" s="499" t="str">
        <f>IF(I130="","",IF(VLOOKUP(I130,'G-7 Rivers Data'!$AG$4:$AI$9,3,FALSE)=0,"Spatial Data Missing ⚠",VLOOKUP(I130,'G-7 Rivers Data'!$AG$4:$AI$9,3,FALSE)))</f>
        <v/>
      </c>
      <c r="L130" s="635" t="str">
        <f>IFERROR(INDEX('G-7 Rivers Data'!$O$3:$O$7,MATCH(G130,'G-7 Rivers Data'!$N$3:$N$7,0)),"")</f>
        <v/>
      </c>
      <c r="M130" s="7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154"/>
      <c r="AA130" s="524" t="str">
        <f>IF(Z130="","",VLOOKUP(Z130,'G-7 Rivers Data'!$AO$4:$AP$7,2,FALSE))</f>
        <v/>
      </c>
      <c r="AB130" s="545" t="str">
        <f t="shared" si="12"/>
        <v/>
      </c>
      <c r="AC130" s="149"/>
      <c r="AD130" s="150"/>
      <c r="AK130" s="31" t="str">
        <f>IFERROR(INDEX('G-7 Rivers Data'!$AZ$3:$AZ$7,MATCH(C130,'G-7 Rivers Data'!$AY$3:$AY$7,0)),"")</f>
        <v/>
      </c>
    </row>
    <row r="131" spans="2:37" ht="13.8" x14ac:dyDescent="0.25">
      <c r="B131" s="141">
        <v>120</v>
      </c>
      <c r="C131" s="666"/>
      <c r="D131" s="172"/>
      <c r="E131" s="498" t="str">
        <f>IF(C131="","",VLOOKUP(C131,'G-7 Rivers Data'!$B$2:$Z$9,2,FALSE))</f>
        <v/>
      </c>
      <c r="F131" s="499" t="str">
        <f>IFERROR(VLOOKUP(E131,'G-7 Rivers Data'!$C$4:$D$8,2,FALSE),"")</f>
        <v/>
      </c>
      <c r="G131" s="145"/>
      <c r="H131" s="499" t="str">
        <f>IFERROR(INDEX('G-7 Rivers Data'!$H$4:$L$8,MATCH(C131,'G-7 Rivers Data'!$B$4:$B$8,0),MATCH(G131,'G-7 Rivers Data'!$H$3:$L$3,0)),"")</f>
        <v/>
      </c>
      <c r="I131" s="145"/>
      <c r="J131" s="540" t="str">
        <f>IF(I131="","",IF(VLOOKUP(I131,'G-7 Rivers Data'!$AG$4:$AI$9,2,FALSE)=0,"Spatial Data Missing ⚠",VLOOKUP(I131,'G-7 Rivers Data'!$AG$4:$AI$9,2,FALSE)))</f>
        <v/>
      </c>
      <c r="K131" s="499" t="str">
        <f>IF(I131="","",IF(VLOOKUP(I131,'G-7 Rivers Data'!$AG$4:$AI$9,3,FALSE)=0,"Spatial Data Missing ⚠",VLOOKUP(I131,'G-7 Rivers Data'!$AG$4:$AI$9,3,FALSE)))</f>
        <v/>
      </c>
      <c r="L131" s="635" t="str">
        <f>IFERROR(INDEX('G-7 Rivers Data'!$O$3:$O$7,MATCH(G131,'G-7 Rivers Data'!$N$3:$N$7,0)),"")</f>
        <v/>
      </c>
      <c r="M131" s="7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154"/>
      <c r="AA131" s="524" t="str">
        <f>IF(Z131="","",VLOOKUP(Z131,'G-7 Rivers Data'!$AO$4:$AP$7,2,FALSE))</f>
        <v/>
      </c>
      <c r="AB131" s="545" t="str">
        <f t="shared" si="12"/>
        <v/>
      </c>
      <c r="AC131" s="149"/>
      <c r="AD131" s="150"/>
      <c r="AK131" s="31" t="str">
        <f>IFERROR(INDEX('G-7 Rivers Data'!$AZ$3:$AZ$7,MATCH(C131,'G-7 Rivers Data'!$AY$3:$AY$7,0)),"")</f>
        <v/>
      </c>
    </row>
    <row r="132" spans="2:37" ht="13.8" x14ac:dyDescent="0.25">
      <c r="B132" s="141">
        <v>121</v>
      </c>
      <c r="C132" s="666"/>
      <c r="D132" s="172"/>
      <c r="E132" s="498" t="str">
        <f>IF(C132="","",VLOOKUP(C132,'G-7 Rivers Data'!$B$2:$Z$9,2,FALSE))</f>
        <v/>
      </c>
      <c r="F132" s="499" t="str">
        <f>IFERROR(VLOOKUP(E132,'G-7 Rivers Data'!$C$4:$D$8,2,FALSE),"")</f>
        <v/>
      </c>
      <c r="G132" s="145"/>
      <c r="H132" s="499" t="str">
        <f>IFERROR(INDEX('G-7 Rivers Data'!$H$4:$L$8,MATCH(C132,'G-7 Rivers Data'!$B$4:$B$8,0),MATCH(G132,'G-7 Rivers Data'!$H$3:$L$3,0)),"")</f>
        <v/>
      </c>
      <c r="I132" s="145"/>
      <c r="J132" s="540" t="str">
        <f>IF(I132="","",IF(VLOOKUP(I132,'G-7 Rivers Data'!$AG$4:$AI$9,2,FALSE)=0,"Spatial Data Missing ⚠",VLOOKUP(I132,'G-7 Rivers Data'!$AG$4:$AI$9,2,FALSE)))</f>
        <v/>
      </c>
      <c r="K132" s="499" t="str">
        <f>IF(I132="","",IF(VLOOKUP(I132,'G-7 Rivers Data'!$AG$4:$AI$9,3,FALSE)=0,"Spatial Data Missing ⚠",VLOOKUP(I132,'G-7 Rivers Data'!$AG$4:$AI$9,3,FALSE)))</f>
        <v/>
      </c>
      <c r="L132" s="635" t="str">
        <f>IFERROR(INDEX('G-7 Rivers Data'!$O$3:$O$7,MATCH(G132,'G-7 Rivers Data'!$N$3:$N$7,0)),"")</f>
        <v/>
      </c>
      <c r="M132" s="7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154"/>
      <c r="AA132" s="524" t="str">
        <f>IF(Z132="","",VLOOKUP(Z132,'G-7 Rivers Data'!$AO$4:$AP$7,2,FALSE))</f>
        <v/>
      </c>
      <c r="AB132" s="545" t="str">
        <f t="shared" si="12"/>
        <v/>
      </c>
      <c r="AC132" s="149"/>
      <c r="AD132" s="150"/>
      <c r="AK132" s="31" t="str">
        <f>IFERROR(INDEX('G-7 Rivers Data'!$AZ$3:$AZ$7,MATCH(C132,'G-7 Rivers Data'!$AY$3:$AY$7,0)),"")</f>
        <v/>
      </c>
    </row>
    <row r="133" spans="2:37" ht="13.8" x14ac:dyDescent="0.25">
      <c r="B133" s="141">
        <v>122</v>
      </c>
      <c r="C133" s="666"/>
      <c r="D133" s="172"/>
      <c r="E133" s="498" t="str">
        <f>IF(C133="","",VLOOKUP(C133,'G-7 Rivers Data'!$B$2:$Z$9,2,FALSE))</f>
        <v/>
      </c>
      <c r="F133" s="499" t="str">
        <f>IFERROR(VLOOKUP(E133,'G-7 Rivers Data'!$C$4:$D$8,2,FALSE),"")</f>
        <v/>
      </c>
      <c r="G133" s="145"/>
      <c r="H133" s="499" t="str">
        <f>IFERROR(INDEX('G-7 Rivers Data'!$H$4:$L$8,MATCH(C133,'G-7 Rivers Data'!$B$4:$B$8,0),MATCH(G133,'G-7 Rivers Data'!$H$3:$L$3,0)),"")</f>
        <v/>
      </c>
      <c r="I133" s="145"/>
      <c r="J133" s="540" t="str">
        <f>IF(I133="","",IF(VLOOKUP(I133,'G-7 Rivers Data'!$AG$4:$AI$9,2,FALSE)=0,"Spatial Data Missing ⚠",VLOOKUP(I133,'G-7 Rivers Data'!$AG$4:$AI$9,2,FALSE)))</f>
        <v/>
      </c>
      <c r="K133" s="499" t="str">
        <f>IF(I133="","",IF(VLOOKUP(I133,'G-7 Rivers Data'!$AG$4:$AI$9,3,FALSE)=0,"Spatial Data Missing ⚠",VLOOKUP(I133,'G-7 Rivers Data'!$AG$4:$AI$9,3,FALSE)))</f>
        <v/>
      </c>
      <c r="L133" s="635" t="str">
        <f>IFERROR(INDEX('G-7 Rivers Data'!$O$3:$O$7,MATCH(G133,'G-7 Rivers Data'!$N$3:$N$7,0)),"")</f>
        <v/>
      </c>
      <c r="M133" s="7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154"/>
      <c r="AA133" s="524" t="str">
        <f>IF(Z133="","",VLOOKUP(Z133,'G-7 Rivers Data'!$AO$4:$AP$7,2,FALSE))</f>
        <v/>
      </c>
      <c r="AB133" s="545" t="str">
        <f t="shared" si="12"/>
        <v/>
      </c>
      <c r="AC133" s="149"/>
      <c r="AD133" s="150"/>
      <c r="AK133" s="31" t="str">
        <f>IFERROR(INDEX('G-7 Rivers Data'!$AZ$3:$AZ$7,MATCH(C133,'G-7 Rivers Data'!$AY$3:$AY$7,0)),"")</f>
        <v/>
      </c>
    </row>
    <row r="134" spans="2:37" ht="13.8" x14ac:dyDescent="0.25">
      <c r="B134" s="141">
        <v>123</v>
      </c>
      <c r="C134" s="666"/>
      <c r="D134" s="172"/>
      <c r="E134" s="498" t="str">
        <f>IF(C134="","",VLOOKUP(C134,'G-7 Rivers Data'!$B$2:$Z$9,2,FALSE))</f>
        <v/>
      </c>
      <c r="F134" s="499" t="str">
        <f>IFERROR(VLOOKUP(E134,'G-7 Rivers Data'!$C$4:$D$8,2,FALSE),"")</f>
        <v/>
      </c>
      <c r="G134" s="145"/>
      <c r="H134" s="499" t="str">
        <f>IFERROR(INDEX('G-7 Rivers Data'!$H$4:$L$8,MATCH(C134,'G-7 Rivers Data'!$B$4:$B$8,0),MATCH(G134,'G-7 Rivers Data'!$H$3:$L$3,0)),"")</f>
        <v/>
      </c>
      <c r="I134" s="145"/>
      <c r="J134" s="540" t="str">
        <f>IF(I134="","",IF(VLOOKUP(I134,'G-7 Rivers Data'!$AG$4:$AI$9,2,FALSE)=0,"Spatial Data Missing ⚠",VLOOKUP(I134,'G-7 Rivers Data'!$AG$4:$AI$9,2,FALSE)))</f>
        <v/>
      </c>
      <c r="K134" s="499" t="str">
        <f>IF(I134="","",IF(VLOOKUP(I134,'G-7 Rivers Data'!$AG$4:$AI$9,3,FALSE)=0,"Spatial Data Missing ⚠",VLOOKUP(I134,'G-7 Rivers Data'!$AG$4:$AI$9,3,FALSE)))</f>
        <v/>
      </c>
      <c r="L134" s="635" t="str">
        <f>IFERROR(INDEX('G-7 Rivers Data'!$O$3:$O$7,MATCH(G134,'G-7 Rivers Data'!$N$3:$N$7,0)),"")</f>
        <v/>
      </c>
      <c r="M134" s="7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154"/>
      <c r="AA134" s="524" t="str">
        <f>IF(Z134="","",VLOOKUP(Z134,'G-7 Rivers Data'!$AO$4:$AP$7,2,FALSE))</f>
        <v/>
      </c>
      <c r="AB134" s="545" t="str">
        <f t="shared" si="12"/>
        <v/>
      </c>
      <c r="AC134" s="149"/>
      <c r="AD134" s="150"/>
      <c r="AK134" s="31" t="str">
        <f>IFERROR(INDEX('G-7 Rivers Data'!$AZ$3:$AZ$7,MATCH(C134,'G-7 Rivers Data'!$AY$3:$AY$7,0)),"")</f>
        <v/>
      </c>
    </row>
    <row r="135" spans="2:37" ht="13.8" x14ac:dyDescent="0.25">
      <c r="B135" s="141">
        <v>124</v>
      </c>
      <c r="C135" s="666"/>
      <c r="D135" s="172"/>
      <c r="E135" s="498" t="str">
        <f>IF(C135="","",VLOOKUP(C135,'G-7 Rivers Data'!$B$2:$Z$9,2,FALSE))</f>
        <v/>
      </c>
      <c r="F135" s="499" t="str">
        <f>IFERROR(VLOOKUP(E135,'G-7 Rivers Data'!$C$4:$D$8,2,FALSE),"")</f>
        <v/>
      </c>
      <c r="G135" s="145"/>
      <c r="H135" s="499" t="str">
        <f>IFERROR(INDEX('G-7 Rivers Data'!$H$4:$L$8,MATCH(C135,'G-7 Rivers Data'!$B$4:$B$8,0),MATCH(G135,'G-7 Rivers Data'!$H$3:$L$3,0)),"")</f>
        <v/>
      </c>
      <c r="I135" s="145"/>
      <c r="J135" s="540" t="str">
        <f>IF(I135="","",IF(VLOOKUP(I135,'G-7 Rivers Data'!$AG$4:$AI$9,2,FALSE)=0,"Spatial Data Missing ⚠",VLOOKUP(I135,'G-7 Rivers Data'!$AG$4:$AI$9,2,FALSE)))</f>
        <v/>
      </c>
      <c r="K135" s="499" t="str">
        <f>IF(I135="","",IF(VLOOKUP(I135,'G-7 Rivers Data'!$AG$4:$AI$9,3,FALSE)=0,"Spatial Data Missing ⚠",VLOOKUP(I135,'G-7 Rivers Data'!$AG$4:$AI$9,3,FALSE)))</f>
        <v/>
      </c>
      <c r="L135" s="635" t="str">
        <f>IFERROR(INDEX('G-7 Rivers Data'!$O$3:$O$7,MATCH(G135,'G-7 Rivers Data'!$N$3:$N$7,0)),"")</f>
        <v/>
      </c>
      <c r="M135" s="7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154"/>
      <c r="AA135" s="524" t="str">
        <f>IF(Z135="","",VLOOKUP(Z135,'G-7 Rivers Data'!$AO$4:$AP$7,2,FALSE))</f>
        <v/>
      </c>
      <c r="AB135" s="545" t="str">
        <f t="shared" si="12"/>
        <v/>
      </c>
      <c r="AC135" s="149"/>
      <c r="AD135" s="150"/>
      <c r="AK135" s="31" t="str">
        <f>IFERROR(INDEX('G-7 Rivers Data'!$AZ$3:$AZ$7,MATCH(C135,'G-7 Rivers Data'!$AY$3:$AY$7,0)),"")</f>
        <v/>
      </c>
    </row>
    <row r="136" spans="2:37" ht="13.8" x14ac:dyDescent="0.25">
      <c r="B136" s="141">
        <v>125</v>
      </c>
      <c r="C136" s="666"/>
      <c r="D136" s="172"/>
      <c r="E136" s="498" t="str">
        <f>IF(C136="","",VLOOKUP(C136,'G-7 Rivers Data'!$B$2:$Z$9,2,FALSE))</f>
        <v/>
      </c>
      <c r="F136" s="499" t="str">
        <f>IFERROR(VLOOKUP(E136,'G-7 Rivers Data'!$C$4:$D$8,2,FALSE),"")</f>
        <v/>
      </c>
      <c r="G136" s="145"/>
      <c r="H136" s="499" t="str">
        <f>IFERROR(INDEX('G-7 Rivers Data'!$H$4:$L$8,MATCH(C136,'G-7 Rivers Data'!$B$4:$B$8,0),MATCH(G136,'G-7 Rivers Data'!$H$3:$L$3,0)),"")</f>
        <v/>
      </c>
      <c r="I136" s="145"/>
      <c r="J136" s="540" t="str">
        <f>IF(I136="","",IF(VLOOKUP(I136,'G-7 Rivers Data'!$AG$4:$AI$9,2,FALSE)=0,"Spatial Data Missing ⚠",VLOOKUP(I136,'G-7 Rivers Data'!$AG$4:$AI$9,2,FALSE)))</f>
        <v/>
      </c>
      <c r="K136" s="499" t="str">
        <f>IF(I136="","",IF(VLOOKUP(I136,'G-7 Rivers Data'!$AG$4:$AI$9,3,FALSE)=0,"Spatial Data Missing ⚠",VLOOKUP(I136,'G-7 Rivers Data'!$AG$4:$AI$9,3,FALSE)))</f>
        <v/>
      </c>
      <c r="L136" s="635" t="str">
        <f>IFERROR(INDEX('G-7 Rivers Data'!$O$3:$O$7,MATCH(G136,'G-7 Rivers Data'!$N$3:$N$7,0)),"")</f>
        <v/>
      </c>
      <c r="M136" s="7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154"/>
      <c r="AA136" s="524" t="str">
        <f>IF(Z136="","",VLOOKUP(Z136,'G-7 Rivers Data'!$AO$4:$AP$7,2,FALSE))</f>
        <v/>
      </c>
      <c r="AB136" s="545" t="str">
        <f t="shared" si="12"/>
        <v/>
      </c>
      <c r="AC136" s="149"/>
      <c r="AD136" s="150"/>
      <c r="AK136" s="31" t="str">
        <f>IFERROR(INDEX('G-7 Rivers Data'!$AZ$3:$AZ$7,MATCH(C136,'G-7 Rivers Data'!$AY$3:$AY$7,0)),"")</f>
        <v/>
      </c>
    </row>
    <row r="137" spans="2:37" ht="13.8" x14ac:dyDescent="0.25">
      <c r="B137" s="141">
        <v>126</v>
      </c>
      <c r="C137" s="666"/>
      <c r="D137" s="172"/>
      <c r="E137" s="498" t="str">
        <f>IF(C137="","",VLOOKUP(C137,'G-7 Rivers Data'!$B$2:$Z$9,2,FALSE))</f>
        <v/>
      </c>
      <c r="F137" s="499" t="str">
        <f>IFERROR(VLOOKUP(E137,'G-7 Rivers Data'!$C$4:$D$8,2,FALSE),"")</f>
        <v/>
      </c>
      <c r="G137" s="145"/>
      <c r="H137" s="499" t="str">
        <f>IFERROR(INDEX('G-7 Rivers Data'!$H$4:$L$8,MATCH(C137,'G-7 Rivers Data'!$B$4:$B$8,0),MATCH(G137,'G-7 Rivers Data'!$H$3:$L$3,0)),"")</f>
        <v/>
      </c>
      <c r="I137" s="145"/>
      <c r="J137" s="540" t="str">
        <f>IF(I137="","",IF(VLOOKUP(I137,'G-7 Rivers Data'!$AG$4:$AI$9,2,FALSE)=0,"Spatial Data Missing ⚠",VLOOKUP(I137,'G-7 Rivers Data'!$AG$4:$AI$9,2,FALSE)))</f>
        <v/>
      </c>
      <c r="K137" s="499" t="str">
        <f>IF(I137="","",IF(VLOOKUP(I137,'G-7 Rivers Data'!$AG$4:$AI$9,3,FALSE)=0,"Spatial Data Missing ⚠",VLOOKUP(I137,'G-7 Rivers Data'!$AG$4:$AI$9,3,FALSE)))</f>
        <v/>
      </c>
      <c r="L137" s="635" t="str">
        <f>IFERROR(INDEX('G-7 Rivers Data'!$O$3:$O$7,MATCH(G137,'G-7 Rivers Data'!$N$3:$N$7,0)),"")</f>
        <v/>
      </c>
      <c r="M137" s="7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154"/>
      <c r="AA137" s="524" t="str">
        <f>IF(Z137="","",VLOOKUP(Z137,'G-7 Rivers Data'!$AO$4:$AP$7,2,FALSE))</f>
        <v/>
      </c>
      <c r="AB137" s="545" t="str">
        <f t="shared" si="12"/>
        <v/>
      </c>
      <c r="AC137" s="149"/>
      <c r="AD137" s="150"/>
      <c r="AK137" s="31" t="str">
        <f>IFERROR(INDEX('G-7 Rivers Data'!$AZ$3:$AZ$7,MATCH(C137,'G-7 Rivers Data'!$AY$3:$AY$7,0)),"")</f>
        <v/>
      </c>
    </row>
    <row r="138" spans="2:37" ht="13.8" x14ac:dyDescent="0.25">
      <c r="B138" s="141">
        <v>127</v>
      </c>
      <c r="C138" s="666"/>
      <c r="D138" s="172"/>
      <c r="E138" s="498" t="str">
        <f>IF(C138="","",VLOOKUP(C138,'G-7 Rivers Data'!$B$2:$Z$9,2,FALSE))</f>
        <v/>
      </c>
      <c r="F138" s="499" t="str">
        <f>IFERROR(VLOOKUP(E138,'G-7 Rivers Data'!$C$4:$D$8,2,FALSE),"")</f>
        <v/>
      </c>
      <c r="G138" s="145"/>
      <c r="H138" s="499" t="str">
        <f>IFERROR(INDEX('G-7 Rivers Data'!$H$4:$L$8,MATCH(C138,'G-7 Rivers Data'!$B$4:$B$8,0),MATCH(G138,'G-7 Rivers Data'!$H$3:$L$3,0)),"")</f>
        <v/>
      </c>
      <c r="I138" s="145"/>
      <c r="J138" s="540" t="str">
        <f>IF(I138="","",IF(VLOOKUP(I138,'G-7 Rivers Data'!$AG$4:$AI$9,2,FALSE)=0,"Spatial Data Missing ⚠",VLOOKUP(I138,'G-7 Rivers Data'!$AG$4:$AI$9,2,FALSE)))</f>
        <v/>
      </c>
      <c r="K138" s="499" t="str">
        <f>IF(I138="","",IF(VLOOKUP(I138,'G-7 Rivers Data'!$AG$4:$AI$9,3,FALSE)=0,"Spatial Data Missing ⚠",VLOOKUP(I138,'G-7 Rivers Data'!$AG$4:$AI$9,3,FALSE)))</f>
        <v/>
      </c>
      <c r="L138" s="635" t="str">
        <f>IFERROR(INDEX('G-7 Rivers Data'!$O$3:$O$7,MATCH(G138,'G-7 Rivers Data'!$N$3:$N$7,0)),"")</f>
        <v/>
      </c>
      <c r="M138" s="7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154"/>
      <c r="AA138" s="524" t="str">
        <f>IF(Z138="","",VLOOKUP(Z138,'G-7 Rivers Data'!$AO$4:$AP$7,2,FALSE))</f>
        <v/>
      </c>
      <c r="AB138" s="545" t="str">
        <f t="shared" si="12"/>
        <v/>
      </c>
      <c r="AC138" s="149"/>
      <c r="AD138" s="150"/>
      <c r="AK138" s="31" t="str">
        <f>IFERROR(INDEX('G-7 Rivers Data'!$AZ$3:$AZ$7,MATCH(C138,'G-7 Rivers Data'!$AY$3:$AY$7,0)),"")</f>
        <v/>
      </c>
    </row>
    <row r="139" spans="2:37" ht="13.8" x14ac:dyDescent="0.25">
      <c r="B139" s="141">
        <v>128</v>
      </c>
      <c r="C139" s="666"/>
      <c r="D139" s="172"/>
      <c r="E139" s="498" t="str">
        <f>IF(C139="","",VLOOKUP(C139,'G-7 Rivers Data'!$B$2:$Z$9,2,FALSE))</f>
        <v/>
      </c>
      <c r="F139" s="499" t="str">
        <f>IFERROR(VLOOKUP(E139,'G-7 Rivers Data'!$C$4:$D$8,2,FALSE),"")</f>
        <v/>
      </c>
      <c r="G139" s="145"/>
      <c r="H139" s="499" t="str">
        <f>IFERROR(INDEX('G-7 Rivers Data'!$H$4:$L$8,MATCH(C139,'G-7 Rivers Data'!$B$4:$B$8,0),MATCH(G139,'G-7 Rivers Data'!$H$3:$L$3,0)),"")</f>
        <v/>
      </c>
      <c r="I139" s="145"/>
      <c r="J139" s="540" t="str">
        <f>IF(I139="","",IF(VLOOKUP(I139,'G-7 Rivers Data'!$AG$4:$AI$9,2,FALSE)=0,"Spatial Data Missing ⚠",VLOOKUP(I139,'G-7 Rivers Data'!$AG$4:$AI$9,2,FALSE)))</f>
        <v/>
      </c>
      <c r="K139" s="499" t="str">
        <f>IF(I139="","",IF(VLOOKUP(I139,'G-7 Rivers Data'!$AG$4:$AI$9,3,FALSE)=0,"Spatial Data Missing ⚠",VLOOKUP(I139,'G-7 Rivers Data'!$AG$4:$AI$9,3,FALSE)))</f>
        <v/>
      </c>
      <c r="L139" s="635" t="str">
        <f>IFERROR(INDEX('G-7 Rivers Data'!$O$3:$O$7,MATCH(G139,'G-7 Rivers Data'!$N$3:$N$7,0)),"")</f>
        <v/>
      </c>
      <c r="M139" s="7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154"/>
      <c r="AA139" s="524" t="str">
        <f>IF(Z139="","",VLOOKUP(Z139,'G-7 Rivers Data'!$AO$4:$AP$7,2,FALSE))</f>
        <v/>
      </c>
      <c r="AB139" s="545" t="str">
        <f t="shared" si="12"/>
        <v/>
      </c>
      <c r="AC139" s="149"/>
      <c r="AD139" s="150"/>
      <c r="AK139" s="31" t="str">
        <f>IFERROR(INDEX('G-7 Rivers Data'!$AZ$3:$AZ$7,MATCH(C139,'G-7 Rivers Data'!$AY$3:$AY$7,0)),"")</f>
        <v/>
      </c>
    </row>
    <row r="140" spans="2:37" ht="13.8" x14ac:dyDescent="0.25">
      <c r="B140" s="141">
        <v>129</v>
      </c>
      <c r="C140" s="666"/>
      <c r="D140" s="172"/>
      <c r="E140" s="498" t="str">
        <f>IF(C140="","",VLOOKUP(C140,'G-7 Rivers Data'!$B$2:$Z$9,2,FALSE))</f>
        <v/>
      </c>
      <c r="F140" s="499" t="str">
        <f>IFERROR(VLOOKUP(E140,'G-7 Rivers Data'!$C$4:$D$8,2,FALSE),"")</f>
        <v/>
      </c>
      <c r="G140" s="145"/>
      <c r="H140" s="499" t="str">
        <f>IFERROR(INDEX('G-7 Rivers Data'!$H$4:$L$8,MATCH(C140,'G-7 Rivers Data'!$B$4:$B$8,0),MATCH(G140,'G-7 Rivers Data'!$H$3:$L$3,0)),"")</f>
        <v/>
      </c>
      <c r="I140" s="145"/>
      <c r="J140" s="540" t="str">
        <f>IF(I140="","",IF(VLOOKUP(I140,'G-7 Rivers Data'!$AG$4:$AI$9,2,FALSE)=0,"Spatial Data Missing ⚠",VLOOKUP(I140,'G-7 Rivers Data'!$AG$4:$AI$9,2,FALSE)))</f>
        <v/>
      </c>
      <c r="K140" s="499" t="str">
        <f>IF(I140="","",IF(VLOOKUP(I140,'G-7 Rivers Data'!$AG$4:$AI$9,3,FALSE)=0,"Spatial Data Missing ⚠",VLOOKUP(I140,'G-7 Rivers Data'!$AG$4:$AI$9,3,FALSE)))</f>
        <v/>
      </c>
      <c r="L140" s="635" t="str">
        <f>IFERROR(INDEX('G-7 Rivers Data'!$O$3:$O$7,MATCH(G140,'G-7 Rivers Data'!$N$3:$N$7,0)),"")</f>
        <v/>
      </c>
      <c r="M140" s="7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154"/>
      <c r="AA140" s="524" t="str">
        <f>IF(Z140="","",VLOOKUP(Z140,'G-7 Rivers Data'!$AO$4:$AP$7,2,FALSE))</f>
        <v/>
      </c>
      <c r="AB140" s="545" t="str">
        <f t="shared" si="12"/>
        <v/>
      </c>
      <c r="AC140" s="149"/>
      <c r="AD140" s="150"/>
      <c r="AK140" s="31" t="str">
        <f>IFERROR(INDEX('G-7 Rivers Data'!$AZ$3:$AZ$7,MATCH(C140,'G-7 Rivers Data'!$AY$3:$AY$7,0)),"")</f>
        <v/>
      </c>
    </row>
    <row r="141" spans="2:37" ht="13.8" x14ac:dyDescent="0.25">
      <c r="B141" s="141">
        <v>130</v>
      </c>
      <c r="C141" s="666"/>
      <c r="D141" s="172"/>
      <c r="E141" s="498" t="str">
        <f>IF(C141="","",VLOOKUP(C141,'G-7 Rivers Data'!$B$2:$Z$9,2,FALSE))</f>
        <v/>
      </c>
      <c r="F141" s="499" t="str">
        <f>IFERROR(VLOOKUP(E141,'G-7 Rivers Data'!$C$4:$D$8,2,FALSE),"")</f>
        <v/>
      </c>
      <c r="G141" s="145"/>
      <c r="H141" s="499" t="str">
        <f>IFERROR(INDEX('G-7 Rivers Data'!$H$4:$L$8,MATCH(C141,'G-7 Rivers Data'!$B$4:$B$8,0),MATCH(G141,'G-7 Rivers Data'!$H$3:$L$3,0)),"")</f>
        <v/>
      </c>
      <c r="I141" s="145"/>
      <c r="J141" s="540" t="str">
        <f>IF(I141="","",IF(VLOOKUP(I141,'G-7 Rivers Data'!$AG$4:$AI$9,2,FALSE)=0,"Spatial Data Missing ⚠",VLOOKUP(I141,'G-7 Rivers Data'!$AG$4:$AI$9,2,FALSE)))</f>
        <v/>
      </c>
      <c r="K141" s="499" t="str">
        <f>IF(I141="","",IF(VLOOKUP(I141,'G-7 Rivers Data'!$AG$4:$AI$9,3,FALSE)=0,"Spatial Data Missing ⚠",VLOOKUP(I141,'G-7 Rivers Data'!$AG$4:$AI$9,3,FALSE)))</f>
        <v/>
      </c>
      <c r="L141" s="635" t="str">
        <f>IFERROR(INDEX('G-7 Rivers Data'!$O$3:$O$7,MATCH(G141,'G-7 Rivers Data'!$N$3:$N$7,0)),"")</f>
        <v/>
      </c>
      <c r="M141" s="7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⚠","No - Low Difficulty - only applicable if all habitat created before losses ⚠","Standard difficulty applied"))))</f>
        <v/>
      </c>
      <c r="T141" s="540" t="str">
        <f t="shared" ref="T141:T204" si="16">(IF(AND(S141="Standard difficulty applied",L141&gt;M141),R141,IF(AND(S141="No - 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154"/>
      <c r="AA141" s="524" t="str">
        <f>IF(Z141="","",VLOOKUP(Z141,'G-7 Rivers Data'!$AO$4:$AP$7,2,FALSE))</f>
        <v/>
      </c>
      <c r="AB141" s="545" t="str">
        <f t="shared" ref="AB141:AB204" si="18">IFERROR(D141*F141*H141*K141*Q141*U141*W141*Y141*AA141,"")</f>
        <v/>
      </c>
      <c r="AC141" s="149"/>
      <c r="AD141" s="150"/>
      <c r="AK141" s="31" t="str">
        <f>IFERROR(INDEX('G-7 Rivers Data'!$AZ$3:$AZ$7,MATCH(C141,'G-7 Rivers Data'!$AY$3:$AY$7,0)),"")</f>
        <v/>
      </c>
    </row>
    <row r="142" spans="2:37" ht="13.8" x14ac:dyDescent="0.25">
      <c r="B142" s="141">
        <v>131</v>
      </c>
      <c r="C142" s="666"/>
      <c r="D142" s="172"/>
      <c r="E142" s="498" t="str">
        <f>IF(C142="","",VLOOKUP(C142,'G-7 Rivers Data'!$B$2:$Z$9,2,FALSE))</f>
        <v/>
      </c>
      <c r="F142" s="499" t="str">
        <f>IFERROR(VLOOKUP(E142,'G-7 Rivers Data'!$C$4:$D$8,2,FALSE),"")</f>
        <v/>
      </c>
      <c r="G142" s="145"/>
      <c r="H142" s="499" t="str">
        <f>IFERROR(INDEX('G-7 Rivers Data'!$H$4:$L$8,MATCH(C142,'G-7 Rivers Data'!$B$4:$B$8,0),MATCH(G142,'G-7 Rivers Data'!$H$3:$L$3,0)),"")</f>
        <v/>
      </c>
      <c r="I142" s="145"/>
      <c r="J142" s="540" t="str">
        <f>IF(I142="","",IF(VLOOKUP(I142,'G-7 Rivers Data'!$AG$4:$AI$9,2,FALSE)=0,"Spatial Data Missing ⚠",VLOOKUP(I142,'G-7 Rivers Data'!$AG$4:$AI$9,2,FALSE)))</f>
        <v/>
      </c>
      <c r="K142" s="499" t="str">
        <f>IF(I142="","",IF(VLOOKUP(I142,'G-7 Rivers Data'!$AG$4:$AI$9,3,FALSE)=0,"Spatial Data Missing ⚠",VLOOKUP(I142,'G-7 Rivers Data'!$AG$4:$AI$9,3,FALSE)))</f>
        <v/>
      </c>
      <c r="L142" s="635" t="str">
        <f>IFERROR(INDEX('G-7 Rivers Data'!$O$3:$O$7,MATCH(G142,'G-7 Rivers Data'!$N$3:$N$7,0)),"")</f>
        <v/>
      </c>
      <c r="M142" s="7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154"/>
      <c r="AA142" s="524" t="str">
        <f>IF(Z142="","",VLOOKUP(Z142,'G-7 Rivers Data'!$AO$4:$AP$7,2,FALSE))</f>
        <v/>
      </c>
      <c r="AB142" s="545" t="str">
        <f t="shared" si="18"/>
        <v/>
      </c>
      <c r="AC142" s="149"/>
      <c r="AD142" s="150"/>
      <c r="AK142" s="31" t="str">
        <f>IFERROR(INDEX('G-7 Rivers Data'!$AZ$3:$AZ$7,MATCH(C142,'G-7 Rivers Data'!$AY$3:$AY$7,0)),"")</f>
        <v/>
      </c>
    </row>
    <row r="143" spans="2:37" ht="13.8" x14ac:dyDescent="0.25">
      <c r="B143" s="141">
        <v>132</v>
      </c>
      <c r="C143" s="666"/>
      <c r="D143" s="172"/>
      <c r="E143" s="498" t="str">
        <f>IF(C143="","",VLOOKUP(C143,'G-7 Rivers Data'!$B$2:$Z$9,2,FALSE))</f>
        <v/>
      </c>
      <c r="F143" s="499" t="str">
        <f>IFERROR(VLOOKUP(E143,'G-7 Rivers Data'!$C$4:$D$8,2,FALSE),"")</f>
        <v/>
      </c>
      <c r="G143" s="145"/>
      <c r="H143" s="499" t="str">
        <f>IFERROR(INDEX('G-7 Rivers Data'!$H$4:$L$8,MATCH(C143,'G-7 Rivers Data'!$B$4:$B$8,0),MATCH(G143,'G-7 Rivers Data'!$H$3:$L$3,0)),"")</f>
        <v/>
      </c>
      <c r="I143" s="145"/>
      <c r="J143" s="540" t="str">
        <f>IF(I143="","",IF(VLOOKUP(I143,'G-7 Rivers Data'!$AG$4:$AI$9,2,FALSE)=0,"Spatial Data Missing ⚠",VLOOKUP(I143,'G-7 Rivers Data'!$AG$4:$AI$9,2,FALSE)))</f>
        <v/>
      </c>
      <c r="K143" s="499" t="str">
        <f>IF(I143="","",IF(VLOOKUP(I143,'G-7 Rivers Data'!$AG$4:$AI$9,3,FALSE)=0,"Spatial Data Missing ⚠",VLOOKUP(I143,'G-7 Rivers Data'!$AG$4:$AI$9,3,FALSE)))</f>
        <v/>
      </c>
      <c r="L143" s="635" t="str">
        <f>IFERROR(INDEX('G-7 Rivers Data'!$O$3:$O$7,MATCH(G143,'G-7 Rivers Data'!$N$3:$N$7,0)),"")</f>
        <v/>
      </c>
      <c r="M143" s="7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154"/>
      <c r="AA143" s="524" t="str">
        <f>IF(Z143="","",VLOOKUP(Z143,'G-7 Rivers Data'!$AO$4:$AP$7,2,FALSE))</f>
        <v/>
      </c>
      <c r="AB143" s="545" t="str">
        <f t="shared" si="18"/>
        <v/>
      </c>
      <c r="AC143" s="149"/>
      <c r="AD143" s="150"/>
      <c r="AK143" s="31" t="str">
        <f>IFERROR(INDEX('G-7 Rivers Data'!$AZ$3:$AZ$7,MATCH(C143,'G-7 Rivers Data'!$AY$3:$AY$7,0)),"")</f>
        <v/>
      </c>
    </row>
    <row r="144" spans="2:37" ht="13.8" x14ac:dyDescent="0.25">
      <c r="B144" s="141">
        <v>133</v>
      </c>
      <c r="C144" s="666"/>
      <c r="D144" s="172"/>
      <c r="E144" s="498" t="str">
        <f>IF(C144="","",VLOOKUP(C144,'G-7 Rivers Data'!$B$2:$Z$9,2,FALSE))</f>
        <v/>
      </c>
      <c r="F144" s="499" t="str">
        <f>IFERROR(VLOOKUP(E144,'G-7 Rivers Data'!$C$4:$D$8,2,FALSE),"")</f>
        <v/>
      </c>
      <c r="G144" s="145"/>
      <c r="H144" s="499" t="str">
        <f>IFERROR(INDEX('G-7 Rivers Data'!$H$4:$L$8,MATCH(C144,'G-7 Rivers Data'!$B$4:$B$8,0),MATCH(G144,'G-7 Rivers Data'!$H$3:$L$3,0)),"")</f>
        <v/>
      </c>
      <c r="I144" s="145"/>
      <c r="J144" s="540" t="str">
        <f>IF(I144="","",IF(VLOOKUP(I144,'G-7 Rivers Data'!$AG$4:$AI$9,2,FALSE)=0,"Spatial Data Missing ⚠",VLOOKUP(I144,'G-7 Rivers Data'!$AG$4:$AI$9,2,FALSE)))</f>
        <v/>
      </c>
      <c r="K144" s="499" t="str">
        <f>IF(I144="","",IF(VLOOKUP(I144,'G-7 Rivers Data'!$AG$4:$AI$9,3,FALSE)=0,"Spatial Data Missing ⚠",VLOOKUP(I144,'G-7 Rivers Data'!$AG$4:$AI$9,3,FALSE)))</f>
        <v/>
      </c>
      <c r="L144" s="635" t="str">
        <f>IFERROR(INDEX('G-7 Rivers Data'!$O$3:$O$7,MATCH(G144,'G-7 Rivers Data'!$N$3:$N$7,0)),"")</f>
        <v/>
      </c>
      <c r="M144" s="7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154"/>
      <c r="AA144" s="524" t="str">
        <f>IF(Z144="","",VLOOKUP(Z144,'G-7 Rivers Data'!$AO$4:$AP$7,2,FALSE))</f>
        <v/>
      </c>
      <c r="AB144" s="545" t="str">
        <f t="shared" si="18"/>
        <v/>
      </c>
      <c r="AC144" s="149"/>
      <c r="AD144" s="150"/>
      <c r="AK144" s="31" t="str">
        <f>IFERROR(INDEX('G-7 Rivers Data'!$AZ$3:$AZ$7,MATCH(C144,'G-7 Rivers Data'!$AY$3:$AY$7,0)),"")</f>
        <v/>
      </c>
    </row>
    <row r="145" spans="2:37" ht="13.8" x14ac:dyDescent="0.25">
      <c r="B145" s="141">
        <v>134</v>
      </c>
      <c r="C145" s="666"/>
      <c r="D145" s="172"/>
      <c r="E145" s="498" t="str">
        <f>IF(C145="","",VLOOKUP(C145,'G-7 Rivers Data'!$B$2:$Z$9,2,FALSE))</f>
        <v/>
      </c>
      <c r="F145" s="499" t="str">
        <f>IFERROR(VLOOKUP(E145,'G-7 Rivers Data'!$C$4:$D$8,2,FALSE),"")</f>
        <v/>
      </c>
      <c r="G145" s="145"/>
      <c r="H145" s="499" t="str">
        <f>IFERROR(INDEX('G-7 Rivers Data'!$H$4:$L$8,MATCH(C145,'G-7 Rivers Data'!$B$4:$B$8,0),MATCH(G145,'G-7 Rivers Data'!$H$3:$L$3,0)),"")</f>
        <v/>
      </c>
      <c r="I145" s="145"/>
      <c r="J145" s="540" t="str">
        <f>IF(I145="","",IF(VLOOKUP(I145,'G-7 Rivers Data'!$AG$4:$AI$9,2,FALSE)=0,"Spatial Data Missing ⚠",VLOOKUP(I145,'G-7 Rivers Data'!$AG$4:$AI$9,2,FALSE)))</f>
        <v/>
      </c>
      <c r="K145" s="499" t="str">
        <f>IF(I145="","",IF(VLOOKUP(I145,'G-7 Rivers Data'!$AG$4:$AI$9,3,FALSE)=0,"Spatial Data Missing ⚠",VLOOKUP(I145,'G-7 Rivers Data'!$AG$4:$AI$9,3,FALSE)))</f>
        <v/>
      </c>
      <c r="L145" s="635" t="str">
        <f>IFERROR(INDEX('G-7 Rivers Data'!$O$3:$O$7,MATCH(G145,'G-7 Rivers Data'!$N$3:$N$7,0)),"")</f>
        <v/>
      </c>
      <c r="M145" s="7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154"/>
      <c r="AA145" s="524" t="str">
        <f>IF(Z145="","",VLOOKUP(Z145,'G-7 Rivers Data'!$AO$4:$AP$7,2,FALSE))</f>
        <v/>
      </c>
      <c r="AB145" s="545" t="str">
        <f t="shared" si="18"/>
        <v/>
      </c>
      <c r="AC145" s="149"/>
      <c r="AD145" s="150"/>
      <c r="AK145" s="31" t="str">
        <f>IFERROR(INDEX('G-7 Rivers Data'!$AZ$3:$AZ$7,MATCH(C145,'G-7 Rivers Data'!$AY$3:$AY$7,0)),"")</f>
        <v/>
      </c>
    </row>
    <row r="146" spans="2:37" ht="13.8" x14ac:dyDescent="0.25">
      <c r="B146" s="141">
        <v>135</v>
      </c>
      <c r="C146" s="666"/>
      <c r="D146" s="172"/>
      <c r="E146" s="498" t="str">
        <f>IF(C146="","",VLOOKUP(C146,'G-7 Rivers Data'!$B$2:$Z$9,2,FALSE))</f>
        <v/>
      </c>
      <c r="F146" s="499" t="str">
        <f>IFERROR(VLOOKUP(E146,'G-7 Rivers Data'!$C$4:$D$8,2,FALSE),"")</f>
        <v/>
      </c>
      <c r="G146" s="145"/>
      <c r="H146" s="499" t="str">
        <f>IFERROR(INDEX('G-7 Rivers Data'!$H$4:$L$8,MATCH(C146,'G-7 Rivers Data'!$B$4:$B$8,0),MATCH(G146,'G-7 Rivers Data'!$H$3:$L$3,0)),"")</f>
        <v/>
      </c>
      <c r="I146" s="145"/>
      <c r="J146" s="540" t="str">
        <f>IF(I146="","",IF(VLOOKUP(I146,'G-7 Rivers Data'!$AG$4:$AI$9,2,FALSE)=0,"Spatial Data Missing ⚠",VLOOKUP(I146,'G-7 Rivers Data'!$AG$4:$AI$9,2,FALSE)))</f>
        <v/>
      </c>
      <c r="K146" s="499" t="str">
        <f>IF(I146="","",IF(VLOOKUP(I146,'G-7 Rivers Data'!$AG$4:$AI$9,3,FALSE)=0,"Spatial Data Missing ⚠",VLOOKUP(I146,'G-7 Rivers Data'!$AG$4:$AI$9,3,FALSE)))</f>
        <v/>
      </c>
      <c r="L146" s="635" t="str">
        <f>IFERROR(INDEX('G-7 Rivers Data'!$O$3:$O$7,MATCH(G146,'G-7 Rivers Data'!$N$3:$N$7,0)),"")</f>
        <v/>
      </c>
      <c r="M146" s="7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154"/>
      <c r="AA146" s="524" t="str">
        <f>IF(Z146="","",VLOOKUP(Z146,'G-7 Rivers Data'!$AO$4:$AP$7,2,FALSE))</f>
        <v/>
      </c>
      <c r="AB146" s="545" t="str">
        <f t="shared" si="18"/>
        <v/>
      </c>
      <c r="AC146" s="149"/>
      <c r="AD146" s="150"/>
      <c r="AK146" s="31" t="str">
        <f>IFERROR(INDEX('G-7 Rivers Data'!$AZ$3:$AZ$7,MATCH(C146,'G-7 Rivers Data'!$AY$3:$AY$7,0)),"")</f>
        <v/>
      </c>
    </row>
    <row r="147" spans="2:37" ht="13.8" x14ac:dyDescent="0.25">
      <c r="B147" s="141">
        <v>136</v>
      </c>
      <c r="C147" s="666"/>
      <c r="D147" s="172"/>
      <c r="E147" s="498" t="str">
        <f>IF(C147="","",VLOOKUP(C147,'G-7 Rivers Data'!$B$2:$Z$9,2,FALSE))</f>
        <v/>
      </c>
      <c r="F147" s="499" t="str">
        <f>IFERROR(VLOOKUP(E147,'G-7 Rivers Data'!$C$4:$D$8,2,FALSE),"")</f>
        <v/>
      </c>
      <c r="G147" s="145"/>
      <c r="H147" s="499" t="str">
        <f>IFERROR(INDEX('G-7 Rivers Data'!$H$4:$L$8,MATCH(C147,'G-7 Rivers Data'!$B$4:$B$8,0),MATCH(G147,'G-7 Rivers Data'!$H$3:$L$3,0)),"")</f>
        <v/>
      </c>
      <c r="I147" s="145"/>
      <c r="J147" s="540" t="str">
        <f>IF(I147="","",IF(VLOOKUP(I147,'G-7 Rivers Data'!$AG$4:$AI$9,2,FALSE)=0,"Spatial Data Missing ⚠",VLOOKUP(I147,'G-7 Rivers Data'!$AG$4:$AI$9,2,FALSE)))</f>
        <v/>
      </c>
      <c r="K147" s="499" t="str">
        <f>IF(I147="","",IF(VLOOKUP(I147,'G-7 Rivers Data'!$AG$4:$AI$9,3,FALSE)=0,"Spatial Data Missing ⚠",VLOOKUP(I147,'G-7 Rivers Data'!$AG$4:$AI$9,3,FALSE)))</f>
        <v/>
      </c>
      <c r="L147" s="635" t="str">
        <f>IFERROR(INDEX('G-7 Rivers Data'!$O$3:$O$7,MATCH(G147,'G-7 Rivers Data'!$N$3:$N$7,0)),"")</f>
        <v/>
      </c>
      <c r="M147" s="7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154"/>
      <c r="AA147" s="524" t="str">
        <f>IF(Z147="","",VLOOKUP(Z147,'G-7 Rivers Data'!$AO$4:$AP$7,2,FALSE))</f>
        <v/>
      </c>
      <c r="AB147" s="545" t="str">
        <f t="shared" si="18"/>
        <v/>
      </c>
      <c r="AC147" s="149"/>
      <c r="AD147" s="150"/>
      <c r="AK147" s="31" t="str">
        <f>IFERROR(INDEX('G-7 Rivers Data'!$AZ$3:$AZ$7,MATCH(C147,'G-7 Rivers Data'!$AY$3:$AY$7,0)),"")</f>
        <v/>
      </c>
    </row>
    <row r="148" spans="2:37" ht="13.8" x14ac:dyDescent="0.25">
      <c r="B148" s="141">
        <v>137</v>
      </c>
      <c r="C148" s="666"/>
      <c r="D148" s="172"/>
      <c r="E148" s="498" t="str">
        <f>IF(C148="","",VLOOKUP(C148,'G-7 Rivers Data'!$B$2:$Z$9,2,FALSE))</f>
        <v/>
      </c>
      <c r="F148" s="499" t="str">
        <f>IFERROR(VLOOKUP(E148,'G-7 Rivers Data'!$C$4:$D$8,2,FALSE),"")</f>
        <v/>
      </c>
      <c r="G148" s="145"/>
      <c r="H148" s="499" t="str">
        <f>IFERROR(INDEX('G-7 Rivers Data'!$H$4:$L$8,MATCH(C148,'G-7 Rivers Data'!$B$4:$B$8,0),MATCH(G148,'G-7 Rivers Data'!$H$3:$L$3,0)),"")</f>
        <v/>
      </c>
      <c r="I148" s="145"/>
      <c r="J148" s="540" t="str">
        <f>IF(I148="","",IF(VLOOKUP(I148,'G-7 Rivers Data'!$AG$4:$AI$9,2,FALSE)=0,"Spatial Data Missing ⚠",VLOOKUP(I148,'G-7 Rivers Data'!$AG$4:$AI$9,2,FALSE)))</f>
        <v/>
      </c>
      <c r="K148" s="499" t="str">
        <f>IF(I148="","",IF(VLOOKUP(I148,'G-7 Rivers Data'!$AG$4:$AI$9,3,FALSE)=0,"Spatial Data Missing ⚠",VLOOKUP(I148,'G-7 Rivers Data'!$AG$4:$AI$9,3,FALSE)))</f>
        <v/>
      </c>
      <c r="L148" s="635" t="str">
        <f>IFERROR(INDEX('G-7 Rivers Data'!$O$3:$O$7,MATCH(G148,'G-7 Rivers Data'!$N$3:$N$7,0)),"")</f>
        <v/>
      </c>
      <c r="M148" s="7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154"/>
      <c r="AA148" s="524" t="str">
        <f>IF(Z148="","",VLOOKUP(Z148,'G-7 Rivers Data'!$AO$4:$AP$7,2,FALSE))</f>
        <v/>
      </c>
      <c r="AB148" s="545" t="str">
        <f t="shared" si="18"/>
        <v/>
      </c>
      <c r="AC148" s="149"/>
      <c r="AD148" s="150"/>
      <c r="AK148" s="31" t="str">
        <f>IFERROR(INDEX('G-7 Rivers Data'!$AZ$3:$AZ$7,MATCH(C148,'G-7 Rivers Data'!$AY$3:$AY$7,0)),"")</f>
        <v/>
      </c>
    </row>
    <row r="149" spans="2:37" ht="13.8" x14ac:dyDescent="0.25">
      <c r="B149" s="141">
        <v>138</v>
      </c>
      <c r="C149" s="666"/>
      <c r="D149" s="172"/>
      <c r="E149" s="498" t="str">
        <f>IF(C149="","",VLOOKUP(C149,'G-7 Rivers Data'!$B$2:$Z$9,2,FALSE))</f>
        <v/>
      </c>
      <c r="F149" s="499" t="str">
        <f>IFERROR(VLOOKUP(E149,'G-7 Rivers Data'!$C$4:$D$8,2,FALSE),"")</f>
        <v/>
      </c>
      <c r="G149" s="145"/>
      <c r="H149" s="499" t="str">
        <f>IFERROR(INDEX('G-7 Rivers Data'!$H$4:$L$8,MATCH(C149,'G-7 Rivers Data'!$B$4:$B$8,0),MATCH(G149,'G-7 Rivers Data'!$H$3:$L$3,0)),"")</f>
        <v/>
      </c>
      <c r="I149" s="145"/>
      <c r="J149" s="540" t="str">
        <f>IF(I149="","",IF(VLOOKUP(I149,'G-7 Rivers Data'!$AG$4:$AI$9,2,FALSE)=0,"Spatial Data Missing ⚠",VLOOKUP(I149,'G-7 Rivers Data'!$AG$4:$AI$9,2,FALSE)))</f>
        <v/>
      </c>
      <c r="K149" s="499" t="str">
        <f>IF(I149="","",IF(VLOOKUP(I149,'G-7 Rivers Data'!$AG$4:$AI$9,3,FALSE)=0,"Spatial Data Missing ⚠",VLOOKUP(I149,'G-7 Rivers Data'!$AG$4:$AI$9,3,FALSE)))</f>
        <v/>
      </c>
      <c r="L149" s="635" t="str">
        <f>IFERROR(INDEX('G-7 Rivers Data'!$O$3:$O$7,MATCH(G149,'G-7 Rivers Data'!$N$3:$N$7,0)),"")</f>
        <v/>
      </c>
      <c r="M149" s="7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154"/>
      <c r="AA149" s="524" t="str">
        <f>IF(Z149="","",VLOOKUP(Z149,'G-7 Rivers Data'!$AO$4:$AP$7,2,FALSE))</f>
        <v/>
      </c>
      <c r="AB149" s="545" t="str">
        <f t="shared" si="18"/>
        <v/>
      </c>
      <c r="AC149" s="149"/>
      <c r="AD149" s="150"/>
      <c r="AK149" s="31" t="str">
        <f>IFERROR(INDEX('G-7 Rivers Data'!$AZ$3:$AZ$7,MATCH(C149,'G-7 Rivers Data'!$AY$3:$AY$7,0)),"")</f>
        <v/>
      </c>
    </row>
    <row r="150" spans="2:37" ht="13.8" x14ac:dyDescent="0.25">
      <c r="B150" s="141">
        <v>139</v>
      </c>
      <c r="C150" s="666"/>
      <c r="D150" s="172"/>
      <c r="E150" s="498" t="str">
        <f>IF(C150="","",VLOOKUP(C150,'G-7 Rivers Data'!$B$2:$Z$9,2,FALSE))</f>
        <v/>
      </c>
      <c r="F150" s="499" t="str">
        <f>IFERROR(VLOOKUP(E150,'G-7 Rivers Data'!$C$4:$D$8,2,FALSE),"")</f>
        <v/>
      </c>
      <c r="G150" s="145"/>
      <c r="H150" s="499" t="str">
        <f>IFERROR(INDEX('G-7 Rivers Data'!$H$4:$L$8,MATCH(C150,'G-7 Rivers Data'!$B$4:$B$8,0),MATCH(G150,'G-7 Rivers Data'!$H$3:$L$3,0)),"")</f>
        <v/>
      </c>
      <c r="I150" s="145"/>
      <c r="J150" s="540" t="str">
        <f>IF(I150="","",IF(VLOOKUP(I150,'G-7 Rivers Data'!$AG$4:$AI$9,2,FALSE)=0,"Spatial Data Missing ⚠",VLOOKUP(I150,'G-7 Rivers Data'!$AG$4:$AI$9,2,FALSE)))</f>
        <v/>
      </c>
      <c r="K150" s="499" t="str">
        <f>IF(I150="","",IF(VLOOKUP(I150,'G-7 Rivers Data'!$AG$4:$AI$9,3,FALSE)=0,"Spatial Data Missing ⚠",VLOOKUP(I150,'G-7 Rivers Data'!$AG$4:$AI$9,3,FALSE)))</f>
        <v/>
      </c>
      <c r="L150" s="635" t="str">
        <f>IFERROR(INDEX('G-7 Rivers Data'!$O$3:$O$7,MATCH(G150,'G-7 Rivers Data'!$N$3:$N$7,0)),"")</f>
        <v/>
      </c>
      <c r="M150" s="7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154"/>
      <c r="AA150" s="524" t="str">
        <f>IF(Z150="","",VLOOKUP(Z150,'G-7 Rivers Data'!$AO$4:$AP$7,2,FALSE))</f>
        <v/>
      </c>
      <c r="AB150" s="545" t="str">
        <f t="shared" si="18"/>
        <v/>
      </c>
      <c r="AC150" s="149"/>
      <c r="AD150" s="150"/>
      <c r="AK150" s="31" t="str">
        <f>IFERROR(INDEX('G-7 Rivers Data'!$AZ$3:$AZ$7,MATCH(C150,'G-7 Rivers Data'!$AY$3:$AY$7,0)),"")</f>
        <v/>
      </c>
    </row>
    <row r="151" spans="2:37" ht="13.8" x14ac:dyDescent="0.25">
      <c r="B151" s="141">
        <v>140</v>
      </c>
      <c r="C151" s="666"/>
      <c r="D151" s="172"/>
      <c r="E151" s="498" t="str">
        <f>IF(C151="","",VLOOKUP(C151,'G-7 Rivers Data'!$B$2:$Z$9,2,FALSE))</f>
        <v/>
      </c>
      <c r="F151" s="499" t="str">
        <f>IFERROR(VLOOKUP(E151,'G-7 Rivers Data'!$C$4:$D$8,2,FALSE),"")</f>
        <v/>
      </c>
      <c r="G151" s="145"/>
      <c r="H151" s="499" t="str">
        <f>IFERROR(INDEX('G-7 Rivers Data'!$H$4:$L$8,MATCH(C151,'G-7 Rivers Data'!$B$4:$B$8,0),MATCH(G151,'G-7 Rivers Data'!$H$3:$L$3,0)),"")</f>
        <v/>
      </c>
      <c r="I151" s="145"/>
      <c r="J151" s="540" t="str">
        <f>IF(I151="","",IF(VLOOKUP(I151,'G-7 Rivers Data'!$AG$4:$AI$9,2,FALSE)=0,"Spatial Data Missing ⚠",VLOOKUP(I151,'G-7 Rivers Data'!$AG$4:$AI$9,2,FALSE)))</f>
        <v/>
      </c>
      <c r="K151" s="499" t="str">
        <f>IF(I151="","",IF(VLOOKUP(I151,'G-7 Rivers Data'!$AG$4:$AI$9,3,FALSE)=0,"Spatial Data Missing ⚠",VLOOKUP(I151,'G-7 Rivers Data'!$AG$4:$AI$9,3,FALSE)))</f>
        <v/>
      </c>
      <c r="L151" s="635" t="str">
        <f>IFERROR(INDEX('G-7 Rivers Data'!$O$3:$O$7,MATCH(G151,'G-7 Rivers Data'!$N$3:$N$7,0)),"")</f>
        <v/>
      </c>
      <c r="M151" s="7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154"/>
      <c r="AA151" s="524" t="str">
        <f>IF(Z151="","",VLOOKUP(Z151,'G-7 Rivers Data'!$AO$4:$AP$7,2,FALSE))</f>
        <v/>
      </c>
      <c r="AB151" s="545" t="str">
        <f t="shared" si="18"/>
        <v/>
      </c>
      <c r="AC151" s="149"/>
      <c r="AD151" s="150"/>
      <c r="AK151" s="31" t="str">
        <f>IFERROR(INDEX('G-7 Rivers Data'!$AZ$3:$AZ$7,MATCH(C151,'G-7 Rivers Data'!$AY$3:$AY$7,0)),"")</f>
        <v/>
      </c>
    </row>
    <row r="152" spans="2:37" ht="13.8" x14ac:dyDescent="0.25">
      <c r="B152" s="141">
        <v>141</v>
      </c>
      <c r="C152" s="666"/>
      <c r="D152" s="172"/>
      <c r="E152" s="498" t="str">
        <f>IF(C152="","",VLOOKUP(C152,'G-7 Rivers Data'!$B$2:$Z$9,2,FALSE))</f>
        <v/>
      </c>
      <c r="F152" s="499" t="str">
        <f>IFERROR(VLOOKUP(E152,'G-7 Rivers Data'!$C$4:$D$8,2,FALSE),"")</f>
        <v/>
      </c>
      <c r="G152" s="145"/>
      <c r="H152" s="499" t="str">
        <f>IFERROR(INDEX('G-7 Rivers Data'!$H$4:$L$8,MATCH(C152,'G-7 Rivers Data'!$B$4:$B$8,0),MATCH(G152,'G-7 Rivers Data'!$H$3:$L$3,0)),"")</f>
        <v/>
      </c>
      <c r="I152" s="145"/>
      <c r="J152" s="540" t="str">
        <f>IF(I152="","",IF(VLOOKUP(I152,'G-7 Rivers Data'!$AG$4:$AI$9,2,FALSE)=0,"Spatial Data Missing ⚠",VLOOKUP(I152,'G-7 Rivers Data'!$AG$4:$AI$9,2,FALSE)))</f>
        <v/>
      </c>
      <c r="K152" s="499" t="str">
        <f>IF(I152="","",IF(VLOOKUP(I152,'G-7 Rivers Data'!$AG$4:$AI$9,3,FALSE)=0,"Spatial Data Missing ⚠",VLOOKUP(I152,'G-7 Rivers Data'!$AG$4:$AI$9,3,FALSE)))</f>
        <v/>
      </c>
      <c r="L152" s="635" t="str">
        <f>IFERROR(INDEX('G-7 Rivers Data'!$O$3:$O$7,MATCH(G152,'G-7 Rivers Data'!$N$3:$N$7,0)),"")</f>
        <v/>
      </c>
      <c r="M152" s="7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154"/>
      <c r="AA152" s="524" t="str">
        <f>IF(Z152="","",VLOOKUP(Z152,'G-7 Rivers Data'!$AO$4:$AP$7,2,FALSE))</f>
        <v/>
      </c>
      <c r="AB152" s="545" t="str">
        <f t="shared" si="18"/>
        <v/>
      </c>
      <c r="AC152" s="149"/>
      <c r="AD152" s="150"/>
      <c r="AK152" s="31" t="str">
        <f>IFERROR(INDEX('G-7 Rivers Data'!$AZ$3:$AZ$7,MATCH(C152,'G-7 Rivers Data'!$AY$3:$AY$7,0)),"")</f>
        <v/>
      </c>
    </row>
    <row r="153" spans="2:37" ht="13.8" x14ac:dyDescent="0.25">
      <c r="B153" s="141">
        <v>142</v>
      </c>
      <c r="C153" s="666"/>
      <c r="D153" s="172"/>
      <c r="E153" s="498" t="str">
        <f>IF(C153="","",VLOOKUP(C153,'G-7 Rivers Data'!$B$2:$Z$9,2,FALSE))</f>
        <v/>
      </c>
      <c r="F153" s="499" t="str">
        <f>IFERROR(VLOOKUP(E153,'G-7 Rivers Data'!$C$4:$D$8,2,FALSE),"")</f>
        <v/>
      </c>
      <c r="G153" s="145"/>
      <c r="H153" s="499" t="str">
        <f>IFERROR(INDEX('G-7 Rivers Data'!$H$4:$L$8,MATCH(C153,'G-7 Rivers Data'!$B$4:$B$8,0),MATCH(G153,'G-7 Rivers Data'!$H$3:$L$3,0)),"")</f>
        <v/>
      </c>
      <c r="I153" s="145"/>
      <c r="J153" s="540" t="str">
        <f>IF(I153="","",IF(VLOOKUP(I153,'G-7 Rivers Data'!$AG$4:$AI$9,2,FALSE)=0,"Spatial Data Missing ⚠",VLOOKUP(I153,'G-7 Rivers Data'!$AG$4:$AI$9,2,FALSE)))</f>
        <v/>
      </c>
      <c r="K153" s="499" t="str">
        <f>IF(I153="","",IF(VLOOKUP(I153,'G-7 Rivers Data'!$AG$4:$AI$9,3,FALSE)=0,"Spatial Data Missing ⚠",VLOOKUP(I153,'G-7 Rivers Data'!$AG$4:$AI$9,3,FALSE)))</f>
        <v/>
      </c>
      <c r="L153" s="635" t="str">
        <f>IFERROR(INDEX('G-7 Rivers Data'!$O$3:$O$7,MATCH(G153,'G-7 Rivers Data'!$N$3:$N$7,0)),"")</f>
        <v/>
      </c>
      <c r="M153" s="7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154"/>
      <c r="AA153" s="524" t="str">
        <f>IF(Z153="","",VLOOKUP(Z153,'G-7 Rivers Data'!$AO$4:$AP$7,2,FALSE))</f>
        <v/>
      </c>
      <c r="AB153" s="545" t="str">
        <f t="shared" si="18"/>
        <v/>
      </c>
      <c r="AC153" s="149"/>
      <c r="AD153" s="150"/>
      <c r="AK153" s="31" t="str">
        <f>IFERROR(INDEX('G-7 Rivers Data'!$AZ$3:$AZ$7,MATCH(C153,'G-7 Rivers Data'!$AY$3:$AY$7,0)),"")</f>
        <v/>
      </c>
    </row>
    <row r="154" spans="2:37" ht="13.8" x14ac:dyDescent="0.25">
      <c r="B154" s="141">
        <v>143</v>
      </c>
      <c r="C154" s="666"/>
      <c r="D154" s="172"/>
      <c r="E154" s="498" t="str">
        <f>IF(C154="","",VLOOKUP(C154,'G-7 Rivers Data'!$B$2:$Z$9,2,FALSE))</f>
        <v/>
      </c>
      <c r="F154" s="499" t="str">
        <f>IFERROR(VLOOKUP(E154,'G-7 Rivers Data'!$C$4:$D$8,2,FALSE),"")</f>
        <v/>
      </c>
      <c r="G154" s="145"/>
      <c r="H154" s="499" t="str">
        <f>IFERROR(INDEX('G-7 Rivers Data'!$H$4:$L$8,MATCH(C154,'G-7 Rivers Data'!$B$4:$B$8,0),MATCH(G154,'G-7 Rivers Data'!$H$3:$L$3,0)),"")</f>
        <v/>
      </c>
      <c r="I154" s="145"/>
      <c r="J154" s="540" t="str">
        <f>IF(I154="","",IF(VLOOKUP(I154,'G-7 Rivers Data'!$AG$4:$AI$9,2,FALSE)=0,"Spatial Data Missing ⚠",VLOOKUP(I154,'G-7 Rivers Data'!$AG$4:$AI$9,2,FALSE)))</f>
        <v/>
      </c>
      <c r="K154" s="499" t="str">
        <f>IF(I154="","",IF(VLOOKUP(I154,'G-7 Rivers Data'!$AG$4:$AI$9,3,FALSE)=0,"Spatial Data Missing ⚠",VLOOKUP(I154,'G-7 Rivers Data'!$AG$4:$AI$9,3,FALSE)))</f>
        <v/>
      </c>
      <c r="L154" s="635" t="str">
        <f>IFERROR(INDEX('G-7 Rivers Data'!$O$3:$O$7,MATCH(G154,'G-7 Rivers Data'!$N$3:$N$7,0)),"")</f>
        <v/>
      </c>
      <c r="M154" s="7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154"/>
      <c r="AA154" s="524" t="str">
        <f>IF(Z154="","",VLOOKUP(Z154,'G-7 Rivers Data'!$AO$4:$AP$7,2,FALSE))</f>
        <v/>
      </c>
      <c r="AB154" s="545" t="str">
        <f t="shared" si="18"/>
        <v/>
      </c>
      <c r="AC154" s="149"/>
      <c r="AD154" s="150"/>
      <c r="AK154" s="31" t="str">
        <f>IFERROR(INDEX('G-7 Rivers Data'!$AZ$3:$AZ$7,MATCH(C154,'G-7 Rivers Data'!$AY$3:$AY$7,0)),"")</f>
        <v/>
      </c>
    </row>
    <row r="155" spans="2:37" ht="13.8" x14ac:dyDescent="0.25">
      <c r="B155" s="141">
        <v>144</v>
      </c>
      <c r="C155" s="666"/>
      <c r="D155" s="172"/>
      <c r="E155" s="498" t="str">
        <f>IF(C155="","",VLOOKUP(C155,'G-7 Rivers Data'!$B$2:$Z$9,2,FALSE))</f>
        <v/>
      </c>
      <c r="F155" s="499" t="str">
        <f>IFERROR(VLOOKUP(E155,'G-7 Rivers Data'!$C$4:$D$8,2,FALSE),"")</f>
        <v/>
      </c>
      <c r="G155" s="145"/>
      <c r="H155" s="499" t="str">
        <f>IFERROR(INDEX('G-7 Rivers Data'!$H$4:$L$8,MATCH(C155,'G-7 Rivers Data'!$B$4:$B$8,0),MATCH(G155,'G-7 Rivers Data'!$H$3:$L$3,0)),"")</f>
        <v/>
      </c>
      <c r="I155" s="145"/>
      <c r="J155" s="540" t="str">
        <f>IF(I155="","",IF(VLOOKUP(I155,'G-7 Rivers Data'!$AG$4:$AI$9,2,FALSE)=0,"Spatial Data Missing ⚠",VLOOKUP(I155,'G-7 Rivers Data'!$AG$4:$AI$9,2,FALSE)))</f>
        <v/>
      </c>
      <c r="K155" s="499" t="str">
        <f>IF(I155="","",IF(VLOOKUP(I155,'G-7 Rivers Data'!$AG$4:$AI$9,3,FALSE)=0,"Spatial Data Missing ⚠",VLOOKUP(I155,'G-7 Rivers Data'!$AG$4:$AI$9,3,FALSE)))</f>
        <v/>
      </c>
      <c r="L155" s="635" t="str">
        <f>IFERROR(INDEX('G-7 Rivers Data'!$O$3:$O$7,MATCH(G155,'G-7 Rivers Data'!$N$3:$N$7,0)),"")</f>
        <v/>
      </c>
      <c r="M155" s="7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154"/>
      <c r="AA155" s="524" t="str">
        <f>IF(Z155="","",VLOOKUP(Z155,'G-7 Rivers Data'!$AO$4:$AP$7,2,FALSE))</f>
        <v/>
      </c>
      <c r="AB155" s="545" t="str">
        <f t="shared" si="18"/>
        <v/>
      </c>
      <c r="AC155" s="149"/>
      <c r="AD155" s="150"/>
      <c r="AK155" s="31" t="str">
        <f>IFERROR(INDEX('G-7 Rivers Data'!$AZ$3:$AZ$7,MATCH(C155,'G-7 Rivers Data'!$AY$3:$AY$7,0)),"")</f>
        <v/>
      </c>
    </row>
    <row r="156" spans="2:37" ht="13.8" x14ac:dyDescent="0.25">
      <c r="B156" s="141">
        <v>145</v>
      </c>
      <c r="C156" s="666"/>
      <c r="D156" s="172"/>
      <c r="E156" s="498" t="str">
        <f>IF(C156="","",VLOOKUP(C156,'G-7 Rivers Data'!$B$2:$Z$9,2,FALSE))</f>
        <v/>
      </c>
      <c r="F156" s="499" t="str">
        <f>IFERROR(VLOOKUP(E156,'G-7 Rivers Data'!$C$4:$D$8,2,FALSE),"")</f>
        <v/>
      </c>
      <c r="G156" s="145"/>
      <c r="H156" s="499" t="str">
        <f>IFERROR(INDEX('G-7 Rivers Data'!$H$4:$L$8,MATCH(C156,'G-7 Rivers Data'!$B$4:$B$8,0),MATCH(G156,'G-7 Rivers Data'!$H$3:$L$3,0)),"")</f>
        <v/>
      </c>
      <c r="I156" s="145"/>
      <c r="J156" s="540" t="str">
        <f>IF(I156="","",IF(VLOOKUP(I156,'G-7 Rivers Data'!$AG$4:$AI$9,2,FALSE)=0,"Spatial Data Missing ⚠",VLOOKUP(I156,'G-7 Rivers Data'!$AG$4:$AI$9,2,FALSE)))</f>
        <v/>
      </c>
      <c r="K156" s="499" t="str">
        <f>IF(I156="","",IF(VLOOKUP(I156,'G-7 Rivers Data'!$AG$4:$AI$9,3,FALSE)=0,"Spatial Data Missing ⚠",VLOOKUP(I156,'G-7 Rivers Data'!$AG$4:$AI$9,3,FALSE)))</f>
        <v/>
      </c>
      <c r="L156" s="635" t="str">
        <f>IFERROR(INDEX('G-7 Rivers Data'!$O$3:$O$7,MATCH(G156,'G-7 Rivers Data'!$N$3:$N$7,0)),"")</f>
        <v/>
      </c>
      <c r="M156" s="7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154"/>
      <c r="AA156" s="524" t="str">
        <f>IF(Z156="","",VLOOKUP(Z156,'G-7 Rivers Data'!$AO$4:$AP$7,2,FALSE))</f>
        <v/>
      </c>
      <c r="AB156" s="545" t="str">
        <f t="shared" si="18"/>
        <v/>
      </c>
      <c r="AC156" s="149"/>
      <c r="AD156" s="150"/>
      <c r="AK156" s="31" t="str">
        <f>IFERROR(INDEX('G-7 Rivers Data'!$AZ$3:$AZ$7,MATCH(C156,'G-7 Rivers Data'!$AY$3:$AY$7,0)),"")</f>
        <v/>
      </c>
    </row>
    <row r="157" spans="2:37" ht="13.8" x14ac:dyDescent="0.25">
      <c r="B157" s="141">
        <v>146</v>
      </c>
      <c r="C157" s="666"/>
      <c r="D157" s="172"/>
      <c r="E157" s="498" t="str">
        <f>IF(C157="","",VLOOKUP(C157,'G-7 Rivers Data'!$B$2:$Z$9,2,FALSE))</f>
        <v/>
      </c>
      <c r="F157" s="499" t="str">
        <f>IFERROR(VLOOKUP(E157,'G-7 Rivers Data'!$C$4:$D$8,2,FALSE),"")</f>
        <v/>
      </c>
      <c r="G157" s="145"/>
      <c r="H157" s="499" t="str">
        <f>IFERROR(INDEX('G-7 Rivers Data'!$H$4:$L$8,MATCH(C157,'G-7 Rivers Data'!$B$4:$B$8,0),MATCH(G157,'G-7 Rivers Data'!$H$3:$L$3,0)),"")</f>
        <v/>
      </c>
      <c r="I157" s="145"/>
      <c r="J157" s="540" t="str">
        <f>IF(I157="","",IF(VLOOKUP(I157,'G-7 Rivers Data'!$AG$4:$AI$9,2,FALSE)=0,"Spatial Data Missing ⚠",VLOOKUP(I157,'G-7 Rivers Data'!$AG$4:$AI$9,2,FALSE)))</f>
        <v/>
      </c>
      <c r="K157" s="499" t="str">
        <f>IF(I157="","",IF(VLOOKUP(I157,'G-7 Rivers Data'!$AG$4:$AI$9,3,FALSE)=0,"Spatial Data Missing ⚠",VLOOKUP(I157,'G-7 Rivers Data'!$AG$4:$AI$9,3,FALSE)))</f>
        <v/>
      </c>
      <c r="L157" s="635" t="str">
        <f>IFERROR(INDEX('G-7 Rivers Data'!$O$3:$O$7,MATCH(G157,'G-7 Rivers Data'!$N$3:$N$7,0)),"")</f>
        <v/>
      </c>
      <c r="M157" s="7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154"/>
      <c r="AA157" s="524" t="str">
        <f>IF(Z157="","",VLOOKUP(Z157,'G-7 Rivers Data'!$AO$4:$AP$7,2,FALSE))</f>
        <v/>
      </c>
      <c r="AB157" s="545" t="str">
        <f t="shared" si="18"/>
        <v/>
      </c>
      <c r="AC157" s="149"/>
      <c r="AD157" s="150"/>
      <c r="AK157" s="31" t="str">
        <f>IFERROR(INDEX('G-7 Rivers Data'!$AZ$3:$AZ$7,MATCH(C157,'G-7 Rivers Data'!$AY$3:$AY$7,0)),"")</f>
        <v/>
      </c>
    </row>
    <row r="158" spans="2:37" ht="13.8" x14ac:dyDescent="0.25">
      <c r="B158" s="141">
        <v>147</v>
      </c>
      <c r="C158" s="666"/>
      <c r="D158" s="172"/>
      <c r="E158" s="498" t="str">
        <f>IF(C158="","",VLOOKUP(C158,'G-7 Rivers Data'!$B$2:$Z$9,2,FALSE))</f>
        <v/>
      </c>
      <c r="F158" s="499" t="str">
        <f>IFERROR(VLOOKUP(E158,'G-7 Rivers Data'!$C$4:$D$8,2,FALSE),"")</f>
        <v/>
      </c>
      <c r="G158" s="145"/>
      <c r="H158" s="499" t="str">
        <f>IFERROR(INDEX('G-7 Rivers Data'!$H$4:$L$8,MATCH(C158,'G-7 Rivers Data'!$B$4:$B$8,0),MATCH(G158,'G-7 Rivers Data'!$H$3:$L$3,0)),"")</f>
        <v/>
      </c>
      <c r="I158" s="145"/>
      <c r="J158" s="540" t="str">
        <f>IF(I158="","",IF(VLOOKUP(I158,'G-7 Rivers Data'!$AG$4:$AI$9,2,FALSE)=0,"Spatial Data Missing ⚠",VLOOKUP(I158,'G-7 Rivers Data'!$AG$4:$AI$9,2,FALSE)))</f>
        <v/>
      </c>
      <c r="K158" s="499" t="str">
        <f>IF(I158="","",IF(VLOOKUP(I158,'G-7 Rivers Data'!$AG$4:$AI$9,3,FALSE)=0,"Spatial Data Missing ⚠",VLOOKUP(I158,'G-7 Rivers Data'!$AG$4:$AI$9,3,FALSE)))</f>
        <v/>
      </c>
      <c r="L158" s="635" t="str">
        <f>IFERROR(INDEX('G-7 Rivers Data'!$O$3:$O$7,MATCH(G158,'G-7 Rivers Data'!$N$3:$N$7,0)),"")</f>
        <v/>
      </c>
      <c r="M158" s="7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154"/>
      <c r="AA158" s="524" t="str">
        <f>IF(Z158="","",VLOOKUP(Z158,'G-7 Rivers Data'!$AO$4:$AP$7,2,FALSE))</f>
        <v/>
      </c>
      <c r="AB158" s="545" t="str">
        <f t="shared" si="18"/>
        <v/>
      </c>
      <c r="AC158" s="149"/>
      <c r="AD158" s="150"/>
      <c r="AK158" s="31" t="str">
        <f>IFERROR(INDEX('G-7 Rivers Data'!$AZ$3:$AZ$7,MATCH(C158,'G-7 Rivers Data'!$AY$3:$AY$7,0)),"")</f>
        <v/>
      </c>
    </row>
    <row r="159" spans="2:37" ht="13.8" x14ac:dyDescent="0.25">
      <c r="B159" s="141">
        <v>148</v>
      </c>
      <c r="C159" s="666"/>
      <c r="D159" s="172"/>
      <c r="E159" s="498" t="str">
        <f>IF(C159="","",VLOOKUP(C159,'G-7 Rivers Data'!$B$2:$Z$9,2,FALSE))</f>
        <v/>
      </c>
      <c r="F159" s="499" t="str">
        <f>IFERROR(VLOOKUP(E159,'G-7 Rivers Data'!$C$4:$D$8,2,FALSE),"")</f>
        <v/>
      </c>
      <c r="G159" s="145"/>
      <c r="H159" s="499" t="str">
        <f>IFERROR(INDEX('G-7 Rivers Data'!$H$4:$L$8,MATCH(C159,'G-7 Rivers Data'!$B$4:$B$8,0),MATCH(G159,'G-7 Rivers Data'!$H$3:$L$3,0)),"")</f>
        <v/>
      </c>
      <c r="I159" s="145"/>
      <c r="J159" s="540" t="str">
        <f>IF(I159="","",IF(VLOOKUP(I159,'G-7 Rivers Data'!$AG$4:$AI$9,2,FALSE)=0,"Spatial Data Missing ⚠",VLOOKUP(I159,'G-7 Rivers Data'!$AG$4:$AI$9,2,FALSE)))</f>
        <v/>
      </c>
      <c r="K159" s="499" t="str">
        <f>IF(I159="","",IF(VLOOKUP(I159,'G-7 Rivers Data'!$AG$4:$AI$9,3,FALSE)=0,"Spatial Data Missing ⚠",VLOOKUP(I159,'G-7 Rivers Data'!$AG$4:$AI$9,3,FALSE)))</f>
        <v/>
      </c>
      <c r="L159" s="635" t="str">
        <f>IFERROR(INDEX('G-7 Rivers Data'!$O$3:$O$7,MATCH(G159,'G-7 Rivers Data'!$N$3:$N$7,0)),"")</f>
        <v/>
      </c>
      <c r="M159" s="7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154"/>
      <c r="AA159" s="524" t="str">
        <f>IF(Z159="","",VLOOKUP(Z159,'G-7 Rivers Data'!$AO$4:$AP$7,2,FALSE))</f>
        <v/>
      </c>
      <c r="AB159" s="545" t="str">
        <f t="shared" si="18"/>
        <v/>
      </c>
      <c r="AC159" s="149"/>
      <c r="AD159" s="150"/>
      <c r="AK159" s="31" t="str">
        <f>IFERROR(INDEX('G-7 Rivers Data'!$AZ$3:$AZ$7,MATCH(C159,'G-7 Rivers Data'!$AY$3:$AY$7,0)),"")</f>
        <v/>
      </c>
    </row>
    <row r="160" spans="2:37" ht="13.8" x14ac:dyDescent="0.25">
      <c r="B160" s="141">
        <v>149</v>
      </c>
      <c r="C160" s="666"/>
      <c r="D160" s="172"/>
      <c r="E160" s="498" t="str">
        <f>IF(C160="","",VLOOKUP(C160,'G-7 Rivers Data'!$B$2:$Z$9,2,FALSE))</f>
        <v/>
      </c>
      <c r="F160" s="499" t="str">
        <f>IFERROR(VLOOKUP(E160,'G-7 Rivers Data'!$C$4:$D$8,2,FALSE),"")</f>
        <v/>
      </c>
      <c r="G160" s="145"/>
      <c r="H160" s="499" t="str">
        <f>IFERROR(INDEX('G-7 Rivers Data'!$H$4:$L$8,MATCH(C160,'G-7 Rivers Data'!$B$4:$B$8,0),MATCH(G160,'G-7 Rivers Data'!$H$3:$L$3,0)),"")</f>
        <v/>
      </c>
      <c r="I160" s="145"/>
      <c r="J160" s="540" t="str">
        <f>IF(I160="","",IF(VLOOKUP(I160,'G-7 Rivers Data'!$AG$4:$AI$9,2,FALSE)=0,"Spatial Data Missing ⚠",VLOOKUP(I160,'G-7 Rivers Data'!$AG$4:$AI$9,2,FALSE)))</f>
        <v/>
      </c>
      <c r="K160" s="499" t="str">
        <f>IF(I160="","",IF(VLOOKUP(I160,'G-7 Rivers Data'!$AG$4:$AI$9,3,FALSE)=0,"Spatial Data Missing ⚠",VLOOKUP(I160,'G-7 Rivers Data'!$AG$4:$AI$9,3,FALSE)))</f>
        <v/>
      </c>
      <c r="L160" s="635" t="str">
        <f>IFERROR(INDEX('G-7 Rivers Data'!$O$3:$O$7,MATCH(G160,'G-7 Rivers Data'!$N$3:$N$7,0)),"")</f>
        <v/>
      </c>
      <c r="M160" s="7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154"/>
      <c r="AA160" s="524" t="str">
        <f>IF(Z160="","",VLOOKUP(Z160,'G-7 Rivers Data'!$AO$4:$AP$7,2,FALSE))</f>
        <v/>
      </c>
      <c r="AB160" s="545" t="str">
        <f t="shared" si="18"/>
        <v/>
      </c>
      <c r="AC160" s="149"/>
      <c r="AD160" s="150"/>
      <c r="AK160" s="31" t="str">
        <f>IFERROR(INDEX('G-7 Rivers Data'!$AZ$3:$AZ$7,MATCH(C160,'G-7 Rivers Data'!$AY$3:$AY$7,0)),"")</f>
        <v/>
      </c>
    </row>
    <row r="161" spans="2:37" ht="13.8" x14ac:dyDescent="0.25">
      <c r="B161" s="141">
        <v>150</v>
      </c>
      <c r="C161" s="666"/>
      <c r="D161" s="172"/>
      <c r="E161" s="498" t="str">
        <f>IF(C161="","",VLOOKUP(C161,'G-7 Rivers Data'!$B$2:$Z$9,2,FALSE))</f>
        <v/>
      </c>
      <c r="F161" s="499" t="str">
        <f>IFERROR(VLOOKUP(E161,'G-7 Rivers Data'!$C$4:$D$8,2,FALSE),"")</f>
        <v/>
      </c>
      <c r="G161" s="145"/>
      <c r="H161" s="499" t="str">
        <f>IFERROR(INDEX('G-7 Rivers Data'!$H$4:$L$8,MATCH(C161,'G-7 Rivers Data'!$B$4:$B$8,0),MATCH(G161,'G-7 Rivers Data'!$H$3:$L$3,0)),"")</f>
        <v/>
      </c>
      <c r="I161" s="145"/>
      <c r="J161" s="540" t="str">
        <f>IF(I161="","",IF(VLOOKUP(I161,'G-7 Rivers Data'!$AG$4:$AI$9,2,FALSE)=0,"Spatial Data Missing ⚠",VLOOKUP(I161,'G-7 Rivers Data'!$AG$4:$AI$9,2,FALSE)))</f>
        <v/>
      </c>
      <c r="K161" s="499" t="str">
        <f>IF(I161="","",IF(VLOOKUP(I161,'G-7 Rivers Data'!$AG$4:$AI$9,3,FALSE)=0,"Spatial Data Missing ⚠",VLOOKUP(I161,'G-7 Rivers Data'!$AG$4:$AI$9,3,FALSE)))</f>
        <v/>
      </c>
      <c r="L161" s="635" t="str">
        <f>IFERROR(INDEX('G-7 Rivers Data'!$O$3:$O$7,MATCH(G161,'G-7 Rivers Data'!$N$3:$N$7,0)),"")</f>
        <v/>
      </c>
      <c r="M161" s="7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154"/>
      <c r="AA161" s="524" t="str">
        <f>IF(Z161="","",VLOOKUP(Z161,'G-7 Rivers Data'!$AO$4:$AP$7,2,FALSE))</f>
        <v/>
      </c>
      <c r="AB161" s="545" t="str">
        <f t="shared" si="18"/>
        <v/>
      </c>
      <c r="AC161" s="149"/>
      <c r="AD161" s="150"/>
      <c r="AK161" s="31" t="str">
        <f>IFERROR(INDEX('G-7 Rivers Data'!$AZ$3:$AZ$7,MATCH(C161,'G-7 Rivers Data'!$AY$3:$AY$7,0)),"")</f>
        <v/>
      </c>
    </row>
    <row r="162" spans="2:37" ht="13.8" x14ac:dyDescent="0.25">
      <c r="B162" s="141">
        <v>151</v>
      </c>
      <c r="C162" s="666"/>
      <c r="D162" s="172"/>
      <c r="E162" s="498" t="str">
        <f>IF(C162="","",VLOOKUP(C162,'G-7 Rivers Data'!$B$2:$Z$9,2,FALSE))</f>
        <v/>
      </c>
      <c r="F162" s="499" t="str">
        <f>IFERROR(VLOOKUP(E162,'G-7 Rivers Data'!$C$4:$D$8,2,FALSE),"")</f>
        <v/>
      </c>
      <c r="G162" s="145"/>
      <c r="H162" s="499" t="str">
        <f>IFERROR(INDEX('G-7 Rivers Data'!$H$4:$L$8,MATCH(C162,'G-7 Rivers Data'!$B$4:$B$8,0),MATCH(G162,'G-7 Rivers Data'!$H$3:$L$3,0)),"")</f>
        <v/>
      </c>
      <c r="I162" s="145"/>
      <c r="J162" s="540" t="str">
        <f>IF(I162="","",IF(VLOOKUP(I162,'G-7 Rivers Data'!$AG$4:$AI$9,2,FALSE)=0,"Spatial Data Missing ⚠",VLOOKUP(I162,'G-7 Rivers Data'!$AG$4:$AI$9,2,FALSE)))</f>
        <v/>
      </c>
      <c r="K162" s="499" t="str">
        <f>IF(I162="","",IF(VLOOKUP(I162,'G-7 Rivers Data'!$AG$4:$AI$9,3,FALSE)=0,"Spatial Data Missing ⚠",VLOOKUP(I162,'G-7 Rivers Data'!$AG$4:$AI$9,3,FALSE)))</f>
        <v/>
      </c>
      <c r="L162" s="635" t="str">
        <f>IFERROR(INDEX('G-7 Rivers Data'!$O$3:$O$7,MATCH(G162,'G-7 Rivers Data'!$N$3:$N$7,0)),"")</f>
        <v/>
      </c>
      <c r="M162" s="7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154"/>
      <c r="AA162" s="524" t="str">
        <f>IF(Z162="","",VLOOKUP(Z162,'G-7 Rivers Data'!$AO$4:$AP$7,2,FALSE))</f>
        <v/>
      </c>
      <c r="AB162" s="545" t="str">
        <f t="shared" si="18"/>
        <v/>
      </c>
      <c r="AC162" s="149"/>
      <c r="AD162" s="150"/>
      <c r="AK162" s="31" t="str">
        <f>IFERROR(INDEX('G-7 Rivers Data'!$AZ$3:$AZ$7,MATCH(C162,'G-7 Rivers Data'!$AY$3:$AY$7,0)),"")</f>
        <v/>
      </c>
    </row>
    <row r="163" spans="2:37" ht="13.8" x14ac:dyDescent="0.25">
      <c r="B163" s="141">
        <v>152</v>
      </c>
      <c r="C163" s="666"/>
      <c r="D163" s="172"/>
      <c r="E163" s="498" t="str">
        <f>IF(C163="","",VLOOKUP(C163,'G-7 Rivers Data'!$B$2:$Z$9,2,FALSE))</f>
        <v/>
      </c>
      <c r="F163" s="499" t="str">
        <f>IFERROR(VLOOKUP(E163,'G-7 Rivers Data'!$C$4:$D$8,2,FALSE),"")</f>
        <v/>
      </c>
      <c r="G163" s="145"/>
      <c r="H163" s="499" t="str">
        <f>IFERROR(INDEX('G-7 Rivers Data'!$H$4:$L$8,MATCH(C163,'G-7 Rivers Data'!$B$4:$B$8,0),MATCH(G163,'G-7 Rivers Data'!$H$3:$L$3,0)),"")</f>
        <v/>
      </c>
      <c r="I163" s="145"/>
      <c r="J163" s="540" t="str">
        <f>IF(I163="","",IF(VLOOKUP(I163,'G-7 Rivers Data'!$AG$4:$AI$9,2,FALSE)=0,"Spatial Data Missing ⚠",VLOOKUP(I163,'G-7 Rivers Data'!$AG$4:$AI$9,2,FALSE)))</f>
        <v/>
      </c>
      <c r="K163" s="499" t="str">
        <f>IF(I163="","",IF(VLOOKUP(I163,'G-7 Rivers Data'!$AG$4:$AI$9,3,FALSE)=0,"Spatial Data Missing ⚠",VLOOKUP(I163,'G-7 Rivers Data'!$AG$4:$AI$9,3,FALSE)))</f>
        <v/>
      </c>
      <c r="L163" s="635" t="str">
        <f>IFERROR(INDEX('G-7 Rivers Data'!$O$3:$O$7,MATCH(G163,'G-7 Rivers Data'!$N$3:$N$7,0)),"")</f>
        <v/>
      </c>
      <c r="M163" s="7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154"/>
      <c r="AA163" s="524" t="str">
        <f>IF(Z163="","",VLOOKUP(Z163,'G-7 Rivers Data'!$AO$4:$AP$7,2,FALSE))</f>
        <v/>
      </c>
      <c r="AB163" s="545" t="str">
        <f t="shared" si="18"/>
        <v/>
      </c>
      <c r="AC163" s="149"/>
      <c r="AD163" s="150"/>
      <c r="AK163" s="31" t="str">
        <f>IFERROR(INDEX('G-7 Rivers Data'!$AZ$3:$AZ$7,MATCH(C163,'G-7 Rivers Data'!$AY$3:$AY$7,0)),"")</f>
        <v/>
      </c>
    </row>
    <row r="164" spans="2:37" ht="13.8" x14ac:dyDescent="0.25">
      <c r="B164" s="141">
        <v>153</v>
      </c>
      <c r="C164" s="666"/>
      <c r="D164" s="172"/>
      <c r="E164" s="498" t="str">
        <f>IF(C164="","",VLOOKUP(C164,'G-7 Rivers Data'!$B$2:$Z$9,2,FALSE))</f>
        <v/>
      </c>
      <c r="F164" s="499" t="str">
        <f>IFERROR(VLOOKUP(E164,'G-7 Rivers Data'!$C$4:$D$8,2,FALSE),"")</f>
        <v/>
      </c>
      <c r="G164" s="145"/>
      <c r="H164" s="499" t="str">
        <f>IFERROR(INDEX('G-7 Rivers Data'!$H$4:$L$8,MATCH(C164,'G-7 Rivers Data'!$B$4:$B$8,0),MATCH(G164,'G-7 Rivers Data'!$H$3:$L$3,0)),"")</f>
        <v/>
      </c>
      <c r="I164" s="145"/>
      <c r="J164" s="540" t="str">
        <f>IF(I164="","",IF(VLOOKUP(I164,'G-7 Rivers Data'!$AG$4:$AI$9,2,FALSE)=0,"Spatial Data Missing ⚠",VLOOKUP(I164,'G-7 Rivers Data'!$AG$4:$AI$9,2,FALSE)))</f>
        <v/>
      </c>
      <c r="K164" s="499" t="str">
        <f>IF(I164="","",IF(VLOOKUP(I164,'G-7 Rivers Data'!$AG$4:$AI$9,3,FALSE)=0,"Spatial Data Missing ⚠",VLOOKUP(I164,'G-7 Rivers Data'!$AG$4:$AI$9,3,FALSE)))</f>
        <v/>
      </c>
      <c r="L164" s="635" t="str">
        <f>IFERROR(INDEX('G-7 Rivers Data'!$O$3:$O$7,MATCH(G164,'G-7 Rivers Data'!$N$3:$N$7,0)),"")</f>
        <v/>
      </c>
      <c r="M164" s="7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154"/>
      <c r="AA164" s="524" t="str">
        <f>IF(Z164="","",VLOOKUP(Z164,'G-7 Rivers Data'!$AO$4:$AP$7,2,FALSE))</f>
        <v/>
      </c>
      <c r="AB164" s="545" t="str">
        <f t="shared" si="18"/>
        <v/>
      </c>
      <c r="AC164" s="149"/>
      <c r="AD164" s="150"/>
      <c r="AK164" s="31" t="str">
        <f>IFERROR(INDEX('G-7 Rivers Data'!$AZ$3:$AZ$7,MATCH(C164,'G-7 Rivers Data'!$AY$3:$AY$7,0)),"")</f>
        <v/>
      </c>
    </row>
    <row r="165" spans="2:37" ht="13.8" x14ac:dyDescent="0.25">
      <c r="B165" s="141">
        <v>154</v>
      </c>
      <c r="C165" s="666"/>
      <c r="D165" s="172"/>
      <c r="E165" s="498" t="str">
        <f>IF(C165="","",VLOOKUP(C165,'G-7 Rivers Data'!$B$2:$Z$9,2,FALSE))</f>
        <v/>
      </c>
      <c r="F165" s="499" t="str">
        <f>IFERROR(VLOOKUP(E165,'G-7 Rivers Data'!$C$4:$D$8,2,FALSE),"")</f>
        <v/>
      </c>
      <c r="G165" s="145"/>
      <c r="H165" s="499" t="str">
        <f>IFERROR(INDEX('G-7 Rivers Data'!$H$4:$L$8,MATCH(C165,'G-7 Rivers Data'!$B$4:$B$8,0),MATCH(G165,'G-7 Rivers Data'!$H$3:$L$3,0)),"")</f>
        <v/>
      </c>
      <c r="I165" s="145"/>
      <c r="J165" s="540" t="str">
        <f>IF(I165="","",IF(VLOOKUP(I165,'G-7 Rivers Data'!$AG$4:$AI$9,2,FALSE)=0,"Spatial Data Missing ⚠",VLOOKUP(I165,'G-7 Rivers Data'!$AG$4:$AI$9,2,FALSE)))</f>
        <v/>
      </c>
      <c r="K165" s="499" t="str">
        <f>IF(I165="","",IF(VLOOKUP(I165,'G-7 Rivers Data'!$AG$4:$AI$9,3,FALSE)=0,"Spatial Data Missing ⚠",VLOOKUP(I165,'G-7 Rivers Data'!$AG$4:$AI$9,3,FALSE)))</f>
        <v/>
      </c>
      <c r="L165" s="635" t="str">
        <f>IFERROR(INDEX('G-7 Rivers Data'!$O$3:$O$7,MATCH(G165,'G-7 Rivers Data'!$N$3:$N$7,0)),"")</f>
        <v/>
      </c>
      <c r="M165" s="7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154"/>
      <c r="AA165" s="524" t="str">
        <f>IF(Z165="","",VLOOKUP(Z165,'G-7 Rivers Data'!$AO$4:$AP$7,2,FALSE))</f>
        <v/>
      </c>
      <c r="AB165" s="545" t="str">
        <f t="shared" si="18"/>
        <v/>
      </c>
      <c r="AC165" s="149"/>
      <c r="AD165" s="150"/>
      <c r="AK165" s="31" t="str">
        <f>IFERROR(INDEX('G-7 Rivers Data'!$AZ$3:$AZ$7,MATCH(C165,'G-7 Rivers Data'!$AY$3:$AY$7,0)),"")</f>
        <v/>
      </c>
    </row>
    <row r="166" spans="2:37" ht="13.8" x14ac:dyDescent="0.25">
      <c r="B166" s="141">
        <v>155</v>
      </c>
      <c r="C166" s="666"/>
      <c r="D166" s="172"/>
      <c r="E166" s="498" t="str">
        <f>IF(C166="","",VLOOKUP(C166,'G-7 Rivers Data'!$B$2:$Z$9,2,FALSE))</f>
        <v/>
      </c>
      <c r="F166" s="499" t="str">
        <f>IFERROR(VLOOKUP(E166,'G-7 Rivers Data'!$C$4:$D$8,2,FALSE),"")</f>
        <v/>
      </c>
      <c r="G166" s="145"/>
      <c r="H166" s="499" t="str">
        <f>IFERROR(INDEX('G-7 Rivers Data'!$H$4:$L$8,MATCH(C166,'G-7 Rivers Data'!$B$4:$B$8,0),MATCH(G166,'G-7 Rivers Data'!$H$3:$L$3,0)),"")</f>
        <v/>
      </c>
      <c r="I166" s="145"/>
      <c r="J166" s="540" t="str">
        <f>IF(I166="","",IF(VLOOKUP(I166,'G-7 Rivers Data'!$AG$4:$AI$9,2,FALSE)=0,"Spatial Data Missing ⚠",VLOOKUP(I166,'G-7 Rivers Data'!$AG$4:$AI$9,2,FALSE)))</f>
        <v/>
      </c>
      <c r="K166" s="499" t="str">
        <f>IF(I166="","",IF(VLOOKUP(I166,'G-7 Rivers Data'!$AG$4:$AI$9,3,FALSE)=0,"Spatial Data Missing ⚠",VLOOKUP(I166,'G-7 Rivers Data'!$AG$4:$AI$9,3,FALSE)))</f>
        <v/>
      </c>
      <c r="L166" s="635" t="str">
        <f>IFERROR(INDEX('G-7 Rivers Data'!$O$3:$O$7,MATCH(G166,'G-7 Rivers Data'!$N$3:$N$7,0)),"")</f>
        <v/>
      </c>
      <c r="M166" s="7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154"/>
      <c r="AA166" s="524" t="str">
        <f>IF(Z166="","",VLOOKUP(Z166,'G-7 Rivers Data'!$AO$4:$AP$7,2,FALSE))</f>
        <v/>
      </c>
      <c r="AB166" s="545" t="str">
        <f t="shared" si="18"/>
        <v/>
      </c>
      <c r="AC166" s="149"/>
      <c r="AD166" s="150"/>
      <c r="AK166" s="31" t="str">
        <f>IFERROR(INDEX('G-7 Rivers Data'!$AZ$3:$AZ$7,MATCH(C166,'G-7 Rivers Data'!$AY$3:$AY$7,0)),"")</f>
        <v/>
      </c>
    </row>
    <row r="167" spans="2:37" ht="13.8" x14ac:dyDescent="0.25">
      <c r="B167" s="141">
        <v>156</v>
      </c>
      <c r="C167" s="666"/>
      <c r="D167" s="172"/>
      <c r="E167" s="498" t="str">
        <f>IF(C167="","",VLOOKUP(C167,'G-7 Rivers Data'!$B$2:$Z$9,2,FALSE))</f>
        <v/>
      </c>
      <c r="F167" s="499" t="str">
        <f>IFERROR(VLOOKUP(E167,'G-7 Rivers Data'!$C$4:$D$8,2,FALSE),"")</f>
        <v/>
      </c>
      <c r="G167" s="145"/>
      <c r="H167" s="499" t="str">
        <f>IFERROR(INDEX('G-7 Rivers Data'!$H$4:$L$8,MATCH(C167,'G-7 Rivers Data'!$B$4:$B$8,0),MATCH(G167,'G-7 Rivers Data'!$H$3:$L$3,0)),"")</f>
        <v/>
      </c>
      <c r="I167" s="145"/>
      <c r="J167" s="540" t="str">
        <f>IF(I167="","",IF(VLOOKUP(I167,'G-7 Rivers Data'!$AG$4:$AI$9,2,FALSE)=0,"Spatial Data Missing ⚠",VLOOKUP(I167,'G-7 Rivers Data'!$AG$4:$AI$9,2,FALSE)))</f>
        <v/>
      </c>
      <c r="K167" s="499" t="str">
        <f>IF(I167="","",IF(VLOOKUP(I167,'G-7 Rivers Data'!$AG$4:$AI$9,3,FALSE)=0,"Spatial Data Missing ⚠",VLOOKUP(I167,'G-7 Rivers Data'!$AG$4:$AI$9,3,FALSE)))</f>
        <v/>
      </c>
      <c r="L167" s="635" t="str">
        <f>IFERROR(INDEX('G-7 Rivers Data'!$O$3:$O$7,MATCH(G167,'G-7 Rivers Data'!$N$3:$N$7,0)),"")</f>
        <v/>
      </c>
      <c r="M167" s="7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154"/>
      <c r="AA167" s="524" t="str">
        <f>IF(Z167="","",VLOOKUP(Z167,'G-7 Rivers Data'!$AO$4:$AP$7,2,FALSE))</f>
        <v/>
      </c>
      <c r="AB167" s="545" t="str">
        <f t="shared" si="18"/>
        <v/>
      </c>
      <c r="AC167" s="149"/>
      <c r="AD167" s="150"/>
      <c r="AK167" s="31" t="str">
        <f>IFERROR(INDEX('G-7 Rivers Data'!$AZ$3:$AZ$7,MATCH(C167,'G-7 Rivers Data'!$AY$3:$AY$7,0)),"")</f>
        <v/>
      </c>
    </row>
    <row r="168" spans="2:37" ht="13.8" x14ac:dyDescent="0.25">
      <c r="B168" s="141">
        <v>157</v>
      </c>
      <c r="C168" s="666"/>
      <c r="D168" s="172"/>
      <c r="E168" s="498" t="str">
        <f>IF(C168="","",VLOOKUP(C168,'G-7 Rivers Data'!$B$2:$Z$9,2,FALSE))</f>
        <v/>
      </c>
      <c r="F168" s="499" t="str">
        <f>IFERROR(VLOOKUP(E168,'G-7 Rivers Data'!$C$4:$D$8,2,FALSE),"")</f>
        <v/>
      </c>
      <c r="G168" s="145"/>
      <c r="H168" s="499" t="str">
        <f>IFERROR(INDEX('G-7 Rivers Data'!$H$4:$L$8,MATCH(C168,'G-7 Rivers Data'!$B$4:$B$8,0),MATCH(G168,'G-7 Rivers Data'!$H$3:$L$3,0)),"")</f>
        <v/>
      </c>
      <c r="I168" s="145"/>
      <c r="J168" s="540" t="str">
        <f>IF(I168="","",IF(VLOOKUP(I168,'G-7 Rivers Data'!$AG$4:$AI$9,2,FALSE)=0,"Spatial Data Missing ⚠",VLOOKUP(I168,'G-7 Rivers Data'!$AG$4:$AI$9,2,FALSE)))</f>
        <v/>
      </c>
      <c r="K168" s="499" t="str">
        <f>IF(I168="","",IF(VLOOKUP(I168,'G-7 Rivers Data'!$AG$4:$AI$9,3,FALSE)=0,"Spatial Data Missing ⚠",VLOOKUP(I168,'G-7 Rivers Data'!$AG$4:$AI$9,3,FALSE)))</f>
        <v/>
      </c>
      <c r="L168" s="635" t="str">
        <f>IFERROR(INDEX('G-7 Rivers Data'!$O$3:$O$7,MATCH(G168,'G-7 Rivers Data'!$N$3:$N$7,0)),"")</f>
        <v/>
      </c>
      <c r="M168" s="7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154"/>
      <c r="AA168" s="524" t="str">
        <f>IF(Z168="","",VLOOKUP(Z168,'G-7 Rivers Data'!$AO$4:$AP$7,2,FALSE))</f>
        <v/>
      </c>
      <c r="AB168" s="545" t="str">
        <f t="shared" si="18"/>
        <v/>
      </c>
      <c r="AC168" s="149"/>
      <c r="AD168" s="150"/>
      <c r="AK168" s="31" t="str">
        <f>IFERROR(INDEX('G-7 Rivers Data'!$AZ$3:$AZ$7,MATCH(C168,'G-7 Rivers Data'!$AY$3:$AY$7,0)),"")</f>
        <v/>
      </c>
    </row>
    <row r="169" spans="2:37" ht="13.8" x14ac:dyDescent="0.25">
      <c r="B169" s="141">
        <v>158</v>
      </c>
      <c r="C169" s="666"/>
      <c r="D169" s="172"/>
      <c r="E169" s="498" t="str">
        <f>IF(C169="","",VLOOKUP(C169,'G-7 Rivers Data'!$B$2:$Z$9,2,FALSE))</f>
        <v/>
      </c>
      <c r="F169" s="499" t="str">
        <f>IFERROR(VLOOKUP(E169,'G-7 Rivers Data'!$C$4:$D$8,2,FALSE),"")</f>
        <v/>
      </c>
      <c r="G169" s="145"/>
      <c r="H169" s="499" t="str">
        <f>IFERROR(INDEX('G-7 Rivers Data'!$H$4:$L$8,MATCH(C169,'G-7 Rivers Data'!$B$4:$B$8,0),MATCH(G169,'G-7 Rivers Data'!$H$3:$L$3,0)),"")</f>
        <v/>
      </c>
      <c r="I169" s="145"/>
      <c r="J169" s="540" t="str">
        <f>IF(I169="","",IF(VLOOKUP(I169,'G-7 Rivers Data'!$AG$4:$AI$9,2,FALSE)=0,"Spatial Data Missing ⚠",VLOOKUP(I169,'G-7 Rivers Data'!$AG$4:$AI$9,2,FALSE)))</f>
        <v/>
      </c>
      <c r="K169" s="499" t="str">
        <f>IF(I169="","",IF(VLOOKUP(I169,'G-7 Rivers Data'!$AG$4:$AI$9,3,FALSE)=0,"Spatial Data Missing ⚠",VLOOKUP(I169,'G-7 Rivers Data'!$AG$4:$AI$9,3,FALSE)))</f>
        <v/>
      </c>
      <c r="L169" s="635" t="str">
        <f>IFERROR(INDEX('G-7 Rivers Data'!$O$3:$O$7,MATCH(G169,'G-7 Rivers Data'!$N$3:$N$7,0)),"")</f>
        <v/>
      </c>
      <c r="M169" s="7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154"/>
      <c r="AA169" s="524" t="str">
        <f>IF(Z169="","",VLOOKUP(Z169,'G-7 Rivers Data'!$AO$4:$AP$7,2,FALSE))</f>
        <v/>
      </c>
      <c r="AB169" s="545" t="str">
        <f t="shared" si="18"/>
        <v/>
      </c>
      <c r="AC169" s="149"/>
      <c r="AD169" s="150"/>
      <c r="AK169" s="31" t="str">
        <f>IFERROR(INDEX('G-7 Rivers Data'!$AZ$3:$AZ$7,MATCH(C169,'G-7 Rivers Data'!$AY$3:$AY$7,0)),"")</f>
        <v/>
      </c>
    </row>
    <row r="170" spans="2:37" ht="13.8" x14ac:dyDescent="0.25">
      <c r="B170" s="141">
        <v>159</v>
      </c>
      <c r="C170" s="666"/>
      <c r="D170" s="172"/>
      <c r="E170" s="498" t="str">
        <f>IF(C170="","",VLOOKUP(C170,'G-7 Rivers Data'!$B$2:$Z$9,2,FALSE))</f>
        <v/>
      </c>
      <c r="F170" s="499" t="str">
        <f>IFERROR(VLOOKUP(E170,'G-7 Rivers Data'!$C$4:$D$8,2,FALSE),"")</f>
        <v/>
      </c>
      <c r="G170" s="145"/>
      <c r="H170" s="499" t="str">
        <f>IFERROR(INDEX('G-7 Rivers Data'!$H$4:$L$8,MATCH(C170,'G-7 Rivers Data'!$B$4:$B$8,0),MATCH(G170,'G-7 Rivers Data'!$H$3:$L$3,0)),"")</f>
        <v/>
      </c>
      <c r="I170" s="145"/>
      <c r="J170" s="540" t="str">
        <f>IF(I170="","",IF(VLOOKUP(I170,'G-7 Rivers Data'!$AG$4:$AI$9,2,FALSE)=0,"Spatial Data Missing ⚠",VLOOKUP(I170,'G-7 Rivers Data'!$AG$4:$AI$9,2,FALSE)))</f>
        <v/>
      </c>
      <c r="K170" s="499" t="str">
        <f>IF(I170="","",IF(VLOOKUP(I170,'G-7 Rivers Data'!$AG$4:$AI$9,3,FALSE)=0,"Spatial Data Missing ⚠",VLOOKUP(I170,'G-7 Rivers Data'!$AG$4:$AI$9,3,FALSE)))</f>
        <v/>
      </c>
      <c r="L170" s="635" t="str">
        <f>IFERROR(INDEX('G-7 Rivers Data'!$O$3:$O$7,MATCH(G170,'G-7 Rivers Data'!$N$3:$N$7,0)),"")</f>
        <v/>
      </c>
      <c r="M170" s="7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154"/>
      <c r="AA170" s="524" t="str">
        <f>IF(Z170="","",VLOOKUP(Z170,'G-7 Rivers Data'!$AO$4:$AP$7,2,FALSE))</f>
        <v/>
      </c>
      <c r="AB170" s="545" t="str">
        <f t="shared" si="18"/>
        <v/>
      </c>
      <c r="AC170" s="149"/>
      <c r="AD170" s="150"/>
      <c r="AK170" s="31" t="str">
        <f>IFERROR(INDEX('G-7 Rivers Data'!$AZ$3:$AZ$7,MATCH(C170,'G-7 Rivers Data'!$AY$3:$AY$7,0)),"")</f>
        <v/>
      </c>
    </row>
    <row r="171" spans="2:37" ht="13.8" x14ac:dyDescent="0.25">
      <c r="B171" s="141">
        <v>160</v>
      </c>
      <c r="C171" s="666"/>
      <c r="D171" s="172"/>
      <c r="E171" s="498" t="str">
        <f>IF(C171="","",VLOOKUP(C171,'G-7 Rivers Data'!$B$2:$Z$9,2,FALSE))</f>
        <v/>
      </c>
      <c r="F171" s="499" t="str">
        <f>IFERROR(VLOOKUP(E171,'G-7 Rivers Data'!$C$4:$D$8,2,FALSE),"")</f>
        <v/>
      </c>
      <c r="G171" s="145"/>
      <c r="H171" s="499" t="str">
        <f>IFERROR(INDEX('G-7 Rivers Data'!$H$4:$L$8,MATCH(C171,'G-7 Rivers Data'!$B$4:$B$8,0),MATCH(G171,'G-7 Rivers Data'!$H$3:$L$3,0)),"")</f>
        <v/>
      </c>
      <c r="I171" s="145"/>
      <c r="J171" s="540" t="str">
        <f>IF(I171="","",IF(VLOOKUP(I171,'G-7 Rivers Data'!$AG$4:$AI$9,2,FALSE)=0,"Spatial Data Missing ⚠",VLOOKUP(I171,'G-7 Rivers Data'!$AG$4:$AI$9,2,FALSE)))</f>
        <v/>
      </c>
      <c r="K171" s="499" t="str">
        <f>IF(I171="","",IF(VLOOKUP(I171,'G-7 Rivers Data'!$AG$4:$AI$9,3,FALSE)=0,"Spatial Data Missing ⚠",VLOOKUP(I171,'G-7 Rivers Data'!$AG$4:$AI$9,3,FALSE)))</f>
        <v/>
      </c>
      <c r="L171" s="635" t="str">
        <f>IFERROR(INDEX('G-7 Rivers Data'!$O$3:$O$7,MATCH(G171,'G-7 Rivers Data'!$N$3:$N$7,0)),"")</f>
        <v/>
      </c>
      <c r="M171" s="7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154"/>
      <c r="AA171" s="524" t="str">
        <f>IF(Z171="","",VLOOKUP(Z171,'G-7 Rivers Data'!$AO$4:$AP$7,2,FALSE))</f>
        <v/>
      </c>
      <c r="AB171" s="545" t="str">
        <f t="shared" si="18"/>
        <v/>
      </c>
      <c r="AC171" s="149"/>
      <c r="AD171" s="150"/>
      <c r="AK171" s="31" t="str">
        <f>IFERROR(INDEX('G-7 Rivers Data'!$AZ$3:$AZ$7,MATCH(C171,'G-7 Rivers Data'!$AY$3:$AY$7,0)),"")</f>
        <v/>
      </c>
    </row>
    <row r="172" spans="2:37" ht="13.8" x14ac:dyDescent="0.25">
      <c r="B172" s="141">
        <v>161</v>
      </c>
      <c r="C172" s="666"/>
      <c r="D172" s="172"/>
      <c r="E172" s="498" t="str">
        <f>IF(C172="","",VLOOKUP(C172,'G-7 Rivers Data'!$B$2:$Z$9,2,FALSE))</f>
        <v/>
      </c>
      <c r="F172" s="499" t="str">
        <f>IFERROR(VLOOKUP(E172,'G-7 Rivers Data'!$C$4:$D$8,2,FALSE),"")</f>
        <v/>
      </c>
      <c r="G172" s="145"/>
      <c r="H172" s="499" t="str">
        <f>IFERROR(INDEX('G-7 Rivers Data'!$H$4:$L$8,MATCH(C172,'G-7 Rivers Data'!$B$4:$B$8,0),MATCH(G172,'G-7 Rivers Data'!$H$3:$L$3,0)),"")</f>
        <v/>
      </c>
      <c r="I172" s="145"/>
      <c r="J172" s="540" t="str">
        <f>IF(I172="","",IF(VLOOKUP(I172,'G-7 Rivers Data'!$AG$4:$AI$9,2,FALSE)=0,"Spatial Data Missing ⚠",VLOOKUP(I172,'G-7 Rivers Data'!$AG$4:$AI$9,2,FALSE)))</f>
        <v/>
      </c>
      <c r="K172" s="499" t="str">
        <f>IF(I172="","",IF(VLOOKUP(I172,'G-7 Rivers Data'!$AG$4:$AI$9,3,FALSE)=0,"Spatial Data Missing ⚠",VLOOKUP(I172,'G-7 Rivers Data'!$AG$4:$AI$9,3,FALSE)))</f>
        <v/>
      </c>
      <c r="L172" s="635" t="str">
        <f>IFERROR(INDEX('G-7 Rivers Data'!$O$3:$O$7,MATCH(G172,'G-7 Rivers Data'!$N$3:$N$7,0)),"")</f>
        <v/>
      </c>
      <c r="M172" s="7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154"/>
      <c r="AA172" s="524" t="str">
        <f>IF(Z172="","",VLOOKUP(Z172,'G-7 Rivers Data'!$AO$4:$AP$7,2,FALSE))</f>
        <v/>
      </c>
      <c r="AB172" s="545" t="str">
        <f t="shared" si="18"/>
        <v/>
      </c>
      <c r="AC172" s="149"/>
      <c r="AD172" s="150"/>
      <c r="AK172" s="31" t="str">
        <f>IFERROR(INDEX('G-7 Rivers Data'!$AZ$3:$AZ$7,MATCH(C172,'G-7 Rivers Data'!$AY$3:$AY$7,0)),"")</f>
        <v/>
      </c>
    </row>
    <row r="173" spans="2:37" ht="13.8" x14ac:dyDescent="0.25">
      <c r="B173" s="141">
        <v>162</v>
      </c>
      <c r="C173" s="666"/>
      <c r="D173" s="172"/>
      <c r="E173" s="498" t="str">
        <f>IF(C173="","",VLOOKUP(C173,'G-7 Rivers Data'!$B$2:$Z$9,2,FALSE))</f>
        <v/>
      </c>
      <c r="F173" s="499" t="str">
        <f>IFERROR(VLOOKUP(E173,'G-7 Rivers Data'!$C$4:$D$8,2,FALSE),"")</f>
        <v/>
      </c>
      <c r="G173" s="145"/>
      <c r="H173" s="499" t="str">
        <f>IFERROR(INDEX('G-7 Rivers Data'!$H$4:$L$8,MATCH(C173,'G-7 Rivers Data'!$B$4:$B$8,0),MATCH(G173,'G-7 Rivers Data'!$H$3:$L$3,0)),"")</f>
        <v/>
      </c>
      <c r="I173" s="145"/>
      <c r="J173" s="540" t="str">
        <f>IF(I173="","",IF(VLOOKUP(I173,'G-7 Rivers Data'!$AG$4:$AI$9,2,FALSE)=0,"Spatial Data Missing ⚠",VLOOKUP(I173,'G-7 Rivers Data'!$AG$4:$AI$9,2,FALSE)))</f>
        <v/>
      </c>
      <c r="K173" s="499" t="str">
        <f>IF(I173="","",IF(VLOOKUP(I173,'G-7 Rivers Data'!$AG$4:$AI$9,3,FALSE)=0,"Spatial Data Missing ⚠",VLOOKUP(I173,'G-7 Rivers Data'!$AG$4:$AI$9,3,FALSE)))</f>
        <v/>
      </c>
      <c r="L173" s="635" t="str">
        <f>IFERROR(INDEX('G-7 Rivers Data'!$O$3:$O$7,MATCH(G173,'G-7 Rivers Data'!$N$3:$N$7,0)),"")</f>
        <v/>
      </c>
      <c r="M173" s="7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154"/>
      <c r="AA173" s="524" t="str">
        <f>IF(Z173="","",VLOOKUP(Z173,'G-7 Rivers Data'!$AO$4:$AP$7,2,FALSE))</f>
        <v/>
      </c>
      <c r="AB173" s="545" t="str">
        <f t="shared" si="18"/>
        <v/>
      </c>
      <c r="AC173" s="149"/>
      <c r="AD173" s="150"/>
      <c r="AK173" s="31" t="str">
        <f>IFERROR(INDEX('G-7 Rivers Data'!$AZ$3:$AZ$7,MATCH(C173,'G-7 Rivers Data'!$AY$3:$AY$7,0)),"")</f>
        <v/>
      </c>
    </row>
    <row r="174" spans="2:37" ht="13.8" x14ac:dyDescent="0.25">
      <c r="B174" s="141">
        <v>163</v>
      </c>
      <c r="C174" s="666"/>
      <c r="D174" s="172"/>
      <c r="E174" s="498" t="str">
        <f>IF(C174="","",VLOOKUP(C174,'G-7 Rivers Data'!$B$2:$Z$9,2,FALSE))</f>
        <v/>
      </c>
      <c r="F174" s="499" t="str">
        <f>IFERROR(VLOOKUP(E174,'G-7 Rivers Data'!$C$4:$D$8,2,FALSE),"")</f>
        <v/>
      </c>
      <c r="G174" s="145"/>
      <c r="H174" s="499" t="str">
        <f>IFERROR(INDEX('G-7 Rivers Data'!$H$4:$L$8,MATCH(C174,'G-7 Rivers Data'!$B$4:$B$8,0),MATCH(G174,'G-7 Rivers Data'!$H$3:$L$3,0)),"")</f>
        <v/>
      </c>
      <c r="I174" s="145"/>
      <c r="J174" s="540" t="str">
        <f>IF(I174="","",IF(VLOOKUP(I174,'G-7 Rivers Data'!$AG$4:$AI$9,2,FALSE)=0,"Spatial Data Missing ⚠",VLOOKUP(I174,'G-7 Rivers Data'!$AG$4:$AI$9,2,FALSE)))</f>
        <v/>
      </c>
      <c r="K174" s="499" t="str">
        <f>IF(I174="","",IF(VLOOKUP(I174,'G-7 Rivers Data'!$AG$4:$AI$9,3,FALSE)=0,"Spatial Data Missing ⚠",VLOOKUP(I174,'G-7 Rivers Data'!$AG$4:$AI$9,3,FALSE)))</f>
        <v/>
      </c>
      <c r="L174" s="635" t="str">
        <f>IFERROR(INDEX('G-7 Rivers Data'!$O$3:$O$7,MATCH(G174,'G-7 Rivers Data'!$N$3:$N$7,0)),"")</f>
        <v/>
      </c>
      <c r="M174" s="7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154"/>
      <c r="AA174" s="524" t="str">
        <f>IF(Z174="","",VLOOKUP(Z174,'G-7 Rivers Data'!$AO$4:$AP$7,2,FALSE))</f>
        <v/>
      </c>
      <c r="AB174" s="545" t="str">
        <f t="shared" si="18"/>
        <v/>
      </c>
      <c r="AC174" s="149"/>
      <c r="AD174" s="150"/>
      <c r="AK174" s="31" t="str">
        <f>IFERROR(INDEX('G-7 Rivers Data'!$AZ$3:$AZ$7,MATCH(C174,'G-7 Rivers Data'!$AY$3:$AY$7,0)),"")</f>
        <v/>
      </c>
    </row>
    <row r="175" spans="2:37" ht="13.8" x14ac:dyDescent="0.25">
      <c r="B175" s="141">
        <v>164</v>
      </c>
      <c r="C175" s="666"/>
      <c r="D175" s="172"/>
      <c r="E175" s="498" t="str">
        <f>IF(C175="","",VLOOKUP(C175,'G-7 Rivers Data'!$B$2:$Z$9,2,FALSE))</f>
        <v/>
      </c>
      <c r="F175" s="499" t="str">
        <f>IFERROR(VLOOKUP(E175,'G-7 Rivers Data'!$C$4:$D$8,2,FALSE),"")</f>
        <v/>
      </c>
      <c r="G175" s="145"/>
      <c r="H175" s="499" t="str">
        <f>IFERROR(INDEX('G-7 Rivers Data'!$H$4:$L$8,MATCH(C175,'G-7 Rivers Data'!$B$4:$B$8,0),MATCH(G175,'G-7 Rivers Data'!$H$3:$L$3,0)),"")</f>
        <v/>
      </c>
      <c r="I175" s="145"/>
      <c r="J175" s="540" t="str">
        <f>IF(I175="","",IF(VLOOKUP(I175,'G-7 Rivers Data'!$AG$4:$AI$9,2,FALSE)=0,"Spatial Data Missing ⚠",VLOOKUP(I175,'G-7 Rivers Data'!$AG$4:$AI$9,2,FALSE)))</f>
        <v/>
      </c>
      <c r="K175" s="499" t="str">
        <f>IF(I175="","",IF(VLOOKUP(I175,'G-7 Rivers Data'!$AG$4:$AI$9,3,FALSE)=0,"Spatial Data Missing ⚠",VLOOKUP(I175,'G-7 Rivers Data'!$AG$4:$AI$9,3,FALSE)))</f>
        <v/>
      </c>
      <c r="L175" s="635" t="str">
        <f>IFERROR(INDEX('G-7 Rivers Data'!$O$3:$O$7,MATCH(G175,'G-7 Rivers Data'!$N$3:$N$7,0)),"")</f>
        <v/>
      </c>
      <c r="M175" s="7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154"/>
      <c r="AA175" s="524" t="str">
        <f>IF(Z175="","",VLOOKUP(Z175,'G-7 Rivers Data'!$AO$4:$AP$7,2,FALSE))</f>
        <v/>
      </c>
      <c r="AB175" s="545" t="str">
        <f t="shared" si="18"/>
        <v/>
      </c>
      <c r="AC175" s="149"/>
      <c r="AD175" s="150"/>
      <c r="AK175" s="31" t="str">
        <f>IFERROR(INDEX('G-7 Rivers Data'!$AZ$3:$AZ$7,MATCH(C175,'G-7 Rivers Data'!$AY$3:$AY$7,0)),"")</f>
        <v/>
      </c>
    </row>
    <row r="176" spans="2:37" ht="13.8" x14ac:dyDescent="0.25">
      <c r="B176" s="141">
        <v>165</v>
      </c>
      <c r="C176" s="666"/>
      <c r="D176" s="172"/>
      <c r="E176" s="498" t="str">
        <f>IF(C176="","",VLOOKUP(C176,'G-7 Rivers Data'!$B$2:$Z$9,2,FALSE))</f>
        <v/>
      </c>
      <c r="F176" s="499" t="str">
        <f>IFERROR(VLOOKUP(E176,'G-7 Rivers Data'!$C$4:$D$8,2,FALSE),"")</f>
        <v/>
      </c>
      <c r="G176" s="145"/>
      <c r="H176" s="499" t="str">
        <f>IFERROR(INDEX('G-7 Rivers Data'!$H$4:$L$8,MATCH(C176,'G-7 Rivers Data'!$B$4:$B$8,0),MATCH(G176,'G-7 Rivers Data'!$H$3:$L$3,0)),"")</f>
        <v/>
      </c>
      <c r="I176" s="145"/>
      <c r="J176" s="540" t="str">
        <f>IF(I176="","",IF(VLOOKUP(I176,'G-7 Rivers Data'!$AG$4:$AI$9,2,FALSE)=0,"Spatial Data Missing ⚠",VLOOKUP(I176,'G-7 Rivers Data'!$AG$4:$AI$9,2,FALSE)))</f>
        <v/>
      </c>
      <c r="K176" s="499" t="str">
        <f>IF(I176="","",IF(VLOOKUP(I176,'G-7 Rivers Data'!$AG$4:$AI$9,3,FALSE)=0,"Spatial Data Missing ⚠",VLOOKUP(I176,'G-7 Rivers Data'!$AG$4:$AI$9,3,FALSE)))</f>
        <v/>
      </c>
      <c r="L176" s="635" t="str">
        <f>IFERROR(INDEX('G-7 Rivers Data'!$O$3:$O$7,MATCH(G176,'G-7 Rivers Data'!$N$3:$N$7,0)),"")</f>
        <v/>
      </c>
      <c r="M176" s="7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154"/>
      <c r="AA176" s="524" t="str">
        <f>IF(Z176="","",VLOOKUP(Z176,'G-7 Rivers Data'!$AO$4:$AP$7,2,FALSE))</f>
        <v/>
      </c>
      <c r="AB176" s="545" t="str">
        <f t="shared" si="18"/>
        <v/>
      </c>
      <c r="AC176" s="149"/>
      <c r="AD176" s="150"/>
      <c r="AK176" s="31" t="str">
        <f>IFERROR(INDEX('G-7 Rivers Data'!$AZ$3:$AZ$7,MATCH(C176,'G-7 Rivers Data'!$AY$3:$AY$7,0)),"")</f>
        <v/>
      </c>
    </row>
    <row r="177" spans="2:37" ht="13.8" x14ac:dyDescent="0.25">
      <c r="B177" s="141">
        <v>166</v>
      </c>
      <c r="C177" s="666"/>
      <c r="D177" s="172"/>
      <c r="E177" s="498" t="str">
        <f>IF(C177="","",VLOOKUP(C177,'G-7 Rivers Data'!$B$2:$Z$9,2,FALSE))</f>
        <v/>
      </c>
      <c r="F177" s="499" t="str">
        <f>IFERROR(VLOOKUP(E177,'G-7 Rivers Data'!$C$4:$D$8,2,FALSE),"")</f>
        <v/>
      </c>
      <c r="G177" s="145"/>
      <c r="H177" s="499" t="str">
        <f>IFERROR(INDEX('G-7 Rivers Data'!$H$4:$L$8,MATCH(C177,'G-7 Rivers Data'!$B$4:$B$8,0),MATCH(G177,'G-7 Rivers Data'!$H$3:$L$3,0)),"")</f>
        <v/>
      </c>
      <c r="I177" s="145"/>
      <c r="J177" s="540" t="str">
        <f>IF(I177="","",IF(VLOOKUP(I177,'G-7 Rivers Data'!$AG$4:$AI$9,2,FALSE)=0,"Spatial Data Missing ⚠",VLOOKUP(I177,'G-7 Rivers Data'!$AG$4:$AI$9,2,FALSE)))</f>
        <v/>
      </c>
      <c r="K177" s="499" t="str">
        <f>IF(I177="","",IF(VLOOKUP(I177,'G-7 Rivers Data'!$AG$4:$AI$9,3,FALSE)=0,"Spatial Data Missing ⚠",VLOOKUP(I177,'G-7 Rivers Data'!$AG$4:$AI$9,3,FALSE)))</f>
        <v/>
      </c>
      <c r="L177" s="635" t="str">
        <f>IFERROR(INDEX('G-7 Rivers Data'!$O$3:$O$7,MATCH(G177,'G-7 Rivers Data'!$N$3:$N$7,0)),"")</f>
        <v/>
      </c>
      <c r="M177" s="7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154"/>
      <c r="AA177" s="524" t="str">
        <f>IF(Z177="","",VLOOKUP(Z177,'G-7 Rivers Data'!$AO$4:$AP$7,2,FALSE))</f>
        <v/>
      </c>
      <c r="AB177" s="545" t="str">
        <f t="shared" si="18"/>
        <v/>
      </c>
      <c r="AC177" s="149"/>
      <c r="AD177" s="150"/>
      <c r="AK177" s="31" t="str">
        <f>IFERROR(INDEX('G-7 Rivers Data'!$AZ$3:$AZ$7,MATCH(C177,'G-7 Rivers Data'!$AY$3:$AY$7,0)),"")</f>
        <v/>
      </c>
    </row>
    <row r="178" spans="2:37" ht="13.8" x14ac:dyDescent="0.25">
      <c r="B178" s="141">
        <v>167</v>
      </c>
      <c r="C178" s="666"/>
      <c r="D178" s="172"/>
      <c r="E178" s="498" t="str">
        <f>IF(C178="","",VLOOKUP(C178,'G-7 Rivers Data'!$B$2:$Z$9,2,FALSE))</f>
        <v/>
      </c>
      <c r="F178" s="499" t="str">
        <f>IFERROR(VLOOKUP(E178,'G-7 Rivers Data'!$C$4:$D$8,2,FALSE),"")</f>
        <v/>
      </c>
      <c r="G178" s="145"/>
      <c r="H178" s="499" t="str">
        <f>IFERROR(INDEX('G-7 Rivers Data'!$H$4:$L$8,MATCH(C178,'G-7 Rivers Data'!$B$4:$B$8,0),MATCH(G178,'G-7 Rivers Data'!$H$3:$L$3,0)),"")</f>
        <v/>
      </c>
      <c r="I178" s="145"/>
      <c r="J178" s="540" t="str">
        <f>IF(I178="","",IF(VLOOKUP(I178,'G-7 Rivers Data'!$AG$4:$AI$9,2,FALSE)=0,"Spatial Data Missing ⚠",VLOOKUP(I178,'G-7 Rivers Data'!$AG$4:$AI$9,2,FALSE)))</f>
        <v/>
      </c>
      <c r="K178" s="499" t="str">
        <f>IF(I178="","",IF(VLOOKUP(I178,'G-7 Rivers Data'!$AG$4:$AI$9,3,FALSE)=0,"Spatial Data Missing ⚠",VLOOKUP(I178,'G-7 Rivers Data'!$AG$4:$AI$9,3,FALSE)))</f>
        <v/>
      </c>
      <c r="L178" s="635" t="str">
        <f>IFERROR(INDEX('G-7 Rivers Data'!$O$3:$O$7,MATCH(G178,'G-7 Rivers Data'!$N$3:$N$7,0)),"")</f>
        <v/>
      </c>
      <c r="M178" s="7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154"/>
      <c r="AA178" s="524" t="str">
        <f>IF(Z178="","",VLOOKUP(Z178,'G-7 Rivers Data'!$AO$4:$AP$7,2,FALSE))</f>
        <v/>
      </c>
      <c r="AB178" s="545" t="str">
        <f t="shared" si="18"/>
        <v/>
      </c>
      <c r="AC178" s="149"/>
      <c r="AD178" s="150"/>
      <c r="AK178" s="31" t="str">
        <f>IFERROR(INDEX('G-7 Rivers Data'!$AZ$3:$AZ$7,MATCH(C178,'G-7 Rivers Data'!$AY$3:$AY$7,0)),"")</f>
        <v/>
      </c>
    </row>
    <row r="179" spans="2:37" ht="13.8" x14ac:dyDescent="0.25">
      <c r="B179" s="141">
        <v>168</v>
      </c>
      <c r="C179" s="666"/>
      <c r="D179" s="172"/>
      <c r="E179" s="498" t="str">
        <f>IF(C179="","",VLOOKUP(C179,'G-7 Rivers Data'!$B$2:$Z$9,2,FALSE))</f>
        <v/>
      </c>
      <c r="F179" s="499" t="str">
        <f>IFERROR(VLOOKUP(E179,'G-7 Rivers Data'!$C$4:$D$8,2,FALSE),"")</f>
        <v/>
      </c>
      <c r="G179" s="145"/>
      <c r="H179" s="499" t="str">
        <f>IFERROR(INDEX('G-7 Rivers Data'!$H$4:$L$8,MATCH(C179,'G-7 Rivers Data'!$B$4:$B$8,0),MATCH(G179,'G-7 Rivers Data'!$H$3:$L$3,0)),"")</f>
        <v/>
      </c>
      <c r="I179" s="145"/>
      <c r="J179" s="540" t="str">
        <f>IF(I179="","",IF(VLOOKUP(I179,'G-7 Rivers Data'!$AG$4:$AI$9,2,FALSE)=0,"Spatial Data Missing ⚠",VLOOKUP(I179,'G-7 Rivers Data'!$AG$4:$AI$9,2,FALSE)))</f>
        <v/>
      </c>
      <c r="K179" s="499" t="str">
        <f>IF(I179="","",IF(VLOOKUP(I179,'G-7 Rivers Data'!$AG$4:$AI$9,3,FALSE)=0,"Spatial Data Missing ⚠",VLOOKUP(I179,'G-7 Rivers Data'!$AG$4:$AI$9,3,FALSE)))</f>
        <v/>
      </c>
      <c r="L179" s="635" t="str">
        <f>IFERROR(INDEX('G-7 Rivers Data'!$O$3:$O$7,MATCH(G179,'G-7 Rivers Data'!$N$3:$N$7,0)),"")</f>
        <v/>
      </c>
      <c r="M179" s="7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154"/>
      <c r="AA179" s="524" t="str">
        <f>IF(Z179="","",VLOOKUP(Z179,'G-7 Rivers Data'!$AO$4:$AP$7,2,FALSE))</f>
        <v/>
      </c>
      <c r="AB179" s="545" t="str">
        <f t="shared" si="18"/>
        <v/>
      </c>
      <c r="AC179" s="149"/>
      <c r="AD179" s="150"/>
      <c r="AK179" s="31" t="str">
        <f>IFERROR(INDEX('G-7 Rivers Data'!$AZ$3:$AZ$7,MATCH(C179,'G-7 Rivers Data'!$AY$3:$AY$7,0)),"")</f>
        <v/>
      </c>
    </row>
    <row r="180" spans="2:37" ht="13.8" x14ac:dyDescent="0.25">
      <c r="B180" s="141">
        <v>169</v>
      </c>
      <c r="C180" s="666"/>
      <c r="D180" s="172"/>
      <c r="E180" s="498" t="str">
        <f>IF(C180="","",VLOOKUP(C180,'G-7 Rivers Data'!$B$2:$Z$9,2,FALSE))</f>
        <v/>
      </c>
      <c r="F180" s="499" t="str">
        <f>IFERROR(VLOOKUP(E180,'G-7 Rivers Data'!$C$4:$D$8,2,FALSE),"")</f>
        <v/>
      </c>
      <c r="G180" s="145"/>
      <c r="H180" s="499" t="str">
        <f>IFERROR(INDEX('G-7 Rivers Data'!$H$4:$L$8,MATCH(C180,'G-7 Rivers Data'!$B$4:$B$8,0),MATCH(G180,'G-7 Rivers Data'!$H$3:$L$3,0)),"")</f>
        <v/>
      </c>
      <c r="I180" s="145"/>
      <c r="J180" s="540" t="str">
        <f>IF(I180="","",IF(VLOOKUP(I180,'G-7 Rivers Data'!$AG$4:$AI$9,2,FALSE)=0,"Spatial Data Missing ⚠",VLOOKUP(I180,'G-7 Rivers Data'!$AG$4:$AI$9,2,FALSE)))</f>
        <v/>
      </c>
      <c r="K180" s="499" t="str">
        <f>IF(I180="","",IF(VLOOKUP(I180,'G-7 Rivers Data'!$AG$4:$AI$9,3,FALSE)=0,"Spatial Data Missing ⚠",VLOOKUP(I180,'G-7 Rivers Data'!$AG$4:$AI$9,3,FALSE)))</f>
        <v/>
      </c>
      <c r="L180" s="635" t="str">
        <f>IFERROR(INDEX('G-7 Rivers Data'!$O$3:$O$7,MATCH(G180,'G-7 Rivers Data'!$N$3:$N$7,0)),"")</f>
        <v/>
      </c>
      <c r="M180" s="7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154"/>
      <c r="AA180" s="524" t="str">
        <f>IF(Z180="","",VLOOKUP(Z180,'G-7 Rivers Data'!$AO$4:$AP$7,2,FALSE))</f>
        <v/>
      </c>
      <c r="AB180" s="545" t="str">
        <f t="shared" si="18"/>
        <v/>
      </c>
      <c r="AC180" s="149"/>
      <c r="AD180" s="150"/>
      <c r="AK180" s="31" t="str">
        <f>IFERROR(INDEX('G-7 Rivers Data'!$AZ$3:$AZ$7,MATCH(C180,'G-7 Rivers Data'!$AY$3:$AY$7,0)),"")</f>
        <v/>
      </c>
    </row>
    <row r="181" spans="2:37" ht="13.8" x14ac:dyDescent="0.25">
      <c r="B181" s="141">
        <v>170</v>
      </c>
      <c r="C181" s="666"/>
      <c r="D181" s="172"/>
      <c r="E181" s="498" t="str">
        <f>IF(C181="","",VLOOKUP(C181,'G-7 Rivers Data'!$B$2:$Z$9,2,FALSE))</f>
        <v/>
      </c>
      <c r="F181" s="499" t="str">
        <f>IFERROR(VLOOKUP(E181,'G-7 Rivers Data'!$C$4:$D$8,2,FALSE),"")</f>
        <v/>
      </c>
      <c r="G181" s="145"/>
      <c r="H181" s="499" t="str">
        <f>IFERROR(INDEX('G-7 Rivers Data'!$H$4:$L$8,MATCH(C181,'G-7 Rivers Data'!$B$4:$B$8,0),MATCH(G181,'G-7 Rivers Data'!$H$3:$L$3,0)),"")</f>
        <v/>
      </c>
      <c r="I181" s="145"/>
      <c r="J181" s="540" t="str">
        <f>IF(I181="","",IF(VLOOKUP(I181,'G-7 Rivers Data'!$AG$4:$AI$9,2,FALSE)=0,"Spatial Data Missing ⚠",VLOOKUP(I181,'G-7 Rivers Data'!$AG$4:$AI$9,2,FALSE)))</f>
        <v/>
      </c>
      <c r="K181" s="499" t="str">
        <f>IF(I181="","",IF(VLOOKUP(I181,'G-7 Rivers Data'!$AG$4:$AI$9,3,FALSE)=0,"Spatial Data Missing ⚠",VLOOKUP(I181,'G-7 Rivers Data'!$AG$4:$AI$9,3,FALSE)))</f>
        <v/>
      </c>
      <c r="L181" s="635" t="str">
        <f>IFERROR(INDEX('G-7 Rivers Data'!$O$3:$O$7,MATCH(G181,'G-7 Rivers Data'!$N$3:$N$7,0)),"")</f>
        <v/>
      </c>
      <c r="M181" s="7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154"/>
      <c r="AA181" s="524" t="str">
        <f>IF(Z181="","",VLOOKUP(Z181,'G-7 Rivers Data'!$AO$4:$AP$7,2,FALSE))</f>
        <v/>
      </c>
      <c r="AB181" s="545" t="str">
        <f t="shared" si="18"/>
        <v/>
      </c>
      <c r="AC181" s="149"/>
      <c r="AD181" s="150"/>
      <c r="AK181" s="31" t="str">
        <f>IFERROR(INDEX('G-7 Rivers Data'!$AZ$3:$AZ$7,MATCH(C181,'G-7 Rivers Data'!$AY$3:$AY$7,0)),"")</f>
        <v/>
      </c>
    </row>
    <row r="182" spans="2:37" ht="13.8" x14ac:dyDescent="0.25">
      <c r="B182" s="141">
        <v>171</v>
      </c>
      <c r="C182" s="666"/>
      <c r="D182" s="172"/>
      <c r="E182" s="498" t="str">
        <f>IF(C182="","",VLOOKUP(C182,'G-7 Rivers Data'!$B$2:$Z$9,2,FALSE))</f>
        <v/>
      </c>
      <c r="F182" s="499" t="str">
        <f>IFERROR(VLOOKUP(E182,'G-7 Rivers Data'!$C$4:$D$8,2,FALSE),"")</f>
        <v/>
      </c>
      <c r="G182" s="145"/>
      <c r="H182" s="499" t="str">
        <f>IFERROR(INDEX('G-7 Rivers Data'!$H$4:$L$8,MATCH(C182,'G-7 Rivers Data'!$B$4:$B$8,0),MATCH(G182,'G-7 Rivers Data'!$H$3:$L$3,0)),"")</f>
        <v/>
      </c>
      <c r="I182" s="145"/>
      <c r="J182" s="540" t="str">
        <f>IF(I182="","",IF(VLOOKUP(I182,'G-7 Rivers Data'!$AG$4:$AI$9,2,FALSE)=0,"Spatial Data Missing ⚠",VLOOKUP(I182,'G-7 Rivers Data'!$AG$4:$AI$9,2,FALSE)))</f>
        <v/>
      </c>
      <c r="K182" s="499" t="str">
        <f>IF(I182="","",IF(VLOOKUP(I182,'G-7 Rivers Data'!$AG$4:$AI$9,3,FALSE)=0,"Spatial Data Missing ⚠",VLOOKUP(I182,'G-7 Rivers Data'!$AG$4:$AI$9,3,FALSE)))</f>
        <v/>
      </c>
      <c r="L182" s="635" t="str">
        <f>IFERROR(INDEX('G-7 Rivers Data'!$O$3:$O$7,MATCH(G182,'G-7 Rivers Data'!$N$3:$N$7,0)),"")</f>
        <v/>
      </c>
      <c r="M182" s="7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154"/>
      <c r="AA182" s="524" t="str">
        <f>IF(Z182="","",VLOOKUP(Z182,'G-7 Rivers Data'!$AO$4:$AP$7,2,FALSE))</f>
        <v/>
      </c>
      <c r="AB182" s="545" t="str">
        <f t="shared" si="18"/>
        <v/>
      </c>
      <c r="AC182" s="149"/>
      <c r="AD182" s="150"/>
      <c r="AK182" s="31" t="str">
        <f>IFERROR(INDEX('G-7 Rivers Data'!$AZ$3:$AZ$7,MATCH(C182,'G-7 Rivers Data'!$AY$3:$AY$7,0)),"")</f>
        <v/>
      </c>
    </row>
    <row r="183" spans="2:37" ht="13.8" x14ac:dyDescent="0.25">
      <c r="B183" s="141">
        <v>172</v>
      </c>
      <c r="C183" s="666"/>
      <c r="D183" s="172"/>
      <c r="E183" s="498" t="str">
        <f>IF(C183="","",VLOOKUP(C183,'G-7 Rivers Data'!$B$2:$Z$9,2,FALSE))</f>
        <v/>
      </c>
      <c r="F183" s="499" t="str">
        <f>IFERROR(VLOOKUP(E183,'G-7 Rivers Data'!$C$4:$D$8,2,FALSE),"")</f>
        <v/>
      </c>
      <c r="G183" s="145"/>
      <c r="H183" s="499" t="str">
        <f>IFERROR(INDEX('G-7 Rivers Data'!$H$4:$L$8,MATCH(C183,'G-7 Rivers Data'!$B$4:$B$8,0),MATCH(G183,'G-7 Rivers Data'!$H$3:$L$3,0)),"")</f>
        <v/>
      </c>
      <c r="I183" s="145"/>
      <c r="J183" s="540" t="str">
        <f>IF(I183="","",IF(VLOOKUP(I183,'G-7 Rivers Data'!$AG$4:$AI$9,2,FALSE)=0,"Spatial Data Missing ⚠",VLOOKUP(I183,'G-7 Rivers Data'!$AG$4:$AI$9,2,FALSE)))</f>
        <v/>
      </c>
      <c r="K183" s="499" t="str">
        <f>IF(I183="","",IF(VLOOKUP(I183,'G-7 Rivers Data'!$AG$4:$AI$9,3,FALSE)=0,"Spatial Data Missing ⚠",VLOOKUP(I183,'G-7 Rivers Data'!$AG$4:$AI$9,3,FALSE)))</f>
        <v/>
      </c>
      <c r="L183" s="635" t="str">
        <f>IFERROR(INDEX('G-7 Rivers Data'!$O$3:$O$7,MATCH(G183,'G-7 Rivers Data'!$N$3:$N$7,0)),"")</f>
        <v/>
      </c>
      <c r="M183" s="7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154"/>
      <c r="AA183" s="524" t="str">
        <f>IF(Z183="","",VLOOKUP(Z183,'G-7 Rivers Data'!$AO$4:$AP$7,2,FALSE))</f>
        <v/>
      </c>
      <c r="AB183" s="545" t="str">
        <f t="shared" si="18"/>
        <v/>
      </c>
      <c r="AC183" s="149"/>
      <c r="AD183" s="150"/>
      <c r="AK183" s="31" t="str">
        <f>IFERROR(INDEX('G-7 Rivers Data'!$AZ$3:$AZ$7,MATCH(C183,'G-7 Rivers Data'!$AY$3:$AY$7,0)),"")</f>
        <v/>
      </c>
    </row>
    <row r="184" spans="2:37" ht="13.8" x14ac:dyDescent="0.25">
      <c r="B184" s="141">
        <v>173</v>
      </c>
      <c r="C184" s="666"/>
      <c r="D184" s="172"/>
      <c r="E184" s="498" t="str">
        <f>IF(C184="","",VLOOKUP(C184,'G-7 Rivers Data'!$B$2:$Z$9,2,FALSE))</f>
        <v/>
      </c>
      <c r="F184" s="499" t="str">
        <f>IFERROR(VLOOKUP(E184,'G-7 Rivers Data'!$C$4:$D$8,2,FALSE),"")</f>
        <v/>
      </c>
      <c r="G184" s="145"/>
      <c r="H184" s="499" t="str">
        <f>IFERROR(INDEX('G-7 Rivers Data'!$H$4:$L$8,MATCH(C184,'G-7 Rivers Data'!$B$4:$B$8,0),MATCH(G184,'G-7 Rivers Data'!$H$3:$L$3,0)),"")</f>
        <v/>
      </c>
      <c r="I184" s="145"/>
      <c r="J184" s="540" t="str">
        <f>IF(I184="","",IF(VLOOKUP(I184,'G-7 Rivers Data'!$AG$4:$AI$9,2,FALSE)=0,"Spatial Data Missing ⚠",VLOOKUP(I184,'G-7 Rivers Data'!$AG$4:$AI$9,2,FALSE)))</f>
        <v/>
      </c>
      <c r="K184" s="499" t="str">
        <f>IF(I184="","",IF(VLOOKUP(I184,'G-7 Rivers Data'!$AG$4:$AI$9,3,FALSE)=0,"Spatial Data Missing ⚠",VLOOKUP(I184,'G-7 Rivers Data'!$AG$4:$AI$9,3,FALSE)))</f>
        <v/>
      </c>
      <c r="L184" s="635" t="str">
        <f>IFERROR(INDEX('G-7 Rivers Data'!$O$3:$O$7,MATCH(G184,'G-7 Rivers Data'!$N$3:$N$7,0)),"")</f>
        <v/>
      </c>
      <c r="M184" s="7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154"/>
      <c r="AA184" s="524" t="str">
        <f>IF(Z184="","",VLOOKUP(Z184,'G-7 Rivers Data'!$AO$4:$AP$7,2,FALSE))</f>
        <v/>
      </c>
      <c r="AB184" s="545" t="str">
        <f t="shared" si="18"/>
        <v/>
      </c>
      <c r="AC184" s="149"/>
      <c r="AD184" s="150"/>
      <c r="AK184" s="31" t="str">
        <f>IFERROR(INDEX('G-7 Rivers Data'!$AZ$3:$AZ$7,MATCH(C184,'G-7 Rivers Data'!$AY$3:$AY$7,0)),"")</f>
        <v/>
      </c>
    </row>
    <row r="185" spans="2:37" ht="13.8" x14ac:dyDescent="0.25">
      <c r="B185" s="141">
        <v>174</v>
      </c>
      <c r="C185" s="666"/>
      <c r="D185" s="172"/>
      <c r="E185" s="498" t="str">
        <f>IF(C185="","",VLOOKUP(C185,'G-7 Rivers Data'!$B$2:$Z$9,2,FALSE))</f>
        <v/>
      </c>
      <c r="F185" s="499" t="str">
        <f>IFERROR(VLOOKUP(E185,'G-7 Rivers Data'!$C$4:$D$8,2,FALSE),"")</f>
        <v/>
      </c>
      <c r="G185" s="145"/>
      <c r="H185" s="499" t="str">
        <f>IFERROR(INDEX('G-7 Rivers Data'!$H$4:$L$8,MATCH(C185,'G-7 Rivers Data'!$B$4:$B$8,0),MATCH(G185,'G-7 Rivers Data'!$H$3:$L$3,0)),"")</f>
        <v/>
      </c>
      <c r="I185" s="145"/>
      <c r="J185" s="540" t="str">
        <f>IF(I185="","",IF(VLOOKUP(I185,'G-7 Rivers Data'!$AG$4:$AI$9,2,FALSE)=0,"Spatial Data Missing ⚠",VLOOKUP(I185,'G-7 Rivers Data'!$AG$4:$AI$9,2,FALSE)))</f>
        <v/>
      </c>
      <c r="K185" s="499" t="str">
        <f>IF(I185="","",IF(VLOOKUP(I185,'G-7 Rivers Data'!$AG$4:$AI$9,3,FALSE)=0,"Spatial Data Missing ⚠",VLOOKUP(I185,'G-7 Rivers Data'!$AG$4:$AI$9,3,FALSE)))</f>
        <v/>
      </c>
      <c r="L185" s="635" t="str">
        <f>IFERROR(INDEX('G-7 Rivers Data'!$O$3:$O$7,MATCH(G185,'G-7 Rivers Data'!$N$3:$N$7,0)),"")</f>
        <v/>
      </c>
      <c r="M185" s="7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154"/>
      <c r="AA185" s="524" t="str">
        <f>IF(Z185="","",VLOOKUP(Z185,'G-7 Rivers Data'!$AO$4:$AP$7,2,FALSE))</f>
        <v/>
      </c>
      <c r="AB185" s="545" t="str">
        <f t="shared" si="18"/>
        <v/>
      </c>
      <c r="AC185" s="149"/>
      <c r="AD185" s="150"/>
      <c r="AK185" s="31" t="str">
        <f>IFERROR(INDEX('G-7 Rivers Data'!$AZ$3:$AZ$7,MATCH(C185,'G-7 Rivers Data'!$AY$3:$AY$7,0)),"")</f>
        <v/>
      </c>
    </row>
    <row r="186" spans="2:37" ht="13.8" x14ac:dyDescent="0.25">
      <c r="B186" s="141">
        <v>175</v>
      </c>
      <c r="C186" s="666"/>
      <c r="D186" s="172"/>
      <c r="E186" s="498" t="str">
        <f>IF(C186="","",VLOOKUP(C186,'G-7 Rivers Data'!$B$2:$Z$9,2,FALSE))</f>
        <v/>
      </c>
      <c r="F186" s="499" t="str">
        <f>IFERROR(VLOOKUP(E186,'G-7 Rivers Data'!$C$4:$D$8,2,FALSE),"")</f>
        <v/>
      </c>
      <c r="G186" s="145"/>
      <c r="H186" s="499" t="str">
        <f>IFERROR(INDEX('G-7 Rivers Data'!$H$4:$L$8,MATCH(C186,'G-7 Rivers Data'!$B$4:$B$8,0),MATCH(G186,'G-7 Rivers Data'!$H$3:$L$3,0)),"")</f>
        <v/>
      </c>
      <c r="I186" s="145"/>
      <c r="J186" s="540" t="str">
        <f>IF(I186="","",IF(VLOOKUP(I186,'G-7 Rivers Data'!$AG$4:$AI$9,2,FALSE)=0,"Spatial Data Missing ⚠",VLOOKUP(I186,'G-7 Rivers Data'!$AG$4:$AI$9,2,FALSE)))</f>
        <v/>
      </c>
      <c r="K186" s="499" t="str">
        <f>IF(I186="","",IF(VLOOKUP(I186,'G-7 Rivers Data'!$AG$4:$AI$9,3,FALSE)=0,"Spatial Data Missing ⚠",VLOOKUP(I186,'G-7 Rivers Data'!$AG$4:$AI$9,3,FALSE)))</f>
        <v/>
      </c>
      <c r="L186" s="635" t="str">
        <f>IFERROR(INDEX('G-7 Rivers Data'!$O$3:$O$7,MATCH(G186,'G-7 Rivers Data'!$N$3:$N$7,0)),"")</f>
        <v/>
      </c>
      <c r="M186" s="7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154"/>
      <c r="AA186" s="524" t="str">
        <f>IF(Z186="","",VLOOKUP(Z186,'G-7 Rivers Data'!$AO$4:$AP$7,2,FALSE))</f>
        <v/>
      </c>
      <c r="AB186" s="545" t="str">
        <f t="shared" si="18"/>
        <v/>
      </c>
      <c r="AC186" s="149"/>
      <c r="AD186" s="150"/>
      <c r="AK186" s="31" t="str">
        <f>IFERROR(INDEX('G-7 Rivers Data'!$AZ$3:$AZ$7,MATCH(C186,'G-7 Rivers Data'!$AY$3:$AY$7,0)),"")</f>
        <v/>
      </c>
    </row>
    <row r="187" spans="2:37" ht="13.8" x14ac:dyDescent="0.25">
      <c r="B187" s="141">
        <v>176</v>
      </c>
      <c r="C187" s="666"/>
      <c r="D187" s="172"/>
      <c r="E187" s="498" t="str">
        <f>IF(C187="","",VLOOKUP(C187,'G-7 Rivers Data'!$B$2:$Z$9,2,FALSE))</f>
        <v/>
      </c>
      <c r="F187" s="499" t="str">
        <f>IFERROR(VLOOKUP(E187,'G-7 Rivers Data'!$C$4:$D$8,2,FALSE),"")</f>
        <v/>
      </c>
      <c r="G187" s="145"/>
      <c r="H187" s="499" t="str">
        <f>IFERROR(INDEX('G-7 Rivers Data'!$H$4:$L$8,MATCH(C187,'G-7 Rivers Data'!$B$4:$B$8,0),MATCH(G187,'G-7 Rivers Data'!$H$3:$L$3,0)),"")</f>
        <v/>
      </c>
      <c r="I187" s="145"/>
      <c r="J187" s="540" t="str">
        <f>IF(I187="","",IF(VLOOKUP(I187,'G-7 Rivers Data'!$AG$4:$AI$9,2,FALSE)=0,"Spatial Data Missing ⚠",VLOOKUP(I187,'G-7 Rivers Data'!$AG$4:$AI$9,2,FALSE)))</f>
        <v/>
      </c>
      <c r="K187" s="499" t="str">
        <f>IF(I187="","",IF(VLOOKUP(I187,'G-7 Rivers Data'!$AG$4:$AI$9,3,FALSE)=0,"Spatial Data Missing ⚠",VLOOKUP(I187,'G-7 Rivers Data'!$AG$4:$AI$9,3,FALSE)))</f>
        <v/>
      </c>
      <c r="L187" s="635" t="str">
        <f>IFERROR(INDEX('G-7 Rivers Data'!$O$3:$O$7,MATCH(G187,'G-7 Rivers Data'!$N$3:$N$7,0)),"")</f>
        <v/>
      </c>
      <c r="M187" s="7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154"/>
      <c r="AA187" s="524" t="str">
        <f>IF(Z187="","",VLOOKUP(Z187,'G-7 Rivers Data'!$AO$4:$AP$7,2,FALSE))</f>
        <v/>
      </c>
      <c r="AB187" s="545" t="str">
        <f t="shared" si="18"/>
        <v/>
      </c>
      <c r="AC187" s="149"/>
      <c r="AD187" s="150"/>
      <c r="AK187" s="31" t="str">
        <f>IFERROR(INDEX('G-7 Rivers Data'!$AZ$3:$AZ$7,MATCH(C187,'G-7 Rivers Data'!$AY$3:$AY$7,0)),"")</f>
        <v/>
      </c>
    </row>
    <row r="188" spans="2:37" ht="13.8" x14ac:dyDescent="0.25">
      <c r="B188" s="141">
        <v>177</v>
      </c>
      <c r="C188" s="666"/>
      <c r="D188" s="172"/>
      <c r="E188" s="498" t="str">
        <f>IF(C188="","",VLOOKUP(C188,'G-7 Rivers Data'!$B$2:$Z$9,2,FALSE))</f>
        <v/>
      </c>
      <c r="F188" s="499" t="str">
        <f>IFERROR(VLOOKUP(E188,'G-7 Rivers Data'!$C$4:$D$8,2,FALSE),"")</f>
        <v/>
      </c>
      <c r="G188" s="145"/>
      <c r="H188" s="499" t="str">
        <f>IFERROR(INDEX('G-7 Rivers Data'!$H$4:$L$8,MATCH(C188,'G-7 Rivers Data'!$B$4:$B$8,0),MATCH(G188,'G-7 Rivers Data'!$H$3:$L$3,0)),"")</f>
        <v/>
      </c>
      <c r="I188" s="145"/>
      <c r="J188" s="540" t="str">
        <f>IF(I188="","",IF(VLOOKUP(I188,'G-7 Rivers Data'!$AG$4:$AI$9,2,FALSE)=0,"Spatial Data Missing ⚠",VLOOKUP(I188,'G-7 Rivers Data'!$AG$4:$AI$9,2,FALSE)))</f>
        <v/>
      </c>
      <c r="K188" s="499" t="str">
        <f>IF(I188="","",IF(VLOOKUP(I188,'G-7 Rivers Data'!$AG$4:$AI$9,3,FALSE)=0,"Spatial Data Missing ⚠",VLOOKUP(I188,'G-7 Rivers Data'!$AG$4:$AI$9,3,FALSE)))</f>
        <v/>
      </c>
      <c r="L188" s="635" t="str">
        <f>IFERROR(INDEX('G-7 Rivers Data'!$O$3:$O$7,MATCH(G188,'G-7 Rivers Data'!$N$3:$N$7,0)),"")</f>
        <v/>
      </c>
      <c r="M188" s="7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154"/>
      <c r="AA188" s="524" t="str">
        <f>IF(Z188="","",VLOOKUP(Z188,'G-7 Rivers Data'!$AO$4:$AP$7,2,FALSE))</f>
        <v/>
      </c>
      <c r="AB188" s="545" t="str">
        <f t="shared" si="18"/>
        <v/>
      </c>
      <c r="AC188" s="149"/>
      <c r="AD188" s="150"/>
      <c r="AK188" s="31" t="str">
        <f>IFERROR(INDEX('G-7 Rivers Data'!$AZ$3:$AZ$7,MATCH(C188,'G-7 Rivers Data'!$AY$3:$AY$7,0)),"")</f>
        <v/>
      </c>
    </row>
    <row r="189" spans="2:37" ht="13.8" x14ac:dyDescent="0.25">
      <c r="B189" s="141">
        <v>178</v>
      </c>
      <c r="C189" s="666"/>
      <c r="D189" s="172"/>
      <c r="E189" s="498" t="str">
        <f>IF(C189="","",VLOOKUP(C189,'G-7 Rivers Data'!$B$2:$Z$9,2,FALSE))</f>
        <v/>
      </c>
      <c r="F189" s="499" t="str">
        <f>IFERROR(VLOOKUP(E189,'G-7 Rivers Data'!$C$4:$D$8,2,FALSE),"")</f>
        <v/>
      </c>
      <c r="G189" s="145"/>
      <c r="H189" s="499" t="str">
        <f>IFERROR(INDEX('G-7 Rivers Data'!$H$4:$L$8,MATCH(C189,'G-7 Rivers Data'!$B$4:$B$8,0),MATCH(G189,'G-7 Rivers Data'!$H$3:$L$3,0)),"")</f>
        <v/>
      </c>
      <c r="I189" s="145"/>
      <c r="J189" s="540" t="str">
        <f>IF(I189="","",IF(VLOOKUP(I189,'G-7 Rivers Data'!$AG$4:$AI$9,2,FALSE)=0,"Spatial Data Missing ⚠",VLOOKUP(I189,'G-7 Rivers Data'!$AG$4:$AI$9,2,FALSE)))</f>
        <v/>
      </c>
      <c r="K189" s="499" t="str">
        <f>IF(I189="","",IF(VLOOKUP(I189,'G-7 Rivers Data'!$AG$4:$AI$9,3,FALSE)=0,"Spatial Data Missing ⚠",VLOOKUP(I189,'G-7 Rivers Data'!$AG$4:$AI$9,3,FALSE)))</f>
        <v/>
      </c>
      <c r="L189" s="635" t="str">
        <f>IFERROR(INDEX('G-7 Rivers Data'!$O$3:$O$7,MATCH(G189,'G-7 Rivers Data'!$N$3:$N$7,0)),"")</f>
        <v/>
      </c>
      <c r="M189" s="7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154"/>
      <c r="AA189" s="524" t="str">
        <f>IF(Z189="","",VLOOKUP(Z189,'G-7 Rivers Data'!$AO$4:$AP$7,2,FALSE))</f>
        <v/>
      </c>
      <c r="AB189" s="545" t="str">
        <f t="shared" si="18"/>
        <v/>
      </c>
      <c r="AC189" s="149"/>
      <c r="AD189" s="150"/>
      <c r="AK189" s="31" t="str">
        <f>IFERROR(INDEX('G-7 Rivers Data'!$AZ$3:$AZ$7,MATCH(C189,'G-7 Rivers Data'!$AY$3:$AY$7,0)),"")</f>
        <v/>
      </c>
    </row>
    <row r="190" spans="2:37" ht="13.8" x14ac:dyDescent="0.25">
      <c r="B190" s="141">
        <v>179</v>
      </c>
      <c r="C190" s="666"/>
      <c r="D190" s="172"/>
      <c r="E190" s="498" t="str">
        <f>IF(C190="","",VLOOKUP(C190,'G-7 Rivers Data'!$B$2:$Z$9,2,FALSE))</f>
        <v/>
      </c>
      <c r="F190" s="499" t="str">
        <f>IFERROR(VLOOKUP(E190,'G-7 Rivers Data'!$C$4:$D$8,2,FALSE),"")</f>
        <v/>
      </c>
      <c r="G190" s="145"/>
      <c r="H190" s="499" t="str">
        <f>IFERROR(INDEX('G-7 Rivers Data'!$H$4:$L$8,MATCH(C190,'G-7 Rivers Data'!$B$4:$B$8,0),MATCH(G190,'G-7 Rivers Data'!$H$3:$L$3,0)),"")</f>
        <v/>
      </c>
      <c r="I190" s="145"/>
      <c r="J190" s="540" t="str">
        <f>IF(I190="","",IF(VLOOKUP(I190,'G-7 Rivers Data'!$AG$4:$AI$9,2,FALSE)=0,"Spatial Data Missing ⚠",VLOOKUP(I190,'G-7 Rivers Data'!$AG$4:$AI$9,2,FALSE)))</f>
        <v/>
      </c>
      <c r="K190" s="499" t="str">
        <f>IF(I190="","",IF(VLOOKUP(I190,'G-7 Rivers Data'!$AG$4:$AI$9,3,FALSE)=0,"Spatial Data Missing ⚠",VLOOKUP(I190,'G-7 Rivers Data'!$AG$4:$AI$9,3,FALSE)))</f>
        <v/>
      </c>
      <c r="L190" s="635" t="str">
        <f>IFERROR(INDEX('G-7 Rivers Data'!$O$3:$O$7,MATCH(G190,'G-7 Rivers Data'!$N$3:$N$7,0)),"")</f>
        <v/>
      </c>
      <c r="M190" s="7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154"/>
      <c r="AA190" s="524" t="str">
        <f>IF(Z190="","",VLOOKUP(Z190,'G-7 Rivers Data'!$AO$4:$AP$7,2,FALSE))</f>
        <v/>
      </c>
      <c r="AB190" s="545" t="str">
        <f t="shared" si="18"/>
        <v/>
      </c>
      <c r="AC190" s="149"/>
      <c r="AD190" s="150"/>
      <c r="AK190" s="31" t="str">
        <f>IFERROR(INDEX('G-7 Rivers Data'!$AZ$3:$AZ$7,MATCH(C190,'G-7 Rivers Data'!$AY$3:$AY$7,0)),"")</f>
        <v/>
      </c>
    </row>
    <row r="191" spans="2:37" ht="13.8" x14ac:dyDescent="0.25">
      <c r="B191" s="141">
        <v>180</v>
      </c>
      <c r="C191" s="666"/>
      <c r="D191" s="172"/>
      <c r="E191" s="498" t="str">
        <f>IF(C191="","",VLOOKUP(C191,'G-7 Rivers Data'!$B$2:$Z$9,2,FALSE))</f>
        <v/>
      </c>
      <c r="F191" s="499" t="str">
        <f>IFERROR(VLOOKUP(E191,'G-7 Rivers Data'!$C$4:$D$8,2,FALSE),"")</f>
        <v/>
      </c>
      <c r="G191" s="145"/>
      <c r="H191" s="499" t="str">
        <f>IFERROR(INDEX('G-7 Rivers Data'!$H$4:$L$8,MATCH(C191,'G-7 Rivers Data'!$B$4:$B$8,0),MATCH(G191,'G-7 Rivers Data'!$H$3:$L$3,0)),"")</f>
        <v/>
      </c>
      <c r="I191" s="145"/>
      <c r="J191" s="540" t="str">
        <f>IF(I191="","",IF(VLOOKUP(I191,'G-7 Rivers Data'!$AG$4:$AI$9,2,FALSE)=0,"Spatial Data Missing ⚠",VLOOKUP(I191,'G-7 Rivers Data'!$AG$4:$AI$9,2,FALSE)))</f>
        <v/>
      </c>
      <c r="K191" s="499" t="str">
        <f>IF(I191="","",IF(VLOOKUP(I191,'G-7 Rivers Data'!$AG$4:$AI$9,3,FALSE)=0,"Spatial Data Missing ⚠",VLOOKUP(I191,'G-7 Rivers Data'!$AG$4:$AI$9,3,FALSE)))</f>
        <v/>
      </c>
      <c r="L191" s="635" t="str">
        <f>IFERROR(INDEX('G-7 Rivers Data'!$O$3:$O$7,MATCH(G191,'G-7 Rivers Data'!$N$3:$N$7,0)),"")</f>
        <v/>
      </c>
      <c r="M191" s="7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154"/>
      <c r="AA191" s="524" t="str">
        <f>IF(Z191="","",VLOOKUP(Z191,'G-7 Rivers Data'!$AO$4:$AP$7,2,FALSE))</f>
        <v/>
      </c>
      <c r="AB191" s="545" t="str">
        <f t="shared" si="18"/>
        <v/>
      </c>
      <c r="AC191" s="149"/>
      <c r="AD191" s="150"/>
      <c r="AK191" s="31" t="str">
        <f>IFERROR(INDEX('G-7 Rivers Data'!$AZ$3:$AZ$7,MATCH(C191,'G-7 Rivers Data'!$AY$3:$AY$7,0)),"")</f>
        <v/>
      </c>
    </row>
    <row r="192" spans="2:37" ht="13.8" x14ac:dyDescent="0.25">
      <c r="B192" s="141">
        <v>181</v>
      </c>
      <c r="C192" s="666"/>
      <c r="D192" s="172"/>
      <c r="E192" s="498" t="str">
        <f>IF(C192="","",VLOOKUP(C192,'G-7 Rivers Data'!$B$2:$Z$9,2,FALSE))</f>
        <v/>
      </c>
      <c r="F192" s="499" t="str">
        <f>IFERROR(VLOOKUP(E192,'G-7 Rivers Data'!$C$4:$D$8,2,FALSE),"")</f>
        <v/>
      </c>
      <c r="G192" s="145"/>
      <c r="H192" s="499" t="str">
        <f>IFERROR(INDEX('G-7 Rivers Data'!$H$4:$L$8,MATCH(C192,'G-7 Rivers Data'!$B$4:$B$8,0),MATCH(G192,'G-7 Rivers Data'!$H$3:$L$3,0)),"")</f>
        <v/>
      </c>
      <c r="I192" s="145"/>
      <c r="J192" s="540" t="str">
        <f>IF(I192="","",IF(VLOOKUP(I192,'G-7 Rivers Data'!$AG$4:$AI$9,2,FALSE)=0,"Spatial Data Missing ⚠",VLOOKUP(I192,'G-7 Rivers Data'!$AG$4:$AI$9,2,FALSE)))</f>
        <v/>
      </c>
      <c r="K192" s="499" t="str">
        <f>IF(I192="","",IF(VLOOKUP(I192,'G-7 Rivers Data'!$AG$4:$AI$9,3,FALSE)=0,"Spatial Data Missing ⚠",VLOOKUP(I192,'G-7 Rivers Data'!$AG$4:$AI$9,3,FALSE)))</f>
        <v/>
      </c>
      <c r="L192" s="635" t="str">
        <f>IFERROR(INDEX('G-7 Rivers Data'!$O$3:$O$7,MATCH(G192,'G-7 Rivers Data'!$N$3:$N$7,0)),"")</f>
        <v/>
      </c>
      <c r="M192" s="7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154"/>
      <c r="AA192" s="524" t="str">
        <f>IF(Z192="","",VLOOKUP(Z192,'G-7 Rivers Data'!$AO$4:$AP$7,2,FALSE))</f>
        <v/>
      </c>
      <c r="AB192" s="545" t="str">
        <f t="shared" si="18"/>
        <v/>
      </c>
      <c r="AC192" s="149"/>
      <c r="AD192" s="150"/>
      <c r="AK192" s="31" t="str">
        <f>IFERROR(INDEX('G-7 Rivers Data'!$AZ$3:$AZ$7,MATCH(C192,'G-7 Rivers Data'!$AY$3:$AY$7,0)),"")</f>
        <v/>
      </c>
    </row>
    <row r="193" spans="2:37" ht="13.8" x14ac:dyDescent="0.25">
      <c r="B193" s="141">
        <v>182</v>
      </c>
      <c r="C193" s="666"/>
      <c r="D193" s="172"/>
      <c r="E193" s="498" t="str">
        <f>IF(C193="","",VLOOKUP(C193,'G-7 Rivers Data'!$B$2:$Z$9,2,FALSE))</f>
        <v/>
      </c>
      <c r="F193" s="499" t="str">
        <f>IFERROR(VLOOKUP(E193,'G-7 Rivers Data'!$C$4:$D$8,2,FALSE),"")</f>
        <v/>
      </c>
      <c r="G193" s="145"/>
      <c r="H193" s="499" t="str">
        <f>IFERROR(INDEX('G-7 Rivers Data'!$H$4:$L$8,MATCH(C193,'G-7 Rivers Data'!$B$4:$B$8,0),MATCH(G193,'G-7 Rivers Data'!$H$3:$L$3,0)),"")</f>
        <v/>
      </c>
      <c r="I193" s="145"/>
      <c r="J193" s="540" t="str">
        <f>IF(I193="","",IF(VLOOKUP(I193,'G-7 Rivers Data'!$AG$4:$AI$9,2,FALSE)=0,"Spatial Data Missing ⚠",VLOOKUP(I193,'G-7 Rivers Data'!$AG$4:$AI$9,2,FALSE)))</f>
        <v/>
      </c>
      <c r="K193" s="499" t="str">
        <f>IF(I193="","",IF(VLOOKUP(I193,'G-7 Rivers Data'!$AG$4:$AI$9,3,FALSE)=0,"Spatial Data Missing ⚠",VLOOKUP(I193,'G-7 Rivers Data'!$AG$4:$AI$9,3,FALSE)))</f>
        <v/>
      </c>
      <c r="L193" s="635" t="str">
        <f>IFERROR(INDEX('G-7 Rivers Data'!$O$3:$O$7,MATCH(G193,'G-7 Rivers Data'!$N$3:$N$7,0)),"")</f>
        <v/>
      </c>
      <c r="M193" s="7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154"/>
      <c r="AA193" s="524" t="str">
        <f>IF(Z193="","",VLOOKUP(Z193,'G-7 Rivers Data'!$AO$4:$AP$7,2,FALSE))</f>
        <v/>
      </c>
      <c r="AB193" s="545" t="str">
        <f t="shared" si="18"/>
        <v/>
      </c>
      <c r="AC193" s="149"/>
      <c r="AD193" s="150"/>
      <c r="AK193" s="31" t="str">
        <f>IFERROR(INDEX('G-7 Rivers Data'!$AZ$3:$AZ$7,MATCH(C193,'G-7 Rivers Data'!$AY$3:$AY$7,0)),"")</f>
        <v/>
      </c>
    </row>
    <row r="194" spans="2:37" ht="13.8" x14ac:dyDescent="0.25">
      <c r="B194" s="141">
        <v>183</v>
      </c>
      <c r="C194" s="666"/>
      <c r="D194" s="172"/>
      <c r="E194" s="498" t="str">
        <f>IF(C194="","",VLOOKUP(C194,'G-7 Rivers Data'!$B$2:$Z$9,2,FALSE))</f>
        <v/>
      </c>
      <c r="F194" s="499" t="str">
        <f>IFERROR(VLOOKUP(E194,'G-7 Rivers Data'!$C$4:$D$8,2,FALSE),"")</f>
        <v/>
      </c>
      <c r="G194" s="145"/>
      <c r="H194" s="499" t="str">
        <f>IFERROR(INDEX('G-7 Rivers Data'!$H$4:$L$8,MATCH(C194,'G-7 Rivers Data'!$B$4:$B$8,0),MATCH(G194,'G-7 Rivers Data'!$H$3:$L$3,0)),"")</f>
        <v/>
      </c>
      <c r="I194" s="145"/>
      <c r="J194" s="540" t="str">
        <f>IF(I194="","",IF(VLOOKUP(I194,'G-7 Rivers Data'!$AG$4:$AI$9,2,FALSE)=0,"Spatial Data Missing ⚠",VLOOKUP(I194,'G-7 Rivers Data'!$AG$4:$AI$9,2,FALSE)))</f>
        <v/>
      </c>
      <c r="K194" s="499" t="str">
        <f>IF(I194="","",IF(VLOOKUP(I194,'G-7 Rivers Data'!$AG$4:$AI$9,3,FALSE)=0,"Spatial Data Missing ⚠",VLOOKUP(I194,'G-7 Rivers Data'!$AG$4:$AI$9,3,FALSE)))</f>
        <v/>
      </c>
      <c r="L194" s="635" t="str">
        <f>IFERROR(INDEX('G-7 Rivers Data'!$O$3:$O$7,MATCH(G194,'G-7 Rivers Data'!$N$3:$N$7,0)),"")</f>
        <v/>
      </c>
      <c r="M194" s="7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154"/>
      <c r="AA194" s="524" t="str">
        <f>IF(Z194="","",VLOOKUP(Z194,'G-7 Rivers Data'!$AO$4:$AP$7,2,FALSE))</f>
        <v/>
      </c>
      <c r="AB194" s="545" t="str">
        <f t="shared" si="18"/>
        <v/>
      </c>
      <c r="AC194" s="149"/>
      <c r="AD194" s="150"/>
      <c r="AK194" s="31" t="str">
        <f>IFERROR(INDEX('G-7 Rivers Data'!$AZ$3:$AZ$7,MATCH(C194,'G-7 Rivers Data'!$AY$3:$AY$7,0)),"")</f>
        <v/>
      </c>
    </row>
    <row r="195" spans="2:37" ht="13.8" x14ac:dyDescent="0.25">
      <c r="B195" s="141">
        <v>184</v>
      </c>
      <c r="C195" s="666"/>
      <c r="D195" s="172"/>
      <c r="E195" s="498" t="str">
        <f>IF(C195="","",VLOOKUP(C195,'G-7 Rivers Data'!$B$2:$Z$9,2,FALSE))</f>
        <v/>
      </c>
      <c r="F195" s="499" t="str">
        <f>IFERROR(VLOOKUP(E195,'G-7 Rivers Data'!$C$4:$D$8,2,FALSE),"")</f>
        <v/>
      </c>
      <c r="G195" s="145"/>
      <c r="H195" s="499" t="str">
        <f>IFERROR(INDEX('G-7 Rivers Data'!$H$4:$L$8,MATCH(C195,'G-7 Rivers Data'!$B$4:$B$8,0),MATCH(G195,'G-7 Rivers Data'!$H$3:$L$3,0)),"")</f>
        <v/>
      </c>
      <c r="I195" s="145"/>
      <c r="J195" s="540" t="str">
        <f>IF(I195="","",IF(VLOOKUP(I195,'G-7 Rivers Data'!$AG$4:$AI$9,2,FALSE)=0,"Spatial Data Missing ⚠",VLOOKUP(I195,'G-7 Rivers Data'!$AG$4:$AI$9,2,FALSE)))</f>
        <v/>
      </c>
      <c r="K195" s="499" t="str">
        <f>IF(I195="","",IF(VLOOKUP(I195,'G-7 Rivers Data'!$AG$4:$AI$9,3,FALSE)=0,"Spatial Data Missing ⚠",VLOOKUP(I195,'G-7 Rivers Data'!$AG$4:$AI$9,3,FALSE)))</f>
        <v/>
      </c>
      <c r="L195" s="635" t="str">
        <f>IFERROR(INDEX('G-7 Rivers Data'!$O$3:$O$7,MATCH(G195,'G-7 Rivers Data'!$N$3:$N$7,0)),"")</f>
        <v/>
      </c>
      <c r="M195" s="7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154"/>
      <c r="AA195" s="524" t="str">
        <f>IF(Z195="","",VLOOKUP(Z195,'G-7 Rivers Data'!$AO$4:$AP$7,2,FALSE))</f>
        <v/>
      </c>
      <c r="AB195" s="545" t="str">
        <f t="shared" si="18"/>
        <v/>
      </c>
      <c r="AC195" s="149"/>
      <c r="AD195" s="150"/>
      <c r="AK195" s="31" t="str">
        <f>IFERROR(INDEX('G-7 Rivers Data'!$AZ$3:$AZ$7,MATCH(C195,'G-7 Rivers Data'!$AY$3:$AY$7,0)),"")</f>
        <v/>
      </c>
    </row>
    <row r="196" spans="2:37" ht="13.8" x14ac:dyDescent="0.25">
      <c r="B196" s="141">
        <v>185</v>
      </c>
      <c r="C196" s="666"/>
      <c r="D196" s="172"/>
      <c r="E196" s="498" t="str">
        <f>IF(C196="","",VLOOKUP(C196,'G-7 Rivers Data'!$B$2:$Z$9,2,FALSE))</f>
        <v/>
      </c>
      <c r="F196" s="499" t="str">
        <f>IFERROR(VLOOKUP(E196,'G-7 Rivers Data'!$C$4:$D$8,2,FALSE),"")</f>
        <v/>
      </c>
      <c r="G196" s="145"/>
      <c r="H196" s="499" t="str">
        <f>IFERROR(INDEX('G-7 Rivers Data'!$H$4:$L$8,MATCH(C196,'G-7 Rivers Data'!$B$4:$B$8,0),MATCH(G196,'G-7 Rivers Data'!$H$3:$L$3,0)),"")</f>
        <v/>
      </c>
      <c r="I196" s="145"/>
      <c r="J196" s="540" t="str">
        <f>IF(I196="","",IF(VLOOKUP(I196,'G-7 Rivers Data'!$AG$4:$AI$9,2,FALSE)=0,"Spatial Data Missing ⚠",VLOOKUP(I196,'G-7 Rivers Data'!$AG$4:$AI$9,2,FALSE)))</f>
        <v/>
      </c>
      <c r="K196" s="499" t="str">
        <f>IF(I196="","",IF(VLOOKUP(I196,'G-7 Rivers Data'!$AG$4:$AI$9,3,FALSE)=0,"Spatial Data Missing ⚠",VLOOKUP(I196,'G-7 Rivers Data'!$AG$4:$AI$9,3,FALSE)))</f>
        <v/>
      </c>
      <c r="L196" s="635" t="str">
        <f>IFERROR(INDEX('G-7 Rivers Data'!$O$3:$O$7,MATCH(G196,'G-7 Rivers Data'!$N$3:$N$7,0)),"")</f>
        <v/>
      </c>
      <c r="M196" s="7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154"/>
      <c r="AA196" s="524" t="str">
        <f>IF(Z196="","",VLOOKUP(Z196,'G-7 Rivers Data'!$AO$4:$AP$7,2,FALSE))</f>
        <v/>
      </c>
      <c r="AB196" s="545" t="str">
        <f t="shared" si="18"/>
        <v/>
      </c>
      <c r="AC196" s="149"/>
      <c r="AD196" s="150"/>
      <c r="AK196" s="31" t="str">
        <f>IFERROR(INDEX('G-7 Rivers Data'!$AZ$3:$AZ$7,MATCH(C196,'G-7 Rivers Data'!$AY$3:$AY$7,0)),"")</f>
        <v/>
      </c>
    </row>
    <row r="197" spans="2:37" ht="13.8" x14ac:dyDescent="0.25">
      <c r="B197" s="141">
        <v>186</v>
      </c>
      <c r="C197" s="666"/>
      <c r="D197" s="172"/>
      <c r="E197" s="498" t="str">
        <f>IF(C197="","",VLOOKUP(C197,'G-7 Rivers Data'!$B$2:$Z$9,2,FALSE))</f>
        <v/>
      </c>
      <c r="F197" s="499" t="str">
        <f>IFERROR(VLOOKUP(E197,'G-7 Rivers Data'!$C$4:$D$8,2,FALSE),"")</f>
        <v/>
      </c>
      <c r="G197" s="145"/>
      <c r="H197" s="499" t="str">
        <f>IFERROR(INDEX('G-7 Rivers Data'!$H$4:$L$8,MATCH(C197,'G-7 Rivers Data'!$B$4:$B$8,0),MATCH(G197,'G-7 Rivers Data'!$H$3:$L$3,0)),"")</f>
        <v/>
      </c>
      <c r="I197" s="145"/>
      <c r="J197" s="540" t="str">
        <f>IF(I197="","",IF(VLOOKUP(I197,'G-7 Rivers Data'!$AG$4:$AI$9,2,FALSE)=0,"Spatial Data Missing ⚠",VLOOKUP(I197,'G-7 Rivers Data'!$AG$4:$AI$9,2,FALSE)))</f>
        <v/>
      </c>
      <c r="K197" s="499" t="str">
        <f>IF(I197="","",IF(VLOOKUP(I197,'G-7 Rivers Data'!$AG$4:$AI$9,3,FALSE)=0,"Spatial Data Missing ⚠",VLOOKUP(I197,'G-7 Rivers Data'!$AG$4:$AI$9,3,FALSE)))</f>
        <v/>
      </c>
      <c r="L197" s="635" t="str">
        <f>IFERROR(INDEX('G-7 Rivers Data'!$O$3:$O$7,MATCH(G197,'G-7 Rivers Data'!$N$3:$N$7,0)),"")</f>
        <v/>
      </c>
      <c r="M197" s="7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154"/>
      <c r="AA197" s="524" t="str">
        <f>IF(Z197="","",VLOOKUP(Z197,'G-7 Rivers Data'!$AO$4:$AP$7,2,FALSE))</f>
        <v/>
      </c>
      <c r="AB197" s="545" t="str">
        <f t="shared" si="18"/>
        <v/>
      </c>
      <c r="AC197" s="149"/>
      <c r="AD197" s="150"/>
      <c r="AK197" s="31" t="str">
        <f>IFERROR(INDEX('G-7 Rivers Data'!$AZ$3:$AZ$7,MATCH(C197,'G-7 Rivers Data'!$AY$3:$AY$7,0)),"")</f>
        <v/>
      </c>
    </row>
    <row r="198" spans="2:37" ht="13.8" x14ac:dyDescent="0.25">
      <c r="B198" s="141">
        <v>187</v>
      </c>
      <c r="C198" s="666"/>
      <c r="D198" s="172"/>
      <c r="E198" s="498" t="str">
        <f>IF(C198="","",VLOOKUP(C198,'G-7 Rivers Data'!$B$2:$Z$9,2,FALSE))</f>
        <v/>
      </c>
      <c r="F198" s="499" t="str">
        <f>IFERROR(VLOOKUP(E198,'G-7 Rivers Data'!$C$4:$D$8,2,FALSE),"")</f>
        <v/>
      </c>
      <c r="G198" s="145"/>
      <c r="H198" s="499" t="str">
        <f>IFERROR(INDEX('G-7 Rivers Data'!$H$4:$L$8,MATCH(C198,'G-7 Rivers Data'!$B$4:$B$8,0),MATCH(G198,'G-7 Rivers Data'!$H$3:$L$3,0)),"")</f>
        <v/>
      </c>
      <c r="I198" s="145"/>
      <c r="J198" s="540" t="str">
        <f>IF(I198="","",IF(VLOOKUP(I198,'G-7 Rivers Data'!$AG$4:$AI$9,2,FALSE)=0,"Spatial Data Missing ⚠",VLOOKUP(I198,'G-7 Rivers Data'!$AG$4:$AI$9,2,FALSE)))</f>
        <v/>
      </c>
      <c r="K198" s="499" t="str">
        <f>IF(I198="","",IF(VLOOKUP(I198,'G-7 Rivers Data'!$AG$4:$AI$9,3,FALSE)=0,"Spatial Data Missing ⚠",VLOOKUP(I198,'G-7 Rivers Data'!$AG$4:$AI$9,3,FALSE)))</f>
        <v/>
      </c>
      <c r="L198" s="635" t="str">
        <f>IFERROR(INDEX('G-7 Rivers Data'!$O$3:$O$7,MATCH(G198,'G-7 Rivers Data'!$N$3:$N$7,0)),"")</f>
        <v/>
      </c>
      <c r="M198" s="7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154"/>
      <c r="AA198" s="524" t="str">
        <f>IF(Z198="","",VLOOKUP(Z198,'G-7 Rivers Data'!$AO$4:$AP$7,2,FALSE))</f>
        <v/>
      </c>
      <c r="AB198" s="545" t="str">
        <f t="shared" si="18"/>
        <v/>
      </c>
      <c r="AC198" s="149"/>
      <c r="AD198" s="150"/>
      <c r="AK198" s="31" t="str">
        <f>IFERROR(INDEX('G-7 Rivers Data'!$AZ$3:$AZ$7,MATCH(C198,'G-7 Rivers Data'!$AY$3:$AY$7,0)),"")</f>
        <v/>
      </c>
    </row>
    <row r="199" spans="2:37" ht="13.8" x14ac:dyDescent="0.25">
      <c r="B199" s="141">
        <v>188</v>
      </c>
      <c r="C199" s="666"/>
      <c r="D199" s="172"/>
      <c r="E199" s="498" t="str">
        <f>IF(C199="","",VLOOKUP(C199,'G-7 Rivers Data'!$B$2:$Z$9,2,FALSE))</f>
        <v/>
      </c>
      <c r="F199" s="499" t="str">
        <f>IFERROR(VLOOKUP(E199,'G-7 Rivers Data'!$C$4:$D$8,2,FALSE),"")</f>
        <v/>
      </c>
      <c r="G199" s="145"/>
      <c r="H199" s="499" t="str">
        <f>IFERROR(INDEX('G-7 Rivers Data'!$H$4:$L$8,MATCH(C199,'G-7 Rivers Data'!$B$4:$B$8,0),MATCH(G199,'G-7 Rivers Data'!$H$3:$L$3,0)),"")</f>
        <v/>
      </c>
      <c r="I199" s="145"/>
      <c r="J199" s="540" t="str">
        <f>IF(I199="","",IF(VLOOKUP(I199,'G-7 Rivers Data'!$AG$4:$AI$9,2,FALSE)=0,"Spatial Data Missing ⚠",VLOOKUP(I199,'G-7 Rivers Data'!$AG$4:$AI$9,2,FALSE)))</f>
        <v/>
      </c>
      <c r="K199" s="499" t="str">
        <f>IF(I199="","",IF(VLOOKUP(I199,'G-7 Rivers Data'!$AG$4:$AI$9,3,FALSE)=0,"Spatial Data Missing ⚠",VLOOKUP(I199,'G-7 Rivers Data'!$AG$4:$AI$9,3,FALSE)))</f>
        <v/>
      </c>
      <c r="L199" s="635" t="str">
        <f>IFERROR(INDEX('G-7 Rivers Data'!$O$3:$O$7,MATCH(G199,'G-7 Rivers Data'!$N$3:$N$7,0)),"")</f>
        <v/>
      </c>
      <c r="M199" s="7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154"/>
      <c r="AA199" s="524" t="str">
        <f>IF(Z199="","",VLOOKUP(Z199,'G-7 Rivers Data'!$AO$4:$AP$7,2,FALSE))</f>
        <v/>
      </c>
      <c r="AB199" s="545" t="str">
        <f t="shared" si="18"/>
        <v/>
      </c>
      <c r="AC199" s="149"/>
      <c r="AD199" s="150"/>
      <c r="AK199" s="31" t="str">
        <f>IFERROR(INDEX('G-7 Rivers Data'!$AZ$3:$AZ$7,MATCH(C199,'G-7 Rivers Data'!$AY$3:$AY$7,0)),"")</f>
        <v/>
      </c>
    </row>
    <row r="200" spans="2:37" ht="13.8" x14ac:dyDescent="0.25">
      <c r="B200" s="141">
        <v>189</v>
      </c>
      <c r="C200" s="666"/>
      <c r="D200" s="172"/>
      <c r="E200" s="498" t="str">
        <f>IF(C200="","",VLOOKUP(C200,'G-7 Rivers Data'!$B$2:$Z$9,2,FALSE))</f>
        <v/>
      </c>
      <c r="F200" s="499" t="str">
        <f>IFERROR(VLOOKUP(E200,'G-7 Rivers Data'!$C$4:$D$8,2,FALSE),"")</f>
        <v/>
      </c>
      <c r="G200" s="145"/>
      <c r="H200" s="499" t="str">
        <f>IFERROR(INDEX('G-7 Rivers Data'!$H$4:$L$8,MATCH(C200,'G-7 Rivers Data'!$B$4:$B$8,0),MATCH(G200,'G-7 Rivers Data'!$H$3:$L$3,0)),"")</f>
        <v/>
      </c>
      <c r="I200" s="145"/>
      <c r="J200" s="540" t="str">
        <f>IF(I200="","",IF(VLOOKUP(I200,'G-7 Rivers Data'!$AG$4:$AI$9,2,FALSE)=0,"Spatial Data Missing ⚠",VLOOKUP(I200,'G-7 Rivers Data'!$AG$4:$AI$9,2,FALSE)))</f>
        <v/>
      </c>
      <c r="K200" s="499" t="str">
        <f>IF(I200="","",IF(VLOOKUP(I200,'G-7 Rivers Data'!$AG$4:$AI$9,3,FALSE)=0,"Spatial Data Missing ⚠",VLOOKUP(I200,'G-7 Rivers Data'!$AG$4:$AI$9,3,FALSE)))</f>
        <v/>
      </c>
      <c r="L200" s="635" t="str">
        <f>IFERROR(INDEX('G-7 Rivers Data'!$O$3:$O$7,MATCH(G200,'G-7 Rivers Data'!$N$3:$N$7,0)),"")</f>
        <v/>
      </c>
      <c r="M200" s="7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154"/>
      <c r="AA200" s="524" t="str">
        <f>IF(Z200="","",VLOOKUP(Z200,'G-7 Rivers Data'!$AO$4:$AP$7,2,FALSE))</f>
        <v/>
      </c>
      <c r="AB200" s="545" t="str">
        <f t="shared" si="18"/>
        <v/>
      </c>
      <c r="AC200" s="149"/>
      <c r="AD200" s="150"/>
      <c r="AK200" s="31" t="str">
        <f>IFERROR(INDEX('G-7 Rivers Data'!$AZ$3:$AZ$7,MATCH(C200,'G-7 Rivers Data'!$AY$3:$AY$7,0)),"")</f>
        <v/>
      </c>
    </row>
    <row r="201" spans="2:37" ht="13.8" x14ac:dyDescent="0.25">
      <c r="B201" s="141">
        <v>190</v>
      </c>
      <c r="C201" s="666"/>
      <c r="D201" s="172"/>
      <c r="E201" s="498" t="str">
        <f>IF(C201="","",VLOOKUP(C201,'G-7 Rivers Data'!$B$2:$Z$9,2,FALSE))</f>
        <v/>
      </c>
      <c r="F201" s="499" t="str">
        <f>IFERROR(VLOOKUP(E201,'G-7 Rivers Data'!$C$4:$D$8,2,FALSE),"")</f>
        <v/>
      </c>
      <c r="G201" s="145"/>
      <c r="H201" s="499" t="str">
        <f>IFERROR(INDEX('G-7 Rivers Data'!$H$4:$L$8,MATCH(C201,'G-7 Rivers Data'!$B$4:$B$8,0),MATCH(G201,'G-7 Rivers Data'!$H$3:$L$3,0)),"")</f>
        <v/>
      </c>
      <c r="I201" s="145"/>
      <c r="J201" s="540" t="str">
        <f>IF(I201="","",IF(VLOOKUP(I201,'G-7 Rivers Data'!$AG$4:$AI$9,2,FALSE)=0,"Spatial Data Missing ⚠",VLOOKUP(I201,'G-7 Rivers Data'!$AG$4:$AI$9,2,FALSE)))</f>
        <v/>
      </c>
      <c r="K201" s="499" t="str">
        <f>IF(I201="","",IF(VLOOKUP(I201,'G-7 Rivers Data'!$AG$4:$AI$9,3,FALSE)=0,"Spatial Data Missing ⚠",VLOOKUP(I201,'G-7 Rivers Data'!$AG$4:$AI$9,3,FALSE)))</f>
        <v/>
      </c>
      <c r="L201" s="635" t="str">
        <f>IFERROR(INDEX('G-7 Rivers Data'!$O$3:$O$7,MATCH(G201,'G-7 Rivers Data'!$N$3:$N$7,0)),"")</f>
        <v/>
      </c>
      <c r="M201" s="7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154"/>
      <c r="AA201" s="524" t="str">
        <f>IF(Z201="","",VLOOKUP(Z201,'G-7 Rivers Data'!$AO$4:$AP$7,2,FALSE))</f>
        <v/>
      </c>
      <c r="AB201" s="545" t="str">
        <f t="shared" si="18"/>
        <v/>
      </c>
      <c r="AC201" s="149"/>
      <c r="AD201" s="150"/>
      <c r="AK201" s="31" t="str">
        <f>IFERROR(INDEX('G-7 Rivers Data'!$AZ$3:$AZ$7,MATCH(C201,'G-7 Rivers Data'!$AY$3:$AY$7,0)),"")</f>
        <v/>
      </c>
    </row>
    <row r="202" spans="2:37" ht="13.8" x14ac:dyDescent="0.25">
      <c r="B202" s="141">
        <v>191</v>
      </c>
      <c r="C202" s="666"/>
      <c r="D202" s="172"/>
      <c r="E202" s="498" t="str">
        <f>IF(C202="","",VLOOKUP(C202,'G-7 Rivers Data'!$B$2:$Z$9,2,FALSE))</f>
        <v/>
      </c>
      <c r="F202" s="499" t="str">
        <f>IFERROR(VLOOKUP(E202,'G-7 Rivers Data'!$C$4:$D$8,2,FALSE),"")</f>
        <v/>
      </c>
      <c r="G202" s="145"/>
      <c r="H202" s="499" t="str">
        <f>IFERROR(INDEX('G-7 Rivers Data'!$H$4:$L$8,MATCH(C202,'G-7 Rivers Data'!$B$4:$B$8,0),MATCH(G202,'G-7 Rivers Data'!$H$3:$L$3,0)),"")</f>
        <v/>
      </c>
      <c r="I202" s="145"/>
      <c r="J202" s="540" t="str">
        <f>IF(I202="","",IF(VLOOKUP(I202,'G-7 Rivers Data'!$AG$4:$AI$9,2,FALSE)=0,"Spatial Data Missing ⚠",VLOOKUP(I202,'G-7 Rivers Data'!$AG$4:$AI$9,2,FALSE)))</f>
        <v/>
      </c>
      <c r="K202" s="499" t="str">
        <f>IF(I202="","",IF(VLOOKUP(I202,'G-7 Rivers Data'!$AG$4:$AI$9,3,FALSE)=0,"Spatial Data Missing ⚠",VLOOKUP(I202,'G-7 Rivers Data'!$AG$4:$AI$9,3,FALSE)))</f>
        <v/>
      </c>
      <c r="L202" s="635" t="str">
        <f>IFERROR(INDEX('G-7 Rivers Data'!$O$3:$O$7,MATCH(G202,'G-7 Rivers Data'!$N$3:$N$7,0)),"")</f>
        <v/>
      </c>
      <c r="M202" s="7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154"/>
      <c r="AA202" s="524" t="str">
        <f>IF(Z202="","",VLOOKUP(Z202,'G-7 Rivers Data'!$AO$4:$AP$7,2,FALSE))</f>
        <v/>
      </c>
      <c r="AB202" s="545" t="str">
        <f t="shared" si="18"/>
        <v/>
      </c>
      <c r="AC202" s="149"/>
      <c r="AD202" s="150"/>
      <c r="AK202" s="31" t="str">
        <f>IFERROR(INDEX('G-7 Rivers Data'!$AZ$3:$AZ$7,MATCH(C202,'G-7 Rivers Data'!$AY$3:$AY$7,0)),"")</f>
        <v/>
      </c>
    </row>
    <row r="203" spans="2:37" ht="13.8" x14ac:dyDescent="0.25">
      <c r="B203" s="141">
        <v>192</v>
      </c>
      <c r="C203" s="666"/>
      <c r="D203" s="172"/>
      <c r="E203" s="498" t="str">
        <f>IF(C203="","",VLOOKUP(C203,'G-7 Rivers Data'!$B$2:$Z$9,2,FALSE))</f>
        <v/>
      </c>
      <c r="F203" s="499" t="str">
        <f>IFERROR(VLOOKUP(E203,'G-7 Rivers Data'!$C$4:$D$8,2,FALSE),"")</f>
        <v/>
      </c>
      <c r="G203" s="145"/>
      <c r="H203" s="499" t="str">
        <f>IFERROR(INDEX('G-7 Rivers Data'!$H$4:$L$8,MATCH(C203,'G-7 Rivers Data'!$B$4:$B$8,0),MATCH(G203,'G-7 Rivers Data'!$H$3:$L$3,0)),"")</f>
        <v/>
      </c>
      <c r="I203" s="145"/>
      <c r="J203" s="540" t="str">
        <f>IF(I203="","",IF(VLOOKUP(I203,'G-7 Rivers Data'!$AG$4:$AI$9,2,FALSE)=0,"Spatial Data Missing ⚠",VLOOKUP(I203,'G-7 Rivers Data'!$AG$4:$AI$9,2,FALSE)))</f>
        <v/>
      </c>
      <c r="K203" s="499" t="str">
        <f>IF(I203="","",IF(VLOOKUP(I203,'G-7 Rivers Data'!$AG$4:$AI$9,3,FALSE)=0,"Spatial Data Missing ⚠",VLOOKUP(I203,'G-7 Rivers Data'!$AG$4:$AI$9,3,FALSE)))</f>
        <v/>
      </c>
      <c r="L203" s="635" t="str">
        <f>IFERROR(INDEX('G-7 Rivers Data'!$O$3:$O$7,MATCH(G203,'G-7 Rivers Data'!$N$3:$N$7,0)),"")</f>
        <v/>
      </c>
      <c r="M203" s="7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154"/>
      <c r="AA203" s="524" t="str">
        <f>IF(Z203="","",VLOOKUP(Z203,'G-7 Rivers Data'!$AO$4:$AP$7,2,FALSE))</f>
        <v/>
      </c>
      <c r="AB203" s="545" t="str">
        <f t="shared" si="18"/>
        <v/>
      </c>
      <c r="AC203" s="149"/>
      <c r="AD203" s="150"/>
      <c r="AK203" s="31" t="str">
        <f>IFERROR(INDEX('G-7 Rivers Data'!$AZ$3:$AZ$7,MATCH(C203,'G-7 Rivers Data'!$AY$3:$AY$7,0)),"")</f>
        <v/>
      </c>
    </row>
    <row r="204" spans="2:37" ht="13.8" x14ac:dyDescent="0.25">
      <c r="B204" s="141">
        <v>193</v>
      </c>
      <c r="C204" s="666"/>
      <c r="D204" s="172"/>
      <c r="E204" s="498" t="str">
        <f>IF(C204="","",VLOOKUP(C204,'G-7 Rivers Data'!$B$2:$Z$9,2,FALSE))</f>
        <v/>
      </c>
      <c r="F204" s="499" t="str">
        <f>IFERROR(VLOOKUP(E204,'G-7 Rivers Data'!$C$4:$D$8,2,FALSE),"")</f>
        <v/>
      </c>
      <c r="G204" s="145"/>
      <c r="H204" s="499" t="str">
        <f>IFERROR(INDEX('G-7 Rivers Data'!$H$4:$L$8,MATCH(C204,'G-7 Rivers Data'!$B$4:$B$8,0),MATCH(G204,'G-7 Rivers Data'!$H$3:$L$3,0)),"")</f>
        <v/>
      </c>
      <c r="I204" s="145"/>
      <c r="J204" s="540" t="str">
        <f>IF(I204="","",IF(VLOOKUP(I204,'G-7 Rivers Data'!$AG$4:$AI$9,2,FALSE)=0,"Spatial Data Missing ⚠",VLOOKUP(I204,'G-7 Rivers Data'!$AG$4:$AI$9,2,FALSE)))</f>
        <v/>
      </c>
      <c r="K204" s="499" t="str">
        <f>IF(I204="","",IF(VLOOKUP(I204,'G-7 Rivers Data'!$AG$4:$AI$9,3,FALSE)=0,"Spatial Data Missing ⚠",VLOOKUP(I204,'G-7 Rivers Data'!$AG$4:$AI$9,3,FALSE)))</f>
        <v/>
      </c>
      <c r="L204" s="635" t="str">
        <f>IFERROR(INDEX('G-7 Rivers Data'!$O$3:$O$7,MATCH(G204,'G-7 Rivers Data'!$N$3:$N$7,0)),"")</f>
        <v/>
      </c>
      <c r="M204" s="7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154"/>
      <c r="AA204" s="524" t="str">
        <f>IF(Z204="","",VLOOKUP(Z204,'G-7 Rivers Data'!$AO$4:$AP$7,2,FALSE))</f>
        <v/>
      </c>
      <c r="AB204" s="545" t="str">
        <f t="shared" si="18"/>
        <v/>
      </c>
      <c r="AC204" s="149"/>
      <c r="AD204" s="150"/>
      <c r="AK204" s="31" t="str">
        <f>IFERROR(INDEX('G-7 Rivers Data'!$AZ$3:$AZ$7,MATCH(C204,'G-7 Rivers Data'!$AY$3:$AY$7,0)),"")</f>
        <v/>
      </c>
    </row>
    <row r="205" spans="2:37" ht="13.8" x14ac:dyDescent="0.25">
      <c r="B205" s="141">
        <v>194</v>
      </c>
      <c r="C205" s="666"/>
      <c r="D205" s="172"/>
      <c r="E205" s="498" t="str">
        <f>IF(C205="","",VLOOKUP(C205,'G-7 Rivers Data'!$B$2:$Z$9,2,FALSE))</f>
        <v/>
      </c>
      <c r="F205" s="499" t="str">
        <f>IFERROR(VLOOKUP(E205,'G-7 Rivers Data'!$C$4:$D$8,2,FALSE),"")</f>
        <v/>
      </c>
      <c r="G205" s="145"/>
      <c r="H205" s="499" t="str">
        <f>IFERROR(INDEX('G-7 Rivers Data'!$H$4:$L$8,MATCH(C205,'G-7 Rivers Data'!$B$4:$B$8,0),MATCH(G205,'G-7 Rivers Data'!$H$3:$L$3,0)),"")</f>
        <v/>
      </c>
      <c r="I205" s="145"/>
      <c r="J205" s="540" t="str">
        <f>IF(I205="","",IF(VLOOKUP(I205,'G-7 Rivers Data'!$AG$4:$AI$9,2,FALSE)=0,"Spatial Data Missing ⚠",VLOOKUP(I205,'G-7 Rivers Data'!$AG$4:$AI$9,2,FALSE)))</f>
        <v/>
      </c>
      <c r="K205" s="499" t="str">
        <f>IF(I205="","",IF(VLOOKUP(I205,'G-7 Rivers Data'!$AG$4:$AI$9,3,FALSE)=0,"Spatial Data Missing ⚠",VLOOKUP(I205,'G-7 Rivers Data'!$AG$4:$AI$9,3,FALSE)))</f>
        <v/>
      </c>
      <c r="L205" s="635" t="str">
        <f>IFERROR(INDEX('G-7 Rivers Data'!$O$3:$O$7,MATCH(G205,'G-7 Rivers Data'!$N$3:$N$7,0)),"")</f>
        <v/>
      </c>
      <c r="M205" s="7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⚠","No - Low Difficulty - only applicable if all habitat created before losses ⚠","Standard difficulty applied"))))</f>
        <v/>
      </c>
      <c r="T205" s="540" t="str">
        <f t="shared" ref="T205:T259" si="22">(IF(AND(S205="Standard difficulty applied",L205&gt;M205),R205,IF(AND(S205="No - 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154"/>
      <c r="AA205" s="524" t="str">
        <f>IF(Z205="","",VLOOKUP(Z205,'G-7 Rivers Data'!$AO$4:$AP$7,2,FALSE))</f>
        <v/>
      </c>
      <c r="AB205" s="545" t="str">
        <f t="shared" ref="AB205:AB259" si="24">IFERROR(D205*F205*H205*K205*Q205*U205*W205*Y205*AA205,"")</f>
        <v/>
      </c>
      <c r="AC205" s="149"/>
      <c r="AD205" s="150"/>
      <c r="AK205" s="31" t="str">
        <f>IFERROR(INDEX('G-7 Rivers Data'!$AZ$3:$AZ$7,MATCH(C205,'G-7 Rivers Data'!$AY$3:$AY$7,0)),"")</f>
        <v/>
      </c>
    </row>
    <row r="206" spans="2:37" ht="13.8" x14ac:dyDescent="0.25">
      <c r="B206" s="141">
        <v>195</v>
      </c>
      <c r="C206" s="666"/>
      <c r="D206" s="172"/>
      <c r="E206" s="498" t="str">
        <f>IF(C206="","",VLOOKUP(C206,'G-7 Rivers Data'!$B$2:$Z$9,2,FALSE))</f>
        <v/>
      </c>
      <c r="F206" s="499" t="str">
        <f>IFERROR(VLOOKUP(E206,'G-7 Rivers Data'!$C$4:$D$8,2,FALSE),"")</f>
        <v/>
      </c>
      <c r="G206" s="145"/>
      <c r="H206" s="499" t="str">
        <f>IFERROR(INDEX('G-7 Rivers Data'!$H$4:$L$8,MATCH(C206,'G-7 Rivers Data'!$B$4:$B$8,0),MATCH(G206,'G-7 Rivers Data'!$H$3:$L$3,0)),"")</f>
        <v/>
      </c>
      <c r="I206" s="145"/>
      <c r="J206" s="540" t="str">
        <f>IF(I206="","",IF(VLOOKUP(I206,'G-7 Rivers Data'!$AG$4:$AI$9,2,FALSE)=0,"Spatial Data Missing ⚠",VLOOKUP(I206,'G-7 Rivers Data'!$AG$4:$AI$9,2,FALSE)))</f>
        <v/>
      </c>
      <c r="K206" s="499" t="str">
        <f>IF(I206="","",IF(VLOOKUP(I206,'G-7 Rivers Data'!$AG$4:$AI$9,3,FALSE)=0,"Spatial Data Missing ⚠",VLOOKUP(I206,'G-7 Rivers Data'!$AG$4:$AI$9,3,FALSE)))</f>
        <v/>
      </c>
      <c r="L206" s="635" t="str">
        <f>IFERROR(INDEX('G-7 Rivers Data'!$O$3:$O$7,MATCH(G206,'G-7 Rivers Data'!$N$3:$N$7,0)),"")</f>
        <v/>
      </c>
      <c r="M206" s="7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154"/>
      <c r="AA206" s="524" t="str">
        <f>IF(Z206="","",VLOOKUP(Z206,'G-7 Rivers Data'!$AO$4:$AP$7,2,FALSE))</f>
        <v/>
      </c>
      <c r="AB206" s="545" t="str">
        <f t="shared" si="24"/>
        <v/>
      </c>
      <c r="AC206" s="149"/>
      <c r="AD206" s="150"/>
      <c r="AK206" s="31" t="str">
        <f>IFERROR(INDEX('G-7 Rivers Data'!$AZ$3:$AZ$7,MATCH(C206,'G-7 Rivers Data'!$AY$3:$AY$7,0)),"")</f>
        <v/>
      </c>
    </row>
    <row r="207" spans="2:37" ht="13.8" x14ac:dyDescent="0.25">
      <c r="B207" s="141">
        <v>196</v>
      </c>
      <c r="C207" s="666"/>
      <c r="D207" s="172"/>
      <c r="E207" s="498" t="str">
        <f>IF(C207="","",VLOOKUP(C207,'G-7 Rivers Data'!$B$2:$Z$9,2,FALSE))</f>
        <v/>
      </c>
      <c r="F207" s="499" t="str">
        <f>IFERROR(VLOOKUP(E207,'G-7 Rivers Data'!$C$4:$D$8,2,FALSE),"")</f>
        <v/>
      </c>
      <c r="G207" s="145"/>
      <c r="H207" s="499" t="str">
        <f>IFERROR(INDEX('G-7 Rivers Data'!$H$4:$L$8,MATCH(C207,'G-7 Rivers Data'!$B$4:$B$8,0),MATCH(G207,'G-7 Rivers Data'!$H$3:$L$3,0)),"")</f>
        <v/>
      </c>
      <c r="I207" s="145"/>
      <c r="J207" s="540" t="str">
        <f>IF(I207="","",IF(VLOOKUP(I207,'G-7 Rivers Data'!$AG$4:$AI$9,2,FALSE)=0,"Spatial Data Missing ⚠",VLOOKUP(I207,'G-7 Rivers Data'!$AG$4:$AI$9,2,FALSE)))</f>
        <v/>
      </c>
      <c r="K207" s="499" t="str">
        <f>IF(I207="","",IF(VLOOKUP(I207,'G-7 Rivers Data'!$AG$4:$AI$9,3,FALSE)=0,"Spatial Data Missing ⚠",VLOOKUP(I207,'G-7 Rivers Data'!$AG$4:$AI$9,3,FALSE)))</f>
        <v/>
      </c>
      <c r="L207" s="635" t="str">
        <f>IFERROR(INDEX('G-7 Rivers Data'!$O$3:$O$7,MATCH(G207,'G-7 Rivers Data'!$N$3:$N$7,0)),"")</f>
        <v/>
      </c>
      <c r="M207" s="7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154"/>
      <c r="AA207" s="524" t="str">
        <f>IF(Z207="","",VLOOKUP(Z207,'G-7 Rivers Data'!$AO$4:$AP$7,2,FALSE))</f>
        <v/>
      </c>
      <c r="AB207" s="545" t="str">
        <f t="shared" si="24"/>
        <v/>
      </c>
      <c r="AC207" s="149"/>
      <c r="AD207" s="150"/>
      <c r="AK207" s="31" t="str">
        <f>IFERROR(INDEX('G-7 Rivers Data'!$AZ$3:$AZ$7,MATCH(C207,'G-7 Rivers Data'!$AY$3:$AY$7,0)),"")</f>
        <v/>
      </c>
    </row>
    <row r="208" spans="2:37" ht="13.8" x14ac:dyDescent="0.25">
      <c r="B208" s="141">
        <v>197</v>
      </c>
      <c r="C208" s="666"/>
      <c r="D208" s="172"/>
      <c r="E208" s="498" t="str">
        <f>IF(C208="","",VLOOKUP(C208,'G-7 Rivers Data'!$B$2:$Z$9,2,FALSE))</f>
        <v/>
      </c>
      <c r="F208" s="499" t="str">
        <f>IFERROR(VLOOKUP(E208,'G-7 Rivers Data'!$C$4:$D$8,2,FALSE),"")</f>
        <v/>
      </c>
      <c r="G208" s="145"/>
      <c r="H208" s="499" t="str">
        <f>IFERROR(INDEX('G-7 Rivers Data'!$H$4:$L$8,MATCH(C208,'G-7 Rivers Data'!$B$4:$B$8,0),MATCH(G208,'G-7 Rivers Data'!$H$3:$L$3,0)),"")</f>
        <v/>
      </c>
      <c r="I208" s="145"/>
      <c r="J208" s="540" t="str">
        <f>IF(I208="","",IF(VLOOKUP(I208,'G-7 Rivers Data'!$AG$4:$AI$9,2,FALSE)=0,"Spatial Data Missing ⚠",VLOOKUP(I208,'G-7 Rivers Data'!$AG$4:$AI$9,2,FALSE)))</f>
        <v/>
      </c>
      <c r="K208" s="499" t="str">
        <f>IF(I208="","",IF(VLOOKUP(I208,'G-7 Rivers Data'!$AG$4:$AI$9,3,FALSE)=0,"Spatial Data Missing ⚠",VLOOKUP(I208,'G-7 Rivers Data'!$AG$4:$AI$9,3,FALSE)))</f>
        <v/>
      </c>
      <c r="L208" s="635" t="str">
        <f>IFERROR(INDEX('G-7 Rivers Data'!$O$3:$O$7,MATCH(G208,'G-7 Rivers Data'!$N$3:$N$7,0)),"")</f>
        <v/>
      </c>
      <c r="M208" s="7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154"/>
      <c r="AA208" s="524" t="str">
        <f>IF(Z208="","",VLOOKUP(Z208,'G-7 Rivers Data'!$AO$4:$AP$7,2,FALSE))</f>
        <v/>
      </c>
      <c r="AB208" s="545" t="str">
        <f t="shared" si="24"/>
        <v/>
      </c>
      <c r="AC208" s="149"/>
      <c r="AD208" s="150"/>
      <c r="AK208" s="31" t="str">
        <f>IFERROR(INDEX('G-7 Rivers Data'!$AZ$3:$AZ$7,MATCH(C208,'G-7 Rivers Data'!$AY$3:$AY$7,0)),"")</f>
        <v/>
      </c>
    </row>
    <row r="209" spans="2:37" ht="13.8" x14ac:dyDescent="0.25">
      <c r="B209" s="141">
        <v>198</v>
      </c>
      <c r="C209" s="666"/>
      <c r="D209" s="172"/>
      <c r="E209" s="498" t="str">
        <f>IF(C209="","",VLOOKUP(C209,'G-7 Rivers Data'!$B$2:$Z$9,2,FALSE))</f>
        <v/>
      </c>
      <c r="F209" s="499" t="str">
        <f>IFERROR(VLOOKUP(E209,'G-7 Rivers Data'!$C$4:$D$8,2,FALSE),"")</f>
        <v/>
      </c>
      <c r="G209" s="145"/>
      <c r="H209" s="499" t="str">
        <f>IFERROR(INDEX('G-7 Rivers Data'!$H$4:$L$8,MATCH(C209,'G-7 Rivers Data'!$B$4:$B$8,0),MATCH(G209,'G-7 Rivers Data'!$H$3:$L$3,0)),"")</f>
        <v/>
      </c>
      <c r="I209" s="145"/>
      <c r="J209" s="540" t="str">
        <f>IF(I209="","",IF(VLOOKUP(I209,'G-7 Rivers Data'!$AG$4:$AI$9,2,FALSE)=0,"Spatial Data Missing ⚠",VLOOKUP(I209,'G-7 Rivers Data'!$AG$4:$AI$9,2,FALSE)))</f>
        <v/>
      </c>
      <c r="K209" s="499" t="str">
        <f>IF(I209="","",IF(VLOOKUP(I209,'G-7 Rivers Data'!$AG$4:$AI$9,3,FALSE)=0,"Spatial Data Missing ⚠",VLOOKUP(I209,'G-7 Rivers Data'!$AG$4:$AI$9,3,FALSE)))</f>
        <v/>
      </c>
      <c r="L209" s="635" t="str">
        <f>IFERROR(INDEX('G-7 Rivers Data'!$O$3:$O$7,MATCH(G209,'G-7 Rivers Data'!$N$3:$N$7,0)),"")</f>
        <v/>
      </c>
      <c r="M209" s="7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154"/>
      <c r="AA209" s="524" t="str">
        <f>IF(Z209="","",VLOOKUP(Z209,'G-7 Rivers Data'!$AO$4:$AP$7,2,FALSE))</f>
        <v/>
      </c>
      <c r="AB209" s="545" t="str">
        <f t="shared" si="24"/>
        <v/>
      </c>
      <c r="AC209" s="149"/>
      <c r="AD209" s="150"/>
      <c r="AK209" s="31" t="str">
        <f>IFERROR(INDEX('G-7 Rivers Data'!$AZ$3:$AZ$7,MATCH(C209,'G-7 Rivers Data'!$AY$3:$AY$7,0)),"")</f>
        <v/>
      </c>
    </row>
    <row r="210" spans="2:37" ht="13.8" x14ac:dyDescent="0.25">
      <c r="B210" s="141">
        <v>199</v>
      </c>
      <c r="C210" s="666"/>
      <c r="D210" s="172"/>
      <c r="E210" s="498" t="str">
        <f>IF(C210="","",VLOOKUP(C210,'G-7 Rivers Data'!$B$2:$Z$9,2,FALSE))</f>
        <v/>
      </c>
      <c r="F210" s="499" t="str">
        <f>IFERROR(VLOOKUP(E210,'G-7 Rivers Data'!$C$4:$D$8,2,FALSE),"")</f>
        <v/>
      </c>
      <c r="G210" s="145"/>
      <c r="H210" s="499" t="str">
        <f>IFERROR(INDEX('G-7 Rivers Data'!$H$4:$L$8,MATCH(C210,'G-7 Rivers Data'!$B$4:$B$8,0),MATCH(G210,'G-7 Rivers Data'!$H$3:$L$3,0)),"")</f>
        <v/>
      </c>
      <c r="I210" s="145"/>
      <c r="J210" s="540" t="str">
        <f>IF(I210="","",IF(VLOOKUP(I210,'G-7 Rivers Data'!$AG$4:$AI$9,2,FALSE)=0,"Spatial Data Missing ⚠",VLOOKUP(I210,'G-7 Rivers Data'!$AG$4:$AI$9,2,FALSE)))</f>
        <v/>
      </c>
      <c r="K210" s="499" t="str">
        <f>IF(I210="","",IF(VLOOKUP(I210,'G-7 Rivers Data'!$AG$4:$AI$9,3,FALSE)=0,"Spatial Data Missing ⚠",VLOOKUP(I210,'G-7 Rivers Data'!$AG$4:$AI$9,3,FALSE)))</f>
        <v/>
      </c>
      <c r="L210" s="635" t="str">
        <f>IFERROR(INDEX('G-7 Rivers Data'!$O$3:$O$7,MATCH(G210,'G-7 Rivers Data'!$N$3:$N$7,0)),"")</f>
        <v/>
      </c>
      <c r="M210" s="7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154"/>
      <c r="AA210" s="524" t="str">
        <f>IF(Z210="","",VLOOKUP(Z210,'G-7 Rivers Data'!$AO$4:$AP$7,2,FALSE))</f>
        <v/>
      </c>
      <c r="AB210" s="545" t="str">
        <f t="shared" si="24"/>
        <v/>
      </c>
      <c r="AC210" s="149"/>
      <c r="AD210" s="150"/>
      <c r="AK210" s="31" t="str">
        <f>IFERROR(INDEX('G-7 Rivers Data'!$AZ$3:$AZ$7,MATCH(C210,'G-7 Rivers Data'!$AY$3:$AY$7,0)),"")</f>
        <v/>
      </c>
    </row>
    <row r="211" spans="2:37" ht="13.8" x14ac:dyDescent="0.25">
      <c r="B211" s="141">
        <v>200</v>
      </c>
      <c r="C211" s="666"/>
      <c r="D211" s="172"/>
      <c r="E211" s="498" t="str">
        <f>IF(C211="","",VLOOKUP(C211,'G-7 Rivers Data'!$B$2:$Z$9,2,FALSE))</f>
        <v/>
      </c>
      <c r="F211" s="499" t="str">
        <f>IFERROR(VLOOKUP(E211,'G-7 Rivers Data'!$C$4:$D$8,2,FALSE),"")</f>
        <v/>
      </c>
      <c r="G211" s="145"/>
      <c r="H211" s="499" t="str">
        <f>IFERROR(INDEX('G-7 Rivers Data'!$H$4:$L$8,MATCH(C211,'G-7 Rivers Data'!$B$4:$B$8,0),MATCH(G211,'G-7 Rivers Data'!$H$3:$L$3,0)),"")</f>
        <v/>
      </c>
      <c r="I211" s="145"/>
      <c r="J211" s="540" t="str">
        <f>IF(I211="","",IF(VLOOKUP(I211,'G-7 Rivers Data'!$AG$4:$AI$9,2,FALSE)=0,"Spatial Data Missing ⚠",VLOOKUP(I211,'G-7 Rivers Data'!$AG$4:$AI$9,2,FALSE)))</f>
        <v/>
      </c>
      <c r="K211" s="499" t="str">
        <f>IF(I211="","",IF(VLOOKUP(I211,'G-7 Rivers Data'!$AG$4:$AI$9,3,FALSE)=0,"Spatial Data Missing ⚠",VLOOKUP(I211,'G-7 Rivers Data'!$AG$4:$AI$9,3,FALSE)))</f>
        <v/>
      </c>
      <c r="L211" s="635" t="str">
        <f>IFERROR(INDEX('G-7 Rivers Data'!$O$3:$O$7,MATCH(G211,'G-7 Rivers Data'!$N$3:$N$7,0)),"")</f>
        <v/>
      </c>
      <c r="M211" s="7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154"/>
      <c r="AA211" s="524" t="str">
        <f>IF(Z211="","",VLOOKUP(Z211,'G-7 Rivers Data'!$AO$4:$AP$7,2,FALSE))</f>
        <v/>
      </c>
      <c r="AB211" s="545" t="str">
        <f t="shared" si="24"/>
        <v/>
      </c>
      <c r="AC211" s="149"/>
      <c r="AD211" s="150"/>
      <c r="AK211" s="31" t="str">
        <f>IFERROR(INDEX('G-7 Rivers Data'!$AZ$3:$AZ$7,MATCH(C211,'G-7 Rivers Data'!$AY$3:$AY$7,0)),"")</f>
        <v/>
      </c>
    </row>
    <row r="212" spans="2:37" ht="13.8" x14ac:dyDescent="0.25">
      <c r="B212" s="141">
        <v>201</v>
      </c>
      <c r="C212" s="666"/>
      <c r="D212" s="172"/>
      <c r="E212" s="498" t="str">
        <f>IF(C212="","",VLOOKUP(C212,'G-7 Rivers Data'!$B$2:$Z$9,2,FALSE))</f>
        <v/>
      </c>
      <c r="F212" s="499" t="str">
        <f>IFERROR(VLOOKUP(E212,'G-7 Rivers Data'!$C$4:$D$8,2,FALSE),"")</f>
        <v/>
      </c>
      <c r="G212" s="145"/>
      <c r="H212" s="499" t="str">
        <f>IFERROR(INDEX('G-7 Rivers Data'!$H$4:$L$8,MATCH(C212,'G-7 Rivers Data'!$B$4:$B$8,0),MATCH(G212,'G-7 Rivers Data'!$H$3:$L$3,0)),"")</f>
        <v/>
      </c>
      <c r="I212" s="145"/>
      <c r="J212" s="540" t="str">
        <f>IF(I212="","",IF(VLOOKUP(I212,'G-7 Rivers Data'!$AG$4:$AI$9,2,FALSE)=0,"Spatial Data Missing ⚠",VLOOKUP(I212,'G-7 Rivers Data'!$AG$4:$AI$9,2,FALSE)))</f>
        <v/>
      </c>
      <c r="K212" s="499" t="str">
        <f>IF(I212="","",IF(VLOOKUP(I212,'G-7 Rivers Data'!$AG$4:$AI$9,3,FALSE)=0,"Spatial Data Missing ⚠",VLOOKUP(I212,'G-7 Rivers Data'!$AG$4:$AI$9,3,FALSE)))</f>
        <v/>
      </c>
      <c r="L212" s="635" t="str">
        <f>IFERROR(INDEX('G-7 Rivers Data'!$O$3:$O$7,MATCH(G212,'G-7 Rivers Data'!$N$3:$N$7,0)),"")</f>
        <v/>
      </c>
      <c r="M212" s="7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154"/>
      <c r="AA212" s="524" t="str">
        <f>IF(Z212="","",VLOOKUP(Z212,'G-7 Rivers Data'!$AO$4:$AP$7,2,FALSE))</f>
        <v/>
      </c>
      <c r="AB212" s="545" t="str">
        <f t="shared" si="24"/>
        <v/>
      </c>
      <c r="AC212" s="149"/>
      <c r="AD212" s="150"/>
      <c r="AK212" s="31" t="str">
        <f>IFERROR(INDEX('G-7 Rivers Data'!$AZ$3:$AZ$7,MATCH(C212,'G-7 Rivers Data'!$AY$3:$AY$7,0)),"")</f>
        <v/>
      </c>
    </row>
    <row r="213" spans="2:37" ht="13.8" x14ac:dyDescent="0.25">
      <c r="B213" s="141">
        <v>202</v>
      </c>
      <c r="C213" s="666"/>
      <c r="D213" s="172"/>
      <c r="E213" s="498" t="str">
        <f>IF(C213="","",VLOOKUP(C213,'G-7 Rivers Data'!$B$2:$Z$9,2,FALSE))</f>
        <v/>
      </c>
      <c r="F213" s="499" t="str">
        <f>IFERROR(VLOOKUP(E213,'G-7 Rivers Data'!$C$4:$D$8,2,FALSE),"")</f>
        <v/>
      </c>
      <c r="G213" s="145"/>
      <c r="H213" s="499" t="str">
        <f>IFERROR(INDEX('G-7 Rivers Data'!$H$4:$L$8,MATCH(C213,'G-7 Rivers Data'!$B$4:$B$8,0),MATCH(G213,'G-7 Rivers Data'!$H$3:$L$3,0)),"")</f>
        <v/>
      </c>
      <c r="I213" s="145"/>
      <c r="J213" s="540" t="str">
        <f>IF(I213="","",IF(VLOOKUP(I213,'G-7 Rivers Data'!$AG$4:$AI$9,2,FALSE)=0,"Spatial Data Missing ⚠",VLOOKUP(I213,'G-7 Rivers Data'!$AG$4:$AI$9,2,FALSE)))</f>
        <v/>
      </c>
      <c r="K213" s="499" t="str">
        <f>IF(I213="","",IF(VLOOKUP(I213,'G-7 Rivers Data'!$AG$4:$AI$9,3,FALSE)=0,"Spatial Data Missing ⚠",VLOOKUP(I213,'G-7 Rivers Data'!$AG$4:$AI$9,3,FALSE)))</f>
        <v/>
      </c>
      <c r="L213" s="635" t="str">
        <f>IFERROR(INDEX('G-7 Rivers Data'!$O$3:$O$7,MATCH(G213,'G-7 Rivers Data'!$N$3:$N$7,0)),"")</f>
        <v/>
      </c>
      <c r="M213" s="7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154"/>
      <c r="AA213" s="524" t="str">
        <f>IF(Z213="","",VLOOKUP(Z213,'G-7 Rivers Data'!$AO$4:$AP$7,2,FALSE))</f>
        <v/>
      </c>
      <c r="AB213" s="545" t="str">
        <f t="shared" si="24"/>
        <v/>
      </c>
      <c r="AC213" s="149"/>
      <c r="AD213" s="150"/>
      <c r="AK213" s="31" t="str">
        <f>IFERROR(INDEX('G-7 Rivers Data'!$AZ$3:$AZ$7,MATCH(C213,'G-7 Rivers Data'!$AY$3:$AY$7,0)),"")</f>
        <v/>
      </c>
    </row>
    <row r="214" spans="2:37" ht="13.8" x14ac:dyDescent="0.25">
      <c r="B214" s="141">
        <v>203</v>
      </c>
      <c r="C214" s="666"/>
      <c r="D214" s="172"/>
      <c r="E214" s="498" t="str">
        <f>IF(C214="","",VLOOKUP(C214,'G-7 Rivers Data'!$B$2:$Z$9,2,FALSE))</f>
        <v/>
      </c>
      <c r="F214" s="499" t="str">
        <f>IFERROR(VLOOKUP(E214,'G-7 Rivers Data'!$C$4:$D$8,2,FALSE),"")</f>
        <v/>
      </c>
      <c r="G214" s="145"/>
      <c r="H214" s="499" t="str">
        <f>IFERROR(INDEX('G-7 Rivers Data'!$H$4:$L$8,MATCH(C214,'G-7 Rivers Data'!$B$4:$B$8,0),MATCH(G214,'G-7 Rivers Data'!$H$3:$L$3,0)),"")</f>
        <v/>
      </c>
      <c r="I214" s="145"/>
      <c r="J214" s="540" t="str">
        <f>IF(I214="","",IF(VLOOKUP(I214,'G-7 Rivers Data'!$AG$4:$AI$9,2,FALSE)=0,"Spatial Data Missing ⚠",VLOOKUP(I214,'G-7 Rivers Data'!$AG$4:$AI$9,2,FALSE)))</f>
        <v/>
      </c>
      <c r="K214" s="499" t="str">
        <f>IF(I214="","",IF(VLOOKUP(I214,'G-7 Rivers Data'!$AG$4:$AI$9,3,FALSE)=0,"Spatial Data Missing ⚠",VLOOKUP(I214,'G-7 Rivers Data'!$AG$4:$AI$9,3,FALSE)))</f>
        <v/>
      </c>
      <c r="L214" s="635" t="str">
        <f>IFERROR(INDEX('G-7 Rivers Data'!$O$3:$O$7,MATCH(G214,'G-7 Rivers Data'!$N$3:$N$7,0)),"")</f>
        <v/>
      </c>
      <c r="M214" s="7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154"/>
      <c r="AA214" s="524" t="str">
        <f>IF(Z214="","",VLOOKUP(Z214,'G-7 Rivers Data'!$AO$4:$AP$7,2,FALSE))</f>
        <v/>
      </c>
      <c r="AB214" s="545" t="str">
        <f t="shared" si="24"/>
        <v/>
      </c>
      <c r="AC214" s="149"/>
      <c r="AD214" s="150"/>
      <c r="AK214" s="31" t="str">
        <f>IFERROR(INDEX('G-7 Rivers Data'!$AZ$3:$AZ$7,MATCH(C214,'G-7 Rivers Data'!$AY$3:$AY$7,0)),"")</f>
        <v/>
      </c>
    </row>
    <row r="215" spans="2:37" ht="13.8" x14ac:dyDescent="0.25">
      <c r="B215" s="141">
        <v>204</v>
      </c>
      <c r="C215" s="666"/>
      <c r="D215" s="172"/>
      <c r="E215" s="498" t="str">
        <f>IF(C215="","",VLOOKUP(C215,'G-7 Rivers Data'!$B$2:$Z$9,2,FALSE))</f>
        <v/>
      </c>
      <c r="F215" s="499" t="str">
        <f>IFERROR(VLOOKUP(E215,'G-7 Rivers Data'!$C$4:$D$8,2,FALSE),"")</f>
        <v/>
      </c>
      <c r="G215" s="145"/>
      <c r="H215" s="499" t="str">
        <f>IFERROR(INDEX('G-7 Rivers Data'!$H$4:$L$8,MATCH(C215,'G-7 Rivers Data'!$B$4:$B$8,0),MATCH(G215,'G-7 Rivers Data'!$H$3:$L$3,0)),"")</f>
        <v/>
      </c>
      <c r="I215" s="145"/>
      <c r="J215" s="540" t="str">
        <f>IF(I215="","",IF(VLOOKUP(I215,'G-7 Rivers Data'!$AG$4:$AI$9,2,FALSE)=0,"Spatial Data Missing ⚠",VLOOKUP(I215,'G-7 Rivers Data'!$AG$4:$AI$9,2,FALSE)))</f>
        <v/>
      </c>
      <c r="K215" s="499" t="str">
        <f>IF(I215="","",IF(VLOOKUP(I215,'G-7 Rivers Data'!$AG$4:$AI$9,3,FALSE)=0,"Spatial Data Missing ⚠",VLOOKUP(I215,'G-7 Rivers Data'!$AG$4:$AI$9,3,FALSE)))</f>
        <v/>
      </c>
      <c r="L215" s="635" t="str">
        <f>IFERROR(INDEX('G-7 Rivers Data'!$O$3:$O$7,MATCH(G215,'G-7 Rivers Data'!$N$3:$N$7,0)),"")</f>
        <v/>
      </c>
      <c r="M215" s="7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154"/>
      <c r="AA215" s="524" t="str">
        <f>IF(Z215="","",VLOOKUP(Z215,'G-7 Rivers Data'!$AO$4:$AP$7,2,FALSE))</f>
        <v/>
      </c>
      <c r="AB215" s="545" t="str">
        <f t="shared" si="24"/>
        <v/>
      </c>
      <c r="AC215" s="149"/>
      <c r="AD215" s="150"/>
      <c r="AK215" s="31" t="str">
        <f>IFERROR(INDEX('G-7 Rivers Data'!$AZ$3:$AZ$7,MATCH(C215,'G-7 Rivers Data'!$AY$3:$AY$7,0)),"")</f>
        <v/>
      </c>
    </row>
    <row r="216" spans="2:37" ht="13.8" x14ac:dyDescent="0.25">
      <c r="B216" s="141">
        <v>205</v>
      </c>
      <c r="C216" s="666"/>
      <c r="D216" s="172"/>
      <c r="E216" s="498" t="str">
        <f>IF(C216="","",VLOOKUP(C216,'G-7 Rivers Data'!$B$2:$Z$9,2,FALSE))</f>
        <v/>
      </c>
      <c r="F216" s="499" t="str">
        <f>IFERROR(VLOOKUP(E216,'G-7 Rivers Data'!$C$4:$D$8,2,FALSE),"")</f>
        <v/>
      </c>
      <c r="G216" s="145"/>
      <c r="H216" s="499" t="str">
        <f>IFERROR(INDEX('G-7 Rivers Data'!$H$4:$L$8,MATCH(C216,'G-7 Rivers Data'!$B$4:$B$8,0),MATCH(G216,'G-7 Rivers Data'!$H$3:$L$3,0)),"")</f>
        <v/>
      </c>
      <c r="I216" s="145"/>
      <c r="J216" s="540" t="str">
        <f>IF(I216="","",IF(VLOOKUP(I216,'G-7 Rivers Data'!$AG$4:$AI$9,2,FALSE)=0,"Spatial Data Missing ⚠",VLOOKUP(I216,'G-7 Rivers Data'!$AG$4:$AI$9,2,FALSE)))</f>
        <v/>
      </c>
      <c r="K216" s="499" t="str">
        <f>IF(I216="","",IF(VLOOKUP(I216,'G-7 Rivers Data'!$AG$4:$AI$9,3,FALSE)=0,"Spatial Data Missing ⚠",VLOOKUP(I216,'G-7 Rivers Data'!$AG$4:$AI$9,3,FALSE)))</f>
        <v/>
      </c>
      <c r="L216" s="635" t="str">
        <f>IFERROR(INDEX('G-7 Rivers Data'!$O$3:$O$7,MATCH(G216,'G-7 Rivers Data'!$N$3:$N$7,0)),"")</f>
        <v/>
      </c>
      <c r="M216" s="7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154"/>
      <c r="AA216" s="524" t="str">
        <f>IF(Z216="","",VLOOKUP(Z216,'G-7 Rivers Data'!$AO$4:$AP$7,2,FALSE))</f>
        <v/>
      </c>
      <c r="AB216" s="545" t="str">
        <f t="shared" si="24"/>
        <v/>
      </c>
      <c r="AC216" s="149"/>
      <c r="AD216" s="150"/>
      <c r="AK216" s="31" t="str">
        <f>IFERROR(INDEX('G-7 Rivers Data'!$AZ$3:$AZ$7,MATCH(C216,'G-7 Rivers Data'!$AY$3:$AY$7,0)),"")</f>
        <v/>
      </c>
    </row>
    <row r="217" spans="2:37" ht="13.8" x14ac:dyDescent="0.25">
      <c r="B217" s="141">
        <v>206</v>
      </c>
      <c r="C217" s="666"/>
      <c r="D217" s="172"/>
      <c r="E217" s="498" t="str">
        <f>IF(C217="","",VLOOKUP(C217,'G-7 Rivers Data'!$B$2:$Z$9,2,FALSE))</f>
        <v/>
      </c>
      <c r="F217" s="499" t="str">
        <f>IFERROR(VLOOKUP(E217,'G-7 Rivers Data'!$C$4:$D$8,2,FALSE),"")</f>
        <v/>
      </c>
      <c r="G217" s="145"/>
      <c r="H217" s="499" t="str">
        <f>IFERROR(INDEX('G-7 Rivers Data'!$H$4:$L$8,MATCH(C217,'G-7 Rivers Data'!$B$4:$B$8,0),MATCH(G217,'G-7 Rivers Data'!$H$3:$L$3,0)),"")</f>
        <v/>
      </c>
      <c r="I217" s="145"/>
      <c r="J217" s="540" t="str">
        <f>IF(I217="","",IF(VLOOKUP(I217,'G-7 Rivers Data'!$AG$4:$AI$9,2,FALSE)=0,"Spatial Data Missing ⚠",VLOOKUP(I217,'G-7 Rivers Data'!$AG$4:$AI$9,2,FALSE)))</f>
        <v/>
      </c>
      <c r="K217" s="499" t="str">
        <f>IF(I217="","",IF(VLOOKUP(I217,'G-7 Rivers Data'!$AG$4:$AI$9,3,FALSE)=0,"Spatial Data Missing ⚠",VLOOKUP(I217,'G-7 Rivers Data'!$AG$4:$AI$9,3,FALSE)))</f>
        <v/>
      </c>
      <c r="L217" s="635" t="str">
        <f>IFERROR(INDEX('G-7 Rivers Data'!$O$3:$O$7,MATCH(G217,'G-7 Rivers Data'!$N$3:$N$7,0)),"")</f>
        <v/>
      </c>
      <c r="M217" s="7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154"/>
      <c r="AA217" s="524" t="str">
        <f>IF(Z217="","",VLOOKUP(Z217,'G-7 Rivers Data'!$AO$4:$AP$7,2,FALSE))</f>
        <v/>
      </c>
      <c r="AB217" s="545" t="str">
        <f t="shared" si="24"/>
        <v/>
      </c>
      <c r="AC217" s="149"/>
      <c r="AD217" s="150"/>
      <c r="AK217" s="31" t="str">
        <f>IFERROR(INDEX('G-7 Rivers Data'!$AZ$3:$AZ$7,MATCH(C217,'G-7 Rivers Data'!$AY$3:$AY$7,0)),"")</f>
        <v/>
      </c>
    </row>
    <row r="218" spans="2:37" ht="13.8" x14ac:dyDescent="0.25">
      <c r="B218" s="141">
        <v>207</v>
      </c>
      <c r="C218" s="666"/>
      <c r="D218" s="172"/>
      <c r="E218" s="498" t="str">
        <f>IF(C218="","",VLOOKUP(C218,'G-7 Rivers Data'!$B$2:$Z$9,2,FALSE))</f>
        <v/>
      </c>
      <c r="F218" s="499" t="str">
        <f>IFERROR(VLOOKUP(E218,'G-7 Rivers Data'!$C$4:$D$8,2,FALSE),"")</f>
        <v/>
      </c>
      <c r="G218" s="145"/>
      <c r="H218" s="499" t="str">
        <f>IFERROR(INDEX('G-7 Rivers Data'!$H$4:$L$8,MATCH(C218,'G-7 Rivers Data'!$B$4:$B$8,0),MATCH(G218,'G-7 Rivers Data'!$H$3:$L$3,0)),"")</f>
        <v/>
      </c>
      <c r="I218" s="145"/>
      <c r="J218" s="540" t="str">
        <f>IF(I218="","",IF(VLOOKUP(I218,'G-7 Rivers Data'!$AG$4:$AI$9,2,FALSE)=0,"Spatial Data Missing ⚠",VLOOKUP(I218,'G-7 Rivers Data'!$AG$4:$AI$9,2,FALSE)))</f>
        <v/>
      </c>
      <c r="K218" s="499" t="str">
        <f>IF(I218="","",IF(VLOOKUP(I218,'G-7 Rivers Data'!$AG$4:$AI$9,3,FALSE)=0,"Spatial Data Missing ⚠",VLOOKUP(I218,'G-7 Rivers Data'!$AG$4:$AI$9,3,FALSE)))</f>
        <v/>
      </c>
      <c r="L218" s="635" t="str">
        <f>IFERROR(INDEX('G-7 Rivers Data'!$O$3:$O$7,MATCH(G218,'G-7 Rivers Data'!$N$3:$N$7,0)),"")</f>
        <v/>
      </c>
      <c r="M218" s="7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154"/>
      <c r="AA218" s="524" t="str">
        <f>IF(Z218="","",VLOOKUP(Z218,'G-7 Rivers Data'!$AO$4:$AP$7,2,FALSE))</f>
        <v/>
      </c>
      <c r="AB218" s="545" t="str">
        <f t="shared" si="24"/>
        <v/>
      </c>
      <c r="AC218" s="149"/>
      <c r="AD218" s="150"/>
      <c r="AK218" s="31" t="str">
        <f>IFERROR(INDEX('G-7 Rivers Data'!$AZ$3:$AZ$7,MATCH(C218,'G-7 Rivers Data'!$AY$3:$AY$7,0)),"")</f>
        <v/>
      </c>
    </row>
    <row r="219" spans="2:37" ht="13.8" x14ac:dyDescent="0.25">
      <c r="B219" s="141">
        <v>208</v>
      </c>
      <c r="C219" s="666"/>
      <c r="D219" s="172"/>
      <c r="E219" s="498" t="str">
        <f>IF(C219="","",VLOOKUP(C219,'G-7 Rivers Data'!$B$2:$Z$9,2,FALSE))</f>
        <v/>
      </c>
      <c r="F219" s="499" t="str">
        <f>IFERROR(VLOOKUP(E219,'G-7 Rivers Data'!$C$4:$D$8,2,FALSE),"")</f>
        <v/>
      </c>
      <c r="G219" s="145"/>
      <c r="H219" s="499" t="str">
        <f>IFERROR(INDEX('G-7 Rivers Data'!$H$4:$L$8,MATCH(C219,'G-7 Rivers Data'!$B$4:$B$8,0),MATCH(G219,'G-7 Rivers Data'!$H$3:$L$3,0)),"")</f>
        <v/>
      </c>
      <c r="I219" s="145"/>
      <c r="J219" s="540" t="str">
        <f>IF(I219="","",IF(VLOOKUP(I219,'G-7 Rivers Data'!$AG$4:$AI$9,2,FALSE)=0,"Spatial Data Missing ⚠",VLOOKUP(I219,'G-7 Rivers Data'!$AG$4:$AI$9,2,FALSE)))</f>
        <v/>
      </c>
      <c r="K219" s="499" t="str">
        <f>IF(I219="","",IF(VLOOKUP(I219,'G-7 Rivers Data'!$AG$4:$AI$9,3,FALSE)=0,"Spatial Data Missing ⚠",VLOOKUP(I219,'G-7 Rivers Data'!$AG$4:$AI$9,3,FALSE)))</f>
        <v/>
      </c>
      <c r="L219" s="635" t="str">
        <f>IFERROR(INDEX('G-7 Rivers Data'!$O$3:$O$7,MATCH(G219,'G-7 Rivers Data'!$N$3:$N$7,0)),"")</f>
        <v/>
      </c>
      <c r="M219" s="7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154"/>
      <c r="AA219" s="524" t="str">
        <f>IF(Z219="","",VLOOKUP(Z219,'G-7 Rivers Data'!$AO$4:$AP$7,2,FALSE))</f>
        <v/>
      </c>
      <c r="AB219" s="545" t="str">
        <f t="shared" si="24"/>
        <v/>
      </c>
      <c r="AC219" s="149"/>
      <c r="AD219" s="150"/>
      <c r="AK219" s="31" t="str">
        <f>IFERROR(INDEX('G-7 Rivers Data'!$AZ$3:$AZ$7,MATCH(C219,'G-7 Rivers Data'!$AY$3:$AY$7,0)),"")</f>
        <v/>
      </c>
    </row>
    <row r="220" spans="2:37" ht="13.8" x14ac:dyDescent="0.25">
      <c r="B220" s="141">
        <v>209</v>
      </c>
      <c r="C220" s="666"/>
      <c r="D220" s="172"/>
      <c r="E220" s="498" t="str">
        <f>IF(C220="","",VLOOKUP(C220,'G-7 Rivers Data'!$B$2:$Z$9,2,FALSE))</f>
        <v/>
      </c>
      <c r="F220" s="499" t="str">
        <f>IFERROR(VLOOKUP(E220,'G-7 Rivers Data'!$C$4:$D$8,2,FALSE),"")</f>
        <v/>
      </c>
      <c r="G220" s="145"/>
      <c r="H220" s="499" t="str">
        <f>IFERROR(INDEX('G-7 Rivers Data'!$H$4:$L$8,MATCH(C220,'G-7 Rivers Data'!$B$4:$B$8,0),MATCH(G220,'G-7 Rivers Data'!$H$3:$L$3,0)),"")</f>
        <v/>
      </c>
      <c r="I220" s="145"/>
      <c r="J220" s="540" t="str">
        <f>IF(I220="","",IF(VLOOKUP(I220,'G-7 Rivers Data'!$AG$4:$AI$9,2,FALSE)=0,"Spatial Data Missing ⚠",VLOOKUP(I220,'G-7 Rivers Data'!$AG$4:$AI$9,2,FALSE)))</f>
        <v/>
      </c>
      <c r="K220" s="499" t="str">
        <f>IF(I220="","",IF(VLOOKUP(I220,'G-7 Rivers Data'!$AG$4:$AI$9,3,FALSE)=0,"Spatial Data Missing ⚠",VLOOKUP(I220,'G-7 Rivers Data'!$AG$4:$AI$9,3,FALSE)))</f>
        <v/>
      </c>
      <c r="L220" s="635" t="str">
        <f>IFERROR(INDEX('G-7 Rivers Data'!$O$3:$O$7,MATCH(G220,'G-7 Rivers Data'!$N$3:$N$7,0)),"")</f>
        <v/>
      </c>
      <c r="M220" s="7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154"/>
      <c r="AA220" s="524" t="str">
        <f>IF(Z220="","",VLOOKUP(Z220,'G-7 Rivers Data'!$AO$4:$AP$7,2,FALSE))</f>
        <v/>
      </c>
      <c r="AB220" s="545" t="str">
        <f t="shared" si="24"/>
        <v/>
      </c>
      <c r="AC220" s="149"/>
      <c r="AD220" s="150"/>
      <c r="AK220" s="31" t="str">
        <f>IFERROR(INDEX('G-7 Rivers Data'!$AZ$3:$AZ$7,MATCH(C220,'G-7 Rivers Data'!$AY$3:$AY$7,0)),"")</f>
        <v/>
      </c>
    </row>
    <row r="221" spans="2:37" ht="13.8" x14ac:dyDescent="0.25">
      <c r="B221" s="141">
        <v>210</v>
      </c>
      <c r="C221" s="666"/>
      <c r="D221" s="172"/>
      <c r="E221" s="498" t="str">
        <f>IF(C221="","",VLOOKUP(C221,'G-7 Rivers Data'!$B$2:$Z$9,2,FALSE))</f>
        <v/>
      </c>
      <c r="F221" s="499" t="str">
        <f>IFERROR(VLOOKUP(E221,'G-7 Rivers Data'!$C$4:$D$8,2,FALSE),"")</f>
        <v/>
      </c>
      <c r="G221" s="145"/>
      <c r="H221" s="499" t="str">
        <f>IFERROR(INDEX('G-7 Rivers Data'!$H$4:$L$8,MATCH(C221,'G-7 Rivers Data'!$B$4:$B$8,0),MATCH(G221,'G-7 Rivers Data'!$H$3:$L$3,0)),"")</f>
        <v/>
      </c>
      <c r="I221" s="145"/>
      <c r="J221" s="540" t="str">
        <f>IF(I221="","",IF(VLOOKUP(I221,'G-7 Rivers Data'!$AG$4:$AI$9,2,FALSE)=0,"Spatial Data Missing ⚠",VLOOKUP(I221,'G-7 Rivers Data'!$AG$4:$AI$9,2,FALSE)))</f>
        <v/>
      </c>
      <c r="K221" s="499" t="str">
        <f>IF(I221="","",IF(VLOOKUP(I221,'G-7 Rivers Data'!$AG$4:$AI$9,3,FALSE)=0,"Spatial Data Missing ⚠",VLOOKUP(I221,'G-7 Rivers Data'!$AG$4:$AI$9,3,FALSE)))</f>
        <v/>
      </c>
      <c r="L221" s="635" t="str">
        <f>IFERROR(INDEX('G-7 Rivers Data'!$O$3:$O$7,MATCH(G221,'G-7 Rivers Data'!$N$3:$N$7,0)),"")</f>
        <v/>
      </c>
      <c r="M221" s="7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154"/>
      <c r="AA221" s="524" t="str">
        <f>IF(Z221="","",VLOOKUP(Z221,'G-7 Rivers Data'!$AO$4:$AP$7,2,FALSE))</f>
        <v/>
      </c>
      <c r="AB221" s="545" t="str">
        <f t="shared" si="24"/>
        <v/>
      </c>
      <c r="AC221" s="149"/>
      <c r="AD221" s="150"/>
      <c r="AK221" s="31" t="str">
        <f>IFERROR(INDEX('G-7 Rivers Data'!$AZ$3:$AZ$7,MATCH(C221,'G-7 Rivers Data'!$AY$3:$AY$7,0)),"")</f>
        <v/>
      </c>
    </row>
    <row r="222" spans="2:37" ht="13.8" x14ac:dyDescent="0.25">
      <c r="B222" s="141">
        <v>211</v>
      </c>
      <c r="C222" s="666"/>
      <c r="D222" s="172"/>
      <c r="E222" s="498" t="str">
        <f>IF(C222="","",VLOOKUP(C222,'G-7 Rivers Data'!$B$2:$Z$9,2,FALSE))</f>
        <v/>
      </c>
      <c r="F222" s="499" t="str">
        <f>IFERROR(VLOOKUP(E222,'G-7 Rivers Data'!$C$4:$D$8,2,FALSE),"")</f>
        <v/>
      </c>
      <c r="G222" s="145"/>
      <c r="H222" s="499" t="str">
        <f>IFERROR(INDEX('G-7 Rivers Data'!$H$4:$L$8,MATCH(C222,'G-7 Rivers Data'!$B$4:$B$8,0),MATCH(G222,'G-7 Rivers Data'!$H$3:$L$3,0)),"")</f>
        <v/>
      </c>
      <c r="I222" s="145"/>
      <c r="J222" s="540" t="str">
        <f>IF(I222="","",IF(VLOOKUP(I222,'G-7 Rivers Data'!$AG$4:$AI$9,2,FALSE)=0,"Spatial Data Missing ⚠",VLOOKUP(I222,'G-7 Rivers Data'!$AG$4:$AI$9,2,FALSE)))</f>
        <v/>
      </c>
      <c r="K222" s="499" t="str">
        <f>IF(I222="","",IF(VLOOKUP(I222,'G-7 Rivers Data'!$AG$4:$AI$9,3,FALSE)=0,"Spatial Data Missing ⚠",VLOOKUP(I222,'G-7 Rivers Data'!$AG$4:$AI$9,3,FALSE)))</f>
        <v/>
      </c>
      <c r="L222" s="635" t="str">
        <f>IFERROR(INDEX('G-7 Rivers Data'!$O$3:$O$7,MATCH(G222,'G-7 Rivers Data'!$N$3:$N$7,0)),"")</f>
        <v/>
      </c>
      <c r="M222" s="7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154"/>
      <c r="AA222" s="524" t="str">
        <f>IF(Z222="","",VLOOKUP(Z222,'G-7 Rivers Data'!$AO$4:$AP$7,2,FALSE))</f>
        <v/>
      </c>
      <c r="AB222" s="545" t="str">
        <f t="shared" si="24"/>
        <v/>
      </c>
      <c r="AC222" s="149"/>
      <c r="AD222" s="150"/>
      <c r="AK222" s="31" t="str">
        <f>IFERROR(INDEX('G-7 Rivers Data'!$AZ$3:$AZ$7,MATCH(C222,'G-7 Rivers Data'!$AY$3:$AY$7,0)),"")</f>
        <v/>
      </c>
    </row>
    <row r="223" spans="2:37" ht="13.8" x14ac:dyDescent="0.25">
      <c r="B223" s="141">
        <v>212</v>
      </c>
      <c r="C223" s="666"/>
      <c r="D223" s="172"/>
      <c r="E223" s="498" t="str">
        <f>IF(C223="","",VLOOKUP(C223,'G-7 Rivers Data'!$B$2:$Z$9,2,FALSE))</f>
        <v/>
      </c>
      <c r="F223" s="499" t="str">
        <f>IFERROR(VLOOKUP(E223,'G-7 Rivers Data'!$C$4:$D$8,2,FALSE),"")</f>
        <v/>
      </c>
      <c r="G223" s="145"/>
      <c r="H223" s="499" t="str">
        <f>IFERROR(INDEX('G-7 Rivers Data'!$H$4:$L$8,MATCH(C223,'G-7 Rivers Data'!$B$4:$B$8,0),MATCH(G223,'G-7 Rivers Data'!$H$3:$L$3,0)),"")</f>
        <v/>
      </c>
      <c r="I223" s="145"/>
      <c r="J223" s="540" t="str">
        <f>IF(I223="","",IF(VLOOKUP(I223,'G-7 Rivers Data'!$AG$4:$AI$9,2,FALSE)=0,"Spatial Data Missing ⚠",VLOOKUP(I223,'G-7 Rivers Data'!$AG$4:$AI$9,2,FALSE)))</f>
        <v/>
      </c>
      <c r="K223" s="499" t="str">
        <f>IF(I223="","",IF(VLOOKUP(I223,'G-7 Rivers Data'!$AG$4:$AI$9,3,FALSE)=0,"Spatial Data Missing ⚠",VLOOKUP(I223,'G-7 Rivers Data'!$AG$4:$AI$9,3,FALSE)))</f>
        <v/>
      </c>
      <c r="L223" s="635" t="str">
        <f>IFERROR(INDEX('G-7 Rivers Data'!$O$3:$O$7,MATCH(G223,'G-7 Rivers Data'!$N$3:$N$7,0)),"")</f>
        <v/>
      </c>
      <c r="M223" s="7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154"/>
      <c r="AA223" s="524" t="str">
        <f>IF(Z223="","",VLOOKUP(Z223,'G-7 Rivers Data'!$AO$4:$AP$7,2,FALSE))</f>
        <v/>
      </c>
      <c r="AB223" s="545" t="str">
        <f t="shared" si="24"/>
        <v/>
      </c>
      <c r="AC223" s="149"/>
      <c r="AD223" s="150"/>
      <c r="AK223" s="31" t="str">
        <f>IFERROR(INDEX('G-7 Rivers Data'!$AZ$3:$AZ$7,MATCH(C223,'G-7 Rivers Data'!$AY$3:$AY$7,0)),"")</f>
        <v/>
      </c>
    </row>
    <row r="224" spans="2:37" ht="13.8" x14ac:dyDescent="0.25">
      <c r="B224" s="141">
        <v>213</v>
      </c>
      <c r="C224" s="666"/>
      <c r="D224" s="172"/>
      <c r="E224" s="498" t="str">
        <f>IF(C224="","",VLOOKUP(C224,'G-7 Rivers Data'!$B$2:$Z$9,2,FALSE))</f>
        <v/>
      </c>
      <c r="F224" s="499" t="str">
        <f>IFERROR(VLOOKUP(E224,'G-7 Rivers Data'!$C$4:$D$8,2,FALSE),"")</f>
        <v/>
      </c>
      <c r="G224" s="145"/>
      <c r="H224" s="499" t="str">
        <f>IFERROR(INDEX('G-7 Rivers Data'!$H$4:$L$8,MATCH(C224,'G-7 Rivers Data'!$B$4:$B$8,0),MATCH(G224,'G-7 Rivers Data'!$H$3:$L$3,0)),"")</f>
        <v/>
      </c>
      <c r="I224" s="145"/>
      <c r="J224" s="540" t="str">
        <f>IF(I224="","",IF(VLOOKUP(I224,'G-7 Rivers Data'!$AG$4:$AI$9,2,FALSE)=0,"Spatial Data Missing ⚠",VLOOKUP(I224,'G-7 Rivers Data'!$AG$4:$AI$9,2,FALSE)))</f>
        <v/>
      </c>
      <c r="K224" s="499" t="str">
        <f>IF(I224="","",IF(VLOOKUP(I224,'G-7 Rivers Data'!$AG$4:$AI$9,3,FALSE)=0,"Spatial Data Missing ⚠",VLOOKUP(I224,'G-7 Rivers Data'!$AG$4:$AI$9,3,FALSE)))</f>
        <v/>
      </c>
      <c r="L224" s="635" t="str">
        <f>IFERROR(INDEX('G-7 Rivers Data'!$O$3:$O$7,MATCH(G224,'G-7 Rivers Data'!$N$3:$N$7,0)),"")</f>
        <v/>
      </c>
      <c r="M224" s="7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154"/>
      <c r="AA224" s="524" t="str">
        <f>IF(Z224="","",VLOOKUP(Z224,'G-7 Rivers Data'!$AO$4:$AP$7,2,FALSE))</f>
        <v/>
      </c>
      <c r="AB224" s="545" t="str">
        <f t="shared" si="24"/>
        <v/>
      </c>
      <c r="AC224" s="149"/>
      <c r="AD224" s="150"/>
      <c r="AK224" s="31" t="str">
        <f>IFERROR(INDEX('G-7 Rivers Data'!$AZ$3:$AZ$7,MATCH(C224,'G-7 Rivers Data'!$AY$3:$AY$7,0)),"")</f>
        <v/>
      </c>
    </row>
    <row r="225" spans="2:37" ht="13.8" x14ac:dyDescent="0.25">
      <c r="B225" s="141">
        <v>214</v>
      </c>
      <c r="C225" s="666"/>
      <c r="D225" s="172"/>
      <c r="E225" s="498" t="str">
        <f>IF(C225="","",VLOOKUP(C225,'G-7 Rivers Data'!$B$2:$Z$9,2,FALSE))</f>
        <v/>
      </c>
      <c r="F225" s="499" t="str">
        <f>IFERROR(VLOOKUP(E225,'G-7 Rivers Data'!$C$4:$D$8,2,FALSE),"")</f>
        <v/>
      </c>
      <c r="G225" s="145"/>
      <c r="H225" s="499" t="str">
        <f>IFERROR(INDEX('G-7 Rivers Data'!$H$4:$L$8,MATCH(C225,'G-7 Rivers Data'!$B$4:$B$8,0),MATCH(G225,'G-7 Rivers Data'!$H$3:$L$3,0)),"")</f>
        <v/>
      </c>
      <c r="I225" s="145"/>
      <c r="J225" s="540" t="str">
        <f>IF(I225="","",IF(VLOOKUP(I225,'G-7 Rivers Data'!$AG$4:$AI$9,2,FALSE)=0,"Spatial Data Missing ⚠",VLOOKUP(I225,'G-7 Rivers Data'!$AG$4:$AI$9,2,FALSE)))</f>
        <v/>
      </c>
      <c r="K225" s="499" t="str">
        <f>IF(I225="","",IF(VLOOKUP(I225,'G-7 Rivers Data'!$AG$4:$AI$9,3,FALSE)=0,"Spatial Data Missing ⚠",VLOOKUP(I225,'G-7 Rivers Data'!$AG$4:$AI$9,3,FALSE)))</f>
        <v/>
      </c>
      <c r="L225" s="635" t="str">
        <f>IFERROR(INDEX('G-7 Rivers Data'!$O$3:$O$7,MATCH(G225,'G-7 Rivers Data'!$N$3:$N$7,0)),"")</f>
        <v/>
      </c>
      <c r="M225" s="7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154"/>
      <c r="AA225" s="524" t="str">
        <f>IF(Z225="","",VLOOKUP(Z225,'G-7 Rivers Data'!$AO$4:$AP$7,2,FALSE))</f>
        <v/>
      </c>
      <c r="AB225" s="545" t="str">
        <f t="shared" si="24"/>
        <v/>
      </c>
      <c r="AC225" s="149"/>
      <c r="AD225" s="150"/>
      <c r="AK225" s="31" t="str">
        <f>IFERROR(INDEX('G-7 Rivers Data'!$AZ$3:$AZ$7,MATCH(C225,'G-7 Rivers Data'!$AY$3:$AY$7,0)),"")</f>
        <v/>
      </c>
    </row>
    <row r="226" spans="2:37" ht="13.8" x14ac:dyDescent="0.25">
      <c r="B226" s="141">
        <v>215</v>
      </c>
      <c r="C226" s="666"/>
      <c r="D226" s="172"/>
      <c r="E226" s="498" t="str">
        <f>IF(C226="","",VLOOKUP(C226,'G-7 Rivers Data'!$B$2:$Z$9,2,FALSE))</f>
        <v/>
      </c>
      <c r="F226" s="499" t="str">
        <f>IFERROR(VLOOKUP(E226,'G-7 Rivers Data'!$C$4:$D$8,2,FALSE),"")</f>
        <v/>
      </c>
      <c r="G226" s="145"/>
      <c r="H226" s="499" t="str">
        <f>IFERROR(INDEX('G-7 Rivers Data'!$H$4:$L$8,MATCH(C226,'G-7 Rivers Data'!$B$4:$B$8,0),MATCH(G226,'G-7 Rivers Data'!$H$3:$L$3,0)),"")</f>
        <v/>
      </c>
      <c r="I226" s="145"/>
      <c r="J226" s="540" t="str">
        <f>IF(I226="","",IF(VLOOKUP(I226,'G-7 Rivers Data'!$AG$4:$AI$9,2,FALSE)=0,"Spatial Data Missing ⚠",VLOOKUP(I226,'G-7 Rivers Data'!$AG$4:$AI$9,2,FALSE)))</f>
        <v/>
      </c>
      <c r="K226" s="499" t="str">
        <f>IF(I226="","",IF(VLOOKUP(I226,'G-7 Rivers Data'!$AG$4:$AI$9,3,FALSE)=0,"Spatial Data Missing ⚠",VLOOKUP(I226,'G-7 Rivers Data'!$AG$4:$AI$9,3,FALSE)))</f>
        <v/>
      </c>
      <c r="L226" s="635" t="str">
        <f>IFERROR(INDEX('G-7 Rivers Data'!$O$3:$O$7,MATCH(G226,'G-7 Rivers Data'!$N$3:$N$7,0)),"")</f>
        <v/>
      </c>
      <c r="M226" s="7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154"/>
      <c r="AA226" s="524" t="str">
        <f>IF(Z226="","",VLOOKUP(Z226,'G-7 Rivers Data'!$AO$4:$AP$7,2,FALSE))</f>
        <v/>
      </c>
      <c r="AB226" s="545" t="str">
        <f t="shared" si="24"/>
        <v/>
      </c>
      <c r="AC226" s="149"/>
      <c r="AD226" s="150"/>
      <c r="AK226" s="31" t="str">
        <f>IFERROR(INDEX('G-7 Rivers Data'!$AZ$3:$AZ$7,MATCH(C226,'G-7 Rivers Data'!$AY$3:$AY$7,0)),"")</f>
        <v/>
      </c>
    </row>
    <row r="227" spans="2:37" ht="13.8" x14ac:dyDescent="0.25">
      <c r="B227" s="141">
        <v>216</v>
      </c>
      <c r="C227" s="666"/>
      <c r="D227" s="172"/>
      <c r="E227" s="498" t="str">
        <f>IF(C227="","",VLOOKUP(C227,'G-7 Rivers Data'!$B$2:$Z$9,2,FALSE))</f>
        <v/>
      </c>
      <c r="F227" s="499" t="str">
        <f>IFERROR(VLOOKUP(E227,'G-7 Rivers Data'!$C$4:$D$8,2,FALSE),"")</f>
        <v/>
      </c>
      <c r="G227" s="145"/>
      <c r="H227" s="499" t="str">
        <f>IFERROR(INDEX('G-7 Rivers Data'!$H$4:$L$8,MATCH(C227,'G-7 Rivers Data'!$B$4:$B$8,0),MATCH(G227,'G-7 Rivers Data'!$H$3:$L$3,0)),"")</f>
        <v/>
      </c>
      <c r="I227" s="145"/>
      <c r="J227" s="540" t="str">
        <f>IF(I227="","",IF(VLOOKUP(I227,'G-7 Rivers Data'!$AG$4:$AI$9,2,FALSE)=0,"Spatial Data Missing ⚠",VLOOKUP(I227,'G-7 Rivers Data'!$AG$4:$AI$9,2,FALSE)))</f>
        <v/>
      </c>
      <c r="K227" s="499" t="str">
        <f>IF(I227="","",IF(VLOOKUP(I227,'G-7 Rivers Data'!$AG$4:$AI$9,3,FALSE)=0,"Spatial Data Missing ⚠",VLOOKUP(I227,'G-7 Rivers Data'!$AG$4:$AI$9,3,FALSE)))</f>
        <v/>
      </c>
      <c r="L227" s="635" t="str">
        <f>IFERROR(INDEX('G-7 Rivers Data'!$O$3:$O$7,MATCH(G227,'G-7 Rivers Data'!$N$3:$N$7,0)),"")</f>
        <v/>
      </c>
      <c r="M227" s="7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154"/>
      <c r="AA227" s="524" t="str">
        <f>IF(Z227="","",VLOOKUP(Z227,'G-7 Rivers Data'!$AO$4:$AP$7,2,FALSE))</f>
        <v/>
      </c>
      <c r="AB227" s="545" t="str">
        <f t="shared" si="24"/>
        <v/>
      </c>
      <c r="AC227" s="149"/>
      <c r="AD227" s="150"/>
      <c r="AK227" s="31" t="str">
        <f>IFERROR(INDEX('G-7 Rivers Data'!$AZ$3:$AZ$7,MATCH(C227,'G-7 Rivers Data'!$AY$3:$AY$7,0)),"")</f>
        <v/>
      </c>
    </row>
    <row r="228" spans="2:37" ht="13.8" x14ac:dyDescent="0.25">
      <c r="B228" s="141">
        <v>217</v>
      </c>
      <c r="C228" s="666"/>
      <c r="D228" s="172"/>
      <c r="E228" s="498" t="str">
        <f>IF(C228="","",VLOOKUP(C228,'G-7 Rivers Data'!$B$2:$Z$9,2,FALSE))</f>
        <v/>
      </c>
      <c r="F228" s="499" t="str">
        <f>IFERROR(VLOOKUP(E228,'G-7 Rivers Data'!$C$4:$D$8,2,FALSE),"")</f>
        <v/>
      </c>
      <c r="G228" s="145"/>
      <c r="H228" s="499" t="str">
        <f>IFERROR(INDEX('G-7 Rivers Data'!$H$4:$L$8,MATCH(C228,'G-7 Rivers Data'!$B$4:$B$8,0),MATCH(G228,'G-7 Rivers Data'!$H$3:$L$3,0)),"")</f>
        <v/>
      </c>
      <c r="I228" s="145"/>
      <c r="J228" s="540" t="str">
        <f>IF(I228="","",IF(VLOOKUP(I228,'G-7 Rivers Data'!$AG$4:$AI$9,2,FALSE)=0,"Spatial Data Missing ⚠",VLOOKUP(I228,'G-7 Rivers Data'!$AG$4:$AI$9,2,FALSE)))</f>
        <v/>
      </c>
      <c r="K228" s="499" t="str">
        <f>IF(I228="","",IF(VLOOKUP(I228,'G-7 Rivers Data'!$AG$4:$AI$9,3,FALSE)=0,"Spatial Data Missing ⚠",VLOOKUP(I228,'G-7 Rivers Data'!$AG$4:$AI$9,3,FALSE)))</f>
        <v/>
      </c>
      <c r="L228" s="635" t="str">
        <f>IFERROR(INDEX('G-7 Rivers Data'!$O$3:$O$7,MATCH(G228,'G-7 Rivers Data'!$N$3:$N$7,0)),"")</f>
        <v/>
      </c>
      <c r="M228" s="7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154"/>
      <c r="AA228" s="524" t="str">
        <f>IF(Z228="","",VLOOKUP(Z228,'G-7 Rivers Data'!$AO$4:$AP$7,2,FALSE))</f>
        <v/>
      </c>
      <c r="AB228" s="545" t="str">
        <f t="shared" si="24"/>
        <v/>
      </c>
      <c r="AC228" s="149"/>
      <c r="AD228" s="150"/>
      <c r="AK228" s="31" t="str">
        <f>IFERROR(INDEX('G-7 Rivers Data'!$AZ$3:$AZ$7,MATCH(C228,'G-7 Rivers Data'!$AY$3:$AY$7,0)),"")</f>
        <v/>
      </c>
    </row>
    <row r="229" spans="2:37" ht="13.8" x14ac:dyDescent="0.25">
      <c r="B229" s="141">
        <v>218</v>
      </c>
      <c r="C229" s="666"/>
      <c r="D229" s="172"/>
      <c r="E229" s="498" t="str">
        <f>IF(C229="","",VLOOKUP(C229,'G-7 Rivers Data'!$B$2:$Z$9,2,FALSE))</f>
        <v/>
      </c>
      <c r="F229" s="499" t="str">
        <f>IFERROR(VLOOKUP(E229,'G-7 Rivers Data'!$C$4:$D$8,2,FALSE),"")</f>
        <v/>
      </c>
      <c r="G229" s="145"/>
      <c r="H229" s="499" t="str">
        <f>IFERROR(INDEX('G-7 Rivers Data'!$H$4:$L$8,MATCH(C229,'G-7 Rivers Data'!$B$4:$B$8,0),MATCH(G229,'G-7 Rivers Data'!$H$3:$L$3,0)),"")</f>
        <v/>
      </c>
      <c r="I229" s="145"/>
      <c r="J229" s="540" t="str">
        <f>IF(I229="","",IF(VLOOKUP(I229,'G-7 Rivers Data'!$AG$4:$AI$9,2,FALSE)=0,"Spatial Data Missing ⚠",VLOOKUP(I229,'G-7 Rivers Data'!$AG$4:$AI$9,2,FALSE)))</f>
        <v/>
      </c>
      <c r="K229" s="499" t="str">
        <f>IF(I229="","",IF(VLOOKUP(I229,'G-7 Rivers Data'!$AG$4:$AI$9,3,FALSE)=0,"Spatial Data Missing ⚠",VLOOKUP(I229,'G-7 Rivers Data'!$AG$4:$AI$9,3,FALSE)))</f>
        <v/>
      </c>
      <c r="L229" s="635" t="str">
        <f>IFERROR(INDEX('G-7 Rivers Data'!$O$3:$O$7,MATCH(G229,'G-7 Rivers Data'!$N$3:$N$7,0)),"")</f>
        <v/>
      </c>
      <c r="M229" s="7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154"/>
      <c r="AA229" s="524" t="str">
        <f>IF(Z229="","",VLOOKUP(Z229,'G-7 Rivers Data'!$AO$4:$AP$7,2,FALSE))</f>
        <v/>
      </c>
      <c r="AB229" s="545" t="str">
        <f t="shared" si="24"/>
        <v/>
      </c>
      <c r="AC229" s="149"/>
      <c r="AD229" s="150"/>
      <c r="AK229" s="31" t="str">
        <f>IFERROR(INDEX('G-7 Rivers Data'!$AZ$3:$AZ$7,MATCH(C229,'G-7 Rivers Data'!$AY$3:$AY$7,0)),"")</f>
        <v/>
      </c>
    </row>
    <row r="230" spans="2:37" ht="13.8" x14ac:dyDescent="0.25">
      <c r="B230" s="141">
        <v>219</v>
      </c>
      <c r="C230" s="666"/>
      <c r="D230" s="172"/>
      <c r="E230" s="498" t="str">
        <f>IF(C230="","",VLOOKUP(C230,'G-7 Rivers Data'!$B$2:$Z$9,2,FALSE))</f>
        <v/>
      </c>
      <c r="F230" s="499" t="str">
        <f>IFERROR(VLOOKUP(E230,'G-7 Rivers Data'!$C$4:$D$8,2,FALSE),"")</f>
        <v/>
      </c>
      <c r="G230" s="145"/>
      <c r="H230" s="499" t="str">
        <f>IFERROR(INDEX('G-7 Rivers Data'!$H$4:$L$8,MATCH(C230,'G-7 Rivers Data'!$B$4:$B$8,0),MATCH(G230,'G-7 Rivers Data'!$H$3:$L$3,0)),"")</f>
        <v/>
      </c>
      <c r="I230" s="145"/>
      <c r="J230" s="540" t="str">
        <f>IF(I230="","",IF(VLOOKUP(I230,'G-7 Rivers Data'!$AG$4:$AI$9,2,FALSE)=0,"Spatial Data Missing ⚠",VLOOKUP(I230,'G-7 Rivers Data'!$AG$4:$AI$9,2,FALSE)))</f>
        <v/>
      </c>
      <c r="K230" s="499" t="str">
        <f>IF(I230="","",IF(VLOOKUP(I230,'G-7 Rivers Data'!$AG$4:$AI$9,3,FALSE)=0,"Spatial Data Missing ⚠",VLOOKUP(I230,'G-7 Rivers Data'!$AG$4:$AI$9,3,FALSE)))</f>
        <v/>
      </c>
      <c r="L230" s="635" t="str">
        <f>IFERROR(INDEX('G-7 Rivers Data'!$O$3:$O$7,MATCH(G230,'G-7 Rivers Data'!$N$3:$N$7,0)),"")</f>
        <v/>
      </c>
      <c r="M230" s="7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154"/>
      <c r="AA230" s="524" t="str">
        <f>IF(Z230="","",VLOOKUP(Z230,'G-7 Rivers Data'!$AO$4:$AP$7,2,FALSE))</f>
        <v/>
      </c>
      <c r="AB230" s="545" t="str">
        <f t="shared" si="24"/>
        <v/>
      </c>
      <c r="AC230" s="149"/>
      <c r="AD230" s="150"/>
      <c r="AK230" s="31" t="str">
        <f>IFERROR(INDEX('G-7 Rivers Data'!$AZ$3:$AZ$7,MATCH(C230,'G-7 Rivers Data'!$AY$3:$AY$7,0)),"")</f>
        <v/>
      </c>
    </row>
    <row r="231" spans="2:37" ht="13.8" x14ac:dyDescent="0.25">
      <c r="B231" s="141">
        <v>220</v>
      </c>
      <c r="C231" s="666"/>
      <c r="D231" s="172"/>
      <c r="E231" s="498" t="str">
        <f>IF(C231="","",VLOOKUP(C231,'G-7 Rivers Data'!$B$2:$Z$9,2,FALSE))</f>
        <v/>
      </c>
      <c r="F231" s="499" t="str">
        <f>IFERROR(VLOOKUP(E231,'G-7 Rivers Data'!$C$4:$D$8,2,FALSE),"")</f>
        <v/>
      </c>
      <c r="G231" s="145"/>
      <c r="H231" s="499" t="str">
        <f>IFERROR(INDEX('G-7 Rivers Data'!$H$4:$L$8,MATCH(C231,'G-7 Rivers Data'!$B$4:$B$8,0),MATCH(G231,'G-7 Rivers Data'!$H$3:$L$3,0)),"")</f>
        <v/>
      </c>
      <c r="I231" s="145"/>
      <c r="J231" s="540" t="str">
        <f>IF(I231="","",IF(VLOOKUP(I231,'G-7 Rivers Data'!$AG$4:$AI$9,2,FALSE)=0,"Spatial Data Missing ⚠",VLOOKUP(I231,'G-7 Rivers Data'!$AG$4:$AI$9,2,FALSE)))</f>
        <v/>
      </c>
      <c r="K231" s="499" t="str">
        <f>IF(I231="","",IF(VLOOKUP(I231,'G-7 Rivers Data'!$AG$4:$AI$9,3,FALSE)=0,"Spatial Data Missing ⚠",VLOOKUP(I231,'G-7 Rivers Data'!$AG$4:$AI$9,3,FALSE)))</f>
        <v/>
      </c>
      <c r="L231" s="635" t="str">
        <f>IFERROR(INDEX('G-7 Rivers Data'!$O$3:$O$7,MATCH(G231,'G-7 Rivers Data'!$N$3:$N$7,0)),"")</f>
        <v/>
      </c>
      <c r="M231" s="7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154"/>
      <c r="AA231" s="524" t="str">
        <f>IF(Z231="","",VLOOKUP(Z231,'G-7 Rivers Data'!$AO$4:$AP$7,2,FALSE))</f>
        <v/>
      </c>
      <c r="AB231" s="545" t="str">
        <f t="shared" si="24"/>
        <v/>
      </c>
      <c r="AC231" s="149"/>
      <c r="AD231" s="150"/>
      <c r="AK231" s="31" t="str">
        <f>IFERROR(INDEX('G-7 Rivers Data'!$AZ$3:$AZ$7,MATCH(C231,'G-7 Rivers Data'!$AY$3:$AY$7,0)),"")</f>
        <v/>
      </c>
    </row>
    <row r="232" spans="2:37" ht="13.8" x14ac:dyDescent="0.25">
      <c r="B232" s="141">
        <v>221</v>
      </c>
      <c r="C232" s="666"/>
      <c r="D232" s="172"/>
      <c r="E232" s="498" t="str">
        <f>IF(C232="","",VLOOKUP(C232,'G-7 Rivers Data'!$B$2:$Z$9,2,FALSE))</f>
        <v/>
      </c>
      <c r="F232" s="499" t="str">
        <f>IFERROR(VLOOKUP(E232,'G-7 Rivers Data'!$C$4:$D$8,2,FALSE),"")</f>
        <v/>
      </c>
      <c r="G232" s="145"/>
      <c r="H232" s="499" t="str">
        <f>IFERROR(INDEX('G-7 Rivers Data'!$H$4:$L$8,MATCH(C232,'G-7 Rivers Data'!$B$4:$B$8,0),MATCH(G232,'G-7 Rivers Data'!$H$3:$L$3,0)),"")</f>
        <v/>
      </c>
      <c r="I232" s="145"/>
      <c r="J232" s="540" t="str">
        <f>IF(I232="","",IF(VLOOKUP(I232,'G-7 Rivers Data'!$AG$4:$AI$9,2,FALSE)=0,"Spatial Data Missing ⚠",VLOOKUP(I232,'G-7 Rivers Data'!$AG$4:$AI$9,2,FALSE)))</f>
        <v/>
      </c>
      <c r="K232" s="499" t="str">
        <f>IF(I232="","",IF(VLOOKUP(I232,'G-7 Rivers Data'!$AG$4:$AI$9,3,FALSE)=0,"Spatial Data Missing ⚠",VLOOKUP(I232,'G-7 Rivers Data'!$AG$4:$AI$9,3,FALSE)))</f>
        <v/>
      </c>
      <c r="L232" s="635" t="str">
        <f>IFERROR(INDEX('G-7 Rivers Data'!$O$3:$O$7,MATCH(G232,'G-7 Rivers Data'!$N$3:$N$7,0)),"")</f>
        <v/>
      </c>
      <c r="M232" s="7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154"/>
      <c r="AA232" s="524" t="str">
        <f>IF(Z232="","",VLOOKUP(Z232,'G-7 Rivers Data'!$AO$4:$AP$7,2,FALSE))</f>
        <v/>
      </c>
      <c r="AB232" s="545" t="str">
        <f t="shared" si="24"/>
        <v/>
      </c>
      <c r="AC232" s="149"/>
      <c r="AD232" s="150"/>
      <c r="AK232" s="31" t="str">
        <f>IFERROR(INDEX('G-7 Rivers Data'!$AZ$3:$AZ$7,MATCH(C232,'G-7 Rivers Data'!$AY$3:$AY$7,0)),"")</f>
        <v/>
      </c>
    </row>
    <row r="233" spans="2:37" ht="13.8" x14ac:dyDescent="0.25">
      <c r="B233" s="141">
        <v>222</v>
      </c>
      <c r="C233" s="666"/>
      <c r="D233" s="172"/>
      <c r="E233" s="498" t="str">
        <f>IF(C233="","",VLOOKUP(C233,'G-7 Rivers Data'!$B$2:$Z$9,2,FALSE))</f>
        <v/>
      </c>
      <c r="F233" s="499" t="str">
        <f>IFERROR(VLOOKUP(E233,'G-7 Rivers Data'!$C$4:$D$8,2,FALSE),"")</f>
        <v/>
      </c>
      <c r="G233" s="145"/>
      <c r="H233" s="499" t="str">
        <f>IFERROR(INDEX('G-7 Rivers Data'!$H$4:$L$8,MATCH(C233,'G-7 Rivers Data'!$B$4:$B$8,0),MATCH(G233,'G-7 Rivers Data'!$H$3:$L$3,0)),"")</f>
        <v/>
      </c>
      <c r="I233" s="145"/>
      <c r="J233" s="540" t="str">
        <f>IF(I233="","",IF(VLOOKUP(I233,'G-7 Rivers Data'!$AG$4:$AI$9,2,FALSE)=0,"Spatial Data Missing ⚠",VLOOKUP(I233,'G-7 Rivers Data'!$AG$4:$AI$9,2,FALSE)))</f>
        <v/>
      </c>
      <c r="K233" s="499" t="str">
        <f>IF(I233="","",IF(VLOOKUP(I233,'G-7 Rivers Data'!$AG$4:$AI$9,3,FALSE)=0,"Spatial Data Missing ⚠",VLOOKUP(I233,'G-7 Rivers Data'!$AG$4:$AI$9,3,FALSE)))</f>
        <v/>
      </c>
      <c r="L233" s="635" t="str">
        <f>IFERROR(INDEX('G-7 Rivers Data'!$O$3:$O$7,MATCH(G233,'G-7 Rivers Data'!$N$3:$N$7,0)),"")</f>
        <v/>
      </c>
      <c r="M233" s="7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154"/>
      <c r="AA233" s="524" t="str">
        <f>IF(Z233="","",VLOOKUP(Z233,'G-7 Rivers Data'!$AO$4:$AP$7,2,FALSE))</f>
        <v/>
      </c>
      <c r="AB233" s="545" t="str">
        <f t="shared" si="24"/>
        <v/>
      </c>
      <c r="AC233" s="149"/>
      <c r="AD233" s="150"/>
      <c r="AK233" s="31" t="str">
        <f>IFERROR(INDEX('G-7 Rivers Data'!$AZ$3:$AZ$7,MATCH(C233,'G-7 Rivers Data'!$AY$3:$AY$7,0)),"")</f>
        <v/>
      </c>
    </row>
    <row r="234" spans="2:37" ht="13.8" x14ac:dyDescent="0.25">
      <c r="B234" s="141">
        <v>223</v>
      </c>
      <c r="C234" s="666"/>
      <c r="D234" s="172"/>
      <c r="E234" s="498" t="str">
        <f>IF(C234="","",VLOOKUP(C234,'G-7 Rivers Data'!$B$2:$Z$9,2,FALSE))</f>
        <v/>
      </c>
      <c r="F234" s="499" t="str">
        <f>IFERROR(VLOOKUP(E234,'G-7 Rivers Data'!$C$4:$D$8,2,FALSE),"")</f>
        <v/>
      </c>
      <c r="G234" s="145"/>
      <c r="H234" s="499" t="str">
        <f>IFERROR(INDEX('G-7 Rivers Data'!$H$4:$L$8,MATCH(C234,'G-7 Rivers Data'!$B$4:$B$8,0),MATCH(G234,'G-7 Rivers Data'!$H$3:$L$3,0)),"")</f>
        <v/>
      </c>
      <c r="I234" s="145"/>
      <c r="J234" s="540" t="str">
        <f>IF(I234="","",IF(VLOOKUP(I234,'G-7 Rivers Data'!$AG$4:$AI$9,2,FALSE)=0,"Spatial Data Missing ⚠",VLOOKUP(I234,'G-7 Rivers Data'!$AG$4:$AI$9,2,FALSE)))</f>
        <v/>
      </c>
      <c r="K234" s="499" t="str">
        <f>IF(I234="","",IF(VLOOKUP(I234,'G-7 Rivers Data'!$AG$4:$AI$9,3,FALSE)=0,"Spatial Data Missing ⚠",VLOOKUP(I234,'G-7 Rivers Data'!$AG$4:$AI$9,3,FALSE)))</f>
        <v/>
      </c>
      <c r="L234" s="635" t="str">
        <f>IFERROR(INDEX('G-7 Rivers Data'!$O$3:$O$7,MATCH(G234,'G-7 Rivers Data'!$N$3:$N$7,0)),"")</f>
        <v/>
      </c>
      <c r="M234" s="7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154"/>
      <c r="AA234" s="524" t="str">
        <f>IF(Z234="","",VLOOKUP(Z234,'G-7 Rivers Data'!$AO$4:$AP$7,2,FALSE))</f>
        <v/>
      </c>
      <c r="AB234" s="545" t="str">
        <f t="shared" si="24"/>
        <v/>
      </c>
      <c r="AC234" s="149"/>
      <c r="AD234" s="150"/>
      <c r="AK234" s="31" t="str">
        <f>IFERROR(INDEX('G-7 Rivers Data'!$AZ$3:$AZ$7,MATCH(C234,'G-7 Rivers Data'!$AY$3:$AY$7,0)),"")</f>
        <v/>
      </c>
    </row>
    <row r="235" spans="2:37" ht="13.8" x14ac:dyDescent="0.25">
      <c r="B235" s="141">
        <v>224</v>
      </c>
      <c r="C235" s="666"/>
      <c r="D235" s="172"/>
      <c r="E235" s="498" t="str">
        <f>IF(C235="","",VLOOKUP(C235,'G-7 Rivers Data'!$B$2:$Z$9,2,FALSE))</f>
        <v/>
      </c>
      <c r="F235" s="499" t="str">
        <f>IFERROR(VLOOKUP(E235,'G-7 Rivers Data'!$C$4:$D$8,2,FALSE),"")</f>
        <v/>
      </c>
      <c r="G235" s="145"/>
      <c r="H235" s="499" t="str">
        <f>IFERROR(INDEX('G-7 Rivers Data'!$H$4:$L$8,MATCH(C235,'G-7 Rivers Data'!$B$4:$B$8,0),MATCH(G235,'G-7 Rivers Data'!$H$3:$L$3,0)),"")</f>
        <v/>
      </c>
      <c r="I235" s="145"/>
      <c r="J235" s="540" t="str">
        <f>IF(I235="","",IF(VLOOKUP(I235,'G-7 Rivers Data'!$AG$4:$AI$9,2,FALSE)=0,"Spatial Data Missing ⚠",VLOOKUP(I235,'G-7 Rivers Data'!$AG$4:$AI$9,2,FALSE)))</f>
        <v/>
      </c>
      <c r="K235" s="499" t="str">
        <f>IF(I235="","",IF(VLOOKUP(I235,'G-7 Rivers Data'!$AG$4:$AI$9,3,FALSE)=0,"Spatial Data Missing ⚠",VLOOKUP(I235,'G-7 Rivers Data'!$AG$4:$AI$9,3,FALSE)))</f>
        <v/>
      </c>
      <c r="L235" s="635" t="str">
        <f>IFERROR(INDEX('G-7 Rivers Data'!$O$3:$O$7,MATCH(G235,'G-7 Rivers Data'!$N$3:$N$7,0)),"")</f>
        <v/>
      </c>
      <c r="M235" s="7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154"/>
      <c r="AA235" s="524" t="str">
        <f>IF(Z235="","",VLOOKUP(Z235,'G-7 Rivers Data'!$AO$4:$AP$7,2,FALSE))</f>
        <v/>
      </c>
      <c r="AB235" s="545" t="str">
        <f t="shared" si="24"/>
        <v/>
      </c>
      <c r="AC235" s="149"/>
      <c r="AD235" s="150"/>
      <c r="AK235" s="31" t="str">
        <f>IFERROR(INDEX('G-7 Rivers Data'!$AZ$3:$AZ$7,MATCH(C235,'G-7 Rivers Data'!$AY$3:$AY$7,0)),"")</f>
        <v/>
      </c>
    </row>
    <row r="236" spans="2:37" ht="13.8" x14ac:dyDescent="0.25">
      <c r="B236" s="141">
        <v>225</v>
      </c>
      <c r="C236" s="666"/>
      <c r="D236" s="172"/>
      <c r="E236" s="498" t="str">
        <f>IF(C236="","",VLOOKUP(C236,'G-7 Rivers Data'!$B$2:$Z$9,2,FALSE))</f>
        <v/>
      </c>
      <c r="F236" s="499" t="str">
        <f>IFERROR(VLOOKUP(E236,'G-7 Rivers Data'!$C$4:$D$8,2,FALSE),"")</f>
        <v/>
      </c>
      <c r="G236" s="145"/>
      <c r="H236" s="499" t="str">
        <f>IFERROR(INDEX('G-7 Rivers Data'!$H$4:$L$8,MATCH(C236,'G-7 Rivers Data'!$B$4:$B$8,0),MATCH(G236,'G-7 Rivers Data'!$H$3:$L$3,0)),"")</f>
        <v/>
      </c>
      <c r="I236" s="145"/>
      <c r="J236" s="540" t="str">
        <f>IF(I236="","",IF(VLOOKUP(I236,'G-7 Rivers Data'!$AG$4:$AI$9,2,FALSE)=0,"Spatial Data Missing ⚠",VLOOKUP(I236,'G-7 Rivers Data'!$AG$4:$AI$9,2,FALSE)))</f>
        <v/>
      </c>
      <c r="K236" s="499" t="str">
        <f>IF(I236="","",IF(VLOOKUP(I236,'G-7 Rivers Data'!$AG$4:$AI$9,3,FALSE)=0,"Spatial Data Missing ⚠",VLOOKUP(I236,'G-7 Rivers Data'!$AG$4:$AI$9,3,FALSE)))</f>
        <v/>
      </c>
      <c r="L236" s="635" t="str">
        <f>IFERROR(INDEX('G-7 Rivers Data'!$O$3:$O$7,MATCH(G236,'G-7 Rivers Data'!$N$3:$N$7,0)),"")</f>
        <v/>
      </c>
      <c r="M236" s="7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154"/>
      <c r="AA236" s="524" t="str">
        <f>IF(Z236="","",VLOOKUP(Z236,'G-7 Rivers Data'!$AO$4:$AP$7,2,FALSE))</f>
        <v/>
      </c>
      <c r="AB236" s="545" t="str">
        <f t="shared" si="24"/>
        <v/>
      </c>
      <c r="AC236" s="149"/>
      <c r="AD236" s="150"/>
      <c r="AK236" s="31" t="str">
        <f>IFERROR(INDEX('G-7 Rivers Data'!$AZ$3:$AZ$7,MATCH(C236,'G-7 Rivers Data'!$AY$3:$AY$7,0)),"")</f>
        <v/>
      </c>
    </row>
    <row r="237" spans="2:37" ht="13.8" x14ac:dyDescent="0.25">
      <c r="B237" s="141">
        <v>226</v>
      </c>
      <c r="C237" s="666"/>
      <c r="D237" s="172"/>
      <c r="E237" s="498" t="str">
        <f>IF(C237="","",VLOOKUP(C237,'G-7 Rivers Data'!$B$2:$Z$9,2,FALSE))</f>
        <v/>
      </c>
      <c r="F237" s="499" t="str">
        <f>IFERROR(VLOOKUP(E237,'G-7 Rivers Data'!$C$4:$D$8,2,FALSE),"")</f>
        <v/>
      </c>
      <c r="G237" s="145"/>
      <c r="H237" s="499" t="str">
        <f>IFERROR(INDEX('G-7 Rivers Data'!$H$4:$L$8,MATCH(C237,'G-7 Rivers Data'!$B$4:$B$8,0),MATCH(G237,'G-7 Rivers Data'!$H$3:$L$3,0)),"")</f>
        <v/>
      </c>
      <c r="I237" s="145"/>
      <c r="J237" s="540" t="str">
        <f>IF(I237="","",IF(VLOOKUP(I237,'G-7 Rivers Data'!$AG$4:$AI$9,2,FALSE)=0,"Spatial Data Missing ⚠",VLOOKUP(I237,'G-7 Rivers Data'!$AG$4:$AI$9,2,FALSE)))</f>
        <v/>
      </c>
      <c r="K237" s="499" t="str">
        <f>IF(I237="","",IF(VLOOKUP(I237,'G-7 Rivers Data'!$AG$4:$AI$9,3,FALSE)=0,"Spatial Data Missing ⚠",VLOOKUP(I237,'G-7 Rivers Data'!$AG$4:$AI$9,3,FALSE)))</f>
        <v/>
      </c>
      <c r="L237" s="635" t="str">
        <f>IFERROR(INDEX('G-7 Rivers Data'!$O$3:$O$7,MATCH(G237,'G-7 Rivers Data'!$N$3:$N$7,0)),"")</f>
        <v/>
      </c>
      <c r="M237" s="7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154"/>
      <c r="AA237" s="524" t="str">
        <f>IF(Z237="","",VLOOKUP(Z237,'G-7 Rivers Data'!$AO$4:$AP$7,2,FALSE))</f>
        <v/>
      </c>
      <c r="AB237" s="545" t="str">
        <f t="shared" si="24"/>
        <v/>
      </c>
      <c r="AC237" s="149"/>
      <c r="AD237" s="150"/>
      <c r="AK237" s="31" t="str">
        <f>IFERROR(INDEX('G-7 Rivers Data'!$AZ$3:$AZ$7,MATCH(C237,'G-7 Rivers Data'!$AY$3:$AY$7,0)),"")</f>
        <v/>
      </c>
    </row>
    <row r="238" spans="2:37" ht="13.8" x14ac:dyDescent="0.25">
      <c r="B238" s="141">
        <v>227</v>
      </c>
      <c r="C238" s="666"/>
      <c r="D238" s="172"/>
      <c r="E238" s="498" t="str">
        <f>IF(C238="","",VLOOKUP(C238,'G-7 Rivers Data'!$B$2:$Z$9,2,FALSE))</f>
        <v/>
      </c>
      <c r="F238" s="499" t="str">
        <f>IFERROR(VLOOKUP(E238,'G-7 Rivers Data'!$C$4:$D$8,2,FALSE),"")</f>
        <v/>
      </c>
      <c r="G238" s="145"/>
      <c r="H238" s="499" t="str">
        <f>IFERROR(INDEX('G-7 Rivers Data'!$H$4:$L$8,MATCH(C238,'G-7 Rivers Data'!$B$4:$B$8,0),MATCH(G238,'G-7 Rivers Data'!$H$3:$L$3,0)),"")</f>
        <v/>
      </c>
      <c r="I238" s="145"/>
      <c r="J238" s="540" t="str">
        <f>IF(I238="","",IF(VLOOKUP(I238,'G-7 Rivers Data'!$AG$4:$AI$9,2,FALSE)=0,"Spatial Data Missing ⚠",VLOOKUP(I238,'G-7 Rivers Data'!$AG$4:$AI$9,2,FALSE)))</f>
        <v/>
      </c>
      <c r="K238" s="499" t="str">
        <f>IF(I238="","",IF(VLOOKUP(I238,'G-7 Rivers Data'!$AG$4:$AI$9,3,FALSE)=0,"Spatial Data Missing ⚠",VLOOKUP(I238,'G-7 Rivers Data'!$AG$4:$AI$9,3,FALSE)))</f>
        <v/>
      </c>
      <c r="L238" s="635" t="str">
        <f>IFERROR(INDEX('G-7 Rivers Data'!$O$3:$O$7,MATCH(G238,'G-7 Rivers Data'!$N$3:$N$7,0)),"")</f>
        <v/>
      </c>
      <c r="M238" s="7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154"/>
      <c r="AA238" s="524" t="str">
        <f>IF(Z238="","",VLOOKUP(Z238,'G-7 Rivers Data'!$AO$4:$AP$7,2,FALSE))</f>
        <v/>
      </c>
      <c r="AB238" s="545" t="str">
        <f t="shared" si="24"/>
        <v/>
      </c>
      <c r="AC238" s="149"/>
      <c r="AD238" s="150"/>
      <c r="AK238" s="31" t="str">
        <f>IFERROR(INDEX('G-7 Rivers Data'!$AZ$3:$AZ$7,MATCH(C238,'G-7 Rivers Data'!$AY$3:$AY$7,0)),"")</f>
        <v/>
      </c>
    </row>
    <row r="239" spans="2:37" ht="13.8" x14ac:dyDescent="0.25">
      <c r="B239" s="141">
        <v>228</v>
      </c>
      <c r="C239" s="666"/>
      <c r="D239" s="172"/>
      <c r="E239" s="498" t="str">
        <f>IF(C239="","",VLOOKUP(C239,'G-7 Rivers Data'!$B$2:$Z$9,2,FALSE))</f>
        <v/>
      </c>
      <c r="F239" s="499" t="str">
        <f>IFERROR(VLOOKUP(E239,'G-7 Rivers Data'!$C$4:$D$8,2,FALSE),"")</f>
        <v/>
      </c>
      <c r="G239" s="145"/>
      <c r="H239" s="499" t="str">
        <f>IFERROR(INDEX('G-7 Rivers Data'!$H$4:$L$8,MATCH(C239,'G-7 Rivers Data'!$B$4:$B$8,0),MATCH(G239,'G-7 Rivers Data'!$H$3:$L$3,0)),"")</f>
        <v/>
      </c>
      <c r="I239" s="145"/>
      <c r="J239" s="540" t="str">
        <f>IF(I239="","",IF(VLOOKUP(I239,'G-7 Rivers Data'!$AG$4:$AI$9,2,FALSE)=0,"Spatial Data Missing ⚠",VLOOKUP(I239,'G-7 Rivers Data'!$AG$4:$AI$9,2,FALSE)))</f>
        <v/>
      </c>
      <c r="K239" s="499" t="str">
        <f>IF(I239="","",IF(VLOOKUP(I239,'G-7 Rivers Data'!$AG$4:$AI$9,3,FALSE)=0,"Spatial Data Missing ⚠",VLOOKUP(I239,'G-7 Rivers Data'!$AG$4:$AI$9,3,FALSE)))</f>
        <v/>
      </c>
      <c r="L239" s="635" t="str">
        <f>IFERROR(INDEX('G-7 Rivers Data'!$O$3:$O$7,MATCH(G239,'G-7 Rivers Data'!$N$3:$N$7,0)),"")</f>
        <v/>
      </c>
      <c r="M239" s="7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154"/>
      <c r="AA239" s="524" t="str">
        <f>IF(Z239="","",VLOOKUP(Z239,'G-7 Rivers Data'!$AO$4:$AP$7,2,FALSE))</f>
        <v/>
      </c>
      <c r="AB239" s="545" t="str">
        <f t="shared" si="24"/>
        <v/>
      </c>
      <c r="AC239" s="149"/>
      <c r="AD239" s="150"/>
      <c r="AK239" s="31" t="str">
        <f>IFERROR(INDEX('G-7 Rivers Data'!$AZ$3:$AZ$7,MATCH(C239,'G-7 Rivers Data'!$AY$3:$AY$7,0)),"")</f>
        <v/>
      </c>
    </row>
    <row r="240" spans="2:37" ht="13.8" x14ac:dyDescent="0.25">
      <c r="B240" s="141">
        <v>229</v>
      </c>
      <c r="C240" s="666"/>
      <c r="D240" s="172"/>
      <c r="E240" s="498" t="str">
        <f>IF(C240="","",VLOOKUP(C240,'G-7 Rivers Data'!$B$2:$Z$9,2,FALSE))</f>
        <v/>
      </c>
      <c r="F240" s="499" t="str">
        <f>IFERROR(VLOOKUP(E240,'G-7 Rivers Data'!$C$4:$D$8,2,FALSE),"")</f>
        <v/>
      </c>
      <c r="G240" s="145"/>
      <c r="H240" s="499" t="str">
        <f>IFERROR(INDEX('G-7 Rivers Data'!$H$4:$L$8,MATCH(C240,'G-7 Rivers Data'!$B$4:$B$8,0),MATCH(G240,'G-7 Rivers Data'!$H$3:$L$3,0)),"")</f>
        <v/>
      </c>
      <c r="I240" s="145"/>
      <c r="J240" s="540" t="str">
        <f>IF(I240="","",IF(VLOOKUP(I240,'G-7 Rivers Data'!$AG$4:$AI$9,2,FALSE)=0,"Spatial Data Missing ⚠",VLOOKUP(I240,'G-7 Rivers Data'!$AG$4:$AI$9,2,FALSE)))</f>
        <v/>
      </c>
      <c r="K240" s="499" t="str">
        <f>IF(I240="","",IF(VLOOKUP(I240,'G-7 Rivers Data'!$AG$4:$AI$9,3,FALSE)=0,"Spatial Data Missing ⚠",VLOOKUP(I240,'G-7 Rivers Data'!$AG$4:$AI$9,3,FALSE)))</f>
        <v/>
      </c>
      <c r="L240" s="635" t="str">
        <f>IFERROR(INDEX('G-7 Rivers Data'!$O$3:$O$7,MATCH(G240,'G-7 Rivers Data'!$N$3:$N$7,0)),"")</f>
        <v/>
      </c>
      <c r="M240" s="7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154"/>
      <c r="AA240" s="524" t="str">
        <f>IF(Z240="","",VLOOKUP(Z240,'G-7 Rivers Data'!$AO$4:$AP$7,2,FALSE))</f>
        <v/>
      </c>
      <c r="AB240" s="545" t="str">
        <f t="shared" si="24"/>
        <v/>
      </c>
      <c r="AC240" s="149"/>
      <c r="AD240" s="150"/>
      <c r="AK240" s="31" t="str">
        <f>IFERROR(INDEX('G-7 Rivers Data'!$AZ$3:$AZ$7,MATCH(C240,'G-7 Rivers Data'!$AY$3:$AY$7,0)),"")</f>
        <v/>
      </c>
    </row>
    <row r="241" spans="2:37" ht="13.8" x14ac:dyDescent="0.25">
      <c r="B241" s="141">
        <v>230</v>
      </c>
      <c r="C241" s="666"/>
      <c r="D241" s="172"/>
      <c r="E241" s="498" t="str">
        <f>IF(C241="","",VLOOKUP(C241,'G-7 Rivers Data'!$B$2:$Z$9,2,FALSE))</f>
        <v/>
      </c>
      <c r="F241" s="499" t="str">
        <f>IFERROR(VLOOKUP(E241,'G-7 Rivers Data'!$C$4:$D$8,2,FALSE),"")</f>
        <v/>
      </c>
      <c r="G241" s="145"/>
      <c r="H241" s="499" t="str">
        <f>IFERROR(INDEX('G-7 Rivers Data'!$H$4:$L$8,MATCH(C241,'G-7 Rivers Data'!$B$4:$B$8,0),MATCH(G241,'G-7 Rivers Data'!$H$3:$L$3,0)),"")</f>
        <v/>
      </c>
      <c r="I241" s="145"/>
      <c r="J241" s="540" t="str">
        <f>IF(I241="","",IF(VLOOKUP(I241,'G-7 Rivers Data'!$AG$4:$AI$9,2,FALSE)=0,"Spatial Data Missing ⚠",VLOOKUP(I241,'G-7 Rivers Data'!$AG$4:$AI$9,2,FALSE)))</f>
        <v/>
      </c>
      <c r="K241" s="499" t="str">
        <f>IF(I241="","",IF(VLOOKUP(I241,'G-7 Rivers Data'!$AG$4:$AI$9,3,FALSE)=0,"Spatial Data Missing ⚠",VLOOKUP(I241,'G-7 Rivers Data'!$AG$4:$AI$9,3,FALSE)))</f>
        <v/>
      </c>
      <c r="L241" s="635" t="str">
        <f>IFERROR(INDEX('G-7 Rivers Data'!$O$3:$O$7,MATCH(G241,'G-7 Rivers Data'!$N$3:$N$7,0)),"")</f>
        <v/>
      </c>
      <c r="M241" s="7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154"/>
      <c r="AA241" s="524" t="str">
        <f>IF(Z241="","",VLOOKUP(Z241,'G-7 Rivers Data'!$AO$4:$AP$7,2,FALSE))</f>
        <v/>
      </c>
      <c r="AB241" s="545" t="str">
        <f t="shared" si="24"/>
        <v/>
      </c>
      <c r="AC241" s="149"/>
      <c r="AD241" s="150"/>
      <c r="AK241" s="31" t="str">
        <f>IFERROR(INDEX('G-7 Rivers Data'!$AZ$3:$AZ$7,MATCH(C241,'G-7 Rivers Data'!$AY$3:$AY$7,0)),"")</f>
        <v/>
      </c>
    </row>
    <row r="242" spans="2:37" ht="13.8" x14ac:dyDescent="0.25">
      <c r="B242" s="141">
        <v>231</v>
      </c>
      <c r="C242" s="666"/>
      <c r="D242" s="172"/>
      <c r="E242" s="498" t="str">
        <f>IF(C242="","",VLOOKUP(C242,'G-7 Rivers Data'!$B$2:$Z$9,2,FALSE))</f>
        <v/>
      </c>
      <c r="F242" s="499" t="str">
        <f>IFERROR(VLOOKUP(E242,'G-7 Rivers Data'!$C$4:$D$8,2,FALSE),"")</f>
        <v/>
      </c>
      <c r="G242" s="145"/>
      <c r="H242" s="499" t="str">
        <f>IFERROR(INDEX('G-7 Rivers Data'!$H$4:$L$8,MATCH(C242,'G-7 Rivers Data'!$B$4:$B$8,0),MATCH(G242,'G-7 Rivers Data'!$H$3:$L$3,0)),"")</f>
        <v/>
      </c>
      <c r="I242" s="145"/>
      <c r="J242" s="540" t="str">
        <f>IF(I242="","",IF(VLOOKUP(I242,'G-7 Rivers Data'!$AG$4:$AI$9,2,FALSE)=0,"Spatial Data Missing ⚠",VLOOKUP(I242,'G-7 Rivers Data'!$AG$4:$AI$9,2,FALSE)))</f>
        <v/>
      </c>
      <c r="K242" s="499" t="str">
        <f>IF(I242="","",IF(VLOOKUP(I242,'G-7 Rivers Data'!$AG$4:$AI$9,3,FALSE)=0,"Spatial Data Missing ⚠",VLOOKUP(I242,'G-7 Rivers Data'!$AG$4:$AI$9,3,FALSE)))</f>
        <v/>
      </c>
      <c r="L242" s="635" t="str">
        <f>IFERROR(INDEX('G-7 Rivers Data'!$O$3:$O$7,MATCH(G242,'G-7 Rivers Data'!$N$3:$N$7,0)),"")</f>
        <v/>
      </c>
      <c r="M242" s="7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154"/>
      <c r="AA242" s="524" t="str">
        <f>IF(Z242="","",VLOOKUP(Z242,'G-7 Rivers Data'!$AO$4:$AP$7,2,FALSE))</f>
        <v/>
      </c>
      <c r="AB242" s="545" t="str">
        <f t="shared" si="24"/>
        <v/>
      </c>
      <c r="AC242" s="149"/>
      <c r="AD242" s="150"/>
      <c r="AK242" s="31" t="str">
        <f>IFERROR(INDEX('G-7 Rivers Data'!$AZ$3:$AZ$7,MATCH(C242,'G-7 Rivers Data'!$AY$3:$AY$7,0)),"")</f>
        <v/>
      </c>
    </row>
    <row r="243" spans="2:37" ht="13.8" x14ac:dyDescent="0.25">
      <c r="B243" s="141">
        <v>232</v>
      </c>
      <c r="C243" s="666"/>
      <c r="D243" s="172"/>
      <c r="E243" s="498" t="str">
        <f>IF(C243="","",VLOOKUP(C243,'G-7 Rivers Data'!$B$2:$Z$9,2,FALSE))</f>
        <v/>
      </c>
      <c r="F243" s="499" t="str">
        <f>IFERROR(VLOOKUP(E243,'G-7 Rivers Data'!$C$4:$D$8,2,FALSE),"")</f>
        <v/>
      </c>
      <c r="G243" s="145"/>
      <c r="H243" s="499" t="str">
        <f>IFERROR(INDEX('G-7 Rivers Data'!$H$4:$L$8,MATCH(C243,'G-7 Rivers Data'!$B$4:$B$8,0),MATCH(G243,'G-7 Rivers Data'!$H$3:$L$3,0)),"")</f>
        <v/>
      </c>
      <c r="I243" s="145"/>
      <c r="J243" s="540" t="str">
        <f>IF(I243="","",IF(VLOOKUP(I243,'G-7 Rivers Data'!$AG$4:$AI$9,2,FALSE)=0,"Spatial Data Missing ⚠",VLOOKUP(I243,'G-7 Rivers Data'!$AG$4:$AI$9,2,FALSE)))</f>
        <v/>
      </c>
      <c r="K243" s="499" t="str">
        <f>IF(I243="","",IF(VLOOKUP(I243,'G-7 Rivers Data'!$AG$4:$AI$9,3,FALSE)=0,"Spatial Data Missing ⚠",VLOOKUP(I243,'G-7 Rivers Data'!$AG$4:$AI$9,3,FALSE)))</f>
        <v/>
      </c>
      <c r="L243" s="635" t="str">
        <f>IFERROR(INDEX('G-7 Rivers Data'!$O$3:$O$7,MATCH(G243,'G-7 Rivers Data'!$N$3:$N$7,0)),"")</f>
        <v/>
      </c>
      <c r="M243" s="7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154"/>
      <c r="AA243" s="524" t="str">
        <f>IF(Z243="","",VLOOKUP(Z243,'G-7 Rivers Data'!$AO$4:$AP$7,2,FALSE))</f>
        <v/>
      </c>
      <c r="AB243" s="545" t="str">
        <f t="shared" si="24"/>
        <v/>
      </c>
      <c r="AC243" s="149"/>
      <c r="AD243" s="150"/>
      <c r="AK243" s="31" t="str">
        <f>IFERROR(INDEX('G-7 Rivers Data'!$AZ$3:$AZ$7,MATCH(C243,'G-7 Rivers Data'!$AY$3:$AY$7,0)),"")</f>
        <v/>
      </c>
    </row>
    <row r="244" spans="2:37" ht="13.8" x14ac:dyDescent="0.25">
      <c r="B244" s="141">
        <v>233</v>
      </c>
      <c r="C244" s="666"/>
      <c r="D244" s="172"/>
      <c r="E244" s="498" t="str">
        <f>IF(C244="","",VLOOKUP(C244,'G-7 Rivers Data'!$B$2:$Z$9,2,FALSE))</f>
        <v/>
      </c>
      <c r="F244" s="499" t="str">
        <f>IFERROR(VLOOKUP(E244,'G-7 Rivers Data'!$C$4:$D$8,2,FALSE),"")</f>
        <v/>
      </c>
      <c r="G244" s="145"/>
      <c r="H244" s="499" t="str">
        <f>IFERROR(INDEX('G-7 Rivers Data'!$H$4:$L$8,MATCH(C244,'G-7 Rivers Data'!$B$4:$B$8,0),MATCH(G244,'G-7 Rivers Data'!$H$3:$L$3,0)),"")</f>
        <v/>
      </c>
      <c r="I244" s="145"/>
      <c r="J244" s="540" t="str">
        <f>IF(I244="","",IF(VLOOKUP(I244,'G-7 Rivers Data'!$AG$4:$AI$9,2,FALSE)=0,"Spatial Data Missing ⚠",VLOOKUP(I244,'G-7 Rivers Data'!$AG$4:$AI$9,2,FALSE)))</f>
        <v/>
      </c>
      <c r="K244" s="499" t="str">
        <f>IF(I244="","",IF(VLOOKUP(I244,'G-7 Rivers Data'!$AG$4:$AI$9,3,FALSE)=0,"Spatial Data Missing ⚠",VLOOKUP(I244,'G-7 Rivers Data'!$AG$4:$AI$9,3,FALSE)))</f>
        <v/>
      </c>
      <c r="L244" s="635" t="str">
        <f>IFERROR(INDEX('G-7 Rivers Data'!$O$3:$O$7,MATCH(G244,'G-7 Rivers Data'!$N$3:$N$7,0)),"")</f>
        <v/>
      </c>
      <c r="M244" s="7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154"/>
      <c r="AA244" s="524" t="str">
        <f>IF(Z244="","",VLOOKUP(Z244,'G-7 Rivers Data'!$AO$4:$AP$7,2,FALSE))</f>
        <v/>
      </c>
      <c r="AB244" s="545" t="str">
        <f t="shared" si="24"/>
        <v/>
      </c>
      <c r="AC244" s="149"/>
      <c r="AD244" s="150"/>
      <c r="AK244" s="31" t="str">
        <f>IFERROR(INDEX('G-7 Rivers Data'!$AZ$3:$AZ$7,MATCH(C244,'G-7 Rivers Data'!$AY$3:$AY$7,0)),"")</f>
        <v/>
      </c>
    </row>
    <row r="245" spans="2:37" ht="13.8" x14ac:dyDescent="0.25">
      <c r="B245" s="141">
        <v>234</v>
      </c>
      <c r="C245" s="666"/>
      <c r="D245" s="172"/>
      <c r="E245" s="498" t="str">
        <f>IF(C245="","",VLOOKUP(C245,'G-7 Rivers Data'!$B$2:$Z$9,2,FALSE))</f>
        <v/>
      </c>
      <c r="F245" s="499" t="str">
        <f>IFERROR(VLOOKUP(E245,'G-7 Rivers Data'!$C$4:$D$8,2,FALSE),"")</f>
        <v/>
      </c>
      <c r="G245" s="145"/>
      <c r="H245" s="499" t="str">
        <f>IFERROR(INDEX('G-7 Rivers Data'!$H$4:$L$8,MATCH(C245,'G-7 Rivers Data'!$B$4:$B$8,0),MATCH(G245,'G-7 Rivers Data'!$H$3:$L$3,0)),"")</f>
        <v/>
      </c>
      <c r="I245" s="145"/>
      <c r="J245" s="540" t="str">
        <f>IF(I245="","",IF(VLOOKUP(I245,'G-7 Rivers Data'!$AG$4:$AI$9,2,FALSE)=0,"Spatial Data Missing ⚠",VLOOKUP(I245,'G-7 Rivers Data'!$AG$4:$AI$9,2,FALSE)))</f>
        <v/>
      </c>
      <c r="K245" s="499" t="str">
        <f>IF(I245="","",IF(VLOOKUP(I245,'G-7 Rivers Data'!$AG$4:$AI$9,3,FALSE)=0,"Spatial Data Missing ⚠",VLOOKUP(I245,'G-7 Rivers Data'!$AG$4:$AI$9,3,FALSE)))</f>
        <v/>
      </c>
      <c r="L245" s="635" t="str">
        <f>IFERROR(INDEX('G-7 Rivers Data'!$O$3:$O$7,MATCH(G245,'G-7 Rivers Data'!$N$3:$N$7,0)),"")</f>
        <v/>
      </c>
      <c r="M245" s="7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154"/>
      <c r="AA245" s="524" t="str">
        <f>IF(Z245="","",VLOOKUP(Z245,'G-7 Rivers Data'!$AO$4:$AP$7,2,FALSE))</f>
        <v/>
      </c>
      <c r="AB245" s="545" t="str">
        <f t="shared" si="24"/>
        <v/>
      </c>
      <c r="AC245" s="149"/>
      <c r="AD245" s="150"/>
      <c r="AK245" s="31" t="str">
        <f>IFERROR(INDEX('G-7 Rivers Data'!$AZ$3:$AZ$7,MATCH(C245,'G-7 Rivers Data'!$AY$3:$AY$7,0)),"")</f>
        <v/>
      </c>
    </row>
    <row r="246" spans="2:37" ht="13.8" x14ac:dyDescent="0.25">
      <c r="B246" s="141">
        <v>235</v>
      </c>
      <c r="C246" s="666"/>
      <c r="D246" s="172"/>
      <c r="E246" s="498" t="str">
        <f>IF(C246="","",VLOOKUP(C246,'G-7 Rivers Data'!$B$2:$Z$9,2,FALSE))</f>
        <v/>
      </c>
      <c r="F246" s="499" t="str">
        <f>IFERROR(VLOOKUP(E246,'G-7 Rivers Data'!$C$4:$D$8,2,FALSE),"")</f>
        <v/>
      </c>
      <c r="G246" s="145"/>
      <c r="H246" s="499" t="str">
        <f>IFERROR(INDEX('G-7 Rivers Data'!$H$4:$L$8,MATCH(C246,'G-7 Rivers Data'!$B$4:$B$8,0),MATCH(G246,'G-7 Rivers Data'!$H$3:$L$3,0)),"")</f>
        <v/>
      </c>
      <c r="I246" s="145"/>
      <c r="J246" s="540" t="str">
        <f>IF(I246="","",IF(VLOOKUP(I246,'G-7 Rivers Data'!$AG$4:$AI$9,2,FALSE)=0,"Spatial Data Missing ⚠",VLOOKUP(I246,'G-7 Rivers Data'!$AG$4:$AI$9,2,FALSE)))</f>
        <v/>
      </c>
      <c r="K246" s="499" t="str">
        <f>IF(I246="","",IF(VLOOKUP(I246,'G-7 Rivers Data'!$AG$4:$AI$9,3,FALSE)=0,"Spatial Data Missing ⚠",VLOOKUP(I246,'G-7 Rivers Data'!$AG$4:$AI$9,3,FALSE)))</f>
        <v/>
      </c>
      <c r="L246" s="635" t="str">
        <f>IFERROR(INDEX('G-7 Rivers Data'!$O$3:$O$7,MATCH(G246,'G-7 Rivers Data'!$N$3:$N$7,0)),"")</f>
        <v/>
      </c>
      <c r="M246" s="7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154"/>
      <c r="AA246" s="524" t="str">
        <f>IF(Z246="","",VLOOKUP(Z246,'G-7 Rivers Data'!$AO$4:$AP$7,2,FALSE))</f>
        <v/>
      </c>
      <c r="AB246" s="545" t="str">
        <f t="shared" si="24"/>
        <v/>
      </c>
      <c r="AC246" s="149"/>
      <c r="AD246" s="150"/>
      <c r="AK246" s="31" t="str">
        <f>IFERROR(INDEX('G-7 Rivers Data'!$AZ$3:$AZ$7,MATCH(C246,'G-7 Rivers Data'!$AY$3:$AY$7,0)),"")</f>
        <v/>
      </c>
    </row>
    <row r="247" spans="2:37" ht="13.8" x14ac:dyDescent="0.25">
      <c r="B247" s="141">
        <v>236</v>
      </c>
      <c r="C247" s="666"/>
      <c r="D247" s="172"/>
      <c r="E247" s="498" t="str">
        <f>IF(C247="","",VLOOKUP(C247,'G-7 Rivers Data'!$B$2:$Z$9,2,FALSE))</f>
        <v/>
      </c>
      <c r="F247" s="499" t="str">
        <f>IFERROR(VLOOKUP(E247,'G-7 Rivers Data'!$C$4:$D$8,2,FALSE),"")</f>
        <v/>
      </c>
      <c r="G247" s="145"/>
      <c r="H247" s="499" t="str">
        <f>IFERROR(INDEX('G-7 Rivers Data'!$H$4:$L$8,MATCH(C247,'G-7 Rivers Data'!$B$4:$B$8,0),MATCH(G247,'G-7 Rivers Data'!$H$3:$L$3,0)),"")</f>
        <v/>
      </c>
      <c r="I247" s="145"/>
      <c r="J247" s="540" t="str">
        <f>IF(I247="","",IF(VLOOKUP(I247,'G-7 Rivers Data'!$AG$4:$AI$9,2,FALSE)=0,"Spatial Data Missing ⚠",VLOOKUP(I247,'G-7 Rivers Data'!$AG$4:$AI$9,2,FALSE)))</f>
        <v/>
      </c>
      <c r="K247" s="499" t="str">
        <f>IF(I247="","",IF(VLOOKUP(I247,'G-7 Rivers Data'!$AG$4:$AI$9,3,FALSE)=0,"Spatial Data Missing ⚠",VLOOKUP(I247,'G-7 Rivers Data'!$AG$4:$AI$9,3,FALSE)))</f>
        <v/>
      </c>
      <c r="L247" s="635" t="str">
        <f>IFERROR(INDEX('G-7 Rivers Data'!$O$3:$O$7,MATCH(G247,'G-7 Rivers Data'!$N$3:$N$7,0)),"")</f>
        <v/>
      </c>
      <c r="M247" s="7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154"/>
      <c r="AA247" s="524" t="str">
        <f>IF(Z247="","",VLOOKUP(Z247,'G-7 Rivers Data'!$AO$4:$AP$7,2,FALSE))</f>
        <v/>
      </c>
      <c r="AB247" s="545" t="str">
        <f t="shared" si="24"/>
        <v/>
      </c>
      <c r="AC247" s="149"/>
      <c r="AD247" s="150"/>
      <c r="AK247" s="31" t="str">
        <f>IFERROR(INDEX('G-7 Rivers Data'!$AZ$3:$AZ$7,MATCH(C247,'G-7 Rivers Data'!$AY$3:$AY$7,0)),"")</f>
        <v/>
      </c>
    </row>
    <row r="248" spans="2:37" ht="13.8" x14ac:dyDescent="0.25">
      <c r="B248" s="141">
        <v>237</v>
      </c>
      <c r="C248" s="666"/>
      <c r="D248" s="172"/>
      <c r="E248" s="498" t="str">
        <f>IF(C248="","",VLOOKUP(C248,'G-7 Rivers Data'!$B$2:$Z$9,2,FALSE))</f>
        <v/>
      </c>
      <c r="F248" s="499" t="str">
        <f>IFERROR(VLOOKUP(E248,'G-7 Rivers Data'!$C$4:$D$8,2,FALSE),"")</f>
        <v/>
      </c>
      <c r="G248" s="145"/>
      <c r="H248" s="499" t="str">
        <f>IFERROR(INDEX('G-7 Rivers Data'!$H$4:$L$8,MATCH(C248,'G-7 Rivers Data'!$B$4:$B$8,0),MATCH(G248,'G-7 Rivers Data'!$H$3:$L$3,0)),"")</f>
        <v/>
      </c>
      <c r="I248" s="145"/>
      <c r="J248" s="540" t="str">
        <f>IF(I248="","",IF(VLOOKUP(I248,'G-7 Rivers Data'!$AG$4:$AI$9,2,FALSE)=0,"Spatial Data Missing ⚠",VLOOKUP(I248,'G-7 Rivers Data'!$AG$4:$AI$9,2,FALSE)))</f>
        <v/>
      </c>
      <c r="K248" s="499" t="str">
        <f>IF(I248="","",IF(VLOOKUP(I248,'G-7 Rivers Data'!$AG$4:$AI$9,3,FALSE)=0,"Spatial Data Missing ⚠",VLOOKUP(I248,'G-7 Rivers Data'!$AG$4:$AI$9,3,FALSE)))</f>
        <v/>
      </c>
      <c r="L248" s="635" t="str">
        <f>IFERROR(INDEX('G-7 Rivers Data'!$O$3:$O$7,MATCH(G248,'G-7 Rivers Data'!$N$3:$N$7,0)),"")</f>
        <v/>
      </c>
      <c r="M248" s="7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154"/>
      <c r="AA248" s="524" t="str">
        <f>IF(Z248="","",VLOOKUP(Z248,'G-7 Rivers Data'!$AO$4:$AP$7,2,FALSE))</f>
        <v/>
      </c>
      <c r="AB248" s="545" t="str">
        <f t="shared" si="24"/>
        <v/>
      </c>
      <c r="AC248" s="149"/>
      <c r="AD248" s="150"/>
      <c r="AK248" s="31" t="str">
        <f>IFERROR(INDEX('G-7 Rivers Data'!$AZ$3:$AZ$7,MATCH(C248,'G-7 Rivers Data'!$AY$3:$AY$7,0)),"")</f>
        <v/>
      </c>
    </row>
    <row r="249" spans="2:37" ht="13.8" x14ac:dyDescent="0.25">
      <c r="B249" s="141">
        <v>238</v>
      </c>
      <c r="C249" s="666"/>
      <c r="D249" s="172"/>
      <c r="E249" s="498" t="str">
        <f>IF(C249="","",VLOOKUP(C249,'G-7 Rivers Data'!$B$2:$Z$9,2,FALSE))</f>
        <v/>
      </c>
      <c r="F249" s="499" t="str">
        <f>IFERROR(VLOOKUP(E249,'G-7 Rivers Data'!$C$4:$D$8,2,FALSE),"")</f>
        <v/>
      </c>
      <c r="G249" s="145"/>
      <c r="H249" s="499" t="str">
        <f>IFERROR(INDEX('G-7 Rivers Data'!$H$4:$L$8,MATCH(C249,'G-7 Rivers Data'!$B$4:$B$8,0),MATCH(G249,'G-7 Rivers Data'!$H$3:$L$3,0)),"")</f>
        <v/>
      </c>
      <c r="I249" s="145"/>
      <c r="J249" s="540" t="str">
        <f>IF(I249="","",IF(VLOOKUP(I249,'G-7 Rivers Data'!$AG$4:$AI$9,2,FALSE)=0,"Spatial Data Missing ⚠",VLOOKUP(I249,'G-7 Rivers Data'!$AG$4:$AI$9,2,FALSE)))</f>
        <v/>
      </c>
      <c r="K249" s="499" t="str">
        <f>IF(I249="","",IF(VLOOKUP(I249,'G-7 Rivers Data'!$AG$4:$AI$9,3,FALSE)=0,"Spatial Data Missing ⚠",VLOOKUP(I249,'G-7 Rivers Data'!$AG$4:$AI$9,3,FALSE)))</f>
        <v/>
      </c>
      <c r="L249" s="635" t="str">
        <f>IFERROR(INDEX('G-7 Rivers Data'!$O$3:$O$7,MATCH(G249,'G-7 Rivers Data'!$N$3:$N$7,0)),"")</f>
        <v/>
      </c>
      <c r="M249" s="7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154"/>
      <c r="AA249" s="524" t="str">
        <f>IF(Z249="","",VLOOKUP(Z249,'G-7 Rivers Data'!$AO$4:$AP$7,2,FALSE))</f>
        <v/>
      </c>
      <c r="AB249" s="545" t="str">
        <f t="shared" si="24"/>
        <v/>
      </c>
      <c r="AC249" s="149"/>
      <c r="AD249" s="150"/>
      <c r="AK249" s="31" t="str">
        <f>IFERROR(INDEX('G-7 Rivers Data'!$AZ$3:$AZ$7,MATCH(C249,'G-7 Rivers Data'!$AY$3:$AY$7,0)),"")</f>
        <v/>
      </c>
    </row>
    <row r="250" spans="2:37" ht="13.8" x14ac:dyDescent="0.25">
      <c r="B250" s="141">
        <v>239</v>
      </c>
      <c r="C250" s="666"/>
      <c r="D250" s="172"/>
      <c r="E250" s="498" t="str">
        <f>IF(C250="","",VLOOKUP(C250,'G-7 Rivers Data'!$B$2:$Z$9,2,FALSE))</f>
        <v/>
      </c>
      <c r="F250" s="499" t="str">
        <f>IFERROR(VLOOKUP(E250,'G-7 Rivers Data'!$C$4:$D$8,2,FALSE),"")</f>
        <v/>
      </c>
      <c r="G250" s="145"/>
      <c r="H250" s="499" t="str">
        <f>IFERROR(INDEX('G-7 Rivers Data'!$H$4:$L$8,MATCH(C250,'G-7 Rivers Data'!$B$4:$B$8,0),MATCH(G250,'G-7 Rivers Data'!$H$3:$L$3,0)),"")</f>
        <v/>
      </c>
      <c r="I250" s="145"/>
      <c r="J250" s="540" t="str">
        <f>IF(I250="","",IF(VLOOKUP(I250,'G-7 Rivers Data'!$AG$4:$AI$9,2,FALSE)=0,"Spatial Data Missing ⚠",VLOOKUP(I250,'G-7 Rivers Data'!$AG$4:$AI$9,2,FALSE)))</f>
        <v/>
      </c>
      <c r="K250" s="499" t="str">
        <f>IF(I250="","",IF(VLOOKUP(I250,'G-7 Rivers Data'!$AG$4:$AI$9,3,FALSE)=0,"Spatial Data Missing ⚠",VLOOKUP(I250,'G-7 Rivers Data'!$AG$4:$AI$9,3,FALSE)))</f>
        <v/>
      </c>
      <c r="L250" s="635" t="str">
        <f>IFERROR(INDEX('G-7 Rivers Data'!$O$3:$O$7,MATCH(G250,'G-7 Rivers Data'!$N$3:$N$7,0)),"")</f>
        <v/>
      </c>
      <c r="M250" s="7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154"/>
      <c r="AA250" s="524" t="str">
        <f>IF(Z250="","",VLOOKUP(Z250,'G-7 Rivers Data'!$AO$4:$AP$7,2,FALSE))</f>
        <v/>
      </c>
      <c r="AB250" s="545" t="str">
        <f t="shared" si="24"/>
        <v/>
      </c>
      <c r="AC250" s="149"/>
      <c r="AD250" s="150"/>
      <c r="AK250" s="31" t="str">
        <f>IFERROR(INDEX('G-7 Rivers Data'!$AZ$3:$AZ$7,MATCH(C250,'G-7 Rivers Data'!$AY$3:$AY$7,0)),"")</f>
        <v/>
      </c>
    </row>
    <row r="251" spans="2:37" ht="13.8" x14ac:dyDescent="0.25">
      <c r="B251" s="141">
        <v>240</v>
      </c>
      <c r="C251" s="666"/>
      <c r="D251" s="172"/>
      <c r="E251" s="498" t="str">
        <f>IF(C251="","",VLOOKUP(C251,'G-7 Rivers Data'!$B$2:$Z$9,2,FALSE))</f>
        <v/>
      </c>
      <c r="F251" s="499" t="str">
        <f>IFERROR(VLOOKUP(E251,'G-7 Rivers Data'!$C$4:$D$8,2,FALSE),"")</f>
        <v/>
      </c>
      <c r="G251" s="145"/>
      <c r="H251" s="499" t="str">
        <f>IFERROR(INDEX('G-7 Rivers Data'!$H$4:$L$8,MATCH(C251,'G-7 Rivers Data'!$B$4:$B$8,0),MATCH(G251,'G-7 Rivers Data'!$H$3:$L$3,0)),"")</f>
        <v/>
      </c>
      <c r="I251" s="145"/>
      <c r="J251" s="540" t="str">
        <f>IF(I251="","",IF(VLOOKUP(I251,'G-7 Rivers Data'!$AG$4:$AI$9,2,FALSE)=0,"Spatial Data Missing ⚠",VLOOKUP(I251,'G-7 Rivers Data'!$AG$4:$AI$9,2,FALSE)))</f>
        <v/>
      </c>
      <c r="K251" s="499" t="str">
        <f>IF(I251="","",IF(VLOOKUP(I251,'G-7 Rivers Data'!$AG$4:$AI$9,3,FALSE)=0,"Spatial Data Missing ⚠",VLOOKUP(I251,'G-7 Rivers Data'!$AG$4:$AI$9,3,FALSE)))</f>
        <v/>
      </c>
      <c r="L251" s="635" t="str">
        <f>IFERROR(INDEX('G-7 Rivers Data'!$O$3:$O$7,MATCH(G251,'G-7 Rivers Data'!$N$3:$N$7,0)),"")</f>
        <v/>
      </c>
      <c r="M251" s="7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154"/>
      <c r="AA251" s="524" t="str">
        <f>IF(Z251="","",VLOOKUP(Z251,'G-7 Rivers Data'!$AO$4:$AP$7,2,FALSE))</f>
        <v/>
      </c>
      <c r="AB251" s="545" t="str">
        <f t="shared" si="24"/>
        <v/>
      </c>
      <c r="AC251" s="149"/>
      <c r="AD251" s="150"/>
      <c r="AK251" s="31" t="str">
        <f>IFERROR(INDEX('G-7 Rivers Data'!$AZ$3:$AZ$7,MATCH(C251,'G-7 Rivers Data'!$AY$3:$AY$7,0)),"")</f>
        <v/>
      </c>
    </row>
    <row r="252" spans="2:37" ht="13.8" x14ac:dyDescent="0.25">
      <c r="B252" s="141">
        <v>241</v>
      </c>
      <c r="C252" s="666"/>
      <c r="D252" s="172"/>
      <c r="E252" s="498" t="str">
        <f>IF(C252="","",VLOOKUP(C252,'G-7 Rivers Data'!$B$2:$Z$9,2,FALSE))</f>
        <v/>
      </c>
      <c r="F252" s="499" t="str">
        <f>IFERROR(VLOOKUP(E252,'G-7 Rivers Data'!$C$4:$D$8,2,FALSE),"")</f>
        <v/>
      </c>
      <c r="G252" s="145"/>
      <c r="H252" s="499" t="str">
        <f>IFERROR(INDEX('G-7 Rivers Data'!$H$4:$L$8,MATCH(C252,'G-7 Rivers Data'!$B$4:$B$8,0),MATCH(G252,'G-7 Rivers Data'!$H$3:$L$3,0)),"")</f>
        <v/>
      </c>
      <c r="I252" s="145"/>
      <c r="J252" s="540" t="str">
        <f>IF(I252="","",IF(VLOOKUP(I252,'G-7 Rivers Data'!$AG$4:$AI$9,2,FALSE)=0,"Spatial Data Missing ⚠",VLOOKUP(I252,'G-7 Rivers Data'!$AG$4:$AI$9,2,FALSE)))</f>
        <v/>
      </c>
      <c r="K252" s="499" t="str">
        <f>IF(I252="","",IF(VLOOKUP(I252,'G-7 Rivers Data'!$AG$4:$AI$9,3,FALSE)=0,"Spatial Data Missing ⚠",VLOOKUP(I252,'G-7 Rivers Data'!$AG$4:$AI$9,3,FALSE)))</f>
        <v/>
      </c>
      <c r="L252" s="635" t="str">
        <f>IFERROR(INDEX('G-7 Rivers Data'!$O$3:$O$7,MATCH(G252,'G-7 Rivers Data'!$N$3:$N$7,0)),"")</f>
        <v/>
      </c>
      <c r="M252" s="7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154"/>
      <c r="AA252" s="524" t="str">
        <f>IF(Z252="","",VLOOKUP(Z252,'G-7 Rivers Data'!$AO$4:$AP$7,2,FALSE))</f>
        <v/>
      </c>
      <c r="AB252" s="545" t="str">
        <f t="shared" si="24"/>
        <v/>
      </c>
      <c r="AC252" s="149"/>
      <c r="AD252" s="150"/>
      <c r="AK252" s="31" t="str">
        <f>IFERROR(INDEX('G-7 Rivers Data'!$AZ$3:$AZ$7,MATCH(C252,'G-7 Rivers Data'!$AY$3:$AY$7,0)),"")</f>
        <v/>
      </c>
    </row>
    <row r="253" spans="2:37" ht="13.8" x14ac:dyDescent="0.25">
      <c r="B253" s="141">
        <v>242</v>
      </c>
      <c r="C253" s="666"/>
      <c r="D253" s="172"/>
      <c r="E253" s="498" t="str">
        <f>IF(C253="","",VLOOKUP(C253,'G-7 Rivers Data'!$B$2:$Z$9,2,FALSE))</f>
        <v/>
      </c>
      <c r="F253" s="499" t="str">
        <f>IFERROR(VLOOKUP(E253,'G-7 Rivers Data'!$C$4:$D$8,2,FALSE),"")</f>
        <v/>
      </c>
      <c r="G253" s="145"/>
      <c r="H253" s="499" t="str">
        <f>IFERROR(INDEX('G-7 Rivers Data'!$H$4:$L$8,MATCH(C253,'G-7 Rivers Data'!$B$4:$B$8,0),MATCH(G253,'G-7 Rivers Data'!$H$3:$L$3,0)),"")</f>
        <v/>
      </c>
      <c r="I253" s="145"/>
      <c r="J253" s="540" t="str">
        <f>IF(I253="","",IF(VLOOKUP(I253,'G-7 Rivers Data'!$AG$4:$AI$9,2,FALSE)=0,"Spatial Data Missing ⚠",VLOOKUP(I253,'G-7 Rivers Data'!$AG$4:$AI$9,2,FALSE)))</f>
        <v/>
      </c>
      <c r="K253" s="499" t="str">
        <f>IF(I253="","",IF(VLOOKUP(I253,'G-7 Rivers Data'!$AG$4:$AI$9,3,FALSE)=0,"Spatial Data Missing ⚠",VLOOKUP(I253,'G-7 Rivers Data'!$AG$4:$AI$9,3,FALSE)))</f>
        <v/>
      </c>
      <c r="L253" s="635" t="str">
        <f>IFERROR(INDEX('G-7 Rivers Data'!$O$3:$O$7,MATCH(G253,'G-7 Rivers Data'!$N$3:$N$7,0)),"")</f>
        <v/>
      </c>
      <c r="M253" s="7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154"/>
      <c r="AA253" s="524" t="str">
        <f>IF(Z253="","",VLOOKUP(Z253,'G-7 Rivers Data'!$AO$4:$AP$7,2,FALSE))</f>
        <v/>
      </c>
      <c r="AB253" s="545" t="str">
        <f t="shared" si="24"/>
        <v/>
      </c>
      <c r="AC253" s="149"/>
      <c r="AD253" s="150"/>
      <c r="AK253" s="31" t="str">
        <f>IFERROR(INDEX('G-7 Rivers Data'!$AZ$3:$AZ$7,MATCH(C253,'G-7 Rivers Data'!$AY$3:$AY$7,0)),"")</f>
        <v/>
      </c>
    </row>
    <row r="254" spans="2:37" ht="13.8" x14ac:dyDescent="0.25">
      <c r="B254" s="141">
        <v>243</v>
      </c>
      <c r="C254" s="666"/>
      <c r="D254" s="172"/>
      <c r="E254" s="498" t="str">
        <f>IF(C254="","",VLOOKUP(C254,'G-7 Rivers Data'!$B$2:$Z$9,2,FALSE))</f>
        <v/>
      </c>
      <c r="F254" s="499" t="str">
        <f>IFERROR(VLOOKUP(E254,'G-7 Rivers Data'!$C$4:$D$8,2,FALSE),"")</f>
        <v/>
      </c>
      <c r="G254" s="145"/>
      <c r="H254" s="499" t="str">
        <f>IFERROR(INDEX('G-7 Rivers Data'!$H$4:$L$8,MATCH(C254,'G-7 Rivers Data'!$B$4:$B$8,0),MATCH(G254,'G-7 Rivers Data'!$H$3:$L$3,0)),"")</f>
        <v/>
      </c>
      <c r="I254" s="145"/>
      <c r="J254" s="540" t="str">
        <f>IF(I254="","",IF(VLOOKUP(I254,'G-7 Rivers Data'!$AG$4:$AI$9,2,FALSE)=0,"Spatial Data Missing ⚠",VLOOKUP(I254,'G-7 Rivers Data'!$AG$4:$AI$9,2,FALSE)))</f>
        <v/>
      </c>
      <c r="K254" s="499" t="str">
        <f>IF(I254="","",IF(VLOOKUP(I254,'G-7 Rivers Data'!$AG$4:$AI$9,3,FALSE)=0,"Spatial Data Missing ⚠",VLOOKUP(I254,'G-7 Rivers Data'!$AG$4:$AI$9,3,FALSE)))</f>
        <v/>
      </c>
      <c r="L254" s="635" t="str">
        <f>IFERROR(INDEX('G-7 Rivers Data'!$O$3:$O$7,MATCH(G254,'G-7 Rivers Data'!$N$3:$N$7,0)),"")</f>
        <v/>
      </c>
      <c r="M254" s="7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154"/>
      <c r="AA254" s="524" t="str">
        <f>IF(Z254="","",VLOOKUP(Z254,'G-7 Rivers Data'!$AO$4:$AP$7,2,FALSE))</f>
        <v/>
      </c>
      <c r="AB254" s="545" t="str">
        <f t="shared" si="24"/>
        <v/>
      </c>
      <c r="AC254" s="149"/>
      <c r="AD254" s="150"/>
      <c r="AK254" s="31" t="str">
        <f>IFERROR(INDEX('G-7 Rivers Data'!$AZ$3:$AZ$7,MATCH(C254,'G-7 Rivers Data'!$AY$3:$AY$7,0)),"")</f>
        <v/>
      </c>
    </row>
    <row r="255" spans="2:37" ht="13.8" x14ac:dyDescent="0.25">
      <c r="B255" s="141">
        <v>244</v>
      </c>
      <c r="C255" s="666"/>
      <c r="D255" s="172"/>
      <c r="E255" s="498" t="str">
        <f>IF(C255="","",VLOOKUP(C255,'G-7 Rivers Data'!$B$2:$Z$9,2,FALSE))</f>
        <v/>
      </c>
      <c r="F255" s="499" t="str">
        <f>IFERROR(VLOOKUP(E255,'G-7 Rivers Data'!$C$4:$D$8,2,FALSE),"")</f>
        <v/>
      </c>
      <c r="G255" s="145"/>
      <c r="H255" s="499" t="str">
        <f>IFERROR(INDEX('G-7 Rivers Data'!$H$4:$L$8,MATCH(C255,'G-7 Rivers Data'!$B$4:$B$8,0),MATCH(G255,'G-7 Rivers Data'!$H$3:$L$3,0)),"")</f>
        <v/>
      </c>
      <c r="I255" s="145"/>
      <c r="J255" s="540" t="str">
        <f>IF(I255="","",IF(VLOOKUP(I255,'G-7 Rivers Data'!$AG$4:$AI$9,2,FALSE)=0,"Spatial Data Missing ⚠",VLOOKUP(I255,'G-7 Rivers Data'!$AG$4:$AI$9,2,FALSE)))</f>
        <v/>
      </c>
      <c r="K255" s="499" t="str">
        <f>IF(I255="","",IF(VLOOKUP(I255,'G-7 Rivers Data'!$AG$4:$AI$9,3,FALSE)=0,"Spatial Data Missing ⚠",VLOOKUP(I255,'G-7 Rivers Data'!$AG$4:$AI$9,3,FALSE)))</f>
        <v/>
      </c>
      <c r="L255" s="635" t="str">
        <f>IFERROR(INDEX('G-7 Rivers Data'!$O$3:$O$7,MATCH(G255,'G-7 Rivers Data'!$N$3:$N$7,0)),"")</f>
        <v/>
      </c>
      <c r="M255" s="7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154"/>
      <c r="AA255" s="524" t="str">
        <f>IF(Z255="","",VLOOKUP(Z255,'G-7 Rivers Data'!$AO$4:$AP$7,2,FALSE))</f>
        <v/>
      </c>
      <c r="AB255" s="545" t="str">
        <f t="shared" si="24"/>
        <v/>
      </c>
      <c r="AC255" s="149"/>
      <c r="AD255" s="150"/>
      <c r="AK255" s="31" t="str">
        <f>IFERROR(INDEX('G-7 Rivers Data'!$AZ$3:$AZ$7,MATCH(C255,'G-7 Rivers Data'!$AY$3:$AY$7,0)),"")</f>
        <v/>
      </c>
    </row>
    <row r="256" spans="2:37" ht="13.8" x14ac:dyDescent="0.25">
      <c r="B256" s="141">
        <v>245</v>
      </c>
      <c r="C256" s="666"/>
      <c r="D256" s="172"/>
      <c r="E256" s="498" t="str">
        <f>IF(C256="","",VLOOKUP(C256,'G-7 Rivers Data'!$B$2:$Z$9,2,FALSE))</f>
        <v/>
      </c>
      <c r="F256" s="499" t="str">
        <f>IFERROR(VLOOKUP(E256,'G-7 Rivers Data'!$C$4:$D$8,2,FALSE),"")</f>
        <v/>
      </c>
      <c r="G256" s="145"/>
      <c r="H256" s="499" t="str">
        <f>IFERROR(INDEX('G-7 Rivers Data'!$H$4:$L$8,MATCH(C256,'G-7 Rivers Data'!$B$4:$B$8,0),MATCH(G256,'G-7 Rivers Data'!$H$3:$L$3,0)),"")</f>
        <v/>
      </c>
      <c r="I256" s="145"/>
      <c r="J256" s="540" t="str">
        <f>IF(I256="","",IF(VLOOKUP(I256,'G-7 Rivers Data'!$AG$4:$AI$9,2,FALSE)=0,"Spatial Data Missing ⚠",VLOOKUP(I256,'G-7 Rivers Data'!$AG$4:$AI$9,2,FALSE)))</f>
        <v/>
      </c>
      <c r="K256" s="499" t="str">
        <f>IF(I256="","",IF(VLOOKUP(I256,'G-7 Rivers Data'!$AG$4:$AI$9,3,FALSE)=0,"Spatial Data Missing ⚠",VLOOKUP(I256,'G-7 Rivers Data'!$AG$4:$AI$9,3,FALSE)))</f>
        <v/>
      </c>
      <c r="L256" s="635" t="str">
        <f>IFERROR(INDEX('G-7 Rivers Data'!$O$3:$O$7,MATCH(G256,'G-7 Rivers Data'!$N$3:$N$7,0)),"")</f>
        <v/>
      </c>
      <c r="M256" s="7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154"/>
      <c r="AA256" s="524" t="str">
        <f>IF(Z256="","",VLOOKUP(Z256,'G-7 Rivers Data'!$AO$4:$AP$7,2,FALSE))</f>
        <v/>
      </c>
      <c r="AB256" s="545" t="str">
        <f t="shared" si="24"/>
        <v/>
      </c>
      <c r="AC256" s="149"/>
      <c r="AD256" s="150"/>
      <c r="AK256" s="31" t="str">
        <f>IFERROR(INDEX('G-7 Rivers Data'!$AZ$3:$AZ$7,MATCH(C256,'G-7 Rivers Data'!$AY$3:$AY$7,0)),"")</f>
        <v/>
      </c>
    </row>
    <row r="257" spans="2:37" ht="13.8" x14ac:dyDescent="0.25">
      <c r="B257" s="141">
        <v>246</v>
      </c>
      <c r="C257" s="666"/>
      <c r="D257" s="172"/>
      <c r="E257" s="498" t="str">
        <f>IF(C257="","",VLOOKUP(C257,'G-7 Rivers Data'!$B$2:$Z$9,2,FALSE))</f>
        <v/>
      </c>
      <c r="F257" s="499" t="str">
        <f>IFERROR(VLOOKUP(E257,'G-7 Rivers Data'!$C$4:$D$8,2,FALSE),"")</f>
        <v/>
      </c>
      <c r="G257" s="145"/>
      <c r="H257" s="499" t="str">
        <f>IFERROR(INDEX('G-7 Rivers Data'!$H$4:$L$8,MATCH(C257,'G-7 Rivers Data'!$B$4:$B$8,0),MATCH(G257,'G-7 Rivers Data'!$H$3:$L$3,0)),"")</f>
        <v/>
      </c>
      <c r="I257" s="145"/>
      <c r="J257" s="540" t="str">
        <f>IF(I257="","",IF(VLOOKUP(I257,'G-7 Rivers Data'!$AG$4:$AI$9,2,FALSE)=0,"Spatial Data Missing ⚠",VLOOKUP(I257,'G-7 Rivers Data'!$AG$4:$AI$9,2,FALSE)))</f>
        <v/>
      </c>
      <c r="K257" s="499" t="str">
        <f>IF(I257="","",IF(VLOOKUP(I257,'G-7 Rivers Data'!$AG$4:$AI$9,3,FALSE)=0,"Spatial Data Missing ⚠",VLOOKUP(I257,'G-7 Rivers Data'!$AG$4:$AI$9,3,FALSE)))</f>
        <v/>
      </c>
      <c r="L257" s="635" t="str">
        <f>IFERROR(INDEX('G-7 Rivers Data'!$O$3:$O$7,MATCH(G257,'G-7 Rivers Data'!$N$3:$N$7,0)),"")</f>
        <v/>
      </c>
      <c r="M257" s="7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154"/>
      <c r="AA257" s="524" t="str">
        <f>IF(Z257="","",VLOOKUP(Z257,'G-7 Rivers Data'!$AO$4:$AP$7,2,FALSE))</f>
        <v/>
      </c>
      <c r="AB257" s="545" t="str">
        <f t="shared" si="24"/>
        <v/>
      </c>
      <c r="AC257" s="149"/>
      <c r="AD257" s="150"/>
      <c r="AK257" s="31" t="str">
        <f>IFERROR(INDEX('G-7 Rivers Data'!$AZ$3:$AZ$7,MATCH(C257,'G-7 Rivers Data'!$AY$3:$AY$7,0)),"")</f>
        <v/>
      </c>
    </row>
    <row r="258" spans="2:37" ht="13.8" x14ac:dyDescent="0.25">
      <c r="B258" s="141">
        <v>247</v>
      </c>
      <c r="C258" s="666"/>
      <c r="D258" s="172"/>
      <c r="E258" s="498" t="str">
        <f>IF(C258="","",VLOOKUP(C258,'G-7 Rivers Data'!$B$2:$Z$9,2,FALSE))</f>
        <v/>
      </c>
      <c r="F258" s="499" t="str">
        <f>IFERROR(VLOOKUP(E258,'G-7 Rivers Data'!$C$4:$D$8,2,FALSE),"")</f>
        <v/>
      </c>
      <c r="G258" s="145"/>
      <c r="H258" s="499" t="str">
        <f>IFERROR(INDEX('G-7 Rivers Data'!$H$4:$L$8,MATCH(C258,'G-7 Rivers Data'!$B$4:$B$8,0),MATCH(G258,'G-7 Rivers Data'!$H$3:$L$3,0)),"")</f>
        <v/>
      </c>
      <c r="I258" s="145"/>
      <c r="J258" s="540" t="str">
        <f>IF(I258="","",IF(VLOOKUP(I258,'G-7 Rivers Data'!$AG$4:$AI$9,2,FALSE)=0,"Spatial Data Missing ⚠",VLOOKUP(I258,'G-7 Rivers Data'!$AG$4:$AI$9,2,FALSE)))</f>
        <v/>
      </c>
      <c r="K258" s="499" t="str">
        <f>IF(I258="","",IF(VLOOKUP(I258,'G-7 Rivers Data'!$AG$4:$AI$9,3,FALSE)=0,"Spatial Data Missing ⚠",VLOOKUP(I258,'G-7 Rivers Data'!$AG$4:$AI$9,3,FALSE)))</f>
        <v/>
      </c>
      <c r="L258" s="635" t="str">
        <f>IFERROR(INDEX('G-7 Rivers Data'!$O$3:$O$7,MATCH(G258,'G-7 Rivers Data'!$N$3:$N$7,0)),"")</f>
        <v/>
      </c>
      <c r="M258" s="72"/>
      <c r="N258" s="195"/>
      <c r="O258" s="507" t="str">
        <f t="shared" si="19"/>
        <v/>
      </c>
      <c r="P258" s="521" t="str">
        <f>IF(LEFT(O258,5)="Error ▲","Check Data ⚠",IF(L258="","",IF(M258="30+",0,IF(N258="30+","30+ ⚠",IF(L258+N258&gt;30,"30+ ⚠",IF(L258+N258-M258&gt;0,L258+N258-M258,IF(L258-M258&lt;0,0,L258+N258-M258)))))))</f>
        <v/>
      </c>
      <c r="Q258" s="564" t="str">
        <f>IFERROR(IF(P258="Check Data ⚠","Check Data ⚠",VLOOKUP(P258,'G-4 Temporal multipliers'!$A$4:$C$37,3,FALSE)),"")</f>
        <v/>
      </c>
      <c r="R258" s="498" t="str">
        <f>IF(C258="","",VLOOKUP(C258,'G-7 Rivers Data'!$B$4:$G$8,4,FALSE))</f>
        <v/>
      </c>
      <c r="S258" s="507" t="str">
        <f t="shared" si="21"/>
        <v/>
      </c>
      <c r="T258" s="540" t="str">
        <f>(IF(AND(S258="Standard difficulty applied",L258&gt;M258),R258,IF(AND(S258="No - Low Difficulty - only applicable if all habitat created before losses ⚠",M258&gt;=L258),"Low",R258)))</f>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154"/>
      <c r="AA258" s="524" t="str">
        <f>IF(Z258="","",VLOOKUP(Z258,'G-7 Rivers Data'!$AO$4:$AP$7,2,FALSE))</f>
        <v/>
      </c>
      <c r="AB258" s="545" t="str">
        <f t="shared" si="24"/>
        <v/>
      </c>
      <c r="AC258" s="149"/>
      <c r="AD258" s="150"/>
      <c r="AK258" s="31" t="str">
        <f>IFERROR(INDEX('G-7 Rivers Data'!$AZ$3:$AZ$7,MATCH(C258,'G-7 Rivers Data'!$AY$3:$AY$7,0)),"")</f>
        <v/>
      </c>
    </row>
    <row r="259" spans="2:37" ht="14.4" thickBot="1" x14ac:dyDescent="0.3">
      <c r="B259" s="158">
        <v>248</v>
      </c>
      <c r="C259" s="667"/>
      <c r="D259" s="160"/>
      <c r="E259" s="500" t="str">
        <f>IF(C259="","",VLOOKUP(C259,'G-7 Rivers Data'!$B$2:$Z$9,2,FALSE))</f>
        <v/>
      </c>
      <c r="F259" s="501" t="str">
        <f>IFERROR(VLOOKUP(E259,'G-7 Rivers Data'!$C$4:$D$8,2,FALSE),"")</f>
        <v/>
      </c>
      <c r="G259" s="161"/>
      <c r="H259" s="501" t="str">
        <f>IFERROR(INDEX('G-7 Rivers Data'!$H$4:$L$8,MATCH(C259,'G-7 Rivers Data'!$B$4:$B$8,0),MATCH(G259,'G-7 Rivers Data'!$H$3:$L$3,0)),"")</f>
        <v/>
      </c>
      <c r="I259" s="161"/>
      <c r="J259" s="540" t="str">
        <f>IF(I259="","",IF(VLOOKUP(I259,'G-7 Rivers Data'!$AG$4:$AI$9,2,FALSE)=0,"Spatial Data Missing ⚠",VLOOKUP(I259,'G-7 Rivers Data'!$AG$4:$AI$9,2,FALSE)))</f>
        <v/>
      </c>
      <c r="K259" s="499" t="str">
        <f>IF(I259="","",IF(VLOOKUP(I259,'G-7 Rivers Data'!$AG$4:$AI$9,3,FALSE)=0,"Spatial Data Missing ⚠",VLOOKUP(I259,'G-7 Rivers Data'!$AG$4:$AI$9,3,FALSE)))</f>
        <v/>
      </c>
      <c r="L259" s="636" t="str">
        <f>IFERROR(INDEX('G-7 Rivers Data'!$O$3:$O$7,MATCH(G259,'G-7 Rivers Data'!$N$3:$N$7,0)),"")</f>
        <v/>
      </c>
      <c r="M259" s="7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161"/>
      <c r="AA259" s="501" t="str">
        <f>IF(Z259="","",VLOOKUP(Z259,'G-7 Rivers Data'!$AO$4:$AP$7,2,FALSE))</f>
        <v/>
      </c>
      <c r="AB259" s="546" t="str">
        <f t="shared" si="24"/>
        <v/>
      </c>
      <c r="AC259" s="163"/>
      <c r="AD259" s="164"/>
      <c r="AK259" s="31" t="str">
        <f>IFERROR(INDEX('G-7 Rivers Data'!$AZ$3:$AZ$7,MATCH(C259,'G-7 Rivers Data'!$AY$3:$AY$7,0)),"")</f>
        <v/>
      </c>
    </row>
    <row r="260" spans="2:37" ht="14.4" thickBot="1" x14ac:dyDescent="0.3">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4"/>
      <c r="AA260" s="1026"/>
      <c r="AB260" s="503">
        <f>SUM(AB12:AB259)</f>
        <v>0</v>
      </c>
      <c r="AC260" s="46"/>
      <c r="AD260" s="46"/>
    </row>
    <row r="261" spans="2:37" ht="28.95" customHeight="1" x14ac:dyDescent="0.25"/>
    <row r="262" spans="2:37" ht="27" customHeight="1" x14ac:dyDescent="0.25"/>
    <row r="263" spans="2:37" ht="13.8" x14ac:dyDescent="0.25"/>
    <row r="264" spans="2:37" ht="13.8" x14ac:dyDescent="0.25"/>
    <row r="265" spans="2:37" ht="13.8" x14ac:dyDescent="0.25"/>
    <row r="266" spans="2:37" ht="13.8" x14ac:dyDescent="0.25"/>
    <row r="267" spans="2:37" ht="13.8" x14ac:dyDescent="0.25"/>
    <row r="268" spans="2:37" ht="13.8" x14ac:dyDescent="0.25"/>
    <row r="269" spans="2:37" ht="13.8" hidden="1" x14ac:dyDescent="0.25"/>
    <row r="270" spans="2:37" ht="13.8" hidden="1" x14ac:dyDescent="0.25"/>
    <row r="271" spans="2:37" ht="13.8" hidden="1" x14ac:dyDescent="0.25"/>
    <row r="272" spans="2:37" ht="13.8" hidden="1" x14ac:dyDescent="0.25"/>
    <row r="273" ht="13.8" hidden="1" x14ac:dyDescent="0.25"/>
    <row r="274" ht="13.8" hidden="1" x14ac:dyDescent="0.25"/>
    <row r="275" ht="13.8" hidden="1" x14ac:dyDescent="0.25"/>
    <row r="1048576" ht="13.8"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51.109375" style="31" customWidth="1"/>
    <col min="4" max="4" width="10.44140625" style="31" customWidth="1"/>
    <col min="5" max="5" width="17.44140625" style="31" customWidth="1"/>
    <col min="6" max="6" width="17.5546875" style="31" customWidth="1"/>
    <col min="7" max="7" width="18.109375" style="31" customWidth="1"/>
    <col min="8" max="8" width="19.33203125" style="31" customWidth="1"/>
    <col min="9" max="9" width="34.5546875" style="31" customWidth="1"/>
    <col min="10" max="13" width="19.33203125" style="31" customWidth="1"/>
    <col min="14" max="14" width="56.88671875" style="31" customWidth="1"/>
    <col min="15" max="16" width="34.33203125" style="31" customWidth="1"/>
    <col min="17" max="17" width="9.6640625" style="31" customWidth="1"/>
    <col min="18" max="18" width="18.332031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0.44140625" style="31" customWidth="1"/>
    <col min="27" max="27" width="23.109375" style="31" customWidth="1"/>
    <col min="28" max="28" width="26.88671875" style="31" customWidth="1"/>
    <col min="29" max="29" width="18.44140625" style="31" customWidth="1"/>
    <col min="30" max="30" width="15.33203125" style="31" customWidth="1"/>
    <col min="31" max="31" width="17.6640625" style="31" customWidth="1"/>
    <col min="32" max="32" width="27.109375" style="31" customWidth="1"/>
    <col min="33" max="33" width="17.44140625" style="31" customWidth="1"/>
    <col min="34" max="34" width="12.6640625" style="31" customWidth="1"/>
    <col min="35" max="35" width="16.6640625" style="31" customWidth="1"/>
    <col min="36" max="36" width="12.6640625" style="31" customWidth="1"/>
    <col min="37" max="37" width="19.5546875" style="31" customWidth="1"/>
    <col min="38" max="38" width="12.6640625" style="31" customWidth="1"/>
    <col min="39" max="39" width="24.6640625" style="31" customWidth="1"/>
    <col min="40" max="41" width="12.6640625" style="31" customWidth="1"/>
    <col min="42" max="42" width="42.109375" style="31" customWidth="1"/>
    <col min="43" max="43" width="42.44140625" style="31" customWidth="1"/>
    <col min="44" max="49" width="8.88671875" style="31" customWidth="1"/>
    <col min="50" max="50" width="8.88671875" style="31" hidden="1" customWidth="1"/>
    <col min="51" max="58" width="0" style="31" hidden="1" customWidth="1"/>
    <col min="59" max="16384" width="8.88671875" style="31" hidden="1"/>
  </cols>
  <sheetData>
    <row r="1" spans="2:50" ht="20.399999999999999" customHeight="1" thickBot="1" x14ac:dyDescent="0.3"/>
    <row r="2" spans="2:50" ht="27" customHeight="1" thickBot="1" x14ac:dyDescent="0.3">
      <c r="B2" s="786" t="str">
        <f>IF([2]Start!$F$12="","",[2]Start!$F$12)</f>
        <v/>
      </c>
      <c r="C2" s="788"/>
      <c r="R2" s="132"/>
      <c r="Y2" s="909" t="str">
        <f>IF(OR(COUNTIF($Y$12:Y259,"*30+*")&gt;0,COUNTIF($AC$12:AC259,"*30+*")&gt;0),"Note; Habitat selected has a time to target condition greater than 30 years. Non standard agreement may be required. ⚠","")</f>
        <v/>
      </c>
      <c r="Z2" s="909"/>
      <c r="AA2" s="909"/>
      <c r="AB2" s="909"/>
      <c r="AC2" s="909"/>
      <c r="AD2" s="909"/>
    </row>
    <row r="3" spans="2:50" ht="21" customHeight="1" x14ac:dyDescent="0.25">
      <c r="B3" s="1028" t="str">
        <f ca="1">MID(CELL("filename",A1),FIND("]",CELL("filename",A1))+1,256)</f>
        <v>F-3 Off Site River Enhancement</v>
      </c>
      <c r="C3" s="1029"/>
      <c r="Y3" s="909"/>
      <c r="Z3" s="909"/>
      <c r="AA3" s="909"/>
      <c r="AB3" s="909"/>
      <c r="AC3" s="909"/>
      <c r="AD3" s="909"/>
    </row>
    <row r="4" spans="2:50" ht="21" customHeight="1" thickBot="1" x14ac:dyDescent="0.3">
      <c r="B4" s="1030"/>
      <c r="C4" s="1031"/>
      <c r="Y4" s="909"/>
      <c r="Z4" s="909"/>
      <c r="AA4" s="909"/>
      <c r="AB4" s="909"/>
      <c r="AC4" s="909"/>
      <c r="AD4" s="909"/>
    </row>
    <row r="5" spans="2:50" ht="15.6" customHeight="1" x14ac:dyDescent="0.3">
      <c r="Q5" s="31" t="s">
        <v>340</v>
      </c>
      <c r="AH5" s="193"/>
      <c r="AI5" s="193"/>
      <c r="AJ5" s="193"/>
      <c r="AK5" s="193"/>
      <c r="AL5" s="193"/>
      <c r="AM5" s="193"/>
      <c r="AN5" s="193"/>
    </row>
    <row r="6" spans="2:50" ht="15" customHeight="1" x14ac:dyDescent="0.25"/>
    <row r="7" spans="2:50" ht="13.8" x14ac:dyDescent="0.25">
      <c r="C7" s="131"/>
    </row>
    <row r="8" spans="2:50" ht="14.4" thickBot="1" x14ac:dyDescent="0.3"/>
    <row r="9" spans="2:50" ht="14.4" thickBot="1" x14ac:dyDescent="0.3">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50"/>
    </row>
    <row r="10" spans="2:50" s="42" customFormat="1" ht="27" customHeight="1" thickBot="1" x14ac:dyDescent="0.3">
      <c r="C10" s="1003" t="s">
        <v>247</v>
      </c>
      <c r="D10" s="1004"/>
      <c r="E10" s="1004"/>
      <c r="F10" s="1004"/>
      <c r="G10" s="1004"/>
      <c r="H10" s="1004"/>
      <c r="I10" s="1004"/>
      <c r="J10" s="1004"/>
      <c r="K10" s="1004"/>
      <c r="L10" s="1004"/>
      <c r="M10" s="1004"/>
      <c r="N10" s="1034" t="s">
        <v>341</v>
      </c>
      <c r="O10" s="1032" t="s">
        <v>249</v>
      </c>
      <c r="P10" s="1033"/>
      <c r="Q10" s="949" t="s">
        <v>294</v>
      </c>
      <c r="R10" s="949" t="s">
        <v>272</v>
      </c>
      <c r="S10" s="949"/>
      <c r="T10" s="949" t="s">
        <v>273</v>
      </c>
      <c r="U10" s="949"/>
      <c r="V10" s="970" t="s">
        <v>191</v>
      </c>
      <c r="W10" s="971"/>
      <c r="X10" s="972"/>
      <c r="Y10" s="970" t="s">
        <v>228</v>
      </c>
      <c r="Z10" s="971"/>
      <c r="AA10" s="971"/>
      <c r="AB10" s="971"/>
      <c r="AC10" s="971"/>
      <c r="AD10" s="972"/>
      <c r="AE10" s="970" t="s">
        <v>229</v>
      </c>
      <c r="AF10" s="971"/>
      <c r="AG10" s="971"/>
      <c r="AH10" s="972"/>
      <c r="AI10" s="949" t="s">
        <v>319</v>
      </c>
      <c r="AJ10" s="949"/>
      <c r="AK10" s="970" t="s">
        <v>320</v>
      </c>
      <c r="AL10" s="972"/>
      <c r="AM10" s="949" t="s">
        <v>283</v>
      </c>
      <c r="AN10" s="970"/>
      <c r="AO10" s="964" t="s">
        <v>329</v>
      </c>
      <c r="AP10" s="872" t="s">
        <v>196</v>
      </c>
      <c r="AQ10" s="870"/>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5"/>
      <c r="O11" s="368" t="s">
        <v>310</v>
      </c>
      <c r="P11" s="359" t="s">
        <v>311</v>
      </c>
      <c r="Q11" s="1036"/>
      <c r="R11" s="368" t="s">
        <v>189</v>
      </c>
      <c r="S11" s="202" t="s">
        <v>206</v>
      </c>
      <c r="T11" s="368" t="s">
        <v>190</v>
      </c>
      <c r="U11" s="202" t="s">
        <v>206</v>
      </c>
      <c r="V11" s="368" t="s">
        <v>191</v>
      </c>
      <c r="W11" s="201" t="s">
        <v>191</v>
      </c>
      <c r="X11" s="202" t="s">
        <v>231</v>
      </c>
      <c r="Y11" s="368" t="s">
        <v>304</v>
      </c>
      <c r="Z11" s="201" t="s">
        <v>268</v>
      </c>
      <c r="AA11" s="201" t="s">
        <v>269</v>
      </c>
      <c r="AB11" s="201" t="s">
        <v>235</v>
      </c>
      <c r="AC11" s="201" t="s">
        <v>236</v>
      </c>
      <c r="AD11" s="202" t="s">
        <v>312</v>
      </c>
      <c r="AE11" s="368" t="s">
        <v>313</v>
      </c>
      <c r="AF11" s="201" t="s">
        <v>305</v>
      </c>
      <c r="AG11" s="201" t="s">
        <v>271</v>
      </c>
      <c r="AH11" s="202" t="s">
        <v>241</v>
      </c>
      <c r="AI11" s="368" t="s">
        <v>322</v>
      </c>
      <c r="AJ11" s="202" t="s">
        <v>323</v>
      </c>
      <c r="AK11" s="368" t="s">
        <v>322</v>
      </c>
      <c r="AL11" s="202" t="s">
        <v>323</v>
      </c>
      <c r="AM11" s="368" t="s">
        <v>339</v>
      </c>
      <c r="AN11" s="451" t="s">
        <v>323</v>
      </c>
      <c r="AO11" s="1027"/>
      <c r="AP11" s="141" t="s">
        <v>215</v>
      </c>
      <c r="AQ11" s="359" t="s">
        <v>216</v>
      </c>
      <c r="AX11" s="261" t="s">
        <v>200</v>
      </c>
    </row>
    <row r="12" spans="2:50" ht="13.8" x14ac:dyDescent="0.25">
      <c r="B12" s="531" t="str">
        <f>'F-1 Off Site River Baseline'!AN10</f>
        <v/>
      </c>
      <c r="C12" s="520" t="str">
        <f>IF(B12="","",VLOOKUP($B12,'F-1 Off Site River Baseline'!$C$9:$R$257,2,FALSE))</f>
        <v/>
      </c>
      <c r="D12" s="520" t="str">
        <f>IF(C12="","",VLOOKUP($B12,'F-1 Off Site River Baseline'!$C$9:$R$257,3,FALSE))</f>
        <v/>
      </c>
      <c r="E12" s="520" t="str">
        <f>IF(D12="","",VLOOKUP($B12,'F-1 Off Site River Baseline'!$C$9:$R$257,4,FALSE))</f>
        <v/>
      </c>
      <c r="F12" s="520" t="str">
        <f>IF(E12="","",VLOOKUP($B12,'F-1 Off Site River Baseline'!$C$9:$R$257,5,FALSE))</f>
        <v/>
      </c>
      <c r="G12" s="520" t="str">
        <f>IF(F12="","",VLOOKUP($B12,'F-1 Off Site River Baseline'!$C$9:$R$257,6,FALSE))</f>
        <v/>
      </c>
      <c r="H12" s="520" t="str">
        <f>IF(G12="","",VLOOKUP($B12,'F-1 Off Site River Baseline'!$C$9:$R$257,7,FALSE))</f>
        <v/>
      </c>
      <c r="I12" s="520" t="str">
        <f>IF(H12="","",VLOOKUP($B12,'F-1 Off Site River Baseline'!$C$9:$R$257,8,FALSE))</f>
        <v/>
      </c>
      <c r="J12" s="520" t="str">
        <f>IF(I12="","",VLOOKUP($B12,'F-1 Off Site River Baseline'!$C$9:$R$257,9,FALSE))</f>
        <v/>
      </c>
      <c r="K12" s="520" t="str">
        <f>IF(J12="","",VLOOKUP($B12,'F-1 Off Site River Baseline'!$C$9:$R$257,10,FALSE))</f>
        <v/>
      </c>
      <c r="L12" s="520" t="str">
        <f>IF(B12="","",VLOOKUP($B12,'C-1 Site River Baseline'!$C$9:$R$257,15,FALSE))</f>
        <v/>
      </c>
      <c r="M12" s="524" t="str">
        <f>IF(L12="","",VLOOKUP($B12,'F-1 Off Site River Baseline'!$C$9:$R$257,16,FALSE))</f>
        <v/>
      </c>
      <c r="N12" s="418" t="str">
        <f t="shared" ref="N12:N76" si="0">C12</f>
        <v/>
      </c>
      <c r="O12" s="498" t="str">
        <f>IF(B12="","",IF(S12&lt;F12,"Error Trading Down ▲",E12&amp;" - "&amp;R12))</f>
        <v/>
      </c>
      <c r="P12" s="499"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5" t="str">
        <f>IF(N12="","",VLOOKUP(B12,'F-1 Off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54"/>
      <c r="W12" s="520" t="str">
        <f>IF(V12="","",IF(VLOOKUP(V12,'G-7 Rivers Data'!$AG$4:$AI$9,2,FALSE)=0,"Spatial Data Missing ⚠",VLOOKUP(V12,'G-7 Rivers Data'!$AG$4:$AI$9,2,FALSE)))</f>
        <v/>
      </c>
      <c r="X12" s="524" t="str">
        <f>IF(V12="","",IF(VLOOKUP(V12,'G-7 Rivers Data'!$AG$4:$AI$9,3,FALSE)=0,"Spatial Data Missing ⚠",VLOOKUP(V12,'G-7 Rivers Data'!$AG$4:$AI$9,3,FALSE)))</f>
        <v/>
      </c>
      <c r="Y12" s="537" t="str">
        <f>IFERROR(IF(OR(LEFT(P12,5)="Error ▲",LEFT(O12,5)="Error ▲"),"Check Data ⚠",IF(F12&lt;S12,'G-7 Rivers Data'!$R$3,INDEX('G-7 Rivers Data'!$U$5:$Y$9,MATCH(G12,'G-7 Rivers Data'!$T$5:$T$9,0),MATCH(T12,'G-7 Rivers Data'!$U$4:$Y$4,0)))),"")</f>
        <v/>
      </c>
      <c r="Z12" s="203"/>
      <c r="AA12" s="203"/>
      <c r="AB12" s="534"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 t="shared" ref="AC12:AC75" si="2">IF(LEFT(AB12,5)="Error ▲","Check Data ⚠",IF(AB12="Check Data ⚠","Check Data ⚠",IF(Y12="","",IF(Z12="30+",0,IF(AA12="30+","30+ ⚠",IF(Y12+AA12&gt;30,"30+ ⚠",IF(Y12+AA12-Z12&gt;0,Y12+AA12-Z12,IF(Y12-Z12&lt;0,0,Y12+AA12-Z12))))))))</f>
        <v/>
      </c>
      <c r="AD12" s="564" t="str">
        <f>IFERROR(IF(AC12="Check Data ⚠","Check Data ⚠",VLOOKUP(AC12,'G-4 Temporal multipliers'!$A$4:$C$37,3,FALSE)),"")</f>
        <v/>
      </c>
      <c r="AE12" s="537" t="str">
        <f>IF(N12="","",VLOOKUP(N12,'G-7 Rivers Data'!$B$4:$G$8,4,FALSE))</f>
        <v/>
      </c>
      <c r="AF12" s="520" t="str">
        <f t="shared" ref="AF12:AF75" si="3">IF(N12="","",IF(AC12="Check Data ⚠","Check Data ⚠",IF(T12="","",IF($AB12="Check details - Is there evidence that habitat has reached target condition? ⚠","Low Difficulty - only applicable if all habitat created before losses ⚠","Standard difficulty applied"))))</f>
        <v/>
      </c>
      <c r="AG12" s="520" t="str">
        <f>(IF(AND(AF12="Standard difficulty applied",Y12&gt;Z12),AE12,IF(AND(AF12="Low Difficulty - only applicable if all habitat created before losses ⚠",Z12&gt;=Y12),"Low",AE12)))</f>
        <v/>
      </c>
      <c r="AH12" s="524" t="str">
        <f t="shared" ref="AH12:AH75" si="4">IF(N12="","",VLOOKUP(AE12,Difficulty,2,FALSE))</f>
        <v/>
      </c>
      <c r="AI12" s="154"/>
      <c r="AJ12" s="499" t="str">
        <f>IF(AI12="","",IF(VLOOKUP(AI12,'G-7 Rivers Data'!$AA$4:$AB$7,2,FALSE)=0,"Spatial Data Missing ⚠",VLOOKUP(AI12,'G-7 Rivers Data'!$AA$4:$AB$7,2,FALSE)))</f>
        <v/>
      </c>
      <c r="AK12" s="155"/>
      <c r="AL12" s="536" t="str">
        <f>IF(AK12="","",IF(VLOOKUP(AK12,'G-7 Rivers Data'!$AD$4:$AE$8,2,FALSE)=0,"Spatial Data Missing ⚠",VLOOKUP(AK12,'G-7 Rivers Data'!$AD$4:$AE$8,2,FALSE)))</f>
        <v/>
      </c>
      <c r="AM12" s="154"/>
      <c r="AN12" s="524" t="str">
        <f>IF(AM12="","",VLOOKUP(AM12,'G-7 Rivers Data'!$AO$4:$AP$7,2,FALSE))</f>
        <v/>
      </c>
      <c r="AO12" s="545" t="str">
        <f>IFERROR(IF(C12="","",IF(Q12&gt;D12,((((Q12*S12*U12)-(D12*F12*H12))*(AH12*AD12))+(D12*F12*H12))*(AL12*X12*AJ12*AN12),((((Q12*S12*U12)-(Q12*F12*H12))*(AH12*AD12))+(Q12*F12*H12))*(AL12*X12*AJ12*AN12))),"")</f>
        <v/>
      </c>
      <c r="AP12" s="149"/>
      <c r="AQ12" s="150"/>
      <c r="AX12" s="31" t="str">
        <f>IFERROR(INDEX('G-7 Rivers Data'!$AZ$3:$AZ$7,MATCH(N12,'G-7 Rivers Data'!$AY$3:$AY$7,0)),"")</f>
        <v/>
      </c>
    </row>
    <row r="13" spans="2:50" ht="13.8" x14ac:dyDescent="0.25">
      <c r="B13" s="531" t="str">
        <f>'F-1 Off Site River Baseline'!AN11</f>
        <v/>
      </c>
      <c r="C13" s="520" t="str">
        <f>IF(B13="","",VLOOKUP($B13,'F-1 Off Site River Baseline'!$C$9:$R$257,2,FALSE))</f>
        <v/>
      </c>
      <c r="D13" s="520" t="str">
        <f>IF(C13="","",VLOOKUP($B13,'F-1 Off Site River Baseline'!$C$9:$R$257,3,FALSE))</f>
        <v/>
      </c>
      <c r="E13" s="520" t="str">
        <f>IF(D13="","",VLOOKUP($B13,'F-1 Off Site River Baseline'!$C$9:$R$257,4,FALSE))</f>
        <v/>
      </c>
      <c r="F13" s="520" t="str">
        <f>IF(E13="","",VLOOKUP($B13,'F-1 Off Site River Baseline'!$C$9:$R$257,5,FALSE))</f>
        <v/>
      </c>
      <c r="G13" s="520" t="str">
        <f>IF(F13="","",VLOOKUP($B13,'F-1 Off Site River Baseline'!$C$9:$R$257,6,FALSE))</f>
        <v/>
      </c>
      <c r="H13" s="520" t="str">
        <f>IF(G13="","",VLOOKUP($B13,'F-1 Off Site River Baseline'!$C$9:$R$257,7,FALSE))</f>
        <v/>
      </c>
      <c r="I13" s="520" t="str">
        <f>IF(H13="","",VLOOKUP($B13,'F-1 Off Site River Baseline'!$C$9:$R$257,8,FALSE))</f>
        <v/>
      </c>
      <c r="J13" s="520" t="str">
        <f>IF(I13="","",VLOOKUP($B13,'F-1 Off Site River Baseline'!$C$9:$R$257,9,FALSE))</f>
        <v/>
      </c>
      <c r="K13" s="520" t="str">
        <f>IF(J13="","",VLOOKUP($B13,'F-1 Off Site River Baseline'!$C$9:$R$257,10,FALSE))</f>
        <v/>
      </c>
      <c r="L13" s="520" t="str">
        <f>IF(B13="","",VLOOKUP($B13,'C-1 Site River Baseline'!$C$9:$R$257,15,FALSE))</f>
        <v/>
      </c>
      <c r="M13" s="524" t="str">
        <f>IF(L13="","",VLOOKUP($B13,'F-1 Off Site River Baseline'!$C$9:$R$257,16,FALSE))</f>
        <v/>
      </c>
      <c r="N13" s="418" t="str">
        <f t="shared" si="0"/>
        <v/>
      </c>
      <c r="O13" s="498" t="str">
        <f t="shared" ref="O13:O76" si="5">IF(B13="","",IF(S13&lt;F13,"Error Trading Down ▲",E13&amp;" - "&amp;R13))</f>
        <v/>
      </c>
      <c r="P13" s="499"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5" t="str">
        <f>IF(N13="","",VLOOKUP(B13,'F-1 Off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20" t="str">
        <f>IF(V13="","",IF(VLOOKUP(V13,'G-7 Rivers Data'!$AG$4:$AI$9,2,FALSE)=0,"Spatial Data Missing ⚠",VLOOKUP(V13,'G-7 Rivers Data'!$AG$4:$AI$9,2,FALSE)))</f>
        <v/>
      </c>
      <c r="X13" s="524" t="str">
        <f>IF(V13="","",IF(VLOOKUP(V13,'G-7 Rivers Data'!$AG$4:$AI$9,3,FALSE)=0,"Spatial Data Missing ⚠",VLOOKUP(V13,'G-7 Rivers Data'!$AG$4:$AI$9,3,FALSE)))</f>
        <v/>
      </c>
      <c r="Y13" s="537" t="str">
        <f>IFERROR(IF(OR(LEFT(P13,5)="Error ▲",LEFT(O13,5)="Error ▲"),"Check Data ⚠",IF(F13&lt;S13,'G-7 Rivers Data'!$R$3,INDEX('G-7 Rivers Data'!$U$5:$Y$9,MATCH(G13,'G-7 Rivers Data'!$T$5:$T$9,0),MATCH(T13,'G-7 Rivers Data'!$U$4:$Y$4,0)))),"")</f>
        <v/>
      </c>
      <c r="Z13" s="203"/>
      <c r="AA13" s="203"/>
      <c r="AB13" s="534" t="str">
        <f t="shared" si="1"/>
        <v/>
      </c>
      <c r="AC13" s="521" t="str">
        <f t="shared" si="2"/>
        <v/>
      </c>
      <c r="AD13" s="564" t="str">
        <f>IFERROR(IF(AC13="Check Data ⚠","Check Data ⚠",VLOOKUP(AC13,'G-4 Temporal multipliers'!$A$4:$C$37,3,FALSE)),"")</f>
        <v/>
      </c>
      <c r="AE13" s="537" t="str">
        <f>IF(N13="","",VLOOKUP(N13,'G-7 Rivers Data'!$B$4:$G$8,5,FALSE))</f>
        <v/>
      </c>
      <c r="AF13" s="520" t="str">
        <f t="shared" si="3"/>
        <v/>
      </c>
      <c r="AG13" s="520" t="str">
        <f t="shared" ref="AG13:AG76" si="6">(IF(AND(AF13="Standard difficulty applied",Y13&gt;Z13),AE13,IF(AND(AF13="Low Difficulty - only applicable if all habitat created before losses ⚠",Z13&gt;=Y13),"Low",AE13)))</f>
        <v/>
      </c>
      <c r="AH13" s="524" t="str">
        <f t="shared" si="4"/>
        <v/>
      </c>
      <c r="AI13" s="145"/>
      <c r="AJ13" s="499" t="str">
        <f>IF(AI13="","",IF(VLOOKUP(AI13,'G-7 Rivers Data'!$AA$4:$AB$7,2,FALSE)=0,"Spatial Data Missing ⚠",VLOOKUP(AI13,'G-7 Rivers Data'!$AA$4:$AB$7,2,FALSE)))</f>
        <v/>
      </c>
      <c r="AK13" s="155"/>
      <c r="AL13" s="536" t="str">
        <f>IF(AK13="","",IF(VLOOKUP(AK13,'G-7 Rivers Data'!$AD$4:$AE$8,2,FALSE)=0,"Spatial Data Missing ⚠",VLOOKUP(AK13,'G-7 Rivers Data'!$AD$4:$AE$8,2,FALSE)))</f>
        <v/>
      </c>
      <c r="AM13" s="154"/>
      <c r="AN13" s="524" t="str">
        <f>IF(AM13="","",VLOOKUP(AM13,'G-7 Rivers Data'!$AO$4:$AP$7,2,FALSE))</f>
        <v/>
      </c>
      <c r="AO13" s="545"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8" x14ac:dyDescent="0.25">
      <c r="B14" s="531" t="str">
        <f>'F-1 Off Site River Baseline'!AN12</f>
        <v/>
      </c>
      <c r="C14" s="520" t="str">
        <f>IF(B14="","",VLOOKUP($B14,'F-1 Off Site River Baseline'!$C$9:$R$257,2,FALSE))</f>
        <v/>
      </c>
      <c r="D14" s="520" t="str">
        <f>IF(C14="","",VLOOKUP($B14,'F-1 Off Site River Baseline'!$C$9:$R$257,3,FALSE))</f>
        <v/>
      </c>
      <c r="E14" s="520" t="str">
        <f>IF(D14="","",VLOOKUP($B14,'F-1 Off Site River Baseline'!$C$9:$R$257,4,FALSE))</f>
        <v/>
      </c>
      <c r="F14" s="520" t="str">
        <f>IF(E14="","",VLOOKUP($B14,'F-1 Off Site River Baseline'!$C$9:$R$257,5,FALSE))</f>
        <v/>
      </c>
      <c r="G14" s="520" t="str">
        <f>IF(F14="","",VLOOKUP($B14,'F-1 Off Site River Baseline'!$C$9:$R$257,6,FALSE))</f>
        <v/>
      </c>
      <c r="H14" s="520" t="str">
        <f>IF(G14="","",VLOOKUP($B14,'F-1 Off Site River Baseline'!$C$9:$R$257,7,FALSE))</f>
        <v/>
      </c>
      <c r="I14" s="520" t="str">
        <f>IF(H14="","",VLOOKUP($B14,'F-1 Off Site River Baseline'!$C$9:$R$257,8,FALSE))</f>
        <v/>
      </c>
      <c r="J14" s="520" t="str">
        <f>IF(I14="","",VLOOKUP($B14,'F-1 Off Site River Baseline'!$C$9:$R$257,9,FALSE))</f>
        <v/>
      </c>
      <c r="K14" s="520" t="str">
        <f>IF(J14="","",VLOOKUP($B14,'F-1 Off Site River Baseline'!$C$9:$R$257,10,FALSE))</f>
        <v/>
      </c>
      <c r="L14" s="520" t="str">
        <f>IF(B14="","",VLOOKUP($B14,'C-1 Site River Baseline'!$C$9:$R$257,15,FALSE))</f>
        <v/>
      </c>
      <c r="M14" s="524" t="str">
        <f>IF(L14="","",VLOOKUP($B14,'F-1 Off Site River Baseline'!$C$9:$R$257,16,FALSE))</f>
        <v/>
      </c>
      <c r="N14" s="418" t="str">
        <f t="shared" si="0"/>
        <v/>
      </c>
      <c r="O14" s="498" t="str">
        <f t="shared" si="5"/>
        <v/>
      </c>
      <c r="P14" s="499"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5" t="str">
        <f>IF(N14="","",VLOOKUP(B14,'F-1 Off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20" t="str">
        <f>IF(V14="","",IF(VLOOKUP(V14,'G-7 Rivers Data'!$AG$4:$AI$9,2,FALSE)=0,"Spatial Data Missing ⚠",VLOOKUP(V14,'G-7 Rivers Data'!$AG$4:$AI$9,2,FALSE)))</f>
        <v/>
      </c>
      <c r="X14" s="524" t="str">
        <f>IF(V14="","",IF(VLOOKUP(V14,'G-7 Rivers Data'!$AG$4:$AI$9,3,FALSE)=0,"Spatial Data Missing ⚠",VLOOKUP(V14,'G-7 Rivers Data'!$AG$4:$AI$9,3,FALSE)))</f>
        <v/>
      </c>
      <c r="Y14" s="537" t="str">
        <f>IFERROR(IF(OR(LEFT(P14,5)="Error ▲",LEFT(O14,5)="Error ▲"),"Check Data ⚠",IF(F14&lt;S14,'G-7 Rivers Data'!$R$3,INDEX('G-7 Rivers Data'!$U$5:$Y$9,MATCH(G14,'G-7 Rivers Data'!$T$5:$T$9,0),MATCH(T14,'G-7 Rivers Data'!$U$4:$Y$4,0)))),"")</f>
        <v/>
      </c>
      <c r="Z14" s="203"/>
      <c r="AA14" s="203"/>
      <c r="AB14" s="534" t="str">
        <f t="shared" si="1"/>
        <v/>
      </c>
      <c r="AC14" s="521" t="str">
        <f t="shared" si="2"/>
        <v/>
      </c>
      <c r="AD14" s="564" t="str">
        <f>IFERROR(IF(AC14="Check Data ⚠","Check Data ⚠",VLOOKUP(AC14,'G-4 Temporal multipliers'!$A$4:$C$37,3,FALSE)),"")</f>
        <v/>
      </c>
      <c r="AE14" s="537" t="str">
        <f>IF(N14="","",VLOOKUP(N14,'G-7 Rivers Data'!$B$4:$G$8,5,FALSE))</f>
        <v/>
      </c>
      <c r="AF14" s="520" t="str">
        <f t="shared" si="3"/>
        <v/>
      </c>
      <c r="AG14" s="520" t="str">
        <f t="shared" si="6"/>
        <v/>
      </c>
      <c r="AH14" s="524" t="str">
        <f t="shared" si="4"/>
        <v/>
      </c>
      <c r="AI14" s="145"/>
      <c r="AJ14" s="499" t="str">
        <f>IF(AI14="","",IF(VLOOKUP(AI14,'G-7 Rivers Data'!$AA$4:$AB$7,2,FALSE)=0,"Spatial Data Missing ⚠",VLOOKUP(AI14,'G-7 Rivers Data'!$AA$4:$AB$7,2,FALSE)))</f>
        <v/>
      </c>
      <c r="AK14" s="155"/>
      <c r="AL14" s="536" t="str">
        <f>IF(AK14="","",IF(VLOOKUP(AK14,'G-7 Rivers Data'!$AD$4:$AE$8,2,FALSE)=0,"Spatial Data Missing ⚠",VLOOKUP(AK14,'G-7 Rivers Data'!$AD$4:$AE$8,2,FALSE)))</f>
        <v/>
      </c>
      <c r="AM14" s="154"/>
      <c r="AN14" s="524" t="str">
        <f>IF(AM14="","",VLOOKUP(AM14,'G-7 Rivers Data'!$AO$4:$AP$7,2,FALSE))</f>
        <v/>
      </c>
      <c r="AO14" s="545" t="str">
        <f t="shared" si="7"/>
        <v/>
      </c>
      <c r="AP14" s="149"/>
      <c r="AQ14" s="150"/>
      <c r="AX14" s="31" t="str">
        <f>IFERROR(INDEX('G-7 Rivers Data'!$AZ$3:$AZ$7,MATCH(N14,'G-7 Rivers Data'!$AY$3:$AY$7,0)),"")</f>
        <v/>
      </c>
    </row>
    <row r="15" spans="2:50" ht="13.8" x14ac:dyDescent="0.25">
      <c r="B15" s="531" t="str">
        <f>'F-1 Off Site River Baseline'!AN13</f>
        <v/>
      </c>
      <c r="C15" s="520" t="str">
        <f>IF(B15="","",VLOOKUP($B15,'F-1 Off Site River Baseline'!$C$9:$R$257,2,FALSE))</f>
        <v/>
      </c>
      <c r="D15" s="520" t="str">
        <f>IF(C15="","",VLOOKUP($B15,'F-1 Off Site River Baseline'!$C$9:$R$257,3,FALSE))</f>
        <v/>
      </c>
      <c r="E15" s="520" t="str">
        <f>IF(D15="","",VLOOKUP($B15,'F-1 Off Site River Baseline'!$C$9:$R$257,4,FALSE))</f>
        <v/>
      </c>
      <c r="F15" s="520" t="str">
        <f>IF(E15="","",VLOOKUP($B15,'F-1 Off Site River Baseline'!$C$9:$R$257,5,FALSE))</f>
        <v/>
      </c>
      <c r="G15" s="520" t="str">
        <f>IF(F15="","",VLOOKUP($B15,'F-1 Off Site River Baseline'!$C$9:$R$257,6,FALSE))</f>
        <v/>
      </c>
      <c r="H15" s="520" t="str">
        <f>IF(G15="","",VLOOKUP($B15,'F-1 Off Site River Baseline'!$C$9:$R$257,7,FALSE))</f>
        <v/>
      </c>
      <c r="I15" s="520" t="str">
        <f>IF(H15="","",VLOOKUP($B15,'F-1 Off Site River Baseline'!$C$9:$R$257,8,FALSE))</f>
        <v/>
      </c>
      <c r="J15" s="520" t="str">
        <f>IF(I15="","",VLOOKUP($B15,'F-1 Off Site River Baseline'!$C$9:$R$257,9,FALSE))</f>
        <v/>
      </c>
      <c r="K15" s="520" t="str">
        <f>IF(J15="","",VLOOKUP($B15,'F-1 Off Site River Baseline'!$C$9:$R$257,10,FALSE))</f>
        <v/>
      </c>
      <c r="L15" s="520" t="str">
        <f>IF(B15="","",VLOOKUP($B15,'C-1 Site River Baseline'!$C$9:$R$257,15,FALSE))</f>
        <v/>
      </c>
      <c r="M15" s="524" t="str">
        <f>IF(L15="","",VLOOKUP($B15,'F-1 Off Site River Baseline'!$C$9:$R$257,16,FALSE))</f>
        <v/>
      </c>
      <c r="N15" s="418" t="str">
        <f t="shared" si="0"/>
        <v/>
      </c>
      <c r="O15" s="498" t="str">
        <f t="shared" si="5"/>
        <v/>
      </c>
      <c r="P15" s="499"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5" t="str">
        <f>IF(N15="","",VLOOKUP(B15,'F-1 Off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20" t="str">
        <f>IF(V15="","",IF(VLOOKUP(V15,'G-7 Rivers Data'!$AG$4:$AI$9,2,FALSE)=0,"Spatial Data Missing ⚠",VLOOKUP(V15,'G-7 Rivers Data'!$AG$4:$AI$9,2,FALSE)))</f>
        <v/>
      </c>
      <c r="X15" s="524" t="str">
        <f>IF(V15="","",IF(VLOOKUP(V15,'G-7 Rivers Data'!$AG$4:$AI$9,3,FALSE)=0,"Spatial Data Missing ⚠",VLOOKUP(V15,'G-7 Rivers Data'!$AG$4:$AI$9,3,FALSE)))</f>
        <v/>
      </c>
      <c r="Y15" s="537" t="str">
        <f>IFERROR(IF(OR(LEFT(P15,5)="Error ▲",LEFT(O15,5)="Error ▲"),"Check Data ⚠",IF(F15&lt;S15,'G-7 Rivers Data'!$R$3,INDEX('G-7 Rivers Data'!$U$5:$Y$9,MATCH(G15,'G-7 Rivers Data'!$T$5:$T$9,0),MATCH(T15,'G-7 Rivers Data'!$U$4:$Y$4,0)))),"")</f>
        <v/>
      </c>
      <c r="Z15" s="203"/>
      <c r="AA15" s="203"/>
      <c r="AB15" s="534" t="str">
        <f t="shared" si="1"/>
        <v/>
      </c>
      <c r="AC15" s="521" t="str">
        <f t="shared" si="2"/>
        <v/>
      </c>
      <c r="AD15" s="564" t="str">
        <f>IFERROR(IF(AC15="Check Data ⚠","Check Data ⚠",VLOOKUP(AC15,'G-4 Temporal multipliers'!$A$4:$C$37,3,FALSE)),"")</f>
        <v/>
      </c>
      <c r="AE15" s="537" t="str">
        <f>IF(N15="","",VLOOKUP(N15,'G-7 Rivers Data'!$B$4:$G$8,5,FALSE))</f>
        <v/>
      </c>
      <c r="AF15" s="520" t="str">
        <f t="shared" si="3"/>
        <v/>
      </c>
      <c r="AG15" s="520" t="str">
        <f t="shared" si="6"/>
        <v/>
      </c>
      <c r="AH15" s="524" t="str">
        <f t="shared" si="4"/>
        <v/>
      </c>
      <c r="AI15" s="145"/>
      <c r="AJ15" s="499" t="str">
        <f>IF(AI15="","",IF(VLOOKUP(AI15,'G-7 Rivers Data'!$AA$4:$AB$7,2,FALSE)=0,"Spatial Data Missing ⚠",VLOOKUP(AI15,'G-7 Rivers Data'!$AA$4:$AB$7,2,FALSE)))</f>
        <v/>
      </c>
      <c r="AK15" s="155"/>
      <c r="AL15" s="536" t="str">
        <f>IF(AK15="","",IF(VLOOKUP(AK15,'G-7 Rivers Data'!$AD$4:$AE$8,2,FALSE)=0,"Spatial Data Missing ⚠",VLOOKUP(AK15,'G-7 Rivers Data'!$AD$4:$AE$8,2,FALSE)))</f>
        <v/>
      </c>
      <c r="AM15" s="154"/>
      <c r="AN15" s="524" t="str">
        <f>IF(AM15="","",VLOOKUP(AM15,'G-7 Rivers Data'!$AO$4:$AP$7,2,FALSE))</f>
        <v/>
      </c>
      <c r="AO15" s="545" t="str">
        <f t="shared" si="7"/>
        <v/>
      </c>
      <c r="AP15" s="149"/>
      <c r="AQ15" s="150"/>
      <c r="AX15" s="31" t="str">
        <f>IFERROR(INDEX('G-7 Rivers Data'!$AZ$3:$AZ$7,MATCH(N15,'G-7 Rivers Data'!$AY$3:$AY$7,0)),"")</f>
        <v/>
      </c>
    </row>
    <row r="16" spans="2:50" ht="13.8" x14ac:dyDescent="0.25">
      <c r="B16" s="531" t="str">
        <f>'F-1 Off Site River Baseline'!AN14</f>
        <v/>
      </c>
      <c r="C16" s="520" t="str">
        <f>IF(B16="","",VLOOKUP($B16,'F-1 Off Site River Baseline'!$C$9:$R$257,2,FALSE))</f>
        <v/>
      </c>
      <c r="D16" s="520" t="str">
        <f>IF(C16="","",VLOOKUP($B16,'F-1 Off Site River Baseline'!$C$9:$R$257,3,FALSE))</f>
        <v/>
      </c>
      <c r="E16" s="520" t="str">
        <f>IF(D16="","",VLOOKUP($B16,'F-1 Off Site River Baseline'!$C$9:$R$257,4,FALSE))</f>
        <v/>
      </c>
      <c r="F16" s="520" t="str">
        <f>IF(E16="","",VLOOKUP($B16,'F-1 Off Site River Baseline'!$C$9:$R$257,5,FALSE))</f>
        <v/>
      </c>
      <c r="G16" s="520" t="str">
        <f>IF(F16="","",VLOOKUP($B16,'F-1 Off Site River Baseline'!$C$9:$R$257,6,FALSE))</f>
        <v/>
      </c>
      <c r="H16" s="520" t="str">
        <f>IF(G16="","",VLOOKUP($B16,'F-1 Off Site River Baseline'!$C$9:$R$257,7,FALSE))</f>
        <v/>
      </c>
      <c r="I16" s="520" t="str">
        <f>IF(H16="","",VLOOKUP($B16,'F-1 Off Site River Baseline'!$C$9:$R$257,8,FALSE))</f>
        <v/>
      </c>
      <c r="J16" s="520" t="str">
        <f>IF(I16="","",VLOOKUP($B16,'F-1 Off Site River Baseline'!$C$9:$R$257,9,FALSE))</f>
        <v/>
      </c>
      <c r="K16" s="520" t="str">
        <f>IF(J16="","",VLOOKUP($B16,'F-1 Off Site River Baseline'!$C$9:$R$257,10,FALSE))</f>
        <v/>
      </c>
      <c r="L16" s="520" t="str">
        <f>IF(B16="","",VLOOKUP($B16,'C-1 Site River Baseline'!$C$9:$R$257,15,FALSE))</f>
        <v/>
      </c>
      <c r="M16" s="524" t="str">
        <f>IF(L16="","",VLOOKUP($B16,'F-1 Off Site River Baseline'!$C$9:$R$257,16,FALSE))</f>
        <v/>
      </c>
      <c r="N16" s="418" t="str">
        <f t="shared" si="0"/>
        <v/>
      </c>
      <c r="O16" s="498" t="str">
        <f t="shared" si="5"/>
        <v/>
      </c>
      <c r="P16" s="499"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5" t="str">
        <f>IF(N16="","",VLOOKUP(B16,'F-1 Off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20" t="str">
        <f>IF(V16="","",IF(VLOOKUP(V16,'G-7 Rivers Data'!$AG$4:$AI$9,2,FALSE)=0,"Spatial Data Missing ⚠",VLOOKUP(V16,'G-7 Rivers Data'!$AG$4:$AI$9,2,FALSE)))</f>
        <v/>
      </c>
      <c r="X16" s="524" t="str">
        <f>IF(V16="","",IF(VLOOKUP(V16,'G-7 Rivers Data'!$AG$4:$AI$9,3,FALSE)=0,"Spatial Data Missing ⚠",VLOOKUP(V16,'G-7 Rivers Data'!$AG$4:$AI$9,3,FALSE)))</f>
        <v/>
      </c>
      <c r="Y16" s="537" t="str">
        <f>IFERROR(IF(OR(LEFT(P16,5)="Error ▲",LEFT(O16,5)="Error ▲"),"Check Data ⚠",IF(F16&lt;S16,'G-7 Rivers Data'!$R$3,INDEX('G-7 Rivers Data'!$U$5:$Y$9,MATCH(G16,'G-7 Rivers Data'!$T$5:$T$9,0),MATCH(T16,'G-7 Rivers Data'!$U$4:$Y$4,0)))),"")</f>
        <v/>
      </c>
      <c r="Z16" s="203"/>
      <c r="AA16" s="203"/>
      <c r="AB16" s="534" t="str">
        <f t="shared" si="1"/>
        <v/>
      </c>
      <c r="AC16" s="521" t="str">
        <f t="shared" si="2"/>
        <v/>
      </c>
      <c r="AD16" s="564" t="str">
        <f>IFERROR(IF(AC16="Check Data ⚠","Check Data ⚠",VLOOKUP(AC16,'G-4 Temporal multipliers'!$A$4:$C$37,3,FALSE)),"")</f>
        <v/>
      </c>
      <c r="AE16" s="537" t="str">
        <f>IF(N16="","",VLOOKUP(N16,'G-7 Rivers Data'!$B$4:$G$8,5,FALSE))</f>
        <v/>
      </c>
      <c r="AF16" s="520" t="str">
        <f t="shared" si="3"/>
        <v/>
      </c>
      <c r="AG16" s="520" t="str">
        <f t="shared" si="6"/>
        <v/>
      </c>
      <c r="AH16" s="524" t="str">
        <f t="shared" si="4"/>
        <v/>
      </c>
      <c r="AI16" s="145"/>
      <c r="AJ16" s="499" t="str">
        <f>IF(AI16="","",IF(VLOOKUP(AI16,'G-7 Rivers Data'!$AA$4:$AB$7,2,FALSE)=0,"Spatial Data Missing ⚠",VLOOKUP(AI16,'G-7 Rivers Data'!$AA$4:$AB$7,2,FALSE)))</f>
        <v/>
      </c>
      <c r="AK16" s="155"/>
      <c r="AL16" s="536" t="str">
        <f>IF(AK16="","",IF(VLOOKUP(AK16,'G-7 Rivers Data'!$AD$4:$AE$8,2,FALSE)=0,"Spatial Data Missing ⚠",VLOOKUP(AK16,'G-7 Rivers Data'!$AD$4:$AE$8,2,FALSE)))</f>
        <v/>
      </c>
      <c r="AM16" s="154"/>
      <c r="AN16" s="524" t="str">
        <f>IF(AM16="","",VLOOKUP(AM16,'G-7 Rivers Data'!$AO$4:$AP$7,2,FALSE))</f>
        <v/>
      </c>
      <c r="AO16" s="545" t="str">
        <f t="shared" si="7"/>
        <v/>
      </c>
      <c r="AP16" s="149"/>
      <c r="AQ16" s="150"/>
      <c r="AX16" s="31" t="str">
        <f>IFERROR(INDEX('G-7 Rivers Data'!$AZ$3:$AZ$7,MATCH(N16,'G-7 Rivers Data'!$AY$3:$AY$7,0)),"")</f>
        <v/>
      </c>
    </row>
    <row r="17" spans="2:50" ht="13.8" x14ac:dyDescent="0.25">
      <c r="B17" s="531" t="str">
        <f>'F-1 Off Site River Baseline'!AN15</f>
        <v/>
      </c>
      <c r="C17" s="520" t="str">
        <f>IF(B17="","",VLOOKUP($B17,'F-1 Off Site River Baseline'!$C$9:$R$257,2,FALSE))</f>
        <v/>
      </c>
      <c r="D17" s="520" t="str">
        <f>IF(C17="","",VLOOKUP($B17,'F-1 Off Site River Baseline'!$C$9:$R$257,3,FALSE))</f>
        <v/>
      </c>
      <c r="E17" s="520" t="str">
        <f>IF(D17="","",VLOOKUP($B17,'F-1 Off Site River Baseline'!$C$9:$R$257,4,FALSE))</f>
        <v/>
      </c>
      <c r="F17" s="520" t="str">
        <f>IF(E17="","",VLOOKUP($B17,'F-1 Off Site River Baseline'!$C$9:$R$257,5,FALSE))</f>
        <v/>
      </c>
      <c r="G17" s="520" t="str">
        <f>IF(F17="","",VLOOKUP($B17,'F-1 Off Site River Baseline'!$C$9:$R$257,6,FALSE))</f>
        <v/>
      </c>
      <c r="H17" s="520" t="str">
        <f>IF(G17="","",VLOOKUP($B17,'F-1 Off Site River Baseline'!$C$9:$R$257,7,FALSE))</f>
        <v/>
      </c>
      <c r="I17" s="520" t="str">
        <f>IF(H17="","",VLOOKUP($B17,'F-1 Off Site River Baseline'!$C$9:$R$257,8,FALSE))</f>
        <v/>
      </c>
      <c r="J17" s="520" t="str">
        <f>IF(I17="","",VLOOKUP($B17,'F-1 Off Site River Baseline'!$C$9:$R$257,9,FALSE))</f>
        <v/>
      </c>
      <c r="K17" s="520" t="str">
        <f>IF(J17="","",VLOOKUP($B17,'F-1 Off Site River Baseline'!$C$9:$R$257,10,FALSE))</f>
        <v/>
      </c>
      <c r="L17" s="520" t="str">
        <f>IF(B17="","",VLOOKUP($B17,'C-1 Site River Baseline'!$C$9:$R$257,15,FALSE))</f>
        <v/>
      </c>
      <c r="M17" s="524" t="str">
        <f>IF(L17="","",VLOOKUP($B17,'F-1 Off Site River Baseline'!$C$9:$R$257,16,FALSE))</f>
        <v/>
      </c>
      <c r="N17" s="418" t="str">
        <f t="shared" si="0"/>
        <v/>
      </c>
      <c r="O17" s="498" t="str">
        <f t="shared" si="5"/>
        <v/>
      </c>
      <c r="P17" s="499"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5" t="str">
        <f>IF(N17="","",VLOOKUP(B17,'F-1 Off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20" t="str">
        <f>IF(V17="","",IF(VLOOKUP(V17,'G-7 Rivers Data'!$AG$4:$AI$9,2,FALSE)=0,"Spatial Data Missing ⚠",VLOOKUP(V17,'G-7 Rivers Data'!$AG$4:$AI$9,2,FALSE)))</f>
        <v/>
      </c>
      <c r="X17" s="524" t="str">
        <f>IF(V17="","",IF(VLOOKUP(V17,'G-7 Rivers Data'!$AG$4:$AI$9,3,FALSE)=0,"Spatial Data Missing ⚠",VLOOKUP(V17,'G-7 Rivers Data'!$AG$4:$AI$9,3,FALSE)))</f>
        <v/>
      </c>
      <c r="Y17" s="537" t="str">
        <f>IFERROR(IF(OR(LEFT(P17,5)="Error ▲",LEFT(O17,5)="Error ▲"),"Check Data ⚠",IF(F17&lt;S17,'G-7 Rivers Data'!$R$3,INDEX('G-7 Rivers Data'!$U$5:$Y$9,MATCH(G17,'G-7 Rivers Data'!$T$5:$T$9,0),MATCH(T17,'G-7 Rivers Data'!$U$4:$Y$4,0)))),"")</f>
        <v/>
      </c>
      <c r="Z17" s="203"/>
      <c r="AA17" s="203"/>
      <c r="AB17" s="534" t="str">
        <f t="shared" si="1"/>
        <v/>
      </c>
      <c r="AC17" s="521" t="str">
        <f t="shared" si="2"/>
        <v/>
      </c>
      <c r="AD17" s="564" t="str">
        <f>IFERROR(IF(AC17="Check Data ⚠","Check Data ⚠",VLOOKUP(AC17,'G-4 Temporal multipliers'!$A$4:$C$37,3,FALSE)),"")</f>
        <v/>
      </c>
      <c r="AE17" s="537" t="str">
        <f>IF(N17="","",VLOOKUP(N17,'G-7 Rivers Data'!$B$4:$G$8,5,FALSE))</f>
        <v/>
      </c>
      <c r="AF17" s="520" t="str">
        <f t="shared" si="3"/>
        <v/>
      </c>
      <c r="AG17" s="520" t="str">
        <f t="shared" si="6"/>
        <v/>
      </c>
      <c r="AH17" s="524" t="str">
        <f t="shared" si="4"/>
        <v/>
      </c>
      <c r="AI17" s="145"/>
      <c r="AJ17" s="499" t="str">
        <f>IF(AI17="","",IF(VLOOKUP(AI17,'G-7 Rivers Data'!$AA$4:$AB$7,2,FALSE)=0,"Spatial Data Missing ⚠",VLOOKUP(AI17,'G-7 Rivers Data'!$AA$4:$AB$7,2,FALSE)))</f>
        <v/>
      </c>
      <c r="AK17" s="155"/>
      <c r="AL17" s="536" t="str">
        <f>IF(AK17="","",IF(VLOOKUP(AK17,'G-7 Rivers Data'!$AD$4:$AE$8,2,FALSE)=0,"Spatial Data Missing ⚠",VLOOKUP(AK17,'G-7 Rivers Data'!$AD$4:$AE$8,2,FALSE)))</f>
        <v/>
      </c>
      <c r="AM17" s="154"/>
      <c r="AN17" s="524" t="str">
        <f>IF(AM17="","",VLOOKUP(AM17,'G-7 Rivers Data'!$AO$4:$AP$7,2,FALSE))</f>
        <v/>
      </c>
      <c r="AO17" s="545" t="str">
        <f t="shared" si="7"/>
        <v/>
      </c>
      <c r="AP17" s="149"/>
      <c r="AQ17" s="150"/>
      <c r="AX17" s="31" t="str">
        <f>IFERROR(INDEX('G-7 Rivers Data'!$AZ$3:$AZ$7,MATCH(N17,'G-7 Rivers Data'!$AY$3:$AY$7,0)),"")</f>
        <v/>
      </c>
    </row>
    <row r="18" spans="2:50" ht="13.8" x14ac:dyDescent="0.25">
      <c r="B18" s="531" t="str">
        <f>'F-1 Off Site River Baseline'!AN16</f>
        <v/>
      </c>
      <c r="C18" s="520" t="str">
        <f>IF(B18="","",VLOOKUP($B18,'F-1 Off Site River Baseline'!$C$9:$R$257,2,FALSE))</f>
        <v/>
      </c>
      <c r="D18" s="520" t="str">
        <f>IF(C18="","",VLOOKUP($B18,'F-1 Off Site River Baseline'!$C$9:$R$257,3,FALSE))</f>
        <v/>
      </c>
      <c r="E18" s="520" t="str">
        <f>IF(D18="","",VLOOKUP($B18,'F-1 Off Site River Baseline'!$C$9:$R$257,4,FALSE))</f>
        <v/>
      </c>
      <c r="F18" s="520" t="str">
        <f>IF(E18="","",VLOOKUP($B18,'F-1 Off Site River Baseline'!$C$9:$R$257,5,FALSE))</f>
        <v/>
      </c>
      <c r="G18" s="520" t="str">
        <f>IF(F18="","",VLOOKUP($B18,'F-1 Off Site River Baseline'!$C$9:$R$257,6,FALSE))</f>
        <v/>
      </c>
      <c r="H18" s="520" t="str">
        <f>IF(G18="","",VLOOKUP($B18,'F-1 Off Site River Baseline'!$C$9:$R$257,7,FALSE))</f>
        <v/>
      </c>
      <c r="I18" s="520" t="str">
        <f>IF(H18="","",VLOOKUP($B18,'F-1 Off Site River Baseline'!$C$9:$R$257,8,FALSE))</f>
        <v/>
      </c>
      <c r="J18" s="520" t="str">
        <f>IF(I18="","",VLOOKUP($B18,'F-1 Off Site River Baseline'!$C$9:$R$257,9,FALSE))</f>
        <v/>
      </c>
      <c r="K18" s="520" t="str">
        <f>IF(J18="","",VLOOKUP($B18,'F-1 Off Site River Baseline'!$C$9:$R$257,10,FALSE))</f>
        <v/>
      </c>
      <c r="L18" s="520" t="str">
        <f>IF(B18="","",VLOOKUP($B18,'C-1 Site River Baseline'!$C$9:$R$257,15,FALSE))</f>
        <v/>
      </c>
      <c r="M18" s="524" t="str">
        <f>IF(L18="","",VLOOKUP($B18,'F-1 Off Site River Baseline'!$C$9:$R$257,16,FALSE))</f>
        <v/>
      </c>
      <c r="N18" s="418" t="str">
        <f t="shared" si="0"/>
        <v/>
      </c>
      <c r="O18" s="498" t="str">
        <f t="shared" si="5"/>
        <v/>
      </c>
      <c r="P18" s="499"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5" t="str">
        <f>IF(N18="","",VLOOKUP(B18,'F-1 Off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20" t="str">
        <f>IF(V18="","",IF(VLOOKUP(V18,'G-7 Rivers Data'!$AG$4:$AI$9,2,FALSE)=0,"Spatial Data Missing ⚠",VLOOKUP(V18,'G-7 Rivers Data'!$AG$4:$AI$9,2,FALSE)))</f>
        <v/>
      </c>
      <c r="X18" s="524" t="str">
        <f>IF(V18="","",IF(VLOOKUP(V18,'G-7 Rivers Data'!$AG$4:$AI$9,3,FALSE)=0,"Spatial Data Missing ⚠",VLOOKUP(V18,'G-7 Rivers Data'!$AG$4:$AI$9,3,FALSE)))</f>
        <v/>
      </c>
      <c r="Y18" s="537" t="str">
        <f>IFERROR(IF(OR(LEFT(P18,5)="Error ▲",LEFT(O18,5)="Error ▲"),"Check Data ⚠",IF(F18&lt;S18,'G-7 Rivers Data'!$R$3,INDEX('G-7 Rivers Data'!$U$5:$Y$9,MATCH(G18,'G-7 Rivers Data'!$T$5:$T$9,0),MATCH(T18,'G-7 Rivers Data'!$U$4:$Y$4,0)))),"")</f>
        <v/>
      </c>
      <c r="Z18" s="203"/>
      <c r="AA18" s="203"/>
      <c r="AB18" s="534" t="str">
        <f t="shared" si="1"/>
        <v/>
      </c>
      <c r="AC18" s="521" t="str">
        <f t="shared" si="2"/>
        <v/>
      </c>
      <c r="AD18" s="564" t="str">
        <f>IFERROR(IF(AC18="Check Data ⚠","Check Data ⚠",VLOOKUP(AC18,'G-4 Temporal multipliers'!$A$4:$C$37,3,FALSE)),"")</f>
        <v/>
      </c>
      <c r="AE18" s="537" t="str">
        <f>IF(N18="","",VLOOKUP(N18,'G-7 Rivers Data'!$B$4:$G$8,5,FALSE))</f>
        <v/>
      </c>
      <c r="AF18" s="520" t="str">
        <f t="shared" si="3"/>
        <v/>
      </c>
      <c r="AG18" s="520" t="str">
        <f t="shared" si="6"/>
        <v/>
      </c>
      <c r="AH18" s="524" t="str">
        <f t="shared" si="4"/>
        <v/>
      </c>
      <c r="AI18" s="145"/>
      <c r="AJ18" s="499" t="str">
        <f>IF(AI18="","",IF(VLOOKUP(AI18,'G-7 Rivers Data'!$AA$4:$AB$7,2,FALSE)=0,"Spatial Data Missing ⚠",VLOOKUP(AI18,'G-7 Rivers Data'!$AA$4:$AB$7,2,FALSE)))</f>
        <v/>
      </c>
      <c r="AK18" s="155"/>
      <c r="AL18" s="536" t="str">
        <f>IF(AK18="","",IF(VLOOKUP(AK18,'G-7 Rivers Data'!$AD$4:$AE$8,2,FALSE)=0,"Spatial Data Missing ⚠",VLOOKUP(AK18,'G-7 Rivers Data'!$AD$4:$AE$8,2,FALSE)))</f>
        <v/>
      </c>
      <c r="AM18" s="154"/>
      <c r="AN18" s="524" t="str">
        <f>IF(AM18="","",VLOOKUP(AM18,'G-7 Rivers Data'!$AO$4:$AP$7,2,FALSE))</f>
        <v/>
      </c>
      <c r="AO18" s="545" t="str">
        <f t="shared" si="7"/>
        <v/>
      </c>
      <c r="AP18" s="149"/>
      <c r="AQ18" s="150"/>
      <c r="AX18" s="31" t="str">
        <f>IFERROR(INDEX('G-7 Rivers Data'!$AZ$3:$AZ$7,MATCH(N18,'G-7 Rivers Data'!$AY$3:$AY$7,0)),"")</f>
        <v/>
      </c>
    </row>
    <row r="19" spans="2:50" ht="13.8" x14ac:dyDescent="0.25">
      <c r="B19" s="531" t="str">
        <f>'F-1 Off Site River Baseline'!AN17</f>
        <v/>
      </c>
      <c r="C19" s="520" t="str">
        <f>IF(B19="","",VLOOKUP($B19,'F-1 Off Site River Baseline'!$C$9:$R$257,2,FALSE))</f>
        <v/>
      </c>
      <c r="D19" s="520" t="str">
        <f>IF(C19="","",VLOOKUP($B19,'F-1 Off Site River Baseline'!$C$9:$R$257,3,FALSE))</f>
        <v/>
      </c>
      <c r="E19" s="520" t="str">
        <f>IF(D19="","",VLOOKUP($B19,'F-1 Off Site River Baseline'!$C$9:$R$257,4,FALSE))</f>
        <v/>
      </c>
      <c r="F19" s="520" t="str">
        <f>IF(E19="","",VLOOKUP($B19,'F-1 Off Site River Baseline'!$C$9:$R$257,5,FALSE))</f>
        <v/>
      </c>
      <c r="G19" s="520" t="str">
        <f>IF(F19="","",VLOOKUP($B19,'F-1 Off Site River Baseline'!$C$9:$R$257,6,FALSE))</f>
        <v/>
      </c>
      <c r="H19" s="520" t="str">
        <f>IF(G19="","",VLOOKUP($B19,'F-1 Off Site River Baseline'!$C$9:$R$257,7,FALSE))</f>
        <v/>
      </c>
      <c r="I19" s="520" t="str">
        <f>IF(H19="","",VLOOKUP($B19,'F-1 Off Site River Baseline'!$C$9:$R$257,8,FALSE))</f>
        <v/>
      </c>
      <c r="J19" s="520" t="str">
        <f>IF(I19="","",VLOOKUP($B19,'F-1 Off Site River Baseline'!$C$9:$R$257,9,FALSE))</f>
        <v/>
      </c>
      <c r="K19" s="520" t="str">
        <f>IF(J19="","",VLOOKUP($B19,'F-1 Off Site River Baseline'!$C$9:$R$257,10,FALSE))</f>
        <v/>
      </c>
      <c r="L19" s="520" t="str">
        <f>IF(B19="","",VLOOKUP($B19,'C-1 Site River Baseline'!$C$9:$R$257,15,FALSE))</f>
        <v/>
      </c>
      <c r="M19" s="524" t="str">
        <f>IF(L19="","",VLOOKUP($B19,'F-1 Off Site River Baseline'!$C$9:$R$257,16,FALSE))</f>
        <v/>
      </c>
      <c r="N19" s="418" t="str">
        <f t="shared" si="0"/>
        <v/>
      </c>
      <c r="O19" s="498" t="str">
        <f t="shared" si="5"/>
        <v/>
      </c>
      <c r="P19" s="499"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5" t="str">
        <f>IF(N19="","",VLOOKUP(B19,'F-1 Off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20" t="str">
        <f>IF(V19="","",IF(VLOOKUP(V19,'G-7 Rivers Data'!$AG$4:$AI$9,2,FALSE)=0,"Spatial Data Missing ⚠",VLOOKUP(V19,'G-7 Rivers Data'!$AG$4:$AI$9,2,FALSE)))</f>
        <v/>
      </c>
      <c r="X19" s="524" t="str">
        <f>IF(V19="","",IF(VLOOKUP(V19,'G-7 Rivers Data'!$AG$4:$AI$9,3,FALSE)=0,"Spatial Data Missing ⚠",VLOOKUP(V19,'G-7 Rivers Data'!$AG$4:$AI$9,3,FALSE)))</f>
        <v/>
      </c>
      <c r="Y19" s="537" t="str">
        <f>IFERROR(IF(OR(LEFT(P19,5)="Error ▲",LEFT(O19,5)="Error ▲"),"Check Data ⚠",IF(F19&lt;S19,'G-7 Rivers Data'!$R$3,INDEX('G-7 Rivers Data'!$U$5:$Y$9,MATCH(G19,'G-7 Rivers Data'!$T$5:$T$9,0),MATCH(T19,'G-7 Rivers Data'!$U$4:$Y$4,0)))),"")</f>
        <v/>
      </c>
      <c r="Z19" s="203"/>
      <c r="AA19" s="203"/>
      <c r="AB19" s="534" t="str">
        <f t="shared" si="1"/>
        <v/>
      </c>
      <c r="AC19" s="521" t="str">
        <f t="shared" si="2"/>
        <v/>
      </c>
      <c r="AD19" s="564" t="str">
        <f>IFERROR(IF(AC19="Check Data ⚠","Check Data ⚠",VLOOKUP(AC19,'G-4 Temporal multipliers'!$A$4:$C$37,3,FALSE)),"")</f>
        <v/>
      </c>
      <c r="AE19" s="537" t="str">
        <f>IF(N19="","",VLOOKUP(N19,'G-7 Rivers Data'!$B$4:$G$8,5,FALSE))</f>
        <v/>
      </c>
      <c r="AF19" s="520" t="str">
        <f t="shared" si="3"/>
        <v/>
      </c>
      <c r="AG19" s="520" t="str">
        <f t="shared" si="6"/>
        <v/>
      </c>
      <c r="AH19" s="524" t="str">
        <f t="shared" si="4"/>
        <v/>
      </c>
      <c r="AI19" s="145"/>
      <c r="AJ19" s="499" t="str">
        <f>IF(AI19="","",IF(VLOOKUP(AI19,'G-7 Rivers Data'!$AA$4:$AB$7,2,FALSE)=0,"Spatial Data Missing ⚠",VLOOKUP(AI19,'G-7 Rivers Data'!$AA$4:$AB$7,2,FALSE)))</f>
        <v/>
      </c>
      <c r="AK19" s="155"/>
      <c r="AL19" s="536" t="str">
        <f>IF(AK19="","",IF(VLOOKUP(AK19,'G-7 Rivers Data'!$AD$4:$AE$8,2,FALSE)=0,"Spatial Data Missing ⚠",VLOOKUP(AK19,'G-7 Rivers Data'!$AD$4:$AE$8,2,FALSE)))</f>
        <v/>
      </c>
      <c r="AM19" s="154"/>
      <c r="AN19" s="524" t="str">
        <f>IF(AM19="","",VLOOKUP(AM19,'G-7 Rivers Data'!$AO$4:$AP$7,2,FALSE))</f>
        <v/>
      </c>
      <c r="AO19" s="545" t="str">
        <f t="shared" si="7"/>
        <v/>
      </c>
      <c r="AP19" s="149"/>
      <c r="AQ19" s="150"/>
      <c r="AX19" s="31" t="str">
        <f>IFERROR(INDEX('G-7 Rivers Data'!$AZ$3:$AZ$7,MATCH(N19,'G-7 Rivers Data'!$AY$3:$AY$7,0)),"")</f>
        <v/>
      </c>
    </row>
    <row r="20" spans="2:50" ht="13.8" x14ac:dyDescent="0.25">
      <c r="B20" s="531" t="str">
        <f>'F-1 Off Site River Baseline'!AN18</f>
        <v/>
      </c>
      <c r="C20" s="520" t="str">
        <f>IF(B20="","",VLOOKUP($B20,'F-1 Off Site River Baseline'!$C$9:$R$257,2,FALSE))</f>
        <v/>
      </c>
      <c r="D20" s="520" t="str">
        <f>IF(C20="","",VLOOKUP($B20,'F-1 Off Site River Baseline'!$C$9:$R$257,3,FALSE))</f>
        <v/>
      </c>
      <c r="E20" s="520" t="str">
        <f>IF(D20="","",VLOOKUP($B20,'F-1 Off Site River Baseline'!$C$9:$R$257,4,FALSE))</f>
        <v/>
      </c>
      <c r="F20" s="520" t="str">
        <f>IF(E20="","",VLOOKUP($B20,'F-1 Off Site River Baseline'!$C$9:$R$257,5,FALSE))</f>
        <v/>
      </c>
      <c r="G20" s="520" t="str">
        <f>IF(F20="","",VLOOKUP($B20,'F-1 Off Site River Baseline'!$C$9:$R$257,6,FALSE))</f>
        <v/>
      </c>
      <c r="H20" s="520" t="str">
        <f>IF(G20="","",VLOOKUP($B20,'F-1 Off Site River Baseline'!$C$9:$R$257,7,FALSE))</f>
        <v/>
      </c>
      <c r="I20" s="520" t="str">
        <f>IF(H20="","",VLOOKUP($B20,'F-1 Off Site River Baseline'!$C$9:$R$257,8,FALSE))</f>
        <v/>
      </c>
      <c r="J20" s="520" t="str">
        <f>IF(I20="","",VLOOKUP($B20,'F-1 Off Site River Baseline'!$C$9:$R$257,9,FALSE))</f>
        <v/>
      </c>
      <c r="K20" s="520" t="str">
        <f>IF(J20="","",VLOOKUP($B20,'F-1 Off Site River Baseline'!$C$9:$R$257,10,FALSE))</f>
        <v/>
      </c>
      <c r="L20" s="520" t="str">
        <f>IF(B20="","",VLOOKUP($B20,'C-1 Site River Baseline'!$C$9:$R$257,15,FALSE))</f>
        <v/>
      </c>
      <c r="M20" s="524" t="str">
        <f>IF(L20="","",VLOOKUP($B20,'F-1 Off Site River Baseline'!$C$9:$R$257,16,FALSE))</f>
        <v/>
      </c>
      <c r="N20" s="418" t="str">
        <f t="shared" si="0"/>
        <v/>
      </c>
      <c r="O20" s="498" t="str">
        <f t="shared" si="5"/>
        <v/>
      </c>
      <c r="P20" s="499"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5" t="str">
        <f>IF(N20="","",VLOOKUP(B20,'F-1 Off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20" t="str">
        <f>IF(V20="","",IF(VLOOKUP(V20,'G-7 Rivers Data'!$AG$4:$AI$9,2,FALSE)=0,"Spatial Data Missing ⚠",VLOOKUP(V20,'G-7 Rivers Data'!$AG$4:$AI$9,2,FALSE)))</f>
        <v/>
      </c>
      <c r="X20" s="524" t="str">
        <f>IF(V20="","",IF(VLOOKUP(V20,'G-7 Rivers Data'!$AG$4:$AI$9,3,FALSE)=0,"Spatial Data Missing ⚠",VLOOKUP(V20,'G-7 Rivers Data'!$AG$4:$AI$9,3,FALSE)))</f>
        <v/>
      </c>
      <c r="Y20" s="537" t="str">
        <f>IFERROR(IF(OR(LEFT(P20,5)="Error ▲",LEFT(O20,5)="Error ▲"),"Check Data ⚠",IF(F20&lt;S20,'G-7 Rivers Data'!$R$3,INDEX('G-7 Rivers Data'!$U$5:$Y$9,MATCH(G20,'G-7 Rivers Data'!$T$5:$T$9,0),MATCH(T20,'G-7 Rivers Data'!$U$4:$Y$4,0)))),"")</f>
        <v/>
      </c>
      <c r="Z20" s="203"/>
      <c r="AA20" s="203"/>
      <c r="AB20" s="534" t="str">
        <f t="shared" si="1"/>
        <v/>
      </c>
      <c r="AC20" s="521" t="str">
        <f t="shared" si="2"/>
        <v/>
      </c>
      <c r="AD20" s="564" t="str">
        <f>IFERROR(IF(AC20="Check Data ⚠","Check Data ⚠",VLOOKUP(AC20,'G-4 Temporal multipliers'!$A$4:$C$37,3,FALSE)),"")</f>
        <v/>
      </c>
      <c r="AE20" s="537" t="str">
        <f>IF(N20="","",VLOOKUP(N20,'G-7 Rivers Data'!$B$4:$G$8,5,FALSE))</f>
        <v/>
      </c>
      <c r="AF20" s="520" t="str">
        <f t="shared" si="3"/>
        <v/>
      </c>
      <c r="AG20" s="520" t="str">
        <f t="shared" si="6"/>
        <v/>
      </c>
      <c r="AH20" s="524" t="str">
        <f t="shared" si="4"/>
        <v/>
      </c>
      <c r="AI20" s="145"/>
      <c r="AJ20" s="499" t="str">
        <f>IF(AI20="","",IF(VLOOKUP(AI20,'G-7 Rivers Data'!$AA$4:$AB$7,2,FALSE)=0,"Spatial Data Missing ⚠",VLOOKUP(AI20,'G-7 Rivers Data'!$AA$4:$AB$7,2,FALSE)))</f>
        <v/>
      </c>
      <c r="AK20" s="155"/>
      <c r="AL20" s="536" t="str">
        <f>IF(AK20="","",IF(VLOOKUP(AK20,'G-7 Rivers Data'!$AD$4:$AE$8,2,FALSE)=0,"Spatial Data Missing ⚠",VLOOKUP(AK20,'G-7 Rivers Data'!$AD$4:$AE$8,2,FALSE)))</f>
        <v/>
      </c>
      <c r="AM20" s="154"/>
      <c r="AN20" s="524" t="str">
        <f>IF(AM20="","",VLOOKUP(AM20,'G-7 Rivers Data'!$AO$4:$AP$7,2,FALSE))</f>
        <v/>
      </c>
      <c r="AO20" s="545" t="str">
        <f t="shared" si="7"/>
        <v/>
      </c>
      <c r="AP20" s="149"/>
      <c r="AQ20" s="150"/>
      <c r="AX20" s="31" t="str">
        <f>IFERROR(INDEX('G-7 Rivers Data'!$AZ$3:$AZ$7,MATCH(N20,'G-7 Rivers Data'!$AY$3:$AY$7,0)),"")</f>
        <v/>
      </c>
    </row>
    <row r="21" spans="2:50" ht="13.8" x14ac:dyDescent="0.25">
      <c r="B21" s="531" t="str">
        <f>'F-1 Off Site River Baseline'!AN19</f>
        <v/>
      </c>
      <c r="C21" s="520" t="str">
        <f>IF(B21="","",VLOOKUP($B21,'F-1 Off Site River Baseline'!$C$9:$R$257,2,FALSE))</f>
        <v/>
      </c>
      <c r="D21" s="520" t="str">
        <f>IF(C21="","",VLOOKUP($B21,'F-1 Off Site River Baseline'!$C$9:$R$257,3,FALSE))</f>
        <v/>
      </c>
      <c r="E21" s="520" t="str">
        <f>IF(D21="","",VLOOKUP($B21,'F-1 Off Site River Baseline'!$C$9:$R$257,4,FALSE))</f>
        <v/>
      </c>
      <c r="F21" s="520" t="str">
        <f>IF(E21="","",VLOOKUP($B21,'F-1 Off Site River Baseline'!$C$9:$R$257,5,FALSE))</f>
        <v/>
      </c>
      <c r="G21" s="520" t="str">
        <f>IF(F21="","",VLOOKUP($B21,'F-1 Off Site River Baseline'!$C$9:$R$257,6,FALSE))</f>
        <v/>
      </c>
      <c r="H21" s="520" t="str">
        <f>IF(G21="","",VLOOKUP($B21,'F-1 Off Site River Baseline'!$C$9:$R$257,7,FALSE))</f>
        <v/>
      </c>
      <c r="I21" s="520" t="str">
        <f>IF(H21="","",VLOOKUP($B21,'F-1 Off Site River Baseline'!$C$9:$R$257,8,FALSE))</f>
        <v/>
      </c>
      <c r="J21" s="520" t="str">
        <f>IF(I21="","",VLOOKUP($B21,'F-1 Off Site River Baseline'!$C$9:$R$257,9,FALSE))</f>
        <v/>
      </c>
      <c r="K21" s="520" t="str">
        <f>IF(J21="","",VLOOKUP($B21,'F-1 Off Site River Baseline'!$C$9:$R$257,10,FALSE))</f>
        <v/>
      </c>
      <c r="L21" s="520" t="str">
        <f>IF(B21="","",VLOOKUP($B21,'C-1 Site River Baseline'!$C$9:$R$257,15,FALSE))</f>
        <v/>
      </c>
      <c r="M21" s="524" t="str">
        <f>IF(L21="","",VLOOKUP($B21,'F-1 Off Site River Baseline'!$C$9:$R$257,16,FALSE))</f>
        <v/>
      </c>
      <c r="N21" s="418" t="str">
        <f t="shared" si="0"/>
        <v/>
      </c>
      <c r="O21" s="498" t="str">
        <f t="shared" si="5"/>
        <v/>
      </c>
      <c r="P21" s="499"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5" t="str">
        <f>IF(N21="","",VLOOKUP(B21,'F-1 Off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20" t="str">
        <f>IF(V21="","",IF(VLOOKUP(V21,'G-7 Rivers Data'!$AG$4:$AI$9,2,FALSE)=0,"Spatial Data Missing ⚠",VLOOKUP(V21,'G-7 Rivers Data'!$AG$4:$AI$9,2,FALSE)))</f>
        <v/>
      </c>
      <c r="X21" s="524" t="str">
        <f>IF(V21="","",IF(VLOOKUP(V21,'G-7 Rivers Data'!$AG$4:$AI$9,3,FALSE)=0,"Spatial Data Missing ⚠",VLOOKUP(V21,'G-7 Rivers Data'!$AG$4:$AI$9,3,FALSE)))</f>
        <v/>
      </c>
      <c r="Y21" s="537" t="str">
        <f>IFERROR(IF(OR(LEFT(P21,5)="Error ▲",LEFT(O21,5)="Error ▲"),"Check Data ⚠",IF(F21&lt;S21,'G-7 Rivers Data'!$R$3,INDEX('G-7 Rivers Data'!$U$5:$Y$9,MATCH(G21,'G-7 Rivers Data'!$T$5:$T$9,0),MATCH(T21,'G-7 Rivers Data'!$U$4:$Y$4,0)))),"")</f>
        <v/>
      </c>
      <c r="Z21" s="203"/>
      <c r="AA21" s="203"/>
      <c r="AB21" s="534" t="str">
        <f t="shared" si="1"/>
        <v/>
      </c>
      <c r="AC21" s="521" t="str">
        <f t="shared" si="2"/>
        <v/>
      </c>
      <c r="AD21" s="564" t="str">
        <f>IFERROR(IF(AC21="Check Data ⚠","Check Data ⚠",VLOOKUP(AC21,'G-4 Temporal multipliers'!$A$4:$C$37,3,FALSE)),"")</f>
        <v/>
      </c>
      <c r="AE21" s="537" t="str">
        <f>IF(N21="","",VLOOKUP(N21,'G-7 Rivers Data'!$B$4:$G$8,5,FALSE))</f>
        <v/>
      </c>
      <c r="AF21" s="520" t="str">
        <f t="shared" si="3"/>
        <v/>
      </c>
      <c r="AG21" s="520" t="str">
        <f t="shared" si="6"/>
        <v/>
      </c>
      <c r="AH21" s="524" t="str">
        <f t="shared" si="4"/>
        <v/>
      </c>
      <c r="AI21" s="145"/>
      <c r="AJ21" s="499" t="str">
        <f>IF(AI21="","",IF(VLOOKUP(AI21,'G-7 Rivers Data'!$AA$4:$AB$7,2,FALSE)=0,"Spatial Data Missing ⚠",VLOOKUP(AI21,'G-7 Rivers Data'!$AA$4:$AB$7,2,FALSE)))</f>
        <v/>
      </c>
      <c r="AK21" s="155"/>
      <c r="AL21" s="536" t="str">
        <f>IF(AK21="","",IF(VLOOKUP(AK21,'G-7 Rivers Data'!$AD$4:$AE$8,2,FALSE)=0,"Spatial Data Missing ⚠",VLOOKUP(AK21,'G-7 Rivers Data'!$AD$4:$AE$8,2,FALSE)))</f>
        <v/>
      </c>
      <c r="AM21" s="154"/>
      <c r="AN21" s="524" t="str">
        <f>IF(AM21="","",VLOOKUP(AM21,'G-7 Rivers Data'!$AO$4:$AP$7,2,FALSE))</f>
        <v/>
      </c>
      <c r="AO21" s="545" t="str">
        <f t="shared" si="7"/>
        <v/>
      </c>
      <c r="AP21" s="149"/>
      <c r="AQ21" s="150"/>
      <c r="AX21" s="31" t="str">
        <f>IFERROR(INDEX('G-7 Rivers Data'!$AZ$3:$AZ$7,MATCH(N21,'G-7 Rivers Data'!$AY$3:$AY$7,0)),"")</f>
        <v/>
      </c>
    </row>
    <row r="22" spans="2:50" ht="13.8" x14ac:dyDescent="0.25">
      <c r="B22" s="531" t="str">
        <f>'F-1 Off Site River Baseline'!AN20</f>
        <v/>
      </c>
      <c r="C22" s="520" t="str">
        <f>IF(B22="","",VLOOKUP($B22,'F-1 Off Site River Baseline'!$C$9:$R$257,2,FALSE))</f>
        <v/>
      </c>
      <c r="D22" s="520" t="str">
        <f>IF(C22="","",VLOOKUP($B22,'F-1 Off Site River Baseline'!$C$9:$R$257,3,FALSE))</f>
        <v/>
      </c>
      <c r="E22" s="520" t="str">
        <f>IF(D22="","",VLOOKUP($B22,'F-1 Off Site River Baseline'!$C$9:$R$257,4,FALSE))</f>
        <v/>
      </c>
      <c r="F22" s="520" t="str">
        <f>IF(E22="","",VLOOKUP($B22,'F-1 Off Site River Baseline'!$C$9:$R$257,5,FALSE))</f>
        <v/>
      </c>
      <c r="G22" s="520" t="str">
        <f>IF(F22="","",VLOOKUP($B22,'F-1 Off Site River Baseline'!$C$9:$R$257,6,FALSE))</f>
        <v/>
      </c>
      <c r="H22" s="520" t="str">
        <f>IF(G22="","",VLOOKUP($B22,'F-1 Off Site River Baseline'!$C$9:$R$257,7,FALSE))</f>
        <v/>
      </c>
      <c r="I22" s="520" t="str">
        <f>IF(H22="","",VLOOKUP($B22,'F-1 Off Site River Baseline'!$C$9:$R$257,8,FALSE))</f>
        <v/>
      </c>
      <c r="J22" s="520" t="str">
        <f>IF(I22="","",VLOOKUP($B22,'F-1 Off Site River Baseline'!$C$9:$R$257,9,FALSE))</f>
        <v/>
      </c>
      <c r="K22" s="520" t="str">
        <f>IF(J22="","",VLOOKUP($B22,'F-1 Off Site River Baseline'!$C$9:$R$257,10,FALSE))</f>
        <v/>
      </c>
      <c r="L22" s="520" t="str">
        <f>IF(B22="","",VLOOKUP($B22,'C-1 Site River Baseline'!$C$9:$R$257,15,FALSE))</f>
        <v/>
      </c>
      <c r="M22" s="524" t="str">
        <f>IF(L22="","",VLOOKUP($B22,'F-1 Off Site River Baseline'!$C$9:$R$257,16,FALSE))</f>
        <v/>
      </c>
      <c r="N22" s="418" t="str">
        <f t="shared" si="0"/>
        <v/>
      </c>
      <c r="O22" s="498" t="str">
        <f t="shared" si="5"/>
        <v/>
      </c>
      <c r="P22" s="499"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5" t="str">
        <f>IF(N22="","",VLOOKUP(B22,'F-1 Off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20" t="str">
        <f>IF(V22="","",IF(VLOOKUP(V22,'G-7 Rivers Data'!$AG$4:$AI$9,2,FALSE)=0,"Spatial Data Missing ⚠",VLOOKUP(V22,'G-7 Rivers Data'!$AG$4:$AI$9,2,FALSE)))</f>
        <v/>
      </c>
      <c r="X22" s="524" t="str">
        <f>IF(V22="","",IF(VLOOKUP(V22,'G-7 Rivers Data'!$AG$4:$AI$9,3,FALSE)=0,"Spatial Data Missing ⚠",VLOOKUP(V22,'G-7 Rivers Data'!$AG$4:$AI$9,3,FALSE)))</f>
        <v/>
      </c>
      <c r="Y22" s="537" t="str">
        <f>IFERROR(IF(OR(LEFT(P22,5)="Error ▲",LEFT(O22,5)="Error ▲"),"Check Data ⚠",IF(F22&lt;S22,'G-7 Rivers Data'!$R$3,INDEX('G-7 Rivers Data'!$U$5:$Y$9,MATCH(G22,'G-7 Rivers Data'!$T$5:$T$9,0),MATCH(T22,'G-7 Rivers Data'!$U$4:$Y$4,0)))),"")</f>
        <v/>
      </c>
      <c r="Z22" s="203"/>
      <c r="AA22" s="203"/>
      <c r="AB22" s="534" t="str">
        <f t="shared" si="1"/>
        <v/>
      </c>
      <c r="AC22" s="521" t="str">
        <f t="shared" si="2"/>
        <v/>
      </c>
      <c r="AD22" s="564" t="str">
        <f>IFERROR(IF(AC22="Check Data ⚠","Check Data ⚠",VLOOKUP(AC22,'G-4 Temporal multipliers'!$A$4:$C$37,3,FALSE)),"")</f>
        <v/>
      </c>
      <c r="AE22" s="537" t="str">
        <f>IF(N22="","",VLOOKUP(N22,'G-7 Rivers Data'!$B$4:$G$8,5,FALSE))</f>
        <v/>
      </c>
      <c r="AF22" s="520" t="str">
        <f t="shared" si="3"/>
        <v/>
      </c>
      <c r="AG22" s="520" t="str">
        <f t="shared" si="6"/>
        <v/>
      </c>
      <c r="AH22" s="524" t="str">
        <f t="shared" si="4"/>
        <v/>
      </c>
      <c r="AI22" s="145"/>
      <c r="AJ22" s="499" t="str">
        <f>IF(AI22="","",IF(VLOOKUP(AI22,'G-7 Rivers Data'!$AA$4:$AB$7,2,FALSE)=0,"Spatial Data Missing ⚠",VLOOKUP(AI22,'G-7 Rivers Data'!$AA$4:$AB$7,2,FALSE)))</f>
        <v/>
      </c>
      <c r="AK22" s="155"/>
      <c r="AL22" s="536" t="str">
        <f>IF(AK22="","",IF(VLOOKUP(AK22,'G-7 Rivers Data'!$AD$4:$AE$8,2,FALSE)=0,"Spatial Data Missing ⚠",VLOOKUP(AK22,'G-7 Rivers Data'!$AD$4:$AE$8,2,FALSE)))</f>
        <v/>
      </c>
      <c r="AM22" s="154"/>
      <c r="AN22" s="524" t="str">
        <f>IF(AM22="","",VLOOKUP(AM22,'G-7 Rivers Data'!$AO$4:$AP$7,2,FALSE))</f>
        <v/>
      </c>
      <c r="AO22" s="545" t="str">
        <f t="shared" si="7"/>
        <v/>
      </c>
      <c r="AP22" s="149"/>
      <c r="AQ22" s="150"/>
      <c r="AX22" s="31" t="str">
        <f>IFERROR(INDEX('G-7 Rivers Data'!$AZ$3:$AZ$7,MATCH(N22,'G-7 Rivers Data'!$AY$3:$AY$7,0)),"")</f>
        <v/>
      </c>
    </row>
    <row r="23" spans="2:50" ht="13.8" x14ac:dyDescent="0.25">
      <c r="B23" s="531" t="str">
        <f>'F-1 Off Site River Baseline'!AN21</f>
        <v/>
      </c>
      <c r="C23" s="520" t="str">
        <f>IF(B23="","",VLOOKUP($B23,'F-1 Off Site River Baseline'!$C$9:$R$257,2,FALSE))</f>
        <v/>
      </c>
      <c r="D23" s="520" t="str">
        <f>IF(C23="","",VLOOKUP($B23,'F-1 Off Site River Baseline'!$C$9:$R$257,3,FALSE))</f>
        <v/>
      </c>
      <c r="E23" s="520" t="str">
        <f>IF(D23="","",VLOOKUP($B23,'F-1 Off Site River Baseline'!$C$9:$R$257,4,FALSE))</f>
        <v/>
      </c>
      <c r="F23" s="520" t="str">
        <f>IF(E23="","",VLOOKUP($B23,'F-1 Off Site River Baseline'!$C$9:$R$257,5,FALSE))</f>
        <v/>
      </c>
      <c r="G23" s="520" t="str">
        <f>IF(F23="","",VLOOKUP($B23,'F-1 Off Site River Baseline'!$C$9:$R$257,6,FALSE))</f>
        <v/>
      </c>
      <c r="H23" s="520" t="str">
        <f>IF(G23="","",VLOOKUP($B23,'F-1 Off Site River Baseline'!$C$9:$R$257,7,FALSE))</f>
        <v/>
      </c>
      <c r="I23" s="520" t="str">
        <f>IF(H23="","",VLOOKUP($B23,'F-1 Off Site River Baseline'!$C$9:$R$257,8,FALSE))</f>
        <v/>
      </c>
      <c r="J23" s="520" t="str">
        <f>IF(I23="","",VLOOKUP($B23,'F-1 Off Site River Baseline'!$C$9:$R$257,9,FALSE))</f>
        <v/>
      </c>
      <c r="K23" s="520" t="str">
        <f>IF(J23="","",VLOOKUP($B23,'F-1 Off Site River Baseline'!$C$9:$R$257,10,FALSE))</f>
        <v/>
      </c>
      <c r="L23" s="520" t="str">
        <f>IF(B23="","",VLOOKUP($B23,'C-1 Site River Baseline'!$C$9:$R$257,15,FALSE))</f>
        <v/>
      </c>
      <c r="M23" s="524" t="str">
        <f>IF(L23="","",VLOOKUP($B23,'F-1 Off Site River Baseline'!$C$9:$R$257,16,FALSE))</f>
        <v/>
      </c>
      <c r="N23" s="418" t="str">
        <f t="shared" si="0"/>
        <v/>
      </c>
      <c r="O23" s="498" t="str">
        <f t="shared" si="5"/>
        <v/>
      </c>
      <c r="P23" s="499"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5" t="str">
        <f>IF(N23="","",VLOOKUP(B23,'F-1 Off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20" t="str">
        <f>IF(V23="","",IF(VLOOKUP(V23,'G-7 Rivers Data'!$AG$4:$AI$9,2,FALSE)=0,"Spatial Data Missing ⚠",VLOOKUP(V23,'G-7 Rivers Data'!$AG$4:$AI$9,2,FALSE)))</f>
        <v/>
      </c>
      <c r="X23" s="524" t="str">
        <f>IF(V23="","",IF(VLOOKUP(V23,'G-7 Rivers Data'!$AG$4:$AI$9,3,FALSE)=0,"Spatial Data Missing ⚠",VLOOKUP(V23,'G-7 Rivers Data'!$AG$4:$AI$9,3,FALSE)))</f>
        <v/>
      </c>
      <c r="Y23" s="537" t="str">
        <f>IFERROR(IF(OR(LEFT(P23,5)="Error ▲",LEFT(O23,5)="Error ▲"),"Check Data ⚠",IF(F23&lt;S23,'G-7 Rivers Data'!$R$3,INDEX('G-7 Rivers Data'!$U$5:$Y$9,MATCH(G23,'G-7 Rivers Data'!$T$5:$T$9,0),MATCH(T23,'G-7 Rivers Data'!$U$4:$Y$4,0)))),"")</f>
        <v/>
      </c>
      <c r="Z23" s="203"/>
      <c r="AA23" s="203"/>
      <c r="AB23" s="534" t="str">
        <f t="shared" si="1"/>
        <v/>
      </c>
      <c r="AC23" s="521" t="str">
        <f t="shared" si="2"/>
        <v/>
      </c>
      <c r="AD23" s="564" t="str">
        <f>IFERROR(IF(AC23="Check Data ⚠","Check Data ⚠",VLOOKUP(AC23,'G-4 Temporal multipliers'!$A$4:$C$37,3,FALSE)),"")</f>
        <v/>
      </c>
      <c r="AE23" s="537" t="str">
        <f>IF(N23="","",VLOOKUP(N23,'G-7 Rivers Data'!$B$4:$G$8,5,FALSE))</f>
        <v/>
      </c>
      <c r="AF23" s="520" t="str">
        <f t="shared" si="3"/>
        <v/>
      </c>
      <c r="AG23" s="520" t="str">
        <f t="shared" si="6"/>
        <v/>
      </c>
      <c r="AH23" s="524" t="str">
        <f t="shared" si="4"/>
        <v/>
      </c>
      <c r="AI23" s="145"/>
      <c r="AJ23" s="499" t="str">
        <f>IF(AI23="","",IF(VLOOKUP(AI23,'G-7 Rivers Data'!$AA$4:$AB$7,2,FALSE)=0,"Spatial Data Missing ⚠",VLOOKUP(AI23,'G-7 Rivers Data'!$AA$4:$AB$7,2,FALSE)))</f>
        <v/>
      </c>
      <c r="AK23" s="155"/>
      <c r="AL23" s="536" t="str">
        <f>IF(AK23="","",IF(VLOOKUP(AK23,'G-7 Rivers Data'!$AD$4:$AE$8,2,FALSE)=0,"Spatial Data Missing ⚠",VLOOKUP(AK23,'G-7 Rivers Data'!$AD$4:$AE$8,2,FALSE)))</f>
        <v/>
      </c>
      <c r="AM23" s="154"/>
      <c r="AN23" s="524" t="str">
        <f>IF(AM23="","",VLOOKUP(AM23,'G-7 Rivers Data'!$AO$4:$AP$7,2,FALSE))</f>
        <v/>
      </c>
      <c r="AO23" s="545" t="str">
        <f t="shared" si="7"/>
        <v/>
      </c>
      <c r="AP23" s="149"/>
      <c r="AQ23" s="150"/>
      <c r="AX23" s="31" t="str">
        <f>IFERROR(INDEX('G-7 Rivers Data'!$AZ$3:$AZ$7,MATCH(N23,'G-7 Rivers Data'!$AY$3:$AY$7,0)),"")</f>
        <v/>
      </c>
    </row>
    <row r="24" spans="2:50" ht="13.8" x14ac:dyDescent="0.25">
      <c r="B24" s="531" t="str">
        <f>'F-1 Off Site River Baseline'!AN22</f>
        <v/>
      </c>
      <c r="C24" s="520" t="str">
        <f>IF(B24="","",VLOOKUP($B24,'F-1 Off Site River Baseline'!$C$9:$R$257,2,FALSE))</f>
        <v/>
      </c>
      <c r="D24" s="520" t="str">
        <f>IF(C24="","",VLOOKUP($B24,'F-1 Off Site River Baseline'!$C$9:$R$257,3,FALSE))</f>
        <v/>
      </c>
      <c r="E24" s="520" t="str">
        <f>IF(D24="","",VLOOKUP($B24,'F-1 Off Site River Baseline'!$C$9:$R$257,4,FALSE))</f>
        <v/>
      </c>
      <c r="F24" s="520" t="str">
        <f>IF(E24="","",VLOOKUP($B24,'F-1 Off Site River Baseline'!$C$9:$R$257,5,FALSE))</f>
        <v/>
      </c>
      <c r="G24" s="520" t="str">
        <f>IF(F24="","",VLOOKUP($B24,'F-1 Off Site River Baseline'!$C$9:$R$257,6,FALSE))</f>
        <v/>
      </c>
      <c r="H24" s="520" t="str">
        <f>IF(G24="","",VLOOKUP($B24,'F-1 Off Site River Baseline'!$C$9:$R$257,7,FALSE))</f>
        <v/>
      </c>
      <c r="I24" s="520" t="str">
        <f>IF(H24="","",VLOOKUP($B24,'F-1 Off Site River Baseline'!$C$9:$R$257,8,FALSE))</f>
        <v/>
      </c>
      <c r="J24" s="520" t="str">
        <f>IF(I24="","",VLOOKUP($B24,'F-1 Off Site River Baseline'!$C$9:$R$257,9,FALSE))</f>
        <v/>
      </c>
      <c r="K24" s="520" t="str">
        <f>IF(J24="","",VLOOKUP($B24,'F-1 Off Site River Baseline'!$C$9:$R$257,10,FALSE))</f>
        <v/>
      </c>
      <c r="L24" s="520" t="str">
        <f>IF(B24="","",VLOOKUP($B24,'C-1 Site River Baseline'!$C$9:$R$257,15,FALSE))</f>
        <v/>
      </c>
      <c r="M24" s="524" t="str">
        <f>IF(L24="","",VLOOKUP($B24,'F-1 Off Site River Baseline'!$C$9:$R$257,16,FALSE))</f>
        <v/>
      </c>
      <c r="N24" s="418" t="str">
        <f t="shared" si="0"/>
        <v/>
      </c>
      <c r="O24" s="498" t="str">
        <f t="shared" si="5"/>
        <v/>
      </c>
      <c r="P24" s="499"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5" t="str">
        <f>IF(N24="","",VLOOKUP(B24,'F-1 Off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20" t="str">
        <f>IF(V24="","",IF(VLOOKUP(V24,'G-7 Rivers Data'!$AG$4:$AI$9,2,FALSE)=0,"Spatial Data Missing ⚠",VLOOKUP(V24,'G-7 Rivers Data'!$AG$4:$AI$9,2,FALSE)))</f>
        <v/>
      </c>
      <c r="X24" s="524" t="str">
        <f>IF(V24="","",IF(VLOOKUP(V24,'G-7 Rivers Data'!$AG$4:$AI$9,3,FALSE)=0,"Spatial Data Missing ⚠",VLOOKUP(V24,'G-7 Rivers Data'!$AG$4:$AI$9,3,FALSE)))</f>
        <v/>
      </c>
      <c r="Y24" s="537" t="str">
        <f>IFERROR(IF(OR(LEFT(P24,5)="Error ▲",LEFT(O24,5)="Error ▲"),"Check Data ⚠",IF(F24&lt;S24,'G-7 Rivers Data'!$R$3,INDEX('G-7 Rivers Data'!$U$5:$Y$9,MATCH(G24,'G-7 Rivers Data'!$T$5:$T$9,0),MATCH(T24,'G-7 Rivers Data'!$U$4:$Y$4,0)))),"")</f>
        <v/>
      </c>
      <c r="Z24" s="203"/>
      <c r="AA24" s="203"/>
      <c r="AB24" s="534" t="str">
        <f t="shared" si="1"/>
        <v/>
      </c>
      <c r="AC24" s="521" t="str">
        <f t="shared" si="2"/>
        <v/>
      </c>
      <c r="AD24" s="564" t="str">
        <f>IFERROR(IF(AC24="Check Data ⚠","Check Data ⚠",VLOOKUP(AC24,'G-4 Temporal multipliers'!$A$4:$C$37,3,FALSE)),"")</f>
        <v/>
      </c>
      <c r="AE24" s="537" t="str">
        <f>IF(N24="","",VLOOKUP(N24,'G-7 Rivers Data'!$B$4:$G$8,5,FALSE))</f>
        <v/>
      </c>
      <c r="AF24" s="520" t="str">
        <f t="shared" si="3"/>
        <v/>
      </c>
      <c r="AG24" s="520" t="str">
        <f t="shared" si="6"/>
        <v/>
      </c>
      <c r="AH24" s="524" t="str">
        <f t="shared" si="4"/>
        <v/>
      </c>
      <c r="AI24" s="145"/>
      <c r="AJ24" s="499" t="str">
        <f>IF(AI24="","",IF(VLOOKUP(AI24,'G-7 Rivers Data'!$AA$4:$AB$7,2,FALSE)=0,"Spatial Data Missing ⚠",VLOOKUP(AI24,'G-7 Rivers Data'!$AA$4:$AB$7,2,FALSE)))</f>
        <v/>
      </c>
      <c r="AK24" s="155"/>
      <c r="AL24" s="536" t="str">
        <f>IF(AK24="","",IF(VLOOKUP(AK24,'G-7 Rivers Data'!$AD$4:$AE$8,2,FALSE)=0,"Spatial Data Missing ⚠",VLOOKUP(AK24,'G-7 Rivers Data'!$AD$4:$AE$8,2,FALSE)))</f>
        <v/>
      </c>
      <c r="AM24" s="154"/>
      <c r="AN24" s="524" t="str">
        <f>IF(AM24="","",VLOOKUP(AM24,'G-7 Rivers Data'!$AO$4:$AP$7,2,FALSE))</f>
        <v/>
      </c>
      <c r="AO24" s="545" t="str">
        <f t="shared" si="7"/>
        <v/>
      </c>
      <c r="AP24" s="149"/>
      <c r="AQ24" s="150"/>
      <c r="AX24" s="31" t="str">
        <f>IFERROR(INDEX('G-7 Rivers Data'!$AZ$3:$AZ$7,MATCH(N24,'G-7 Rivers Data'!$AY$3:$AY$7,0)),"")</f>
        <v/>
      </c>
    </row>
    <row r="25" spans="2:50" ht="13.8" x14ac:dyDescent="0.25">
      <c r="B25" s="531" t="str">
        <f>'F-1 Off Site River Baseline'!AN23</f>
        <v/>
      </c>
      <c r="C25" s="520" t="str">
        <f>IF(B25="","",VLOOKUP($B25,'F-1 Off Site River Baseline'!$C$9:$R$257,2,FALSE))</f>
        <v/>
      </c>
      <c r="D25" s="520" t="str">
        <f>IF(C25="","",VLOOKUP($B25,'F-1 Off Site River Baseline'!$C$9:$R$257,3,FALSE))</f>
        <v/>
      </c>
      <c r="E25" s="520" t="str">
        <f>IF(D25="","",VLOOKUP($B25,'F-1 Off Site River Baseline'!$C$9:$R$257,4,FALSE))</f>
        <v/>
      </c>
      <c r="F25" s="520" t="str">
        <f>IF(E25="","",VLOOKUP($B25,'F-1 Off Site River Baseline'!$C$9:$R$257,5,FALSE))</f>
        <v/>
      </c>
      <c r="G25" s="520" t="str">
        <f>IF(F25="","",VLOOKUP($B25,'F-1 Off Site River Baseline'!$C$9:$R$257,6,FALSE))</f>
        <v/>
      </c>
      <c r="H25" s="520" t="str">
        <f>IF(G25="","",VLOOKUP($B25,'F-1 Off Site River Baseline'!$C$9:$R$257,7,FALSE))</f>
        <v/>
      </c>
      <c r="I25" s="520" t="str">
        <f>IF(H25="","",VLOOKUP($B25,'F-1 Off Site River Baseline'!$C$9:$R$257,8,FALSE))</f>
        <v/>
      </c>
      <c r="J25" s="520" t="str">
        <f>IF(I25="","",VLOOKUP($B25,'F-1 Off Site River Baseline'!$C$9:$R$257,9,FALSE))</f>
        <v/>
      </c>
      <c r="K25" s="520" t="str">
        <f>IF(J25="","",VLOOKUP($B25,'F-1 Off Site River Baseline'!$C$9:$R$257,10,FALSE))</f>
        <v/>
      </c>
      <c r="L25" s="520" t="str">
        <f>IF(B25="","",VLOOKUP($B25,'C-1 Site River Baseline'!$C$9:$R$257,15,FALSE))</f>
        <v/>
      </c>
      <c r="M25" s="524" t="str">
        <f>IF(L25="","",VLOOKUP($B25,'F-1 Off Site River Baseline'!$C$9:$R$257,16,FALSE))</f>
        <v/>
      </c>
      <c r="N25" s="418" t="str">
        <f t="shared" si="0"/>
        <v/>
      </c>
      <c r="O25" s="498" t="str">
        <f t="shared" si="5"/>
        <v/>
      </c>
      <c r="P25" s="499"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5" t="str">
        <f>IF(N25="","",VLOOKUP(B25,'F-1 Off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20" t="str">
        <f>IF(V25="","",IF(VLOOKUP(V25,'G-7 Rivers Data'!$AG$4:$AI$9,2,FALSE)=0,"Spatial Data Missing ⚠",VLOOKUP(V25,'G-7 Rivers Data'!$AG$4:$AI$9,2,FALSE)))</f>
        <v/>
      </c>
      <c r="X25" s="524" t="str">
        <f>IF(V25="","",IF(VLOOKUP(V25,'G-7 Rivers Data'!$AG$4:$AI$9,3,FALSE)=0,"Spatial Data Missing ⚠",VLOOKUP(V25,'G-7 Rivers Data'!$AG$4:$AI$9,3,FALSE)))</f>
        <v/>
      </c>
      <c r="Y25" s="537" t="str">
        <f>IFERROR(IF(OR(LEFT(P25,5)="Error ▲",LEFT(O25,5)="Error ▲"),"Check Data ⚠",IF(F25&lt;S25,'G-7 Rivers Data'!$R$3,INDEX('G-7 Rivers Data'!$U$5:$Y$9,MATCH(G25,'G-7 Rivers Data'!$T$5:$T$9,0),MATCH(T25,'G-7 Rivers Data'!$U$4:$Y$4,0)))),"")</f>
        <v/>
      </c>
      <c r="Z25" s="203"/>
      <c r="AA25" s="203"/>
      <c r="AB25" s="534" t="str">
        <f t="shared" si="1"/>
        <v/>
      </c>
      <c r="AC25" s="521" t="str">
        <f t="shared" si="2"/>
        <v/>
      </c>
      <c r="AD25" s="564" t="str">
        <f>IFERROR(IF(AC25="Check Data ⚠","Check Data ⚠",VLOOKUP(AC25,'G-4 Temporal multipliers'!$A$4:$C$37,3,FALSE)),"")</f>
        <v/>
      </c>
      <c r="AE25" s="537" t="str">
        <f>IF(N25="","",VLOOKUP(N25,'G-7 Rivers Data'!$B$4:$G$8,5,FALSE))</f>
        <v/>
      </c>
      <c r="AF25" s="520" t="str">
        <f t="shared" si="3"/>
        <v/>
      </c>
      <c r="AG25" s="520" t="str">
        <f t="shared" si="6"/>
        <v/>
      </c>
      <c r="AH25" s="524" t="str">
        <f t="shared" si="4"/>
        <v/>
      </c>
      <c r="AI25" s="145"/>
      <c r="AJ25" s="499" t="str">
        <f>IF(AI25="","",IF(VLOOKUP(AI25,'G-7 Rivers Data'!$AA$4:$AB$7,2,FALSE)=0,"Spatial Data Missing ⚠",VLOOKUP(AI25,'G-7 Rivers Data'!$AA$4:$AB$7,2,FALSE)))</f>
        <v/>
      </c>
      <c r="AK25" s="155"/>
      <c r="AL25" s="536" t="str">
        <f>IF(AK25="","",IF(VLOOKUP(AK25,'G-7 Rivers Data'!$AD$4:$AE$8,2,FALSE)=0,"Spatial Data Missing ⚠",VLOOKUP(AK25,'G-7 Rivers Data'!$AD$4:$AE$8,2,FALSE)))</f>
        <v/>
      </c>
      <c r="AM25" s="154"/>
      <c r="AN25" s="524" t="str">
        <f>IF(AM25="","",VLOOKUP(AM25,'G-7 Rivers Data'!$AO$4:$AP$7,2,FALSE))</f>
        <v/>
      </c>
      <c r="AO25" s="545" t="str">
        <f t="shared" si="7"/>
        <v/>
      </c>
      <c r="AP25" s="149"/>
      <c r="AQ25" s="150"/>
      <c r="AX25" s="31" t="str">
        <f>IFERROR(INDEX('G-7 Rivers Data'!$AZ$3:$AZ$7,MATCH(N25,'G-7 Rivers Data'!$AY$3:$AY$7,0)),"")</f>
        <v/>
      </c>
    </row>
    <row r="26" spans="2:50" ht="13.8" x14ac:dyDescent="0.25">
      <c r="B26" s="531" t="str">
        <f>'F-1 Off Site River Baseline'!AN24</f>
        <v/>
      </c>
      <c r="C26" s="520" t="str">
        <f>IF(B26="","",VLOOKUP($B26,'F-1 Off Site River Baseline'!$C$9:$R$257,2,FALSE))</f>
        <v/>
      </c>
      <c r="D26" s="520" t="str">
        <f>IF(C26="","",VLOOKUP($B26,'F-1 Off Site River Baseline'!$C$9:$R$257,3,FALSE))</f>
        <v/>
      </c>
      <c r="E26" s="520" t="str">
        <f>IF(D26="","",VLOOKUP($B26,'F-1 Off Site River Baseline'!$C$9:$R$257,4,FALSE))</f>
        <v/>
      </c>
      <c r="F26" s="520" t="str">
        <f>IF(E26="","",VLOOKUP($B26,'F-1 Off Site River Baseline'!$C$9:$R$257,5,FALSE))</f>
        <v/>
      </c>
      <c r="G26" s="520" t="str">
        <f>IF(F26="","",VLOOKUP($B26,'F-1 Off Site River Baseline'!$C$9:$R$257,6,FALSE))</f>
        <v/>
      </c>
      <c r="H26" s="520" t="str">
        <f>IF(G26="","",VLOOKUP($B26,'F-1 Off Site River Baseline'!$C$9:$R$257,7,FALSE))</f>
        <v/>
      </c>
      <c r="I26" s="520" t="str">
        <f>IF(H26="","",VLOOKUP($B26,'F-1 Off Site River Baseline'!$C$9:$R$257,8,FALSE))</f>
        <v/>
      </c>
      <c r="J26" s="520" t="str">
        <f>IF(I26="","",VLOOKUP($B26,'F-1 Off Site River Baseline'!$C$9:$R$257,9,FALSE))</f>
        <v/>
      </c>
      <c r="K26" s="520" t="str">
        <f>IF(J26="","",VLOOKUP($B26,'F-1 Off Site River Baseline'!$C$9:$R$257,10,FALSE))</f>
        <v/>
      </c>
      <c r="L26" s="520" t="str">
        <f>IF(B26="","",VLOOKUP($B26,'C-1 Site River Baseline'!$C$9:$R$257,15,FALSE))</f>
        <v/>
      </c>
      <c r="M26" s="524" t="str">
        <f>IF(L26="","",VLOOKUP($B26,'F-1 Off Site River Baseline'!$C$9:$R$257,16,FALSE))</f>
        <v/>
      </c>
      <c r="N26" s="418" t="str">
        <f t="shared" si="0"/>
        <v/>
      </c>
      <c r="O26" s="498" t="str">
        <f t="shared" si="5"/>
        <v/>
      </c>
      <c r="P26" s="499"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5" t="str">
        <f>IF(N26="","",VLOOKUP(B26,'F-1 Off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20" t="str">
        <f>IF(V26="","",IF(VLOOKUP(V26,'G-7 Rivers Data'!$AG$4:$AI$9,2,FALSE)=0,"Spatial Data Missing ⚠",VLOOKUP(V26,'G-7 Rivers Data'!$AG$4:$AI$9,2,FALSE)))</f>
        <v/>
      </c>
      <c r="X26" s="524" t="str">
        <f>IF(V26="","",IF(VLOOKUP(V26,'G-7 Rivers Data'!$AG$4:$AI$9,3,FALSE)=0,"Spatial Data Missing ⚠",VLOOKUP(V26,'G-7 Rivers Data'!$AG$4:$AI$9,3,FALSE)))</f>
        <v/>
      </c>
      <c r="Y26" s="537" t="str">
        <f>IFERROR(IF(OR(LEFT(P26,5)="Error ▲",LEFT(O26,5)="Error ▲"),"Check Data ⚠",IF(F26&lt;S26,'G-7 Rivers Data'!$R$3,INDEX('G-7 Rivers Data'!$U$5:$Y$9,MATCH(G26,'G-7 Rivers Data'!$T$5:$T$9,0),MATCH(T26,'G-7 Rivers Data'!$U$4:$Y$4,0)))),"")</f>
        <v/>
      </c>
      <c r="Z26" s="203"/>
      <c r="AA26" s="203"/>
      <c r="AB26" s="534" t="str">
        <f t="shared" si="1"/>
        <v/>
      </c>
      <c r="AC26" s="521" t="str">
        <f t="shared" si="2"/>
        <v/>
      </c>
      <c r="AD26" s="564" t="str">
        <f>IFERROR(IF(AC26="Check Data ⚠","Check Data ⚠",VLOOKUP(AC26,'G-4 Temporal multipliers'!$A$4:$C$37,3,FALSE)),"")</f>
        <v/>
      </c>
      <c r="AE26" s="537" t="str">
        <f>IF(N26="","",VLOOKUP(N26,'G-7 Rivers Data'!$B$4:$G$8,5,FALSE))</f>
        <v/>
      </c>
      <c r="AF26" s="520" t="str">
        <f t="shared" si="3"/>
        <v/>
      </c>
      <c r="AG26" s="520" t="str">
        <f t="shared" si="6"/>
        <v/>
      </c>
      <c r="AH26" s="524" t="str">
        <f t="shared" si="4"/>
        <v/>
      </c>
      <c r="AI26" s="145"/>
      <c r="AJ26" s="499" t="str">
        <f>IF(AI26="","",IF(VLOOKUP(AI26,'G-7 Rivers Data'!$AA$4:$AB$7,2,FALSE)=0,"Spatial Data Missing ⚠",VLOOKUP(AI26,'G-7 Rivers Data'!$AA$4:$AB$7,2,FALSE)))</f>
        <v/>
      </c>
      <c r="AK26" s="155"/>
      <c r="AL26" s="536" t="str">
        <f>IF(AK26="","",IF(VLOOKUP(AK26,'G-7 Rivers Data'!$AD$4:$AE$8,2,FALSE)=0,"Spatial Data Missing ⚠",VLOOKUP(AK26,'G-7 Rivers Data'!$AD$4:$AE$8,2,FALSE)))</f>
        <v/>
      </c>
      <c r="AM26" s="154"/>
      <c r="AN26" s="524" t="str">
        <f>IF(AM26="","",VLOOKUP(AM26,'G-7 Rivers Data'!$AO$4:$AP$7,2,FALSE))</f>
        <v/>
      </c>
      <c r="AO26" s="545" t="str">
        <f t="shared" si="7"/>
        <v/>
      </c>
      <c r="AP26" s="149"/>
      <c r="AQ26" s="150"/>
      <c r="AX26" s="31" t="str">
        <f>IFERROR(INDEX('G-7 Rivers Data'!$AZ$3:$AZ$7,MATCH(N26,'G-7 Rivers Data'!$AY$3:$AY$7,0)),"")</f>
        <v/>
      </c>
    </row>
    <row r="27" spans="2:50" ht="13.8" x14ac:dyDescent="0.25">
      <c r="B27" s="531" t="str">
        <f>'F-1 Off Site River Baseline'!AN25</f>
        <v/>
      </c>
      <c r="C27" s="520" t="str">
        <f>IF(B27="","",VLOOKUP($B27,'F-1 Off Site River Baseline'!$C$9:$R$257,2,FALSE))</f>
        <v/>
      </c>
      <c r="D27" s="520" t="str">
        <f>IF(C27="","",VLOOKUP($B27,'F-1 Off Site River Baseline'!$C$9:$R$257,3,FALSE))</f>
        <v/>
      </c>
      <c r="E27" s="520" t="str">
        <f>IF(D27="","",VLOOKUP($B27,'F-1 Off Site River Baseline'!$C$9:$R$257,4,FALSE))</f>
        <v/>
      </c>
      <c r="F27" s="520" t="str">
        <f>IF(E27="","",VLOOKUP($B27,'F-1 Off Site River Baseline'!$C$9:$R$257,5,FALSE))</f>
        <v/>
      </c>
      <c r="G27" s="520" t="str">
        <f>IF(F27="","",VLOOKUP($B27,'F-1 Off Site River Baseline'!$C$9:$R$257,6,FALSE))</f>
        <v/>
      </c>
      <c r="H27" s="520" t="str">
        <f>IF(G27="","",VLOOKUP($B27,'F-1 Off Site River Baseline'!$C$9:$R$257,7,FALSE))</f>
        <v/>
      </c>
      <c r="I27" s="520" t="str">
        <f>IF(H27="","",VLOOKUP($B27,'F-1 Off Site River Baseline'!$C$9:$R$257,8,FALSE))</f>
        <v/>
      </c>
      <c r="J27" s="520" t="str">
        <f>IF(I27="","",VLOOKUP($B27,'F-1 Off Site River Baseline'!$C$9:$R$257,9,FALSE))</f>
        <v/>
      </c>
      <c r="K27" s="520" t="str">
        <f>IF(J27="","",VLOOKUP($B27,'F-1 Off Site River Baseline'!$C$9:$R$257,10,FALSE))</f>
        <v/>
      </c>
      <c r="L27" s="520" t="str">
        <f>IF(B27="","",VLOOKUP($B27,'C-1 Site River Baseline'!$C$9:$R$257,15,FALSE))</f>
        <v/>
      </c>
      <c r="M27" s="524" t="str">
        <f>IF(L27="","",VLOOKUP($B27,'F-1 Off Site River Baseline'!$C$9:$R$257,16,FALSE))</f>
        <v/>
      </c>
      <c r="N27" s="418" t="str">
        <f t="shared" si="0"/>
        <v/>
      </c>
      <c r="O27" s="498" t="str">
        <f t="shared" si="5"/>
        <v/>
      </c>
      <c r="P27" s="499"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5" t="str">
        <f>IF(N27="","",VLOOKUP(B27,'F-1 Off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20" t="str">
        <f>IF(V27="","",IF(VLOOKUP(V27,'G-7 Rivers Data'!$AG$4:$AI$9,2,FALSE)=0,"Spatial Data Missing ⚠",VLOOKUP(V27,'G-7 Rivers Data'!$AG$4:$AI$9,2,FALSE)))</f>
        <v/>
      </c>
      <c r="X27" s="524" t="str">
        <f>IF(V27="","",IF(VLOOKUP(V27,'G-7 Rivers Data'!$AG$4:$AI$9,3,FALSE)=0,"Spatial Data Missing ⚠",VLOOKUP(V27,'G-7 Rivers Data'!$AG$4:$AI$9,3,FALSE)))</f>
        <v/>
      </c>
      <c r="Y27" s="537" t="str">
        <f>IFERROR(IF(OR(LEFT(P27,5)="Error ▲",LEFT(O27,5)="Error ▲"),"Check Data ⚠",IF(F27&lt;S27,'G-7 Rivers Data'!$R$3,INDEX('G-7 Rivers Data'!$U$5:$Y$9,MATCH(G27,'G-7 Rivers Data'!$T$5:$T$9,0),MATCH(T27,'G-7 Rivers Data'!$U$4:$Y$4,0)))),"")</f>
        <v/>
      </c>
      <c r="Z27" s="203"/>
      <c r="AA27" s="203"/>
      <c r="AB27" s="534" t="str">
        <f t="shared" si="1"/>
        <v/>
      </c>
      <c r="AC27" s="521" t="str">
        <f t="shared" si="2"/>
        <v/>
      </c>
      <c r="AD27" s="564" t="str">
        <f>IFERROR(IF(AC27="Check Data ⚠","Check Data ⚠",VLOOKUP(AC27,'G-4 Temporal multipliers'!$A$4:$C$37,3,FALSE)),"")</f>
        <v/>
      </c>
      <c r="AE27" s="537" t="str">
        <f>IF(N27="","",VLOOKUP(N27,'G-7 Rivers Data'!$B$4:$G$8,5,FALSE))</f>
        <v/>
      </c>
      <c r="AF27" s="520" t="str">
        <f t="shared" si="3"/>
        <v/>
      </c>
      <c r="AG27" s="520" t="str">
        <f t="shared" si="6"/>
        <v/>
      </c>
      <c r="AH27" s="524" t="str">
        <f t="shared" si="4"/>
        <v/>
      </c>
      <c r="AI27" s="145"/>
      <c r="AJ27" s="499" t="str">
        <f>IF(AI27="","",IF(VLOOKUP(AI27,'G-7 Rivers Data'!$AA$4:$AB$7,2,FALSE)=0,"Spatial Data Missing ⚠",VLOOKUP(AI27,'G-7 Rivers Data'!$AA$4:$AB$7,2,FALSE)))</f>
        <v/>
      </c>
      <c r="AK27" s="155"/>
      <c r="AL27" s="536" t="str">
        <f>IF(AK27="","",IF(VLOOKUP(AK27,'G-7 Rivers Data'!$AD$4:$AE$8,2,FALSE)=0,"Spatial Data Missing ⚠",VLOOKUP(AK27,'G-7 Rivers Data'!$AD$4:$AE$8,2,FALSE)))</f>
        <v/>
      </c>
      <c r="AM27" s="154"/>
      <c r="AN27" s="524" t="str">
        <f>IF(AM27="","",VLOOKUP(AM27,'G-7 Rivers Data'!$AO$4:$AP$7,2,FALSE))</f>
        <v/>
      </c>
      <c r="AO27" s="545" t="str">
        <f t="shared" si="7"/>
        <v/>
      </c>
      <c r="AP27" s="149"/>
      <c r="AQ27" s="150"/>
      <c r="AX27" s="31" t="str">
        <f>IFERROR(INDEX('G-7 Rivers Data'!$AZ$3:$AZ$7,MATCH(N27,'G-7 Rivers Data'!$AY$3:$AY$7,0)),"")</f>
        <v/>
      </c>
    </row>
    <row r="28" spans="2:50" ht="13.8" x14ac:dyDescent="0.25">
      <c r="B28" s="531" t="str">
        <f>'F-1 Off Site River Baseline'!AN26</f>
        <v/>
      </c>
      <c r="C28" s="520" t="str">
        <f>IF(B28="","",VLOOKUP($B28,'F-1 Off Site River Baseline'!$C$9:$R$257,2,FALSE))</f>
        <v/>
      </c>
      <c r="D28" s="520" t="str">
        <f>IF(C28="","",VLOOKUP($B28,'F-1 Off Site River Baseline'!$C$9:$R$257,3,FALSE))</f>
        <v/>
      </c>
      <c r="E28" s="520" t="str">
        <f>IF(D28="","",VLOOKUP($B28,'F-1 Off Site River Baseline'!$C$9:$R$257,4,FALSE))</f>
        <v/>
      </c>
      <c r="F28" s="520" t="str">
        <f>IF(E28="","",VLOOKUP($B28,'F-1 Off Site River Baseline'!$C$9:$R$257,5,FALSE))</f>
        <v/>
      </c>
      <c r="G28" s="520" t="str">
        <f>IF(F28="","",VLOOKUP($B28,'F-1 Off Site River Baseline'!$C$9:$R$257,6,FALSE))</f>
        <v/>
      </c>
      <c r="H28" s="520" t="str">
        <f>IF(G28="","",VLOOKUP($B28,'F-1 Off Site River Baseline'!$C$9:$R$257,7,FALSE))</f>
        <v/>
      </c>
      <c r="I28" s="520" t="str">
        <f>IF(H28="","",VLOOKUP($B28,'F-1 Off Site River Baseline'!$C$9:$R$257,8,FALSE))</f>
        <v/>
      </c>
      <c r="J28" s="520" t="str">
        <f>IF(I28="","",VLOOKUP($B28,'F-1 Off Site River Baseline'!$C$9:$R$257,9,FALSE))</f>
        <v/>
      </c>
      <c r="K28" s="520" t="str">
        <f>IF(J28="","",VLOOKUP($B28,'F-1 Off Site River Baseline'!$C$9:$R$257,10,FALSE))</f>
        <v/>
      </c>
      <c r="L28" s="520" t="str">
        <f>IF(B28="","",VLOOKUP($B28,'C-1 Site River Baseline'!$C$9:$R$257,15,FALSE))</f>
        <v/>
      </c>
      <c r="M28" s="524" t="str">
        <f>IF(L28="","",VLOOKUP($B28,'F-1 Off Site River Baseline'!$C$9:$R$257,16,FALSE))</f>
        <v/>
      </c>
      <c r="N28" s="418" t="str">
        <f t="shared" si="0"/>
        <v/>
      </c>
      <c r="O28" s="498" t="str">
        <f t="shared" si="5"/>
        <v/>
      </c>
      <c r="P28" s="499"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5" t="str">
        <f>IF(N28="","",VLOOKUP(B28,'F-1 Off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20" t="str">
        <f>IF(V28="","",IF(VLOOKUP(V28,'G-7 Rivers Data'!$AG$4:$AI$9,2,FALSE)=0,"Spatial Data Missing ⚠",VLOOKUP(V28,'G-7 Rivers Data'!$AG$4:$AI$9,2,FALSE)))</f>
        <v/>
      </c>
      <c r="X28" s="524" t="str">
        <f>IF(V28="","",IF(VLOOKUP(V28,'G-7 Rivers Data'!$AG$4:$AI$9,3,FALSE)=0,"Spatial Data Missing ⚠",VLOOKUP(V28,'G-7 Rivers Data'!$AG$4:$AI$9,3,FALSE)))</f>
        <v/>
      </c>
      <c r="Y28" s="537" t="str">
        <f>IFERROR(IF(OR(LEFT(P28,5)="Error ▲",LEFT(O28,5)="Error ▲"),"Check Data ⚠",IF(F28&lt;S28,'G-7 Rivers Data'!$R$3,INDEX('G-7 Rivers Data'!$U$5:$Y$9,MATCH(G28,'G-7 Rivers Data'!$T$5:$T$9,0),MATCH(T28,'G-7 Rivers Data'!$U$4:$Y$4,0)))),"")</f>
        <v/>
      </c>
      <c r="Z28" s="203"/>
      <c r="AA28" s="203"/>
      <c r="AB28" s="534" t="str">
        <f t="shared" si="1"/>
        <v/>
      </c>
      <c r="AC28" s="521" t="str">
        <f t="shared" si="2"/>
        <v/>
      </c>
      <c r="AD28" s="564" t="str">
        <f>IFERROR(IF(AC28="Check Data ⚠","Check Data ⚠",VLOOKUP(AC28,'G-4 Temporal multipliers'!$A$4:$C$37,3,FALSE)),"")</f>
        <v/>
      </c>
      <c r="AE28" s="537" t="str">
        <f>IF(N28="","",VLOOKUP(N28,'G-7 Rivers Data'!$B$4:$G$8,5,FALSE))</f>
        <v/>
      </c>
      <c r="AF28" s="520" t="str">
        <f t="shared" si="3"/>
        <v/>
      </c>
      <c r="AG28" s="520" t="str">
        <f t="shared" si="6"/>
        <v/>
      </c>
      <c r="AH28" s="524" t="str">
        <f t="shared" si="4"/>
        <v/>
      </c>
      <c r="AI28" s="145"/>
      <c r="AJ28" s="499" t="str">
        <f>IF(AI28="","",IF(VLOOKUP(AI28,'G-7 Rivers Data'!$AA$4:$AB$7,2,FALSE)=0,"Spatial Data Missing ⚠",VLOOKUP(AI28,'G-7 Rivers Data'!$AA$4:$AB$7,2,FALSE)))</f>
        <v/>
      </c>
      <c r="AK28" s="155"/>
      <c r="AL28" s="536" t="str">
        <f>IF(AK28="","",IF(VLOOKUP(AK28,'G-7 Rivers Data'!$AD$4:$AE$8,2,FALSE)=0,"Spatial Data Missing ⚠",VLOOKUP(AK28,'G-7 Rivers Data'!$AD$4:$AE$8,2,FALSE)))</f>
        <v/>
      </c>
      <c r="AM28" s="154"/>
      <c r="AN28" s="524" t="str">
        <f>IF(AM28="","",VLOOKUP(AM28,'G-7 Rivers Data'!$AO$4:$AP$7,2,FALSE))</f>
        <v/>
      </c>
      <c r="AO28" s="545" t="str">
        <f t="shared" si="7"/>
        <v/>
      </c>
      <c r="AP28" s="149"/>
      <c r="AQ28" s="150"/>
      <c r="AX28" s="31" t="str">
        <f>IFERROR(INDEX('G-7 Rivers Data'!$AZ$3:$AZ$7,MATCH(N28,'G-7 Rivers Data'!$AY$3:$AY$7,0)),"")</f>
        <v/>
      </c>
    </row>
    <row r="29" spans="2:50" ht="13.8" x14ac:dyDescent="0.25">
      <c r="B29" s="531" t="str">
        <f>'F-1 Off Site River Baseline'!AN27</f>
        <v/>
      </c>
      <c r="C29" s="520" t="str">
        <f>IF(B29="","",VLOOKUP($B29,'F-1 Off Site River Baseline'!$C$9:$R$257,2,FALSE))</f>
        <v/>
      </c>
      <c r="D29" s="520" t="str">
        <f>IF(C29="","",VLOOKUP($B29,'F-1 Off Site River Baseline'!$C$9:$R$257,3,FALSE))</f>
        <v/>
      </c>
      <c r="E29" s="520" t="str">
        <f>IF(D29="","",VLOOKUP($B29,'F-1 Off Site River Baseline'!$C$9:$R$257,4,FALSE))</f>
        <v/>
      </c>
      <c r="F29" s="520" t="str">
        <f>IF(E29="","",VLOOKUP($B29,'F-1 Off Site River Baseline'!$C$9:$R$257,5,FALSE))</f>
        <v/>
      </c>
      <c r="G29" s="520" t="str">
        <f>IF(F29="","",VLOOKUP($B29,'F-1 Off Site River Baseline'!$C$9:$R$257,6,FALSE))</f>
        <v/>
      </c>
      <c r="H29" s="520" t="str">
        <f>IF(G29="","",VLOOKUP($B29,'F-1 Off Site River Baseline'!$C$9:$R$257,7,FALSE))</f>
        <v/>
      </c>
      <c r="I29" s="520" t="str">
        <f>IF(H29="","",VLOOKUP($B29,'F-1 Off Site River Baseline'!$C$9:$R$257,8,FALSE))</f>
        <v/>
      </c>
      <c r="J29" s="520" t="str">
        <f>IF(I29="","",VLOOKUP($B29,'F-1 Off Site River Baseline'!$C$9:$R$257,9,FALSE))</f>
        <v/>
      </c>
      <c r="K29" s="520" t="str">
        <f>IF(J29="","",VLOOKUP($B29,'F-1 Off Site River Baseline'!$C$9:$R$257,10,FALSE))</f>
        <v/>
      </c>
      <c r="L29" s="520" t="str">
        <f>IF(B29="","",VLOOKUP($B29,'C-1 Site River Baseline'!$C$9:$R$257,15,FALSE))</f>
        <v/>
      </c>
      <c r="M29" s="524" t="str">
        <f>IF(L29="","",VLOOKUP($B29,'F-1 Off Site River Baseline'!$C$9:$R$257,16,FALSE))</f>
        <v/>
      </c>
      <c r="N29" s="418" t="str">
        <f t="shared" si="0"/>
        <v/>
      </c>
      <c r="O29" s="498" t="str">
        <f t="shared" si="5"/>
        <v/>
      </c>
      <c r="P29" s="499"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5" t="str">
        <f>IF(N29="","",VLOOKUP(B29,'F-1 Off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20" t="str">
        <f>IF(V29="","",IF(VLOOKUP(V29,'G-7 Rivers Data'!$AG$4:$AI$9,2,FALSE)=0,"Spatial Data Missing ⚠",VLOOKUP(V29,'G-7 Rivers Data'!$AG$4:$AI$9,2,FALSE)))</f>
        <v/>
      </c>
      <c r="X29" s="524" t="str">
        <f>IF(V29="","",IF(VLOOKUP(V29,'G-7 Rivers Data'!$AG$4:$AI$9,3,FALSE)=0,"Spatial Data Missing ⚠",VLOOKUP(V29,'G-7 Rivers Data'!$AG$4:$AI$9,3,FALSE)))</f>
        <v/>
      </c>
      <c r="Y29" s="537" t="str">
        <f>IFERROR(IF(OR(LEFT(P29,5)="Error ▲",LEFT(O29,5)="Error ▲"),"Check Data ⚠",IF(F29&lt;S29,'G-7 Rivers Data'!$R$3,INDEX('G-7 Rivers Data'!$U$5:$Y$9,MATCH(G29,'G-7 Rivers Data'!$T$5:$T$9,0),MATCH(T29,'G-7 Rivers Data'!$U$4:$Y$4,0)))),"")</f>
        <v/>
      </c>
      <c r="Z29" s="203"/>
      <c r="AA29" s="203"/>
      <c r="AB29" s="534" t="str">
        <f t="shared" si="1"/>
        <v/>
      </c>
      <c r="AC29" s="521" t="str">
        <f t="shared" si="2"/>
        <v/>
      </c>
      <c r="AD29" s="564" t="str">
        <f>IFERROR(IF(AC29="Check Data ⚠","Check Data ⚠",VLOOKUP(AC29,'G-4 Temporal multipliers'!$A$4:$C$37,3,FALSE)),"")</f>
        <v/>
      </c>
      <c r="AE29" s="537" t="str">
        <f>IF(N29="","",VLOOKUP(N29,'G-7 Rivers Data'!$B$4:$G$8,5,FALSE))</f>
        <v/>
      </c>
      <c r="AF29" s="520" t="str">
        <f t="shared" si="3"/>
        <v/>
      </c>
      <c r="AG29" s="520" t="str">
        <f t="shared" si="6"/>
        <v/>
      </c>
      <c r="AH29" s="524" t="str">
        <f t="shared" si="4"/>
        <v/>
      </c>
      <c r="AI29" s="145"/>
      <c r="AJ29" s="499" t="str">
        <f>IF(AI29="","",IF(VLOOKUP(AI29,'G-7 Rivers Data'!$AA$4:$AB$7,2,FALSE)=0,"Spatial Data Missing ⚠",VLOOKUP(AI29,'G-7 Rivers Data'!$AA$4:$AB$7,2,FALSE)))</f>
        <v/>
      </c>
      <c r="AK29" s="155"/>
      <c r="AL29" s="536" t="str">
        <f>IF(AK29="","",IF(VLOOKUP(AK29,'G-7 Rivers Data'!$AD$4:$AE$8,2,FALSE)=0,"Spatial Data Missing ⚠",VLOOKUP(AK29,'G-7 Rivers Data'!$AD$4:$AE$8,2,FALSE)))</f>
        <v/>
      </c>
      <c r="AM29" s="154"/>
      <c r="AN29" s="524" t="str">
        <f>IF(AM29="","",VLOOKUP(AM29,'G-7 Rivers Data'!$AO$4:$AP$7,2,FALSE))</f>
        <v/>
      </c>
      <c r="AO29" s="545" t="str">
        <f t="shared" si="7"/>
        <v/>
      </c>
      <c r="AP29" s="149"/>
      <c r="AQ29" s="150"/>
      <c r="AX29" s="31" t="str">
        <f>IFERROR(INDEX('G-7 Rivers Data'!$AZ$3:$AZ$7,MATCH(N29,'G-7 Rivers Data'!$AY$3:$AY$7,0)),"")</f>
        <v/>
      </c>
    </row>
    <row r="30" spans="2:50" ht="13.8" x14ac:dyDescent="0.25">
      <c r="B30" s="531" t="str">
        <f>'F-1 Off Site River Baseline'!AN28</f>
        <v/>
      </c>
      <c r="C30" s="520" t="str">
        <f>IF(B30="","",VLOOKUP($B30,'F-1 Off Site River Baseline'!$C$9:$R$257,2,FALSE))</f>
        <v/>
      </c>
      <c r="D30" s="520" t="str">
        <f>IF(C30="","",VLOOKUP($B30,'F-1 Off Site River Baseline'!$C$9:$R$257,3,FALSE))</f>
        <v/>
      </c>
      <c r="E30" s="520" t="str">
        <f>IF(D30="","",VLOOKUP($B30,'F-1 Off Site River Baseline'!$C$9:$R$257,4,FALSE))</f>
        <v/>
      </c>
      <c r="F30" s="520" t="str">
        <f>IF(E30="","",VLOOKUP($B30,'F-1 Off Site River Baseline'!$C$9:$R$257,5,FALSE))</f>
        <v/>
      </c>
      <c r="G30" s="520" t="str">
        <f>IF(F30="","",VLOOKUP($B30,'F-1 Off Site River Baseline'!$C$9:$R$257,6,FALSE))</f>
        <v/>
      </c>
      <c r="H30" s="520" t="str">
        <f>IF(G30="","",VLOOKUP($B30,'F-1 Off Site River Baseline'!$C$9:$R$257,7,FALSE))</f>
        <v/>
      </c>
      <c r="I30" s="520" t="str">
        <f>IF(H30="","",VLOOKUP($B30,'F-1 Off Site River Baseline'!$C$9:$R$257,8,FALSE))</f>
        <v/>
      </c>
      <c r="J30" s="520" t="str">
        <f>IF(I30="","",VLOOKUP($B30,'F-1 Off Site River Baseline'!$C$9:$R$257,9,FALSE))</f>
        <v/>
      </c>
      <c r="K30" s="520" t="str">
        <f>IF(J30="","",VLOOKUP($B30,'F-1 Off Site River Baseline'!$C$9:$R$257,10,FALSE))</f>
        <v/>
      </c>
      <c r="L30" s="520" t="str">
        <f>IF(B30="","",VLOOKUP($B30,'C-1 Site River Baseline'!$C$9:$R$257,15,FALSE))</f>
        <v/>
      </c>
      <c r="M30" s="524" t="str">
        <f>IF(L30="","",VLOOKUP($B30,'F-1 Off Site River Baseline'!$C$9:$R$257,16,FALSE))</f>
        <v/>
      </c>
      <c r="N30" s="418" t="str">
        <f t="shared" si="0"/>
        <v/>
      </c>
      <c r="O30" s="498" t="str">
        <f t="shared" si="5"/>
        <v/>
      </c>
      <c r="P30" s="499"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5" t="str">
        <f>IF(N30="","",VLOOKUP(B30,'F-1 Off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20" t="str">
        <f>IF(V30="","",IF(VLOOKUP(V30,'G-7 Rivers Data'!$AG$4:$AI$9,2,FALSE)=0,"Spatial Data Missing ⚠",VLOOKUP(V30,'G-7 Rivers Data'!$AG$4:$AI$9,2,FALSE)))</f>
        <v/>
      </c>
      <c r="X30" s="524" t="str">
        <f>IF(V30="","",IF(VLOOKUP(V30,'G-7 Rivers Data'!$AG$4:$AI$9,3,FALSE)=0,"Spatial Data Missing ⚠",VLOOKUP(V30,'G-7 Rivers Data'!$AG$4:$AI$9,3,FALSE)))</f>
        <v/>
      </c>
      <c r="Y30" s="537" t="str">
        <f>IFERROR(IF(OR(LEFT(P30,5)="Error ▲",LEFT(O30,5)="Error ▲"),"Check Data ⚠",IF(F30&lt;S30,'G-7 Rivers Data'!$R$3,INDEX('G-7 Rivers Data'!$U$5:$Y$9,MATCH(G30,'G-7 Rivers Data'!$T$5:$T$9,0),MATCH(T30,'G-7 Rivers Data'!$U$4:$Y$4,0)))),"")</f>
        <v/>
      </c>
      <c r="Z30" s="203"/>
      <c r="AA30" s="203"/>
      <c r="AB30" s="534" t="str">
        <f t="shared" si="1"/>
        <v/>
      </c>
      <c r="AC30" s="521" t="str">
        <f t="shared" si="2"/>
        <v/>
      </c>
      <c r="AD30" s="564" t="str">
        <f>IFERROR(IF(AC30="Check Data ⚠","Check Data ⚠",VLOOKUP(AC30,'G-4 Temporal multipliers'!$A$4:$C$37,3,FALSE)),"")</f>
        <v/>
      </c>
      <c r="AE30" s="537" t="str">
        <f>IF(N30="","",VLOOKUP(N30,'G-7 Rivers Data'!$B$4:$G$8,5,FALSE))</f>
        <v/>
      </c>
      <c r="AF30" s="520" t="str">
        <f t="shared" si="3"/>
        <v/>
      </c>
      <c r="AG30" s="520" t="str">
        <f t="shared" si="6"/>
        <v/>
      </c>
      <c r="AH30" s="524" t="str">
        <f t="shared" si="4"/>
        <v/>
      </c>
      <c r="AI30" s="145"/>
      <c r="AJ30" s="499" t="str">
        <f>IF(AI30="","",IF(VLOOKUP(AI30,'G-7 Rivers Data'!$AA$4:$AB$7,2,FALSE)=0,"Spatial Data Missing ⚠",VLOOKUP(AI30,'G-7 Rivers Data'!$AA$4:$AB$7,2,FALSE)))</f>
        <v/>
      </c>
      <c r="AK30" s="155"/>
      <c r="AL30" s="536" t="str">
        <f>IF(AK30="","",IF(VLOOKUP(AK30,'G-7 Rivers Data'!$AD$4:$AE$8,2,FALSE)=0,"Spatial Data Missing ⚠",VLOOKUP(AK30,'G-7 Rivers Data'!$AD$4:$AE$8,2,FALSE)))</f>
        <v/>
      </c>
      <c r="AM30" s="154"/>
      <c r="AN30" s="524" t="str">
        <f>IF(AM30="","",VLOOKUP(AM30,'G-7 Rivers Data'!$AO$4:$AP$7,2,FALSE))</f>
        <v/>
      </c>
      <c r="AO30" s="545" t="str">
        <f t="shared" si="7"/>
        <v/>
      </c>
      <c r="AP30" s="149"/>
      <c r="AQ30" s="150"/>
      <c r="AX30" s="31" t="str">
        <f>IFERROR(INDEX('G-7 Rivers Data'!$AZ$3:$AZ$7,MATCH(N30,'G-7 Rivers Data'!$AY$3:$AY$7,0)),"")</f>
        <v/>
      </c>
    </row>
    <row r="31" spans="2:50" ht="13.8" x14ac:dyDescent="0.25">
      <c r="B31" s="531" t="str">
        <f>'F-1 Off Site River Baseline'!AN29</f>
        <v/>
      </c>
      <c r="C31" s="520" t="str">
        <f>IF(B31="","",VLOOKUP($B31,'F-1 Off Site River Baseline'!$C$9:$R$257,2,FALSE))</f>
        <v/>
      </c>
      <c r="D31" s="520" t="str">
        <f>IF(C31="","",VLOOKUP($B31,'F-1 Off Site River Baseline'!$C$9:$R$257,3,FALSE))</f>
        <v/>
      </c>
      <c r="E31" s="520" t="str">
        <f>IF(D31="","",VLOOKUP($B31,'F-1 Off Site River Baseline'!$C$9:$R$257,4,FALSE))</f>
        <v/>
      </c>
      <c r="F31" s="520" t="str">
        <f>IF(E31="","",VLOOKUP($B31,'F-1 Off Site River Baseline'!$C$9:$R$257,5,FALSE))</f>
        <v/>
      </c>
      <c r="G31" s="520" t="str">
        <f>IF(F31="","",VLOOKUP($B31,'F-1 Off Site River Baseline'!$C$9:$R$257,6,FALSE))</f>
        <v/>
      </c>
      <c r="H31" s="520" t="str">
        <f>IF(G31="","",VLOOKUP($B31,'F-1 Off Site River Baseline'!$C$9:$R$257,7,FALSE))</f>
        <v/>
      </c>
      <c r="I31" s="520" t="str">
        <f>IF(H31="","",VLOOKUP($B31,'F-1 Off Site River Baseline'!$C$9:$R$257,8,FALSE))</f>
        <v/>
      </c>
      <c r="J31" s="520" t="str">
        <f>IF(I31="","",VLOOKUP($B31,'F-1 Off Site River Baseline'!$C$9:$R$257,9,FALSE))</f>
        <v/>
      </c>
      <c r="K31" s="520" t="str">
        <f>IF(J31="","",VLOOKUP($B31,'F-1 Off Site River Baseline'!$C$9:$R$257,10,FALSE))</f>
        <v/>
      </c>
      <c r="L31" s="520" t="str">
        <f>IF(B31="","",VLOOKUP($B31,'C-1 Site River Baseline'!$C$9:$R$257,15,FALSE))</f>
        <v/>
      </c>
      <c r="M31" s="524" t="str">
        <f>IF(L31="","",VLOOKUP($B31,'F-1 Off Site River Baseline'!$C$9:$R$257,16,FALSE))</f>
        <v/>
      </c>
      <c r="N31" s="418" t="str">
        <f t="shared" si="0"/>
        <v/>
      </c>
      <c r="O31" s="498" t="str">
        <f t="shared" si="5"/>
        <v/>
      </c>
      <c r="P31" s="499"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5" t="str">
        <f>IF(N31="","",VLOOKUP(B31,'F-1 Off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20" t="str">
        <f>IF(V31="","",IF(VLOOKUP(V31,'G-7 Rivers Data'!$AG$4:$AI$9,2,FALSE)=0,"Spatial Data Missing ⚠",VLOOKUP(V31,'G-7 Rivers Data'!$AG$4:$AI$9,2,FALSE)))</f>
        <v/>
      </c>
      <c r="X31" s="524" t="str">
        <f>IF(V31="","",IF(VLOOKUP(V31,'G-7 Rivers Data'!$AG$4:$AI$9,3,FALSE)=0,"Spatial Data Missing ⚠",VLOOKUP(V31,'G-7 Rivers Data'!$AG$4:$AI$9,3,FALSE)))</f>
        <v/>
      </c>
      <c r="Y31" s="537" t="str">
        <f>IFERROR(IF(OR(LEFT(P31,5)="Error ▲",LEFT(O31,5)="Error ▲"),"Check Data ⚠",IF(F31&lt;S31,'G-7 Rivers Data'!$R$3,INDEX('G-7 Rivers Data'!$U$5:$Y$9,MATCH(G31,'G-7 Rivers Data'!$T$5:$T$9,0),MATCH(T31,'G-7 Rivers Data'!$U$4:$Y$4,0)))),"")</f>
        <v/>
      </c>
      <c r="Z31" s="203"/>
      <c r="AA31" s="203"/>
      <c r="AB31" s="534" t="str">
        <f t="shared" si="1"/>
        <v/>
      </c>
      <c r="AC31" s="521" t="str">
        <f t="shared" si="2"/>
        <v/>
      </c>
      <c r="AD31" s="564" t="str">
        <f>IFERROR(IF(AC31="Check Data ⚠","Check Data ⚠",VLOOKUP(AC31,'G-4 Temporal multipliers'!$A$4:$C$37,3,FALSE)),"")</f>
        <v/>
      </c>
      <c r="AE31" s="537" t="str">
        <f>IF(N31="","",VLOOKUP(N31,'G-7 Rivers Data'!$B$4:$G$8,5,FALSE))</f>
        <v/>
      </c>
      <c r="AF31" s="520" t="str">
        <f t="shared" si="3"/>
        <v/>
      </c>
      <c r="AG31" s="520" t="str">
        <f t="shared" si="6"/>
        <v/>
      </c>
      <c r="AH31" s="524" t="str">
        <f t="shared" si="4"/>
        <v/>
      </c>
      <c r="AI31" s="145"/>
      <c r="AJ31" s="499" t="str">
        <f>IF(AI31="","",IF(VLOOKUP(AI31,'G-7 Rivers Data'!$AA$4:$AB$7,2,FALSE)=0,"Spatial Data Missing ⚠",VLOOKUP(AI31,'G-7 Rivers Data'!$AA$4:$AB$7,2,FALSE)))</f>
        <v/>
      </c>
      <c r="AK31" s="155"/>
      <c r="AL31" s="536" t="str">
        <f>IF(AK31="","",IF(VLOOKUP(AK31,'G-7 Rivers Data'!$AD$4:$AE$8,2,FALSE)=0,"Spatial Data Missing ⚠",VLOOKUP(AK31,'G-7 Rivers Data'!$AD$4:$AE$8,2,FALSE)))</f>
        <v/>
      </c>
      <c r="AM31" s="154"/>
      <c r="AN31" s="524" t="str">
        <f>IF(AM31="","",VLOOKUP(AM31,'G-7 Rivers Data'!$AO$4:$AP$7,2,FALSE))</f>
        <v/>
      </c>
      <c r="AO31" s="545" t="str">
        <f t="shared" si="7"/>
        <v/>
      </c>
      <c r="AP31" s="149"/>
      <c r="AQ31" s="150"/>
      <c r="AX31" s="31" t="str">
        <f>IFERROR(INDEX('G-7 Rivers Data'!$AZ$3:$AZ$7,MATCH(N31,'G-7 Rivers Data'!$AY$3:$AY$7,0)),"")</f>
        <v/>
      </c>
    </row>
    <row r="32" spans="2:50" ht="13.8" x14ac:dyDescent="0.25">
      <c r="B32" s="531" t="str">
        <f>'F-1 Off Site River Baseline'!AN30</f>
        <v/>
      </c>
      <c r="C32" s="520" t="str">
        <f>IF(B32="","",VLOOKUP($B32,'F-1 Off Site River Baseline'!$C$9:$R$257,2,FALSE))</f>
        <v/>
      </c>
      <c r="D32" s="520" t="str">
        <f>IF(C32="","",VLOOKUP($B32,'F-1 Off Site River Baseline'!$C$9:$R$257,3,FALSE))</f>
        <v/>
      </c>
      <c r="E32" s="520" t="str">
        <f>IF(D32="","",VLOOKUP($B32,'F-1 Off Site River Baseline'!$C$9:$R$257,4,FALSE))</f>
        <v/>
      </c>
      <c r="F32" s="520" t="str">
        <f>IF(E32="","",VLOOKUP($B32,'F-1 Off Site River Baseline'!$C$9:$R$257,5,FALSE))</f>
        <v/>
      </c>
      <c r="G32" s="520" t="str">
        <f>IF(F32="","",VLOOKUP($B32,'F-1 Off Site River Baseline'!$C$9:$R$257,6,FALSE))</f>
        <v/>
      </c>
      <c r="H32" s="520" t="str">
        <f>IF(G32="","",VLOOKUP($B32,'F-1 Off Site River Baseline'!$C$9:$R$257,7,FALSE))</f>
        <v/>
      </c>
      <c r="I32" s="520" t="str">
        <f>IF(H32="","",VLOOKUP($B32,'F-1 Off Site River Baseline'!$C$9:$R$257,8,FALSE))</f>
        <v/>
      </c>
      <c r="J32" s="520" t="str">
        <f>IF(I32="","",VLOOKUP($B32,'F-1 Off Site River Baseline'!$C$9:$R$257,9,FALSE))</f>
        <v/>
      </c>
      <c r="K32" s="520" t="str">
        <f>IF(J32="","",VLOOKUP($B32,'F-1 Off Site River Baseline'!$C$9:$R$257,10,FALSE))</f>
        <v/>
      </c>
      <c r="L32" s="520" t="str">
        <f>IF(B32="","",VLOOKUP($B32,'C-1 Site River Baseline'!$C$9:$R$257,15,FALSE))</f>
        <v/>
      </c>
      <c r="M32" s="524" t="str">
        <f>IF(L32="","",VLOOKUP($B32,'F-1 Off Site River Baseline'!$C$9:$R$257,16,FALSE))</f>
        <v/>
      </c>
      <c r="N32" s="418" t="str">
        <f t="shared" si="0"/>
        <v/>
      </c>
      <c r="O32" s="498" t="str">
        <f t="shared" si="5"/>
        <v/>
      </c>
      <c r="P32" s="499"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5" t="str">
        <f>IF(N32="","",VLOOKUP(B32,'F-1 Off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20" t="str">
        <f>IF(V32="","",IF(VLOOKUP(V32,'G-7 Rivers Data'!$AG$4:$AI$9,2,FALSE)=0,"Spatial Data Missing ⚠",VLOOKUP(V32,'G-7 Rivers Data'!$AG$4:$AI$9,2,FALSE)))</f>
        <v/>
      </c>
      <c r="X32" s="524" t="str">
        <f>IF(V32="","",IF(VLOOKUP(V32,'G-7 Rivers Data'!$AG$4:$AI$9,3,FALSE)=0,"Spatial Data Missing ⚠",VLOOKUP(V32,'G-7 Rivers Data'!$AG$4:$AI$9,3,FALSE)))</f>
        <v/>
      </c>
      <c r="Y32" s="537" t="str">
        <f>IFERROR(IF(OR(LEFT(P32,5)="Error ▲",LEFT(O32,5)="Error ▲"),"Check Data ⚠",IF(F32&lt;S32,'G-7 Rivers Data'!$R$3,INDEX('G-7 Rivers Data'!$U$5:$Y$9,MATCH(G32,'G-7 Rivers Data'!$T$5:$T$9,0),MATCH(T32,'G-7 Rivers Data'!$U$4:$Y$4,0)))),"")</f>
        <v/>
      </c>
      <c r="Z32" s="203"/>
      <c r="AA32" s="203"/>
      <c r="AB32" s="534" t="str">
        <f t="shared" si="1"/>
        <v/>
      </c>
      <c r="AC32" s="521" t="str">
        <f t="shared" si="2"/>
        <v/>
      </c>
      <c r="AD32" s="564" t="str">
        <f>IFERROR(IF(AC32="Check Data ⚠","Check Data ⚠",VLOOKUP(AC32,'G-4 Temporal multipliers'!$A$4:$C$37,3,FALSE)),"")</f>
        <v/>
      </c>
      <c r="AE32" s="537" t="str">
        <f>IF(N32="","",VLOOKUP(N32,'G-7 Rivers Data'!$B$4:$G$8,5,FALSE))</f>
        <v/>
      </c>
      <c r="AF32" s="520" t="str">
        <f t="shared" si="3"/>
        <v/>
      </c>
      <c r="AG32" s="520" t="str">
        <f t="shared" si="6"/>
        <v/>
      </c>
      <c r="AH32" s="524" t="str">
        <f t="shared" si="4"/>
        <v/>
      </c>
      <c r="AI32" s="145"/>
      <c r="AJ32" s="499" t="str">
        <f>IF(AI32="","",IF(VLOOKUP(AI32,'G-7 Rivers Data'!$AA$4:$AB$7,2,FALSE)=0,"Spatial Data Missing ⚠",VLOOKUP(AI32,'G-7 Rivers Data'!$AA$4:$AB$7,2,FALSE)))</f>
        <v/>
      </c>
      <c r="AK32" s="155"/>
      <c r="AL32" s="536" t="str">
        <f>IF(AK32="","",IF(VLOOKUP(AK32,'G-7 Rivers Data'!$AD$4:$AE$8,2,FALSE)=0,"Spatial Data Missing ⚠",VLOOKUP(AK32,'G-7 Rivers Data'!$AD$4:$AE$8,2,FALSE)))</f>
        <v/>
      </c>
      <c r="AM32" s="154"/>
      <c r="AN32" s="524" t="str">
        <f>IF(AM32="","",VLOOKUP(AM32,'G-7 Rivers Data'!$AO$4:$AP$7,2,FALSE))</f>
        <v/>
      </c>
      <c r="AO32" s="545" t="str">
        <f t="shared" si="7"/>
        <v/>
      </c>
      <c r="AP32" s="149"/>
      <c r="AQ32" s="150"/>
      <c r="AX32" s="31" t="str">
        <f>IFERROR(INDEX('G-7 Rivers Data'!$AZ$3:$AZ$7,MATCH(N32,'G-7 Rivers Data'!$AY$3:$AY$7,0)),"")</f>
        <v/>
      </c>
    </row>
    <row r="33" spans="2:50" ht="13.8" x14ac:dyDescent="0.25">
      <c r="B33" s="531" t="str">
        <f>'F-1 Off Site River Baseline'!AN31</f>
        <v/>
      </c>
      <c r="C33" s="520" t="str">
        <f>IF(B33="","",VLOOKUP($B33,'F-1 Off Site River Baseline'!$C$9:$R$257,2,FALSE))</f>
        <v/>
      </c>
      <c r="D33" s="520" t="str">
        <f>IF(C33="","",VLOOKUP($B33,'F-1 Off Site River Baseline'!$C$9:$R$257,3,FALSE))</f>
        <v/>
      </c>
      <c r="E33" s="520" t="str">
        <f>IF(D33="","",VLOOKUP($B33,'F-1 Off Site River Baseline'!$C$9:$R$257,4,FALSE))</f>
        <v/>
      </c>
      <c r="F33" s="520" t="str">
        <f>IF(E33="","",VLOOKUP($B33,'F-1 Off Site River Baseline'!$C$9:$R$257,5,FALSE))</f>
        <v/>
      </c>
      <c r="G33" s="520" t="str">
        <f>IF(F33="","",VLOOKUP($B33,'F-1 Off Site River Baseline'!$C$9:$R$257,6,FALSE))</f>
        <v/>
      </c>
      <c r="H33" s="520" t="str">
        <f>IF(G33="","",VLOOKUP($B33,'F-1 Off Site River Baseline'!$C$9:$R$257,7,FALSE))</f>
        <v/>
      </c>
      <c r="I33" s="520" t="str">
        <f>IF(H33="","",VLOOKUP($B33,'F-1 Off Site River Baseline'!$C$9:$R$257,8,FALSE))</f>
        <v/>
      </c>
      <c r="J33" s="520" t="str">
        <f>IF(I33="","",VLOOKUP($B33,'F-1 Off Site River Baseline'!$C$9:$R$257,9,FALSE))</f>
        <v/>
      </c>
      <c r="K33" s="520" t="str">
        <f>IF(J33="","",VLOOKUP($B33,'F-1 Off Site River Baseline'!$C$9:$R$257,10,FALSE))</f>
        <v/>
      </c>
      <c r="L33" s="520" t="str">
        <f>IF(B33="","",VLOOKUP($B33,'C-1 Site River Baseline'!$C$9:$R$257,15,FALSE))</f>
        <v/>
      </c>
      <c r="M33" s="524" t="str">
        <f>IF(L33="","",VLOOKUP($B33,'F-1 Off Site River Baseline'!$C$9:$R$257,16,FALSE))</f>
        <v/>
      </c>
      <c r="N33" s="418" t="str">
        <f t="shared" si="0"/>
        <v/>
      </c>
      <c r="O33" s="498" t="str">
        <f t="shared" si="5"/>
        <v/>
      </c>
      <c r="P33" s="499"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5" t="str">
        <f>IF(N33="","",VLOOKUP(B33,'F-1 Off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20" t="str">
        <f>IF(V33="","",IF(VLOOKUP(V33,'G-7 Rivers Data'!$AG$4:$AI$9,2,FALSE)=0,"Spatial Data Missing ⚠",VLOOKUP(V33,'G-7 Rivers Data'!$AG$4:$AI$9,2,FALSE)))</f>
        <v/>
      </c>
      <c r="X33" s="524" t="str">
        <f>IF(V33="","",IF(VLOOKUP(V33,'G-7 Rivers Data'!$AG$4:$AI$9,3,FALSE)=0,"Spatial Data Missing ⚠",VLOOKUP(V33,'G-7 Rivers Data'!$AG$4:$AI$9,3,FALSE)))</f>
        <v/>
      </c>
      <c r="Y33" s="537" t="str">
        <f>IFERROR(IF(OR(LEFT(P33,5)="Error ▲",LEFT(O33,5)="Error ▲"),"Check Data ⚠",IF(F33&lt;S33,'G-7 Rivers Data'!$R$3,INDEX('G-7 Rivers Data'!$U$5:$Y$9,MATCH(G33,'G-7 Rivers Data'!$T$5:$T$9,0),MATCH(T33,'G-7 Rivers Data'!$U$4:$Y$4,0)))),"")</f>
        <v/>
      </c>
      <c r="Z33" s="203"/>
      <c r="AA33" s="203"/>
      <c r="AB33" s="534" t="str">
        <f t="shared" si="1"/>
        <v/>
      </c>
      <c r="AC33" s="521" t="str">
        <f t="shared" si="2"/>
        <v/>
      </c>
      <c r="AD33" s="564" t="str">
        <f>IFERROR(IF(AC33="Check Data ⚠","Check Data ⚠",VLOOKUP(AC33,'G-4 Temporal multipliers'!$A$4:$C$37,3,FALSE)),"")</f>
        <v/>
      </c>
      <c r="AE33" s="537" t="str">
        <f>IF(N33="","",VLOOKUP(N33,'G-7 Rivers Data'!$B$4:$G$8,5,FALSE))</f>
        <v/>
      </c>
      <c r="AF33" s="520" t="str">
        <f t="shared" si="3"/>
        <v/>
      </c>
      <c r="AG33" s="520" t="str">
        <f t="shared" si="6"/>
        <v/>
      </c>
      <c r="AH33" s="524" t="str">
        <f t="shared" si="4"/>
        <v/>
      </c>
      <c r="AI33" s="145"/>
      <c r="AJ33" s="499" t="str">
        <f>IF(AI33="","",IF(VLOOKUP(AI33,'G-7 Rivers Data'!$AA$4:$AB$7,2,FALSE)=0,"Spatial Data Missing ⚠",VLOOKUP(AI33,'G-7 Rivers Data'!$AA$4:$AB$7,2,FALSE)))</f>
        <v/>
      </c>
      <c r="AK33" s="155"/>
      <c r="AL33" s="536" t="str">
        <f>IF(AK33="","",IF(VLOOKUP(AK33,'G-7 Rivers Data'!$AD$4:$AE$8,2,FALSE)=0,"Spatial Data Missing ⚠",VLOOKUP(AK33,'G-7 Rivers Data'!$AD$4:$AE$8,2,FALSE)))</f>
        <v/>
      </c>
      <c r="AM33" s="154"/>
      <c r="AN33" s="524" t="str">
        <f>IF(AM33="","",VLOOKUP(AM33,'G-7 Rivers Data'!$AO$4:$AP$7,2,FALSE))</f>
        <v/>
      </c>
      <c r="AO33" s="545" t="str">
        <f t="shared" si="7"/>
        <v/>
      </c>
      <c r="AP33" s="149"/>
      <c r="AQ33" s="150"/>
      <c r="AX33" s="31" t="str">
        <f>IFERROR(INDEX('G-7 Rivers Data'!$AZ$3:$AZ$7,MATCH(N33,'G-7 Rivers Data'!$AY$3:$AY$7,0)),"")</f>
        <v/>
      </c>
    </row>
    <row r="34" spans="2:50" ht="13.8" x14ac:dyDescent="0.25">
      <c r="B34" s="531" t="str">
        <f>'F-1 Off Site River Baseline'!AN32</f>
        <v/>
      </c>
      <c r="C34" s="520" t="str">
        <f>IF(B34="","",VLOOKUP($B34,'F-1 Off Site River Baseline'!$C$9:$R$257,2,FALSE))</f>
        <v/>
      </c>
      <c r="D34" s="520" t="str">
        <f>IF(C34="","",VLOOKUP($B34,'F-1 Off Site River Baseline'!$C$9:$R$257,3,FALSE))</f>
        <v/>
      </c>
      <c r="E34" s="520" t="str">
        <f>IF(D34="","",VLOOKUP($B34,'F-1 Off Site River Baseline'!$C$9:$R$257,4,FALSE))</f>
        <v/>
      </c>
      <c r="F34" s="520" t="str">
        <f>IF(E34="","",VLOOKUP($B34,'F-1 Off Site River Baseline'!$C$9:$R$257,5,FALSE))</f>
        <v/>
      </c>
      <c r="G34" s="520" t="str">
        <f>IF(F34="","",VLOOKUP($B34,'F-1 Off Site River Baseline'!$C$9:$R$257,6,FALSE))</f>
        <v/>
      </c>
      <c r="H34" s="520" t="str">
        <f>IF(G34="","",VLOOKUP($B34,'F-1 Off Site River Baseline'!$C$9:$R$257,7,FALSE))</f>
        <v/>
      </c>
      <c r="I34" s="520" t="str">
        <f>IF(H34="","",VLOOKUP($B34,'F-1 Off Site River Baseline'!$C$9:$R$257,8,FALSE))</f>
        <v/>
      </c>
      <c r="J34" s="520" t="str">
        <f>IF(I34="","",VLOOKUP($B34,'F-1 Off Site River Baseline'!$C$9:$R$257,9,FALSE))</f>
        <v/>
      </c>
      <c r="K34" s="520" t="str">
        <f>IF(J34="","",VLOOKUP($B34,'F-1 Off Site River Baseline'!$C$9:$R$257,10,FALSE))</f>
        <v/>
      </c>
      <c r="L34" s="520" t="str">
        <f>IF(B34="","",VLOOKUP($B34,'C-1 Site River Baseline'!$C$9:$R$257,15,FALSE))</f>
        <v/>
      </c>
      <c r="M34" s="524" t="str">
        <f>IF(L34="","",VLOOKUP($B34,'F-1 Off Site River Baseline'!$C$9:$R$257,16,FALSE))</f>
        <v/>
      </c>
      <c r="N34" s="418" t="str">
        <f t="shared" si="0"/>
        <v/>
      </c>
      <c r="O34" s="498" t="str">
        <f t="shared" si="5"/>
        <v/>
      </c>
      <c r="P34" s="499"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5" t="str">
        <f>IF(N34="","",VLOOKUP(B34,'F-1 Off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20" t="str">
        <f>IF(V34="","",IF(VLOOKUP(V34,'G-7 Rivers Data'!$AG$4:$AI$9,2,FALSE)=0,"Spatial Data Missing ⚠",VLOOKUP(V34,'G-7 Rivers Data'!$AG$4:$AI$9,2,FALSE)))</f>
        <v/>
      </c>
      <c r="X34" s="524" t="str">
        <f>IF(V34="","",IF(VLOOKUP(V34,'G-7 Rivers Data'!$AG$4:$AI$9,3,FALSE)=0,"Spatial Data Missing ⚠",VLOOKUP(V34,'G-7 Rivers Data'!$AG$4:$AI$9,3,FALSE)))</f>
        <v/>
      </c>
      <c r="Y34" s="537" t="str">
        <f>IFERROR(IF(OR(LEFT(P34,5)="Error ▲",LEFT(O34,5)="Error ▲"),"Check Data ⚠",IF(F34&lt;S34,'G-7 Rivers Data'!$R$3,INDEX('G-7 Rivers Data'!$U$5:$Y$9,MATCH(G34,'G-7 Rivers Data'!$T$5:$T$9,0),MATCH(T34,'G-7 Rivers Data'!$U$4:$Y$4,0)))),"")</f>
        <v/>
      </c>
      <c r="Z34" s="203"/>
      <c r="AA34" s="203"/>
      <c r="AB34" s="534" t="str">
        <f t="shared" si="1"/>
        <v/>
      </c>
      <c r="AC34" s="521" t="str">
        <f t="shared" si="2"/>
        <v/>
      </c>
      <c r="AD34" s="564" t="str">
        <f>IFERROR(IF(AC34="Check Data ⚠","Check Data ⚠",VLOOKUP(AC34,'G-4 Temporal multipliers'!$A$4:$C$37,3,FALSE)),"")</f>
        <v/>
      </c>
      <c r="AE34" s="537" t="str">
        <f>IF(N34="","",VLOOKUP(N34,'G-7 Rivers Data'!$B$4:$G$8,5,FALSE))</f>
        <v/>
      </c>
      <c r="AF34" s="520" t="str">
        <f t="shared" si="3"/>
        <v/>
      </c>
      <c r="AG34" s="520" t="str">
        <f t="shared" si="6"/>
        <v/>
      </c>
      <c r="AH34" s="524" t="str">
        <f t="shared" si="4"/>
        <v/>
      </c>
      <c r="AI34" s="145"/>
      <c r="AJ34" s="499" t="str">
        <f>IF(AI34="","",IF(VLOOKUP(AI34,'G-7 Rivers Data'!$AA$4:$AB$7,2,FALSE)=0,"Spatial Data Missing ⚠",VLOOKUP(AI34,'G-7 Rivers Data'!$AA$4:$AB$7,2,FALSE)))</f>
        <v/>
      </c>
      <c r="AK34" s="155"/>
      <c r="AL34" s="536" t="str">
        <f>IF(AK34="","",IF(VLOOKUP(AK34,'G-7 Rivers Data'!$AD$4:$AE$8,2,FALSE)=0,"Spatial Data Missing ⚠",VLOOKUP(AK34,'G-7 Rivers Data'!$AD$4:$AE$8,2,FALSE)))</f>
        <v/>
      </c>
      <c r="AM34" s="154"/>
      <c r="AN34" s="524" t="str">
        <f>IF(AM34="","",VLOOKUP(AM34,'G-7 Rivers Data'!$AO$4:$AP$7,2,FALSE))</f>
        <v/>
      </c>
      <c r="AO34" s="545" t="str">
        <f t="shared" si="7"/>
        <v/>
      </c>
      <c r="AP34" s="149"/>
      <c r="AQ34" s="150"/>
      <c r="AX34" s="31" t="str">
        <f>IFERROR(INDEX('G-7 Rivers Data'!$AZ$3:$AZ$7,MATCH(N34,'G-7 Rivers Data'!$AY$3:$AY$7,0)),"")</f>
        <v/>
      </c>
    </row>
    <row r="35" spans="2:50" ht="13.8" x14ac:dyDescent="0.25">
      <c r="B35" s="531" t="str">
        <f>'F-1 Off Site River Baseline'!AN33</f>
        <v/>
      </c>
      <c r="C35" s="520" t="str">
        <f>IF(B35="","",VLOOKUP($B35,'F-1 Off Site River Baseline'!$C$9:$R$257,2,FALSE))</f>
        <v/>
      </c>
      <c r="D35" s="520" t="str">
        <f>IF(C35="","",VLOOKUP($B35,'F-1 Off Site River Baseline'!$C$9:$R$257,3,FALSE))</f>
        <v/>
      </c>
      <c r="E35" s="520" t="str">
        <f>IF(D35="","",VLOOKUP($B35,'F-1 Off Site River Baseline'!$C$9:$R$257,4,FALSE))</f>
        <v/>
      </c>
      <c r="F35" s="520" t="str">
        <f>IF(E35="","",VLOOKUP($B35,'F-1 Off Site River Baseline'!$C$9:$R$257,5,FALSE))</f>
        <v/>
      </c>
      <c r="G35" s="520" t="str">
        <f>IF(F35="","",VLOOKUP($B35,'F-1 Off Site River Baseline'!$C$9:$R$257,6,FALSE))</f>
        <v/>
      </c>
      <c r="H35" s="520" t="str">
        <f>IF(G35="","",VLOOKUP($B35,'F-1 Off Site River Baseline'!$C$9:$R$257,7,FALSE))</f>
        <v/>
      </c>
      <c r="I35" s="520" t="str">
        <f>IF(H35="","",VLOOKUP($B35,'F-1 Off Site River Baseline'!$C$9:$R$257,8,FALSE))</f>
        <v/>
      </c>
      <c r="J35" s="520" t="str">
        <f>IF(I35="","",VLOOKUP($B35,'F-1 Off Site River Baseline'!$C$9:$R$257,9,FALSE))</f>
        <v/>
      </c>
      <c r="K35" s="520" t="str">
        <f>IF(J35="","",VLOOKUP($B35,'F-1 Off Site River Baseline'!$C$9:$R$257,10,FALSE))</f>
        <v/>
      </c>
      <c r="L35" s="520" t="str">
        <f>IF(B35="","",VLOOKUP($B35,'C-1 Site River Baseline'!$C$9:$R$257,15,FALSE))</f>
        <v/>
      </c>
      <c r="M35" s="524" t="str">
        <f>IF(L35="","",VLOOKUP($B35,'F-1 Off Site River Baseline'!$C$9:$R$257,16,FALSE))</f>
        <v/>
      </c>
      <c r="N35" s="418" t="str">
        <f t="shared" si="0"/>
        <v/>
      </c>
      <c r="O35" s="498" t="str">
        <f t="shared" si="5"/>
        <v/>
      </c>
      <c r="P35" s="499"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5" t="str">
        <f>IF(N35="","",VLOOKUP(B35,'F-1 Off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20" t="str">
        <f>IF(V35="","",IF(VLOOKUP(V35,'G-7 Rivers Data'!$AG$4:$AI$9,2,FALSE)=0,"Spatial Data Missing ⚠",VLOOKUP(V35,'G-7 Rivers Data'!$AG$4:$AI$9,2,FALSE)))</f>
        <v/>
      </c>
      <c r="X35" s="524" t="str">
        <f>IF(V35="","",IF(VLOOKUP(V35,'G-7 Rivers Data'!$AG$4:$AI$9,3,FALSE)=0,"Spatial Data Missing ⚠",VLOOKUP(V35,'G-7 Rivers Data'!$AG$4:$AI$9,3,FALSE)))</f>
        <v/>
      </c>
      <c r="Y35" s="537" t="str">
        <f>IFERROR(IF(OR(LEFT(P35,5)="Error ▲",LEFT(O35,5)="Error ▲"),"Check Data ⚠",IF(F35&lt;S35,'G-7 Rivers Data'!$R$3,INDEX('G-7 Rivers Data'!$U$5:$Y$9,MATCH(G35,'G-7 Rivers Data'!$T$5:$T$9,0),MATCH(T35,'G-7 Rivers Data'!$U$4:$Y$4,0)))),"")</f>
        <v/>
      </c>
      <c r="Z35" s="203"/>
      <c r="AA35" s="203"/>
      <c r="AB35" s="534" t="str">
        <f t="shared" si="1"/>
        <v/>
      </c>
      <c r="AC35" s="521" t="str">
        <f t="shared" si="2"/>
        <v/>
      </c>
      <c r="AD35" s="564" t="str">
        <f>IFERROR(IF(AC35="Check Data ⚠","Check Data ⚠",VLOOKUP(AC35,'G-4 Temporal multipliers'!$A$4:$C$37,3,FALSE)),"")</f>
        <v/>
      </c>
      <c r="AE35" s="537" t="str">
        <f>IF(N35="","",VLOOKUP(N35,'G-7 Rivers Data'!$B$4:$G$8,5,FALSE))</f>
        <v/>
      </c>
      <c r="AF35" s="520" t="str">
        <f t="shared" si="3"/>
        <v/>
      </c>
      <c r="AG35" s="520" t="str">
        <f t="shared" si="6"/>
        <v/>
      </c>
      <c r="AH35" s="524" t="str">
        <f t="shared" si="4"/>
        <v/>
      </c>
      <c r="AI35" s="145"/>
      <c r="AJ35" s="499" t="str">
        <f>IF(AI35="","",IF(VLOOKUP(AI35,'G-7 Rivers Data'!$AA$4:$AB$7,2,FALSE)=0,"Spatial Data Missing ⚠",VLOOKUP(AI35,'G-7 Rivers Data'!$AA$4:$AB$7,2,FALSE)))</f>
        <v/>
      </c>
      <c r="AK35" s="155"/>
      <c r="AL35" s="536" t="str">
        <f>IF(AK35="","",IF(VLOOKUP(AK35,'G-7 Rivers Data'!$AD$4:$AE$8,2,FALSE)=0,"Spatial Data Missing ⚠",VLOOKUP(AK35,'G-7 Rivers Data'!$AD$4:$AE$8,2,FALSE)))</f>
        <v/>
      </c>
      <c r="AM35" s="154"/>
      <c r="AN35" s="524" t="str">
        <f>IF(AM35="","",VLOOKUP(AM35,'G-7 Rivers Data'!$AO$4:$AP$7,2,FALSE))</f>
        <v/>
      </c>
      <c r="AO35" s="545" t="str">
        <f t="shared" si="7"/>
        <v/>
      </c>
      <c r="AP35" s="149"/>
      <c r="AQ35" s="150"/>
      <c r="AX35" s="31" t="str">
        <f>IFERROR(INDEX('G-7 Rivers Data'!$AZ$3:$AZ$7,MATCH(N35,'G-7 Rivers Data'!$AY$3:$AY$7,0)),"")</f>
        <v/>
      </c>
    </row>
    <row r="36" spans="2:50" ht="13.8" x14ac:dyDescent="0.25">
      <c r="B36" s="531" t="str">
        <f>'F-1 Off Site River Baseline'!AN34</f>
        <v/>
      </c>
      <c r="C36" s="520" t="str">
        <f>IF(B36="","",VLOOKUP($B36,'F-1 Off Site River Baseline'!$C$9:$R$257,2,FALSE))</f>
        <v/>
      </c>
      <c r="D36" s="520" t="str">
        <f>IF(C36="","",VLOOKUP($B36,'F-1 Off Site River Baseline'!$C$9:$R$257,3,FALSE))</f>
        <v/>
      </c>
      <c r="E36" s="520" t="str">
        <f>IF(D36="","",VLOOKUP($B36,'F-1 Off Site River Baseline'!$C$9:$R$257,4,FALSE))</f>
        <v/>
      </c>
      <c r="F36" s="520" t="str">
        <f>IF(E36="","",VLOOKUP($B36,'F-1 Off Site River Baseline'!$C$9:$R$257,5,FALSE))</f>
        <v/>
      </c>
      <c r="G36" s="520" t="str">
        <f>IF(F36="","",VLOOKUP($B36,'F-1 Off Site River Baseline'!$C$9:$R$257,6,FALSE))</f>
        <v/>
      </c>
      <c r="H36" s="520" t="str">
        <f>IF(G36="","",VLOOKUP($B36,'F-1 Off Site River Baseline'!$C$9:$R$257,7,FALSE))</f>
        <v/>
      </c>
      <c r="I36" s="520" t="str">
        <f>IF(H36="","",VLOOKUP($B36,'F-1 Off Site River Baseline'!$C$9:$R$257,8,FALSE))</f>
        <v/>
      </c>
      <c r="J36" s="520" t="str">
        <f>IF(I36="","",VLOOKUP($B36,'F-1 Off Site River Baseline'!$C$9:$R$257,9,FALSE))</f>
        <v/>
      </c>
      <c r="K36" s="520" t="str">
        <f>IF(J36="","",VLOOKUP($B36,'F-1 Off Site River Baseline'!$C$9:$R$257,10,FALSE))</f>
        <v/>
      </c>
      <c r="L36" s="520" t="str">
        <f>IF(B36="","",VLOOKUP($B36,'C-1 Site River Baseline'!$C$9:$R$257,15,FALSE))</f>
        <v/>
      </c>
      <c r="M36" s="524" t="str">
        <f>IF(L36="","",VLOOKUP($B36,'F-1 Off Site River Baseline'!$C$9:$R$257,16,FALSE))</f>
        <v/>
      </c>
      <c r="N36" s="418" t="str">
        <f t="shared" si="0"/>
        <v/>
      </c>
      <c r="O36" s="498" t="str">
        <f t="shared" si="5"/>
        <v/>
      </c>
      <c r="P36" s="499"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5" t="str">
        <f>IF(N36="","",VLOOKUP(B36,'F-1 Off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20" t="str">
        <f>IF(V36="","",IF(VLOOKUP(V36,'G-7 Rivers Data'!$AG$4:$AI$9,2,FALSE)=0,"Spatial Data Missing ⚠",VLOOKUP(V36,'G-7 Rivers Data'!$AG$4:$AI$9,2,FALSE)))</f>
        <v/>
      </c>
      <c r="X36" s="524" t="str">
        <f>IF(V36="","",IF(VLOOKUP(V36,'G-7 Rivers Data'!$AG$4:$AI$9,3,FALSE)=0,"Spatial Data Missing ⚠",VLOOKUP(V36,'G-7 Rivers Data'!$AG$4:$AI$9,3,FALSE)))</f>
        <v/>
      </c>
      <c r="Y36" s="537" t="str">
        <f>IFERROR(IF(OR(LEFT(P36,5)="Error ▲",LEFT(O36,5)="Error ▲"),"Check Data ⚠",IF(F36&lt;S36,'G-7 Rivers Data'!$R$3,INDEX('G-7 Rivers Data'!$U$5:$Y$9,MATCH(G36,'G-7 Rivers Data'!$T$5:$T$9,0),MATCH(T36,'G-7 Rivers Data'!$U$4:$Y$4,0)))),"")</f>
        <v/>
      </c>
      <c r="Z36" s="203"/>
      <c r="AA36" s="203"/>
      <c r="AB36" s="534" t="str">
        <f t="shared" si="1"/>
        <v/>
      </c>
      <c r="AC36" s="521" t="str">
        <f t="shared" si="2"/>
        <v/>
      </c>
      <c r="AD36" s="564" t="str">
        <f>IFERROR(IF(AC36="Check Data ⚠","Check Data ⚠",VLOOKUP(AC36,'G-4 Temporal multipliers'!$A$4:$C$37,3,FALSE)),"")</f>
        <v/>
      </c>
      <c r="AE36" s="537" t="str">
        <f>IF(N36="","",VLOOKUP(N36,'G-7 Rivers Data'!$B$4:$G$8,5,FALSE))</f>
        <v/>
      </c>
      <c r="AF36" s="520" t="str">
        <f t="shared" si="3"/>
        <v/>
      </c>
      <c r="AG36" s="520" t="str">
        <f t="shared" si="6"/>
        <v/>
      </c>
      <c r="AH36" s="524" t="str">
        <f t="shared" si="4"/>
        <v/>
      </c>
      <c r="AI36" s="145"/>
      <c r="AJ36" s="499" t="str">
        <f>IF(AI36="","",IF(VLOOKUP(AI36,'G-7 Rivers Data'!$AA$4:$AB$7,2,FALSE)=0,"Spatial Data Missing ⚠",VLOOKUP(AI36,'G-7 Rivers Data'!$AA$4:$AB$7,2,FALSE)))</f>
        <v/>
      </c>
      <c r="AK36" s="155"/>
      <c r="AL36" s="536" t="str">
        <f>IF(AK36="","",IF(VLOOKUP(AK36,'G-7 Rivers Data'!$AD$4:$AE$8,2,FALSE)=0,"Spatial Data Missing ⚠",VLOOKUP(AK36,'G-7 Rivers Data'!$AD$4:$AE$8,2,FALSE)))</f>
        <v/>
      </c>
      <c r="AM36" s="154"/>
      <c r="AN36" s="524" t="str">
        <f>IF(AM36="","",VLOOKUP(AM36,'G-7 Rivers Data'!$AO$4:$AP$7,2,FALSE))</f>
        <v/>
      </c>
      <c r="AO36" s="545" t="str">
        <f t="shared" si="7"/>
        <v/>
      </c>
      <c r="AP36" s="149"/>
      <c r="AQ36" s="150"/>
      <c r="AX36" s="31" t="str">
        <f>IFERROR(INDEX('G-7 Rivers Data'!$AZ$3:$AZ$7,MATCH(N36,'G-7 Rivers Data'!$AY$3:$AY$7,0)),"")</f>
        <v/>
      </c>
    </row>
    <row r="37" spans="2:50" ht="13.8" x14ac:dyDescent="0.25">
      <c r="B37" s="531" t="str">
        <f>'F-1 Off Site River Baseline'!AN35</f>
        <v/>
      </c>
      <c r="C37" s="520" t="str">
        <f>IF(B37="","",VLOOKUP($B37,'F-1 Off Site River Baseline'!$C$9:$R$257,2,FALSE))</f>
        <v/>
      </c>
      <c r="D37" s="520" t="str">
        <f>IF(C37="","",VLOOKUP($B37,'F-1 Off Site River Baseline'!$C$9:$R$257,3,FALSE))</f>
        <v/>
      </c>
      <c r="E37" s="520" t="str">
        <f>IF(D37="","",VLOOKUP($B37,'F-1 Off Site River Baseline'!$C$9:$R$257,4,FALSE))</f>
        <v/>
      </c>
      <c r="F37" s="520" t="str">
        <f>IF(E37="","",VLOOKUP($B37,'F-1 Off Site River Baseline'!$C$9:$R$257,5,FALSE))</f>
        <v/>
      </c>
      <c r="G37" s="520" t="str">
        <f>IF(F37="","",VLOOKUP($B37,'F-1 Off Site River Baseline'!$C$9:$R$257,6,FALSE))</f>
        <v/>
      </c>
      <c r="H37" s="520" t="str">
        <f>IF(G37="","",VLOOKUP($B37,'F-1 Off Site River Baseline'!$C$9:$R$257,7,FALSE))</f>
        <v/>
      </c>
      <c r="I37" s="520" t="str">
        <f>IF(H37="","",VLOOKUP($B37,'F-1 Off Site River Baseline'!$C$9:$R$257,8,FALSE))</f>
        <v/>
      </c>
      <c r="J37" s="520" t="str">
        <f>IF(I37="","",VLOOKUP($B37,'F-1 Off Site River Baseline'!$C$9:$R$257,9,FALSE))</f>
        <v/>
      </c>
      <c r="K37" s="520" t="str">
        <f>IF(J37="","",VLOOKUP($B37,'F-1 Off Site River Baseline'!$C$9:$R$257,10,FALSE))</f>
        <v/>
      </c>
      <c r="L37" s="520" t="str">
        <f>IF(B37="","",VLOOKUP($B37,'C-1 Site River Baseline'!$C$9:$R$257,15,FALSE))</f>
        <v/>
      </c>
      <c r="M37" s="524" t="str">
        <f>IF(L37="","",VLOOKUP($B37,'F-1 Off Site River Baseline'!$C$9:$R$257,16,FALSE))</f>
        <v/>
      </c>
      <c r="N37" s="418" t="str">
        <f t="shared" si="0"/>
        <v/>
      </c>
      <c r="O37" s="498" t="str">
        <f t="shared" si="5"/>
        <v/>
      </c>
      <c r="P37" s="499"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5" t="str">
        <f>IF(N37="","",VLOOKUP(B37,'F-1 Off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20" t="str">
        <f>IF(V37="","",IF(VLOOKUP(V37,'G-7 Rivers Data'!$AG$4:$AI$9,2,FALSE)=0,"Spatial Data Missing ⚠",VLOOKUP(V37,'G-7 Rivers Data'!$AG$4:$AI$9,2,FALSE)))</f>
        <v/>
      </c>
      <c r="X37" s="524" t="str">
        <f>IF(V37="","",IF(VLOOKUP(V37,'G-7 Rivers Data'!$AG$4:$AI$9,3,FALSE)=0,"Spatial Data Missing ⚠",VLOOKUP(V37,'G-7 Rivers Data'!$AG$4:$AI$9,3,FALSE)))</f>
        <v/>
      </c>
      <c r="Y37" s="537" t="str">
        <f>IFERROR(IF(OR(LEFT(P37,5)="Error ▲",LEFT(O37,5)="Error ▲"),"Check Data ⚠",IF(F37&lt;S37,'G-7 Rivers Data'!$R$3,INDEX('G-7 Rivers Data'!$U$5:$Y$9,MATCH(G37,'G-7 Rivers Data'!$T$5:$T$9,0),MATCH(T37,'G-7 Rivers Data'!$U$4:$Y$4,0)))),"")</f>
        <v/>
      </c>
      <c r="Z37" s="203"/>
      <c r="AA37" s="203"/>
      <c r="AB37" s="534" t="str">
        <f t="shared" si="1"/>
        <v/>
      </c>
      <c r="AC37" s="521" t="str">
        <f t="shared" si="2"/>
        <v/>
      </c>
      <c r="AD37" s="564" t="str">
        <f>IFERROR(IF(AC37="Check Data ⚠","Check Data ⚠",VLOOKUP(AC37,'G-4 Temporal multipliers'!$A$4:$C$37,3,FALSE)),"")</f>
        <v/>
      </c>
      <c r="AE37" s="537" t="str">
        <f>IF(N37="","",VLOOKUP(N37,'G-7 Rivers Data'!$B$4:$G$8,5,FALSE))</f>
        <v/>
      </c>
      <c r="AF37" s="520" t="str">
        <f t="shared" si="3"/>
        <v/>
      </c>
      <c r="AG37" s="520" t="str">
        <f t="shared" si="6"/>
        <v/>
      </c>
      <c r="AH37" s="524" t="str">
        <f t="shared" si="4"/>
        <v/>
      </c>
      <c r="AI37" s="145"/>
      <c r="AJ37" s="499" t="str">
        <f>IF(AI37="","",IF(VLOOKUP(AI37,'G-7 Rivers Data'!$AA$4:$AB$7,2,FALSE)=0,"Spatial Data Missing ⚠",VLOOKUP(AI37,'G-7 Rivers Data'!$AA$4:$AB$7,2,FALSE)))</f>
        <v/>
      </c>
      <c r="AK37" s="155"/>
      <c r="AL37" s="536" t="str">
        <f>IF(AK37="","",IF(VLOOKUP(AK37,'G-7 Rivers Data'!$AD$4:$AE$8,2,FALSE)=0,"Spatial Data Missing ⚠",VLOOKUP(AK37,'G-7 Rivers Data'!$AD$4:$AE$8,2,FALSE)))</f>
        <v/>
      </c>
      <c r="AM37" s="154"/>
      <c r="AN37" s="524" t="str">
        <f>IF(AM37="","",VLOOKUP(AM37,'G-7 Rivers Data'!$AO$4:$AP$7,2,FALSE))</f>
        <v/>
      </c>
      <c r="AO37" s="545" t="str">
        <f t="shared" si="7"/>
        <v/>
      </c>
      <c r="AP37" s="149"/>
      <c r="AQ37" s="150"/>
      <c r="AX37" s="31" t="str">
        <f>IFERROR(INDEX('G-7 Rivers Data'!$AZ$3:$AZ$7,MATCH(N37,'G-7 Rivers Data'!$AY$3:$AY$7,0)),"")</f>
        <v/>
      </c>
    </row>
    <row r="38" spans="2:50" ht="13.8" x14ac:dyDescent="0.25">
      <c r="B38" s="531" t="str">
        <f>'F-1 Off Site River Baseline'!AN36</f>
        <v/>
      </c>
      <c r="C38" s="520" t="str">
        <f>IF(B38="","",VLOOKUP($B38,'F-1 Off Site River Baseline'!$C$9:$R$257,2,FALSE))</f>
        <v/>
      </c>
      <c r="D38" s="520" t="str">
        <f>IF(C38="","",VLOOKUP($B38,'F-1 Off Site River Baseline'!$C$9:$R$257,3,FALSE))</f>
        <v/>
      </c>
      <c r="E38" s="520" t="str">
        <f>IF(D38="","",VLOOKUP($B38,'F-1 Off Site River Baseline'!$C$9:$R$257,4,FALSE))</f>
        <v/>
      </c>
      <c r="F38" s="520" t="str">
        <f>IF(E38="","",VLOOKUP($B38,'F-1 Off Site River Baseline'!$C$9:$R$257,5,FALSE))</f>
        <v/>
      </c>
      <c r="G38" s="520" t="str">
        <f>IF(F38="","",VLOOKUP($B38,'F-1 Off Site River Baseline'!$C$9:$R$257,6,FALSE))</f>
        <v/>
      </c>
      <c r="H38" s="520" t="str">
        <f>IF(G38="","",VLOOKUP($B38,'F-1 Off Site River Baseline'!$C$9:$R$257,7,FALSE))</f>
        <v/>
      </c>
      <c r="I38" s="520" t="str">
        <f>IF(H38="","",VLOOKUP($B38,'F-1 Off Site River Baseline'!$C$9:$R$257,8,FALSE))</f>
        <v/>
      </c>
      <c r="J38" s="520" t="str">
        <f>IF(I38="","",VLOOKUP($B38,'F-1 Off Site River Baseline'!$C$9:$R$257,9,FALSE))</f>
        <v/>
      </c>
      <c r="K38" s="520" t="str">
        <f>IF(J38="","",VLOOKUP($B38,'F-1 Off Site River Baseline'!$C$9:$R$257,10,FALSE))</f>
        <v/>
      </c>
      <c r="L38" s="520" t="str">
        <f>IF(B38="","",VLOOKUP($B38,'C-1 Site River Baseline'!$C$9:$R$257,15,FALSE))</f>
        <v/>
      </c>
      <c r="M38" s="524" t="str">
        <f>IF(L38="","",VLOOKUP($B38,'F-1 Off Site River Baseline'!$C$9:$R$257,16,FALSE))</f>
        <v/>
      </c>
      <c r="N38" s="418" t="str">
        <f t="shared" si="0"/>
        <v/>
      </c>
      <c r="O38" s="498" t="str">
        <f t="shared" si="5"/>
        <v/>
      </c>
      <c r="P38" s="499"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5" t="str">
        <f>IF(N38="","",VLOOKUP(B38,'F-1 Off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20" t="str">
        <f>IF(V38="","",IF(VLOOKUP(V38,'G-7 Rivers Data'!$AG$4:$AI$9,2,FALSE)=0,"Spatial Data Missing ⚠",VLOOKUP(V38,'G-7 Rivers Data'!$AG$4:$AI$9,2,FALSE)))</f>
        <v/>
      </c>
      <c r="X38" s="524" t="str">
        <f>IF(V38="","",IF(VLOOKUP(V38,'G-7 Rivers Data'!$AG$4:$AI$9,3,FALSE)=0,"Spatial Data Missing ⚠",VLOOKUP(V38,'G-7 Rivers Data'!$AG$4:$AI$9,3,FALSE)))</f>
        <v/>
      </c>
      <c r="Y38" s="537" t="str">
        <f>IFERROR(IF(OR(LEFT(P38,5)="Error ▲",LEFT(O38,5)="Error ▲"),"Check Data ⚠",IF(F38&lt;S38,'G-7 Rivers Data'!$R$3,INDEX('G-7 Rivers Data'!$U$5:$Y$9,MATCH(G38,'G-7 Rivers Data'!$T$5:$T$9,0),MATCH(T38,'G-7 Rivers Data'!$U$4:$Y$4,0)))),"")</f>
        <v/>
      </c>
      <c r="Z38" s="203"/>
      <c r="AA38" s="203"/>
      <c r="AB38" s="534" t="str">
        <f t="shared" si="1"/>
        <v/>
      </c>
      <c r="AC38" s="521" t="str">
        <f t="shared" si="2"/>
        <v/>
      </c>
      <c r="AD38" s="564" t="str">
        <f>IFERROR(IF(AC38="Check Data ⚠","Check Data ⚠",VLOOKUP(AC38,'G-4 Temporal multipliers'!$A$4:$C$37,3,FALSE)),"")</f>
        <v/>
      </c>
      <c r="AE38" s="537" t="str">
        <f>IF(N38="","",VLOOKUP(N38,'G-7 Rivers Data'!$B$4:$G$8,5,FALSE))</f>
        <v/>
      </c>
      <c r="AF38" s="520" t="str">
        <f t="shared" si="3"/>
        <v/>
      </c>
      <c r="AG38" s="520" t="str">
        <f t="shared" si="6"/>
        <v/>
      </c>
      <c r="AH38" s="524" t="str">
        <f t="shared" si="4"/>
        <v/>
      </c>
      <c r="AI38" s="145"/>
      <c r="AJ38" s="499" t="str">
        <f>IF(AI38="","",IF(VLOOKUP(AI38,'G-7 Rivers Data'!$AA$4:$AB$7,2,FALSE)=0,"Spatial Data Missing ⚠",VLOOKUP(AI38,'G-7 Rivers Data'!$AA$4:$AB$7,2,FALSE)))</f>
        <v/>
      </c>
      <c r="AK38" s="155"/>
      <c r="AL38" s="536" t="str">
        <f>IF(AK38="","",IF(VLOOKUP(AK38,'G-7 Rivers Data'!$AD$4:$AE$8,2,FALSE)=0,"Spatial Data Missing ⚠",VLOOKUP(AK38,'G-7 Rivers Data'!$AD$4:$AE$8,2,FALSE)))</f>
        <v/>
      </c>
      <c r="AM38" s="154"/>
      <c r="AN38" s="524" t="str">
        <f>IF(AM38="","",VLOOKUP(AM38,'G-7 Rivers Data'!$AO$4:$AP$7,2,FALSE))</f>
        <v/>
      </c>
      <c r="AO38" s="545" t="str">
        <f t="shared" si="7"/>
        <v/>
      </c>
      <c r="AP38" s="149"/>
      <c r="AQ38" s="150"/>
      <c r="AX38" s="31" t="str">
        <f>IFERROR(INDEX('G-7 Rivers Data'!$AZ$3:$AZ$7,MATCH(N38,'G-7 Rivers Data'!$AY$3:$AY$7,0)),"")</f>
        <v/>
      </c>
    </row>
    <row r="39" spans="2:50" ht="13.8" x14ac:dyDescent="0.25">
      <c r="B39" s="531" t="str">
        <f>'F-1 Off Site River Baseline'!AN37</f>
        <v/>
      </c>
      <c r="C39" s="520" t="str">
        <f>IF(B39="","",VLOOKUP($B39,'F-1 Off Site River Baseline'!$C$9:$R$257,2,FALSE))</f>
        <v/>
      </c>
      <c r="D39" s="520" t="str">
        <f>IF(C39="","",VLOOKUP($B39,'F-1 Off Site River Baseline'!$C$9:$R$257,3,FALSE))</f>
        <v/>
      </c>
      <c r="E39" s="520" t="str">
        <f>IF(D39="","",VLOOKUP($B39,'F-1 Off Site River Baseline'!$C$9:$R$257,4,FALSE))</f>
        <v/>
      </c>
      <c r="F39" s="520" t="str">
        <f>IF(E39="","",VLOOKUP($B39,'F-1 Off Site River Baseline'!$C$9:$R$257,5,FALSE))</f>
        <v/>
      </c>
      <c r="G39" s="520" t="str">
        <f>IF(F39="","",VLOOKUP($B39,'F-1 Off Site River Baseline'!$C$9:$R$257,6,FALSE))</f>
        <v/>
      </c>
      <c r="H39" s="520" t="str">
        <f>IF(G39="","",VLOOKUP($B39,'F-1 Off Site River Baseline'!$C$9:$R$257,7,FALSE))</f>
        <v/>
      </c>
      <c r="I39" s="520" t="str">
        <f>IF(H39="","",VLOOKUP($B39,'F-1 Off Site River Baseline'!$C$9:$R$257,8,FALSE))</f>
        <v/>
      </c>
      <c r="J39" s="520" t="str">
        <f>IF(I39="","",VLOOKUP($B39,'F-1 Off Site River Baseline'!$C$9:$R$257,9,FALSE))</f>
        <v/>
      </c>
      <c r="K39" s="520" t="str">
        <f>IF(J39="","",VLOOKUP($B39,'F-1 Off Site River Baseline'!$C$9:$R$257,10,FALSE))</f>
        <v/>
      </c>
      <c r="L39" s="520" t="str">
        <f>IF(B39="","",VLOOKUP($B39,'C-1 Site River Baseline'!$C$9:$R$257,15,FALSE))</f>
        <v/>
      </c>
      <c r="M39" s="524" t="str">
        <f>IF(L39="","",VLOOKUP($B39,'F-1 Off Site River Baseline'!$C$9:$R$257,16,FALSE))</f>
        <v/>
      </c>
      <c r="N39" s="418" t="str">
        <f t="shared" si="0"/>
        <v/>
      </c>
      <c r="O39" s="498" t="str">
        <f t="shared" si="5"/>
        <v/>
      </c>
      <c r="P39" s="499"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5" t="str">
        <f>IF(N39="","",VLOOKUP(B39,'F-1 Off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20" t="str">
        <f>IF(V39="","",IF(VLOOKUP(V39,'G-7 Rivers Data'!$AG$4:$AI$9,2,FALSE)=0,"Spatial Data Missing ⚠",VLOOKUP(V39,'G-7 Rivers Data'!$AG$4:$AI$9,2,FALSE)))</f>
        <v/>
      </c>
      <c r="X39" s="524" t="str">
        <f>IF(V39="","",IF(VLOOKUP(V39,'G-7 Rivers Data'!$AG$4:$AI$9,3,FALSE)=0,"Spatial Data Missing ⚠",VLOOKUP(V39,'G-7 Rivers Data'!$AG$4:$AI$9,3,FALSE)))</f>
        <v/>
      </c>
      <c r="Y39" s="537" t="str">
        <f>IFERROR(IF(OR(LEFT(P39,5)="Error ▲",LEFT(O39,5)="Error ▲"),"Check Data ⚠",IF(F39&lt;S39,'G-7 Rivers Data'!$R$3,INDEX('G-7 Rivers Data'!$U$5:$Y$9,MATCH(G39,'G-7 Rivers Data'!$T$5:$T$9,0),MATCH(T39,'G-7 Rivers Data'!$U$4:$Y$4,0)))),"")</f>
        <v/>
      </c>
      <c r="Z39" s="203"/>
      <c r="AA39" s="203"/>
      <c r="AB39" s="534" t="str">
        <f t="shared" si="1"/>
        <v/>
      </c>
      <c r="AC39" s="521" t="str">
        <f t="shared" si="2"/>
        <v/>
      </c>
      <c r="AD39" s="564" t="str">
        <f>IFERROR(IF(AC39="Check Data ⚠","Check Data ⚠",VLOOKUP(AC39,'G-4 Temporal multipliers'!$A$4:$C$37,3,FALSE)),"")</f>
        <v/>
      </c>
      <c r="AE39" s="537" t="str">
        <f>IF(N39="","",VLOOKUP(N39,'G-7 Rivers Data'!$B$4:$G$8,5,FALSE))</f>
        <v/>
      </c>
      <c r="AF39" s="520" t="str">
        <f t="shared" si="3"/>
        <v/>
      </c>
      <c r="AG39" s="520" t="str">
        <f t="shared" si="6"/>
        <v/>
      </c>
      <c r="AH39" s="524" t="str">
        <f t="shared" si="4"/>
        <v/>
      </c>
      <c r="AI39" s="145"/>
      <c r="AJ39" s="499" t="str">
        <f>IF(AI39="","",IF(VLOOKUP(AI39,'G-7 Rivers Data'!$AA$4:$AB$7,2,FALSE)=0,"Spatial Data Missing ⚠",VLOOKUP(AI39,'G-7 Rivers Data'!$AA$4:$AB$7,2,FALSE)))</f>
        <v/>
      </c>
      <c r="AK39" s="155"/>
      <c r="AL39" s="536" t="str">
        <f>IF(AK39="","",IF(VLOOKUP(AK39,'G-7 Rivers Data'!$AD$4:$AE$8,2,FALSE)=0,"Spatial Data Missing ⚠",VLOOKUP(AK39,'G-7 Rivers Data'!$AD$4:$AE$8,2,FALSE)))</f>
        <v/>
      </c>
      <c r="AM39" s="154"/>
      <c r="AN39" s="524" t="str">
        <f>IF(AM39="","",VLOOKUP(AM39,'G-7 Rivers Data'!$AO$4:$AP$7,2,FALSE))</f>
        <v/>
      </c>
      <c r="AO39" s="545" t="str">
        <f t="shared" si="7"/>
        <v/>
      </c>
      <c r="AP39" s="149"/>
      <c r="AQ39" s="150"/>
      <c r="AX39" s="31" t="str">
        <f>IFERROR(INDEX('G-7 Rivers Data'!$AZ$3:$AZ$7,MATCH(N39,'G-7 Rivers Data'!$AY$3:$AY$7,0)),"")</f>
        <v/>
      </c>
    </row>
    <row r="40" spans="2:50" ht="13.8" x14ac:dyDescent="0.25">
      <c r="B40" s="531" t="str">
        <f>'F-1 Off Site River Baseline'!AN38</f>
        <v/>
      </c>
      <c r="C40" s="520" t="str">
        <f>IF(B40="","",VLOOKUP($B40,'F-1 Off Site River Baseline'!$C$9:$R$257,2,FALSE))</f>
        <v/>
      </c>
      <c r="D40" s="520" t="str">
        <f>IF(C40="","",VLOOKUP($B40,'F-1 Off Site River Baseline'!$C$9:$R$257,3,FALSE))</f>
        <v/>
      </c>
      <c r="E40" s="520" t="str">
        <f>IF(D40="","",VLOOKUP($B40,'F-1 Off Site River Baseline'!$C$9:$R$257,4,FALSE))</f>
        <v/>
      </c>
      <c r="F40" s="520" t="str">
        <f>IF(E40="","",VLOOKUP($B40,'F-1 Off Site River Baseline'!$C$9:$R$257,5,FALSE))</f>
        <v/>
      </c>
      <c r="G40" s="520" t="str">
        <f>IF(F40="","",VLOOKUP($B40,'F-1 Off Site River Baseline'!$C$9:$R$257,6,FALSE))</f>
        <v/>
      </c>
      <c r="H40" s="520" t="str">
        <f>IF(G40="","",VLOOKUP($B40,'F-1 Off Site River Baseline'!$C$9:$R$257,7,FALSE))</f>
        <v/>
      </c>
      <c r="I40" s="520" t="str">
        <f>IF(H40="","",VLOOKUP($B40,'F-1 Off Site River Baseline'!$C$9:$R$257,8,FALSE))</f>
        <v/>
      </c>
      <c r="J40" s="520" t="str">
        <f>IF(I40="","",VLOOKUP($B40,'F-1 Off Site River Baseline'!$C$9:$R$257,9,FALSE))</f>
        <v/>
      </c>
      <c r="K40" s="520" t="str">
        <f>IF(J40="","",VLOOKUP($B40,'F-1 Off Site River Baseline'!$C$9:$R$257,10,FALSE))</f>
        <v/>
      </c>
      <c r="L40" s="520" t="str">
        <f>IF(B40="","",VLOOKUP($B40,'C-1 Site River Baseline'!$C$9:$R$257,15,FALSE))</f>
        <v/>
      </c>
      <c r="M40" s="524" t="str">
        <f>IF(L40="","",VLOOKUP($B40,'F-1 Off Site River Baseline'!$C$9:$R$257,16,FALSE))</f>
        <v/>
      </c>
      <c r="N40" s="418" t="str">
        <f t="shared" si="0"/>
        <v/>
      </c>
      <c r="O40" s="498" t="str">
        <f t="shared" si="5"/>
        <v/>
      </c>
      <c r="P40" s="499"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5" t="str">
        <f>IF(N40="","",VLOOKUP(B40,'F-1 Off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20" t="str">
        <f>IF(V40="","",IF(VLOOKUP(V40,'G-7 Rivers Data'!$AG$4:$AI$9,2,FALSE)=0,"Spatial Data Missing ⚠",VLOOKUP(V40,'G-7 Rivers Data'!$AG$4:$AI$9,2,FALSE)))</f>
        <v/>
      </c>
      <c r="X40" s="524" t="str">
        <f>IF(V40="","",IF(VLOOKUP(V40,'G-7 Rivers Data'!$AG$4:$AI$9,3,FALSE)=0,"Spatial Data Missing ⚠",VLOOKUP(V40,'G-7 Rivers Data'!$AG$4:$AI$9,3,FALSE)))</f>
        <v/>
      </c>
      <c r="Y40" s="537" t="str">
        <f>IFERROR(IF(OR(LEFT(P40,5)="Error ▲",LEFT(O40,5)="Error ▲"),"Check Data ⚠",IF(F40&lt;S40,'G-7 Rivers Data'!$R$3,INDEX('G-7 Rivers Data'!$U$5:$Y$9,MATCH(G40,'G-7 Rivers Data'!$T$5:$T$9,0),MATCH(T40,'G-7 Rivers Data'!$U$4:$Y$4,0)))),"")</f>
        <v/>
      </c>
      <c r="Z40" s="203"/>
      <c r="AA40" s="203"/>
      <c r="AB40" s="534" t="str">
        <f t="shared" si="1"/>
        <v/>
      </c>
      <c r="AC40" s="521" t="str">
        <f t="shared" si="2"/>
        <v/>
      </c>
      <c r="AD40" s="564" t="str">
        <f>IFERROR(IF(AC40="Check Data ⚠","Check Data ⚠",VLOOKUP(AC40,'G-4 Temporal multipliers'!$A$4:$C$37,3,FALSE)),"")</f>
        <v/>
      </c>
      <c r="AE40" s="537" t="str">
        <f>IF(N40="","",VLOOKUP(N40,'G-7 Rivers Data'!$B$4:$G$8,5,FALSE))</f>
        <v/>
      </c>
      <c r="AF40" s="520" t="str">
        <f t="shared" si="3"/>
        <v/>
      </c>
      <c r="AG40" s="520" t="str">
        <f t="shared" si="6"/>
        <v/>
      </c>
      <c r="AH40" s="524" t="str">
        <f t="shared" si="4"/>
        <v/>
      </c>
      <c r="AI40" s="145"/>
      <c r="AJ40" s="499" t="str">
        <f>IF(AI40="","",IF(VLOOKUP(AI40,'G-7 Rivers Data'!$AA$4:$AB$7,2,FALSE)=0,"Spatial Data Missing ⚠",VLOOKUP(AI40,'G-7 Rivers Data'!$AA$4:$AB$7,2,FALSE)))</f>
        <v/>
      </c>
      <c r="AK40" s="155"/>
      <c r="AL40" s="536" t="str">
        <f>IF(AK40="","",IF(VLOOKUP(AK40,'G-7 Rivers Data'!$AD$4:$AE$8,2,FALSE)=0,"Spatial Data Missing ⚠",VLOOKUP(AK40,'G-7 Rivers Data'!$AD$4:$AE$8,2,FALSE)))</f>
        <v/>
      </c>
      <c r="AM40" s="154"/>
      <c r="AN40" s="524" t="str">
        <f>IF(AM40="","",VLOOKUP(AM40,'G-7 Rivers Data'!$AO$4:$AP$7,2,FALSE))</f>
        <v/>
      </c>
      <c r="AO40" s="545" t="str">
        <f t="shared" si="7"/>
        <v/>
      </c>
      <c r="AP40" s="149"/>
      <c r="AQ40" s="150"/>
      <c r="AX40" s="31" t="str">
        <f>IFERROR(INDEX('G-7 Rivers Data'!$AZ$3:$AZ$7,MATCH(N40,'G-7 Rivers Data'!$AY$3:$AY$7,0)),"")</f>
        <v/>
      </c>
    </row>
    <row r="41" spans="2:50" ht="13.8" x14ac:dyDescent="0.25">
      <c r="B41" s="531" t="str">
        <f>'F-1 Off Site River Baseline'!AN39</f>
        <v/>
      </c>
      <c r="C41" s="520" t="str">
        <f>IF(B41="","",VLOOKUP($B41,'F-1 Off Site River Baseline'!$C$9:$R$257,2,FALSE))</f>
        <v/>
      </c>
      <c r="D41" s="520" t="str">
        <f>IF(C41="","",VLOOKUP($B41,'F-1 Off Site River Baseline'!$C$9:$R$257,3,FALSE))</f>
        <v/>
      </c>
      <c r="E41" s="520" t="str">
        <f>IF(D41="","",VLOOKUP($B41,'F-1 Off Site River Baseline'!$C$9:$R$257,4,FALSE))</f>
        <v/>
      </c>
      <c r="F41" s="520" t="str">
        <f>IF(E41="","",VLOOKUP($B41,'F-1 Off Site River Baseline'!$C$9:$R$257,5,FALSE))</f>
        <v/>
      </c>
      <c r="G41" s="520" t="str">
        <f>IF(F41="","",VLOOKUP($B41,'F-1 Off Site River Baseline'!$C$9:$R$257,6,FALSE))</f>
        <v/>
      </c>
      <c r="H41" s="520" t="str">
        <f>IF(G41="","",VLOOKUP($B41,'F-1 Off Site River Baseline'!$C$9:$R$257,7,FALSE))</f>
        <v/>
      </c>
      <c r="I41" s="520" t="str">
        <f>IF(H41="","",VLOOKUP($B41,'F-1 Off Site River Baseline'!$C$9:$R$257,8,FALSE))</f>
        <v/>
      </c>
      <c r="J41" s="520" t="str">
        <f>IF(I41="","",VLOOKUP($B41,'F-1 Off Site River Baseline'!$C$9:$R$257,9,FALSE))</f>
        <v/>
      </c>
      <c r="K41" s="520" t="str">
        <f>IF(J41="","",VLOOKUP($B41,'F-1 Off Site River Baseline'!$C$9:$R$257,10,FALSE))</f>
        <v/>
      </c>
      <c r="L41" s="520" t="str">
        <f>IF(B41="","",VLOOKUP($B41,'C-1 Site River Baseline'!$C$9:$R$257,15,FALSE))</f>
        <v/>
      </c>
      <c r="M41" s="524" t="str">
        <f>IF(L41="","",VLOOKUP($B41,'F-1 Off Site River Baseline'!$C$9:$R$257,16,FALSE))</f>
        <v/>
      </c>
      <c r="N41" s="418" t="str">
        <f t="shared" si="0"/>
        <v/>
      </c>
      <c r="O41" s="498" t="str">
        <f t="shared" si="5"/>
        <v/>
      </c>
      <c r="P41" s="499"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5" t="str">
        <f>IF(N41="","",VLOOKUP(B41,'F-1 Off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20" t="str">
        <f>IF(V41="","",IF(VLOOKUP(V41,'G-7 Rivers Data'!$AG$4:$AI$9,2,FALSE)=0,"Spatial Data Missing ⚠",VLOOKUP(V41,'G-7 Rivers Data'!$AG$4:$AI$9,2,FALSE)))</f>
        <v/>
      </c>
      <c r="X41" s="524" t="str">
        <f>IF(V41="","",IF(VLOOKUP(V41,'G-7 Rivers Data'!$AG$4:$AI$9,3,FALSE)=0,"Spatial Data Missing ⚠",VLOOKUP(V41,'G-7 Rivers Data'!$AG$4:$AI$9,3,FALSE)))</f>
        <v/>
      </c>
      <c r="Y41" s="537" t="str">
        <f>IFERROR(IF(OR(LEFT(P41,5)="Error ▲",LEFT(O41,5)="Error ▲"),"Check Data ⚠",IF(F41&lt;S41,'G-7 Rivers Data'!$R$3,INDEX('G-7 Rivers Data'!$U$5:$Y$9,MATCH(G41,'G-7 Rivers Data'!$T$5:$T$9,0),MATCH(T41,'G-7 Rivers Data'!$U$4:$Y$4,0)))),"")</f>
        <v/>
      </c>
      <c r="Z41" s="203"/>
      <c r="AA41" s="203"/>
      <c r="AB41" s="534" t="str">
        <f t="shared" si="1"/>
        <v/>
      </c>
      <c r="AC41" s="521" t="str">
        <f t="shared" si="2"/>
        <v/>
      </c>
      <c r="AD41" s="564" t="str">
        <f>IFERROR(IF(AC41="Check Data ⚠","Check Data ⚠",VLOOKUP(AC41,'G-4 Temporal multipliers'!$A$4:$C$37,3,FALSE)),"")</f>
        <v/>
      </c>
      <c r="AE41" s="537" t="str">
        <f>IF(N41="","",VLOOKUP(N41,'G-7 Rivers Data'!$B$4:$G$8,5,FALSE))</f>
        <v/>
      </c>
      <c r="AF41" s="520" t="str">
        <f t="shared" si="3"/>
        <v/>
      </c>
      <c r="AG41" s="520" t="str">
        <f t="shared" si="6"/>
        <v/>
      </c>
      <c r="AH41" s="524" t="str">
        <f t="shared" si="4"/>
        <v/>
      </c>
      <c r="AI41" s="145"/>
      <c r="AJ41" s="499" t="str">
        <f>IF(AI41="","",IF(VLOOKUP(AI41,'G-7 Rivers Data'!$AA$4:$AB$7,2,FALSE)=0,"Spatial Data Missing ⚠",VLOOKUP(AI41,'G-7 Rivers Data'!$AA$4:$AB$7,2,FALSE)))</f>
        <v/>
      </c>
      <c r="AK41" s="155"/>
      <c r="AL41" s="536" t="str">
        <f>IF(AK41="","",IF(VLOOKUP(AK41,'G-7 Rivers Data'!$AD$4:$AE$8,2,FALSE)=0,"Spatial Data Missing ⚠",VLOOKUP(AK41,'G-7 Rivers Data'!$AD$4:$AE$8,2,FALSE)))</f>
        <v/>
      </c>
      <c r="AM41" s="154"/>
      <c r="AN41" s="524" t="str">
        <f>IF(AM41="","",VLOOKUP(AM41,'G-7 Rivers Data'!$AO$4:$AP$7,2,FALSE))</f>
        <v/>
      </c>
      <c r="AO41" s="545" t="str">
        <f t="shared" si="7"/>
        <v/>
      </c>
      <c r="AP41" s="149"/>
      <c r="AQ41" s="150"/>
      <c r="AX41" s="31" t="str">
        <f>IFERROR(INDEX('G-7 Rivers Data'!$AZ$3:$AZ$7,MATCH(N41,'G-7 Rivers Data'!$AY$3:$AY$7,0)),"")</f>
        <v/>
      </c>
    </row>
    <row r="42" spans="2:50" ht="13.8" x14ac:dyDescent="0.25">
      <c r="B42" s="531" t="str">
        <f>'F-1 Off Site River Baseline'!AN40</f>
        <v/>
      </c>
      <c r="C42" s="520" t="str">
        <f>IF(B42="","",VLOOKUP($B42,'F-1 Off Site River Baseline'!$C$9:$R$257,2,FALSE))</f>
        <v/>
      </c>
      <c r="D42" s="520" t="str">
        <f>IF(C42="","",VLOOKUP($B42,'F-1 Off Site River Baseline'!$C$9:$R$257,3,FALSE))</f>
        <v/>
      </c>
      <c r="E42" s="520" t="str">
        <f>IF(D42="","",VLOOKUP($B42,'F-1 Off Site River Baseline'!$C$9:$R$257,4,FALSE))</f>
        <v/>
      </c>
      <c r="F42" s="520" t="str">
        <f>IF(E42="","",VLOOKUP($B42,'F-1 Off Site River Baseline'!$C$9:$R$257,5,FALSE))</f>
        <v/>
      </c>
      <c r="G42" s="520" t="str">
        <f>IF(F42="","",VLOOKUP($B42,'F-1 Off Site River Baseline'!$C$9:$R$257,6,FALSE))</f>
        <v/>
      </c>
      <c r="H42" s="520" t="str">
        <f>IF(G42="","",VLOOKUP($B42,'F-1 Off Site River Baseline'!$C$9:$R$257,7,FALSE))</f>
        <v/>
      </c>
      <c r="I42" s="520" t="str">
        <f>IF(H42="","",VLOOKUP($B42,'F-1 Off Site River Baseline'!$C$9:$R$257,8,FALSE))</f>
        <v/>
      </c>
      <c r="J42" s="520" t="str">
        <f>IF(I42="","",VLOOKUP($B42,'F-1 Off Site River Baseline'!$C$9:$R$257,9,FALSE))</f>
        <v/>
      </c>
      <c r="K42" s="520" t="str">
        <f>IF(J42="","",VLOOKUP($B42,'F-1 Off Site River Baseline'!$C$9:$R$257,10,FALSE))</f>
        <v/>
      </c>
      <c r="L42" s="520" t="str">
        <f>IF(B42="","",VLOOKUP($B42,'C-1 Site River Baseline'!$C$9:$R$257,15,FALSE))</f>
        <v/>
      </c>
      <c r="M42" s="524" t="str">
        <f>IF(L42="","",VLOOKUP($B42,'F-1 Off Site River Baseline'!$C$9:$R$257,16,FALSE))</f>
        <v/>
      </c>
      <c r="N42" s="418" t="str">
        <f t="shared" si="0"/>
        <v/>
      </c>
      <c r="O42" s="498" t="str">
        <f t="shared" si="5"/>
        <v/>
      </c>
      <c r="P42" s="499"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5" t="str">
        <f>IF(N42="","",VLOOKUP(B42,'F-1 Off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20" t="str">
        <f>IF(V42="","",IF(VLOOKUP(V42,'G-7 Rivers Data'!$AG$4:$AI$9,2,FALSE)=0,"Spatial Data Missing ⚠",VLOOKUP(V42,'G-7 Rivers Data'!$AG$4:$AI$9,2,FALSE)))</f>
        <v/>
      </c>
      <c r="X42" s="524" t="str">
        <f>IF(V42="","",IF(VLOOKUP(V42,'G-7 Rivers Data'!$AG$4:$AI$9,3,FALSE)=0,"Spatial Data Missing ⚠",VLOOKUP(V42,'G-7 Rivers Data'!$AG$4:$AI$9,3,FALSE)))</f>
        <v/>
      </c>
      <c r="Y42" s="537" t="str">
        <f>IFERROR(IF(OR(LEFT(P42,5)="Error ▲",LEFT(O42,5)="Error ▲"),"Check Data ⚠",IF(F42&lt;S42,'G-7 Rivers Data'!$R$3,INDEX('G-7 Rivers Data'!$U$5:$Y$9,MATCH(G42,'G-7 Rivers Data'!$T$5:$T$9,0),MATCH(T42,'G-7 Rivers Data'!$U$4:$Y$4,0)))),"")</f>
        <v/>
      </c>
      <c r="Z42" s="203"/>
      <c r="AA42" s="203"/>
      <c r="AB42" s="534" t="str">
        <f t="shared" si="1"/>
        <v/>
      </c>
      <c r="AC42" s="521" t="str">
        <f t="shared" si="2"/>
        <v/>
      </c>
      <c r="AD42" s="564" t="str">
        <f>IFERROR(IF(AC42="Check Data ⚠","Check Data ⚠",VLOOKUP(AC42,'G-4 Temporal multipliers'!$A$4:$C$37,3,FALSE)),"")</f>
        <v/>
      </c>
      <c r="AE42" s="537" t="str">
        <f>IF(N42="","",VLOOKUP(N42,'G-7 Rivers Data'!$B$4:$G$8,5,FALSE))</f>
        <v/>
      </c>
      <c r="AF42" s="520" t="str">
        <f t="shared" si="3"/>
        <v/>
      </c>
      <c r="AG42" s="520" t="str">
        <f t="shared" si="6"/>
        <v/>
      </c>
      <c r="AH42" s="524" t="str">
        <f t="shared" si="4"/>
        <v/>
      </c>
      <c r="AI42" s="145"/>
      <c r="AJ42" s="499" t="str">
        <f>IF(AI42="","",IF(VLOOKUP(AI42,'G-7 Rivers Data'!$AA$4:$AB$7,2,FALSE)=0,"Spatial Data Missing ⚠",VLOOKUP(AI42,'G-7 Rivers Data'!$AA$4:$AB$7,2,FALSE)))</f>
        <v/>
      </c>
      <c r="AK42" s="155"/>
      <c r="AL42" s="536" t="str">
        <f>IF(AK42="","",IF(VLOOKUP(AK42,'G-7 Rivers Data'!$AD$4:$AE$8,2,FALSE)=0,"Spatial Data Missing ⚠",VLOOKUP(AK42,'G-7 Rivers Data'!$AD$4:$AE$8,2,FALSE)))</f>
        <v/>
      </c>
      <c r="AM42" s="154"/>
      <c r="AN42" s="524" t="str">
        <f>IF(AM42="","",VLOOKUP(AM42,'G-7 Rivers Data'!$AO$4:$AP$7,2,FALSE))</f>
        <v/>
      </c>
      <c r="AO42" s="545" t="str">
        <f t="shared" si="7"/>
        <v/>
      </c>
      <c r="AP42" s="149"/>
      <c r="AQ42" s="150"/>
      <c r="AX42" s="31" t="str">
        <f>IFERROR(INDEX('G-7 Rivers Data'!$AZ$3:$AZ$7,MATCH(N42,'G-7 Rivers Data'!$AY$3:$AY$7,0)),"")</f>
        <v/>
      </c>
    </row>
    <row r="43" spans="2:50" ht="13.8" x14ac:dyDescent="0.25">
      <c r="B43" s="531" t="str">
        <f>'F-1 Off Site River Baseline'!AN41</f>
        <v/>
      </c>
      <c r="C43" s="520" t="str">
        <f>IF(B43="","",VLOOKUP($B43,'F-1 Off Site River Baseline'!$C$9:$R$257,2,FALSE))</f>
        <v/>
      </c>
      <c r="D43" s="520" t="str">
        <f>IF(C43="","",VLOOKUP($B43,'F-1 Off Site River Baseline'!$C$9:$R$257,3,FALSE))</f>
        <v/>
      </c>
      <c r="E43" s="520" t="str">
        <f>IF(D43="","",VLOOKUP($B43,'F-1 Off Site River Baseline'!$C$9:$R$257,4,FALSE))</f>
        <v/>
      </c>
      <c r="F43" s="520" t="str">
        <f>IF(E43="","",VLOOKUP($B43,'F-1 Off Site River Baseline'!$C$9:$R$257,5,FALSE))</f>
        <v/>
      </c>
      <c r="G43" s="520" t="str">
        <f>IF(F43="","",VLOOKUP($B43,'F-1 Off Site River Baseline'!$C$9:$R$257,6,FALSE))</f>
        <v/>
      </c>
      <c r="H43" s="520" t="str">
        <f>IF(G43="","",VLOOKUP($B43,'F-1 Off Site River Baseline'!$C$9:$R$257,7,FALSE))</f>
        <v/>
      </c>
      <c r="I43" s="520" t="str">
        <f>IF(H43="","",VLOOKUP($B43,'F-1 Off Site River Baseline'!$C$9:$R$257,8,FALSE))</f>
        <v/>
      </c>
      <c r="J43" s="520" t="str">
        <f>IF(I43="","",VLOOKUP($B43,'F-1 Off Site River Baseline'!$C$9:$R$257,9,FALSE))</f>
        <v/>
      </c>
      <c r="K43" s="520" t="str">
        <f>IF(J43="","",VLOOKUP($B43,'F-1 Off Site River Baseline'!$C$9:$R$257,10,FALSE))</f>
        <v/>
      </c>
      <c r="L43" s="520" t="str">
        <f>IF(B43="","",VLOOKUP($B43,'C-1 Site River Baseline'!$C$9:$R$257,15,FALSE))</f>
        <v/>
      </c>
      <c r="M43" s="524" t="str">
        <f>IF(L43="","",VLOOKUP($B43,'F-1 Off Site River Baseline'!$C$9:$R$257,16,FALSE))</f>
        <v/>
      </c>
      <c r="N43" s="418" t="str">
        <f t="shared" si="0"/>
        <v/>
      </c>
      <c r="O43" s="498" t="str">
        <f t="shared" si="5"/>
        <v/>
      </c>
      <c r="P43" s="499"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5" t="str">
        <f>IF(N43="","",VLOOKUP(B43,'F-1 Off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20" t="str">
        <f>IF(V43="","",IF(VLOOKUP(V43,'G-7 Rivers Data'!$AG$4:$AI$9,2,FALSE)=0,"Spatial Data Missing ⚠",VLOOKUP(V43,'G-7 Rivers Data'!$AG$4:$AI$9,2,FALSE)))</f>
        <v/>
      </c>
      <c r="X43" s="524" t="str">
        <f>IF(V43="","",IF(VLOOKUP(V43,'G-7 Rivers Data'!$AG$4:$AI$9,3,FALSE)=0,"Spatial Data Missing ⚠",VLOOKUP(V43,'G-7 Rivers Data'!$AG$4:$AI$9,3,FALSE)))</f>
        <v/>
      </c>
      <c r="Y43" s="537" t="str">
        <f>IFERROR(IF(OR(LEFT(P43,5)="Error ▲",LEFT(O43,5)="Error ▲"),"Check Data ⚠",IF(F43&lt;S43,'G-7 Rivers Data'!$R$3,INDEX('G-7 Rivers Data'!$U$5:$Y$9,MATCH(G43,'G-7 Rivers Data'!$T$5:$T$9,0),MATCH(T43,'G-7 Rivers Data'!$U$4:$Y$4,0)))),"")</f>
        <v/>
      </c>
      <c r="Z43" s="203"/>
      <c r="AA43" s="203"/>
      <c r="AB43" s="534" t="str">
        <f t="shared" si="1"/>
        <v/>
      </c>
      <c r="AC43" s="521" t="str">
        <f t="shared" si="2"/>
        <v/>
      </c>
      <c r="AD43" s="564" t="str">
        <f>IFERROR(IF(AC43="Check Data ⚠","Check Data ⚠",VLOOKUP(AC43,'G-4 Temporal multipliers'!$A$4:$C$37,3,FALSE)),"")</f>
        <v/>
      </c>
      <c r="AE43" s="537" t="str">
        <f>IF(N43="","",VLOOKUP(N43,'G-7 Rivers Data'!$B$4:$G$8,5,FALSE))</f>
        <v/>
      </c>
      <c r="AF43" s="520" t="str">
        <f t="shared" si="3"/>
        <v/>
      </c>
      <c r="AG43" s="520" t="str">
        <f t="shared" si="6"/>
        <v/>
      </c>
      <c r="AH43" s="524" t="str">
        <f t="shared" si="4"/>
        <v/>
      </c>
      <c r="AI43" s="145"/>
      <c r="AJ43" s="499" t="str">
        <f>IF(AI43="","",IF(VLOOKUP(AI43,'G-7 Rivers Data'!$AA$4:$AB$7,2,FALSE)=0,"Spatial Data Missing ⚠",VLOOKUP(AI43,'G-7 Rivers Data'!$AA$4:$AB$7,2,FALSE)))</f>
        <v/>
      </c>
      <c r="AK43" s="155"/>
      <c r="AL43" s="536" t="str">
        <f>IF(AK43="","",IF(VLOOKUP(AK43,'G-7 Rivers Data'!$AD$4:$AE$8,2,FALSE)=0,"Spatial Data Missing ⚠",VLOOKUP(AK43,'G-7 Rivers Data'!$AD$4:$AE$8,2,FALSE)))</f>
        <v/>
      </c>
      <c r="AM43" s="154"/>
      <c r="AN43" s="524" t="str">
        <f>IF(AM43="","",VLOOKUP(AM43,'G-7 Rivers Data'!$AO$4:$AP$7,2,FALSE))</f>
        <v/>
      </c>
      <c r="AO43" s="545" t="str">
        <f t="shared" si="7"/>
        <v/>
      </c>
      <c r="AP43" s="149"/>
      <c r="AQ43" s="150"/>
      <c r="AX43" s="31" t="str">
        <f>IFERROR(INDEX('G-7 Rivers Data'!$AZ$3:$AZ$7,MATCH(N43,'G-7 Rivers Data'!$AY$3:$AY$7,0)),"")</f>
        <v/>
      </c>
    </row>
    <row r="44" spans="2:50" ht="13.8" x14ac:dyDescent="0.25">
      <c r="B44" s="531" t="str">
        <f>'F-1 Off Site River Baseline'!AN42</f>
        <v/>
      </c>
      <c r="C44" s="520" t="str">
        <f>IF(B44="","",VLOOKUP($B44,'F-1 Off Site River Baseline'!$C$9:$R$257,2,FALSE))</f>
        <v/>
      </c>
      <c r="D44" s="520" t="str">
        <f>IF(C44="","",VLOOKUP($B44,'F-1 Off Site River Baseline'!$C$9:$R$257,3,FALSE))</f>
        <v/>
      </c>
      <c r="E44" s="520" t="str">
        <f>IF(D44="","",VLOOKUP($B44,'F-1 Off Site River Baseline'!$C$9:$R$257,4,FALSE))</f>
        <v/>
      </c>
      <c r="F44" s="520" t="str">
        <f>IF(E44="","",VLOOKUP($B44,'F-1 Off Site River Baseline'!$C$9:$R$257,5,FALSE))</f>
        <v/>
      </c>
      <c r="G44" s="520" t="str">
        <f>IF(F44="","",VLOOKUP($B44,'F-1 Off Site River Baseline'!$C$9:$R$257,6,FALSE))</f>
        <v/>
      </c>
      <c r="H44" s="520" t="str">
        <f>IF(G44="","",VLOOKUP($B44,'F-1 Off Site River Baseline'!$C$9:$R$257,7,FALSE))</f>
        <v/>
      </c>
      <c r="I44" s="520" t="str">
        <f>IF(H44="","",VLOOKUP($B44,'F-1 Off Site River Baseline'!$C$9:$R$257,8,FALSE))</f>
        <v/>
      </c>
      <c r="J44" s="520" t="str">
        <f>IF(I44="","",VLOOKUP($B44,'F-1 Off Site River Baseline'!$C$9:$R$257,9,FALSE))</f>
        <v/>
      </c>
      <c r="K44" s="520" t="str">
        <f>IF(J44="","",VLOOKUP($B44,'F-1 Off Site River Baseline'!$C$9:$R$257,10,FALSE))</f>
        <v/>
      </c>
      <c r="L44" s="520" t="str">
        <f>IF(B44="","",VLOOKUP($B44,'C-1 Site River Baseline'!$C$9:$R$257,15,FALSE))</f>
        <v/>
      </c>
      <c r="M44" s="524" t="str">
        <f>IF(L44="","",VLOOKUP($B44,'F-1 Off Site River Baseline'!$C$9:$R$257,16,FALSE))</f>
        <v/>
      </c>
      <c r="N44" s="418" t="str">
        <f t="shared" si="0"/>
        <v/>
      </c>
      <c r="O44" s="498" t="str">
        <f t="shared" si="5"/>
        <v/>
      </c>
      <c r="P44" s="499"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5" t="str">
        <f>IF(N44="","",VLOOKUP(B44,'F-1 Off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20" t="str">
        <f>IF(V44="","",IF(VLOOKUP(V44,'G-7 Rivers Data'!$AG$4:$AI$9,2,FALSE)=0,"Spatial Data Missing ⚠",VLOOKUP(V44,'G-7 Rivers Data'!$AG$4:$AI$9,2,FALSE)))</f>
        <v/>
      </c>
      <c r="X44" s="524" t="str">
        <f>IF(V44="","",IF(VLOOKUP(V44,'G-7 Rivers Data'!$AG$4:$AI$9,3,FALSE)=0,"Spatial Data Missing ⚠",VLOOKUP(V44,'G-7 Rivers Data'!$AG$4:$AI$9,3,FALSE)))</f>
        <v/>
      </c>
      <c r="Y44" s="537" t="str">
        <f>IFERROR(IF(OR(LEFT(P44,5)="Error ▲",LEFT(O44,5)="Error ▲"),"Check Data ⚠",IF(F44&lt;S44,'G-7 Rivers Data'!$R$3,INDEX('G-7 Rivers Data'!$U$5:$Y$9,MATCH(G44,'G-7 Rivers Data'!$T$5:$T$9,0),MATCH(T44,'G-7 Rivers Data'!$U$4:$Y$4,0)))),"")</f>
        <v/>
      </c>
      <c r="Z44" s="203"/>
      <c r="AA44" s="203"/>
      <c r="AB44" s="534" t="str">
        <f t="shared" si="1"/>
        <v/>
      </c>
      <c r="AC44" s="521" t="str">
        <f t="shared" si="2"/>
        <v/>
      </c>
      <c r="AD44" s="564" t="str">
        <f>IFERROR(IF(AC44="Check Data ⚠","Check Data ⚠",VLOOKUP(AC44,'G-4 Temporal multipliers'!$A$4:$C$37,3,FALSE)),"")</f>
        <v/>
      </c>
      <c r="AE44" s="537" t="str">
        <f>IF(N44="","",VLOOKUP(N44,'G-7 Rivers Data'!$B$4:$G$8,5,FALSE))</f>
        <v/>
      </c>
      <c r="AF44" s="520" t="str">
        <f t="shared" si="3"/>
        <v/>
      </c>
      <c r="AG44" s="520" t="str">
        <f t="shared" si="6"/>
        <v/>
      </c>
      <c r="AH44" s="524" t="str">
        <f t="shared" si="4"/>
        <v/>
      </c>
      <c r="AI44" s="145"/>
      <c r="AJ44" s="499" t="str">
        <f>IF(AI44="","",IF(VLOOKUP(AI44,'G-7 Rivers Data'!$AA$4:$AB$7,2,FALSE)=0,"Spatial Data Missing ⚠",VLOOKUP(AI44,'G-7 Rivers Data'!$AA$4:$AB$7,2,FALSE)))</f>
        <v/>
      </c>
      <c r="AK44" s="155"/>
      <c r="AL44" s="536" t="str">
        <f>IF(AK44="","",IF(VLOOKUP(AK44,'G-7 Rivers Data'!$AD$4:$AE$8,2,FALSE)=0,"Spatial Data Missing ⚠",VLOOKUP(AK44,'G-7 Rivers Data'!$AD$4:$AE$8,2,FALSE)))</f>
        <v/>
      </c>
      <c r="AM44" s="154"/>
      <c r="AN44" s="524" t="str">
        <f>IF(AM44="","",VLOOKUP(AM44,'G-7 Rivers Data'!$AO$4:$AP$7,2,FALSE))</f>
        <v/>
      </c>
      <c r="AO44" s="545" t="str">
        <f t="shared" si="7"/>
        <v/>
      </c>
      <c r="AP44" s="149"/>
      <c r="AQ44" s="150"/>
      <c r="AX44" s="31" t="str">
        <f>IFERROR(INDEX('G-7 Rivers Data'!$AZ$3:$AZ$7,MATCH(N44,'G-7 Rivers Data'!$AY$3:$AY$7,0)),"")</f>
        <v/>
      </c>
    </row>
    <row r="45" spans="2:50" ht="13.8" x14ac:dyDescent="0.25">
      <c r="B45" s="531" t="str">
        <f>'F-1 Off Site River Baseline'!AN43</f>
        <v/>
      </c>
      <c r="C45" s="520" t="str">
        <f>IF(B45="","",VLOOKUP($B45,'F-1 Off Site River Baseline'!$C$9:$R$257,2,FALSE))</f>
        <v/>
      </c>
      <c r="D45" s="520" t="str">
        <f>IF(C45="","",VLOOKUP($B45,'F-1 Off Site River Baseline'!$C$9:$R$257,3,FALSE))</f>
        <v/>
      </c>
      <c r="E45" s="520" t="str">
        <f>IF(D45="","",VLOOKUP($B45,'F-1 Off Site River Baseline'!$C$9:$R$257,4,FALSE))</f>
        <v/>
      </c>
      <c r="F45" s="520" t="str">
        <f>IF(E45="","",VLOOKUP($B45,'F-1 Off Site River Baseline'!$C$9:$R$257,5,FALSE))</f>
        <v/>
      </c>
      <c r="G45" s="520" t="str">
        <f>IF(F45="","",VLOOKUP($B45,'F-1 Off Site River Baseline'!$C$9:$R$257,6,FALSE))</f>
        <v/>
      </c>
      <c r="H45" s="520" t="str">
        <f>IF(G45="","",VLOOKUP($B45,'F-1 Off Site River Baseline'!$C$9:$R$257,7,FALSE))</f>
        <v/>
      </c>
      <c r="I45" s="520" t="str">
        <f>IF(H45="","",VLOOKUP($B45,'F-1 Off Site River Baseline'!$C$9:$R$257,8,FALSE))</f>
        <v/>
      </c>
      <c r="J45" s="520" t="str">
        <f>IF(I45="","",VLOOKUP($B45,'F-1 Off Site River Baseline'!$C$9:$R$257,9,FALSE))</f>
        <v/>
      </c>
      <c r="K45" s="520" t="str">
        <f>IF(J45="","",VLOOKUP($B45,'F-1 Off Site River Baseline'!$C$9:$R$257,10,FALSE))</f>
        <v/>
      </c>
      <c r="L45" s="520" t="str">
        <f>IF(B45="","",VLOOKUP($B45,'C-1 Site River Baseline'!$C$9:$R$257,15,FALSE))</f>
        <v/>
      </c>
      <c r="M45" s="524" t="str">
        <f>IF(L45="","",VLOOKUP($B45,'F-1 Off Site River Baseline'!$C$9:$R$257,16,FALSE))</f>
        <v/>
      </c>
      <c r="N45" s="418" t="str">
        <f t="shared" si="0"/>
        <v/>
      </c>
      <c r="O45" s="498" t="str">
        <f t="shared" si="5"/>
        <v/>
      </c>
      <c r="P45" s="499"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5" t="str">
        <f>IF(N45="","",VLOOKUP(B45,'F-1 Off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20" t="str">
        <f>IF(V45="","",IF(VLOOKUP(V45,'G-7 Rivers Data'!$AG$4:$AI$9,2,FALSE)=0,"Spatial Data Missing ⚠",VLOOKUP(V45,'G-7 Rivers Data'!$AG$4:$AI$9,2,FALSE)))</f>
        <v/>
      </c>
      <c r="X45" s="524" t="str">
        <f>IF(V45="","",IF(VLOOKUP(V45,'G-7 Rivers Data'!$AG$4:$AI$9,3,FALSE)=0,"Spatial Data Missing ⚠",VLOOKUP(V45,'G-7 Rivers Data'!$AG$4:$AI$9,3,FALSE)))</f>
        <v/>
      </c>
      <c r="Y45" s="537" t="str">
        <f>IFERROR(IF(OR(LEFT(P45,5)="Error ▲",LEFT(O45,5)="Error ▲"),"Check Data ⚠",IF(F45&lt;S45,'G-7 Rivers Data'!$R$3,INDEX('G-7 Rivers Data'!$U$5:$Y$9,MATCH(G45,'G-7 Rivers Data'!$T$5:$T$9,0),MATCH(T45,'G-7 Rivers Data'!$U$4:$Y$4,0)))),"")</f>
        <v/>
      </c>
      <c r="Z45" s="203"/>
      <c r="AA45" s="203"/>
      <c r="AB45" s="534" t="str">
        <f t="shared" si="1"/>
        <v/>
      </c>
      <c r="AC45" s="521" t="str">
        <f t="shared" si="2"/>
        <v/>
      </c>
      <c r="AD45" s="564" t="str">
        <f>IFERROR(IF(AC45="Check Data ⚠","Check Data ⚠",VLOOKUP(AC45,'G-4 Temporal multipliers'!$A$4:$C$37,3,FALSE)),"")</f>
        <v/>
      </c>
      <c r="AE45" s="537" t="str">
        <f>IF(N45="","",VLOOKUP(N45,'G-7 Rivers Data'!$B$4:$G$8,5,FALSE))</f>
        <v/>
      </c>
      <c r="AF45" s="520" t="str">
        <f t="shared" si="3"/>
        <v/>
      </c>
      <c r="AG45" s="520" t="str">
        <f t="shared" si="6"/>
        <v/>
      </c>
      <c r="AH45" s="524" t="str">
        <f t="shared" si="4"/>
        <v/>
      </c>
      <c r="AI45" s="145"/>
      <c r="AJ45" s="499" t="str">
        <f>IF(AI45="","",IF(VLOOKUP(AI45,'G-7 Rivers Data'!$AA$4:$AB$7,2,FALSE)=0,"Spatial Data Missing ⚠",VLOOKUP(AI45,'G-7 Rivers Data'!$AA$4:$AB$7,2,FALSE)))</f>
        <v/>
      </c>
      <c r="AK45" s="155"/>
      <c r="AL45" s="536" t="str">
        <f>IF(AK45="","",IF(VLOOKUP(AK45,'G-7 Rivers Data'!$AD$4:$AE$8,2,FALSE)=0,"Spatial Data Missing ⚠",VLOOKUP(AK45,'G-7 Rivers Data'!$AD$4:$AE$8,2,FALSE)))</f>
        <v/>
      </c>
      <c r="AM45" s="154"/>
      <c r="AN45" s="524" t="str">
        <f>IF(AM45="","",VLOOKUP(AM45,'G-7 Rivers Data'!$AO$4:$AP$7,2,FALSE))</f>
        <v/>
      </c>
      <c r="AO45" s="545" t="str">
        <f t="shared" si="7"/>
        <v/>
      </c>
      <c r="AP45" s="149"/>
      <c r="AQ45" s="150"/>
      <c r="AX45" s="31" t="str">
        <f>IFERROR(INDEX('G-7 Rivers Data'!$AZ$3:$AZ$7,MATCH(N45,'G-7 Rivers Data'!$AY$3:$AY$7,0)),"")</f>
        <v/>
      </c>
    </row>
    <row r="46" spans="2:50" ht="13.8" x14ac:dyDescent="0.25">
      <c r="B46" s="531" t="str">
        <f>'F-1 Off Site River Baseline'!AN44</f>
        <v/>
      </c>
      <c r="C46" s="520" t="str">
        <f>IF(B46="","",VLOOKUP($B46,'F-1 Off Site River Baseline'!$C$9:$R$257,2,FALSE))</f>
        <v/>
      </c>
      <c r="D46" s="520" t="str">
        <f>IF(C46="","",VLOOKUP($B46,'F-1 Off Site River Baseline'!$C$9:$R$257,3,FALSE))</f>
        <v/>
      </c>
      <c r="E46" s="520" t="str">
        <f>IF(D46="","",VLOOKUP($B46,'F-1 Off Site River Baseline'!$C$9:$R$257,4,FALSE))</f>
        <v/>
      </c>
      <c r="F46" s="520" t="str">
        <f>IF(E46="","",VLOOKUP($B46,'F-1 Off Site River Baseline'!$C$9:$R$257,5,FALSE))</f>
        <v/>
      </c>
      <c r="G46" s="520" t="str">
        <f>IF(F46="","",VLOOKUP($B46,'F-1 Off Site River Baseline'!$C$9:$R$257,6,FALSE))</f>
        <v/>
      </c>
      <c r="H46" s="520" t="str">
        <f>IF(G46="","",VLOOKUP($B46,'F-1 Off Site River Baseline'!$C$9:$R$257,7,FALSE))</f>
        <v/>
      </c>
      <c r="I46" s="520" t="str">
        <f>IF(H46="","",VLOOKUP($B46,'F-1 Off Site River Baseline'!$C$9:$R$257,8,FALSE))</f>
        <v/>
      </c>
      <c r="J46" s="520" t="str">
        <f>IF(I46="","",VLOOKUP($B46,'F-1 Off Site River Baseline'!$C$9:$R$257,9,FALSE))</f>
        <v/>
      </c>
      <c r="K46" s="520" t="str">
        <f>IF(J46="","",VLOOKUP($B46,'F-1 Off Site River Baseline'!$C$9:$R$257,10,FALSE))</f>
        <v/>
      </c>
      <c r="L46" s="520" t="str">
        <f>IF(B46="","",VLOOKUP($B46,'C-1 Site River Baseline'!$C$9:$R$257,15,FALSE))</f>
        <v/>
      </c>
      <c r="M46" s="524" t="str">
        <f>IF(L46="","",VLOOKUP($B46,'F-1 Off Site River Baseline'!$C$9:$R$257,16,FALSE))</f>
        <v/>
      </c>
      <c r="N46" s="418" t="str">
        <f t="shared" si="0"/>
        <v/>
      </c>
      <c r="O46" s="498" t="str">
        <f t="shared" si="5"/>
        <v/>
      </c>
      <c r="P46" s="499"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5" t="str">
        <f>IF(N46="","",VLOOKUP(B46,'F-1 Off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20" t="str">
        <f>IF(V46="","",IF(VLOOKUP(V46,'G-7 Rivers Data'!$AG$4:$AI$9,2,FALSE)=0,"Spatial Data Missing ⚠",VLOOKUP(V46,'G-7 Rivers Data'!$AG$4:$AI$9,2,FALSE)))</f>
        <v/>
      </c>
      <c r="X46" s="524" t="str">
        <f>IF(V46="","",IF(VLOOKUP(V46,'G-7 Rivers Data'!$AG$4:$AI$9,3,FALSE)=0,"Spatial Data Missing ⚠",VLOOKUP(V46,'G-7 Rivers Data'!$AG$4:$AI$9,3,FALSE)))</f>
        <v/>
      </c>
      <c r="Y46" s="537" t="str">
        <f>IFERROR(IF(OR(LEFT(P46,5)="Error ▲",LEFT(O46,5)="Error ▲"),"Check Data ⚠",IF(F46&lt;S46,'G-7 Rivers Data'!$R$3,INDEX('G-7 Rivers Data'!$U$5:$Y$9,MATCH(G46,'G-7 Rivers Data'!$T$5:$T$9,0),MATCH(T46,'G-7 Rivers Data'!$U$4:$Y$4,0)))),"")</f>
        <v/>
      </c>
      <c r="Z46" s="203"/>
      <c r="AA46" s="203"/>
      <c r="AB46" s="534" t="str">
        <f t="shared" si="1"/>
        <v/>
      </c>
      <c r="AC46" s="521" t="str">
        <f t="shared" si="2"/>
        <v/>
      </c>
      <c r="AD46" s="564" t="str">
        <f>IFERROR(IF(AC46="Check Data ⚠","Check Data ⚠",VLOOKUP(AC46,'G-4 Temporal multipliers'!$A$4:$C$37,3,FALSE)),"")</f>
        <v/>
      </c>
      <c r="AE46" s="537" t="str">
        <f>IF(N46="","",VLOOKUP(N46,'G-7 Rivers Data'!$B$4:$G$8,5,FALSE))</f>
        <v/>
      </c>
      <c r="AF46" s="520" t="str">
        <f t="shared" si="3"/>
        <v/>
      </c>
      <c r="AG46" s="520" t="str">
        <f t="shared" si="6"/>
        <v/>
      </c>
      <c r="AH46" s="524" t="str">
        <f t="shared" si="4"/>
        <v/>
      </c>
      <c r="AI46" s="145"/>
      <c r="AJ46" s="499" t="str">
        <f>IF(AI46="","",IF(VLOOKUP(AI46,'G-7 Rivers Data'!$AA$4:$AB$7,2,FALSE)=0,"Spatial Data Missing ⚠",VLOOKUP(AI46,'G-7 Rivers Data'!$AA$4:$AB$7,2,FALSE)))</f>
        <v/>
      </c>
      <c r="AK46" s="155"/>
      <c r="AL46" s="536" t="str">
        <f>IF(AK46="","",IF(VLOOKUP(AK46,'G-7 Rivers Data'!$AD$4:$AE$8,2,FALSE)=0,"Spatial Data Missing ⚠",VLOOKUP(AK46,'G-7 Rivers Data'!$AD$4:$AE$8,2,FALSE)))</f>
        <v/>
      </c>
      <c r="AM46" s="154"/>
      <c r="AN46" s="524" t="str">
        <f>IF(AM46="","",VLOOKUP(AM46,'G-7 Rivers Data'!$AO$4:$AP$7,2,FALSE))</f>
        <v/>
      </c>
      <c r="AO46" s="545" t="str">
        <f t="shared" si="7"/>
        <v/>
      </c>
      <c r="AP46" s="149"/>
      <c r="AQ46" s="150"/>
      <c r="AX46" s="31" t="str">
        <f>IFERROR(INDEX('G-7 Rivers Data'!$AZ$3:$AZ$7,MATCH(N46,'G-7 Rivers Data'!$AY$3:$AY$7,0)),"")</f>
        <v/>
      </c>
    </row>
    <row r="47" spans="2:50" ht="13.8" x14ac:dyDescent="0.25">
      <c r="B47" s="531" t="str">
        <f>'F-1 Off Site River Baseline'!AN45</f>
        <v/>
      </c>
      <c r="C47" s="520" t="str">
        <f>IF(B47="","",VLOOKUP($B47,'F-1 Off Site River Baseline'!$C$9:$R$257,2,FALSE))</f>
        <v/>
      </c>
      <c r="D47" s="520" t="str">
        <f>IF(C47="","",VLOOKUP($B47,'F-1 Off Site River Baseline'!$C$9:$R$257,3,FALSE))</f>
        <v/>
      </c>
      <c r="E47" s="520" t="str">
        <f>IF(D47="","",VLOOKUP($B47,'F-1 Off Site River Baseline'!$C$9:$R$257,4,FALSE))</f>
        <v/>
      </c>
      <c r="F47" s="520" t="str">
        <f>IF(E47="","",VLOOKUP($B47,'F-1 Off Site River Baseline'!$C$9:$R$257,5,FALSE))</f>
        <v/>
      </c>
      <c r="G47" s="520" t="str">
        <f>IF(F47="","",VLOOKUP($B47,'F-1 Off Site River Baseline'!$C$9:$R$257,6,FALSE))</f>
        <v/>
      </c>
      <c r="H47" s="520" t="str">
        <f>IF(G47="","",VLOOKUP($B47,'F-1 Off Site River Baseline'!$C$9:$R$257,7,FALSE))</f>
        <v/>
      </c>
      <c r="I47" s="520" t="str">
        <f>IF(H47="","",VLOOKUP($B47,'F-1 Off Site River Baseline'!$C$9:$R$257,8,FALSE))</f>
        <v/>
      </c>
      <c r="J47" s="520" t="str">
        <f>IF(I47="","",VLOOKUP($B47,'F-1 Off Site River Baseline'!$C$9:$R$257,9,FALSE))</f>
        <v/>
      </c>
      <c r="K47" s="520" t="str">
        <f>IF(J47="","",VLOOKUP($B47,'F-1 Off Site River Baseline'!$C$9:$R$257,10,FALSE))</f>
        <v/>
      </c>
      <c r="L47" s="520" t="str">
        <f>IF(B47="","",VLOOKUP($B47,'C-1 Site River Baseline'!$C$9:$R$257,15,FALSE))</f>
        <v/>
      </c>
      <c r="M47" s="524" t="str">
        <f>IF(L47="","",VLOOKUP($B47,'F-1 Off Site River Baseline'!$C$9:$R$257,16,FALSE))</f>
        <v/>
      </c>
      <c r="N47" s="418" t="str">
        <f t="shared" si="0"/>
        <v/>
      </c>
      <c r="O47" s="498" t="str">
        <f t="shared" si="5"/>
        <v/>
      </c>
      <c r="P47" s="499"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5" t="str">
        <f>IF(N47="","",VLOOKUP(B47,'F-1 Off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20" t="str">
        <f>IF(V47="","",IF(VLOOKUP(V47,'G-7 Rivers Data'!$AG$4:$AI$9,2,FALSE)=0,"Spatial Data Missing ⚠",VLOOKUP(V47,'G-7 Rivers Data'!$AG$4:$AI$9,2,FALSE)))</f>
        <v/>
      </c>
      <c r="X47" s="524" t="str">
        <f>IF(V47="","",IF(VLOOKUP(V47,'G-7 Rivers Data'!$AG$4:$AI$9,3,FALSE)=0,"Spatial Data Missing ⚠",VLOOKUP(V47,'G-7 Rivers Data'!$AG$4:$AI$9,3,FALSE)))</f>
        <v/>
      </c>
      <c r="Y47" s="537" t="str">
        <f>IFERROR(IF(OR(LEFT(P47,5)="Error ▲",LEFT(O47,5)="Error ▲"),"Check Data ⚠",IF(F47&lt;S47,'G-7 Rivers Data'!$R$3,INDEX('G-7 Rivers Data'!$U$5:$Y$9,MATCH(G47,'G-7 Rivers Data'!$T$5:$T$9,0),MATCH(T47,'G-7 Rivers Data'!$U$4:$Y$4,0)))),"")</f>
        <v/>
      </c>
      <c r="Z47" s="203"/>
      <c r="AA47" s="203"/>
      <c r="AB47" s="534" t="str">
        <f t="shared" si="1"/>
        <v/>
      </c>
      <c r="AC47" s="521" t="str">
        <f t="shared" si="2"/>
        <v/>
      </c>
      <c r="AD47" s="564" t="str">
        <f>IFERROR(IF(AC47="Check Data ⚠","Check Data ⚠",VLOOKUP(AC47,'G-4 Temporal multipliers'!$A$4:$C$37,3,FALSE)),"")</f>
        <v/>
      </c>
      <c r="AE47" s="537" t="str">
        <f>IF(N47="","",VLOOKUP(N47,'G-7 Rivers Data'!$B$4:$G$8,5,FALSE))</f>
        <v/>
      </c>
      <c r="AF47" s="520" t="str">
        <f t="shared" si="3"/>
        <v/>
      </c>
      <c r="AG47" s="520" t="str">
        <f t="shared" si="6"/>
        <v/>
      </c>
      <c r="AH47" s="524" t="str">
        <f t="shared" si="4"/>
        <v/>
      </c>
      <c r="AI47" s="145"/>
      <c r="AJ47" s="499" t="str">
        <f>IF(AI47="","",IF(VLOOKUP(AI47,'G-7 Rivers Data'!$AA$4:$AB$7,2,FALSE)=0,"Spatial Data Missing ⚠",VLOOKUP(AI47,'G-7 Rivers Data'!$AA$4:$AB$7,2,FALSE)))</f>
        <v/>
      </c>
      <c r="AK47" s="155"/>
      <c r="AL47" s="536" t="str">
        <f>IF(AK47="","",IF(VLOOKUP(AK47,'G-7 Rivers Data'!$AD$4:$AE$8,2,FALSE)=0,"Spatial Data Missing ⚠",VLOOKUP(AK47,'G-7 Rivers Data'!$AD$4:$AE$8,2,FALSE)))</f>
        <v/>
      </c>
      <c r="AM47" s="154"/>
      <c r="AN47" s="524" t="str">
        <f>IF(AM47="","",VLOOKUP(AM47,'G-7 Rivers Data'!$AO$4:$AP$7,2,FALSE))</f>
        <v/>
      </c>
      <c r="AO47" s="545" t="str">
        <f t="shared" si="7"/>
        <v/>
      </c>
      <c r="AP47" s="149"/>
      <c r="AQ47" s="150"/>
      <c r="AX47" s="31" t="str">
        <f>IFERROR(INDEX('G-7 Rivers Data'!$AZ$3:$AZ$7,MATCH(N47,'G-7 Rivers Data'!$AY$3:$AY$7,0)),"")</f>
        <v/>
      </c>
    </row>
    <row r="48" spans="2:50" ht="13.8" x14ac:dyDescent="0.25">
      <c r="B48" s="531" t="str">
        <f>'F-1 Off Site River Baseline'!AN46</f>
        <v/>
      </c>
      <c r="C48" s="520" t="str">
        <f>IF(B48="","",VLOOKUP($B48,'F-1 Off Site River Baseline'!$C$9:$R$257,2,FALSE))</f>
        <v/>
      </c>
      <c r="D48" s="520" t="str">
        <f>IF(C48="","",VLOOKUP($B48,'F-1 Off Site River Baseline'!$C$9:$R$257,3,FALSE))</f>
        <v/>
      </c>
      <c r="E48" s="520" t="str">
        <f>IF(D48="","",VLOOKUP($B48,'F-1 Off Site River Baseline'!$C$9:$R$257,4,FALSE))</f>
        <v/>
      </c>
      <c r="F48" s="520" t="str">
        <f>IF(E48="","",VLOOKUP($B48,'F-1 Off Site River Baseline'!$C$9:$R$257,5,FALSE))</f>
        <v/>
      </c>
      <c r="G48" s="520" t="str">
        <f>IF(F48="","",VLOOKUP($B48,'F-1 Off Site River Baseline'!$C$9:$R$257,6,FALSE))</f>
        <v/>
      </c>
      <c r="H48" s="520" t="str">
        <f>IF(G48="","",VLOOKUP($B48,'F-1 Off Site River Baseline'!$C$9:$R$257,7,FALSE))</f>
        <v/>
      </c>
      <c r="I48" s="520" t="str">
        <f>IF(H48="","",VLOOKUP($B48,'F-1 Off Site River Baseline'!$C$9:$R$257,8,FALSE))</f>
        <v/>
      </c>
      <c r="J48" s="520" t="str">
        <f>IF(I48="","",VLOOKUP($B48,'F-1 Off Site River Baseline'!$C$9:$R$257,9,FALSE))</f>
        <v/>
      </c>
      <c r="K48" s="520" t="str">
        <f>IF(J48="","",VLOOKUP($B48,'F-1 Off Site River Baseline'!$C$9:$R$257,10,FALSE))</f>
        <v/>
      </c>
      <c r="L48" s="520" t="str">
        <f>IF(B48="","",VLOOKUP($B48,'C-1 Site River Baseline'!$C$9:$R$257,15,FALSE))</f>
        <v/>
      </c>
      <c r="M48" s="524" t="str">
        <f>IF(L48="","",VLOOKUP($B48,'F-1 Off Site River Baseline'!$C$9:$R$257,16,FALSE))</f>
        <v/>
      </c>
      <c r="N48" s="418" t="str">
        <f t="shared" si="0"/>
        <v/>
      </c>
      <c r="O48" s="498" t="str">
        <f t="shared" si="5"/>
        <v/>
      </c>
      <c r="P48" s="499"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5" t="str">
        <f>IF(N48="","",VLOOKUP(B48,'F-1 Off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20" t="str">
        <f>IF(V48="","",IF(VLOOKUP(V48,'G-7 Rivers Data'!$AG$4:$AI$9,2,FALSE)=0,"Spatial Data Missing ⚠",VLOOKUP(V48,'G-7 Rivers Data'!$AG$4:$AI$9,2,FALSE)))</f>
        <v/>
      </c>
      <c r="X48" s="524" t="str">
        <f>IF(V48="","",IF(VLOOKUP(V48,'G-7 Rivers Data'!$AG$4:$AI$9,3,FALSE)=0,"Spatial Data Missing ⚠",VLOOKUP(V48,'G-7 Rivers Data'!$AG$4:$AI$9,3,FALSE)))</f>
        <v/>
      </c>
      <c r="Y48" s="537" t="str">
        <f>IFERROR(IF(OR(LEFT(P48,5)="Error ▲",LEFT(O48,5)="Error ▲"),"Check Data ⚠",IF(F48&lt;S48,'G-7 Rivers Data'!$R$3,INDEX('G-7 Rivers Data'!$U$5:$Y$9,MATCH(G48,'G-7 Rivers Data'!$T$5:$T$9,0),MATCH(T48,'G-7 Rivers Data'!$U$4:$Y$4,0)))),"")</f>
        <v/>
      </c>
      <c r="Z48" s="203"/>
      <c r="AA48" s="203"/>
      <c r="AB48" s="534" t="str">
        <f t="shared" si="1"/>
        <v/>
      </c>
      <c r="AC48" s="521" t="str">
        <f t="shared" si="2"/>
        <v/>
      </c>
      <c r="AD48" s="564" t="str">
        <f>IFERROR(IF(AC48="Check Data ⚠","Check Data ⚠",VLOOKUP(AC48,'G-4 Temporal multipliers'!$A$4:$C$37,3,FALSE)),"")</f>
        <v/>
      </c>
      <c r="AE48" s="537" t="str">
        <f>IF(N48="","",VLOOKUP(N48,'G-7 Rivers Data'!$B$4:$G$8,5,FALSE))</f>
        <v/>
      </c>
      <c r="AF48" s="520" t="str">
        <f t="shared" si="3"/>
        <v/>
      </c>
      <c r="AG48" s="520" t="str">
        <f t="shared" si="6"/>
        <v/>
      </c>
      <c r="AH48" s="524" t="str">
        <f t="shared" si="4"/>
        <v/>
      </c>
      <c r="AI48" s="145"/>
      <c r="AJ48" s="499" t="str">
        <f>IF(AI48="","",IF(VLOOKUP(AI48,'G-7 Rivers Data'!$AA$4:$AB$7,2,FALSE)=0,"Spatial Data Missing ⚠",VLOOKUP(AI48,'G-7 Rivers Data'!$AA$4:$AB$7,2,FALSE)))</f>
        <v/>
      </c>
      <c r="AK48" s="155"/>
      <c r="AL48" s="536" t="str">
        <f>IF(AK48="","",IF(VLOOKUP(AK48,'G-7 Rivers Data'!$AD$4:$AE$8,2,FALSE)=0,"Spatial Data Missing ⚠",VLOOKUP(AK48,'G-7 Rivers Data'!$AD$4:$AE$8,2,FALSE)))</f>
        <v/>
      </c>
      <c r="AM48" s="154"/>
      <c r="AN48" s="524" t="str">
        <f>IF(AM48="","",VLOOKUP(AM48,'G-7 Rivers Data'!$AO$4:$AP$7,2,FALSE))</f>
        <v/>
      </c>
      <c r="AO48" s="545" t="str">
        <f t="shared" si="7"/>
        <v/>
      </c>
      <c r="AP48" s="149"/>
      <c r="AQ48" s="150"/>
      <c r="AX48" s="31" t="str">
        <f>IFERROR(INDEX('G-7 Rivers Data'!$AZ$3:$AZ$7,MATCH(N48,'G-7 Rivers Data'!$AY$3:$AY$7,0)),"")</f>
        <v/>
      </c>
    </row>
    <row r="49" spans="2:50" ht="13.8" x14ac:dyDescent="0.25">
      <c r="B49" s="531" t="str">
        <f>'F-1 Off Site River Baseline'!AN47</f>
        <v/>
      </c>
      <c r="C49" s="520" t="str">
        <f>IF(B49="","",VLOOKUP($B49,'F-1 Off Site River Baseline'!$C$9:$R$257,2,FALSE))</f>
        <v/>
      </c>
      <c r="D49" s="520" t="str">
        <f>IF(C49="","",VLOOKUP($B49,'F-1 Off Site River Baseline'!$C$9:$R$257,3,FALSE))</f>
        <v/>
      </c>
      <c r="E49" s="520" t="str">
        <f>IF(D49="","",VLOOKUP($B49,'F-1 Off Site River Baseline'!$C$9:$R$257,4,FALSE))</f>
        <v/>
      </c>
      <c r="F49" s="520" t="str">
        <f>IF(E49="","",VLOOKUP($B49,'F-1 Off Site River Baseline'!$C$9:$R$257,5,FALSE))</f>
        <v/>
      </c>
      <c r="G49" s="520" t="str">
        <f>IF(F49="","",VLOOKUP($B49,'F-1 Off Site River Baseline'!$C$9:$R$257,6,FALSE))</f>
        <v/>
      </c>
      <c r="H49" s="520" t="str">
        <f>IF(G49="","",VLOOKUP($B49,'F-1 Off Site River Baseline'!$C$9:$R$257,7,FALSE))</f>
        <v/>
      </c>
      <c r="I49" s="520" t="str">
        <f>IF(H49="","",VLOOKUP($B49,'F-1 Off Site River Baseline'!$C$9:$R$257,8,FALSE))</f>
        <v/>
      </c>
      <c r="J49" s="520" t="str">
        <f>IF(I49="","",VLOOKUP($B49,'F-1 Off Site River Baseline'!$C$9:$R$257,9,FALSE))</f>
        <v/>
      </c>
      <c r="K49" s="520" t="str">
        <f>IF(J49="","",VLOOKUP($B49,'F-1 Off Site River Baseline'!$C$9:$R$257,10,FALSE))</f>
        <v/>
      </c>
      <c r="L49" s="520" t="str">
        <f>IF(B49="","",VLOOKUP($B49,'C-1 Site River Baseline'!$C$9:$R$257,15,FALSE))</f>
        <v/>
      </c>
      <c r="M49" s="524" t="str">
        <f>IF(L49="","",VLOOKUP($B49,'F-1 Off Site River Baseline'!$C$9:$R$257,16,FALSE))</f>
        <v/>
      </c>
      <c r="N49" s="418" t="str">
        <f t="shared" si="0"/>
        <v/>
      </c>
      <c r="O49" s="498" t="str">
        <f t="shared" si="5"/>
        <v/>
      </c>
      <c r="P49" s="499"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5" t="str">
        <f>IF(N49="","",VLOOKUP(B49,'F-1 Off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20" t="str">
        <f>IF(V49="","",IF(VLOOKUP(V49,'G-7 Rivers Data'!$AG$4:$AI$9,2,FALSE)=0,"Spatial Data Missing ⚠",VLOOKUP(V49,'G-7 Rivers Data'!$AG$4:$AI$9,2,FALSE)))</f>
        <v/>
      </c>
      <c r="X49" s="524" t="str">
        <f>IF(V49="","",IF(VLOOKUP(V49,'G-7 Rivers Data'!$AG$4:$AI$9,3,FALSE)=0,"Spatial Data Missing ⚠",VLOOKUP(V49,'G-7 Rivers Data'!$AG$4:$AI$9,3,FALSE)))</f>
        <v/>
      </c>
      <c r="Y49" s="537" t="str">
        <f>IFERROR(IF(OR(LEFT(P49,5)="Error ▲",LEFT(O49,5)="Error ▲"),"Check Data ⚠",IF(F49&lt;S49,'G-7 Rivers Data'!$R$3,INDEX('G-7 Rivers Data'!$U$5:$Y$9,MATCH(G49,'G-7 Rivers Data'!$T$5:$T$9,0),MATCH(T49,'G-7 Rivers Data'!$U$4:$Y$4,0)))),"")</f>
        <v/>
      </c>
      <c r="Z49" s="203"/>
      <c r="AA49" s="203"/>
      <c r="AB49" s="534" t="str">
        <f t="shared" si="1"/>
        <v/>
      </c>
      <c r="AC49" s="521" t="str">
        <f t="shared" si="2"/>
        <v/>
      </c>
      <c r="AD49" s="564" t="str">
        <f>IFERROR(IF(AC49="Check Data ⚠","Check Data ⚠",VLOOKUP(AC49,'G-4 Temporal multipliers'!$A$4:$C$37,3,FALSE)),"")</f>
        <v/>
      </c>
      <c r="AE49" s="537" t="str">
        <f>IF(N49="","",VLOOKUP(N49,'G-7 Rivers Data'!$B$4:$G$8,5,FALSE))</f>
        <v/>
      </c>
      <c r="AF49" s="520" t="str">
        <f t="shared" si="3"/>
        <v/>
      </c>
      <c r="AG49" s="520" t="str">
        <f t="shared" si="6"/>
        <v/>
      </c>
      <c r="AH49" s="524" t="str">
        <f t="shared" si="4"/>
        <v/>
      </c>
      <c r="AI49" s="145"/>
      <c r="AJ49" s="499" t="str">
        <f>IF(AI49="","",IF(VLOOKUP(AI49,'G-7 Rivers Data'!$AA$4:$AB$7,2,FALSE)=0,"Spatial Data Missing ⚠",VLOOKUP(AI49,'G-7 Rivers Data'!$AA$4:$AB$7,2,FALSE)))</f>
        <v/>
      </c>
      <c r="AK49" s="155"/>
      <c r="AL49" s="536" t="str">
        <f>IF(AK49="","",IF(VLOOKUP(AK49,'G-7 Rivers Data'!$AD$4:$AE$8,2,FALSE)=0,"Spatial Data Missing ⚠",VLOOKUP(AK49,'G-7 Rivers Data'!$AD$4:$AE$8,2,FALSE)))</f>
        <v/>
      </c>
      <c r="AM49" s="154"/>
      <c r="AN49" s="524" t="str">
        <f>IF(AM49="","",VLOOKUP(AM49,'G-7 Rivers Data'!$AO$4:$AP$7,2,FALSE))</f>
        <v/>
      </c>
      <c r="AO49" s="545" t="str">
        <f t="shared" si="7"/>
        <v/>
      </c>
      <c r="AP49" s="149"/>
      <c r="AQ49" s="150"/>
      <c r="AX49" s="31" t="str">
        <f>IFERROR(INDEX('G-7 Rivers Data'!$AZ$3:$AZ$7,MATCH(N49,'G-7 Rivers Data'!$AY$3:$AY$7,0)),"")</f>
        <v/>
      </c>
    </row>
    <row r="50" spans="2:50" ht="13.8" x14ac:dyDescent="0.25">
      <c r="B50" s="531" t="str">
        <f>'F-1 Off Site River Baseline'!AN48</f>
        <v/>
      </c>
      <c r="C50" s="520" t="str">
        <f>IF(B50="","",VLOOKUP($B50,'F-1 Off Site River Baseline'!$C$9:$R$257,2,FALSE))</f>
        <v/>
      </c>
      <c r="D50" s="520" t="str">
        <f>IF(C50="","",VLOOKUP($B50,'F-1 Off Site River Baseline'!$C$9:$R$257,3,FALSE))</f>
        <v/>
      </c>
      <c r="E50" s="520" t="str">
        <f>IF(D50="","",VLOOKUP($B50,'F-1 Off Site River Baseline'!$C$9:$R$257,4,FALSE))</f>
        <v/>
      </c>
      <c r="F50" s="520" t="str">
        <f>IF(E50="","",VLOOKUP($B50,'F-1 Off Site River Baseline'!$C$9:$R$257,5,FALSE))</f>
        <v/>
      </c>
      <c r="G50" s="520" t="str">
        <f>IF(F50="","",VLOOKUP($B50,'F-1 Off Site River Baseline'!$C$9:$R$257,6,FALSE))</f>
        <v/>
      </c>
      <c r="H50" s="520" t="str">
        <f>IF(G50="","",VLOOKUP($B50,'F-1 Off Site River Baseline'!$C$9:$R$257,7,FALSE))</f>
        <v/>
      </c>
      <c r="I50" s="520" t="str">
        <f>IF(H50="","",VLOOKUP($B50,'F-1 Off Site River Baseline'!$C$9:$R$257,8,FALSE))</f>
        <v/>
      </c>
      <c r="J50" s="520" t="str">
        <f>IF(I50="","",VLOOKUP($B50,'F-1 Off Site River Baseline'!$C$9:$R$257,9,FALSE))</f>
        <v/>
      </c>
      <c r="K50" s="520" t="str">
        <f>IF(J50="","",VLOOKUP($B50,'F-1 Off Site River Baseline'!$C$9:$R$257,10,FALSE))</f>
        <v/>
      </c>
      <c r="L50" s="520" t="str">
        <f>IF(B50="","",VLOOKUP($B50,'C-1 Site River Baseline'!$C$9:$R$257,15,FALSE))</f>
        <v/>
      </c>
      <c r="M50" s="524" t="str">
        <f>IF(L50="","",VLOOKUP($B50,'F-1 Off Site River Baseline'!$C$9:$R$257,16,FALSE))</f>
        <v/>
      </c>
      <c r="N50" s="418" t="str">
        <f t="shared" si="0"/>
        <v/>
      </c>
      <c r="O50" s="498" t="str">
        <f t="shared" si="5"/>
        <v/>
      </c>
      <c r="P50" s="499"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5" t="str">
        <f>IF(N50="","",VLOOKUP(B50,'F-1 Off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20" t="str">
        <f>IF(V50="","",IF(VLOOKUP(V50,'G-7 Rivers Data'!$AG$4:$AI$9,2,FALSE)=0,"Spatial Data Missing ⚠",VLOOKUP(V50,'G-7 Rivers Data'!$AG$4:$AI$9,2,FALSE)))</f>
        <v/>
      </c>
      <c r="X50" s="524" t="str">
        <f>IF(V50="","",IF(VLOOKUP(V50,'G-7 Rivers Data'!$AG$4:$AI$9,3,FALSE)=0,"Spatial Data Missing ⚠",VLOOKUP(V50,'G-7 Rivers Data'!$AG$4:$AI$9,3,FALSE)))</f>
        <v/>
      </c>
      <c r="Y50" s="537" t="str">
        <f>IFERROR(IF(OR(LEFT(P50,5)="Error ▲",LEFT(O50,5)="Error ▲"),"Check Data ⚠",IF(F50&lt;S50,'G-7 Rivers Data'!$R$3,INDEX('G-7 Rivers Data'!$U$5:$Y$9,MATCH(G50,'G-7 Rivers Data'!$T$5:$T$9,0),MATCH(T50,'G-7 Rivers Data'!$U$4:$Y$4,0)))),"")</f>
        <v/>
      </c>
      <c r="Z50" s="203"/>
      <c r="AA50" s="203"/>
      <c r="AB50" s="534" t="str">
        <f t="shared" si="1"/>
        <v/>
      </c>
      <c r="AC50" s="521" t="str">
        <f t="shared" si="2"/>
        <v/>
      </c>
      <c r="AD50" s="564" t="str">
        <f>IFERROR(IF(AC50="Check Data ⚠","Check Data ⚠",VLOOKUP(AC50,'G-4 Temporal multipliers'!$A$4:$C$37,3,FALSE)),"")</f>
        <v/>
      </c>
      <c r="AE50" s="537" t="str">
        <f>IF(N50="","",VLOOKUP(N50,'G-7 Rivers Data'!$B$4:$G$8,5,FALSE))</f>
        <v/>
      </c>
      <c r="AF50" s="520" t="str">
        <f t="shared" si="3"/>
        <v/>
      </c>
      <c r="AG50" s="520" t="str">
        <f t="shared" si="6"/>
        <v/>
      </c>
      <c r="AH50" s="524" t="str">
        <f t="shared" si="4"/>
        <v/>
      </c>
      <c r="AI50" s="145"/>
      <c r="AJ50" s="499" t="str">
        <f>IF(AI50="","",IF(VLOOKUP(AI50,'G-7 Rivers Data'!$AA$4:$AB$7,2,FALSE)=0,"Spatial Data Missing ⚠",VLOOKUP(AI50,'G-7 Rivers Data'!$AA$4:$AB$7,2,FALSE)))</f>
        <v/>
      </c>
      <c r="AK50" s="155"/>
      <c r="AL50" s="536" t="str">
        <f>IF(AK50="","",IF(VLOOKUP(AK50,'G-7 Rivers Data'!$AD$4:$AE$8,2,FALSE)=0,"Spatial Data Missing ⚠",VLOOKUP(AK50,'G-7 Rivers Data'!$AD$4:$AE$8,2,FALSE)))</f>
        <v/>
      </c>
      <c r="AM50" s="154"/>
      <c r="AN50" s="524" t="str">
        <f>IF(AM50="","",VLOOKUP(AM50,'G-7 Rivers Data'!$AO$4:$AP$7,2,FALSE))</f>
        <v/>
      </c>
      <c r="AO50" s="545" t="str">
        <f t="shared" si="7"/>
        <v/>
      </c>
      <c r="AP50" s="149"/>
      <c r="AQ50" s="150"/>
      <c r="AX50" s="31" t="str">
        <f>IFERROR(INDEX('G-7 Rivers Data'!$AZ$3:$AZ$7,MATCH(N50,'G-7 Rivers Data'!$AY$3:$AY$7,0)),"")</f>
        <v/>
      </c>
    </row>
    <row r="51" spans="2:50" ht="13.8" x14ac:dyDescent="0.25">
      <c r="B51" s="531" t="str">
        <f>'F-1 Off Site River Baseline'!AN49</f>
        <v/>
      </c>
      <c r="C51" s="520" t="str">
        <f>IF(B51="","",VLOOKUP($B51,'F-1 Off Site River Baseline'!$C$9:$R$257,2,FALSE))</f>
        <v/>
      </c>
      <c r="D51" s="520" t="str">
        <f>IF(C51="","",VLOOKUP($B51,'F-1 Off Site River Baseline'!$C$9:$R$257,3,FALSE))</f>
        <v/>
      </c>
      <c r="E51" s="520" t="str">
        <f>IF(D51="","",VLOOKUP($B51,'F-1 Off Site River Baseline'!$C$9:$R$257,4,FALSE))</f>
        <v/>
      </c>
      <c r="F51" s="520" t="str">
        <f>IF(E51="","",VLOOKUP($B51,'F-1 Off Site River Baseline'!$C$9:$R$257,5,FALSE))</f>
        <v/>
      </c>
      <c r="G51" s="520" t="str">
        <f>IF(F51="","",VLOOKUP($B51,'F-1 Off Site River Baseline'!$C$9:$R$257,6,FALSE))</f>
        <v/>
      </c>
      <c r="H51" s="520" t="str">
        <f>IF(G51="","",VLOOKUP($B51,'F-1 Off Site River Baseline'!$C$9:$R$257,7,FALSE))</f>
        <v/>
      </c>
      <c r="I51" s="520" t="str">
        <f>IF(H51="","",VLOOKUP($B51,'F-1 Off Site River Baseline'!$C$9:$R$257,8,FALSE))</f>
        <v/>
      </c>
      <c r="J51" s="520" t="str">
        <f>IF(I51="","",VLOOKUP($B51,'F-1 Off Site River Baseline'!$C$9:$R$257,9,FALSE))</f>
        <v/>
      </c>
      <c r="K51" s="520" t="str">
        <f>IF(J51="","",VLOOKUP($B51,'F-1 Off Site River Baseline'!$C$9:$R$257,10,FALSE))</f>
        <v/>
      </c>
      <c r="L51" s="520" t="str">
        <f>IF(B51="","",VLOOKUP($B51,'C-1 Site River Baseline'!$C$9:$R$257,15,FALSE))</f>
        <v/>
      </c>
      <c r="M51" s="524" t="str">
        <f>IF(L51="","",VLOOKUP($B51,'F-1 Off Site River Baseline'!$C$9:$R$257,16,FALSE))</f>
        <v/>
      </c>
      <c r="N51" s="418" t="str">
        <f t="shared" si="0"/>
        <v/>
      </c>
      <c r="O51" s="498" t="str">
        <f t="shared" si="5"/>
        <v/>
      </c>
      <c r="P51" s="499"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5" t="str">
        <f>IF(N51="","",VLOOKUP(B51,'F-1 Off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20" t="str">
        <f>IF(V51="","",IF(VLOOKUP(V51,'G-7 Rivers Data'!$AG$4:$AI$9,2,FALSE)=0,"Spatial Data Missing ⚠",VLOOKUP(V51,'G-7 Rivers Data'!$AG$4:$AI$9,2,FALSE)))</f>
        <v/>
      </c>
      <c r="X51" s="524" t="str">
        <f>IF(V51="","",IF(VLOOKUP(V51,'G-7 Rivers Data'!$AG$4:$AI$9,3,FALSE)=0,"Spatial Data Missing ⚠",VLOOKUP(V51,'G-7 Rivers Data'!$AG$4:$AI$9,3,FALSE)))</f>
        <v/>
      </c>
      <c r="Y51" s="537" t="str">
        <f>IFERROR(IF(OR(LEFT(P51,5)="Error ▲",LEFT(O51,5)="Error ▲"),"Check Data ⚠",IF(F51&lt;S51,'G-7 Rivers Data'!$R$3,INDEX('G-7 Rivers Data'!$U$5:$Y$9,MATCH(G51,'G-7 Rivers Data'!$T$5:$T$9,0),MATCH(T51,'G-7 Rivers Data'!$U$4:$Y$4,0)))),"")</f>
        <v/>
      </c>
      <c r="Z51" s="203"/>
      <c r="AA51" s="203"/>
      <c r="AB51" s="534" t="str">
        <f t="shared" si="1"/>
        <v/>
      </c>
      <c r="AC51" s="521" t="str">
        <f t="shared" si="2"/>
        <v/>
      </c>
      <c r="AD51" s="564" t="str">
        <f>IFERROR(IF(AC51="Check Data ⚠","Check Data ⚠",VLOOKUP(AC51,'G-4 Temporal multipliers'!$A$4:$C$37,3,FALSE)),"")</f>
        <v/>
      </c>
      <c r="AE51" s="537" t="str">
        <f>IF(N51="","",VLOOKUP(N51,'G-7 Rivers Data'!$B$4:$G$8,5,FALSE))</f>
        <v/>
      </c>
      <c r="AF51" s="520" t="str">
        <f t="shared" si="3"/>
        <v/>
      </c>
      <c r="AG51" s="520" t="str">
        <f t="shared" si="6"/>
        <v/>
      </c>
      <c r="AH51" s="524" t="str">
        <f t="shared" si="4"/>
        <v/>
      </c>
      <c r="AI51" s="145"/>
      <c r="AJ51" s="499" t="str">
        <f>IF(AI51="","",IF(VLOOKUP(AI51,'G-7 Rivers Data'!$AA$4:$AB$7,2,FALSE)=0,"Spatial Data Missing ⚠",VLOOKUP(AI51,'G-7 Rivers Data'!$AA$4:$AB$7,2,FALSE)))</f>
        <v/>
      </c>
      <c r="AK51" s="155"/>
      <c r="AL51" s="536" t="str">
        <f>IF(AK51="","",IF(VLOOKUP(AK51,'G-7 Rivers Data'!$AD$4:$AE$8,2,FALSE)=0,"Spatial Data Missing ⚠",VLOOKUP(AK51,'G-7 Rivers Data'!$AD$4:$AE$8,2,FALSE)))</f>
        <v/>
      </c>
      <c r="AM51" s="154"/>
      <c r="AN51" s="524" t="str">
        <f>IF(AM51="","",VLOOKUP(AM51,'G-7 Rivers Data'!$AO$4:$AP$7,2,FALSE))</f>
        <v/>
      </c>
      <c r="AO51" s="545" t="str">
        <f t="shared" si="7"/>
        <v/>
      </c>
      <c r="AP51" s="149"/>
      <c r="AQ51" s="150"/>
      <c r="AX51" s="31" t="str">
        <f>IFERROR(INDEX('G-7 Rivers Data'!$AZ$3:$AZ$7,MATCH(N51,'G-7 Rivers Data'!$AY$3:$AY$7,0)),"")</f>
        <v/>
      </c>
    </row>
    <row r="52" spans="2:50" ht="13.8" x14ac:dyDescent="0.25">
      <c r="B52" s="531" t="str">
        <f>'F-1 Off Site River Baseline'!AN50</f>
        <v/>
      </c>
      <c r="C52" s="520" t="str">
        <f>IF(B52="","",VLOOKUP($B52,'F-1 Off Site River Baseline'!$C$9:$R$257,2,FALSE))</f>
        <v/>
      </c>
      <c r="D52" s="520" t="str">
        <f>IF(C52="","",VLOOKUP($B52,'F-1 Off Site River Baseline'!$C$9:$R$257,3,FALSE))</f>
        <v/>
      </c>
      <c r="E52" s="520" t="str">
        <f>IF(D52="","",VLOOKUP($B52,'F-1 Off Site River Baseline'!$C$9:$R$257,4,FALSE))</f>
        <v/>
      </c>
      <c r="F52" s="520" t="str">
        <f>IF(E52="","",VLOOKUP($B52,'F-1 Off Site River Baseline'!$C$9:$R$257,5,FALSE))</f>
        <v/>
      </c>
      <c r="G52" s="520" t="str">
        <f>IF(F52="","",VLOOKUP($B52,'F-1 Off Site River Baseline'!$C$9:$R$257,6,FALSE))</f>
        <v/>
      </c>
      <c r="H52" s="520" t="str">
        <f>IF(G52="","",VLOOKUP($B52,'F-1 Off Site River Baseline'!$C$9:$R$257,7,FALSE))</f>
        <v/>
      </c>
      <c r="I52" s="520" t="str">
        <f>IF(H52="","",VLOOKUP($B52,'F-1 Off Site River Baseline'!$C$9:$R$257,8,FALSE))</f>
        <v/>
      </c>
      <c r="J52" s="520" t="str">
        <f>IF(I52="","",VLOOKUP($B52,'F-1 Off Site River Baseline'!$C$9:$R$257,9,FALSE))</f>
        <v/>
      </c>
      <c r="K52" s="520" t="str">
        <f>IF(J52="","",VLOOKUP($B52,'F-1 Off Site River Baseline'!$C$9:$R$257,10,FALSE))</f>
        <v/>
      </c>
      <c r="L52" s="520" t="str">
        <f>IF(B52="","",VLOOKUP($B52,'C-1 Site River Baseline'!$C$9:$R$257,15,FALSE))</f>
        <v/>
      </c>
      <c r="M52" s="524" t="str">
        <f>IF(L52="","",VLOOKUP($B52,'F-1 Off Site River Baseline'!$C$9:$R$257,16,FALSE))</f>
        <v/>
      </c>
      <c r="N52" s="418" t="str">
        <f t="shared" si="0"/>
        <v/>
      </c>
      <c r="O52" s="498" t="str">
        <f t="shared" si="5"/>
        <v/>
      </c>
      <c r="P52" s="499"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5" t="str">
        <f>IF(N52="","",VLOOKUP(B52,'F-1 Off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20" t="str">
        <f>IF(V52="","",IF(VLOOKUP(V52,'G-7 Rivers Data'!$AG$4:$AI$9,2,FALSE)=0,"Spatial Data Missing ⚠",VLOOKUP(V52,'G-7 Rivers Data'!$AG$4:$AI$9,2,FALSE)))</f>
        <v/>
      </c>
      <c r="X52" s="524" t="str">
        <f>IF(V52="","",IF(VLOOKUP(V52,'G-7 Rivers Data'!$AG$4:$AI$9,3,FALSE)=0,"Spatial Data Missing ⚠",VLOOKUP(V52,'G-7 Rivers Data'!$AG$4:$AI$9,3,FALSE)))</f>
        <v/>
      </c>
      <c r="Y52" s="537" t="str">
        <f>IFERROR(IF(OR(LEFT(P52,5)="Error ▲",LEFT(O52,5)="Error ▲"),"Check Data ⚠",IF(F52&lt;S52,'G-7 Rivers Data'!$R$3,INDEX('G-7 Rivers Data'!$U$5:$Y$9,MATCH(G52,'G-7 Rivers Data'!$T$5:$T$9,0),MATCH(T52,'G-7 Rivers Data'!$U$4:$Y$4,0)))),"")</f>
        <v/>
      </c>
      <c r="Z52" s="203"/>
      <c r="AA52" s="203"/>
      <c r="AB52" s="534" t="str">
        <f t="shared" si="1"/>
        <v/>
      </c>
      <c r="AC52" s="521" t="str">
        <f t="shared" si="2"/>
        <v/>
      </c>
      <c r="AD52" s="564" t="str">
        <f>IFERROR(IF(AC52="Check Data ⚠","Check Data ⚠",VLOOKUP(AC52,'G-4 Temporal multipliers'!$A$4:$C$37,3,FALSE)),"")</f>
        <v/>
      </c>
      <c r="AE52" s="537" t="str">
        <f>IF(N52="","",VLOOKUP(N52,'G-7 Rivers Data'!$B$4:$G$8,5,FALSE))</f>
        <v/>
      </c>
      <c r="AF52" s="520" t="str">
        <f t="shared" si="3"/>
        <v/>
      </c>
      <c r="AG52" s="520" t="str">
        <f t="shared" si="6"/>
        <v/>
      </c>
      <c r="AH52" s="524" t="str">
        <f t="shared" si="4"/>
        <v/>
      </c>
      <c r="AI52" s="145"/>
      <c r="AJ52" s="499" t="str">
        <f>IF(AI52="","",IF(VLOOKUP(AI52,'G-7 Rivers Data'!$AA$4:$AB$7,2,FALSE)=0,"Spatial Data Missing ⚠",VLOOKUP(AI52,'G-7 Rivers Data'!$AA$4:$AB$7,2,FALSE)))</f>
        <v/>
      </c>
      <c r="AK52" s="155"/>
      <c r="AL52" s="536" t="str">
        <f>IF(AK52="","",IF(VLOOKUP(AK52,'G-7 Rivers Data'!$AD$4:$AE$8,2,FALSE)=0,"Spatial Data Missing ⚠",VLOOKUP(AK52,'G-7 Rivers Data'!$AD$4:$AE$8,2,FALSE)))</f>
        <v/>
      </c>
      <c r="AM52" s="154"/>
      <c r="AN52" s="524" t="str">
        <f>IF(AM52="","",VLOOKUP(AM52,'G-7 Rivers Data'!$AO$4:$AP$7,2,FALSE))</f>
        <v/>
      </c>
      <c r="AO52" s="545" t="str">
        <f t="shared" si="7"/>
        <v/>
      </c>
      <c r="AP52" s="149"/>
      <c r="AQ52" s="150"/>
      <c r="AX52" s="31" t="str">
        <f>IFERROR(INDEX('G-7 Rivers Data'!$AZ$3:$AZ$7,MATCH(N52,'G-7 Rivers Data'!$AY$3:$AY$7,0)),"")</f>
        <v/>
      </c>
    </row>
    <row r="53" spans="2:50" ht="13.8" x14ac:dyDescent="0.25">
      <c r="B53" s="531" t="str">
        <f>'F-1 Off Site River Baseline'!AN51</f>
        <v/>
      </c>
      <c r="C53" s="520" t="str">
        <f>IF(B53="","",VLOOKUP($B53,'F-1 Off Site River Baseline'!$C$9:$R$257,2,FALSE))</f>
        <v/>
      </c>
      <c r="D53" s="520" t="str">
        <f>IF(C53="","",VLOOKUP($B53,'F-1 Off Site River Baseline'!$C$9:$R$257,3,FALSE))</f>
        <v/>
      </c>
      <c r="E53" s="520" t="str">
        <f>IF(D53="","",VLOOKUP($B53,'F-1 Off Site River Baseline'!$C$9:$R$257,4,FALSE))</f>
        <v/>
      </c>
      <c r="F53" s="520" t="str">
        <f>IF(E53="","",VLOOKUP($B53,'F-1 Off Site River Baseline'!$C$9:$R$257,5,FALSE))</f>
        <v/>
      </c>
      <c r="G53" s="520" t="str">
        <f>IF(F53="","",VLOOKUP($B53,'F-1 Off Site River Baseline'!$C$9:$R$257,6,FALSE))</f>
        <v/>
      </c>
      <c r="H53" s="520" t="str">
        <f>IF(G53="","",VLOOKUP($B53,'F-1 Off Site River Baseline'!$C$9:$R$257,7,FALSE))</f>
        <v/>
      </c>
      <c r="I53" s="520" t="str">
        <f>IF(H53="","",VLOOKUP($B53,'F-1 Off Site River Baseline'!$C$9:$R$257,8,FALSE))</f>
        <v/>
      </c>
      <c r="J53" s="520" t="str">
        <f>IF(I53="","",VLOOKUP($B53,'F-1 Off Site River Baseline'!$C$9:$R$257,9,FALSE))</f>
        <v/>
      </c>
      <c r="K53" s="520" t="str">
        <f>IF(J53="","",VLOOKUP($B53,'F-1 Off Site River Baseline'!$C$9:$R$257,10,FALSE))</f>
        <v/>
      </c>
      <c r="L53" s="520" t="str">
        <f>IF(B53="","",VLOOKUP($B53,'C-1 Site River Baseline'!$C$9:$R$257,15,FALSE))</f>
        <v/>
      </c>
      <c r="M53" s="524" t="str">
        <f>IF(L53="","",VLOOKUP($B53,'F-1 Off Site River Baseline'!$C$9:$R$257,16,FALSE))</f>
        <v/>
      </c>
      <c r="N53" s="418" t="str">
        <f t="shared" si="0"/>
        <v/>
      </c>
      <c r="O53" s="498" t="str">
        <f t="shared" si="5"/>
        <v/>
      </c>
      <c r="P53" s="499"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5" t="str">
        <f>IF(N53="","",VLOOKUP(B53,'F-1 Off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20" t="str">
        <f>IF(V53="","",IF(VLOOKUP(V53,'G-7 Rivers Data'!$AG$4:$AI$9,2,FALSE)=0,"Spatial Data Missing ⚠",VLOOKUP(V53,'G-7 Rivers Data'!$AG$4:$AI$9,2,FALSE)))</f>
        <v/>
      </c>
      <c r="X53" s="524" t="str">
        <f>IF(V53="","",IF(VLOOKUP(V53,'G-7 Rivers Data'!$AG$4:$AI$9,3,FALSE)=0,"Spatial Data Missing ⚠",VLOOKUP(V53,'G-7 Rivers Data'!$AG$4:$AI$9,3,FALSE)))</f>
        <v/>
      </c>
      <c r="Y53" s="537" t="str">
        <f>IFERROR(IF(OR(LEFT(P53,5)="Error ▲",LEFT(O53,5)="Error ▲"),"Check Data ⚠",IF(F53&lt;S53,'G-7 Rivers Data'!$R$3,INDEX('G-7 Rivers Data'!$U$5:$Y$9,MATCH(G53,'G-7 Rivers Data'!$T$5:$T$9,0),MATCH(T53,'G-7 Rivers Data'!$U$4:$Y$4,0)))),"")</f>
        <v/>
      </c>
      <c r="Z53" s="203"/>
      <c r="AA53" s="203"/>
      <c r="AB53" s="534" t="str">
        <f t="shared" si="1"/>
        <v/>
      </c>
      <c r="AC53" s="521" t="str">
        <f t="shared" si="2"/>
        <v/>
      </c>
      <c r="AD53" s="564" t="str">
        <f>IFERROR(IF(AC53="Check Data ⚠","Check Data ⚠",VLOOKUP(AC53,'G-4 Temporal multipliers'!$A$4:$C$37,3,FALSE)),"")</f>
        <v/>
      </c>
      <c r="AE53" s="537" t="str">
        <f>IF(N53="","",VLOOKUP(N53,'G-7 Rivers Data'!$B$4:$G$8,5,FALSE))</f>
        <v/>
      </c>
      <c r="AF53" s="520" t="str">
        <f t="shared" si="3"/>
        <v/>
      </c>
      <c r="AG53" s="520" t="str">
        <f t="shared" si="6"/>
        <v/>
      </c>
      <c r="AH53" s="524" t="str">
        <f t="shared" si="4"/>
        <v/>
      </c>
      <c r="AI53" s="145"/>
      <c r="AJ53" s="499" t="str">
        <f>IF(AI53="","",IF(VLOOKUP(AI53,'G-7 Rivers Data'!$AA$4:$AB$7,2,FALSE)=0,"Spatial Data Missing ⚠",VLOOKUP(AI53,'G-7 Rivers Data'!$AA$4:$AB$7,2,FALSE)))</f>
        <v/>
      </c>
      <c r="AK53" s="155"/>
      <c r="AL53" s="536" t="str">
        <f>IF(AK53="","",IF(VLOOKUP(AK53,'G-7 Rivers Data'!$AD$4:$AE$8,2,FALSE)=0,"Spatial Data Missing ⚠",VLOOKUP(AK53,'G-7 Rivers Data'!$AD$4:$AE$8,2,FALSE)))</f>
        <v/>
      </c>
      <c r="AM53" s="154"/>
      <c r="AN53" s="524" t="str">
        <f>IF(AM53="","",VLOOKUP(AM53,'G-7 Rivers Data'!$AO$4:$AP$7,2,FALSE))</f>
        <v/>
      </c>
      <c r="AO53" s="545" t="str">
        <f t="shared" si="7"/>
        <v/>
      </c>
      <c r="AP53" s="149"/>
      <c r="AQ53" s="150"/>
      <c r="AX53" s="31" t="str">
        <f>IFERROR(INDEX('G-7 Rivers Data'!$AZ$3:$AZ$7,MATCH(N53,'G-7 Rivers Data'!$AY$3:$AY$7,0)),"")</f>
        <v/>
      </c>
    </row>
    <row r="54" spans="2:50" ht="13.8" x14ac:dyDescent="0.25">
      <c r="B54" s="531" t="str">
        <f>'F-1 Off Site River Baseline'!AN52</f>
        <v/>
      </c>
      <c r="C54" s="520" t="str">
        <f>IF(B54="","",VLOOKUP($B54,'F-1 Off Site River Baseline'!$C$9:$R$257,2,FALSE))</f>
        <v/>
      </c>
      <c r="D54" s="520" t="str">
        <f>IF(C54="","",VLOOKUP($B54,'F-1 Off Site River Baseline'!$C$9:$R$257,3,FALSE))</f>
        <v/>
      </c>
      <c r="E54" s="520" t="str">
        <f>IF(D54="","",VLOOKUP($B54,'F-1 Off Site River Baseline'!$C$9:$R$257,4,FALSE))</f>
        <v/>
      </c>
      <c r="F54" s="520" t="str">
        <f>IF(E54="","",VLOOKUP($B54,'F-1 Off Site River Baseline'!$C$9:$R$257,5,FALSE))</f>
        <v/>
      </c>
      <c r="G54" s="520" t="str">
        <f>IF(F54="","",VLOOKUP($B54,'F-1 Off Site River Baseline'!$C$9:$R$257,6,FALSE))</f>
        <v/>
      </c>
      <c r="H54" s="520" t="str">
        <f>IF(G54="","",VLOOKUP($B54,'F-1 Off Site River Baseline'!$C$9:$R$257,7,FALSE))</f>
        <v/>
      </c>
      <c r="I54" s="520" t="str">
        <f>IF(H54="","",VLOOKUP($B54,'F-1 Off Site River Baseline'!$C$9:$R$257,8,FALSE))</f>
        <v/>
      </c>
      <c r="J54" s="520" t="str">
        <f>IF(I54="","",VLOOKUP($B54,'F-1 Off Site River Baseline'!$C$9:$R$257,9,FALSE))</f>
        <v/>
      </c>
      <c r="K54" s="520" t="str">
        <f>IF(J54="","",VLOOKUP($B54,'F-1 Off Site River Baseline'!$C$9:$R$257,10,FALSE))</f>
        <v/>
      </c>
      <c r="L54" s="520" t="str">
        <f>IF(B54="","",VLOOKUP($B54,'C-1 Site River Baseline'!$C$9:$R$257,15,FALSE))</f>
        <v/>
      </c>
      <c r="M54" s="524" t="str">
        <f>IF(L54="","",VLOOKUP($B54,'F-1 Off Site River Baseline'!$C$9:$R$257,16,FALSE))</f>
        <v/>
      </c>
      <c r="N54" s="418" t="str">
        <f t="shared" si="0"/>
        <v/>
      </c>
      <c r="O54" s="498" t="str">
        <f t="shared" si="5"/>
        <v/>
      </c>
      <c r="P54" s="499"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5" t="str">
        <f>IF(N54="","",VLOOKUP(B54,'F-1 Off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20" t="str">
        <f>IF(V54="","",IF(VLOOKUP(V54,'G-7 Rivers Data'!$AG$4:$AI$9,2,FALSE)=0,"Spatial Data Missing ⚠",VLOOKUP(V54,'G-7 Rivers Data'!$AG$4:$AI$9,2,FALSE)))</f>
        <v/>
      </c>
      <c r="X54" s="524" t="str">
        <f>IF(V54="","",IF(VLOOKUP(V54,'G-7 Rivers Data'!$AG$4:$AI$9,3,FALSE)=0,"Spatial Data Missing ⚠",VLOOKUP(V54,'G-7 Rivers Data'!$AG$4:$AI$9,3,FALSE)))</f>
        <v/>
      </c>
      <c r="Y54" s="537" t="str">
        <f>IFERROR(IF(OR(LEFT(P54,5)="Error ▲",LEFT(O54,5)="Error ▲"),"Check Data ⚠",IF(F54&lt;S54,'G-7 Rivers Data'!$R$3,INDEX('G-7 Rivers Data'!$U$5:$Y$9,MATCH(G54,'G-7 Rivers Data'!$T$5:$T$9,0),MATCH(T54,'G-7 Rivers Data'!$U$4:$Y$4,0)))),"")</f>
        <v/>
      </c>
      <c r="Z54" s="203"/>
      <c r="AA54" s="203"/>
      <c r="AB54" s="534" t="str">
        <f t="shared" si="1"/>
        <v/>
      </c>
      <c r="AC54" s="521" t="str">
        <f t="shared" si="2"/>
        <v/>
      </c>
      <c r="AD54" s="564" t="str">
        <f>IFERROR(IF(AC54="Check Data ⚠","Check Data ⚠",VLOOKUP(AC54,'G-4 Temporal multipliers'!$A$4:$C$37,3,FALSE)),"")</f>
        <v/>
      </c>
      <c r="AE54" s="537" t="str">
        <f>IF(N54="","",VLOOKUP(N54,'G-7 Rivers Data'!$B$4:$G$8,5,FALSE))</f>
        <v/>
      </c>
      <c r="AF54" s="520" t="str">
        <f t="shared" si="3"/>
        <v/>
      </c>
      <c r="AG54" s="520" t="str">
        <f t="shared" si="6"/>
        <v/>
      </c>
      <c r="AH54" s="524" t="str">
        <f t="shared" si="4"/>
        <v/>
      </c>
      <c r="AI54" s="145"/>
      <c r="AJ54" s="499" t="str">
        <f>IF(AI54="","",IF(VLOOKUP(AI54,'G-7 Rivers Data'!$AA$4:$AB$7,2,FALSE)=0,"Spatial Data Missing ⚠",VLOOKUP(AI54,'G-7 Rivers Data'!$AA$4:$AB$7,2,FALSE)))</f>
        <v/>
      </c>
      <c r="AK54" s="155"/>
      <c r="AL54" s="536" t="str">
        <f>IF(AK54="","",IF(VLOOKUP(AK54,'G-7 Rivers Data'!$AD$4:$AE$8,2,FALSE)=0,"Spatial Data Missing ⚠",VLOOKUP(AK54,'G-7 Rivers Data'!$AD$4:$AE$8,2,FALSE)))</f>
        <v/>
      </c>
      <c r="AM54" s="154"/>
      <c r="AN54" s="524" t="str">
        <f>IF(AM54="","",VLOOKUP(AM54,'G-7 Rivers Data'!$AO$4:$AP$7,2,FALSE))</f>
        <v/>
      </c>
      <c r="AO54" s="545" t="str">
        <f t="shared" si="7"/>
        <v/>
      </c>
      <c r="AP54" s="149"/>
      <c r="AQ54" s="150"/>
      <c r="AX54" s="31" t="str">
        <f>IFERROR(INDEX('G-7 Rivers Data'!$AZ$3:$AZ$7,MATCH(N54,'G-7 Rivers Data'!$AY$3:$AY$7,0)),"")</f>
        <v/>
      </c>
    </row>
    <row r="55" spans="2:50" ht="13.8" x14ac:dyDescent="0.25">
      <c r="B55" s="531" t="str">
        <f>'F-1 Off Site River Baseline'!AN53</f>
        <v/>
      </c>
      <c r="C55" s="520" t="str">
        <f>IF(B55="","",VLOOKUP($B55,'F-1 Off Site River Baseline'!$C$9:$R$257,2,FALSE))</f>
        <v/>
      </c>
      <c r="D55" s="520" t="str">
        <f>IF(C55="","",VLOOKUP($B55,'F-1 Off Site River Baseline'!$C$9:$R$257,3,FALSE))</f>
        <v/>
      </c>
      <c r="E55" s="520" t="str">
        <f>IF(D55="","",VLOOKUP($B55,'F-1 Off Site River Baseline'!$C$9:$R$257,4,FALSE))</f>
        <v/>
      </c>
      <c r="F55" s="520" t="str">
        <f>IF(E55="","",VLOOKUP($B55,'F-1 Off Site River Baseline'!$C$9:$R$257,5,FALSE))</f>
        <v/>
      </c>
      <c r="G55" s="520" t="str">
        <f>IF(F55="","",VLOOKUP($B55,'F-1 Off Site River Baseline'!$C$9:$R$257,6,FALSE))</f>
        <v/>
      </c>
      <c r="H55" s="520" t="str">
        <f>IF(G55="","",VLOOKUP($B55,'F-1 Off Site River Baseline'!$C$9:$R$257,7,FALSE))</f>
        <v/>
      </c>
      <c r="I55" s="520" t="str">
        <f>IF(H55="","",VLOOKUP($B55,'F-1 Off Site River Baseline'!$C$9:$R$257,8,FALSE))</f>
        <v/>
      </c>
      <c r="J55" s="520" t="str">
        <f>IF(I55="","",VLOOKUP($B55,'F-1 Off Site River Baseline'!$C$9:$R$257,9,FALSE))</f>
        <v/>
      </c>
      <c r="K55" s="520" t="str">
        <f>IF(J55="","",VLOOKUP($B55,'F-1 Off Site River Baseline'!$C$9:$R$257,10,FALSE))</f>
        <v/>
      </c>
      <c r="L55" s="520" t="str">
        <f>IF(B55="","",VLOOKUP($B55,'C-1 Site River Baseline'!$C$9:$R$257,15,FALSE))</f>
        <v/>
      </c>
      <c r="M55" s="524" t="str">
        <f>IF(L55="","",VLOOKUP($B55,'F-1 Off Site River Baseline'!$C$9:$R$257,16,FALSE))</f>
        <v/>
      </c>
      <c r="N55" s="418" t="str">
        <f t="shared" si="0"/>
        <v/>
      </c>
      <c r="O55" s="498" t="str">
        <f t="shared" si="5"/>
        <v/>
      </c>
      <c r="P55" s="499"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5" t="str">
        <f>IF(N55="","",VLOOKUP(B55,'F-1 Off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20" t="str">
        <f>IF(V55="","",IF(VLOOKUP(V55,'G-7 Rivers Data'!$AG$4:$AI$9,2,FALSE)=0,"Spatial Data Missing ⚠",VLOOKUP(V55,'G-7 Rivers Data'!$AG$4:$AI$9,2,FALSE)))</f>
        <v/>
      </c>
      <c r="X55" s="524" t="str">
        <f>IF(V55="","",IF(VLOOKUP(V55,'G-7 Rivers Data'!$AG$4:$AI$9,3,FALSE)=0,"Spatial Data Missing ⚠",VLOOKUP(V55,'G-7 Rivers Data'!$AG$4:$AI$9,3,FALSE)))</f>
        <v/>
      </c>
      <c r="Y55" s="537" t="str">
        <f>IFERROR(IF(OR(LEFT(P55,5)="Error ▲",LEFT(O55,5)="Error ▲"),"Check Data ⚠",IF(F55&lt;S55,'G-7 Rivers Data'!$R$3,INDEX('G-7 Rivers Data'!$U$5:$Y$9,MATCH(G55,'G-7 Rivers Data'!$T$5:$T$9,0),MATCH(T55,'G-7 Rivers Data'!$U$4:$Y$4,0)))),"")</f>
        <v/>
      </c>
      <c r="Z55" s="203"/>
      <c r="AA55" s="203"/>
      <c r="AB55" s="534" t="str">
        <f t="shared" si="1"/>
        <v/>
      </c>
      <c r="AC55" s="521" t="str">
        <f t="shared" si="2"/>
        <v/>
      </c>
      <c r="AD55" s="564" t="str">
        <f>IFERROR(IF(AC55="Check Data ⚠","Check Data ⚠",VLOOKUP(AC55,'G-4 Temporal multipliers'!$A$4:$C$37,3,FALSE)),"")</f>
        <v/>
      </c>
      <c r="AE55" s="537" t="str">
        <f>IF(N55="","",VLOOKUP(N55,'G-7 Rivers Data'!$B$4:$G$8,5,FALSE))</f>
        <v/>
      </c>
      <c r="AF55" s="520" t="str">
        <f t="shared" si="3"/>
        <v/>
      </c>
      <c r="AG55" s="520" t="str">
        <f t="shared" si="6"/>
        <v/>
      </c>
      <c r="AH55" s="524" t="str">
        <f t="shared" si="4"/>
        <v/>
      </c>
      <c r="AI55" s="145"/>
      <c r="AJ55" s="499" t="str">
        <f>IF(AI55="","",IF(VLOOKUP(AI55,'G-7 Rivers Data'!$AA$4:$AB$7,2,FALSE)=0,"Spatial Data Missing ⚠",VLOOKUP(AI55,'G-7 Rivers Data'!$AA$4:$AB$7,2,FALSE)))</f>
        <v/>
      </c>
      <c r="AK55" s="155"/>
      <c r="AL55" s="536" t="str">
        <f>IF(AK55="","",IF(VLOOKUP(AK55,'G-7 Rivers Data'!$AD$4:$AE$8,2,FALSE)=0,"Spatial Data Missing ⚠",VLOOKUP(AK55,'G-7 Rivers Data'!$AD$4:$AE$8,2,FALSE)))</f>
        <v/>
      </c>
      <c r="AM55" s="154"/>
      <c r="AN55" s="524" t="str">
        <f>IF(AM55="","",VLOOKUP(AM55,'G-7 Rivers Data'!$AO$4:$AP$7,2,FALSE))</f>
        <v/>
      </c>
      <c r="AO55" s="545" t="str">
        <f t="shared" si="7"/>
        <v/>
      </c>
      <c r="AP55" s="149"/>
      <c r="AQ55" s="150"/>
      <c r="AX55" s="31" t="str">
        <f>IFERROR(INDEX('G-7 Rivers Data'!$AZ$3:$AZ$7,MATCH(N55,'G-7 Rivers Data'!$AY$3:$AY$7,0)),"")</f>
        <v/>
      </c>
    </row>
    <row r="56" spans="2:50" ht="13.8" x14ac:dyDescent="0.25">
      <c r="B56" s="531" t="str">
        <f>'F-1 Off Site River Baseline'!AN54</f>
        <v/>
      </c>
      <c r="C56" s="520" t="str">
        <f>IF(B56="","",VLOOKUP($B56,'F-1 Off Site River Baseline'!$C$9:$R$257,2,FALSE))</f>
        <v/>
      </c>
      <c r="D56" s="520" t="str">
        <f>IF(C56="","",VLOOKUP($B56,'F-1 Off Site River Baseline'!$C$9:$R$257,3,FALSE))</f>
        <v/>
      </c>
      <c r="E56" s="520" t="str">
        <f>IF(D56="","",VLOOKUP($B56,'F-1 Off Site River Baseline'!$C$9:$R$257,4,FALSE))</f>
        <v/>
      </c>
      <c r="F56" s="520" t="str">
        <f>IF(E56="","",VLOOKUP($B56,'F-1 Off Site River Baseline'!$C$9:$R$257,5,FALSE))</f>
        <v/>
      </c>
      <c r="G56" s="520" t="str">
        <f>IF(F56="","",VLOOKUP($B56,'F-1 Off Site River Baseline'!$C$9:$R$257,6,FALSE))</f>
        <v/>
      </c>
      <c r="H56" s="520" t="str">
        <f>IF(G56="","",VLOOKUP($B56,'F-1 Off Site River Baseline'!$C$9:$R$257,7,FALSE))</f>
        <v/>
      </c>
      <c r="I56" s="520" t="str">
        <f>IF(H56="","",VLOOKUP($B56,'F-1 Off Site River Baseline'!$C$9:$R$257,8,FALSE))</f>
        <v/>
      </c>
      <c r="J56" s="520" t="str">
        <f>IF(I56="","",VLOOKUP($B56,'F-1 Off Site River Baseline'!$C$9:$R$257,9,FALSE))</f>
        <v/>
      </c>
      <c r="K56" s="520" t="str">
        <f>IF(J56="","",VLOOKUP($B56,'F-1 Off Site River Baseline'!$C$9:$R$257,10,FALSE))</f>
        <v/>
      </c>
      <c r="L56" s="520" t="str">
        <f>IF(B56="","",VLOOKUP($B56,'C-1 Site River Baseline'!$C$9:$R$257,15,FALSE))</f>
        <v/>
      </c>
      <c r="M56" s="524" t="str">
        <f>IF(L56="","",VLOOKUP($B56,'F-1 Off Site River Baseline'!$C$9:$R$257,16,FALSE))</f>
        <v/>
      </c>
      <c r="N56" s="418" t="str">
        <f t="shared" si="0"/>
        <v/>
      </c>
      <c r="O56" s="498" t="str">
        <f t="shared" si="5"/>
        <v/>
      </c>
      <c r="P56" s="499"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5" t="str">
        <f>IF(N56="","",VLOOKUP(B56,'F-1 Off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20" t="str">
        <f>IF(V56="","",IF(VLOOKUP(V56,'G-7 Rivers Data'!$AG$4:$AI$9,2,FALSE)=0,"Spatial Data Missing ⚠",VLOOKUP(V56,'G-7 Rivers Data'!$AG$4:$AI$9,2,FALSE)))</f>
        <v/>
      </c>
      <c r="X56" s="524" t="str">
        <f>IF(V56="","",IF(VLOOKUP(V56,'G-7 Rivers Data'!$AG$4:$AI$9,3,FALSE)=0,"Spatial Data Missing ⚠",VLOOKUP(V56,'G-7 Rivers Data'!$AG$4:$AI$9,3,FALSE)))</f>
        <v/>
      </c>
      <c r="Y56" s="537" t="str">
        <f>IFERROR(IF(OR(LEFT(P56,5)="Error ▲",LEFT(O56,5)="Error ▲"),"Check Data ⚠",IF(F56&lt;S56,'G-7 Rivers Data'!$R$3,INDEX('G-7 Rivers Data'!$U$5:$Y$9,MATCH(G56,'G-7 Rivers Data'!$T$5:$T$9,0),MATCH(T56,'G-7 Rivers Data'!$U$4:$Y$4,0)))),"")</f>
        <v/>
      </c>
      <c r="Z56" s="203"/>
      <c r="AA56" s="203"/>
      <c r="AB56" s="534" t="str">
        <f t="shared" si="1"/>
        <v/>
      </c>
      <c r="AC56" s="521" t="str">
        <f t="shared" si="2"/>
        <v/>
      </c>
      <c r="AD56" s="564" t="str">
        <f>IFERROR(IF(AC56="Check Data ⚠","Check Data ⚠",VLOOKUP(AC56,'G-4 Temporal multipliers'!$A$4:$C$37,3,FALSE)),"")</f>
        <v/>
      </c>
      <c r="AE56" s="537" t="str">
        <f>IF(N56="","",VLOOKUP(N56,'G-7 Rivers Data'!$B$4:$G$8,5,FALSE))</f>
        <v/>
      </c>
      <c r="AF56" s="520" t="str">
        <f t="shared" si="3"/>
        <v/>
      </c>
      <c r="AG56" s="520" t="str">
        <f t="shared" si="6"/>
        <v/>
      </c>
      <c r="AH56" s="524" t="str">
        <f t="shared" si="4"/>
        <v/>
      </c>
      <c r="AI56" s="145"/>
      <c r="AJ56" s="499" t="str">
        <f>IF(AI56="","",IF(VLOOKUP(AI56,'G-7 Rivers Data'!$AA$4:$AB$7,2,FALSE)=0,"Spatial Data Missing ⚠",VLOOKUP(AI56,'G-7 Rivers Data'!$AA$4:$AB$7,2,FALSE)))</f>
        <v/>
      </c>
      <c r="AK56" s="155"/>
      <c r="AL56" s="536" t="str">
        <f>IF(AK56="","",IF(VLOOKUP(AK56,'G-7 Rivers Data'!$AD$4:$AE$8,2,FALSE)=0,"Spatial Data Missing ⚠",VLOOKUP(AK56,'G-7 Rivers Data'!$AD$4:$AE$8,2,FALSE)))</f>
        <v/>
      </c>
      <c r="AM56" s="154"/>
      <c r="AN56" s="524" t="str">
        <f>IF(AM56="","",VLOOKUP(AM56,'G-7 Rivers Data'!$AO$4:$AP$7,2,FALSE))</f>
        <v/>
      </c>
      <c r="AO56" s="545" t="str">
        <f t="shared" si="7"/>
        <v/>
      </c>
      <c r="AP56" s="149"/>
      <c r="AQ56" s="150"/>
      <c r="AX56" s="31" t="str">
        <f>IFERROR(INDEX('G-7 Rivers Data'!$AZ$3:$AZ$7,MATCH(N56,'G-7 Rivers Data'!$AY$3:$AY$7,0)),"")</f>
        <v/>
      </c>
    </row>
    <row r="57" spans="2:50" ht="13.8" x14ac:dyDescent="0.25">
      <c r="B57" s="531" t="str">
        <f>'F-1 Off Site River Baseline'!AN55</f>
        <v/>
      </c>
      <c r="C57" s="520" t="str">
        <f>IF(B57="","",VLOOKUP($B57,'F-1 Off Site River Baseline'!$C$9:$R$257,2,FALSE))</f>
        <v/>
      </c>
      <c r="D57" s="520" t="str">
        <f>IF(C57="","",VLOOKUP($B57,'F-1 Off Site River Baseline'!$C$9:$R$257,3,FALSE))</f>
        <v/>
      </c>
      <c r="E57" s="520" t="str">
        <f>IF(D57="","",VLOOKUP($B57,'F-1 Off Site River Baseline'!$C$9:$R$257,4,FALSE))</f>
        <v/>
      </c>
      <c r="F57" s="520" t="str">
        <f>IF(E57="","",VLOOKUP($B57,'F-1 Off Site River Baseline'!$C$9:$R$257,5,FALSE))</f>
        <v/>
      </c>
      <c r="G57" s="520" t="str">
        <f>IF(F57="","",VLOOKUP($B57,'F-1 Off Site River Baseline'!$C$9:$R$257,6,FALSE))</f>
        <v/>
      </c>
      <c r="H57" s="520" t="str">
        <f>IF(G57="","",VLOOKUP($B57,'F-1 Off Site River Baseline'!$C$9:$R$257,7,FALSE))</f>
        <v/>
      </c>
      <c r="I57" s="520" t="str">
        <f>IF(H57="","",VLOOKUP($B57,'F-1 Off Site River Baseline'!$C$9:$R$257,8,FALSE))</f>
        <v/>
      </c>
      <c r="J57" s="520" t="str">
        <f>IF(I57="","",VLOOKUP($B57,'F-1 Off Site River Baseline'!$C$9:$R$257,9,FALSE))</f>
        <v/>
      </c>
      <c r="K57" s="520" t="str">
        <f>IF(J57="","",VLOOKUP($B57,'F-1 Off Site River Baseline'!$C$9:$R$257,10,FALSE))</f>
        <v/>
      </c>
      <c r="L57" s="520" t="str">
        <f>IF(B57="","",VLOOKUP($B57,'C-1 Site River Baseline'!$C$9:$R$257,15,FALSE))</f>
        <v/>
      </c>
      <c r="M57" s="524" t="str">
        <f>IF(L57="","",VLOOKUP($B57,'F-1 Off Site River Baseline'!$C$9:$R$257,16,FALSE))</f>
        <v/>
      </c>
      <c r="N57" s="418" t="str">
        <f t="shared" si="0"/>
        <v/>
      </c>
      <c r="O57" s="498" t="str">
        <f t="shared" si="5"/>
        <v/>
      </c>
      <c r="P57" s="499"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5" t="str">
        <f>IF(N57="","",VLOOKUP(B57,'F-1 Off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20" t="str">
        <f>IF(V57="","",IF(VLOOKUP(V57,'G-7 Rivers Data'!$AG$4:$AI$9,2,FALSE)=0,"Spatial Data Missing ⚠",VLOOKUP(V57,'G-7 Rivers Data'!$AG$4:$AI$9,2,FALSE)))</f>
        <v/>
      </c>
      <c r="X57" s="524" t="str">
        <f>IF(V57="","",IF(VLOOKUP(V57,'G-7 Rivers Data'!$AG$4:$AI$9,3,FALSE)=0,"Spatial Data Missing ⚠",VLOOKUP(V57,'G-7 Rivers Data'!$AG$4:$AI$9,3,FALSE)))</f>
        <v/>
      </c>
      <c r="Y57" s="537" t="str">
        <f>IFERROR(IF(OR(LEFT(P57,5)="Error ▲",LEFT(O57,5)="Error ▲"),"Check Data ⚠",IF(F57&lt;S57,'G-7 Rivers Data'!$R$3,INDEX('G-7 Rivers Data'!$U$5:$Y$9,MATCH(G57,'G-7 Rivers Data'!$T$5:$T$9,0),MATCH(T57,'G-7 Rivers Data'!$U$4:$Y$4,0)))),"")</f>
        <v/>
      </c>
      <c r="Z57" s="203"/>
      <c r="AA57" s="203"/>
      <c r="AB57" s="534" t="str">
        <f t="shared" si="1"/>
        <v/>
      </c>
      <c r="AC57" s="521" t="str">
        <f t="shared" si="2"/>
        <v/>
      </c>
      <c r="AD57" s="564" t="str">
        <f>IFERROR(IF(AC57="Check Data ⚠","Check Data ⚠",VLOOKUP(AC57,'G-4 Temporal multipliers'!$A$4:$C$37,3,FALSE)),"")</f>
        <v/>
      </c>
      <c r="AE57" s="537" t="str">
        <f>IF(N57="","",VLOOKUP(N57,'G-7 Rivers Data'!$B$4:$G$8,5,FALSE))</f>
        <v/>
      </c>
      <c r="AF57" s="520" t="str">
        <f t="shared" si="3"/>
        <v/>
      </c>
      <c r="AG57" s="520" t="str">
        <f t="shared" si="6"/>
        <v/>
      </c>
      <c r="AH57" s="524" t="str">
        <f t="shared" si="4"/>
        <v/>
      </c>
      <c r="AI57" s="145"/>
      <c r="AJ57" s="499" t="str">
        <f>IF(AI57="","",IF(VLOOKUP(AI57,'G-7 Rivers Data'!$AA$4:$AB$7,2,FALSE)=0,"Spatial Data Missing ⚠",VLOOKUP(AI57,'G-7 Rivers Data'!$AA$4:$AB$7,2,FALSE)))</f>
        <v/>
      </c>
      <c r="AK57" s="155"/>
      <c r="AL57" s="536" t="str">
        <f>IF(AK57="","",IF(VLOOKUP(AK57,'G-7 Rivers Data'!$AD$4:$AE$8,2,FALSE)=0,"Spatial Data Missing ⚠",VLOOKUP(AK57,'G-7 Rivers Data'!$AD$4:$AE$8,2,FALSE)))</f>
        <v/>
      </c>
      <c r="AM57" s="154"/>
      <c r="AN57" s="524" t="str">
        <f>IF(AM57="","",VLOOKUP(AM57,'G-7 Rivers Data'!$AO$4:$AP$7,2,FALSE))</f>
        <v/>
      </c>
      <c r="AO57" s="545" t="str">
        <f t="shared" si="7"/>
        <v/>
      </c>
      <c r="AP57" s="149"/>
      <c r="AQ57" s="150"/>
      <c r="AX57" s="31" t="str">
        <f>IFERROR(INDEX('G-7 Rivers Data'!$AZ$3:$AZ$7,MATCH(N57,'G-7 Rivers Data'!$AY$3:$AY$7,0)),"")</f>
        <v/>
      </c>
    </row>
    <row r="58" spans="2:50" ht="13.8" x14ac:dyDescent="0.25">
      <c r="B58" s="531" t="str">
        <f>'F-1 Off Site River Baseline'!AN56</f>
        <v/>
      </c>
      <c r="C58" s="520" t="str">
        <f>IF(B58="","",VLOOKUP($B58,'F-1 Off Site River Baseline'!$C$9:$R$257,2,FALSE))</f>
        <v/>
      </c>
      <c r="D58" s="520" t="str">
        <f>IF(C58="","",VLOOKUP($B58,'F-1 Off Site River Baseline'!$C$9:$R$257,3,FALSE))</f>
        <v/>
      </c>
      <c r="E58" s="520" t="str">
        <f>IF(D58="","",VLOOKUP($B58,'F-1 Off Site River Baseline'!$C$9:$R$257,4,FALSE))</f>
        <v/>
      </c>
      <c r="F58" s="520" t="str">
        <f>IF(E58="","",VLOOKUP($B58,'F-1 Off Site River Baseline'!$C$9:$R$257,5,FALSE))</f>
        <v/>
      </c>
      <c r="G58" s="520" t="str">
        <f>IF(F58="","",VLOOKUP($B58,'F-1 Off Site River Baseline'!$C$9:$R$257,6,FALSE))</f>
        <v/>
      </c>
      <c r="H58" s="520" t="str">
        <f>IF(G58="","",VLOOKUP($B58,'F-1 Off Site River Baseline'!$C$9:$R$257,7,FALSE))</f>
        <v/>
      </c>
      <c r="I58" s="520" t="str">
        <f>IF(H58="","",VLOOKUP($B58,'F-1 Off Site River Baseline'!$C$9:$R$257,8,FALSE))</f>
        <v/>
      </c>
      <c r="J58" s="520" t="str">
        <f>IF(I58="","",VLOOKUP($B58,'F-1 Off Site River Baseline'!$C$9:$R$257,9,FALSE))</f>
        <v/>
      </c>
      <c r="K58" s="520" t="str">
        <f>IF(J58="","",VLOOKUP($B58,'F-1 Off Site River Baseline'!$C$9:$R$257,10,FALSE))</f>
        <v/>
      </c>
      <c r="L58" s="520" t="str">
        <f>IF(B58="","",VLOOKUP($B58,'C-1 Site River Baseline'!$C$9:$R$257,15,FALSE))</f>
        <v/>
      </c>
      <c r="M58" s="524" t="str">
        <f>IF(L58="","",VLOOKUP($B58,'F-1 Off Site River Baseline'!$C$9:$R$257,16,FALSE))</f>
        <v/>
      </c>
      <c r="N58" s="418" t="str">
        <f t="shared" si="0"/>
        <v/>
      </c>
      <c r="O58" s="498" t="str">
        <f t="shared" si="5"/>
        <v/>
      </c>
      <c r="P58" s="499"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5" t="str">
        <f>IF(N58="","",VLOOKUP(B58,'F-1 Off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20" t="str">
        <f>IF(V58="","",IF(VLOOKUP(V58,'G-7 Rivers Data'!$AG$4:$AI$9,2,FALSE)=0,"Spatial Data Missing ⚠",VLOOKUP(V58,'G-7 Rivers Data'!$AG$4:$AI$9,2,FALSE)))</f>
        <v/>
      </c>
      <c r="X58" s="524" t="str">
        <f>IF(V58="","",IF(VLOOKUP(V58,'G-7 Rivers Data'!$AG$4:$AI$9,3,FALSE)=0,"Spatial Data Missing ⚠",VLOOKUP(V58,'G-7 Rivers Data'!$AG$4:$AI$9,3,FALSE)))</f>
        <v/>
      </c>
      <c r="Y58" s="537" t="str">
        <f>IFERROR(IF(OR(LEFT(P58,5)="Error ▲",LEFT(O58,5)="Error ▲"),"Check Data ⚠",IF(F58&lt;S58,'G-7 Rivers Data'!$R$3,INDEX('G-7 Rivers Data'!$U$5:$Y$9,MATCH(G58,'G-7 Rivers Data'!$T$5:$T$9,0),MATCH(T58,'G-7 Rivers Data'!$U$4:$Y$4,0)))),"")</f>
        <v/>
      </c>
      <c r="Z58" s="203"/>
      <c r="AA58" s="203"/>
      <c r="AB58" s="534" t="str">
        <f t="shared" si="1"/>
        <v/>
      </c>
      <c r="AC58" s="521" t="str">
        <f t="shared" si="2"/>
        <v/>
      </c>
      <c r="AD58" s="564" t="str">
        <f>IFERROR(IF(AC58="Check Data ⚠","Check Data ⚠",VLOOKUP(AC58,'G-4 Temporal multipliers'!$A$4:$C$37,3,FALSE)),"")</f>
        <v/>
      </c>
      <c r="AE58" s="537" t="str">
        <f>IF(N58="","",VLOOKUP(N58,'G-7 Rivers Data'!$B$4:$G$8,5,FALSE))</f>
        <v/>
      </c>
      <c r="AF58" s="520" t="str">
        <f t="shared" si="3"/>
        <v/>
      </c>
      <c r="AG58" s="520" t="str">
        <f t="shared" si="6"/>
        <v/>
      </c>
      <c r="AH58" s="524" t="str">
        <f t="shared" si="4"/>
        <v/>
      </c>
      <c r="AI58" s="145"/>
      <c r="AJ58" s="499" t="str">
        <f>IF(AI58="","",IF(VLOOKUP(AI58,'G-7 Rivers Data'!$AA$4:$AB$7,2,FALSE)=0,"Spatial Data Missing ⚠",VLOOKUP(AI58,'G-7 Rivers Data'!$AA$4:$AB$7,2,FALSE)))</f>
        <v/>
      </c>
      <c r="AK58" s="155"/>
      <c r="AL58" s="536" t="str">
        <f>IF(AK58="","",IF(VLOOKUP(AK58,'G-7 Rivers Data'!$AD$4:$AE$8,2,FALSE)=0,"Spatial Data Missing ⚠",VLOOKUP(AK58,'G-7 Rivers Data'!$AD$4:$AE$8,2,FALSE)))</f>
        <v/>
      </c>
      <c r="AM58" s="154"/>
      <c r="AN58" s="524" t="str">
        <f>IF(AM58="","",VLOOKUP(AM58,'G-7 Rivers Data'!$AO$4:$AP$7,2,FALSE))</f>
        <v/>
      </c>
      <c r="AO58" s="545" t="str">
        <f t="shared" si="7"/>
        <v/>
      </c>
      <c r="AP58" s="149"/>
      <c r="AQ58" s="150"/>
      <c r="AX58" s="31" t="str">
        <f>IFERROR(INDEX('G-7 Rivers Data'!$AZ$3:$AZ$7,MATCH(N58,'G-7 Rivers Data'!$AY$3:$AY$7,0)),"")</f>
        <v/>
      </c>
    </row>
    <row r="59" spans="2:50" ht="13.8" x14ac:dyDescent="0.25">
      <c r="B59" s="531" t="str">
        <f>'F-1 Off Site River Baseline'!AN57</f>
        <v/>
      </c>
      <c r="C59" s="520" t="str">
        <f>IF(B59="","",VLOOKUP($B59,'F-1 Off Site River Baseline'!$C$9:$R$257,2,FALSE))</f>
        <v/>
      </c>
      <c r="D59" s="520" t="str">
        <f>IF(C59="","",VLOOKUP($B59,'F-1 Off Site River Baseline'!$C$9:$R$257,3,FALSE))</f>
        <v/>
      </c>
      <c r="E59" s="520" t="str">
        <f>IF(D59="","",VLOOKUP($B59,'F-1 Off Site River Baseline'!$C$9:$R$257,4,FALSE))</f>
        <v/>
      </c>
      <c r="F59" s="520" t="str">
        <f>IF(E59="","",VLOOKUP($B59,'F-1 Off Site River Baseline'!$C$9:$R$257,5,FALSE))</f>
        <v/>
      </c>
      <c r="G59" s="520" t="str">
        <f>IF(F59="","",VLOOKUP($B59,'F-1 Off Site River Baseline'!$C$9:$R$257,6,FALSE))</f>
        <v/>
      </c>
      <c r="H59" s="520" t="str">
        <f>IF(G59="","",VLOOKUP($B59,'F-1 Off Site River Baseline'!$C$9:$R$257,7,FALSE))</f>
        <v/>
      </c>
      <c r="I59" s="520" t="str">
        <f>IF(H59="","",VLOOKUP($B59,'F-1 Off Site River Baseline'!$C$9:$R$257,8,FALSE))</f>
        <v/>
      </c>
      <c r="J59" s="520" t="str">
        <f>IF(I59="","",VLOOKUP($B59,'F-1 Off Site River Baseline'!$C$9:$R$257,9,FALSE))</f>
        <v/>
      </c>
      <c r="K59" s="520" t="str">
        <f>IF(J59="","",VLOOKUP($B59,'F-1 Off Site River Baseline'!$C$9:$R$257,10,FALSE))</f>
        <v/>
      </c>
      <c r="L59" s="520" t="str">
        <f>IF(B59="","",VLOOKUP($B59,'C-1 Site River Baseline'!$C$9:$R$257,15,FALSE))</f>
        <v/>
      </c>
      <c r="M59" s="524" t="str">
        <f>IF(L59="","",VLOOKUP($B59,'F-1 Off Site River Baseline'!$C$9:$R$257,16,FALSE))</f>
        <v/>
      </c>
      <c r="N59" s="418" t="str">
        <f t="shared" si="0"/>
        <v/>
      </c>
      <c r="O59" s="498" t="str">
        <f t="shared" si="5"/>
        <v/>
      </c>
      <c r="P59" s="499"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5" t="str">
        <f>IF(N59="","",VLOOKUP(B59,'F-1 Off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20" t="str">
        <f>IF(V59="","",IF(VLOOKUP(V59,'G-7 Rivers Data'!$AG$4:$AI$9,2,FALSE)=0,"Spatial Data Missing ⚠",VLOOKUP(V59,'G-7 Rivers Data'!$AG$4:$AI$9,2,FALSE)))</f>
        <v/>
      </c>
      <c r="X59" s="524" t="str">
        <f>IF(V59="","",IF(VLOOKUP(V59,'G-7 Rivers Data'!$AG$4:$AI$9,3,FALSE)=0,"Spatial Data Missing ⚠",VLOOKUP(V59,'G-7 Rivers Data'!$AG$4:$AI$9,3,FALSE)))</f>
        <v/>
      </c>
      <c r="Y59" s="537" t="str">
        <f>IFERROR(IF(OR(LEFT(P59,5)="Error ▲",LEFT(O59,5)="Error ▲"),"Check Data ⚠",IF(F59&lt;S59,'G-7 Rivers Data'!$R$3,INDEX('G-7 Rivers Data'!$U$5:$Y$9,MATCH(G59,'G-7 Rivers Data'!$T$5:$T$9,0),MATCH(T59,'G-7 Rivers Data'!$U$4:$Y$4,0)))),"")</f>
        <v/>
      </c>
      <c r="Z59" s="203"/>
      <c r="AA59" s="203"/>
      <c r="AB59" s="534" t="str">
        <f t="shared" si="1"/>
        <v/>
      </c>
      <c r="AC59" s="521" t="str">
        <f t="shared" si="2"/>
        <v/>
      </c>
      <c r="AD59" s="564" t="str">
        <f>IFERROR(IF(AC59="Check Data ⚠","Check Data ⚠",VLOOKUP(AC59,'G-4 Temporal multipliers'!$A$4:$C$37,3,FALSE)),"")</f>
        <v/>
      </c>
      <c r="AE59" s="537" t="str">
        <f>IF(N59="","",VLOOKUP(N59,'G-7 Rivers Data'!$B$4:$G$8,5,FALSE))</f>
        <v/>
      </c>
      <c r="AF59" s="520" t="str">
        <f t="shared" si="3"/>
        <v/>
      </c>
      <c r="AG59" s="520" t="str">
        <f t="shared" si="6"/>
        <v/>
      </c>
      <c r="AH59" s="524" t="str">
        <f t="shared" si="4"/>
        <v/>
      </c>
      <c r="AI59" s="145"/>
      <c r="AJ59" s="499" t="str">
        <f>IF(AI59="","",IF(VLOOKUP(AI59,'G-7 Rivers Data'!$AA$4:$AB$7,2,FALSE)=0,"Spatial Data Missing ⚠",VLOOKUP(AI59,'G-7 Rivers Data'!$AA$4:$AB$7,2,FALSE)))</f>
        <v/>
      </c>
      <c r="AK59" s="155"/>
      <c r="AL59" s="536" t="str">
        <f>IF(AK59="","",IF(VLOOKUP(AK59,'G-7 Rivers Data'!$AD$4:$AE$8,2,FALSE)=0,"Spatial Data Missing ⚠",VLOOKUP(AK59,'G-7 Rivers Data'!$AD$4:$AE$8,2,FALSE)))</f>
        <v/>
      </c>
      <c r="AM59" s="154"/>
      <c r="AN59" s="524" t="str">
        <f>IF(AM59="","",VLOOKUP(AM59,'G-7 Rivers Data'!$AO$4:$AP$7,2,FALSE))</f>
        <v/>
      </c>
      <c r="AO59" s="545" t="str">
        <f t="shared" si="7"/>
        <v/>
      </c>
      <c r="AP59" s="149"/>
      <c r="AQ59" s="150"/>
      <c r="AX59" s="31" t="str">
        <f>IFERROR(INDEX('G-7 Rivers Data'!$AZ$3:$AZ$7,MATCH(N59,'G-7 Rivers Data'!$AY$3:$AY$7,0)),"")</f>
        <v/>
      </c>
    </row>
    <row r="60" spans="2:50" ht="13.8" x14ac:dyDescent="0.25">
      <c r="B60" s="531" t="str">
        <f>'F-1 Off Site River Baseline'!AN58</f>
        <v/>
      </c>
      <c r="C60" s="520" t="str">
        <f>IF(B60="","",VLOOKUP($B60,'F-1 Off Site River Baseline'!$C$9:$R$257,2,FALSE))</f>
        <v/>
      </c>
      <c r="D60" s="520" t="str">
        <f>IF(C60="","",VLOOKUP($B60,'F-1 Off Site River Baseline'!$C$9:$R$257,3,FALSE))</f>
        <v/>
      </c>
      <c r="E60" s="520" t="str">
        <f>IF(D60="","",VLOOKUP($B60,'F-1 Off Site River Baseline'!$C$9:$R$257,4,FALSE))</f>
        <v/>
      </c>
      <c r="F60" s="520" t="str">
        <f>IF(E60="","",VLOOKUP($B60,'F-1 Off Site River Baseline'!$C$9:$R$257,5,FALSE))</f>
        <v/>
      </c>
      <c r="G60" s="520" t="str">
        <f>IF(F60="","",VLOOKUP($B60,'F-1 Off Site River Baseline'!$C$9:$R$257,6,FALSE))</f>
        <v/>
      </c>
      <c r="H60" s="520" t="str">
        <f>IF(G60="","",VLOOKUP($B60,'F-1 Off Site River Baseline'!$C$9:$R$257,7,FALSE))</f>
        <v/>
      </c>
      <c r="I60" s="520" t="str">
        <f>IF(H60="","",VLOOKUP($B60,'F-1 Off Site River Baseline'!$C$9:$R$257,8,FALSE))</f>
        <v/>
      </c>
      <c r="J60" s="520" t="str">
        <f>IF(I60="","",VLOOKUP($B60,'F-1 Off Site River Baseline'!$C$9:$R$257,9,FALSE))</f>
        <v/>
      </c>
      <c r="K60" s="520" t="str">
        <f>IF(J60="","",VLOOKUP($B60,'F-1 Off Site River Baseline'!$C$9:$R$257,10,FALSE))</f>
        <v/>
      </c>
      <c r="L60" s="520" t="str">
        <f>IF(B60="","",VLOOKUP($B60,'C-1 Site River Baseline'!$C$9:$R$257,15,FALSE))</f>
        <v/>
      </c>
      <c r="M60" s="524" t="str">
        <f>IF(L60="","",VLOOKUP($B60,'F-1 Off Site River Baseline'!$C$9:$R$257,16,FALSE))</f>
        <v/>
      </c>
      <c r="N60" s="418" t="str">
        <f t="shared" si="0"/>
        <v/>
      </c>
      <c r="O60" s="498" t="str">
        <f t="shared" si="5"/>
        <v/>
      </c>
      <c r="P60" s="499"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5" t="str">
        <f>IF(N60="","",VLOOKUP(B60,'F-1 Off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20" t="str">
        <f>IF(V60="","",IF(VLOOKUP(V60,'G-7 Rivers Data'!$AG$4:$AI$9,2,FALSE)=0,"Spatial Data Missing ⚠",VLOOKUP(V60,'G-7 Rivers Data'!$AG$4:$AI$9,2,FALSE)))</f>
        <v/>
      </c>
      <c r="X60" s="524" t="str">
        <f>IF(V60="","",IF(VLOOKUP(V60,'G-7 Rivers Data'!$AG$4:$AI$9,3,FALSE)=0,"Spatial Data Missing ⚠",VLOOKUP(V60,'G-7 Rivers Data'!$AG$4:$AI$9,3,FALSE)))</f>
        <v/>
      </c>
      <c r="Y60" s="537" t="str">
        <f>IFERROR(IF(OR(LEFT(P60,5)="Error ▲",LEFT(O60,5)="Error ▲"),"Check Data ⚠",IF(F60&lt;S60,'G-7 Rivers Data'!$R$3,INDEX('G-7 Rivers Data'!$U$5:$Y$9,MATCH(G60,'G-7 Rivers Data'!$T$5:$T$9,0),MATCH(T60,'G-7 Rivers Data'!$U$4:$Y$4,0)))),"")</f>
        <v/>
      </c>
      <c r="Z60" s="203"/>
      <c r="AA60" s="203"/>
      <c r="AB60" s="534" t="str">
        <f t="shared" si="1"/>
        <v/>
      </c>
      <c r="AC60" s="521" t="str">
        <f t="shared" si="2"/>
        <v/>
      </c>
      <c r="AD60" s="564" t="str">
        <f>IFERROR(IF(AC60="Check Data ⚠","Check Data ⚠",VLOOKUP(AC60,'G-4 Temporal multipliers'!$A$4:$C$37,3,FALSE)),"")</f>
        <v/>
      </c>
      <c r="AE60" s="537" t="str">
        <f>IF(N60="","",VLOOKUP(N60,'G-7 Rivers Data'!$B$4:$G$8,5,FALSE))</f>
        <v/>
      </c>
      <c r="AF60" s="520" t="str">
        <f t="shared" si="3"/>
        <v/>
      </c>
      <c r="AG60" s="520" t="str">
        <f t="shared" si="6"/>
        <v/>
      </c>
      <c r="AH60" s="524" t="str">
        <f t="shared" si="4"/>
        <v/>
      </c>
      <c r="AI60" s="145"/>
      <c r="AJ60" s="499" t="str">
        <f>IF(AI60="","",IF(VLOOKUP(AI60,'G-7 Rivers Data'!$AA$4:$AB$7,2,FALSE)=0,"Spatial Data Missing ⚠",VLOOKUP(AI60,'G-7 Rivers Data'!$AA$4:$AB$7,2,FALSE)))</f>
        <v/>
      </c>
      <c r="AK60" s="155"/>
      <c r="AL60" s="536" t="str">
        <f>IF(AK60="","",IF(VLOOKUP(AK60,'G-7 Rivers Data'!$AD$4:$AE$8,2,FALSE)=0,"Spatial Data Missing ⚠",VLOOKUP(AK60,'G-7 Rivers Data'!$AD$4:$AE$8,2,FALSE)))</f>
        <v/>
      </c>
      <c r="AM60" s="154"/>
      <c r="AN60" s="524" t="str">
        <f>IF(AM60="","",VLOOKUP(AM60,'G-7 Rivers Data'!$AO$4:$AP$7,2,FALSE))</f>
        <v/>
      </c>
      <c r="AO60" s="545" t="str">
        <f t="shared" si="7"/>
        <v/>
      </c>
      <c r="AP60" s="149"/>
      <c r="AQ60" s="150"/>
      <c r="AX60" s="31" t="str">
        <f>IFERROR(INDEX('G-7 Rivers Data'!$AZ$3:$AZ$7,MATCH(N60,'G-7 Rivers Data'!$AY$3:$AY$7,0)),"")</f>
        <v/>
      </c>
    </row>
    <row r="61" spans="2:50" ht="13.8" x14ac:dyDescent="0.25">
      <c r="B61" s="531" t="str">
        <f>'F-1 Off Site River Baseline'!AN59</f>
        <v/>
      </c>
      <c r="C61" s="520" t="str">
        <f>IF(B61="","",VLOOKUP($B61,'F-1 Off Site River Baseline'!$C$9:$R$257,2,FALSE))</f>
        <v/>
      </c>
      <c r="D61" s="520" t="str">
        <f>IF(C61="","",VLOOKUP($B61,'F-1 Off Site River Baseline'!$C$9:$R$257,3,FALSE))</f>
        <v/>
      </c>
      <c r="E61" s="520" t="str">
        <f>IF(D61="","",VLOOKUP($B61,'F-1 Off Site River Baseline'!$C$9:$R$257,4,FALSE))</f>
        <v/>
      </c>
      <c r="F61" s="520" t="str">
        <f>IF(E61="","",VLOOKUP($B61,'F-1 Off Site River Baseline'!$C$9:$R$257,5,FALSE))</f>
        <v/>
      </c>
      <c r="G61" s="520" t="str">
        <f>IF(F61="","",VLOOKUP($B61,'F-1 Off Site River Baseline'!$C$9:$R$257,6,FALSE))</f>
        <v/>
      </c>
      <c r="H61" s="520" t="str">
        <f>IF(G61="","",VLOOKUP($B61,'F-1 Off Site River Baseline'!$C$9:$R$257,7,FALSE))</f>
        <v/>
      </c>
      <c r="I61" s="520" t="str">
        <f>IF(H61="","",VLOOKUP($B61,'F-1 Off Site River Baseline'!$C$9:$R$257,8,FALSE))</f>
        <v/>
      </c>
      <c r="J61" s="520" t="str">
        <f>IF(I61="","",VLOOKUP($B61,'F-1 Off Site River Baseline'!$C$9:$R$257,9,FALSE))</f>
        <v/>
      </c>
      <c r="K61" s="520" t="str">
        <f>IF(J61="","",VLOOKUP($B61,'F-1 Off Site River Baseline'!$C$9:$R$257,10,FALSE))</f>
        <v/>
      </c>
      <c r="L61" s="520" t="str">
        <f>IF(B61="","",VLOOKUP($B61,'C-1 Site River Baseline'!$C$9:$R$257,15,FALSE))</f>
        <v/>
      </c>
      <c r="M61" s="524" t="str">
        <f>IF(L61="","",VLOOKUP($B61,'F-1 Off Site River Baseline'!$C$9:$R$257,16,FALSE))</f>
        <v/>
      </c>
      <c r="N61" s="418" t="str">
        <f t="shared" si="0"/>
        <v/>
      </c>
      <c r="O61" s="498" t="str">
        <f t="shared" si="5"/>
        <v/>
      </c>
      <c r="P61" s="499"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5" t="str">
        <f>IF(N61="","",VLOOKUP(B61,'F-1 Off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20" t="str">
        <f>IF(V61="","",IF(VLOOKUP(V61,'G-7 Rivers Data'!$AG$4:$AI$9,2,FALSE)=0,"Spatial Data Missing ⚠",VLOOKUP(V61,'G-7 Rivers Data'!$AG$4:$AI$9,2,FALSE)))</f>
        <v/>
      </c>
      <c r="X61" s="524" t="str">
        <f>IF(V61="","",IF(VLOOKUP(V61,'G-7 Rivers Data'!$AG$4:$AI$9,3,FALSE)=0,"Spatial Data Missing ⚠",VLOOKUP(V61,'G-7 Rivers Data'!$AG$4:$AI$9,3,FALSE)))</f>
        <v/>
      </c>
      <c r="Y61" s="537" t="str">
        <f>IFERROR(IF(OR(LEFT(P61,5)="Error ▲",LEFT(O61,5)="Error ▲"),"Check Data ⚠",IF(F61&lt;S61,'G-7 Rivers Data'!$R$3,INDEX('G-7 Rivers Data'!$U$5:$Y$9,MATCH(G61,'G-7 Rivers Data'!$T$5:$T$9,0),MATCH(T61,'G-7 Rivers Data'!$U$4:$Y$4,0)))),"")</f>
        <v/>
      </c>
      <c r="Z61" s="203"/>
      <c r="AA61" s="203"/>
      <c r="AB61" s="534" t="str">
        <f t="shared" si="1"/>
        <v/>
      </c>
      <c r="AC61" s="521" t="str">
        <f t="shared" si="2"/>
        <v/>
      </c>
      <c r="AD61" s="564" t="str">
        <f>IFERROR(IF(AC61="Check Data ⚠","Check Data ⚠",VLOOKUP(AC61,'G-4 Temporal multipliers'!$A$4:$C$37,3,FALSE)),"")</f>
        <v/>
      </c>
      <c r="AE61" s="537" t="str">
        <f>IF(N61="","",VLOOKUP(N61,'G-7 Rivers Data'!$B$4:$G$8,5,FALSE))</f>
        <v/>
      </c>
      <c r="AF61" s="520" t="str">
        <f t="shared" si="3"/>
        <v/>
      </c>
      <c r="AG61" s="520" t="str">
        <f t="shared" si="6"/>
        <v/>
      </c>
      <c r="AH61" s="524" t="str">
        <f t="shared" si="4"/>
        <v/>
      </c>
      <c r="AI61" s="145"/>
      <c r="AJ61" s="499" t="str">
        <f>IF(AI61="","",IF(VLOOKUP(AI61,'G-7 Rivers Data'!$AA$4:$AB$7,2,FALSE)=0,"Spatial Data Missing ⚠",VLOOKUP(AI61,'G-7 Rivers Data'!$AA$4:$AB$7,2,FALSE)))</f>
        <v/>
      </c>
      <c r="AK61" s="155"/>
      <c r="AL61" s="536" t="str">
        <f>IF(AK61="","",IF(VLOOKUP(AK61,'G-7 Rivers Data'!$AD$4:$AE$8,2,FALSE)=0,"Spatial Data Missing ⚠",VLOOKUP(AK61,'G-7 Rivers Data'!$AD$4:$AE$8,2,FALSE)))</f>
        <v/>
      </c>
      <c r="AM61" s="154"/>
      <c r="AN61" s="524" t="str">
        <f>IF(AM61="","",VLOOKUP(AM61,'G-7 Rivers Data'!$AO$4:$AP$7,2,FALSE))</f>
        <v/>
      </c>
      <c r="AO61" s="545" t="str">
        <f t="shared" si="7"/>
        <v/>
      </c>
      <c r="AP61" s="149"/>
      <c r="AQ61" s="150"/>
      <c r="AX61" s="31" t="str">
        <f>IFERROR(INDEX('G-7 Rivers Data'!$AZ$3:$AZ$7,MATCH(N61,'G-7 Rivers Data'!$AY$3:$AY$7,0)),"")</f>
        <v/>
      </c>
    </row>
    <row r="62" spans="2:50" ht="13.8" x14ac:dyDescent="0.25">
      <c r="B62" s="531" t="str">
        <f>'F-1 Off Site River Baseline'!AN60</f>
        <v/>
      </c>
      <c r="C62" s="520" t="str">
        <f>IF(B62="","",VLOOKUP($B62,'F-1 Off Site River Baseline'!$C$9:$R$257,2,FALSE))</f>
        <v/>
      </c>
      <c r="D62" s="520" t="str">
        <f>IF(C62="","",VLOOKUP($B62,'F-1 Off Site River Baseline'!$C$9:$R$257,3,FALSE))</f>
        <v/>
      </c>
      <c r="E62" s="520" t="str">
        <f>IF(D62="","",VLOOKUP($B62,'F-1 Off Site River Baseline'!$C$9:$R$257,4,FALSE))</f>
        <v/>
      </c>
      <c r="F62" s="520" t="str">
        <f>IF(E62="","",VLOOKUP($B62,'F-1 Off Site River Baseline'!$C$9:$R$257,5,FALSE))</f>
        <v/>
      </c>
      <c r="G62" s="520" t="str">
        <f>IF(F62="","",VLOOKUP($B62,'F-1 Off Site River Baseline'!$C$9:$R$257,6,FALSE))</f>
        <v/>
      </c>
      <c r="H62" s="520" t="str">
        <f>IF(G62="","",VLOOKUP($B62,'F-1 Off Site River Baseline'!$C$9:$R$257,7,FALSE))</f>
        <v/>
      </c>
      <c r="I62" s="520" t="str">
        <f>IF(H62="","",VLOOKUP($B62,'F-1 Off Site River Baseline'!$C$9:$R$257,8,FALSE))</f>
        <v/>
      </c>
      <c r="J62" s="520" t="str">
        <f>IF(I62="","",VLOOKUP($B62,'F-1 Off Site River Baseline'!$C$9:$R$257,9,FALSE))</f>
        <v/>
      </c>
      <c r="K62" s="520" t="str">
        <f>IF(J62="","",VLOOKUP($B62,'F-1 Off Site River Baseline'!$C$9:$R$257,10,FALSE))</f>
        <v/>
      </c>
      <c r="L62" s="520" t="str">
        <f>IF(B62="","",VLOOKUP($B62,'C-1 Site River Baseline'!$C$9:$R$257,15,FALSE))</f>
        <v/>
      </c>
      <c r="M62" s="524" t="str">
        <f>IF(L62="","",VLOOKUP($B62,'F-1 Off Site River Baseline'!$C$9:$R$257,16,FALSE))</f>
        <v/>
      </c>
      <c r="N62" s="418" t="str">
        <f t="shared" si="0"/>
        <v/>
      </c>
      <c r="O62" s="498" t="str">
        <f t="shared" si="5"/>
        <v/>
      </c>
      <c r="P62" s="499"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5" t="str">
        <f>IF(N62="","",VLOOKUP(B62,'F-1 Off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20" t="str">
        <f>IF(V62="","",IF(VLOOKUP(V62,'G-7 Rivers Data'!$AG$4:$AI$9,2,FALSE)=0,"Spatial Data Missing ⚠",VLOOKUP(V62,'G-7 Rivers Data'!$AG$4:$AI$9,2,FALSE)))</f>
        <v/>
      </c>
      <c r="X62" s="524" t="str">
        <f>IF(V62="","",IF(VLOOKUP(V62,'G-7 Rivers Data'!$AG$4:$AI$9,3,FALSE)=0,"Spatial Data Missing ⚠",VLOOKUP(V62,'G-7 Rivers Data'!$AG$4:$AI$9,3,FALSE)))</f>
        <v/>
      </c>
      <c r="Y62" s="537" t="str">
        <f>IFERROR(IF(OR(LEFT(P62,5)="Error ▲",LEFT(O62,5)="Error ▲"),"Check Data ⚠",IF(F62&lt;S62,'G-7 Rivers Data'!$R$3,INDEX('G-7 Rivers Data'!$U$5:$Y$9,MATCH(G62,'G-7 Rivers Data'!$T$5:$T$9,0),MATCH(T62,'G-7 Rivers Data'!$U$4:$Y$4,0)))),"")</f>
        <v/>
      </c>
      <c r="Z62" s="203"/>
      <c r="AA62" s="203"/>
      <c r="AB62" s="534" t="str">
        <f t="shared" si="1"/>
        <v/>
      </c>
      <c r="AC62" s="521" t="str">
        <f t="shared" si="2"/>
        <v/>
      </c>
      <c r="AD62" s="564" t="str">
        <f>IFERROR(IF(AC62="Check Data ⚠","Check Data ⚠",VLOOKUP(AC62,'G-4 Temporal multipliers'!$A$4:$C$37,3,FALSE)),"")</f>
        <v/>
      </c>
      <c r="AE62" s="537" t="str">
        <f>IF(N62="","",VLOOKUP(N62,'G-7 Rivers Data'!$B$4:$G$8,5,FALSE))</f>
        <v/>
      </c>
      <c r="AF62" s="520" t="str">
        <f t="shared" si="3"/>
        <v/>
      </c>
      <c r="AG62" s="520" t="str">
        <f t="shared" si="6"/>
        <v/>
      </c>
      <c r="AH62" s="524" t="str">
        <f t="shared" si="4"/>
        <v/>
      </c>
      <c r="AI62" s="145"/>
      <c r="AJ62" s="499" t="str">
        <f>IF(AI62="","",IF(VLOOKUP(AI62,'G-7 Rivers Data'!$AA$4:$AB$7,2,FALSE)=0,"Spatial Data Missing ⚠",VLOOKUP(AI62,'G-7 Rivers Data'!$AA$4:$AB$7,2,FALSE)))</f>
        <v/>
      </c>
      <c r="AK62" s="155"/>
      <c r="AL62" s="536" t="str">
        <f>IF(AK62="","",IF(VLOOKUP(AK62,'G-7 Rivers Data'!$AD$4:$AE$8,2,FALSE)=0,"Spatial Data Missing ⚠",VLOOKUP(AK62,'G-7 Rivers Data'!$AD$4:$AE$8,2,FALSE)))</f>
        <v/>
      </c>
      <c r="AM62" s="154"/>
      <c r="AN62" s="524" t="str">
        <f>IF(AM62="","",VLOOKUP(AM62,'G-7 Rivers Data'!$AO$4:$AP$7,2,FALSE))</f>
        <v/>
      </c>
      <c r="AO62" s="545" t="str">
        <f t="shared" si="7"/>
        <v/>
      </c>
      <c r="AP62" s="149"/>
      <c r="AQ62" s="150"/>
      <c r="AX62" s="31" t="str">
        <f>IFERROR(INDEX('G-7 Rivers Data'!$AZ$3:$AZ$7,MATCH(N62,'G-7 Rivers Data'!$AY$3:$AY$7,0)),"")</f>
        <v/>
      </c>
    </row>
    <row r="63" spans="2:50" ht="13.8" x14ac:dyDescent="0.25">
      <c r="B63" s="531" t="str">
        <f>'F-1 Off Site River Baseline'!AN61</f>
        <v/>
      </c>
      <c r="C63" s="520" t="str">
        <f>IF(B63="","",VLOOKUP($B63,'F-1 Off Site River Baseline'!$C$9:$R$257,2,FALSE))</f>
        <v/>
      </c>
      <c r="D63" s="520" t="str">
        <f>IF(C63="","",VLOOKUP($B63,'F-1 Off Site River Baseline'!$C$9:$R$257,3,FALSE))</f>
        <v/>
      </c>
      <c r="E63" s="520" t="str">
        <f>IF(D63="","",VLOOKUP($B63,'F-1 Off Site River Baseline'!$C$9:$R$257,4,FALSE))</f>
        <v/>
      </c>
      <c r="F63" s="520" t="str">
        <f>IF(E63="","",VLOOKUP($B63,'F-1 Off Site River Baseline'!$C$9:$R$257,5,FALSE))</f>
        <v/>
      </c>
      <c r="G63" s="520" t="str">
        <f>IF(F63="","",VLOOKUP($B63,'F-1 Off Site River Baseline'!$C$9:$R$257,6,FALSE))</f>
        <v/>
      </c>
      <c r="H63" s="520" t="str">
        <f>IF(G63="","",VLOOKUP($B63,'F-1 Off Site River Baseline'!$C$9:$R$257,7,FALSE))</f>
        <v/>
      </c>
      <c r="I63" s="520" t="str">
        <f>IF(H63="","",VLOOKUP($B63,'F-1 Off Site River Baseline'!$C$9:$R$257,8,FALSE))</f>
        <v/>
      </c>
      <c r="J63" s="520" t="str">
        <f>IF(I63="","",VLOOKUP($B63,'F-1 Off Site River Baseline'!$C$9:$R$257,9,FALSE))</f>
        <v/>
      </c>
      <c r="K63" s="520" t="str">
        <f>IF(J63="","",VLOOKUP($B63,'F-1 Off Site River Baseline'!$C$9:$R$257,10,FALSE))</f>
        <v/>
      </c>
      <c r="L63" s="520" t="str">
        <f>IF(B63="","",VLOOKUP($B63,'C-1 Site River Baseline'!$C$9:$R$257,15,FALSE))</f>
        <v/>
      </c>
      <c r="M63" s="524" t="str">
        <f>IF(L63="","",VLOOKUP($B63,'F-1 Off Site River Baseline'!$C$9:$R$257,16,FALSE))</f>
        <v/>
      </c>
      <c r="N63" s="418" t="str">
        <f t="shared" si="0"/>
        <v/>
      </c>
      <c r="O63" s="498" t="str">
        <f t="shared" si="5"/>
        <v/>
      </c>
      <c r="P63" s="499"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5" t="str">
        <f>IF(N63="","",VLOOKUP(B63,'F-1 Off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20" t="str">
        <f>IF(V63="","",IF(VLOOKUP(V63,'G-7 Rivers Data'!$AG$4:$AI$9,2,FALSE)=0,"Spatial Data Missing ⚠",VLOOKUP(V63,'G-7 Rivers Data'!$AG$4:$AI$9,2,FALSE)))</f>
        <v/>
      </c>
      <c r="X63" s="524" t="str">
        <f>IF(V63="","",IF(VLOOKUP(V63,'G-7 Rivers Data'!$AG$4:$AI$9,3,FALSE)=0,"Spatial Data Missing ⚠",VLOOKUP(V63,'G-7 Rivers Data'!$AG$4:$AI$9,3,FALSE)))</f>
        <v/>
      </c>
      <c r="Y63" s="537" t="str">
        <f>IFERROR(IF(OR(LEFT(P63,5)="Error ▲",LEFT(O63,5)="Error ▲"),"Check Data ⚠",IF(F63&lt;S63,'G-7 Rivers Data'!$R$3,INDEX('G-7 Rivers Data'!$U$5:$Y$9,MATCH(G63,'G-7 Rivers Data'!$T$5:$T$9,0),MATCH(T63,'G-7 Rivers Data'!$U$4:$Y$4,0)))),"")</f>
        <v/>
      </c>
      <c r="Z63" s="203"/>
      <c r="AA63" s="203"/>
      <c r="AB63" s="534" t="str">
        <f t="shared" si="1"/>
        <v/>
      </c>
      <c r="AC63" s="521" t="str">
        <f t="shared" si="2"/>
        <v/>
      </c>
      <c r="AD63" s="564" t="str">
        <f>IFERROR(IF(AC63="Check Data ⚠","Check Data ⚠",VLOOKUP(AC63,'G-4 Temporal multipliers'!$A$4:$C$37,3,FALSE)),"")</f>
        <v/>
      </c>
      <c r="AE63" s="537" t="str">
        <f>IF(N63="","",VLOOKUP(N63,'G-7 Rivers Data'!$B$4:$G$8,5,FALSE))</f>
        <v/>
      </c>
      <c r="AF63" s="520" t="str">
        <f t="shared" si="3"/>
        <v/>
      </c>
      <c r="AG63" s="520" t="str">
        <f t="shared" si="6"/>
        <v/>
      </c>
      <c r="AH63" s="524" t="str">
        <f t="shared" si="4"/>
        <v/>
      </c>
      <c r="AI63" s="145"/>
      <c r="AJ63" s="499" t="str">
        <f>IF(AI63="","",IF(VLOOKUP(AI63,'G-7 Rivers Data'!$AA$4:$AB$7,2,FALSE)=0,"Spatial Data Missing ⚠",VLOOKUP(AI63,'G-7 Rivers Data'!$AA$4:$AB$7,2,FALSE)))</f>
        <v/>
      </c>
      <c r="AK63" s="155"/>
      <c r="AL63" s="536" t="str">
        <f>IF(AK63="","",IF(VLOOKUP(AK63,'G-7 Rivers Data'!$AD$4:$AE$8,2,FALSE)=0,"Spatial Data Missing ⚠",VLOOKUP(AK63,'G-7 Rivers Data'!$AD$4:$AE$8,2,FALSE)))</f>
        <v/>
      </c>
      <c r="AM63" s="154"/>
      <c r="AN63" s="524" t="str">
        <f>IF(AM63="","",VLOOKUP(AM63,'G-7 Rivers Data'!$AO$4:$AP$7,2,FALSE))</f>
        <v/>
      </c>
      <c r="AO63" s="545" t="str">
        <f t="shared" si="7"/>
        <v/>
      </c>
      <c r="AP63" s="149"/>
      <c r="AQ63" s="150"/>
      <c r="AX63" s="31" t="str">
        <f>IFERROR(INDEX('G-7 Rivers Data'!$AZ$3:$AZ$7,MATCH(N63,'G-7 Rivers Data'!$AY$3:$AY$7,0)),"")</f>
        <v/>
      </c>
    </row>
    <row r="64" spans="2:50" ht="13.8" x14ac:dyDescent="0.25">
      <c r="B64" s="531" t="str">
        <f>'F-1 Off Site River Baseline'!AN62</f>
        <v/>
      </c>
      <c r="C64" s="520" t="str">
        <f>IF(B64="","",VLOOKUP($B64,'F-1 Off Site River Baseline'!$C$9:$R$257,2,FALSE))</f>
        <v/>
      </c>
      <c r="D64" s="520" t="str">
        <f>IF(C64="","",VLOOKUP($B64,'F-1 Off Site River Baseline'!$C$9:$R$257,3,FALSE))</f>
        <v/>
      </c>
      <c r="E64" s="520" t="str">
        <f>IF(D64="","",VLOOKUP($B64,'F-1 Off Site River Baseline'!$C$9:$R$257,4,FALSE))</f>
        <v/>
      </c>
      <c r="F64" s="520" t="str">
        <f>IF(E64="","",VLOOKUP($B64,'F-1 Off Site River Baseline'!$C$9:$R$257,5,FALSE))</f>
        <v/>
      </c>
      <c r="G64" s="520" t="str">
        <f>IF(F64="","",VLOOKUP($B64,'F-1 Off Site River Baseline'!$C$9:$R$257,6,FALSE))</f>
        <v/>
      </c>
      <c r="H64" s="520" t="str">
        <f>IF(G64="","",VLOOKUP($B64,'F-1 Off Site River Baseline'!$C$9:$R$257,7,FALSE))</f>
        <v/>
      </c>
      <c r="I64" s="520" t="str">
        <f>IF(H64="","",VLOOKUP($B64,'F-1 Off Site River Baseline'!$C$9:$R$257,8,FALSE))</f>
        <v/>
      </c>
      <c r="J64" s="520" t="str">
        <f>IF(I64="","",VLOOKUP($B64,'F-1 Off Site River Baseline'!$C$9:$R$257,9,FALSE))</f>
        <v/>
      </c>
      <c r="K64" s="520" t="str">
        <f>IF(J64="","",VLOOKUP($B64,'F-1 Off Site River Baseline'!$C$9:$R$257,10,FALSE))</f>
        <v/>
      </c>
      <c r="L64" s="520" t="str">
        <f>IF(B64="","",VLOOKUP($B64,'C-1 Site River Baseline'!$C$9:$R$257,15,FALSE))</f>
        <v/>
      </c>
      <c r="M64" s="524" t="str">
        <f>IF(L64="","",VLOOKUP($B64,'F-1 Off Site River Baseline'!$C$9:$R$257,16,FALSE))</f>
        <v/>
      </c>
      <c r="N64" s="418" t="str">
        <f t="shared" si="0"/>
        <v/>
      </c>
      <c r="O64" s="498" t="str">
        <f t="shared" si="5"/>
        <v/>
      </c>
      <c r="P64" s="499"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5" t="str">
        <f>IF(N64="","",VLOOKUP(B64,'F-1 Off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20" t="str">
        <f>IF(V64="","",IF(VLOOKUP(V64,'G-7 Rivers Data'!$AG$4:$AI$9,2,FALSE)=0,"Spatial Data Missing ⚠",VLOOKUP(V64,'G-7 Rivers Data'!$AG$4:$AI$9,2,FALSE)))</f>
        <v/>
      </c>
      <c r="X64" s="524" t="str">
        <f>IF(V64="","",IF(VLOOKUP(V64,'G-7 Rivers Data'!$AG$4:$AI$9,3,FALSE)=0,"Spatial Data Missing ⚠",VLOOKUP(V64,'G-7 Rivers Data'!$AG$4:$AI$9,3,FALSE)))</f>
        <v/>
      </c>
      <c r="Y64" s="537" t="str">
        <f>IFERROR(IF(OR(LEFT(P64,5)="Error ▲",LEFT(O64,5)="Error ▲"),"Check Data ⚠",IF(F64&lt;S64,'G-7 Rivers Data'!$R$3,INDEX('G-7 Rivers Data'!$U$5:$Y$9,MATCH(G64,'G-7 Rivers Data'!$T$5:$T$9,0),MATCH(T64,'G-7 Rivers Data'!$U$4:$Y$4,0)))),"")</f>
        <v/>
      </c>
      <c r="Z64" s="203"/>
      <c r="AA64" s="203"/>
      <c r="AB64" s="534" t="str">
        <f t="shared" si="1"/>
        <v/>
      </c>
      <c r="AC64" s="521" t="str">
        <f t="shared" si="2"/>
        <v/>
      </c>
      <c r="AD64" s="564" t="str">
        <f>IFERROR(IF(AC64="Check Data ⚠","Check Data ⚠",VLOOKUP(AC64,'G-4 Temporal multipliers'!$A$4:$C$37,3,FALSE)),"")</f>
        <v/>
      </c>
      <c r="AE64" s="537" t="str">
        <f>IF(N64="","",VLOOKUP(N64,'G-7 Rivers Data'!$B$4:$G$8,5,FALSE))</f>
        <v/>
      </c>
      <c r="AF64" s="520" t="str">
        <f t="shared" si="3"/>
        <v/>
      </c>
      <c r="AG64" s="520" t="str">
        <f t="shared" si="6"/>
        <v/>
      </c>
      <c r="AH64" s="524" t="str">
        <f t="shared" si="4"/>
        <v/>
      </c>
      <c r="AI64" s="145"/>
      <c r="AJ64" s="499" t="str">
        <f>IF(AI64="","",IF(VLOOKUP(AI64,'G-7 Rivers Data'!$AA$4:$AB$7,2,FALSE)=0,"Spatial Data Missing ⚠",VLOOKUP(AI64,'G-7 Rivers Data'!$AA$4:$AB$7,2,FALSE)))</f>
        <v/>
      </c>
      <c r="AK64" s="155"/>
      <c r="AL64" s="536" t="str">
        <f>IF(AK64="","",IF(VLOOKUP(AK64,'G-7 Rivers Data'!$AD$4:$AE$8,2,FALSE)=0,"Spatial Data Missing ⚠",VLOOKUP(AK64,'G-7 Rivers Data'!$AD$4:$AE$8,2,FALSE)))</f>
        <v/>
      </c>
      <c r="AM64" s="154"/>
      <c r="AN64" s="524" t="str">
        <f>IF(AM64="","",VLOOKUP(AM64,'G-7 Rivers Data'!$AO$4:$AP$7,2,FALSE))</f>
        <v/>
      </c>
      <c r="AO64" s="545" t="str">
        <f t="shared" si="7"/>
        <v/>
      </c>
      <c r="AP64" s="149"/>
      <c r="AQ64" s="150"/>
      <c r="AX64" s="31" t="str">
        <f>IFERROR(INDEX('G-7 Rivers Data'!$AZ$3:$AZ$7,MATCH(N64,'G-7 Rivers Data'!$AY$3:$AY$7,0)),"")</f>
        <v/>
      </c>
    </row>
    <row r="65" spans="2:50" ht="13.8" x14ac:dyDescent="0.25">
      <c r="B65" s="531" t="str">
        <f>'F-1 Off Site River Baseline'!AN63</f>
        <v/>
      </c>
      <c r="C65" s="520" t="str">
        <f>IF(B65="","",VLOOKUP($B65,'F-1 Off Site River Baseline'!$C$9:$R$257,2,FALSE))</f>
        <v/>
      </c>
      <c r="D65" s="520" t="str">
        <f>IF(C65="","",VLOOKUP($B65,'F-1 Off Site River Baseline'!$C$9:$R$257,3,FALSE))</f>
        <v/>
      </c>
      <c r="E65" s="520" t="str">
        <f>IF(D65="","",VLOOKUP($B65,'F-1 Off Site River Baseline'!$C$9:$R$257,4,FALSE))</f>
        <v/>
      </c>
      <c r="F65" s="520" t="str">
        <f>IF(E65="","",VLOOKUP($B65,'F-1 Off Site River Baseline'!$C$9:$R$257,5,FALSE))</f>
        <v/>
      </c>
      <c r="G65" s="520" t="str">
        <f>IF(F65="","",VLOOKUP($B65,'F-1 Off Site River Baseline'!$C$9:$R$257,6,FALSE))</f>
        <v/>
      </c>
      <c r="H65" s="520" t="str">
        <f>IF(G65="","",VLOOKUP($B65,'F-1 Off Site River Baseline'!$C$9:$R$257,7,FALSE))</f>
        <v/>
      </c>
      <c r="I65" s="520" t="str">
        <f>IF(H65="","",VLOOKUP($B65,'F-1 Off Site River Baseline'!$C$9:$R$257,8,FALSE))</f>
        <v/>
      </c>
      <c r="J65" s="520" t="str">
        <f>IF(I65="","",VLOOKUP($B65,'F-1 Off Site River Baseline'!$C$9:$R$257,9,FALSE))</f>
        <v/>
      </c>
      <c r="K65" s="520" t="str">
        <f>IF(J65="","",VLOOKUP($B65,'F-1 Off Site River Baseline'!$C$9:$R$257,10,FALSE))</f>
        <v/>
      </c>
      <c r="L65" s="520" t="str">
        <f>IF(B65="","",VLOOKUP($B65,'C-1 Site River Baseline'!$C$9:$R$257,15,FALSE))</f>
        <v/>
      </c>
      <c r="M65" s="524" t="str">
        <f>IF(L65="","",VLOOKUP($B65,'F-1 Off Site River Baseline'!$C$9:$R$257,16,FALSE))</f>
        <v/>
      </c>
      <c r="N65" s="418" t="str">
        <f t="shared" si="0"/>
        <v/>
      </c>
      <c r="O65" s="498" t="str">
        <f t="shared" si="5"/>
        <v/>
      </c>
      <c r="P65" s="499"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5" t="str">
        <f>IF(N65="","",VLOOKUP(B65,'F-1 Off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20" t="str">
        <f>IF(V65="","",IF(VLOOKUP(V65,'G-7 Rivers Data'!$AG$4:$AI$9,2,FALSE)=0,"Spatial Data Missing ⚠",VLOOKUP(V65,'G-7 Rivers Data'!$AG$4:$AI$9,2,FALSE)))</f>
        <v/>
      </c>
      <c r="X65" s="524" t="str">
        <f>IF(V65="","",IF(VLOOKUP(V65,'G-7 Rivers Data'!$AG$4:$AI$9,3,FALSE)=0,"Spatial Data Missing ⚠",VLOOKUP(V65,'G-7 Rivers Data'!$AG$4:$AI$9,3,FALSE)))</f>
        <v/>
      </c>
      <c r="Y65" s="537" t="str">
        <f>IFERROR(IF(OR(LEFT(P65,5)="Error ▲",LEFT(O65,5)="Error ▲"),"Check Data ⚠",IF(F65&lt;S65,'G-7 Rivers Data'!$R$3,INDEX('G-7 Rivers Data'!$U$5:$Y$9,MATCH(G65,'G-7 Rivers Data'!$T$5:$T$9,0),MATCH(T65,'G-7 Rivers Data'!$U$4:$Y$4,0)))),"")</f>
        <v/>
      </c>
      <c r="Z65" s="203"/>
      <c r="AA65" s="203"/>
      <c r="AB65" s="534" t="str">
        <f t="shared" si="1"/>
        <v/>
      </c>
      <c r="AC65" s="521" t="str">
        <f t="shared" si="2"/>
        <v/>
      </c>
      <c r="AD65" s="564" t="str">
        <f>IFERROR(IF(AC65="Check Data ⚠","Check Data ⚠",VLOOKUP(AC65,'G-4 Temporal multipliers'!$A$4:$C$37,3,FALSE)),"")</f>
        <v/>
      </c>
      <c r="AE65" s="537" t="str">
        <f>IF(N65="","",VLOOKUP(N65,'G-7 Rivers Data'!$B$4:$G$8,5,FALSE))</f>
        <v/>
      </c>
      <c r="AF65" s="520" t="str">
        <f t="shared" si="3"/>
        <v/>
      </c>
      <c r="AG65" s="520" t="str">
        <f t="shared" si="6"/>
        <v/>
      </c>
      <c r="AH65" s="524" t="str">
        <f t="shared" si="4"/>
        <v/>
      </c>
      <c r="AI65" s="145"/>
      <c r="AJ65" s="499" t="str">
        <f>IF(AI65="","",IF(VLOOKUP(AI65,'G-7 Rivers Data'!$AA$4:$AB$7,2,FALSE)=0,"Spatial Data Missing ⚠",VLOOKUP(AI65,'G-7 Rivers Data'!$AA$4:$AB$7,2,FALSE)))</f>
        <v/>
      </c>
      <c r="AK65" s="155"/>
      <c r="AL65" s="536" t="str">
        <f>IF(AK65="","",IF(VLOOKUP(AK65,'G-7 Rivers Data'!$AD$4:$AE$8,2,FALSE)=0,"Spatial Data Missing ⚠",VLOOKUP(AK65,'G-7 Rivers Data'!$AD$4:$AE$8,2,FALSE)))</f>
        <v/>
      </c>
      <c r="AM65" s="154"/>
      <c r="AN65" s="524" t="str">
        <f>IF(AM65="","",VLOOKUP(AM65,'G-7 Rivers Data'!$AO$4:$AP$7,2,FALSE))</f>
        <v/>
      </c>
      <c r="AO65" s="545" t="str">
        <f t="shared" si="7"/>
        <v/>
      </c>
      <c r="AP65" s="149"/>
      <c r="AQ65" s="150"/>
      <c r="AX65" s="31" t="str">
        <f>IFERROR(INDEX('G-7 Rivers Data'!$AZ$3:$AZ$7,MATCH(N65,'G-7 Rivers Data'!$AY$3:$AY$7,0)),"")</f>
        <v/>
      </c>
    </row>
    <row r="66" spans="2:50" ht="13.8" x14ac:dyDescent="0.25">
      <c r="B66" s="531" t="str">
        <f>'F-1 Off Site River Baseline'!AN64</f>
        <v/>
      </c>
      <c r="C66" s="520" t="str">
        <f>IF(B66="","",VLOOKUP($B66,'F-1 Off Site River Baseline'!$C$9:$R$257,2,FALSE))</f>
        <v/>
      </c>
      <c r="D66" s="520" t="str">
        <f>IF(C66="","",VLOOKUP($B66,'F-1 Off Site River Baseline'!$C$9:$R$257,3,FALSE))</f>
        <v/>
      </c>
      <c r="E66" s="520" t="str">
        <f>IF(D66="","",VLOOKUP($B66,'F-1 Off Site River Baseline'!$C$9:$R$257,4,FALSE))</f>
        <v/>
      </c>
      <c r="F66" s="520" t="str">
        <f>IF(E66="","",VLOOKUP($B66,'F-1 Off Site River Baseline'!$C$9:$R$257,5,FALSE))</f>
        <v/>
      </c>
      <c r="G66" s="520" t="str">
        <f>IF(F66="","",VLOOKUP($B66,'F-1 Off Site River Baseline'!$C$9:$R$257,6,FALSE))</f>
        <v/>
      </c>
      <c r="H66" s="520" t="str">
        <f>IF(G66="","",VLOOKUP($B66,'F-1 Off Site River Baseline'!$C$9:$R$257,7,FALSE))</f>
        <v/>
      </c>
      <c r="I66" s="520" t="str">
        <f>IF(H66="","",VLOOKUP($B66,'F-1 Off Site River Baseline'!$C$9:$R$257,8,FALSE))</f>
        <v/>
      </c>
      <c r="J66" s="520" t="str">
        <f>IF(I66="","",VLOOKUP($B66,'F-1 Off Site River Baseline'!$C$9:$R$257,9,FALSE))</f>
        <v/>
      </c>
      <c r="K66" s="520" t="str">
        <f>IF(J66="","",VLOOKUP($B66,'F-1 Off Site River Baseline'!$C$9:$R$257,10,FALSE))</f>
        <v/>
      </c>
      <c r="L66" s="520" t="str">
        <f>IF(B66="","",VLOOKUP($B66,'C-1 Site River Baseline'!$C$9:$R$257,15,FALSE))</f>
        <v/>
      </c>
      <c r="M66" s="524" t="str">
        <f>IF(L66="","",VLOOKUP($B66,'F-1 Off Site River Baseline'!$C$9:$R$257,16,FALSE))</f>
        <v/>
      </c>
      <c r="N66" s="418" t="str">
        <f t="shared" si="0"/>
        <v/>
      </c>
      <c r="O66" s="498" t="str">
        <f t="shared" si="5"/>
        <v/>
      </c>
      <c r="P66" s="499"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5" t="str">
        <f>IF(N66="","",VLOOKUP(B66,'F-1 Off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20" t="str">
        <f>IF(V66="","",IF(VLOOKUP(V66,'G-7 Rivers Data'!$AG$4:$AI$9,2,FALSE)=0,"Spatial Data Missing ⚠",VLOOKUP(V66,'G-7 Rivers Data'!$AG$4:$AI$9,2,FALSE)))</f>
        <v/>
      </c>
      <c r="X66" s="524" t="str">
        <f>IF(V66="","",IF(VLOOKUP(V66,'G-7 Rivers Data'!$AG$4:$AI$9,3,FALSE)=0,"Spatial Data Missing ⚠",VLOOKUP(V66,'G-7 Rivers Data'!$AG$4:$AI$9,3,FALSE)))</f>
        <v/>
      </c>
      <c r="Y66" s="537" t="str">
        <f>IFERROR(IF(OR(LEFT(P66,5)="Error ▲",LEFT(O66,5)="Error ▲"),"Check Data ⚠",IF(F66&lt;S66,'G-7 Rivers Data'!$R$3,INDEX('G-7 Rivers Data'!$U$5:$Y$9,MATCH(G66,'G-7 Rivers Data'!$T$5:$T$9,0),MATCH(T66,'G-7 Rivers Data'!$U$4:$Y$4,0)))),"")</f>
        <v/>
      </c>
      <c r="Z66" s="203"/>
      <c r="AA66" s="203"/>
      <c r="AB66" s="534" t="str">
        <f t="shared" si="1"/>
        <v/>
      </c>
      <c r="AC66" s="521" t="str">
        <f t="shared" si="2"/>
        <v/>
      </c>
      <c r="AD66" s="564" t="str">
        <f>IFERROR(IF(AC66="Check Data ⚠","Check Data ⚠",VLOOKUP(AC66,'G-4 Temporal multipliers'!$A$4:$C$37,3,FALSE)),"")</f>
        <v/>
      </c>
      <c r="AE66" s="537" t="str">
        <f>IF(N66="","",VLOOKUP(N66,'G-7 Rivers Data'!$B$4:$G$8,5,FALSE))</f>
        <v/>
      </c>
      <c r="AF66" s="520" t="str">
        <f t="shared" si="3"/>
        <v/>
      </c>
      <c r="AG66" s="520" t="str">
        <f t="shared" si="6"/>
        <v/>
      </c>
      <c r="AH66" s="524" t="str">
        <f t="shared" si="4"/>
        <v/>
      </c>
      <c r="AI66" s="145"/>
      <c r="AJ66" s="499" t="str">
        <f>IF(AI66="","",IF(VLOOKUP(AI66,'G-7 Rivers Data'!$AA$4:$AB$7,2,FALSE)=0,"Spatial Data Missing ⚠",VLOOKUP(AI66,'G-7 Rivers Data'!$AA$4:$AB$7,2,FALSE)))</f>
        <v/>
      </c>
      <c r="AK66" s="155"/>
      <c r="AL66" s="536" t="str">
        <f>IF(AK66="","",IF(VLOOKUP(AK66,'G-7 Rivers Data'!$AD$4:$AE$8,2,FALSE)=0,"Spatial Data Missing ⚠",VLOOKUP(AK66,'G-7 Rivers Data'!$AD$4:$AE$8,2,FALSE)))</f>
        <v/>
      </c>
      <c r="AM66" s="154"/>
      <c r="AN66" s="524" t="str">
        <f>IF(AM66="","",VLOOKUP(AM66,'G-7 Rivers Data'!$AO$4:$AP$7,2,FALSE))</f>
        <v/>
      </c>
      <c r="AO66" s="545" t="str">
        <f t="shared" si="7"/>
        <v/>
      </c>
      <c r="AP66" s="149"/>
      <c r="AQ66" s="150"/>
      <c r="AX66" s="31" t="str">
        <f>IFERROR(INDEX('G-7 Rivers Data'!$AZ$3:$AZ$7,MATCH(N66,'G-7 Rivers Data'!$AY$3:$AY$7,0)),"")</f>
        <v/>
      </c>
    </row>
    <row r="67" spans="2:50" ht="13.8" x14ac:dyDescent="0.25">
      <c r="B67" s="531" t="str">
        <f>'F-1 Off Site River Baseline'!AN65</f>
        <v/>
      </c>
      <c r="C67" s="520" t="str">
        <f>IF(B67="","",VLOOKUP($B67,'F-1 Off Site River Baseline'!$C$9:$R$257,2,FALSE))</f>
        <v/>
      </c>
      <c r="D67" s="520" t="str">
        <f>IF(C67="","",VLOOKUP($B67,'F-1 Off Site River Baseline'!$C$9:$R$257,3,FALSE))</f>
        <v/>
      </c>
      <c r="E67" s="520" t="str">
        <f>IF(D67="","",VLOOKUP($B67,'F-1 Off Site River Baseline'!$C$9:$R$257,4,FALSE))</f>
        <v/>
      </c>
      <c r="F67" s="520" t="str">
        <f>IF(E67="","",VLOOKUP($B67,'F-1 Off Site River Baseline'!$C$9:$R$257,5,FALSE))</f>
        <v/>
      </c>
      <c r="G67" s="520" t="str">
        <f>IF(F67="","",VLOOKUP($B67,'F-1 Off Site River Baseline'!$C$9:$R$257,6,FALSE))</f>
        <v/>
      </c>
      <c r="H67" s="520" t="str">
        <f>IF(G67="","",VLOOKUP($B67,'F-1 Off Site River Baseline'!$C$9:$R$257,7,FALSE))</f>
        <v/>
      </c>
      <c r="I67" s="520" t="str">
        <f>IF(H67="","",VLOOKUP($B67,'F-1 Off Site River Baseline'!$C$9:$R$257,8,FALSE))</f>
        <v/>
      </c>
      <c r="J67" s="520" t="str">
        <f>IF(I67="","",VLOOKUP($B67,'F-1 Off Site River Baseline'!$C$9:$R$257,9,FALSE))</f>
        <v/>
      </c>
      <c r="K67" s="520" t="str">
        <f>IF(J67="","",VLOOKUP($B67,'F-1 Off Site River Baseline'!$C$9:$R$257,10,FALSE))</f>
        <v/>
      </c>
      <c r="L67" s="520" t="str">
        <f>IF(B67="","",VLOOKUP($B67,'C-1 Site River Baseline'!$C$9:$R$257,15,FALSE))</f>
        <v/>
      </c>
      <c r="M67" s="524" t="str">
        <f>IF(L67="","",VLOOKUP($B67,'F-1 Off Site River Baseline'!$C$9:$R$257,16,FALSE))</f>
        <v/>
      </c>
      <c r="N67" s="418" t="str">
        <f t="shared" si="0"/>
        <v/>
      </c>
      <c r="O67" s="498" t="str">
        <f t="shared" si="5"/>
        <v/>
      </c>
      <c r="P67" s="499"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5" t="str">
        <f>IF(N67="","",VLOOKUP(B67,'F-1 Off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20" t="str">
        <f>IF(V67="","",IF(VLOOKUP(V67,'G-7 Rivers Data'!$AG$4:$AI$9,2,FALSE)=0,"Spatial Data Missing ⚠",VLOOKUP(V67,'G-7 Rivers Data'!$AG$4:$AI$9,2,FALSE)))</f>
        <v/>
      </c>
      <c r="X67" s="524" t="str">
        <f>IF(V67="","",IF(VLOOKUP(V67,'G-7 Rivers Data'!$AG$4:$AI$9,3,FALSE)=0,"Spatial Data Missing ⚠",VLOOKUP(V67,'G-7 Rivers Data'!$AG$4:$AI$9,3,FALSE)))</f>
        <v/>
      </c>
      <c r="Y67" s="537" t="str">
        <f>IFERROR(IF(OR(LEFT(P67,5)="Error ▲",LEFT(O67,5)="Error ▲"),"Check Data ⚠",IF(F67&lt;S67,'G-7 Rivers Data'!$R$3,INDEX('G-7 Rivers Data'!$U$5:$Y$9,MATCH(G67,'G-7 Rivers Data'!$T$5:$T$9,0),MATCH(T67,'G-7 Rivers Data'!$U$4:$Y$4,0)))),"")</f>
        <v/>
      </c>
      <c r="Z67" s="203"/>
      <c r="AA67" s="203"/>
      <c r="AB67" s="534" t="str">
        <f t="shared" si="1"/>
        <v/>
      </c>
      <c r="AC67" s="521" t="str">
        <f t="shared" si="2"/>
        <v/>
      </c>
      <c r="AD67" s="564" t="str">
        <f>IFERROR(IF(AC67="Check Data ⚠","Check Data ⚠",VLOOKUP(AC67,'G-4 Temporal multipliers'!$A$4:$C$37,3,FALSE)),"")</f>
        <v/>
      </c>
      <c r="AE67" s="537" t="str">
        <f>IF(N67="","",VLOOKUP(N67,'G-7 Rivers Data'!$B$4:$G$8,5,FALSE))</f>
        <v/>
      </c>
      <c r="AF67" s="520" t="str">
        <f t="shared" si="3"/>
        <v/>
      </c>
      <c r="AG67" s="520" t="str">
        <f t="shared" si="6"/>
        <v/>
      </c>
      <c r="AH67" s="524" t="str">
        <f t="shared" si="4"/>
        <v/>
      </c>
      <c r="AI67" s="145"/>
      <c r="AJ67" s="499" t="str">
        <f>IF(AI67="","",IF(VLOOKUP(AI67,'G-7 Rivers Data'!$AA$4:$AB$7,2,FALSE)=0,"Spatial Data Missing ⚠",VLOOKUP(AI67,'G-7 Rivers Data'!$AA$4:$AB$7,2,FALSE)))</f>
        <v/>
      </c>
      <c r="AK67" s="155"/>
      <c r="AL67" s="536" t="str">
        <f>IF(AK67="","",IF(VLOOKUP(AK67,'G-7 Rivers Data'!$AD$4:$AE$8,2,FALSE)=0,"Spatial Data Missing ⚠",VLOOKUP(AK67,'G-7 Rivers Data'!$AD$4:$AE$8,2,FALSE)))</f>
        <v/>
      </c>
      <c r="AM67" s="154"/>
      <c r="AN67" s="524" t="str">
        <f>IF(AM67="","",VLOOKUP(AM67,'G-7 Rivers Data'!$AO$4:$AP$7,2,FALSE))</f>
        <v/>
      </c>
      <c r="AO67" s="545" t="str">
        <f t="shared" si="7"/>
        <v/>
      </c>
      <c r="AP67" s="149"/>
      <c r="AQ67" s="150"/>
      <c r="AX67" s="31" t="str">
        <f>IFERROR(INDEX('G-7 Rivers Data'!$AZ$3:$AZ$7,MATCH(N67,'G-7 Rivers Data'!$AY$3:$AY$7,0)),"")</f>
        <v/>
      </c>
    </row>
    <row r="68" spans="2:50" ht="13.8" x14ac:dyDescent="0.25">
      <c r="B68" s="531" t="str">
        <f>'F-1 Off Site River Baseline'!AN66</f>
        <v/>
      </c>
      <c r="C68" s="520" t="str">
        <f>IF(B68="","",VLOOKUP($B68,'F-1 Off Site River Baseline'!$C$9:$R$257,2,FALSE))</f>
        <v/>
      </c>
      <c r="D68" s="520" t="str">
        <f>IF(C68="","",VLOOKUP($B68,'F-1 Off Site River Baseline'!$C$9:$R$257,3,FALSE))</f>
        <v/>
      </c>
      <c r="E68" s="520" t="str">
        <f>IF(D68="","",VLOOKUP($B68,'F-1 Off Site River Baseline'!$C$9:$R$257,4,FALSE))</f>
        <v/>
      </c>
      <c r="F68" s="520" t="str">
        <f>IF(E68="","",VLOOKUP($B68,'F-1 Off Site River Baseline'!$C$9:$R$257,5,FALSE))</f>
        <v/>
      </c>
      <c r="G68" s="520" t="str">
        <f>IF(F68="","",VLOOKUP($B68,'F-1 Off Site River Baseline'!$C$9:$R$257,6,FALSE))</f>
        <v/>
      </c>
      <c r="H68" s="520" t="str">
        <f>IF(G68="","",VLOOKUP($B68,'F-1 Off Site River Baseline'!$C$9:$R$257,7,FALSE))</f>
        <v/>
      </c>
      <c r="I68" s="520" t="str">
        <f>IF(H68="","",VLOOKUP($B68,'F-1 Off Site River Baseline'!$C$9:$R$257,8,FALSE))</f>
        <v/>
      </c>
      <c r="J68" s="520" t="str">
        <f>IF(I68="","",VLOOKUP($B68,'F-1 Off Site River Baseline'!$C$9:$R$257,9,FALSE))</f>
        <v/>
      </c>
      <c r="K68" s="520" t="str">
        <f>IF(J68="","",VLOOKUP($B68,'F-1 Off Site River Baseline'!$C$9:$R$257,10,FALSE))</f>
        <v/>
      </c>
      <c r="L68" s="520" t="str">
        <f>IF(B68="","",VLOOKUP($B68,'C-1 Site River Baseline'!$C$9:$R$257,15,FALSE))</f>
        <v/>
      </c>
      <c r="M68" s="524" t="str">
        <f>IF(L68="","",VLOOKUP($B68,'F-1 Off Site River Baseline'!$C$9:$R$257,16,FALSE))</f>
        <v/>
      </c>
      <c r="N68" s="418" t="str">
        <f t="shared" si="0"/>
        <v/>
      </c>
      <c r="O68" s="498" t="str">
        <f t="shared" si="5"/>
        <v/>
      </c>
      <c r="P68" s="499"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5" t="str">
        <f>IF(N68="","",VLOOKUP(B68,'F-1 Off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20" t="str">
        <f>IF(V68="","",IF(VLOOKUP(V68,'G-7 Rivers Data'!$AG$4:$AI$9,2,FALSE)=0,"Spatial Data Missing ⚠",VLOOKUP(V68,'G-7 Rivers Data'!$AG$4:$AI$9,2,FALSE)))</f>
        <v/>
      </c>
      <c r="X68" s="524" t="str">
        <f>IF(V68="","",IF(VLOOKUP(V68,'G-7 Rivers Data'!$AG$4:$AI$9,3,FALSE)=0,"Spatial Data Missing ⚠",VLOOKUP(V68,'G-7 Rivers Data'!$AG$4:$AI$9,3,FALSE)))</f>
        <v/>
      </c>
      <c r="Y68" s="537" t="str">
        <f>IFERROR(IF(OR(LEFT(P68,5)="Error ▲",LEFT(O68,5)="Error ▲"),"Check Data ⚠",IF(F68&lt;S68,'G-7 Rivers Data'!$R$3,INDEX('G-7 Rivers Data'!$U$5:$Y$9,MATCH(G68,'G-7 Rivers Data'!$T$5:$T$9,0),MATCH(T68,'G-7 Rivers Data'!$U$4:$Y$4,0)))),"")</f>
        <v/>
      </c>
      <c r="Z68" s="203"/>
      <c r="AA68" s="203"/>
      <c r="AB68" s="534" t="str">
        <f t="shared" si="1"/>
        <v/>
      </c>
      <c r="AC68" s="521" t="str">
        <f t="shared" si="2"/>
        <v/>
      </c>
      <c r="AD68" s="564" t="str">
        <f>IFERROR(IF(AC68="Check Data ⚠","Check Data ⚠",VLOOKUP(AC68,'G-4 Temporal multipliers'!$A$4:$C$37,3,FALSE)),"")</f>
        <v/>
      </c>
      <c r="AE68" s="537" t="str">
        <f>IF(N68="","",VLOOKUP(N68,'G-7 Rivers Data'!$B$4:$G$8,5,FALSE))</f>
        <v/>
      </c>
      <c r="AF68" s="520" t="str">
        <f t="shared" si="3"/>
        <v/>
      </c>
      <c r="AG68" s="520" t="str">
        <f t="shared" si="6"/>
        <v/>
      </c>
      <c r="AH68" s="524" t="str">
        <f t="shared" si="4"/>
        <v/>
      </c>
      <c r="AI68" s="145"/>
      <c r="AJ68" s="499" t="str">
        <f>IF(AI68="","",IF(VLOOKUP(AI68,'G-7 Rivers Data'!$AA$4:$AB$7,2,FALSE)=0,"Spatial Data Missing ⚠",VLOOKUP(AI68,'G-7 Rivers Data'!$AA$4:$AB$7,2,FALSE)))</f>
        <v/>
      </c>
      <c r="AK68" s="155"/>
      <c r="AL68" s="536" t="str">
        <f>IF(AK68="","",IF(VLOOKUP(AK68,'G-7 Rivers Data'!$AD$4:$AE$8,2,FALSE)=0,"Spatial Data Missing ⚠",VLOOKUP(AK68,'G-7 Rivers Data'!$AD$4:$AE$8,2,FALSE)))</f>
        <v/>
      </c>
      <c r="AM68" s="154"/>
      <c r="AN68" s="524" t="str">
        <f>IF(AM68="","",VLOOKUP(AM68,'G-7 Rivers Data'!$AO$4:$AP$7,2,FALSE))</f>
        <v/>
      </c>
      <c r="AO68" s="545" t="str">
        <f t="shared" si="7"/>
        <v/>
      </c>
      <c r="AP68" s="149"/>
      <c r="AQ68" s="150"/>
      <c r="AX68" s="31" t="str">
        <f>IFERROR(INDEX('G-7 Rivers Data'!$AZ$3:$AZ$7,MATCH(N68,'G-7 Rivers Data'!$AY$3:$AY$7,0)),"")</f>
        <v/>
      </c>
    </row>
    <row r="69" spans="2:50" ht="13.8" x14ac:dyDescent="0.25">
      <c r="B69" s="531" t="str">
        <f>'F-1 Off Site River Baseline'!AN67</f>
        <v/>
      </c>
      <c r="C69" s="520" t="str">
        <f>IF(B69="","",VLOOKUP($B69,'F-1 Off Site River Baseline'!$C$9:$R$257,2,FALSE))</f>
        <v/>
      </c>
      <c r="D69" s="520" t="str">
        <f>IF(C69="","",VLOOKUP($B69,'F-1 Off Site River Baseline'!$C$9:$R$257,3,FALSE))</f>
        <v/>
      </c>
      <c r="E69" s="520" t="str">
        <f>IF(D69="","",VLOOKUP($B69,'F-1 Off Site River Baseline'!$C$9:$R$257,4,FALSE))</f>
        <v/>
      </c>
      <c r="F69" s="520" t="str">
        <f>IF(E69="","",VLOOKUP($B69,'F-1 Off Site River Baseline'!$C$9:$R$257,5,FALSE))</f>
        <v/>
      </c>
      <c r="G69" s="520" t="str">
        <f>IF(F69="","",VLOOKUP($B69,'F-1 Off Site River Baseline'!$C$9:$R$257,6,FALSE))</f>
        <v/>
      </c>
      <c r="H69" s="520" t="str">
        <f>IF(G69="","",VLOOKUP($B69,'F-1 Off Site River Baseline'!$C$9:$R$257,7,FALSE))</f>
        <v/>
      </c>
      <c r="I69" s="520" t="str">
        <f>IF(H69="","",VLOOKUP($B69,'F-1 Off Site River Baseline'!$C$9:$R$257,8,FALSE))</f>
        <v/>
      </c>
      <c r="J69" s="520" t="str">
        <f>IF(I69="","",VLOOKUP($B69,'F-1 Off Site River Baseline'!$C$9:$R$257,9,FALSE))</f>
        <v/>
      </c>
      <c r="K69" s="520" t="str">
        <f>IF(J69="","",VLOOKUP($B69,'F-1 Off Site River Baseline'!$C$9:$R$257,10,FALSE))</f>
        <v/>
      </c>
      <c r="L69" s="520" t="str">
        <f>IF(B69="","",VLOOKUP($B69,'C-1 Site River Baseline'!$C$9:$R$257,15,FALSE))</f>
        <v/>
      </c>
      <c r="M69" s="524" t="str">
        <f>IF(L69="","",VLOOKUP($B69,'F-1 Off Site River Baseline'!$C$9:$R$257,16,FALSE))</f>
        <v/>
      </c>
      <c r="N69" s="418" t="str">
        <f t="shared" si="0"/>
        <v/>
      </c>
      <c r="O69" s="498" t="str">
        <f t="shared" si="5"/>
        <v/>
      </c>
      <c r="P69" s="499"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5" t="str">
        <f>IF(N69="","",VLOOKUP(B69,'F-1 Off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20" t="str">
        <f>IF(V69="","",IF(VLOOKUP(V69,'G-7 Rivers Data'!$AG$4:$AI$9,2,FALSE)=0,"Spatial Data Missing ⚠",VLOOKUP(V69,'G-7 Rivers Data'!$AG$4:$AI$9,2,FALSE)))</f>
        <v/>
      </c>
      <c r="X69" s="524" t="str">
        <f>IF(V69="","",IF(VLOOKUP(V69,'G-7 Rivers Data'!$AG$4:$AI$9,3,FALSE)=0,"Spatial Data Missing ⚠",VLOOKUP(V69,'G-7 Rivers Data'!$AG$4:$AI$9,3,FALSE)))</f>
        <v/>
      </c>
      <c r="Y69" s="537" t="str">
        <f>IFERROR(IF(OR(LEFT(P69,5)="Error ▲",LEFT(O69,5)="Error ▲"),"Check Data ⚠",IF(F69&lt;S69,'G-7 Rivers Data'!$R$3,INDEX('G-7 Rivers Data'!$U$5:$Y$9,MATCH(G69,'G-7 Rivers Data'!$T$5:$T$9,0),MATCH(T69,'G-7 Rivers Data'!$U$4:$Y$4,0)))),"")</f>
        <v/>
      </c>
      <c r="Z69" s="203"/>
      <c r="AA69" s="203"/>
      <c r="AB69" s="534" t="str">
        <f t="shared" si="1"/>
        <v/>
      </c>
      <c r="AC69" s="521" t="str">
        <f t="shared" si="2"/>
        <v/>
      </c>
      <c r="AD69" s="564" t="str">
        <f>IFERROR(IF(AC69="Check Data ⚠","Check Data ⚠",VLOOKUP(AC69,'G-4 Temporal multipliers'!$A$4:$C$37,3,FALSE)),"")</f>
        <v/>
      </c>
      <c r="AE69" s="537" t="str">
        <f>IF(N69="","",VLOOKUP(N69,'G-7 Rivers Data'!$B$4:$G$8,5,FALSE))</f>
        <v/>
      </c>
      <c r="AF69" s="520" t="str">
        <f t="shared" si="3"/>
        <v/>
      </c>
      <c r="AG69" s="520" t="str">
        <f t="shared" si="6"/>
        <v/>
      </c>
      <c r="AH69" s="524" t="str">
        <f t="shared" si="4"/>
        <v/>
      </c>
      <c r="AI69" s="145"/>
      <c r="AJ69" s="499" t="str">
        <f>IF(AI69="","",IF(VLOOKUP(AI69,'G-7 Rivers Data'!$AA$4:$AB$7,2,FALSE)=0,"Spatial Data Missing ⚠",VLOOKUP(AI69,'G-7 Rivers Data'!$AA$4:$AB$7,2,FALSE)))</f>
        <v/>
      </c>
      <c r="AK69" s="155"/>
      <c r="AL69" s="536" t="str">
        <f>IF(AK69="","",IF(VLOOKUP(AK69,'G-7 Rivers Data'!$AD$4:$AE$8,2,FALSE)=0,"Spatial Data Missing ⚠",VLOOKUP(AK69,'G-7 Rivers Data'!$AD$4:$AE$8,2,FALSE)))</f>
        <v/>
      </c>
      <c r="AM69" s="154"/>
      <c r="AN69" s="524" t="str">
        <f>IF(AM69="","",VLOOKUP(AM69,'G-7 Rivers Data'!$AO$4:$AP$7,2,FALSE))</f>
        <v/>
      </c>
      <c r="AO69" s="545" t="str">
        <f t="shared" si="7"/>
        <v/>
      </c>
      <c r="AP69" s="149"/>
      <c r="AQ69" s="150"/>
      <c r="AX69" s="31" t="str">
        <f>IFERROR(INDEX('G-7 Rivers Data'!$AZ$3:$AZ$7,MATCH(N69,'G-7 Rivers Data'!$AY$3:$AY$7,0)),"")</f>
        <v/>
      </c>
    </row>
    <row r="70" spans="2:50" ht="13.8" x14ac:dyDescent="0.25">
      <c r="B70" s="531" t="str">
        <f>'F-1 Off Site River Baseline'!AN68</f>
        <v/>
      </c>
      <c r="C70" s="520" t="str">
        <f>IF(B70="","",VLOOKUP($B70,'F-1 Off Site River Baseline'!$C$9:$R$257,2,FALSE))</f>
        <v/>
      </c>
      <c r="D70" s="520" t="str">
        <f>IF(C70="","",VLOOKUP($B70,'F-1 Off Site River Baseline'!$C$9:$R$257,3,FALSE))</f>
        <v/>
      </c>
      <c r="E70" s="520" t="str">
        <f>IF(D70="","",VLOOKUP($B70,'F-1 Off Site River Baseline'!$C$9:$R$257,4,FALSE))</f>
        <v/>
      </c>
      <c r="F70" s="520" t="str">
        <f>IF(E70="","",VLOOKUP($B70,'F-1 Off Site River Baseline'!$C$9:$R$257,5,FALSE))</f>
        <v/>
      </c>
      <c r="G70" s="520" t="str">
        <f>IF(F70="","",VLOOKUP($B70,'F-1 Off Site River Baseline'!$C$9:$R$257,6,FALSE))</f>
        <v/>
      </c>
      <c r="H70" s="520" t="str">
        <f>IF(G70="","",VLOOKUP($B70,'F-1 Off Site River Baseline'!$C$9:$R$257,7,FALSE))</f>
        <v/>
      </c>
      <c r="I70" s="520" t="str">
        <f>IF(H70="","",VLOOKUP($B70,'F-1 Off Site River Baseline'!$C$9:$R$257,8,FALSE))</f>
        <v/>
      </c>
      <c r="J70" s="520" t="str">
        <f>IF(I70="","",VLOOKUP($B70,'F-1 Off Site River Baseline'!$C$9:$R$257,9,FALSE))</f>
        <v/>
      </c>
      <c r="K70" s="520" t="str">
        <f>IF(J70="","",VLOOKUP($B70,'F-1 Off Site River Baseline'!$C$9:$R$257,10,FALSE))</f>
        <v/>
      </c>
      <c r="L70" s="520" t="str">
        <f>IF(B70="","",VLOOKUP($B70,'C-1 Site River Baseline'!$C$9:$R$257,15,FALSE))</f>
        <v/>
      </c>
      <c r="M70" s="524" t="str">
        <f>IF(L70="","",VLOOKUP($B70,'F-1 Off Site River Baseline'!$C$9:$R$257,16,FALSE))</f>
        <v/>
      </c>
      <c r="N70" s="418" t="str">
        <f t="shared" si="0"/>
        <v/>
      </c>
      <c r="O70" s="498" t="str">
        <f t="shared" si="5"/>
        <v/>
      </c>
      <c r="P70" s="499"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5" t="str">
        <f>IF(N70="","",VLOOKUP(B70,'F-1 Off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20" t="str">
        <f>IF(V70="","",IF(VLOOKUP(V70,'G-7 Rivers Data'!$AG$4:$AI$9,2,FALSE)=0,"Spatial Data Missing ⚠",VLOOKUP(V70,'G-7 Rivers Data'!$AG$4:$AI$9,2,FALSE)))</f>
        <v/>
      </c>
      <c r="X70" s="524" t="str">
        <f>IF(V70="","",IF(VLOOKUP(V70,'G-7 Rivers Data'!$AG$4:$AI$9,3,FALSE)=0,"Spatial Data Missing ⚠",VLOOKUP(V70,'G-7 Rivers Data'!$AG$4:$AI$9,3,FALSE)))</f>
        <v/>
      </c>
      <c r="Y70" s="537" t="str">
        <f>IFERROR(IF(OR(LEFT(P70,5)="Error ▲",LEFT(O70,5)="Error ▲"),"Check Data ⚠",IF(F70&lt;S70,'G-7 Rivers Data'!$R$3,INDEX('G-7 Rivers Data'!$U$5:$Y$9,MATCH(G70,'G-7 Rivers Data'!$T$5:$T$9,0),MATCH(T70,'G-7 Rivers Data'!$U$4:$Y$4,0)))),"")</f>
        <v/>
      </c>
      <c r="Z70" s="203"/>
      <c r="AA70" s="203"/>
      <c r="AB70" s="534" t="str">
        <f t="shared" si="1"/>
        <v/>
      </c>
      <c r="AC70" s="521" t="str">
        <f t="shared" si="2"/>
        <v/>
      </c>
      <c r="AD70" s="564" t="str">
        <f>IFERROR(IF(AC70="Check Data ⚠","Check Data ⚠",VLOOKUP(AC70,'G-4 Temporal multipliers'!$A$4:$C$37,3,FALSE)),"")</f>
        <v/>
      </c>
      <c r="AE70" s="537" t="str">
        <f>IF(N70="","",VLOOKUP(N70,'G-7 Rivers Data'!$B$4:$G$8,5,FALSE))</f>
        <v/>
      </c>
      <c r="AF70" s="520" t="str">
        <f t="shared" si="3"/>
        <v/>
      </c>
      <c r="AG70" s="520" t="str">
        <f t="shared" si="6"/>
        <v/>
      </c>
      <c r="AH70" s="524" t="str">
        <f t="shared" si="4"/>
        <v/>
      </c>
      <c r="AI70" s="145"/>
      <c r="AJ70" s="499" t="str">
        <f>IF(AI70="","",IF(VLOOKUP(AI70,'G-7 Rivers Data'!$AA$4:$AB$7,2,FALSE)=0,"Spatial Data Missing ⚠",VLOOKUP(AI70,'G-7 Rivers Data'!$AA$4:$AB$7,2,FALSE)))</f>
        <v/>
      </c>
      <c r="AK70" s="155"/>
      <c r="AL70" s="536" t="str">
        <f>IF(AK70="","",IF(VLOOKUP(AK70,'G-7 Rivers Data'!$AD$4:$AE$8,2,FALSE)=0,"Spatial Data Missing ⚠",VLOOKUP(AK70,'G-7 Rivers Data'!$AD$4:$AE$8,2,FALSE)))</f>
        <v/>
      </c>
      <c r="AM70" s="154"/>
      <c r="AN70" s="524" t="str">
        <f>IF(AM70="","",VLOOKUP(AM70,'G-7 Rivers Data'!$AO$4:$AP$7,2,FALSE))</f>
        <v/>
      </c>
      <c r="AO70" s="545" t="str">
        <f t="shared" si="7"/>
        <v/>
      </c>
      <c r="AP70" s="149"/>
      <c r="AQ70" s="150"/>
      <c r="AX70" s="31" t="str">
        <f>IFERROR(INDEX('G-7 Rivers Data'!$AZ$3:$AZ$7,MATCH(N70,'G-7 Rivers Data'!$AY$3:$AY$7,0)),"")</f>
        <v/>
      </c>
    </row>
    <row r="71" spans="2:50" ht="13.8" x14ac:dyDescent="0.25">
      <c r="B71" s="531" t="str">
        <f>'F-1 Off Site River Baseline'!AN69</f>
        <v/>
      </c>
      <c r="C71" s="520" t="str">
        <f>IF(B71="","",VLOOKUP($B71,'F-1 Off Site River Baseline'!$C$9:$R$257,2,FALSE))</f>
        <v/>
      </c>
      <c r="D71" s="520" t="str">
        <f>IF(C71="","",VLOOKUP($B71,'F-1 Off Site River Baseline'!$C$9:$R$257,3,FALSE))</f>
        <v/>
      </c>
      <c r="E71" s="520" t="str">
        <f>IF(D71="","",VLOOKUP($B71,'F-1 Off Site River Baseline'!$C$9:$R$257,4,FALSE))</f>
        <v/>
      </c>
      <c r="F71" s="520" t="str">
        <f>IF(E71="","",VLOOKUP($B71,'F-1 Off Site River Baseline'!$C$9:$R$257,5,FALSE))</f>
        <v/>
      </c>
      <c r="G71" s="520" t="str">
        <f>IF(F71="","",VLOOKUP($B71,'F-1 Off Site River Baseline'!$C$9:$R$257,6,FALSE))</f>
        <v/>
      </c>
      <c r="H71" s="520" t="str">
        <f>IF(G71="","",VLOOKUP($B71,'F-1 Off Site River Baseline'!$C$9:$R$257,7,FALSE))</f>
        <v/>
      </c>
      <c r="I71" s="520" t="str">
        <f>IF(H71="","",VLOOKUP($B71,'F-1 Off Site River Baseline'!$C$9:$R$257,8,FALSE))</f>
        <v/>
      </c>
      <c r="J71" s="520" t="str">
        <f>IF(I71="","",VLOOKUP($B71,'F-1 Off Site River Baseline'!$C$9:$R$257,9,FALSE))</f>
        <v/>
      </c>
      <c r="K71" s="520" t="str">
        <f>IF(J71="","",VLOOKUP($B71,'F-1 Off Site River Baseline'!$C$9:$R$257,10,FALSE))</f>
        <v/>
      </c>
      <c r="L71" s="520" t="str">
        <f>IF(B71="","",VLOOKUP($B71,'C-1 Site River Baseline'!$C$9:$R$257,15,FALSE))</f>
        <v/>
      </c>
      <c r="M71" s="524" t="str">
        <f>IF(L71="","",VLOOKUP($B71,'F-1 Off Site River Baseline'!$C$9:$R$257,16,FALSE))</f>
        <v/>
      </c>
      <c r="N71" s="418" t="str">
        <f t="shared" si="0"/>
        <v/>
      </c>
      <c r="O71" s="498" t="str">
        <f t="shared" si="5"/>
        <v/>
      </c>
      <c r="P71" s="499"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5" t="str">
        <f>IF(N71="","",VLOOKUP(B71,'F-1 Off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20" t="str">
        <f>IF(V71="","",IF(VLOOKUP(V71,'G-7 Rivers Data'!$AG$4:$AI$9,2,FALSE)=0,"Spatial Data Missing ⚠",VLOOKUP(V71,'G-7 Rivers Data'!$AG$4:$AI$9,2,FALSE)))</f>
        <v/>
      </c>
      <c r="X71" s="524" t="str">
        <f>IF(V71="","",IF(VLOOKUP(V71,'G-7 Rivers Data'!$AG$4:$AI$9,3,FALSE)=0,"Spatial Data Missing ⚠",VLOOKUP(V71,'G-7 Rivers Data'!$AG$4:$AI$9,3,FALSE)))</f>
        <v/>
      </c>
      <c r="Y71" s="537" t="str">
        <f>IFERROR(IF(OR(LEFT(P71,5)="Error ▲",LEFT(O71,5)="Error ▲"),"Check Data ⚠",IF(F71&lt;S71,'G-7 Rivers Data'!$R$3,INDEX('G-7 Rivers Data'!$U$5:$Y$9,MATCH(G71,'G-7 Rivers Data'!$T$5:$T$9,0),MATCH(T71,'G-7 Rivers Data'!$U$4:$Y$4,0)))),"")</f>
        <v/>
      </c>
      <c r="Z71" s="203"/>
      <c r="AA71" s="203"/>
      <c r="AB71" s="534" t="str">
        <f t="shared" si="1"/>
        <v/>
      </c>
      <c r="AC71" s="521" t="str">
        <f t="shared" si="2"/>
        <v/>
      </c>
      <c r="AD71" s="564" t="str">
        <f>IFERROR(IF(AC71="Check Data ⚠","Check Data ⚠",VLOOKUP(AC71,'G-4 Temporal multipliers'!$A$4:$C$37,3,FALSE)),"")</f>
        <v/>
      </c>
      <c r="AE71" s="537" t="str">
        <f>IF(N71="","",VLOOKUP(N71,'G-7 Rivers Data'!$B$4:$G$8,5,FALSE))</f>
        <v/>
      </c>
      <c r="AF71" s="520" t="str">
        <f t="shared" si="3"/>
        <v/>
      </c>
      <c r="AG71" s="520" t="str">
        <f t="shared" si="6"/>
        <v/>
      </c>
      <c r="AH71" s="524" t="str">
        <f t="shared" si="4"/>
        <v/>
      </c>
      <c r="AI71" s="145"/>
      <c r="AJ71" s="499" t="str">
        <f>IF(AI71="","",IF(VLOOKUP(AI71,'G-7 Rivers Data'!$AA$4:$AB$7,2,FALSE)=0,"Spatial Data Missing ⚠",VLOOKUP(AI71,'G-7 Rivers Data'!$AA$4:$AB$7,2,FALSE)))</f>
        <v/>
      </c>
      <c r="AK71" s="155"/>
      <c r="AL71" s="536" t="str">
        <f>IF(AK71="","",IF(VLOOKUP(AK71,'G-7 Rivers Data'!$AD$4:$AE$8,2,FALSE)=0,"Spatial Data Missing ⚠",VLOOKUP(AK71,'G-7 Rivers Data'!$AD$4:$AE$8,2,FALSE)))</f>
        <v/>
      </c>
      <c r="AM71" s="154"/>
      <c r="AN71" s="524" t="str">
        <f>IF(AM71="","",VLOOKUP(AM71,'G-7 Rivers Data'!$AO$4:$AP$7,2,FALSE))</f>
        <v/>
      </c>
      <c r="AO71" s="545" t="str">
        <f t="shared" si="7"/>
        <v/>
      </c>
      <c r="AP71" s="149"/>
      <c r="AQ71" s="150"/>
      <c r="AX71" s="31" t="str">
        <f>IFERROR(INDEX('G-7 Rivers Data'!$AZ$3:$AZ$7,MATCH(N71,'G-7 Rivers Data'!$AY$3:$AY$7,0)),"")</f>
        <v/>
      </c>
    </row>
    <row r="72" spans="2:50" ht="13.8" x14ac:dyDescent="0.25">
      <c r="B72" s="531" t="str">
        <f>'F-1 Off Site River Baseline'!AN70</f>
        <v/>
      </c>
      <c r="C72" s="520" t="str">
        <f>IF(B72="","",VLOOKUP($B72,'F-1 Off Site River Baseline'!$C$9:$R$257,2,FALSE))</f>
        <v/>
      </c>
      <c r="D72" s="520" t="str">
        <f>IF(C72="","",VLOOKUP($B72,'F-1 Off Site River Baseline'!$C$9:$R$257,3,FALSE))</f>
        <v/>
      </c>
      <c r="E72" s="520" t="str">
        <f>IF(D72="","",VLOOKUP($B72,'F-1 Off Site River Baseline'!$C$9:$R$257,4,FALSE))</f>
        <v/>
      </c>
      <c r="F72" s="520" t="str">
        <f>IF(E72="","",VLOOKUP($B72,'F-1 Off Site River Baseline'!$C$9:$R$257,5,FALSE))</f>
        <v/>
      </c>
      <c r="G72" s="520" t="str">
        <f>IF(F72="","",VLOOKUP($B72,'F-1 Off Site River Baseline'!$C$9:$R$257,6,FALSE))</f>
        <v/>
      </c>
      <c r="H72" s="520" t="str">
        <f>IF(G72="","",VLOOKUP($B72,'F-1 Off Site River Baseline'!$C$9:$R$257,7,FALSE))</f>
        <v/>
      </c>
      <c r="I72" s="520" t="str">
        <f>IF(H72="","",VLOOKUP($B72,'F-1 Off Site River Baseline'!$C$9:$R$257,8,FALSE))</f>
        <v/>
      </c>
      <c r="J72" s="520" t="str">
        <f>IF(I72="","",VLOOKUP($B72,'F-1 Off Site River Baseline'!$C$9:$R$257,9,FALSE))</f>
        <v/>
      </c>
      <c r="K72" s="520" t="str">
        <f>IF(J72="","",VLOOKUP($B72,'F-1 Off Site River Baseline'!$C$9:$R$257,10,FALSE))</f>
        <v/>
      </c>
      <c r="L72" s="520" t="str">
        <f>IF(B72="","",VLOOKUP($B72,'C-1 Site River Baseline'!$C$9:$R$257,15,FALSE))</f>
        <v/>
      </c>
      <c r="M72" s="524" t="str">
        <f>IF(L72="","",VLOOKUP($B72,'F-1 Off Site River Baseline'!$C$9:$R$257,16,FALSE))</f>
        <v/>
      </c>
      <c r="N72" s="418" t="str">
        <f t="shared" si="0"/>
        <v/>
      </c>
      <c r="O72" s="498" t="str">
        <f t="shared" si="5"/>
        <v/>
      </c>
      <c r="P72" s="499"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5" t="str">
        <f>IF(N72="","",VLOOKUP(B72,'F-1 Off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20" t="str">
        <f>IF(V72="","",IF(VLOOKUP(V72,'G-7 Rivers Data'!$AG$4:$AI$9,2,FALSE)=0,"Spatial Data Missing ⚠",VLOOKUP(V72,'G-7 Rivers Data'!$AG$4:$AI$9,2,FALSE)))</f>
        <v/>
      </c>
      <c r="X72" s="524" t="str">
        <f>IF(V72="","",IF(VLOOKUP(V72,'G-7 Rivers Data'!$AG$4:$AI$9,3,FALSE)=0,"Spatial Data Missing ⚠",VLOOKUP(V72,'G-7 Rivers Data'!$AG$4:$AI$9,3,FALSE)))</f>
        <v/>
      </c>
      <c r="Y72" s="537" t="str">
        <f>IFERROR(IF(OR(LEFT(P72,5)="Error ▲",LEFT(O72,5)="Error ▲"),"Check Data ⚠",IF(F72&lt;S72,'G-7 Rivers Data'!$R$3,INDEX('G-7 Rivers Data'!$U$5:$Y$9,MATCH(G72,'G-7 Rivers Data'!$T$5:$T$9,0),MATCH(T72,'G-7 Rivers Data'!$U$4:$Y$4,0)))),"")</f>
        <v/>
      </c>
      <c r="Z72" s="203"/>
      <c r="AA72" s="203"/>
      <c r="AB72" s="534" t="str">
        <f t="shared" si="1"/>
        <v/>
      </c>
      <c r="AC72" s="521" t="str">
        <f t="shared" si="2"/>
        <v/>
      </c>
      <c r="AD72" s="564" t="str">
        <f>IFERROR(IF(AC72="Check Data ⚠","Check Data ⚠",VLOOKUP(AC72,'G-4 Temporal multipliers'!$A$4:$C$37,3,FALSE)),"")</f>
        <v/>
      </c>
      <c r="AE72" s="537" t="str">
        <f>IF(N72="","",VLOOKUP(N72,'G-7 Rivers Data'!$B$4:$G$8,5,FALSE))</f>
        <v/>
      </c>
      <c r="AF72" s="520" t="str">
        <f t="shared" si="3"/>
        <v/>
      </c>
      <c r="AG72" s="520" t="str">
        <f t="shared" si="6"/>
        <v/>
      </c>
      <c r="AH72" s="524" t="str">
        <f t="shared" si="4"/>
        <v/>
      </c>
      <c r="AI72" s="145"/>
      <c r="AJ72" s="499" t="str">
        <f>IF(AI72="","",IF(VLOOKUP(AI72,'G-7 Rivers Data'!$AA$4:$AB$7,2,FALSE)=0,"Spatial Data Missing ⚠",VLOOKUP(AI72,'G-7 Rivers Data'!$AA$4:$AB$7,2,FALSE)))</f>
        <v/>
      </c>
      <c r="AK72" s="155"/>
      <c r="AL72" s="536" t="str">
        <f>IF(AK72="","",IF(VLOOKUP(AK72,'G-7 Rivers Data'!$AD$4:$AE$8,2,FALSE)=0,"Spatial Data Missing ⚠",VLOOKUP(AK72,'G-7 Rivers Data'!$AD$4:$AE$8,2,FALSE)))</f>
        <v/>
      </c>
      <c r="AM72" s="154"/>
      <c r="AN72" s="524" t="str">
        <f>IF(AM72="","",VLOOKUP(AM72,'G-7 Rivers Data'!$AO$4:$AP$7,2,FALSE))</f>
        <v/>
      </c>
      <c r="AO72" s="545" t="str">
        <f t="shared" si="7"/>
        <v/>
      </c>
      <c r="AP72" s="149"/>
      <c r="AQ72" s="150"/>
      <c r="AX72" s="31" t="str">
        <f>IFERROR(INDEX('G-7 Rivers Data'!$AZ$3:$AZ$7,MATCH(N72,'G-7 Rivers Data'!$AY$3:$AY$7,0)),"")</f>
        <v/>
      </c>
    </row>
    <row r="73" spans="2:50" ht="13.8" x14ac:dyDescent="0.25">
      <c r="B73" s="531" t="str">
        <f>'F-1 Off Site River Baseline'!AN71</f>
        <v/>
      </c>
      <c r="C73" s="520" t="str">
        <f>IF(B73="","",VLOOKUP($B73,'F-1 Off Site River Baseline'!$C$9:$R$257,2,FALSE))</f>
        <v/>
      </c>
      <c r="D73" s="520" t="str">
        <f>IF(C73="","",VLOOKUP($B73,'F-1 Off Site River Baseline'!$C$9:$R$257,3,FALSE))</f>
        <v/>
      </c>
      <c r="E73" s="520" t="str">
        <f>IF(D73="","",VLOOKUP($B73,'F-1 Off Site River Baseline'!$C$9:$R$257,4,FALSE))</f>
        <v/>
      </c>
      <c r="F73" s="520" t="str">
        <f>IF(E73="","",VLOOKUP($B73,'F-1 Off Site River Baseline'!$C$9:$R$257,5,FALSE))</f>
        <v/>
      </c>
      <c r="G73" s="520" t="str">
        <f>IF(F73="","",VLOOKUP($B73,'F-1 Off Site River Baseline'!$C$9:$R$257,6,FALSE))</f>
        <v/>
      </c>
      <c r="H73" s="520" t="str">
        <f>IF(G73="","",VLOOKUP($B73,'F-1 Off Site River Baseline'!$C$9:$R$257,7,FALSE))</f>
        <v/>
      </c>
      <c r="I73" s="520" t="str">
        <f>IF(H73="","",VLOOKUP($B73,'F-1 Off Site River Baseline'!$C$9:$R$257,8,FALSE))</f>
        <v/>
      </c>
      <c r="J73" s="520" t="str">
        <f>IF(I73="","",VLOOKUP($B73,'F-1 Off Site River Baseline'!$C$9:$R$257,9,FALSE))</f>
        <v/>
      </c>
      <c r="K73" s="520" t="str">
        <f>IF(J73="","",VLOOKUP($B73,'F-1 Off Site River Baseline'!$C$9:$R$257,10,FALSE))</f>
        <v/>
      </c>
      <c r="L73" s="520" t="str">
        <f>IF(B73="","",VLOOKUP($B73,'C-1 Site River Baseline'!$C$9:$R$257,15,FALSE))</f>
        <v/>
      </c>
      <c r="M73" s="524" t="str">
        <f>IF(L73="","",VLOOKUP($B73,'F-1 Off Site River Baseline'!$C$9:$R$257,16,FALSE))</f>
        <v/>
      </c>
      <c r="N73" s="418" t="str">
        <f t="shared" si="0"/>
        <v/>
      </c>
      <c r="O73" s="498" t="str">
        <f t="shared" si="5"/>
        <v/>
      </c>
      <c r="P73" s="499"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5" t="str">
        <f>IF(N73="","",VLOOKUP(B73,'F-1 Off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20" t="str">
        <f>IF(V73="","",IF(VLOOKUP(V73,'G-7 Rivers Data'!$AG$4:$AI$9,2,FALSE)=0,"Spatial Data Missing ⚠",VLOOKUP(V73,'G-7 Rivers Data'!$AG$4:$AI$9,2,FALSE)))</f>
        <v/>
      </c>
      <c r="X73" s="524" t="str">
        <f>IF(V73="","",IF(VLOOKUP(V73,'G-7 Rivers Data'!$AG$4:$AI$9,3,FALSE)=0,"Spatial Data Missing ⚠",VLOOKUP(V73,'G-7 Rivers Data'!$AG$4:$AI$9,3,FALSE)))</f>
        <v/>
      </c>
      <c r="Y73" s="537" t="str">
        <f>IFERROR(IF(OR(LEFT(P73,5)="Error ▲",LEFT(O73,5)="Error ▲"),"Check Data ⚠",IF(F73&lt;S73,'G-7 Rivers Data'!$R$3,INDEX('G-7 Rivers Data'!$U$5:$Y$9,MATCH(G73,'G-7 Rivers Data'!$T$5:$T$9,0),MATCH(T73,'G-7 Rivers Data'!$U$4:$Y$4,0)))),"")</f>
        <v/>
      </c>
      <c r="Z73" s="203"/>
      <c r="AA73" s="203"/>
      <c r="AB73" s="534" t="str">
        <f t="shared" si="1"/>
        <v/>
      </c>
      <c r="AC73" s="521" t="str">
        <f t="shared" si="2"/>
        <v/>
      </c>
      <c r="AD73" s="564" t="str">
        <f>IFERROR(IF(AC73="Check Data ⚠","Check Data ⚠",VLOOKUP(AC73,'G-4 Temporal multipliers'!$A$4:$C$37,3,FALSE)),"")</f>
        <v/>
      </c>
      <c r="AE73" s="537" t="str">
        <f>IF(N73="","",VLOOKUP(N73,'G-7 Rivers Data'!$B$4:$G$8,5,FALSE))</f>
        <v/>
      </c>
      <c r="AF73" s="520" t="str">
        <f t="shared" si="3"/>
        <v/>
      </c>
      <c r="AG73" s="520" t="str">
        <f t="shared" si="6"/>
        <v/>
      </c>
      <c r="AH73" s="524" t="str">
        <f t="shared" si="4"/>
        <v/>
      </c>
      <c r="AI73" s="145"/>
      <c r="AJ73" s="499" t="str">
        <f>IF(AI73="","",IF(VLOOKUP(AI73,'G-7 Rivers Data'!$AA$4:$AB$7,2,FALSE)=0,"Spatial Data Missing ⚠",VLOOKUP(AI73,'G-7 Rivers Data'!$AA$4:$AB$7,2,FALSE)))</f>
        <v/>
      </c>
      <c r="AK73" s="155"/>
      <c r="AL73" s="536" t="str">
        <f>IF(AK73="","",IF(VLOOKUP(AK73,'G-7 Rivers Data'!$AD$4:$AE$8,2,FALSE)=0,"Spatial Data Missing ⚠",VLOOKUP(AK73,'G-7 Rivers Data'!$AD$4:$AE$8,2,FALSE)))</f>
        <v/>
      </c>
      <c r="AM73" s="154"/>
      <c r="AN73" s="524" t="str">
        <f>IF(AM73="","",VLOOKUP(AM73,'G-7 Rivers Data'!$AO$4:$AP$7,2,FALSE))</f>
        <v/>
      </c>
      <c r="AO73" s="545" t="str">
        <f t="shared" si="7"/>
        <v/>
      </c>
      <c r="AP73" s="149"/>
      <c r="AQ73" s="150"/>
      <c r="AX73" s="31" t="str">
        <f>IFERROR(INDEX('G-7 Rivers Data'!$AZ$3:$AZ$7,MATCH(N73,'G-7 Rivers Data'!$AY$3:$AY$7,0)),"")</f>
        <v/>
      </c>
    </row>
    <row r="74" spans="2:50" ht="13.8" x14ac:dyDescent="0.25">
      <c r="B74" s="531" t="str">
        <f>'F-1 Off Site River Baseline'!AN72</f>
        <v/>
      </c>
      <c r="C74" s="520" t="str">
        <f>IF(B74="","",VLOOKUP($B74,'F-1 Off Site River Baseline'!$C$9:$R$257,2,FALSE))</f>
        <v/>
      </c>
      <c r="D74" s="520" t="str">
        <f>IF(C74="","",VLOOKUP($B74,'F-1 Off Site River Baseline'!$C$9:$R$257,3,FALSE))</f>
        <v/>
      </c>
      <c r="E74" s="520" t="str">
        <f>IF(D74="","",VLOOKUP($B74,'F-1 Off Site River Baseline'!$C$9:$R$257,4,FALSE))</f>
        <v/>
      </c>
      <c r="F74" s="520" t="str">
        <f>IF(E74="","",VLOOKUP($B74,'F-1 Off Site River Baseline'!$C$9:$R$257,5,FALSE))</f>
        <v/>
      </c>
      <c r="G74" s="520" t="str">
        <f>IF(F74="","",VLOOKUP($B74,'F-1 Off Site River Baseline'!$C$9:$R$257,6,FALSE))</f>
        <v/>
      </c>
      <c r="H74" s="520" t="str">
        <f>IF(G74="","",VLOOKUP($B74,'F-1 Off Site River Baseline'!$C$9:$R$257,7,FALSE))</f>
        <v/>
      </c>
      <c r="I74" s="520" t="str">
        <f>IF(H74="","",VLOOKUP($B74,'F-1 Off Site River Baseline'!$C$9:$R$257,8,FALSE))</f>
        <v/>
      </c>
      <c r="J74" s="520" t="str">
        <f>IF(I74="","",VLOOKUP($B74,'F-1 Off Site River Baseline'!$C$9:$R$257,9,FALSE))</f>
        <v/>
      </c>
      <c r="K74" s="520" t="str">
        <f>IF(J74="","",VLOOKUP($B74,'F-1 Off Site River Baseline'!$C$9:$R$257,10,FALSE))</f>
        <v/>
      </c>
      <c r="L74" s="520" t="str">
        <f>IF(B74="","",VLOOKUP($B74,'C-1 Site River Baseline'!$C$9:$R$257,15,FALSE))</f>
        <v/>
      </c>
      <c r="M74" s="524" t="str">
        <f>IF(L74="","",VLOOKUP($B74,'F-1 Off Site River Baseline'!$C$9:$R$257,16,FALSE))</f>
        <v/>
      </c>
      <c r="N74" s="418" t="str">
        <f t="shared" si="0"/>
        <v/>
      </c>
      <c r="O74" s="498" t="str">
        <f t="shared" si="5"/>
        <v/>
      </c>
      <c r="P74" s="499"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5" t="str">
        <f>IF(N74="","",VLOOKUP(B74,'F-1 Off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20" t="str">
        <f>IF(V74="","",IF(VLOOKUP(V74,'G-7 Rivers Data'!$AG$4:$AI$9,2,FALSE)=0,"Spatial Data Missing ⚠",VLOOKUP(V74,'G-7 Rivers Data'!$AG$4:$AI$9,2,FALSE)))</f>
        <v/>
      </c>
      <c r="X74" s="524" t="str">
        <f>IF(V74="","",IF(VLOOKUP(V74,'G-7 Rivers Data'!$AG$4:$AI$9,3,FALSE)=0,"Spatial Data Missing ⚠",VLOOKUP(V74,'G-7 Rivers Data'!$AG$4:$AI$9,3,FALSE)))</f>
        <v/>
      </c>
      <c r="Y74" s="537" t="str">
        <f>IFERROR(IF(OR(LEFT(P74,5)="Error ▲",LEFT(O74,5)="Error ▲"),"Check Data ⚠",IF(F74&lt;S74,'G-7 Rivers Data'!$R$3,INDEX('G-7 Rivers Data'!$U$5:$Y$9,MATCH(G74,'G-7 Rivers Data'!$T$5:$T$9,0),MATCH(T74,'G-7 Rivers Data'!$U$4:$Y$4,0)))),"")</f>
        <v/>
      </c>
      <c r="Z74" s="203"/>
      <c r="AA74" s="203"/>
      <c r="AB74" s="534" t="str">
        <f t="shared" si="1"/>
        <v/>
      </c>
      <c r="AC74" s="521" t="str">
        <f t="shared" si="2"/>
        <v/>
      </c>
      <c r="AD74" s="564" t="str">
        <f>IFERROR(IF(AC74="Check Data ⚠","Check Data ⚠",VLOOKUP(AC74,'G-4 Temporal multipliers'!$A$4:$C$37,3,FALSE)),"")</f>
        <v/>
      </c>
      <c r="AE74" s="537" t="str">
        <f>IF(N74="","",VLOOKUP(N74,'G-7 Rivers Data'!$B$4:$G$8,5,FALSE))</f>
        <v/>
      </c>
      <c r="AF74" s="520" t="str">
        <f t="shared" si="3"/>
        <v/>
      </c>
      <c r="AG74" s="520" t="str">
        <f t="shared" si="6"/>
        <v/>
      </c>
      <c r="AH74" s="524" t="str">
        <f t="shared" si="4"/>
        <v/>
      </c>
      <c r="AI74" s="145"/>
      <c r="AJ74" s="499" t="str">
        <f>IF(AI74="","",IF(VLOOKUP(AI74,'G-7 Rivers Data'!$AA$4:$AB$7,2,FALSE)=0,"Spatial Data Missing ⚠",VLOOKUP(AI74,'G-7 Rivers Data'!$AA$4:$AB$7,2,FALSE)))</f>
        <v/>
      </c>
      <c r="AK74" s="155"/>
      <c r="AL74" s="536" t="str">
        <f>IF(AK74="","",IF(VLOOKUP(AK74,'G-7 Rivers Data'!$AD$4:$AE$8,2,FALSE)=0,"Spatial Data Missing ⚠",VLOOKUP(AK74,'G-7 Rivers Data'!$AD$4:$AE$8,2,FALSE)))</f>
        <v/>
      </c>
      <c r="AM74" s="154"/>
      <c r="AN74" s="524" t="str">
        <f>IF(AM74="","",VLOOKUP(AM74,'G-7 Rivers Data'!$AO$4:$AP$7,2,FALSE))</f>
        <v/>
      </c>
      <c r="AO74" s="545" t="str">
        <f t="shared" si="7"/>
        <v/>
      </c>
      <c r="AP74" s="149"/>
      <c r="AQ74" s="150"/>
      <c r="AX74" s="31" t="str">
        <f>IFERROR(INDEX('G-7 Rivers Data'!$AZ$3:$AZ$7,MATCH(N74,'G-7 Rivers Data'!$AY$3:$AY$7,0)),"")</f>
        <v/>
      </c>
    </row>
    <row r="75" spans="2:50" ht="13.8" x14ac:dyDescent="0.25">
      <c r="B75" s="531" t="str">
        <f>'F-1 Off Site River Baseline'!AN73</f>
        <v/>
      </c>
      <c r="C75" s="520" t="str">
        <f>IF(B75="","",VLOOKUP($B75,'F-1 Off Site River Baseline'!$C$9:$R$257,2,FALSE))</f>
        <v/>
      </c>
      <c r="D75" s="520" t="str">
        <f>IF(C75="","",VLOOKUP($B75,'F-1 Off Site River Baseline'!$C$9:$R$257,3,FALSE))</f>
        <v/>
      </c>
      <c r="E75" s="520" t="str">
        <f>IF(D75="","",VLOOKUP($B75,'F-1 Off Site River Baseline'!$C$9:$R$257,4,FALSE))</f>
        <v/>
      </c>
      <c r="F75" s="520" t="str">
        <f>IF(E75="","",VLOOKUP($B75,'F-1 Off Site River Baseline'!$C$9:$R$257,5,FALSE))</f>
        <v/>
      </c>
      <c r="G75" s="520" t="str">
        <f>IF(F75="","",VLOOKUP($B75,'F-1 Off Site River Baseline'!$C$9:$R$257,6,FALSE))</f>
        <v/>
      </c>
      <c r="H75" s="520" t="str">
        <f>IF(G75="","",VLOOKUP($B75,'F-1 Off Site River Baseline'!$C$9:$R$257,7,FALSE))</f>
        <v/>
      </c>
      <c r="I75" s="520" t="str">
        <f>IF(H75="","",VLOOKUP($B75,'F-1 Off Site River Baseline'!$C$9:$R$257,8,FALSE))</f>
        <v/>
      </c>
      <c r="J75" s="520" t="str">
        <f>IF(I75="","",VLOOKUP($B75,'F-1 Off Site River Baseline'!$C$9:$R$257,9,FALSE))</f>
        <v/>
      </c>
      <c r="K75" s="520" t="str">
        <f>IF(J75="","",VLOOKUP($B75,'F-1 Off Site River Baseline'!$C$9:$R$257,10,FALSE))</f>
        <v/>
      </c>
      <c r="L75" s="520" t="str">
        <f>IF(B75="","",VLOOKUP($B75,'C-1 Site River Baseline'!$C$9:$R$257,15,FALSE))</f>
        <v/>
      </c>
      <c r="M75" s="524" t="str">
        <f>IF(L75="","",VLOOKUP($B75,'F-1 Off Site River Baseline'!$C$9:$R$257,16,FALSE))</f>
        <v/>
      </c>
      <c r="N75" s="418" t="str">
        <f t="shared" si="0"/>
        <v/>
      </c>
      <c r="O75" s="498" t="str">
        <f t="shared" si="5"/>
        <v/>
      </c>
      <c r="P75" s="499"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5" t="str">
        <f>IF(N75="","",VLOOKUP(B75,'F-1 Off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20" t="str">
        <f>IF(V75="","",IF(VLOOKUP(V75,'G-7 Rivers Data'!$AG$4:$AI$9,2,FALSE)=0,"Spatial Data Missing ⚠",VLOOKUP(V75,'G-7 Rivers Data'!$AG$4:$AI$9,2,FALSE)))</f>
        <v/>
      </c>
      <c r="X75" s="524" t="str">
        <f>IF(V75="","",IF(VLOOKUP(V75,'G-7 Rivers Data'!$AG$4:$AI$9,3,FALSE)=0,"Spatial Data Missing ⚠",VLOOKUP(V75,'G-7 Rivers Data'!$AG$4:$AI$9,3,FALSE)))</f>
        <v/>
      </c>
      <c r="Y75" s="537" t="str">
        <f>IFERROR(IF(OR(LEFT(P75,5)="Error ▲",LEFT(O75,5)="Error ▲"),"Check Data ⚠",IF(F75&lt;S75,'G-7 Rivers Data'!$R$3,INDEX('G-7 Rivers Data'!$U$5:$Y$9,MATCH(G75,'G-7 Rivers Data'!$T$5:$T$9,0),MATCH(T75,'G-7 Rivers Data'!$U$4:$Y$4,0)))),"")</f>
        <v/>
      </c>
      <c r="Z75" s="203"/>
      <c r="AA75" s="203"/>
      <c r="AB75" s="534" t="str">
        <f t="shared" si="1"/>
        <v/>
      </c>
      <c r="AC75" s="521" t="str">
        <f t="shared" si="2"/>
        <v/>
      </c>
      <c r="AD75" s="564" t="str">
        <f>IFERROR(IF(AC75="Check Data ⚠","Check Data ⚠",VLOOKUP(AC75,'G-4 Temporal multipliers'!$A$4:$C$37,3,FALSE)),"")</f>
        <v/>
      </c>
      <c r="AE75" s="537" t="str">
        <f>IF(N75="","",VLOOKUP(N75,'G-7 Rivers Data'!$B$4:$G$8,5,FALSE))</f>
        <v/>
      </c>
      <c r="AF75" s="520" t="str">
        <f t="shared" si="3"/>
        <v/>
      </c>
      <c r="AG75" s="520" t="str">
        <f t="shared" si="6"/>
        <v/>
      </c>
      <c r="AH75" s="524" t="str">
        <f t="shared" si="4"/>
        <v/>
      </c>
      <c r="AI75" s="145"/>
      <c r="AJ75" s="499" t="str">
        <f>IF(AI75="","",IF(VLOOKUP(AI75,'G-7 Rivers Data'!$AA$4:$AB$7,2,FALSE)=0,"Spatial Data Missing ⚠",VLOOKUP(AI75,'G-7 Rivers Data'!$AA$4:$AB$7,2,FALSE)))</f>
        <v/>
      </c>
      <c r="AK75" s="155"/>
      <c r="AL75" s="536" t="str">
        <f>IF(AK75="","",IF(VLOOKUP(AK75,'G-7 Rivers Data'!$AD$4:$AE$8,2,FALSE)=0,"Spatial Data Missing ⚠",VLOOKUP(AK75,'G-7 Rivers Data'!$AD$4:$AE$8,2,FALSE)))</f>
        <v/>
      </c>
      <c r="AM75" s="154"/>
      <c r="AN75" s="524" t="str">
        <f>IF(AM75="","",VLOOKUP(AM75,'G-7 Rivers Data'!$AO$4:$AP$7,2,FALSE))</f>
        <v/>
      </c>
      <c r="AO75" s="545" t="str">
        <f t="shared" si="7"/>
        <v/>
      </c>
      <c r="AP75" s="149"/>
      <c r="AQ75" s="150"/>
      <c r="AX75" s="31" t="str">
        <f>IFERROR(INDEX('G-7 Rivers Data'!$AZ$3:$AZ$7,MATCH(N75,'G-7 Rivers Data'!$AY$3:$AY$7,0)),"")</f>
        <v/>
      </c>
    </row>
    <row r="76" spans="2:50" ht="13.8" x14ac:dyDescent="0.25">
      <c r="B76" s="531" t="str">
        <f>'F-1 Off Site River Baseline'!AN74</f>
        <v/>
      </c>
      <c r="C76" s="520" t="str">
        <f>IF(B76="","",VLOOKUP($B76,'F-1 Off Site River Baseline'!$C$9:$R$257,2,FALSE))</f>
        <v/>
      </c>
      <c r="D76" s="520" t="str">
        <f>IF(C76="","",VLOOKUP($B76,'F-1 Off Site River Baseline'!$C$9:$R$257,3,FALSE))</f>
        <v/>
      </c>
      <c r="E76" s="520" t="str">
        <f>IF(D76="","",VLOOKUP($B76,'F-1 Off Site River Baseline'!$C$9:$R$257,4,FALSE))</f>
        <v/>
      </c>
      <c r="F76" s="520" t="str">
        <f>IF(E76="","",VLOOKUP($B76,'F-1 Off Site River Baseline'!$C$9:$R$257,5,FALSE))</f>
        <v/>
      </c>
      <c r="G76" s="520" t="str">
        <f>IF(F76="","",VLOOKUP($B76,'F-1 Off Site River Baseline'!$C$9:$R$257,6,FALSE))</f>
        <v/>
      </c>
      <c r="H76" s="520" t="str">
        <f>IF(G76="","",VLOOKUP($B76,'F-1 Off Site River Baseline'!$C$9:$R$257,7,FALSE))</f>
        <v/>
      </c>
      <c r="I76" s="520" t="str">
        <f>IF(H76="","",VLOOKUP($B76,'F-1 Off Site River Baseline'!$C$9:$R$257,8,FALSE))</f>
        <v/>
      </c>
      <c r="J76" s="520" t="str">
        <f>IF(I76="","",VLOOKUP($B76,'F-1 Off Site River Baseline'!$C$9:$R$257,9,FALSE))</f>
        <v/>
      </c>
      <c r="K76" s="520" t="str">
        <f>IF(J76="","",VLOOKUP($B76,'F-1 Off Site River Baseline'!$C$9:$R$257,10,FALSE))</f>
        <v/>
      </c>
      <c r="L76" s="520" t="str">
        <f>IF(B76="","",VLOOKUP($B76,'C-1 Site River Baseline'!$C$9:$R$257,15,FALSE))</f>
        <v/>
      </c>
      <c r="M76" s="524" t="str">
        <f>IF(L76="","",VLOOKUP($B76,'F-1 Off Site River Baseline'!$C$9:$R$257,16,FALSE))</f>
        <v/>
      </c>
      <c r="N76" s="418" t="str">
        <f t="shared" si="0"/>
        <v/>
      </c>
      <c r="O76" s="498" t="str">
        <f t="shared" si="5"/>
        <v/>
      </c>
      <c r="P76" s="499"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5" t="str">
        <f>IF(N76="","",VLOOKUP(B76,'F-1 Off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20" t="str">
        <f>IF(V76="","",IF(VLOOKUP(V76,'G-7 Rivers Data'!$AG$4:$AI$9,2,FALSE)=0,"Spatial Data Missing ⚠",VLOOKUP(V76,'G-7 Rivers Data'!$AG$4:$AI$9,2,FALSE)))</f>
        <v/>
      </c>
      <c r="X76" s="524" t="str">
        <f>IF(V76="","",IF(VLOOKUP(V76,'G-7 Rivers Data'!$AG$4:$AI$9,3,FALSE)=0,"Spatial Data Missing ⚠",VLOOKUP(V76,'G-7 Rivers Data'!$AG$4:$AI$9,3,FALSE)))</f>
        <v/>
      </c>
      <c r="Y76" s="537" t="str">
        <f>IFERROR(IF(OR(LEFT(P76,5)="Error ▲",LEFT(O76,5)="Error ▲"),"Check Data ⚠",IF(F76&lt;S76,'G-7 Rivers Data'!$R$3,INDEX('G-7 Rivers Data'!$U$5:$Y$9,MATCH(G76,'G-7 Rivers Data'!$T$5:$T$9,0),MATCH(T76,'G-7 Rivers Data'!$U$4:$Y$4,0)))),"")</f>
        <v/>
      </c>
      <c r="Z76" s="203"/>
      <c r="AA76" s="203"/>
      <c r="AB76" s="534"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1" t="str">
        <f t="shared" ref="AC76:AC139" si="9">IF(LEFT(AB76,5)="Error ▲","Check Data ⚠",IF(AB76="Check Data ⚠","Check Data ⚠",IF(Y76="","",IF(Z76="30+",0,IF(AA76="30+","30+ ⚠",IF(Y76+AA76&gt;30,"30+ ⚠",IF(Y76+AA76-Z76&gt;0,Y76+AA76-Z76,IF(Y76-Z76&lt;0,0,Y76+AA76-Z76))))))))</f>
        <v/>
      </c>
      <c r="AD76" s="564" t="str">
        <f>IFERROR(IF(AC76="Check Data ⚠","Check Data ⚠",VLOOKUP(AC76,'G-4 Temporal multipliers'!$A$4:$C$37,3,FALSE)),"")</f>
        <v/>
      </c>
      <c r="AE76" s="537" t="str">
        <f>IF(N76="","",VLOOKUP(N76,'G-7 Rivers Data'!$B$4:$G$8,5,FALSE))</f>
        <v/>
      </c>
      <c r="AF76" s="520" t="str">
        <f t="shared" ref="AF76:AF139" si="10">IF(N76="","",IF(AC76="Check Data ⚠","Check Data ⚠",IF(T76="","",IF($AB76="Check details - Is there evidence that habitat has reached target condition? ⚠","Low Difficulty - only applicable if all habitat created before losses ⚠","Standard difficulty applied"))))</f>
        <v/>
      </c>
      <c r="AG76" s="520" t="str">
        <f t="shared" si="6"/>
        <v/>
      </c>
      <c r="AH76" s="524" t="str">
        <f t="shared" ref="AH76:AH139" si="11">IF(N76="","",VLOOKUP(AE76,Difficulty,2,FALSE))</f>
        <v/>
      </c>
      <c r="AI76" s="145"/>
      <c r="AJ76" s="499" t="str">
        <f>IF(AI76="","",IF(VLOOKUP(AI76,'G-7 Rivers Data'!$AA$4:$AB$7,2,FALSE)=0,"Spatial Data Missing ⚠",VLOOKUP(AI76,'G-7 Rivers Data'!$AA$4:$AB$7,2,FALSE)))</f>
        <v/>
      </c>
      <c r="AK76" s="155"/>
      <c r="AL76" s="536" t="str">
        <f>IF(AK76="","",IF(VLOOKUP(AK76,'G-7 Rivers Data'!$AD$4:$AE$8,2,FALSE)=0,"Spatial Data Missing ⚠",VLOOKUP(AK76,'G-7 Rivers Data'!$AD$4:$AE$8,2,FALSE)))</f>
        <v/>
      </c>
      <c r="AM76" s="154"/>
      <c r="AN76" s="524" t="str">
        <f>IF(AM76="","",VLOOKUP(AM76,'G-7 Rivers Data'!$AO$4:$AP$7,2,FALSE))</f>
        <v/>
      </c>
      <c r="AO76" s="545" t="str">
        <f t="shared" si="7"/>
        <v/>
      </c>
      <c r="AP76" s="149"/>
      <c r="AQ76" s="150"/>
      <c r="AX76" s="31" t="str">
        <f>IFERROR(INDEX('G-7 Rivers Data'!$AZ$3:$AZ$7,MATCH(N76,'G-7 Rivers Data'!$AY$3:$AY$7,0)),"")</f>
        <v/>
      </c>
    </row>
    <row r="77" spans="2:50" ht="13.8" x14ac:dyDescent="0.25">
      <c r="B77" s="531" t="str">
        <f>'F-1 Off Site River Baseline'!AN75</f>
        <v/>
      </c>
      <c r="C77" s="520" t="str">
        <f>IF(B77="","",VLOOKUP($B77,'F-1 Off Site River Baseline'!$C$9:$R$257,2,FALSE))</f>
        <v/>
      </c>
      <c r="D77" s="520" t="str">
        <f>IF(C77="","",VLOOKUP($B77,'F-1 Off Site River Baseline'!$C$9:$R$257,3,FALSE))</f>
        <v/>
      </c>
      <c r="E77" s="520" t="str">
        <f>IF(D77="","",VLOOKUP($B77,'F-1 Off Site River Baseline'!$C$9:$R$257,4,FALSE))</f>
        <v/>
      </c>
      <c r="F77" s="520" t="str">
        <f>IF(E77="","",VLOOKUP($B77,'F-1 Off Site River Baseline'!$C$9:$R$257,5,FALSE))</f>
        <v/>
      </c>
      <c r="G77" s="520" t="str">
        <f>IF(F77="","",VLOOKUP($B77,'F-1 Off Site River Baseline'!$C$9:$R$257,6,FALSE))</f>
        <v/>
      </c>
      <c r="H77" s="520" t="str">
        <f>IF(G77="","",VLOOKUP($B77,'F-1 Off Site River Baseline'!$C$9:$R$257,7,FALSE))</f>
        <v/>
      </c>
      <c r="I77" s="520" t="str">
        <f>IF(H77="","",VLOOKUP($B77,'F-1 Off Site River Baseline'!$C$9:$R$257,8,FALSE))</f>
        <v/>
      </c>
      <c r="J77" s="520" t="str">
        <f>IF(I77="","",VLOOKUP($B77,'F-1 Off Site River Baseline'!$C$9:$R$257,9,FALSE))</f>
        <v/>
      </c>
      <c r="K77" s="520" t="str">
        <f>IF(J77="","",VLOOKUP($B77,'F-1 Off Site River Baseline'!$C$9:$R$257,10,FALSE))</f>
        <v/>
      </c>
      <c r="L77" s="520" t="str">
        <f>IF(B77="","",VLOOKUP($B77,'C-1 Site River Baseline'!$C$9:$R$257,15,FALSE))</f>
        <v/>
      </c>
      <c r="M77" s="524" t="str">
        <f>IF(L77="","",VLOOKUP($B77,'F-1 Off Site River Baseline'!$C$9:$R$257,16,FALSE))</f>
        <v/>
      </c>
      <c r="N77" s="418" t="str">
        <f t="shared" ref="N77:N140" si="12">C77</f>
        <v/>
      </c>
      <c r="O77" s="498" t="str">
        <f t="shared" ref="O77:O140" si="13">IF(B77="","",IF(S77&lt;F77,"Error Trading Down ▲",E77&amp;" - "&amp;R77))</f>
        <v/>
      </c>
      <c r="P77" s="499"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5" t="str">
        <f>IF(N77="","",VLOOKUP(B77,'F-1 Off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20" t="str">
        <f>IF(V77="","",IF(VLOOKUP(V77,'G-7 Rivers Data'!$AG$4:$AI$9,2,FALSE)=0,"Spatial Data Missing ⚠",VLOOKUP(V77,'G-7 Rivers Data'!$AG$4:$AI$9,2,FALSE)))</f>
        <v/>
      </c>
      <c r="X77" s="524" t="str">
        <f>IF(V77="","",IF(VLOOKUP(V77,'G-7 Rivers Data'!$AG$4:$AI$9,3,FALSE)=0,"Spatial Data Missing ⚠",VLOOKUP(V77,'G-7 Rivers Data'!$AG$4:$AI$9,3,FALSE)))</f>
        <v/>
      </c>
      <c r="Y77" s="537" t="str">
        <f>IFERROR(IF(OR(LEFT(P77,5)="Error ▲",LEFT(O77,5)="Error ▲"),"Check Data ⚠",IF(F77&lt;S77,'G-7 Rivers Data'!$R$3,INDEX('G-7 Rivers Data'!$U$5:$Y$9,MATCH(G77,'G-7 Rivers Data'!$T$5:$T$9,0),MATCH(T77,'G-7 Rivers Data'!$U$4:$Y$4,0)))),"")</f>
        <v/>
      </c>
      <c r="Z77" s="203"/>
      <c r="AA77" s="203"/>
      <c r="AB77" s="534" t="str">
        <f t="shared" si="8"/>
        <v/>
      </c>
      <c r="AC77" s="521" t="str">
        <f t="shared" si="9"/>
        <v/>
      </c>
      <c r="AD77" s="564" t="str">
        <f>IFERROR(IF(AC77="Check Data ⚠","Check Data ⚠",VLOOKUP(AC77,'G-4 Temporal multipliers'!$A$4:$C$37,3,FALSE)),"")</f>
        <v/>
      </c>
      <c r="AE77" s="537" t="str">
        <f>IF(N77="","",VLOOKUP(N77,'G-7 Rivers Data'!$B$4:$G$8,5,FALSE))</f>
        <v/>
      </c>
      <c r="AF77" s="520" t="str">
        <f t="shared" si="10"/>
        <v/>
      </c>
      <c r="AG77" s="520" t="str">
        <f t="shared" ref="AG77:AG140" si="14">(IF(AND(AF77="Standard difficulty applied",Y77&gt;Z77),AE77,IF(AND(AF77="Low Difficulty - only applicable if all habitat created before losses ⚠",Z77&gt;=Y77),"Low",AE77)))</f>
        <v/>
      </c>
      <c r="AH77" s="524" t="str">
        <f t="shared" si="11"/>
        <v/>
      </c>
      <c r="AI77" s="145"/>
      <c r="AJ77" s="499" t="str">
        <f>IF(AI77="","",IF(VLOOKUP(AI77,'G-7 Rivers Data'!$AA$4:$AB$7,2,FALSE)=0,"Spatial Data Missing ⚠",VLOOKUP(AI77,'G-7 Rivers Data'!$AA$4:$AB$7,2,FALSE)))</f>
        <v/>
      </c>
      <c r="AK77" s="155"/>
      <c r="AL77" s="536" t="str">
        <f>IF(AK77="","",IF(VLOOKUP(AK77,'G-7 Rivers Data'!$AD$4:$AE$8,2,FALSE)=0,"Spatial Data Missing ⚠",VLOOKUP(AK77,'G-7 Rivers Data'!$AD$4:$AE$8,2,FALSE)))</f>
        <v/>
      </c>
      <c r="AM77" s="154"/>
      <c r="AN77" s="524" t="str">
        <f>IF(AM77="","",VLOOKUP(AM77,'G-7 Rivers Data'!$AO$4:$AP$7,2,FALSE))</f>
        <v/>
      </c>
      <c r="AO77" s="545"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8" x14ac:dyDescent="0.25">
      <c r="B78" s="531" t="str">
        <f>'F-1 Off Site River Baseline'!AN76</f>
        <v/>
      </c>
      <c r="C78" s="520" t="str">
        <f>IF(B78="","",VLOOKUP($B78,'F-1 Off Site River Baseline'!$C$9:$R$257,2,FALSE))</f>
        <v/>
      </c>
      <c r="D78" s="520" t="str">
        <f>IF(C78="","",VLOOKUP($B78,'F-1 Off Site River Baseline'!$C$9:$R$257,3,FALSE))</f>
        <v/>
      </c>
      <c r="E78" s="520" t="str">
        <f>IF(D78="","",VLOOKUP($B78,'F-1 Off Site River Baseline'!$C$9:$R$257,4,FALSE))</f>
        <v/>
      </c>
      <c r="F78" s="520" t="str">
        <f>IF(E78="","",VLOOKUP($B78,'F-1 Off Site River Baseline'!$C$9:$R$257,5,FALSE))</f>
        <v/>
      </c>
      <c r="G78" s="520" t="str">
        <f>IF(F78="","",VLOOKUP($B78,'F-1 Off Site River Baseline'!$C$9:$R$257,6,FALSE))</f>
        <v/>
      </c>
      <c r="H78" s="520" t="str">
        <f>IF(G78="","",VLOOKUP($B78,'F-1 Off Site River Baseline'!$C$9:$R$257,7,FALSE))</f>
        <v/>
      </c>
      <c r="I78" s="520" t="str">
        <f>IF(H78="","",VLOOKUP($B78,'F-1 Off Site River Baseline'!$C$9:$R$257,8,FALSE))</f>
        <v/>
      </c>
      <c r="J78" s="520" t="str">
        <f>IF(I78="","",VLOOKUP($B78,'F-1 Off Site River Baseline'!$C$9:$R$257,9,FALSE))</f>
        <v/>
      </c>
      <c r="K78" s="520" t="str">
        <f>IF(J78="","",VLOOKUP($B78,'F-1 Off Site River Baseline'!$C$9:$R$257,10,FALSE))</f>
        <v/>
      </c>
      <c r="L78" s="520" t="str">
        <f>IF(B78="","",VLOOKUP($B78,'C-1 Site River Baseline'!$C$9:$R$257,15,FALSE))</f>
        <v/>
      </c>
      <c r="M78" s="524" t="str">
        <f>IF(L78="","",VLOOKUP($B78,'F-1 Off Site River Baseline'!$C$9:$R$257,16,FALSE))</f>
        <v/>
      </c>
      <c r="N78" s="418" t="str">
        <f t="shared" si="12"/>
        <v/>
      </c>
      <c r="O78" s="498" t="str">
        <f t="shared" si="13"/>
        <v/>
      </c>
      <c r="P78" s="499"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5" t="str">
        <f>IF(N78="","",VLOOKUP(B78,'F-1 Off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20" t="str">
        <f>IF(V78="","",IF(VLOOKUP(V78,'G-7 Rivers Data'!$AG$4:$AI$9,2,FALSE)=0,"Spatial Data Missing ⚠",VLOOKUP(V78,'G-7 Rivers Data'!$AG$4:$AI$9,2,FALSE)))</f>
        <v/>
      </c>
      <c r="X78" s="524" t="str">
        <f>IF(V78="","",IF(VLOOKUP(V78,'G-7 Rivers Data'!$AG$4:$AI$9,3,FALSE)=0,"Spatial Data Missing ⚠",VLOOKUP(V78,'G-7 Rivers Data'!$AG$4:$AI$9,3,FALSE)))</f>
        <v/>
      </c>
      <c r="Y78" s="537" t="str">
        <f>IFERROR(IF(OR(LEFT(P78,5)="Error ▲",LEFT(O78,5)="Error ▲"),"Check Data ⚠",IF(F78&lt;S78,'G-7 Rivers Data'!$R$3,INDEX('G-7 Rivers Data'!$U$5:$Y$9,MATCH(G78,'G-7 Rivers Data'!$T$5:$T$9,0),MATCH(T78,'G-7 Rivers Data'!$U$4:$Y$4,0)))),"")</f>
        <v/>
      </c>
      <c r="Z78" s="203"/>
      <c r="AA78" s="203"/>
      <c r="AB78" s="534" t="str">
        <f t="shared" si="8"/>
        <v/>
      </c>
      <c r="AC78" s="521" t="str">
        <f t="shared" si="9"/>
        <v/>
      </c>
      <c r="AD78" s="564" t="str">
        <f>IFERROR(IF(AC78="Check Data ⚠","Check Data ⚠",VLOOKUP(AC78,'G-4 Temporal multipliers'!$A$4:$C$37,3,FALSE)),"")</f>
        <v/>
      </c>
      <c r="AE78" s="537" t="str">
        <f>IF(N78="","",VLOOKUP(N78,'G-7 Rivers Data'!$B$4:$G$8,5,FALSE))</f>
        <v/>
      </c>
      <c r="AF78" s="520" t="str">
        <f t="shared" si="10"/>
        <v/>
      </c>
      <c r="AG78" s="520" t="str">
        <f t="shared" si="14"/>
        <v/>
      </c>
      <c r="AH78" s="524" t="str">
        <f t="shared" si="11"/>
        <v/>
      </c>
      <c r="AI78" s="145"/>
      <c r="AJ78" s="499" t="str">
        <f>IF(AI78="","",IF(VLOOKUP(AI78,'G-7 Rivers Data'!$AA$4:$AB$7,2,FALSE)=0,"Spatial Data Missing ⚠",VLOOKUP(AI78,'G-7 Rivers Data'!$AA$4:$AB$7,2,FALSE)))</f>
        <v/>
      </c>
      <c r="AK78" s="155"/>
      <c r="AL78" s="536" t="str">
        <f>IF(AK78="","",IF(VLOOKUP(AK78,'G-7 Rivers Data'!$AD$4:$AE$8,2,FALSE)=0,"Spatial Data Missing ⚠",VLOOKUP(AK78,'G-7 Rivers Data'!$AD$4:$AE$8,2,FALSE)))</f>
        <v/>
      </c>
      <c r="AM78" s="154"/>
      <c r="AN78" s="524" t="str">
        <f>IF(AM78="","",VLOOKUP(AM78,'G-7 Rivers Data'!$AO$4:$AP$7,2,FALSE))</f>
        <v/>
      </c>
      <c r="AO78" s="545" t="str">
        <f t="shared" si="15"/>
        <v/>
      </c>
      <c r="AP78" s="149"/>
      <c r="AQ78" s="150"/>
      <c r="AX78" s="31" t="str">
        <f>IFERROR(INDEX('G-7 Rivers Data'!$AZ$3:$AZ$7,MATCH(N78,'G-7 Rivers Data'!$AY$3:$AY$7,0)),"")</f>
        <v/>
      </c>
    </row>
    <row r="79" spans="2:50" ht="13.8" x14ac:dyDescent="0.25">
      <c r="B79" s="531" t="str">
        <f>'F-1 Off Site River Baseline'!AN77</f>
        <v/>
      </c>
      <c r="C79" s="520" t="str">
        <f>IF(B79="","",VLOOKUP($B79,'F-1 Off Site River Baseline'!$C$9:$R$257,2,FALSE))</f>
        <v/>
      </c>
      <c r="D79" s="520" t="str">
        <f>IF(C79="","",VLOOKUP($B79,'F-1 Off Site River Baseline'!$C$9:$R$257,3,FALSE))</f>
        <v/>
      </c>
      <c r="E79" s="520" t="str">
        <f>IF(D79="","",VLOOKUP($B79,'F-1 Off Site River Baseline'!$C$9:$R$257,4,FALSE))</f>
        <v/>
      </c>
      <c r="F79" s="520" t="str">
        <f>IF(E79="","",VLOOKUP($B79,'F-1 Off Site River Baseline'!$C$9:$R$257,5,FALSE))</f>
        <v/>
      </c>
      <c r="G79" s="520" t="str">
        <f>IF(F79="","",VLOOKUP($B79,'F-1 Off Site River Baseline'!$C$9:$R$257,6,FALSE))</f>
        <v/>
      </c>
      <c r="H79" s="520" t="str">
        <f>IF(G79="","",VLOOKUP($B79,'F-1 Off Site River Baseline'!$C$9:$R$257,7,FALSE))</f>
        <v/>
      </c>
      <c r="I79" s="520" t="str">
        <f>IF(H79="","",VLOOKUP($B79,'F-1 Off Site River Baseline'!$C$9:$R$257,8,FALSE))</f>
        <v/>
      </c>
      <c r="J79" s="520" t="str">
        <f>IF(I79="","",VLOOKUP($B79,'F-1 Off Site River Baseline'!$C$9:$R$257,9,FALSE))</f>
        <v/>
      </c>
      <c r="K79" s="520" t="str">
        <f>IF(J79="","",VLOOKUP($B79,'F-1 Off Site River Baseline'!$C$9:$R$257,10,FALSE))</f>
        <v/>
      </c>
      <c r="L79" s="520" t="str">
        <f>IF(B79="","",VLOOKUP($B79,'C-1 Site River Baseline'!$C$9:$R$257,15,FALSE))</f>
        <v/>
      </c>
      <c r="M79" s="524" t="str">
        <f>IF(L79="","",VLOOKUP($B79,'F-1 Off Site River Baseline'!$C$9:$R$257,16,FALSE))</f>
        <v/>
      </c>
      <c r="N79" s="418" t="str">
        <f t="shared" si="12"/>
        <v/>
      </c>
      <c r="O79" s="498" t="str">
        <f t="shared" si="13"/>
        <v/>
      </c>
      <c r="P79" s="499"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5" t="str">
        <f>IF(N79="","",VLOOKUP(B79,'F-1 Off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20" t="str">
        <f>IF(V79="","",IF(VLOOKUP(V79,'G-7 Rivers Data'!$AG$4:$AI$9,2,FALSE)=0,"Spatial Data Missing ⚠",VLOOKUP(V79,'G-7 Rivers Data'!$AG$4:$AI$9,2,FALSE)))</f>
        <v/>
      </c>
      <c r="X79" s="524" t="str">
        <f>IF(V79="","",IF(VLOOKUP(V79,'G-7 Rivers Data'!$AG$4:$AI$9,3,FALSE)=0,"Spatial Data Missing ⚠",VLOOKUP(V79,'G-7 Rivers Data'!$AG$4:$AI$9,3,FALSE)))</f>
        <v/>
      </c>
      <c r="Y79" s="537" t="str">
        <f>IFERROR(IF(OR(LEFT(P79,5)="Error ▲",LEFT(O79,5)="Error ▲"),"Check Data ⚠",IF(F79&lt;S79,'G-7 Rivers Data'!$R$3,INDEX('G-7 Rivers Data'!$U$5:$Y$9,MATCH(G79,'G-7 Rivers Data'!$T$5:$T$9,0),MATCH(T79,'G-7 Rivers Data'!$U$4:$Y$4,0)))),"")</f>
        <v/>
      </c>
      <c r="Z79" s="203"/>
      <c r="AA79" s="203"/>
      <c r="AB79" s="534" t="str">
        <f t="shared" si="8"/>
        <v/>
      </c>
      <c r="AC79" s="521" t="str">
        <f t="shared" si="9"/>
        <v/>
      </c>
      <c r="AD79" s="564" t="str">
        <f>IFERROR(IF(AC79="Check Data ⚠","Check Data ⚠",VLOOKUP(AC79,'G-4 Temporal multipliers'!$A$4:$C$37,3,FALSE)),"")</f>
        <v/>
      </c>
      <c r="AE79" s="537" t="str">
        <f>IF(N79="","",VLOOKUP(N79,'G-7 Rivers Data'!$B$4:$G$8,5,FALSE))</f>
        <v/>
      </c>
      <c r="AF79" s="520" t="str">
        <f t="shared" si="10"/>
        <v/>
      </c>
      <c r="AG79" s="520" t="str">
        <f t="shared" si="14"/>
        <v/>
      </c>
      <c r="AH79" s="524" t="str">
        <f t="shared" si="11"/>
        <v/>
      </c>
      <c r="AI79" s="145"/>
      <c r="AJ79" s="499" t="str">
        <f>IF(AI79="","",IF(VLOOKUP(AI79,'G-7 Rivers Data'!$AA$4:$AB$7,2,FALSE)=0,"Spatial Data Missing ⚠",VLOOKUP(AI79,'G-7 Rivers Data'!$AA$4:$AB$7,2,FALSE)))</f>
        <v/>
      </c>
      <c r="AK79" s="155"/>
      <c r="AL79" s="536" t="str">
        <f>IF(AK79="","",IF(VLOOKUP(AK79,'G-7 Rivers Data'!$AD$4:$AE$8,2,FALSE)=0,"Spatial Data Missing ⚠",VLOOKUP(AK79,'G-7 Rivers Data'!$AD$4:$AE$8,2,FALSE)))</f>
        <v/>
      </c>
      <c r="AM79" s="154"/>
      <c r="AN79" s="524" t="str">
        <f>IF(AM79="","",VLOOKUP(AM79,'G-7 Rivers Data'!$AO$4:$AP$7,2,FALSE))</f>
        <v/>
      </c>
      <c r="AO79" s="545" t="str">
        <f t="shared" si="15"/>
        <v/>
      </c>
      <c r="AP79" s="149"/>
      <c r="AQ79" s="150"/>
      <c r="AX79" s="31" t="str">
        <f>IFERROR(INDEX('G-7 Rivers Data'!$AZ$3:$AZ$7,MATCH(N79,'G-7 Rivers Data'!$AY$3:$AY$7,0)),"")</f>
        <v/>
      </c>
    </row>
    <row r="80" spans="2:50" ht="13.8" x14ac:dyDescent="0.25">
      <c r="B80" s="531" t="str">
        <f>'F-1 Off Site River Baseline'!AN78</f>
        <v/>
      </c>
      <c r="C80" s="520" t="str">
        <f>IF(B80="","",VLOOKUP($B80,'F-1 Off Site River Baseline'!$C$9:$R$257,2,FALSE))</f>
        <v/>
      </c>
      <c r="D80" s="520" t="str">
        <f>IF(C80="","",VLOOKUP($B80,'F-1 Off Site River Baseline'!$C$9:$R$257,3,FALSE))</f>
        <v/>
      </c>
      <c r="E80" s="520" t="str">
        <f>IF(D80="","",VLOOKUP($B80,'F-1 Off Site River Baseline'!$C$9:$R$257,4,FALSE))</f>
        <v/>
      </c>
      <c r="F80" s="520" t="str">
        <f>IF(E80="","",VLOOKUP($B80,'F-1 Off Site River Baseline'!$C$9:$R$257,5,FALSE))</f>
        <v/>
      </c>
      <c r="G80" s="520" t="str">
        <f>IF(F80="","",VLOOKUP($B80,'F-1 Off Site River Baseline'!$C$9:$R$257,6,FALSE))</f>
        <v/>
      </c>
      <c r="H80" s="520" t="str">
        <f>IF(G80="","",VLOOKUP($B80,'F-1 Off Site River Baseline'!$C$9:$R$257,7,FALSE))</f>
        <v/>
      </c>
      <c r="I80" s="520" t="str">
        <f>IF(H80="","",VLOOKUP($B80,'F-1 Off Site River Baseline'!$C$9:$R$257,8,FALSE))</f>
        <v/>
      </c>
      <c r="J80" s="520" t="str">
        <f>IF(I80="","",VLOOKUP($B80,'F-1 Off Site River Baseline'!$C$9:$R$257,9,FALSE))</f>
        <v/>
      </c>
      <c r="K80" s="520" t="str">
        <f>IF(J80="","",VLOOKUP($B80,'F-1 Off Site River Baseline'!$C$9:$R$257,10,FALSE))</f>
        <v/>
      </c>
      <c r="L80" s="520" t="str">
        <f>IF(B80="","",VLOOKUP($B80,'C-1 Site River Baseline'!$C$9:$R$257,15,FALSE))</f>
        <v/>
      </c>
      <c r="M80" s="524" t="str">
        <f>IF(L80="","",VLOOKUP($B80,'F-1 Off Site River Baseline'!$C$9:$R$257,16,FALSE))</f>
        <v/>
      </c>
      <c r="N80" s="418" t="str">
        <f t="shared" si="12"/>
        <v/>
      </c>
      <c r="O80" s="498" t="str">
        <f t="shared" si="13"/>
        <v/>
      </c>
      <c r="P80" s="499"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5" t="str">
        <f>IF(N80="","",VLOOKUP(B80,'F-1 Off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20" t="str">
        <f>IF(V80="","",IF(VLOOKUP(V80,'G-7 Rivers Data'!$AG$4:$AI$9,2,FALSE)=0,"Spatial Data Missing ⚠",VLOOKUP(V80,'G-7 Rivers Data'!$AG$4:$AI$9,2,FALSE)))</f>
        <v/>
      </c>
      <c r="X80" s="524" t="str">
        <f>IF(V80="","",IF(VLOOKUP(V80,'G-7 Rivers Data'!$AG$4:$AI$9,3,FALSE)=0,"Spatial Data Missing ⚠",VLOOKUP(V80,'G-7 Rivers Data'!$AG$4:$AI$9,3,FALSE)))</f>
        <v/>
      </c>
      <c r="Y80" s="537" t="str">
        <f>IFERROR(IF(OR(LEFT(P80,5)="Error ▲",LEFT(O80,5)="Error ▲"),"Check Data ⚠",IF(F80&lt;S80,'G-7 Rivers Data'!$R$3,INDEX('G-7 Rivers Data'!$U$5:$Y$9,MATCH(G80,'G-7 Rivers Data'!$T$5:$T$9,0),MATCH(T80,'G-7 Rivers Data'!$U$4:$Y$4,0)))),"")</f>
        <v/>
      </c>
      <c r="Z80" s="203"/>
      <c r="AA80" s="203"/>
      <c r="AB80" s="534" t="str">
        <f t="shared" si="8"/>
        <v/>
      </c>
      <c r="AC80" s="521" t="str">
        <f t="shared" si="9"/>
        <v/>
      </c>
      <c r="AD80" s="564" t="str">
        <f>IFERROR(IF(AC80="Check Data ⚠","Check Data ⚠",VLOOKUP(AC80,'G-4 Temporal multipliers'!$A$4:$C$37,3,FALSE)),"")</f>
        <v/>
      </c>
      <c r="AE80" s="537" t="str">
        <f>IF(N80="","",VLOOKUP(N80,'G-7 Rivers Data'!$B$4:$G$8,5,FALSE))</f>
        <v/>
      </c>
      <c r="AF80" s="520" t="str">
        <f t="shared" si="10"/>
        <v/>
      </c>
      <c r="AG80" s="520" t="str">
        <f t="shared" si="14"/>
        <v/>
      </c>
      <c r="AH80" s="524" t="str">
        <f t="shared" si="11"/>
        <v/>
      </c>
      <c r="AI80" s="145"/>
      <c r="AJ80" s="499" t="str">
        <f>IF(AI80="","",IF(VLOOKUP(AI80,'G-7 Rivers Data'!$AA$4:$AB$7,2,FALSE)=0,"Spatial Data Missing ⚠",VLOOKUP(AI80,'G-7 Rivers Data'!$AA$4:$AB$7,2,FALSE)))</f>
        <v/>
      </c>
      <c r="AK80" s="155"/>
      <c r="AL80" s="536" t="str">
        <f>IF(AK80="","",IF(VLOOKUP(AK80,'G-7 Rivers Data'!$AD$4:$AE$8,2,FALSE)=0,"Spatial Data Missing ⚠",VLOOKUP(AK80,'G-7 Rivers Data'!$AD$4:$AE$8,2,FALSE)))</f>
        <v/>
      </c>
      <c r="AM80" s="154"/>
      <c r="AN80" s="524" t="str">
        <f>IF(AM80="","",VLOOKUP(AM80,'G-7 Rivers Data'!$AO$4:$AP$7,2,FALSE))</f>
        <v/>
      </c>
      <c r="AO80" s="545" t="str">
        <f t="shared" si="15"/>
        <v/>
      </c>
      <c r="AP80" s="149"/>
      <c r="AQ80" s="150"/>
      <c r="AX80" s="31" t="str">
        <f>IFERROR(INDEX('G-7 Rivers Data'!$AZ$3:$AZ$7,MATCH(N80,'G-7 Rivers Data'!$AY$3:$AY$7,0)),"")</f>
        <v/>
      </c>
    </row>
    <row r="81" spans="2:50" ht="13.8" x14ac:dyDescent="0.25">
      <c r="B81" s="531" t="str">
        <f>'F-1 Off Site River Baseline'!AN79</f>
        <v/>
      </c>
      <c r="C81" s="520" t="str">
        <f>IF(B81="","",VLOOKUP($B81,'F-1 Off Site River Baseline'!$C$9:$R$257,2,FALSE))</f>
        <v/>
      </c>
      <c r="D81" s="520" t="str">
        <f>IF(C81="","",VLOOKUP($B81,'F-1 Off Site River Baseline'!$C$9:$R$257,3,FALSE))</f>
        <v/>
      </c>
      <c r="E81" s="520" t="str">
        <f>IF(D81="","",VLOOKUP($B81,'F-1 Off Site River Baseline'!$C$9:$R$257,4,FALSE))</f>
        <v/>
      </c>
      <c r="F81" s="520" t="str">
        <f>IF(E81="","",VLOOKUP($B81,'F-1 Off Site River Baseline'!$C$9:$R$257,5,FALSE))</f>
        <v/>
      </c>
      <c r="G81" s="520" t="str">
        <f>IF(F81="","",VLOOKUP($B81,'F-1 Off Site River Baseline'!$C$9:$R$257,6,FALSE))</f>
        <v/>
      </c>
      <c r="H81" s="520" t="str">
        <f>IF(G81="","",VLOOKUP($B81,'F-1 Off Site River Baseline'!$C$9:$R$257,7,FALSE))</f>
        <v/>
      </c>
      <c r="I81" s="520" t="str">
        <f>IF(H81="","",VLOOKUP($B81,'F-1 Off Site River Baseline'!$C$9:$R$257,8,FALSE))</f>
        <v/>
      </c>
      <c r="J81" s="520" t="str">
        <f>IF(I81="","",VLOOKUP($B81,'F-1 Off Site River Baseline'!$C$9:$R$257,9,FALSE))</f>
        <v/>
      </c>
      <c r="K81" s="520" t="str">
        <f>IF(J81="","",VLOOKUP($B81,'F-1 Off Site River Baseline'!$C$9:$R$257,10,FALSE))</f>
        <v/>
      </c>
      <c r="L81" s="520" t="str">
        <f>IF(B81="","",VLOOKUP($B81,'C-1 Site River Baseline'!$C$9:$R$257,15,FALSE))</f>
        <v/>
      </c>
      <c r="M81" s="524" t="str">
        <f>IF(L81="","",VLOOKUP($B81,'F-1 Off Site River Baseline'!$C$9:$R$257,16,FALSE))</f>
        <v/>
      </c>
      <c r="N81" s="418" t="str">
        <f t="shared" si="12"/>
        <v/>
      </c>
      <c r="O81" s="498" t="str">
        <f t="shared" si="13"/>
        <v/>
      </c>
      <c r="P81" s="499"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5" t="str">
        <f>IF(N81="","",VLOOKUP(B81,'F-1 Off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20" t="str">
        <f>IF(V81="","",IF(VLOOKUP(V81,'G-7 Rivers Data'!$AG$4:$AI$9,2,FALSE)=0,"Spatial Data Missing ⚠",VLOOKUP(V81,'G-7 Rivers Data'!$AG$4:$AI$9,2,FALSE)))</f>
        <v/>
      </c>
      <c r="X81" s="524" t="str">
        <f>IF(V81="","",IF(VLOOKUP(V81,'G-7 Rivers Data'!$AG$4:$AI$9,3,FALSE)=0,"Spatial Data Missing ⚠",VLOOKUP(V81,'G-7 Rivers Data'!$AG$4:$AI$9,3,FALSE)))</f>
        <v/>
      </c>
      <c r="Y81" s="537" t="str">
        <f>IFERROR(IF(OR(LEFT(P81,5)="Error ▲",LEFT(O81,5)="Error ▲"),"Check Data ⚠",IF(F81&lt;S81,'G-7 Rivers Data'!$R$3,INDEX('G-7 Rivers Data'!$U$5:$Y$9,MATCH(G81,'G-7 Rivers Data'!$T$5:$T$9,0),MATCH(T81,'G-7 Rivers Data'!$U$4:$Y$4,0)))),"")</f>
        <v/>
      </c>
      <c r="Z81" s="203"/>
      <c r="AA81" s="203"/>
      <c r="AB81" s="534" t="str">
        <f t="shared" si="8"/>
        <v/>
      </c>
      <c r="AC81" s="521" t="str">
        <f t="shared" si="9"/>
        <v/>
      </c>
      <c r="AD81" s="564" t="str">
        <f>IFERROR(IF(AC81="Check Data ⚠","Check Data ⚠",VLOOKUP(AC81,'G-4 Temporal multipliers'!$A$4:$C$37,3,FALSE)),"")</f>
        <v/>
      </c>
      <c r="AE81" s="537" t="str">
        <f>IF(N81="","",VLOOKUP(N81,'G-7 Rivers Data'!$B$4:$G$8,5,FALSE))</f>
        <v/>
      </c>
      <c r="AF81" s="520" t="str">
        <f t="shared" si="10"/>
        <v/>
      </c>
      <c r="AG81" s="520" t="str">
        <f t="shared" si="14"/>
        <v/>
      </c>
      <c r="AH81" s="524" t="str">
        <f t="shared" si="11"/>
        <v/>
      </c>
      <c r="AI81" s="145"/>
      <c r="AJ81" s="499" t="str">
        <f>IF(AI81="","",IF(VLOOKUP(AI81,'G-7 Rivers Data'!$AA$4:$AB$7,2,FALSE)=0,"Spatial Data Missing ⚠",VLOOKUP(AI81,'G-7 Rivers Data'!$AA$4:$AB$7,2,FALSE)))</f>
        <v/>
      </c>
      <c r="AK81" s="155"/>
      <c r="AL81" s="536" t="str">
        <f>IF(AK81="","",IF(VLOOKUP(AK81,'G-7 Rivers Data'!$AD$4:$AE$8,2,FALSE)=0,"Spatial Data Missing ⚠",VLOOKUP(AK81,'G-7 Rivers Data'!$AD$4:$AE$8,2,FALSE)))</f>
        <v/>
      </c>
      <c r="AM81" s="154"/>
      <c r="AN81" s="524" t="str">
        <f>IF(AM81="","",VLOOKUP(AM81,'G-7 Rivers Data'!$AO$4:$AP$7,2,FALSE))</f>
        <v/>
      </c>
      <c r="AO81" s="545" t="str">
        <f t="shared" si="15"/>
        <v/>
      </c>
      <c r="AP81" s="149"/>
      <c r="AQ81" s="150"/>
      <c r="AX81" s="31" t="str">
        <f>IFERROR(INDEX('G-7 Rivers Data'!$AZ$3:$AZ$7,MATCH(N81,'G-7 Rivers Data'!$AY$3:$AY$7,0)),"")</f>
        <v/>
      </c>
    </row>
    <row r="82" spans="2:50" ht="13.8" x14ac:dyDescent="0.25">
      <c r="B82" s="531" t="str">
        <f>'F-1 Off Site River Baseline'!AN80</f>
        <v/>
      </c>
      <c r="C82" s="520" t="str">
        <f>IF(B82="","",VLOOKUP($B82,'F-1 Off Site River Baseline'!$C$9:$R$257,2,FALSE))</f>
        <v/>
      </c>
      <c r="D82" s="520" t="str">
        <f>IF(C82="","",VLOOKUP($B82,'F-1 Off Site River Baseline'!$C$9:$R$257,3,FALSE))</f>
        <v/>
      </c>
      <c r="E82" s="520" t="str">
        <f>IF(D82="","",VLOOKUP($B82,'F-1 Off Site River Baseline'!$C$9:$R$257,4,FALSE))</f>
        <v/>
      </c>
      <c r="F82" s="520" t="str">
        <f>IF(E82="","",VLOOKUP($B82,'F-1 Off Site River Baseline'!$C$9:$R$257,5,FALSE))</f>
        <v/>
      </c>
      <c r="G82" s="520" t="str">
        <f>IF(F82="","",VLOOKUP($B82,'F-1 Off Site River Baseline'!$C$9:$R$257,6,FALSE))</f>
        <v/>
      </c>
      <c r="H82" s="520" t="str">
        <f>IF(G82="","",VLOOKUP($B82,'F-1 Off Site River Baseline'!$C$9:$R$257,7,FALSE))</f>
        <v/>
      </c>
      <c r="I82" s="520" t="str">
        <f>IF(H82="","",VLOOKUP($B82,'F-1 Off Site River Baseline'!$C$9:$R$257,8,FALSE))</f>
        <v/>
      </c>
      <c r="J82" s="520" t="str">
        <f>IF(I82="","",VLOOKUP($B82,'F-1 Off Site River Baseline'!$C$9:$R$257,9,FALSE))</f>
        <v/>
      </c>
      <c r="K82" s="520" t="str">
        <f>IF(J82="","",VLOOKUP($B82,'F-1 Off Site River Baseline'!$C$9:$R$257,10,FALSE))</f>
        <v/>
      </c>
      <c r="L82" s="520" t="str">
        <f>IF(B82="","",VLOOKUP($B82,'C-1 Site River Baseline'!$C$9:$R$257,15,FALSE))</f>
        <v/>
      </c>
      <c r="M82" s="524" t="str">
        <f>IF(L82="","",VLOOKUP($B82,'F-1 Off Site River Baseline'!$C$9:$R$257,16,FALSE))</f>
        <v/>
      </c>
      <c r="N82" s="418" t="str">
        <f t="shared" si="12"/>
        <v/>
      </c>
      <c r="O82" s="498" t="str">
        <f t="shared" si="13"/>
        <v/>
      </c>
      <c r="P82" s="499"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5" t="str">
        <f>IF(N82="","",VLOOKUP(B82,'F-1 Off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20" t="str">
        <f>IF(V82="","",IF(VLOOKUP(V82,'G-7 Rivers Data'!$AG$4:$AI$9,2,FALSE)=0,"Spatial Data Missing ⚠",VLOOKUP(V82,'G-7 Rivers Data'!$AG$4:$AI$9,2,FALSE)))</f>
        <v/>
      </c>
      <c r="X82" s="524" t="str">
        <f>IF(V82="","",IF(VLOOKUP(V82,'G-7 Rivers Data'!$AG$4:$AI$9,3,FALSE)=0,"Spatial Data Missing ⚠",VLOOKUP(V82,'G-7 Rivers Data'!$AG$4:$AI$9,3,FALSE)))</f>
        <v/>
      </c>
      <c r="Y82" s="537" t="str">
        <f>IFERROR(IF(OR(LEFT(P82,5)="Error ▲",LEFT(O82,5)="Error ▲"),"Check Data ⚠",IF(F82&lt;S82,'G-7 Rivers Data'!$R$3,INDEX('G-7 Rivers Data'!$U$5:$Y$9,MATCH(G82,'G-7 Rivers Data'!$T$5:$T$9,0),MATCH(T82,'G-7 Rivers Data'!$U$4:$Y$4,0)))),"")</f>
        <v/>
      </c>
      <c r="Z82" s="203"/>
      <c r="AA82" s="203"/>
      <c r="AB82" s="534" t="str">
        <f t="shared" si="8"/>
        <v/>
      </c>
      <c r="AC82" s="521" t="str">
        <f t="shared" si="9"/>
        <v/>
      </c>
      <c r="AD82" s="564" t="str">
        <f>IFERROR(IF(AC82="Check Data ⚠","Check Data ⚠",VLOOKUP(AC82,'G-4 Temporal multipliers'!$A$4:$C$37,3,FALSE)),"")</f>
        <v/>
      </c>
      <c r="AE82" s="537" t="str">
        <f>IF(N82="","",VLOOKUP(N82,'G-7 Rivers Data'!$B$4:$G$8,5,FALSE))</f>
        <v/>
      </c>
      <c r="AF82" s="520" t="str">
        <f t="shared" si="10"/>
        <v/>
      </c>
      <c r="AG82" s="520" t="str">
        <f t="shared" si="14"/>
        <v/>
      </c>
      <c r="AH82" s="524" t="str">
        <f t="shared" si="11"/>
        <v/>
      </c>
      <c r="AI82" s="145"/>
      <c r="AJ82" s="499" t="str">
        <f>IF(AI82="","",IF(VLOOKUP(AI82,'G-7 Rivers Data'!$AA$4:$AB$7,2,FALSE)=0,"Spatial Data Missing ⚠",VLOOKUP(AI82,'G-7 Rivers Data'!$AA$4:$AB$7,2,FALSE)))</f>
        <v/>
      </c>
      <c r="AK82" s="155"/>
      <c r="AL82" s="536" t="str">
        <f>IF(AK82="","",IF(VLOOKUP(AK82,'G-7 Rivers Data'!$AD$4:$AE$8,2,FALSE)=0,"Spatial Data Missing ⚠",VLOOKUP(AK82,'G-7 Rivers Data'!$AD$4:$AE$8,2,FALSE)))</f>
        <v/>
      </c>
      <c r="AM82" s="154"/>
      <c r="AN82" s="524" t="str">
        <f>IF(AM82="","",VLOOKUP(AM82,'G-7 Rivers Data'!$AO$4:$AP$7,2,FALSE))</f>
        <v/>
      </c>
      <c r="AO82" s="545" t="str">
        <f t="shared" si="15"/>
        <v/>
      </c>
      <c r="AP82" s="149"/>
      <c r="AQ82" s="150"/>
      <c r="AX82" s="31" t="str">
        <f>IFERROR(INDEX('G-7 Rivers Data'!$AZ$3:$AZ$7,MATCH(N82,'G-7 Rivers Data'!$AY$3:$AY$7,0)),"")</f>
        <v/>
      </c>
    </row>
    <row r="83" spans="2:50" ht="13.8" x14ac:dyDescent="0.25">
      <c r="B83" s="531" t="str">
        <f>'F-1 Off Site River Baseline'!AN81</f>
        <v/>
      </c>
      <c r="C83" s="520" t="str">
        <f>IF(B83="","",VLOOKUP($B83,'F-1 Off Site River Baseline'!$C$9:$R$257,2,FALSE))</f>
        <v/>
      </c>
      <c r="D83" s="520" t="str">
        <f>IF(C83="","",VLOOKUP($B83,'F-1 Off Site River Baseline'!$C$9:$R$257,3,FALSE))</f>
        <v/>
      </c>
      <c r="E83" s="520" t="str">
        <f>IF(D83="","",VLOOKUP($B83,'F-1 Off Site River Baseline'!$C$9:$R$257,4,FALSE))</f>
        <v/>
      </c>
      <c r="F83" s="520" t="str">
        <f>IF(E83="","",VLOOKUP($B83,'F-1 Off Site River Baseline'!$C$9:$R$257,5,FALSE))</f>
        <v/>
      </c>
      <c r="G83" s="520" t="str">
        <f>IF(F83="","",VLOOKUP($B83,'F-1 Off Site River Baseline'!$C$9:$R$257,6,FALSE))</f>
        <v/>
      </c>
      <c r="H83" s="520" t="str">
        <f>IF(G83="","",VLOOKUP($B83,'F-1 Off Site River Baseline'!$C$9:$R$257,7,FALSE))</f>
        <v/>
      </c>
      <c r="I83" s="520" t="str">
        <f>IF(H83="","",VLOOKUP($B83,'F-1 Off Site River Baseline'!$C$9:$R$257,8,FALSE))</f>
        <v/>
      </c>
      <c r="J83" s="520" t="str">
        <f>IF(I83="","",VLOOKUP($B83,'F-1 Off Site River Baseline'!$C$9:$R$257,9,FALSE))</f>
        <v/>
      </c>
      <c r="K83" s="520" t="str">
        <f>IF(J83="","",VLOOKUP($B83,'F-1 Off Site River Baseline'!$C$9:$R$257,10,FALSE))</f>
        <v/>
      </c>
      <c r="L83" s="520" t="str">
        <f>IF(B83="","",VLOOKUP($B83,'C-1 Site River Baseline'!$C$9:$R$257,15,FALSE))</f>
        <v/>
      </c>
      <c r="M83" s="524" t="str">
        <f>IF(L83="","",VLOOKUP($B83,'F-1 Off Site River Baseline'!$C$9:$R$257,16,FALSE))</f>
        <v/>
      </c>
      <c r="N83" s="418" t="str">
        <f t="shared" si="12"/>
        <v/>
      </c>
      <c r="O83" s="498" t="str">
        <f t="shared" si="13"/>
        <v/>
      </c>
      <c r="P83" s="499"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5" t="str">
        <f>IF(N83="","",VLOOKUP(B83,'F-1 Off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20" t="str">
        <f>IF(V83="","",IF(VLOOKUP(V83,'G-7 Rivers Data'!$AG$4:$AI$9,2,FALSE)=0,"Spatial Data Missing ⚠",VLOOKUP(V83,'G-7 Rivers Data'!$AG$4:$AI$9,2,FALSE)))</f>
        <v/>
      </c>
      <c r="X83" s="524" t="str">
        <f>IF(V83="","",IF(VLOOKUP(V83,'G-7 Rivers Data'!$AG$4:$AI$9,3,FALSE)=0,"Spatial Data Missing ⚠",VLOOKUP(V83,'G-7 Rivers Data'!$AG$4:$AI$9,3,FALSE)))</f>
        <v/>
      </c>
      <c r="Y83" s="537" t="str">
        <f>IFERROR(IF(OR(LEFT(P83,5)="Error ▲",LEFT(O83,5)="Error ▲"),"Check Data ⚠",IF(F83&lt;S83,'G-7 Rivers Data'!$R$3,INDEX('G-7 Rivers Data'!$U$5:$Y$9,MATCH(G83,'G-7 Rivers Data'!$T$5:$T$9,0),MATCH(T83,'G-7 Rivers Data'!$U$4:$Y$4,0)))),"")</f>
        <v/>
      </c>
      <c r="Z83" s="203"/>
      <c r="AA83" s="203"/>
      <c r="AB83" s="534" t="str">
        <f t="shared" si="8"/>
        <v/>
      </c>
      <c r="AC83" s="521" t="str">
        <f t="shared" si="9"/>
        <v/>
      </c>
      <c r="AD83" s="564" t="str">
        <f>IFERROR(IF(AC83="Check Data ⚠","Check Data ⚠",VLOOKUP(AC83,'G-4 Temporal multipliers'!$A$4:$C$37,3,FALSE)),"")</f>
        <v/>
      </c>
      <c r="AE83" s="537" t="str">
        <f>IF(N83="","",VLOOKUP(N83,'G-7 Rivers Data'!$B$4:$G$8,5,FALSE))</f>
        <v/>
      </c>
      <c r="AF83" s="520" t="str">
        <f t="shared" si="10"/>
        <v/>
      </c>
      <c r="AG83" s="520" t="str">
        <f t="shared" si="14"/>
        <v/>
      </c>
      <c r="AH83" s="524" t="str">
        <f t="shared" si="11"/>
        <v/>
      </c>
      <c r="AI83" s="145"/>
      <c r="AJ83" s="499" t="str">
        <f>IF(AI83="","",IF(VLOOKUP(AI83,'G-7 Rivers Data'!$AA$4:$AB$7,2,FALSE)=0,"Spatial Data Missing ⚠",VLOOKUP(AI83,'G-7 Rivers Data'!$AA$4:$AB$7,2,FALSE)))</f>
        <v/>
      </c>
      <c r="AK83" s="155"/>
      <c r="AL83" s="536" t="str">
        <f>IF(AK83="","",IF(VLOOKUP(AK83,'G-7 Rivers Data'!$AD$4:$AE$8,2,FALSE)=0,"Spatial Data Missing ⚠",VLOOKUP(AK83,'G-7 Rivers Data'!$AD$4:$AE$8,2,FALSE)))</f>
        <v/>
      </c>
      <c r="AM83" s="154"/>
      <c r="AN83" s="524" t="str">
        <f>IF(AM83="","",VLOOKUP(AM83,'G-7 Rivers Data'!$AO$4:$AP$7,2,FALSE))</f>
        <v/>
      </c>
      <c r="AO83" s="545" t="str">
        <f t="shared" si="15"/>
        <v/>
      </c>
      <c r="AP83" s="149"/>
      <c r="AQ83" s="150"/>
      <c r="AX83" s="31" t="str">
        <f>IFERROR(INDEX('G-7 Rivers Data'!$AZ$3:$AZ$7,MATCH(N83,'G-7 Rivers Data'!$AY$3:$AY$7,0)),"")</f>
        <v/>
      </c>
    </row>
    <row r="84" spans="2:50" ht="13.8" x14ac:dyDescent="0.25">
      <c r="B84" s="531" t="str">
        <f>'F-1 Off Site River Baseline'!AN82</f>
        <v/>
      </c>
      <c r="C84" s="520" t="str">
        <f>IF(B84="","",VLOOKUP($B84,'F-1 Off Site River Baseline'!$C$9:$R$257,2,FALSE))</f>
        <v/>
      </c>
      <c r="D84" s="520" t="str">
        <f>IF(C84="","",VLOOKUP($B84,'F-1 Off Site River Baseline'!$C$9:$R$257,3,FALSE))</f>
        <v/>
      </c>
      <c r="E84" s="520" t="str">
        <f>IF(D84="","",VLOOKUP($B84,'F-1 Off Site River Baseline'!$C$9:$R$257,4,FALSE))</f>
        <v/>
      </c>
      <c r="F84" s="520" t="str">
        <f>IF(E84="","",VLOOKUP($B84,'F-1 Off Site River Baseline'!$C$9:$R$257,5,FALSE))</f>
        <v/>
      </c>
      <c r="G84" s="520" t="str">
        <f>IF(F84="","",VLOOKUP($B84,'F-1 Off Site River Baseline'!$C$9:$R$257,6,FALSE))</f>
        <v/>
      </c>
      <c r="H84" s="520" t="str">
        <f>IF(G84="","",VLOOKUP($B84,'F-1 Off Site River Baseline'!$C$9:$R$257,7,FALSE))</f>
        <v/>
      </c>
      <c r="I84" s="520" t="str">
        <f>IF(H84="","",VLOOKUP($B84,'F-1 Off Site River Baseline'!$C$9:$R$257,8,FALSE))</f>
        <v/>
      </c>
      <c r="J84" s="520" t="str">
        <f>IF(I84="","",VLOOKUP($B84,'F-1 Off Site River Baseline'!$C$9:$R$257,9,FALSE))</f>
        <v/>
      </c>
      <c r="K84" s="520" t="str">
        <f>IF(J84="","",VLOOKUP($B84,'F-1 Off Site River Baseline'!$C$9:$R$257,10,FALSE))</f>
        <v/>
      </c>
      <c r="L84" s="520" t="str">
        <f>IF(B84="","",VLOOKUP($B84,'C-1 Site River Baseline'!$C$9:$R$257,15,FALSE))</f>
        <v/>
      </c>
      <c r="M84" s="524" t="str">
        <f>IF(L84="","",VLOOKUP($B84,'F-1 Off Site River Baseline'!$C$9:$R$257,16,FALSE))</f>
        <v/>
      </c>
      <c r="N84" s="418" t="str">
        <f t="shared" si="12"/>
        <v/>
      </c>
      <c r="O84" s="498" t="str">
        <f t="shared" si="13"/>
        <v/>
      </c>
      <c r="P84" s="499"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5" t="str">
        <f>IF(N84="","",VLOOKUP(B84,'F-1 Off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20" t="str">
        <f>IF(V84="","",IF(VLOOKUP(V84,'G-7 Rivers Data'!$AG$4:$AI$9,2,FALSE)=0,"Spatial Data Missing ⚠",VLOOKUP(V84,'G-7 Rivers Data'!$AG$4:$AI$9,2,FALSE)))</f>
        <v/>
      </c>
      <c r="X84" s="524" t="str">
        <f>IF(V84="","",IF(VLOOKUP(V84,'G-7 Rivers Data'!$AG$4:$AI$9,3,FALSE)=0,"Spatial Data Missing ⚠",VLOOKUP(V84,'G-7 Rivers Data'!$AG$4:$AI$9,3,FALSE)))</f>
        <v/>
      </c>
      <c r="Y84" s="537" t="str">
        <f>IFERROR(IF(OR(LEFT(P84,5)="Error ▲",LEFT(O84,5)="Error ▲"),"Check Data ⚠",IF(F84&lt;S84,'G-7 Rivers Data'!$R$3,INDEX('G-7 Rivers Data'!$U$5:$Y$9,MATCH(G84,'G-7 Rivers Data'!$T$5:$T$9,0),MATCH(T84,'G-7 Rivers Data'!$U$4:$Y$4,0)))),"")</f>
        <v/>
      </c>
      <c r="Z84" s="203"/>
      <c r="AA84" s="203"/>
      <c r="AB84" s="534" t="str">
        <f t="shared" si="8"/>
        <v/>
      </c>
      <c r="AC84" s="521" t="str">
        <f t="shared" si="9"/>
        <v/>
      </c>
      <c r="AD84" s="564" t="str">
        <f>IFERROR(IF(AC84="Check Data ⚠","Check Data ⚠",VLOOKUP(AC84,'G-4 Temporal multipliers'!$A$4:$C$37,3,FALSE)),"")</f>
        <v/>
      </c>
      <c r="AE84" s="537" t="str">
        <f>IF(N84="","",VLOOKUP(N84,'G-7 Rivers Data'!$B$4:$G$8,5,FALSE))</f>
        <v/>
      </c>
      <c r="AF84" s="520" t="str">
        <f t="shared" si="10"/>
        <v/>
      </c>
      <c r="AG84" s="520" t="str">
        <f t="shared" si="14"/>
        <v/>
      </c>
      <c r="AH84" s="524" t="str">
        <f t="shared" si="11"/>
        <v/>
      </c>
      <c r="AI84" s="145"/>
      <c r="AJ84" s="499" t="str">
        <f>IF(AI84="","",IF(VLOOKUP(AI84,'G-7 Rivers Data'!$AA$4:$AB$7,2,FALSE)=0,"Spatial Data Missing ⚠",VLOOKUP(AI84,'G-7 Rivers Data'!$AA$4:$AB$7,2,FALSE)))</f>
        <v/>
      </c>
      <c r="AK84" s="155"/>
      <c r="AL84" s="536" t="str">
        <f>IF(AK84="","",IF(VLOOKUP(AK84,'G-7 Rivers Data'!$AD$4:$AE$8,2,FALSE)=0,"Spatial Data Missing ⚠",VLOOKUP(AK84,'G-7 Rivers Data'!$AD$4:$AE$8,2,FALSE)))</f>
        <v/>
      </c>
      <c r="AM84" s="154"/>
      <c r="AN84" s="524" t="str">
        <f>IF(AM84="","",VLOOKUP(AM84,'G-7 Rivers Data'!$AO$4:$AP$7,2,FALSE))</f>
        <v/>
      </c>
      <c r="AO84" s="545" t="str">
        <f t="shared" si="15"/>
        <v/>
      </c>
      <c r="AP84" s="149"/>
      <c r="AQ84" s="150"/>
      <c r="AX84" s="31" t="str">
        <f>IFERROR(INDEX('G-7 Rivers Data'!$AZ$3:$AZ$7,MATCH(N84,'G-7 Rivers Data'!$AY$3:$AY$7,0)),"")</f>
        <v/>
      </c>
    </row>
    <row r="85" spans="2:50" ht="13.8" x14ac:dyDescent="0.25">
      <c r="B85" s="531" t="str">
        <f>'F-1 Off Site River Baseline'!AN83</f>
        <v/>
      </c>
      <c r="C85" s="520" t="str">
        <f>IF(B85="","",VLOOKUP($B85,'F-1 Off Site River Baseline'!$C$9:$R$257,2,FALSE))</f>
        <v/>
      </c>
      <c r="D85" s="520" t="str">
        <f>IF(C85="","",VLOOKUP($B85,'F-1 Off Site River Baseline'!$C$9:$R$257,3,FALSE))</f>
        <v/>
      </c>
      <c r="E85" s="520" t="str">
        <f>IF(D85="","",VLOOKUP($B85,'F-1 Off Site River Baseline'!$C$9:$R$257,4,FALSE))</f>
        <v/>
      </c>
      <c r="F85" s="520" t="str">
        <f>IF(E85="","",VLOOKUP($B85,'F-1 Off Site River Baseline'!$C$9:$R$257,5,FALSE))</f>
        <v/>
      </c>
      <c r="G85" s="520" t="str">
        <f>IF(F85="","",VLOOKUP($B85,'F-1 Off Site River Baseline'!$C$9:$R$257,6,FALSE))</f>
        <v/>
      </c>
      <c r="H85" s="520" t="str">
        <f>IF(G85="","",VLOOKUP($B85,'F-1 Off Site River Baseline'!$C$9:$R$257,7,FALSE))</f>
        <v/>
      </c>
      <c r="I85" s="520" t="str">
        <f>IF(H85="","",VLOOKUP($B85,'F-1 Off Site River Baseline'!$C$9:$R$257,8,FALSE))</f>
        <v/>
      </c>
      <c r="J85" s="520" t="str">
        <f>IF(I85="","",VLOOKUP($B85,'F-1 Off Site River Baseline'!$C$9:$R$257,9,FALSE))</f>
        <v/>
      </c>
      <c r="K85" s="520" t="str">
        <f>IF(J85="","",VLOOKUP($B85,'F-1 Off Site River Baseline'!$C$9:$R$257,10,FALSE))</f>
        <v/>
      </c>
      <c r="L85" s="520" t="str">
        <f>IF(B85="","",VLOOKUP($B85,'C-1 Site River Baseline'!$C$9:$R$257,15,FALSE))</f>
        <v/>
      </c>
      <c r="M85" s="524" t="str">
        <f>IF(L85="","",VLOOKUP($B85,'F-1 Off Site River Baseline'!$C$9:$R$257,16,FALSE))</f>
        <v/>
      </c>
      <c r="N85" s="418" t="str">
        <f t="shared" si="12"/>
        <v/>
      </c>
      <c r="O85" s="498" t="str">
        <f t="shared" si="13"/>
        <v/>
      </c>
      <c r="P85" s="499"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5" t="str">
        <f>IF(N85="","",VLOOKUP(B85,'F-1 Off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20" t="str">
        <f>IF(V85="","",IF(VLOOKUP(V85,'G-7 Rivers Data'!$AG$4:$AI$9,2,FALSE)=0,"Spatial Data Missing ⚠",VLOOKUP(V85,'G-7 Rivers Data'!$AG$4:$AI$9,2,FALSE)))</f>
        <v/>
      </c>
      <c r="X85" s="524" t="str">
        <f>IF(V85="","",IF(VLOOKUP(V85,'G-7 Rivers Data'!$AG$4:$AI$9,3,FALSE)=0,"Spatial Data Missing ⚠",VLOOKUP(V85,'G-7 Rivers Data'!$AG$4:$AI$9,3,FALSE)))</f>
        <v/>
      </c>
      <c r="Y85" s="537" t="str">
        <f>IFERROR(IF(OR(LEFT(P85,5)="Error ▲",LEFT(O85,5)="Error ▲"),"Check Data ⚠",IF(F85&lt;S85,'G-7 Rivers Data'!$R$3,INDEX('G-7 Rivers Data'!$U$5:$Y$9,MATCH(G85,'G-7 Rivers Data'!$T$5:$T$9,0),MATCH(T85,'G-7 Rivers Data'!$U$4:$Y$4,0)))),"")</f>
        <v/>
      </c>
      <c r="Z85" s="203"/>
      <c r="AA85" s="203"/>
      <c r="AB85" s="534" t="str">
        <f t="shared" si="8"/>
        <v/>
      </c>
      <c r="AC85" s="521" t="str">
        <f t="shared" si="9"/>
        <v/>
      </c>
      <c r="AD85" s="564" t="str">
        <f>IFERROR(IF(AC85="Check Data ⚠","Check Data ⚠",VLOOKUP(AC85,'G-4 Temporal multipliers'!$A$4:$C$37,3,FALSE)),"")</f>
        <v/>
      </c>
      <c r="AE85" s="537" t="str">
        <f>IF(N85="","",VLOOKUP(N85,'G-7 Rivers Data'!$B$4:$G$8,5,FALSE))</f>
        <v/>
      </c>
      <c r="AF85" s="520" t="str">
        <f t="shared" si="10"/>
        <v/>
      </c>
      <c r="AG85" s="520" t="str">
        <f t="shared" si="14"/>
        <v/>
      </c>
      <c r="AH85" s="524" t="str">
        <f t="shared" si="11"/>
        <v/>
      </c>
      <c r="AI85" s="145"/>
      <c r="AJ85" s="499" t="str">
        <f>IF(AI85="","",IF(VLOOKUP(AI85,'G-7 Rivers Data'!$AA$4:$AB$7,2,FALSE)=0,"Spatial Data Missing ⚠",VLOOKUP(AI85,'G-7 Rivers Data'!$AA$4:$AB$7,2,FALSE)))</f>
        <v/>
      </c>
      <c r="AK85" s="155"/>
      <c r="AL85" s="536" t="str">
        <f>IF(AK85="","",IF(VLOOKUP(AK85,'G-7 Rivers Data'!$AD$4:$AE$8,2,FALSE)=0,"Spatial Data Missing ⚠",VLOOKUP(AK85,'G-7 Rivers Data'!$AD$4:$AE$8,2,FALSE)))</f>
        <v/>
      </c>
      <c r="AM85" s="154"/>
      <c r="AN85" s="524" t="str">
        <f>IF(AM85="","",VLOOKUP(AM85,'G-7 Rivers Data'!$AO$4:$AP$7,2,FALSE))</f>
        <v/>
      </c>
      <c r="AO85" s="545" t="str">
        <f t="shared" si="15"/>
        <v/>
      </c>
      <c r="AP85" s="149"/>
      <c r="AQ85" s="150"/>
      <c r="AX85" s="31" t="str">
        <f>IFERROR(INDEX('G-7 Rivers Data'!$AZ$3:$AZ$7,MATCH(N85,'G-7 Rivers Data'!$AY$3:$AY$7,0)),"")</f>
        <v/>
      </c>
    </row>
    <row r="86" spans="2:50" ht="13.8" x14ac:dyDescent="0.25">
      <c r="B86" s="531" t="str">
        <f>'F-1 Off Site River Baseline'!AN84</f>
        <v/>
      </c>
      <c r="C86" s="520" t="str">
        <f>IF(B86="","",VLOOKUP($B86,'F-1 Off Site River Baseline'!$C$9:$R$257,2,FALSE))</f>
        <v/>
      </c>
      <c r="D86" s="520" t="str">
        <f>IF(C86="","",VLOOKUP($B86,'F-1 Off Site River Baseline'!$C$9:$R$257,3,FALSE))</f>
        <v/>
      </c>
      <c r="E86" s="520" t="str">
        <f>IF(D86="","",VLOOKUP($B86,'F-1 Off Site River Baseline'!$C$9:$R$257,4,FALSE))</f>
        <v/>
      </c>
      <c r="F86" s="520" t="str">
        <f>IF(E86="","",VLOOKUP($B86,'F-1 Off Site River Baseline'!$C$9:$R$257,5,FALSE))</f>
        <v/>
      </c>
      <c r="G86" s="520" t="str">
        <f>IF(F86="","",VLOOKUP($B86,'F-1 Off Site River Baseline'!$C$9:$R$257,6,FALSE))</f>
        <v/>
      </c>
      <c r="H86" s="520" t="str">
        <f>IF(G86="","",VLOOKUP($B86,'F-1 Off Site River Baseline'!$C$9:$R$257,7,FALSE))</f>
        <v/>
      </c>
      <c r="I86" s="520" t="str">
        <f>IF(H86="","",VLOOKUP($B86,'F-1 Off Site River Baseline'!$C$9:$R$257,8,FALSE))</f>
        <v/>
      </c>
      <c r="J86" s="520" t="str">
        <f>IF(I86="","",VLOOKUP($B86,'F-1 Off Site River Baseline'!$C$9:$R$257,9,FALSE))</f>
        <v/>
      </c>
      <c r="K86" s="520" t="str">
        <f>IF(J86="","",VLOOKUP($B86,'F-1 Off Site River Baseline'!$C$9:$R$257,10,FALSE))</f>
        <v/>
      </c>
      <c r="L86" s="520" t="str">
        <f>IF(B86="","",VLOOKUP($B86,'C-1 Site River Baseline'!$C$9:$R$257,15,FALSE))</f>
        <v/>
      </c>
      <c r="M86" s="524" t="str">
        <f>IF(L86="","",VLOOKUP($B86,'F-1 Off Site River Baseline'!$C$9:$R$257,16,FALSE))</f>
        <v/>
      </c>
      <c r="N86" s="418" t="str">
        <f t="shared" si="12"/>
        <v/>
      </c>
      <c r="O86" s="498" t="str">
        <f t="shared" si="13"/>
        <v/>
      </c>
      <c r="P86" s="499"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5" t="str">
        <f>IF(N86="","",VLOOKUP(B86,'F-1 Off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20" t="str">
        <f>IF(V86="","",IF(VLOOKUP(V86,'G-7 Rivers Data'!$AG$4:$AI$9,2,FALSE)=0,"Spatial Data Missing ⚠",VLOOKUP(V86,'G-7 Rivers Data'!$AG$4:$AI$9,2,FALSE)))</f>
        <v/>
      </c>
      <c r="X86" s="524" t="str">
        <f>IF(V86="","",IF(VLOOKUP(V86,'G-7 Rivers Data'!$AG$4:$AI$9,3,FALSE)=0,"Spatial Data Missing ⚠",VLOOKUP(V86,'G-7 Rivers Data'!$AG$4:$AI$9,3,FALSE)))</f>
        <v/>
      </c>
      <c r="Y86" s="537" t="str">
        <f>IFERROR(IF(OR(LEFT(P86,5)="Error ▲",LEFT(O86,5)="Error ▲"),"Check Data ⚠",IF(F86&lt;S86,'G-7 Rivers Data'!$R$3,INDEX('G-7 Rivers Data'!$U$5:$Y$9,MATCH(G86,'G-7 Rivers Data'!$T$5:$T$9,0),MATCH(T86,'G-7 Rivers Data'!$U$4:$Y$4,0)))),"")</f>
        <v/>
      </c>
      <c r="Z86" s="203"/>
      <c r="AA86" s="203"/>
      <c r="AB86" s="534" t="str">
        <f t="shared" si="8"/>
        <v/>
      </c>
      <c r="AC86" s="521" t="str">
        <f t="shared" si="9"/>
        <v/>
      </c>
      <c r="AD86" s="564" t="str">
        <f>IFERROR(IF(AC86="Check Data ⚠","Check Data ⚠",VLOOKUP(AC86,'G-4 Temporal multipliers'!$A$4:$C$37,3,FALSE)),"")</f>
        <v/>
      </c>
      <c r="AE86" s="537" t="str">
        <f>IF(N86="","",VLOOKUP(N86,'G-7 Rivers Data'!$B$4:$G$8,5,FALSE))</f>
        <v/>
      </c>
      <c r="AF86" s="520" t="str">
        <f t="shared" si="10"/>
        <v/>
      </c>
      <c r="AG86" s="520" t="str">
        <f t="shared" si="14"/>
        <v/>
      </c>
      <c r="AH86" s="524" t="str">
        <f t="shared" si="11"/>
        <v/>
      </c>
      <c r="AI86" s="145"/>
      <c r="AJ86" s="499" t="str">
        <f>IF(AI86="","",IF(VLOOKUP(AI86,'G-7 Rivers Data'!$AA$4:$AB$7,2,FALSE)=0,"Spatial Data Missing ⚠",VLOOKUP(AI86,'G-7 Rivers Data'!$AA$4:$AB$7,2,FALSE)))</f>
        <v/>
      </c>
      <c r="AK86" s="155"/>
      <c r="AL86" s="536" t="str">
        <f>IF(AK86="","",IF(VLOOKUP(AK86,'G-7 Rivers Data'!$AD$4:$AE$8,2,FALSE)=0,"Spatial Data Missing ⚠",VLOOKUP(AK86,'G-7 Rivers Data'!$AD$4:$AE$8,2,FALSE)))</f>
        <v/>
      </c>
      <c r="AM86" s="154"/>
      <c r="AN86" s="524" t="str">
        <f>IF(AM86="","",VLOOKUP(AM86,'G-7 Rivers Data'!$AO$4:$AP$7,2,FALSE))</f>
        <v/>
      </c>
      <c r="AO86" s="545" t="str">
        <f t="shared" si="15"/>
        <v/>
      </c>
      <c r="AP86" s="149"/>
      <c r="AQ86" s="150"/>
      <c r="AX86" s="31" t="str">
        <f>IFERROR(INDEX('G-7 Rivers Data'!$AZ$3:$AZ$7,MATCH(N86,'G-7 Rivers Data'!$AY$3:$AY$7,0)),"")</f>
        <v/>
      </c>
    </row>
    <row r="87" spans="2:50" ht="13.8" x14ac:dyDescent="0.25">
      <c r="B87" s="531" t="str">
        <f>'F-1 Off Site River Baseline'!AN85</f>
        <v/>
      </c>
      <c r="C87" s="520" t="str">
        <f>IF(B87="","",VLOOKUP($B87,'F-1 Off Site River Baseline'!$C$9:$R$257,2,FALSE))</f>
        <v/>
      </c>
      <c r="D87" s="520" t="str">
        <f>IF(C87="","",VLOOKUP($B87,'F-1 Off Site River Baseline'!$C$9:$R$257,3,FALSE))</f>
        <v/>
      </c>
      <c r="E87" s="520" t="str">
        <f>IF(D87="","",VLOOKUP($B87,'F-1 Off Site River Baseline'!$C$9:$R$257,4,FALSE))</f>
        <v/>
      </c>
      <c r="F87" s="520" t="str">
        <f>IF(E87="","",VLOOKUP($B87,'F-1 Off Site River Baseline'!$C$9:$R$257,5,FALSE))</f>
        <v/>
      </c>
      <c r="G87" s="520" t="str">
        <f>IF(F87="","",VLOOKUP($B87,'F-1 Off Site River Baseline'!$C$9:$R$257,6,FALSE))</f>
        <v/>
      </c>
      <c r="H87" s="520" t="str">
        <f>IF(G87="","",VLOOKUP($B87,'F-1 Off Site River Baseline'!$C$9:$R$257,7,FALSE))</f>
        <v/>
      </c>
      <c r="I87" s="520" t="str">
        <f>IF(H87="","",VLOOKUP($B87,'F-1 Off Site River Baseline'!$C$9:$R$257,8,FALSE))</f>
        <v/>
      </c>
      <c r="J87" s="520" t="str">
        <f>IF(I87="","",VLOOKUP($B87,'F-1 Off Site River Baseline'!$C$9:$R$257,9,FALSE))</f>
        <v/>
      </c>
      <c r="K87" s="520" t="str">
        <f>IF(J87="","",VLOOKUP($B87,'F-1 Off Site River Baseline'!$C$9:$R$257,10,FALSE))</f>
        <v/>
      </c>
      <c r="L87" s="520" t="str">
        <f>IF(B87="","",VLOOKUP($B87,'C-1 Site River Baseline'!$C$9:$R$257,15,FALSE))</f>
        <v/>
      </c>
      <c r="M87" s="524" t="str">
        <f>IF(L87="","",VLOOKUP($B87,'F-1 Off Site River Baseline'!$C$9:$R$257,16,FALSE))</f>
        <v/>
      </c>
      <c r="N87" s="418" t="str">
        <f t="shared" si="12"/>
        <v/>
      </c>
      <c r="O87" s="498" t="str">
        <f t="shared" si="13"/>
        <v/>
      </c>
      <c r="P87" s="499"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5" t="str">
        <f>IF(N87="","",VLOOKUP(B87,'F-1 Off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20" t="str">
        <f>IF(V87="","",IF(VLOOKUP(V87,'G-7 Rivers Data'!$AG$4:$AI$9,2,FALSE)=0,"Spatial Data Missing ⚠",VLOOKUP(V87,'G-7 Rivers Data'!$AG$4:$AI$9,2,FALSE)))</f>
        <v/>
      </c>
      <c r="X87" s="524" t="str">
        <f>IF(V87="","",IF(VLOOKUP(V87,'G-7 Rivers Data'!$AG$4:$AI$9,3,FALSE)=0,"Spatial Data Missing ⚠",VLOOKUP(V87,'G-7 Rivers Data'!$AG$4:$AI$9,3,FALSE)))</f>
        <v/>
      </c>
      <c r="Y87" s="537" t="str">
        <f>IFERROR(IF(OR(LEFT(P87,5)="Error ▲",LEFT(O87,5)="Error ▲"),"Check Data ⚠",IF(F87&lt;S87,'G-7 Rivers Data'!$R$3,INDEX('G-7 Rivers Data'!$U$5:$Y$9,MATCH(G87,'G-7 Rivers Data'!$T$5:$T$9,0),MATCH(T87,'G-7 Rivers Data'!$U$4:$Y$4,0)))),"")</f>
        <v/>
      </c>
      <c r="Z87" s="203"/>
      <c r="AA87" s="203"/>
      <c r="AB87" s="534" t="str">
        <f t="shared" si="8"/>
        <v/>
      </c>
      <c r="AC87" s="521" t="str">
        <f t="shared" si="9"/>
        <v/>
      </c>
      <c r="AD87" s="564" t="str">
        <f>IFERROR(IF(AC87="Check Data ⚠","Check Data ⚠",VLOOKUP(AC87,'G-4 Temporal multipliers'!$A$4:$C$37,3,FALSE)),"")</f>
        <v/>
      </c>
      <c r="AE87" s="537" t="str">
        <f>IF(N87="","",VLOOKUP(N87,'G-7 Rivers Data'!$B$4:$G$8,5,FALSE))</f>
        <v/>
      </c>
      <c r="AF87" s="520" t="str">
        <f t="shared" si="10"/>
        <v/>
      </c>
      <c r="AG87" s="520" t="str">
        <f t="shared" si="14"/>
        <v/>
      </c>
      <c r="AH87" s="524" t="str">
        <f t="shared" si="11"/>
        <v/>
      </c>
      <c r="AI87" s="145"/>
      <c r="AJ87" s="499" t="str">
        <f>IF(AI87="","",IF(VLOOKUP(AI87,'G-7 Rivers Data'!$AA$4:$AB$7,2,FALSE)=0,"Spatial Data Missing ⚠",VLOOKUP(AI87,'G-7 Rivers Data'!$AA$4:$AB$7,2,FALSE)))</f>
        <v/>
      </c>
      <c r="AK87" s="155"/>
      <c r="AL87" s="536" t="str">
        <f>IF(AK87="","",IF(VLOOKUP(AK87,'G-7 Rivers Data'!$AD$4:$AE$8,2,FALSE)=0,"Spatial Data Missing ⚠",VLOOKUP(AK87,'G-7 Rivers Data'!$AD$4:$AE$8,2,FALSE)))</f>
        <v/>
      </c>
      <c r="AM87" s="154"/>
      <c r="AN87" s="524" t="str">
        <f>IF(AM87="","",VLOOKUP(AM87,'G-7 Rivers Data'!$AO$4:$AP$7,2,FALSE))</f>
        <v/>
      </c>
      <c r="AO87" s="545" t="str">
        <f t="shared" si="15"/>
        <v/>
      </c>
      <c r="AP87" s="149"/>
      <c r="AQ87" s="150"/>
      <c r="AX87" s="31" t="str">
        <f>IFERROR(INDEX('G-7 Rivers Data'!$AZ$3:$AZ$7,MATCH(N87,'G-7 Rivers Data'!$AY$3:$AY$7,0)),"")</f>
        <v/>
      </c>
    </row>
    <row r="88" spans="2:50" ht="13.8" x14ac:dyDescent="0.25">
      <c r="B88" s="531" t="str">
        <f>'F-1 Off Site River Baseline'!AN86</f>
        <v/>
      </c>
      <c r="C88" s="520" t="str">
        <f>IF(B88="","",VLOOKUP($B88,'F-1 Off Site River Baseline'!$C$9:$R$257,2,FALSE))</f>
        <v/>
      </c>
      <c r="D88" s="520" t="str">
        <f>IF(C88="","",VLOOKUP($B88,'F-1 Off Site River Baseline'!$C$9:$R$257,3,FALSE))</f>
        <v/>
      </c>
      <c r="E88" s="520" t="str">
        <f>IF(D88="","",VLOOKUP($B88,'F-1 Off Site River Baseline'!$C$9:$R$257,4,FALSE))</f>
        <v/>
      </c>
      <c r="F88" s="520" t="str">
        <f>IF(E88="","",VLOOKUP($B88,'F-1 Off Site River Baseline'!$C$9:$R$257,5,FALSE))</f>
        <v/>
      </c>
      <c r="G88" s="520" t="str">
        <f>IF(F88="","",VLOOKUP($B88,'F-1 Off Site River Baseline'!$C$9:$R$257,6,FALSE))</f>
        <v/>
      </c>
      <c r="H88" s="520" t="str">
        <f>IF(G88="","",VLOOKUP($B88,'F-1 Off Site River Baseline'!$C$9:$R$257,7,FALSE))</f>
        <v/>
      </c>
      <c r="I88" s="520" t="str">
        <f>IF(H88="","",VLOOKUP($B88,'F-1 Off Site River Baseline'!$C$9:$R$257,8,FALSE))</f>
        <v/>
      </c>
      <c r="J88" s="520" t="str">
        <f>IF(I88="","",VLOOKUP($B88,'F-1 Off Site River Baseline'!$C$9:$R$257,9,FALSE))</f>
        <v/>
      </c>
      <c r="K88" s="520" t="str">
        <f>IF(J88="","",VLOOKUP($B88,'F-1 Off Site River Baseline'!$C$9:$R$257,10,FALSE))</f>
        <v/>
      </c>
      <c r="L88" s="520" t="str">
        <f>IF(B88="","",VLOOKUP($B88,'C-1 Site River Baseline'!$C$9:$R$257,15,FALSE))</f>
        <v/>
      </c>
      <c r="M88" s="524" t="str">
        <f>IF(L88="","",VLOOKUP($B88,'F-1 Off Site River Baseline'!$C$9:$R$257,16,FALSE))</f>
        <v/>
      </c>
      <c r="N88" s="418" t="str">
        <f t="shared" si="12"/>
        <v/>
      </c>
      <c r="O88" s="498" t="str">
        <f t="shared" si="13"/>
        <v/>
      </c>
      <c r="P88" s="499"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5" t="str">
        <f>IF(N88="","",VLOOKUP(B88,'F-1 Off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20" t="str">
        <f>IF(V88="","",IF(VLOOKUP(V88,'G-7 Rivers Data'!$AG$4:$AI$9,2,FALSE)=0,"Spatial Data Missing ⚠",VLOOKUP(V88,'G-7 Rivers Data'!$AG$4:$AI$9,2,FALSE)))</f>
        <v/>
      </c>
      <c r="X88" s="524" t="str">
        <f>IF(V88="","",IF(VLOOKUP(V88,'G-7 Rivers Data'!$AG$4:$AI$9,3,FALSE)=0,"Spatial Data Missing ⚠",VLOOKUP(V88,'G-7 Rivers Data'!$AG$4:$AI$9,3,FALSE)))</f>
        <v/>
      </c>
      <c r="Y88" s="537" t="str">
        <f>IFERROR(IF(OR(LEFT(P88,5)="Error ▲",LEFT(O88,5)="Error ▲"),"Check Data ⚠",IF(F88&lt;S88,'G-7 Rivers Data'!$R$3,INDEX('G-7 Rivers Data'!$U$5:$Y$9,MATCH(G88,'G-7 Rivers Data'!$T$5:$T$9,0),MATCH(T88,'G-7 Rivers Data'!$U$4:$Y$4,0)))),"")</f>
        <v/>
      </c>
      <c r="Z88" s="203"/>
      <c r="AA88" s="203"/>
      <c r="AB88" s="534" t="str">
        <f t="shared" si="8"/>
        <v/>
      </c>
      <c r="AC88" s="521" t="str">
        <f t="shared" si="9"/>
        <v/>
      </c>
      <c r="AD88" s="564" t="str">
        <f>IFERROR(IF(AC88="Check Data ⚠","Check Data ⚠",VLOOKUP(AC88,'G-4 Temporal multipliers'!$A$4:$C$37,3,FALSE)),"")</f>
        <v/>
      </c>
      <c r="AE88" s="537" t="str">
        <f>IF(N88="","",VLOOKUP(N88,'G-7 Rivers Data'!$B$4:$G$8,5,FALSE))</f>
        <v/>
      </c>
      <c r="AF88" s="520" t="str">
        <f t="shared" si="10"/>
        <v/>
      </c>
      <c r="AG88" s="520" t="str">
        <f t="shared" si="14"/>
        <v/>
      </c>
      <c r="AH88" s="524" t="str">
        <f t="shared" si="11"/>
        <v/>
      </c>
      <c r="AI88" s="145"/>
      <c r="AJ88" s="499" t="str">
        <f>IF(AI88="","",IF(VLOOKUP(AI88,'G-7 Rivers Data'!$AA$4:$AB$7,2,FALSE)=0,"Spatial Data Missing ⚠",VLOOKUP(AI88,'G-7 Rivers Data'!$AA$4:$AB$7,2,FALSE)))</f>
        <v/>
      </c>
      <c r="AK88" s="155"/>
      <c r="AL88" s="536" t="str">
        <f>IF(AK88="","",IF(VLOOKUP(AK88,'G-7 Rivers Data'!$AD$4:$AE$8,2,FALSE)=0,"Spatial Data Missing ⚠",VLOOKUP(AK88,'G-7 Rivers Data'!$AD$4:$AE$8,2,FALSE)))</f>
        <v/>
      </c>
      <c r="AM88" s="154"/>
      <c r="AN88" s="524" t="str">
        <f>IF(AM88="","",VLOOKUP(AM88,'G-7 Rivers Data'!$AO$4:$AP$7,2,FALSE))</f>
        <v/>
      </c>
      <c r="AO88" s="545" t="str">
        <f t="shared" si="15"/>
        <v/>
      </c>
      <c r="AP88" s="149"/>
      <c r="AQ88" s="150"/>
      <c r="AX88" s="31" t="str">
        <f>IFERROR(INDEX('G-7 Rivers Data'!$AZ$3:$AZ$7,MATCH(N88,'G-7 Rivers Data'!$AY$3:$AY$7,0)),"")</f>
        <v/>
      </c>
    </row>
    <row r="89" spans="2:50" ht="13.8" x14ac:dyDescent="0.25">
      <c r="B89" s="531" t="str">
        <f>'F-1 Off Site River Baseline'!AN87</f>
        <v/>
      </c>
      <c r="C89" s="520" t="str">
        <f>IF(B89="","",VLOOKUP($B89,'F-1 Off Site River Baseline'!$C$9:$R$257,2,FALSE))</f>
        <v/>
      </c>
      <c r="D89" s="520" t="str">
        <f>IF(C89="","",VLOOKUP($B89,'F-1 Off Site River Baseline'!$C$9:$R$257,3,FALSE))</f>
        <v/>
      </c>
      <c r="E89" s="520" t="str">
        <f>IF(D89="","",VLOOKUP($B89,'F-1 Off Site River Baseline'!$C$9:$R$257,4,FALSE))</f>
        <v/>
      </c>
      <c r="F89" s="520" t="str">
        <f>IF(E89="","",VLOOKUP($B89,'F-1 Off Site River Baseline'!$C$9:$R$257,5,FALSE))</f>
        <v/>
      </c>
      <c r="G89" s="520" t="str">
        <f>IF(F89="","",VLOOKUP($B89,'F-1 Off Site River Baseline'!$C$9:$R$257,6,FALSE))</f>
        <v/>
      </c>
      <c r="H89" s="520" t="str">
        <f>IF(G89="","",VLOOKUP($B89,'F-1 Off Site River Baseline'!$C$9:$R$257,7,FALSE))</f>
        <v/>
      </c>
      <c r="I89" s="520" t="str">
        <f>IF(H89="","",VLOOKUP($B89,'F-1 Off Site River Baseline'!$C$9:$R$257,8,FALSE))</f>
        <v/>
      </c>
      <c r="J89" s="520" t="str">
        <f>IF(I89="","",VLOOKUP($B89,'F-1 Off Site River Baseline'!$C$9:$R$257,9,FALSE))</f>
        <v/>
      </c>
      <c r="K89" s="520" t="str">
        <f>IF(J89="","",VLOOKUP($B89,'F-1 Off Site River Baseline'!$C$9:$R$257,10,FALSE))</f>
        <v/>
      </c>
      <c r="L89" s="520" t="str">
        <f>IF(B89="","",VLOOKUP($B89,'C-1 Site River Baseline'!$C$9:$R$257,15,FALSE))</f>
        <v/>
      </c>
      <c r="M89" s="524" t="str">
        <f>IF(L89="","",VLOOKUP($B89,'F-1 Off Site River Baseline'!$C$9:$R$257,16,FALSE))</f>
        <v/>
      </c>
      <c r="N89" s="418" t="str">
        <f t="shared" si="12"/>
        <v/>
      </c>
      <c r="O89" s="498" t="str">
        <f t="shared" si="13"/>
        <v/>
      </c>
      <c r="P89" s="499"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5" t="str">
        <f>IF(N89="","",VLOOKUP(B89,'F-1 Off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20" t="str">
        <f>IF(V89="","",IF(VLOOKUP(V89,'G-7 Rivers Data'!$AG$4:$AI$9,2,FALSE)=0,"Spatial Data Missing ⚠",VLOOKUP(V89,'G-7 Rivers Data'!$AG$4:$AI$9,2,FALSE)))</f>
        <v/>
      </c>
      <c r="X89" s="524" t="str">
        <f>IF(V89="","",IF(VLOOKUP(V89,'G-7 Rivers Data'!$AG$4:$AI$9,3,FALSE)=0,"Spatial Data Missing ⚠",VLOOKUP(V89,'G-7 Rivers Data'!$AG$4:$AI$9,3,FALSE)))</f>
        <v/>
      </c>
      <c r="Y89" s="537" t="str">
        <f>IFERROR(IF(OR(LEFT(P89,5)="Error ▲",LEFT(O89,5)="Error ▲"),"Check Data ⚠",IF(F89&lt;S89,'G-7 Rivers Data'!$R$3,INDEX('G-7 Rivers Data'!$U$5:$Y$9,MATCH(G89,'G-7 Rivers Data'!$T$5:$T$9,0),MATCH(T89,'G-7 Rivers Data'!$U$4:$Y$4,0)))),"")</f>
        <v/>
      </c>
      <c r="Z89" s="203"/>
      <c r="AA89" s="203"/>
      <c r="AB89" s="534" t="str">
        <f t="shared" si="8"/>
        <v/>
      </c>
      <c r="AC89" s="521" t="str">
        <f t="shared" si="9"/>
        <v/>
      </c>
      <c r="AD89" s="564" t="str">
        <f>IFERROR(IF(AC89="Check Data ⚠","Check Data ⚠",VLOOKUP(AC89,'G-4 Temporal multipliers'!$A$4:$C$37,3,FALSE)),"")</f>
        <v/>
      </c>
      <c r="AE89" s="537" t="str">
        <f>IF(N89="","",VLOOKUP(N89,'G-7 Rivers Data'!$B$4:$G$8,5,FALSE))</f>
        <v/>
      </c>
      <c r="AF89" s="520" t="str">
        <f t="shared" si="10"/>
        <v/>
      </c>
      <c r="AG89" s="520" t="str">
        <f t="shared" si="14"/>
        <v/>
      </c>
      <c r="AH89" s="524" t="str">
        <f t="shared" si="11"/>
        <v/>
      </c>
      <c r="AI89" s="145"/>
      <c r="AJ89" s="499" t="str">
        <f>IF(AI89="","",IF(VLOOKUP(AI89,'G-7 Rivers Data'!$AA$4:$AB$7,2,FALSE)=0,"Spatial Data Missing ⚠",VLOOKUP(AI89,'G-7 Rivers Data'!$AA$4:$AB$7,2,FALSE)))</f>
        <v/>
      </c>
      <c r="AK89" s="155"/>
      <c r="AL89" s="536" t="str">
        <f>IF(AK89="","",IF(VLOOKUP(AK89,'G-7 Rivers Data'!$AD$4:$AE$8,2,FALSE)=0,"Spatial Data Missing ⚠",VLOOKUP(AK89,'G-7 Rivers Data'!$AD$4:$AE$8,2,FALSE)))</f>
        <v/>
      </c>
      <c r="AM89" s="154"/>
      <c r="AN89" s="524" t="str">
        <f>IF(AM89="","",VLOOKUP(AM89,'G-7 Rivers Data'!$AO$4:$AP$7,2,FALSE))</f>
        <v/>
      </c>
      <c r="AO89" s="545" t="str">
        <f t="shared" si="15"/>
        <v/>
      </c>
      <c r="AP89" s="149"/>
      <c r="AQ89" s="150"/>
      <c r="AX89" s="31" t="str">
        <f>IFERROR(INDEX('G-7 Rivers Data'!$AZ$3:$AZ$7,MATCH(N89,'G-7 Rivers Data'!$AY$3:$AY$7,0)),"")</f>
        <v/>
      </c>
    </row>
    <row r="90" spans="2:50" ht="13.8" x14ac:dyDescent="0.25">
      <c r="B90" s="531" t="str">
        <f>'F-1 Off Site River Baseline'!AN88</f>
        <v/>
      </c>
      <c r="C90" s="520" t="str">
        <f>IF(B90="","",VLOOKUP($B90,'F-1 Off Site River Baseline'!$C$9:$R$257,2,FALSE))</f>
        <v/>
      </c>
      <c r="D90" s="520" t="str">
        <f>IF(C90="","",VLOOKUP($B90,'F-1 Off Site River Baseline'!$C$9:$R$257,3,FALSE))</f>
        <v/>
      </c>
      <c r="E90" s="520" t="str">
        <f>IF(D90="","",VLOOKUP($B90,'F-1 Off Site River Baseline'!$C$9:$R$257,4,FALSE))</f>
        <v/>
      </c>
      <c r="F90" s="520" t="str">
        <f>IF(E90="","",VLOOKUP($B90,'F-1 Off Site River Baseline'!$C$9:$R$257,5,FALSE))</f>
        <v/>
      </c>
      <c r="G90" s="520" t="str">
        <f>IF(F90="","",VLOOKUP($B90,'F-1 Off Site River Baseline'!$C$9:$R$257,6,FALSE))</f>
        <v/>
      </c>
      <c r="H90" s="520" t="str">
        <f>IF(G90="","",VLOOKUP($B90,'F-1 Off Site River Baseline'!$C$9:$R$257,7,FALSE))</f>
        <v/>
      </c>
      <c r="I90" s="520" t="str">
        <f>IF(H90="","",VLOOKUP($B90,'F-1 Off Site River Baseline'!$C$9:$R$257,8,FALSE))</f>
        <v/>
      </c>
      <c r="J90" s="520" t="str">
        <f>IF(I90="","",VLOOKUP($B90,'F-1 Off Site River Baseline'!$C$9:$R$257,9,FALSE))</f>
        <v/>
      </c>
      <c r="K90" s="520" t="str">
        <f>IF(J90="","",VLOOKUP($B90,'F-1 Off Site River Baseline'!$C$9:$R$257,10,FALSE))</f>
        <v/>
      </c>
      <c r="L90" s="520" t="str">
        <f>IF(B90="","",VLOOKUP($B90,'C-1 Site River Baseline'!$C$9:$R$257,15,FALSE))</f>
        <v/>
      </c>
      <c r="M90" s="524" t="str">
        <f>IF(L90="","",VLOOKUP($B90,'F-1 Off Site River Baseline'!$C$9:$R$257,16,FALSE))</f>
        <v/>
      </c>
      <c r="N90" s="418" t="str">
        <f t="shared" si="12"/>
        <v/>
      </c>
      <c r="O90" s="498" t="str">
        <f t="shared" si="13"/>
        <v/>
      </c>
      <c r="P90" s="499"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5" t="str">
        <f>IF(N90="","",VLOOKUP(B90,'F-1 Off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20" t="str">
        <f>IF(V90="","",IF(VLOOKUP(V90,'G-7 Rivers Data'!$AG$4:$AI$9,2,FALSE)=0,"Spatial Data Missing ⚠",VLOOKUP(V90,'G-7 Rivers Data'!$AG$4:$AI$9,2,FALSE)))</f>
        <v/>
      </c>
      <c r="X90" s="524" t="str">
        <f>IF(V90="","",IF(VLOOKUP(V90,'G-7 Rivers Data'!$AG$4:$AI$9,3,FALSE)=0,"Spatial Data Missing ⚠",VLOOKUP(V90,'G-7 Rivers Data'!$AG$4:$AI$9,3,FALSE)))</f>
        <v/>
      </c>
      <c r="Y90" s="537" t="str">
        <f>IFERROR(IF(OR(LEFT(P90,5)="Error ▲",LEFT(O90,5)="Error ▲"),"Check Data ⚠",IF(F90&lt;S90,'G-7 Rivers Data'!$R$3,INDEX('G-7 Rivers Data'!$U$5:$Y$9,MATCH(G90,'G-7 Rivers Data'!$T$5:$T$9,0),MATCH(T90,'G-7 Rivers Data'!$U$4:$Y$4,0)))),"")</f>
        <v/>
      </c>
      <c r="Z90" s="203"/>
      <c r="AA90" s="203"/>
      <c r="AB90" s="534" t="str">
        <f t="shared" si="8"/>
        <v/>
      </c>
      <c r="AC90" s="521" t="str">
        <f t="shared" si="9"/>
        <v/>
      </c>
      <c r="AD90" s="564" t="str">
        <f>IFERROR(IF(AC90="Check Data ⚠","Check Data ⚠",VLOOKUP(AC90,'G-4 Temporal multipliers'!$A$4:$C$37,3,FALSE)),"")</f>
        <v/>
      </c>
      <c r="AE90" s="537" t="str">
        <f>IF(N90="","",VLOOKUP(N90,'G-7 Rivers Data'!$B$4:$G$8,5,FALSE))</f>
        <v/>
      </c>
      <c r="AF90" s="520" t="str">
        <f t="shared" si="10"/>
        <v/>
      </c>
      <c r="AG90" s="520" t="str">
        <f t="shared" si="14"/>
        <v/>
      </c>
      <c r="AH90" s="524" t="str">
        <f t="shared" si="11"/>
        <v/>
      </c>
      <c r="AI90" s="145"/>
      <c r="AJ90" s="499" t="str">
        <f>IF(AI90="","",IF(VLOOKUP(AI90,'G-7 Rivers Data'!$AA$4:$AB$7,2,FALSE)=0,"Spatial Data Missing ⚠",VLOOKUP(AI90,'G-7 Rivers Data'!$AA$4:$AB$7,2,FALSE)))</f>
        <v/>
      </c>
      <c r="AK90" s="155"/>
      <c r="AL90" s="536" t="str">
        <f>IF(AK90="","",IF(VLOOKUP(AK90,'G-7 Rivers Data'!$AD$4:$AE$8,2,FALSE)=0,"Spatial Data Missing ⚠",VLOOKUP(AK90,'G-7 Rivers Data'!$AD$4:$AE$8,2,FALSE)))</f>
        <v/>
      </c>
      <c r="AM90" s="154"/>
      <c r="AN90" s="524" t="str">
        <f>IF(AM90="","",VLOOKUP(AM90,'G-7 Rivers Data'!$AO$4:$AP$7,2,FALSE))</f>
        <v/>
      </c>
      <c r="AO90" s="545" t="str">
        <f t="shared" si="15"/>
        <v/>
      </c>
      <c r="AP90" s="149"/>
      <c r="AQ90" s="150"/>
      <c r="AX90" s="31" t="str">
        <f>IFERROR(INDEX('G-7 Rivers Data'!$AZ$3:$AZ$7,MATCH(N90,'G-7 Rivers Data'!$AY$3:$AY$7,0)),"")</f>
        <v/>
      </c>
    </row>
    <row r="91" spans="2:50" ht="13.8" x14ac:dyDescent="0.25">
      <c r="B91" s="531" t="str">
        <f>'F-1 Off Site River Baseline'!AN89</f>
        <v/>
      </c>
      <c r="C91" s="520" t="str">
        <f>IF(B91="","",VLOOKUP($B91,'F-1 Off Site River Baseline'!$C$9:$R$257,2,FALSE))</f>
        <v/>
      </c>
      <c r="D91" s="520" t="str">
        <f>IF(C91="","",VLOOKUP($B91,'F-1 Off Site River Baseline'!$C$9:$R$257,3,FALSE))</f>
        <v/>
      </c>
      <c r="E91" s="520" t="str">
        <f>IF(D91="","",VLOOKUP($B91,'F-1 Off Site River Baseline'!$C$9:$R$257,4,FALSE))</f>
        <v/>
      </c>
      <c r="F91" s="520" t="str">
        <f>IF(E91="","",VLOOKUP($B91,'F-1 Off Site River Baseline'!$C$9:$R$257,5,FALSE))</f>
        <v/>
      </c>
      <c r="G91" s="520" t="str">
        <f>IF(F91="","",VLOOKUP($B91,'F-1 Off Site River Baseline'!$C$9:$R$257,6,FALSE))</f>
        <v/>
      </c>
      <c r="H91" s="520" t="str">
        <f>IF(G91="","",VLOOKUP($B91,'F-1 Off Site River Baseline'!$C$9:$R$257,7,FALSE))</f>
        <v/>
      </c>
      <c r="I91" s="520" t="str">
        <f>IF(H91="","",VLOOKUP($B91,'F-1 Off Site River Baseline'!$C$9:$R$257,8,FALSE))</f>
        <v/>
      </c>
      <c r="J91" s="520" t="str">
        <f>IF(I91="","",VLOOKUP($B91,'F-1 Off Site River Baseline'!$C$9:$R$257,9,FALSE))</f>
        <v/>
      </c>
      <c r="K91" s="520" t="str">
        <f>IF(J91="","",VLOOKUP($B91,'F-1 Off Site River Baseline'!$C$9:$R$257,10,FALSE))</f>
        <v/>
      </c>
      <c r="L91" s="520" t="str">
        <f>IF(B91="","",VLOOKUP($B91,'C-1 Site River Baseline'!$C$9:$R$257,15,FALSE))</f>
        <v/>
      </c>
      <c r="M91" s="524" t="str">
        <f>IF(L91="","",VLOOKUP($B91,'F-1 Off Site River Baseline'!$C$9:$R$257,16,FALSE))</f>
        <v/>
      </c>
      <c r="N91" s="418" t="str">
        <f t="shared" si="12"/>
        <v/>
      </c>
      <c r="O91" s="498" t="str">
        <f t="shared" si="13"/>
        <v/>
      </c>
      <c r="P91" s="499"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5" t="str">
        <f>IF(N91="","",VLOOKUP(B91,'F-1 Off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20" t="str">
        <f>IF(V91="","",IF(VLOOKUP(V91,'G-7 Rivers Data'!$AG$4:$AI$9,2,FALSE)=0,"Spatial Data Missing ⚠",VLOOKUP(V91,'G-7 Rivers Data'!$AG$4:$AI$9,2,FALSE)))</f>
        <v/>
      </c>
      <c r="X91" s="524" t="str">
        <f>IF(V91="","",IF(VLOOKUP(V91,'G-7 Rivers Data'!$AG$4:$AI$9,3,FALSE)=0,"Spatial Data Missing ⚠",VLOOKUP(V91,'G-7 Rivers Data'!$AG$4:$AI$9,3,FALSE)))</f>
        <v/>
      </c>
      <c r="Y91" s="537" t="str">
        <f>IFERROR(IF(OR(LEFT(P91,5)="Error ▲",LEFT(O91,5)="Error ▲"),"Check Data ⚠",IF(F91&lt;S91,'G-7 Rivers Data'!$R$3,INDEX('G-7 Rivers Data'!$U$5:$Y$9,MATCH(G91,'G-7 Rivers Data'!$T$5:$T$9,0),MATCH(T91,'G-7 Rivers Data'!$U$4:$Y$4,0)))),"")</f>
        <v/>
      </c>
      <c r="Z91" s="203"/>
      <c r="AA91" s="203"/>
      <c r="AB91" s="534" t="str">
        <f t="shared" si="8"/>
        <v/>
      </c>
      <c r="AC91" s="521" t="str">
        <f t="shared" si="9"/>
        <v/>
      </c>
      <c r="AD91" s="564" t="str">
        <f>IFERROR(IF(AC91="Check Data ⚠","Check Data ⚠",VLOOKUP(AC91,'G-4 Temporal multipliers'!$A$4:$C$37,3,FALSE)),"")</f>
        <v/>
      </c>
      <c r="AE91" s="537" t="str">
        <f>IF(N91="","",VLOOKUP(N91,'G-7 Rivers Data'!$B$4:$G$8,5,FALSE))</f>
        <v/>
      </c>
      <c r="AF91" s="520" t="str">
        <f t="shared" si="10"/>
        <v/>
      </c>
      <c r="AG91" s="520" t="str">
        <f t="shared" si="14"/>
        <v/>
      </c>
      <c r="AH91" s="524" t="str">
        <f t="shared" si="11"/>
        <v/>
      </c>
      <c r="AI91" s="145"/>
      <c r="AJ91" s="499" t="str">
        <f>IF(AI91="","",IF(VLOOKUP(AI91,'G-7 Rivers Data'!$AA$4:$AB$7,2,FALSE)=0,"Spatial Data Missing ⚠",VLOOKUP(AI91,'G-7 Rivers Data'!$AA$4:$AB$7,2,FALSE)))</f>
        <v/>
      </c>
      <c r="AK91" s="155"/>
      <c r="AL91" s="536" t="str">
        <f>IF(AK91="","",IF(VLOOKUP(AK91,'G-7 Rivers Data'!$AD$4:$AE$8,2,FALSE)=0,"Spatial Data Missing ⚠",VLOOKUP(AK91,'G-7 Rivers Data'!$AD$4:$AE$8,2,FALSE)))</f>
        <v/>
      </c>
      <c r="AM91" s="154"/>
      <c r="AN91" s="524" t="str">
        <f>IF(AM91="","",VLOOKUP(AM91,'G-7 Rivers Data'!$AO$4:$AP$7,2,FALSE))</f>
        <v/>
      </c>
      <c r="AO91" s="545" t="str">
        <f t="shared" si="15"/>
        <v/>
      </c>
      <c r="AP91" s="149"/>
      <c r="AQ91" s="150"/>
      <c r="AX91" s="31" t="str">
        <f>IFERROR(INDEX('G-7 Rivers Data'!$AZ$3:$AZ$7,MATCH(N91,'G-7 Rivers Data'!$AY$3:$AY$7,0)),"")</f>
        <v/>
      </c>
    </row>
    <row r="92" spans="2:50" ht="13.8" x14ac:dyDescent="0.25">
      <c r="B92" s="531" t="str">
        <f>'F-1 Off Site River Baseline'!AN90</f>
        <v/>
      </c>
      <c r="C92" s="520" t="str">
        <f>IF(B92="","",VLOOKUP($B92,'F-1 Off Site River Baseline'!$C$9:$R$257,2,FALSE))</f>
        <v/>
      </c>
      <c r="D92" s="520" t="str">
        <f>IF(C92="","",VLOOKUP($B92,'F-1 Off Site River Baseline'!$C$9:$R$257,3,FALSE))</f>
        <v/>
      </c>
      <c r="E92" s="520" t="str">
        <f>IF(D92="","",VLOOKUP($B92,'F-1 Off Site River Baseline'!$C$9:$R$257,4,FALSE))</f>
        <v/>
      </c>
      <c r="F92" s="520" t="str">
        <f>IF(E92="","",VLOOKUP($B92,'F-1 Off Site River Baseline'!$C$9:$R$257,5,FALSE))</f>
        <v/>
      </c>
      <c r="G92" s="520" t="str">
        <f>IF(F92="","",VLOOKUP($B92,'F-1 Off Site River Baseline'!$C$9:$R$257,6,FALSE))</f>
        <v/>
      </c>
      <c r="H92" s="520" t="str">
        <f>IF(G92="","",VLOOKUP($B92,'F-1 Off Site River Baseline'!$C$9:$R$257,7,FALSE))</f>
        <v/>
      </c>
      <c r="I92" s="520" t="str">
        <f>IF(H92="","",VLOOKUP($B92,'F-1 Off Site River Baseline'!$C$9:$R$257,8,FALSE))</f>
        <v/>
      </c>
      <c r="J92" s="520" t="str">
        <f>IF(I92="","",VLOOKUP($B92,'F-1 Off Site River Baseline'!$C$9:$R$257,9,FALSE))</f>
        <v/>
      </c>
      <c r="K92" s="520" t="str">
        <f>IF(J92="","",VLOOKUP($B92,'F-1 Off Site River Baseline'!$C$9:$R$257,10,FALSE))</f>
        <v/>
      </c>
      <c r="L92" s="520" t="str">
        <f>IF(B92="","",VLOOKUP($B92,'C-1 Site River Baseline'!$C$9:$R$257,15,FALSE))</f>
        <v/>
      </c>
      <c r="M92" s="524" t="str">
        <f>IF(L92="","",VLOOKUP($B92,'F-1 Off Site River Baseline'!$C$9:$R$257,16,FALSE))</f>
        <v/>
      </c>
      <c r="N92" s="418" t="str">
        <f t="shared" si="12"/>
        <v/>
      </c>
      <c r="O92" s="498" t="str">
        <f t="shared" si="13"/>
        <v/>
      </c>
      <c r="P92" s="499"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5" t="str">
        <f>IF(N92="","",VLOOKUP(B92,'F-1 Off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20" t="str">
        <f>IF(V92="","",IF(VLOOKUP(V92,'G-7 Rivers Data'!$AG$4:$AI$9,2,FALSE)=0,"Spatial Data Missing ⚠",VLOOKUP(V92,'G-7 Rivers Data'!$AG$4:$AI$9,2,FALSE)))</f>
        <v/>
      </c>
      <c r="X92" s="524" t="str">
        <f>IF(V92="","",IF(VLOOKUP(V92,'G-7 Rivers Data'!$AG$4:$AI$9,3,FALSE)=0,"Spatial Data Missing ⚠",VLOOKUP(V92,'G-7 Rivers Data'!$AG$4:$AI$9,3,FALSE)))</f>
        <v/>
      </c>
      <c r="Y92" s="537" t="str">
        <f>IFERROR(IF(OR(LEFT(P92,5)="Error ▲",LEFT(O92,5)="Error ▲"),"Check Data ⚠",IF(F92&lt;S92,'G-7 Rivers Data'!$R$3,INDEX('G-7 Rivers Data'!$U$5:$Y$9,MATCH(G92,'G-7 Rivers Data'!$T$5:$T$9,0),MATCH(T92,'G-7 Rivers Data'!$U$4:$Y$4,0)))),"")</f>
        <v/>
      </c>
      <c r="Z92" s="203"/>
      <c r="AA92" s="203"/>
      <c r="AB92" s="534" t="str">
        <f t="shared" si="8"/>
        <v/>
      </c>
      <c r="AC92" s="521" t="str">
        <f t="shared" si="9"/>
        <v/>
      </c>
      <c r="AD92" s="564" t="str">
        <f>IFERROR(IF(AC92="Check Data ⚠","Check Data ⚠",VLOOKUP(AC92,'G-4 Temporal multipliers'!$A$4:$C$37,3,FALSE)),"")</f>
        <v/>
      </c>
      <c r="AE92" s="537" t="str">
        <f>IF(N92="","",VLOOKUP(N92,'G-7 Rivers Data'!$B$4:$G$8,5,FALSE))</f>
        <v/>
      </c>
      <c r="AF92" s="520" t="str">
        <f t="shared" si="10"/>
        <v/>
      </c>
      <c r="AG92" s="520" t="str">
        <f t="shared" si="14"/>
        <v/>
      </c>
      <c r="AH92" s="524" t="str">
        <f t="shared" si="11"/>
        <v/>
      </c>
      <c r="AI92" s="145"/>
      <c r="AJ92" s="499" t="str">
        <f>IF(AI92="","",IF(VLOOKUP(AI92,'G-7 Rivers Data'!$AA$4:$AB$7,2,FALSE)=0,"Spatial Data Missing ⚠",VLOOKUP(AI92,'G-7 Rivers Data'!$AA$4:$AB$7,2,FALSE)))</f>
        <v/>
      </c>
      <c r="AK92" s="155"/>
      <c r="AL92" s="536" t="str">
        <f>IF(AK92="","",IF(VLOOKUP(AK92,'G-7 Rivers Data'!$AD$4:$AE$8,2,FALSE)=0,"Spatial Data Missing ⚠",VLOOKUP(AK92,'G-7 Rivers Data'!$AD$4:$AE$8,2,FALSE)))</f>
        <v/>
      </c>
      <c r="AM92" s="154"/>
      <c r="AN92" s="524" t="str">
        <f>IF(AM92="","",VLOOKUP(AM92,'G-7 Rivers Data'!$AO$4:$AP$7,2,FALSE))</f>
        <v/>
      </c>
      <c r="AO92" s="545" t="str">
        <f t="shared" si="15"/>
        <v/>
      </c>
      <c r="AP92" s="149"/>
      <c r="AQ92" s="150"/>
      <c r="AX92" s="31" t="str">
        <f>IFERROR(INDEX('G-7 Rivers Data'!$AZ$3:$AZ$7,MATCH(N92,'G-7 Rivers Data'!$AY$3:$AY$7,0)),"")</f>
        <v/>
      </c>
    </row>
    <row r="93" spans="2:50" ht="13.8" x14ac:dyDescent="0.25">
      <c r="B93" s="531" t="str">
        <f>'F-1 Off Site River Baseline'!AN91</f>
        <v/>
      </c>
      <c r="C93" s="520" t="str">
        <f>IF(B93="","",VLOOKUP($B93,'F-1 Off Site River Baseline'!$C$9:$R$257,2,FALSE))</f>
        <v/>
      </c>
      <c r="D93" s="520" t="str">
        <f>IF(C93="","",VLOOKUP($B93,'F-1 Off Site River Baseline'!$C$9:$R$257,3,FALSE))</f>
        <v/>
      </c>
      <c r="E93" s="520" t="str">
        <f>IF(D93="","",VLOOKUP($B93,'F-1 Off Site River Baseline'!$C$9:$R$257,4,FALSE))</f>
        <v/>
      </c>
      <c r="F93" s="520" t="str">
        <f>IF(E93="","",VLOOKUP($B93,'F-1 Off Site River Baseline'!$C$9:$R$257,5,FALSE))</f>
        <v/>
      </c>
      <c r="G93" s="520" t="str">
        <f>IF(F93="","",VLOOKUP($B93,'F-1 Off Site River Baseline'!$C$9:$R$257,6,FALSE))</f>
        <v/>
      </c>
      <c r="H93" s="520" t="str">
        <f>IF(G93="","",VLOOKUP($B93,'F-1 Off Site River Baseline'!$C$9:$R$257,7,FALSE))</f>
        <v/>
      </c>
      <c r="I93" s="520" t="str">
        <f>IF(H93="","",VLOOKUP($B93,'F-1 Off Site River Baseline'!$C$9:$R$257,8,FALSE))</f>
        <v/>
      </c>
      <c r="J93" s="520" t="str">
        <f>IF(I93="","",VLOOKUP($B93,'F-1 Off Site River Baseline'!$C$9:$R$257,9,FALSE))</f>
        <v/>
      </c>
      <c r="K93" s="520" t="str">
        <f>IF(J93="","",VLOOKUP($B93,'F-1 Off Site River Baseline'!$C$9:$R$257,10,FALSE))</f>
        <v/>
      </c>
      <c r="L93" s="520" t="str">
        <f>IF(B93="","",VLOOKUP($B93,'C-1 Site River Baseline'!$C$9:$R$257,15,FALSE))</f>
        <v/>
      </c>
      <c r="M93" s="524" t="str">
        <f>IF(L93="","",VLOOKUP($B93,'F-1 Off Site River Baseline'!$C$9:$R$257,16,FALSE))</f>
        <v/>
      </c>
      <c r="N93" s="418" t="str">
        <f t="shared" si="12"/>
        <v/>
      </c>
      <c r="O93" s="498" t="str">
        <f t="shared" si="13"/>
        <v/>
      </c>
      <c r="P93" s="499"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5" t="str">
        <f>IF(N93="","",VLOOKUP(B93,'F-1 Off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20" t="str">
        <f>IF(V93="","",IF(VLOOKUP(V93,'G-7 Rivers Data'!$AG$4:$AI$9,2,FALSE)=0,"Spatial Data Missing ⚠",VLOOKUP(V93,'G-7 Rivers Data'!$AG$4:$AI$9,2,FALSE)))</f>
        <v/>
      </c>
      <c r="X93" s="524" t="str">
        <f>IF(V93="","",IF(VLOOKUP(V93,'G-7 Rivers Data'!$AG$4:$AI$9,3,FALSE)=0,"Spatial Data Missing ⚠",VLOOKUP(V93,'G-7 Rivers Data'!$AG$4:$AI$9,3,FALSE)))</f>
        <v/>
      </c>
      <c r="Y93" s="537" t="str">
        <f>IFERROR(IF(OR(LEFT(P93,5)="Error ▲",LEFT(O93,5)="Error ▲"),"Check Data ⚠",IF(F93&lt;S93,'G-7 Rivers Data'!$R$3,INDEX('G-7 Rivers Data'!$U$5:$Y$9,MATCH(G93,'G-7 Rivers Data'!$T$5:$T$9,0),MATCH(T93,'G-7 Rivers Data'!$U$4:$Y$4,0)))),"")</f>
        <v/>
      </c>
      <c r="Z93" s="203"/>
      <c r="AA93" s="203"/>
      <c r="AB93" s="534" t="str">
        <f t="shared" si="8"/>
        <v/>
      </c>
      <c r="AC93" s="521" t="str">
        <f t="shared" si="9"/>
        <v/>
      </c>
      <c r="AD93" s="564" t="str">
        <f>IFERROR(IF(AC93="Check Data ⚠","Check Data ⚠",VLOOKUP(AC93,'G-4 Temporal multipliers'!$A$4:$C$37,3,FALSE)),"")</f>
        <v/>
      </c>
      <c r="AE93" s="537" t="str">
        <f>IF(N93="","",VLOOKUP(N93,'G-7 Rivers Data'!$B$4:$G$8,5,FALSE))</f>
        <v/>
      </c>
      <c r="AF93" s="520" t="str">
        <f t="shared" si="10"/>
        <v/>
      </c>
      <c r="AG93" s="520" t="str">
        <f t="shared" si="14"/>
        <v/>
      </c>
      <c r="AH93" s="524" t="str">
        <f t="shared" si="11"/>
        <v/>
      </c>
      <c r="AI93" s="145"/>
      <c r="AJ93" s="499" t="str">
        <f>IF(AI93="","",IF(VLOOKUP(AI93,'G-7 Rivers Data'!$AA$4:$AB$7,2,FALSE)=0,"Spatial Data Missing ⚠",VLOOKUP(AI93,'G-7 Rivers Data'!$AA$4:$AB$7,2,FALSE)))</f>
        <v/>
      </c>
      <c r="AK93" s="155"/>
      <c r="AL93" s="536" t="str">
        <f>IF(AK93="","",IF(VLOOKUP(AK93,'G-7 Rivers Data'!$AD$4:$AE$8,2,FALSE)=0,"Spatial Data Missing ⚠",VLOOKUP(AK93,'G-7 Rivers Data'!$AD$4:$AE$8,2,FALSE)))</f>
        <v/>
      </c>
      <c r="AM93" s="154"/>
      <c r="AN93" s="524" t="str">
        <f>IF(AM93="","",VLOOKUP(AM93,'G-7 Rivers Data'!$AO$4:$AP$7,2,FALSE))</f>
        <v/>
      </c>
      <c r="AO93" s="545" t="str">
        <f t="shared" si="15"/>
        <v/>
      </c>
      <c r="AP93" s="149"/>
      <c r="AQ93" s="150"/>
      <c r="AX93" s="31" t="str">
        <f>IFERROR(INDEX('G-7 Rivers Data'!$AZ$3:$AZ$7,MATCH(N93,'G-7 Rivers Data'!$AY$3:$AY$7,0)),"")</f>
        <v/>
      </c>
    </row>
    <row r="94" spans="2:50" ht="13.8" x14ac:dyDescent="0.25">
      <c r="B94" s="531" t="str">
        <f>'F-1 Off Site River Baseline'!AN92</f>
        <v/>
      </c>
      <c r="C94" s="520" t="str">
        <f>IF(B94="","",VLOOKUP($B94,'F-1 Off Site River Baseline'!$C$9:$R$257,2,FALSE))</f>
        <v/>
      </c>
      <c r="D94" s="520" t="str">
        <f>IF(C94="","",VLOOKUP($B94,'F-1 Off Site River Baseline'!$C$9:$R$257,3,FALSE))</f>
        <v/>
      </c>
      <c r="E94" s="520" t="str">
        <f>IF(D94="","",VLOOKUP($B94,'F-1 Off Site River Baseline'!$C$9:$R$257,4,FALSE))</f>
        <v/>
      </c>
      <c r="F94" s="520" t="str">
        <f>IF(E94="","",VLOOKUP($B94,'F-1 Off Site River Baseline'!$C$9:$R$257,5,FALSE))</f>
        <v/>
      </c>
      <c r="G94" s="520" t="str">
        <f>IF(F94="","",VLOOKUP($B94,'F-1 Off Site River Baseline'!$C$9:$R$257,6,FALSE))</f>
        <v/>
      </c>
      <c r="H94" s="520" t="str">
        <f>IF(G94="","",VLOOKUP($B94,'F-1 Off Site River Baseline'!$C$9:$R$257,7,FALSE))</f>
        <v/>
      </c>
      <c r="I94" s="520" t="str">
        <f>IF(H94="","",VLOOKUP($B94,'F-1 Off Site River Baseline'!$C$9:$R$257,8,FALSE))</f>
        <v/>
      </c>
      <c r="J94" s="520" t="str">
        <f>IF(I94="","",VLOOKUP($B94,'F-1 Off Site River Baseline'!$C$9:$R$257,9,FALSE))</f>
        <v/>
      </c>
      <c r="K94" s="520" t="str">
        <f>IF(J94="","",VLOOKUP($B94,'F-1 Off Site River Baseline'!$C$9:$R$257,10,FALSE))</f>
        <v/>
      </c>
      <c r="L94" s="520" t="str">
        <f>IF(B94="","",VLOOKUP($B94,'C-1 Site River Baseline'!$C$9:$R$257,15,FALSE))</f>
        <v/>
      </c>
      <c r="M94" s="524" t="str">
        <f>IF(L94="","",VLOOKUP($B94,'F-1 Off Site River Baseline'!$C$9:$R$257,16,FALSE))</f>
        <v/>
      </c>
      <c r="N94" s="418" t="str">
        <f t="shared" si="12"/>
        <v/>
      </c>
      <c r="O94" s="498" t="str">
        <f t="shared" si="13"/>
        <v/>
      </c>
      <c r="P94" s="499"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5" t="str">
        <f>IF(N94="","",VLOOKUP(B94,'F-1 Off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20" t="str">
        <f>IF(V94="","",IF(VLOOKUP(V94,'G-7 Rivers Data'!$AG$4:$AI$9,2,FALSE)=0,"Spatial Data Missing ⚠",VLOOKUP(V94,'G-7 Rivers Data'!$AG$4:$AI$9,2,FALSE)))</f>
        <v/>
      </c>
      <c r="X94" s="524" t="str">
        <f>IF(V94="","",IF(VLOOKUP(V94,'G-7 Rivers Data'!$AG$4:$AI$9,3,FALSE)=0,"Spatial Data Missing ⚠",VLOOKUP(V94,'G-7 Rivers Data'!$AG$4:$AI$9,3,FALSE)))</f>
        <v/>
      </c>
      <c r="Y94" s="537" t="str">
        <f>IFERROR(IF(OR(LEFT(P94,5)="Error ▲",LEFT(O94,5)="Error ▲"),"Check Data ⚠",IF(F94&lt;S94,'G-7 Rivers Data'!$R$3,INDEX('G-7 Rivers Data'!$U$5:$Y$9,MATCH(G94,'G-7 Rivers Data'!$T$5:$T$9,0),MATCH(T94,'G-7 Rivers Data'!$U$4:$Y$4,0)))),"")</f>
        <v/>
      </c>
      <c r="Z94" s="203"/>
      <c r="AA94" s="203"/>
      <c r="AB94" s="534" t="str">
        <f t="shared" si="8"/>
        <v/>
      </c>
      <c r="AC94" s="521" t="str">
        <f t="shared" si="9"/>
        <v/>
      </c>
      <c r="AD94" s="564" t="str">
        <f>IFERROR(IF(AC94="Check Data ⚠","Check Data ⚠",VLOOKUP(AC94,'G-4 Temporal multipliers'!$A$4:$C$37,3,FALSE)),"")</f>
        <v/>
      </c>
      <c r="AE94" s="537" t="str">
        <f>IF(N94="","",VLOOKUP(N94,'G-7 Rivers Data'!$B$4:$G$8,5,FALSE))</f>
        <v/>
      </c>
      <c r="AF94" s="520" t="str">
        <f t="shared" si="10"/>
        <v/>
      </c>
      <c r="AG94" s="520" t="str">
        <f t="shared" si="14"/>
        <v/>
      </c>
      <c r="AH94" s="524" t="str">
        <f t="shared" si="11"/>
        <v/>
      </c>
      <c r="AI94" s="145"/>
      <c r="AJ94" s="499" t="str">
        <f>IF(AI94="","",IF(VLOOKUP(AI94,'G-7 Rivers Data'!$AA$4:$AB$7,2,FALSE)=0,"Spatial Data Missing ⚠",VLOOKUP(AI94,'G-7 Rivers Data'!$AA$4:$AB$7,2,FALSE)))</f>
        <v/>
      </c>
      <c r="AK94" s="155"/>
      <c r="AL94" s="536" t="str">
        <f>IF(AK94="","",IF(VLOOKUP(AK94,'G-7 Rivers Data'!$AD$4:$AE$8,2,FALSE)=0,"Spatial Data Missing ⚠",VLOOKUP(AK94,'G-7 Rivers Data'!$AD$4:$AE$8,2,FALSE)))</f>
        <v/>
      </c>
      <c r="AM94" s="154"/>
      <c r="AN94" s="524" t="str">
        <f>IF(AM94="","",VLOOKUP(AM94,'G-7 Rivers Data'!$AO$4:$AP$7,2,FALSE))</f>
        <v/>
      </c>
      <c r="AO94" s="545" t="str">
        <f t="shared" si="15"/>
        <v/>
      </c>
      <c r="AP94" s="149"/>
      <c r="AQ94" s="150"/>
      <c r="AX94" s="31" t="str">
        <f>IFERROR(INDEX('G-7 Rivers Data'!$AZ$3:$AZ$7,MATCH(N94,'G-7 Rivers Data'!$AY$3:$AY$7,0)),"")</f>
        <v/>
      </c>
    </row>
    <row r="95" spans="2:50" ht="13.8" x14ac:dyDescent="0.25">
      <c r="B95" s="531" t="str">
        <f>'F-1 Off Site River Baseline'!AN93</f>
        <v/>
      </c>
      <c r="C95" s="520" t="str">
        <f>IF(B95="","",VLOOKUP($B95,'F-1 Off Site River Baseline'!$C$9:$R$257,2,FALSE))</f>
        <v/>
      </c>
      <c r="D95" s="520" t="str">
        <f>IF(C95="","",VLOOKUP($B95,'F-1 Off Site River Baseline'!$C$9:$R$257,3,FALSE))</f>
        <v/>
      </c>
      <c r="E95" s="520" t="str">
        <f>IF(D95="","",VLOOKUP($B95,'F-1 Off Site River Baseline'!$C$9:$R$257,4,FALSE))</f>
        <v/>
      </c>
      <c r="F95" s="520" t="str">
        <f>IF(E95="","",VLOOKUP($B95,'F-1 Off Site River Baseline'!$C$9:$R$257,5,FALSE))</f>
        <v/>
      </c>
      <c r="G95" s="520" t="str">
        <f>IF(F95="","",VLOOKUP($B95,'F-1 Off Site River Baseline'!$C$9:$R$257,6,FALSE))</f>
        <v/>
      </c>
      <c r="H95" s="520" t="str">
        <f>IF(G95="","",VLOOKUP($B95,'F-1 Off Site River Baseline'!$C$9:$R$257,7,FALSE))</f>
        <v/>
      </c>
      <c r="I95" s="520" t="str">
        <f>IF(H95="","",VLOOKUP($B95,'F-1 Off Site River Baseline'!$C$9:$R$257,8,FALSE))</f>
        <v/>
      </c>
      <c r="J95" s="520" t="str">
        <f>IF(I95="","",VLOOKUP($B95,'F-1 Off Site River Baseline'!$C$9:$R$257,9,FALSE))</f>
        <v/>
      </c>
      <c r="K95" s="520" t="str">
        <f>IF(J95="","",VLOOKUP($B95,'F-1 Off Site River Baseline'!$C$9:$R$257,10,FALSE))</f>
        <v/>
      </c>
      <c r="L95" s="520" t="str">
        <f>IF(B95="","",VLOOKUP($B95,'C-1 Site River Baseline'!$C$9:$R$257,15,FALSE))</f>
        <v/>
      </c>
      <c r="M95" s="524" t="str">
        <f>IF(L95="","",VLOOKUP($B95,'F-1 Off Site River Baseline'!$C$9:$R$257,16,FALSE))</f>
        <v/>
      </c>
      <c r="N95" s="418" t="str">
        <f t="shared" si="12"/>
        <v/>
      </c>
      <c r="O95" s="498" t="str">
        <f t="shared" si="13"/>
        <v/>
      </c>
      <c r="P95" s="499"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5" t="str">
        <f>IF(N95="","",VLOOKUP(B95,'F-1 Off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20" t="str">
        <f>IF(V95="","",IF(VLOOKUP(V95,'G-7 Rivers Data'!$AG$4:$AI$9,2,FALSE)=0,"Spatial Data Missing ⚠",VLOOKUP(V95,'G-7 Rivers Data'!$AG$4:$AI$9,2,FALSE)))</f>
        <v/>
      </c>
      <c r="X95" s="524" t="str">
        <f>IF(V95="","",IF(VLOOKUP(V95,'G-7 Rivers Data'!$AG$4:$AI$9,3,FALSE)=0,"Spatial Data Missing ⚠",VLOOKUP(V95,'G-7 Rivers Data'!$AG$4:$AI$9,3,FALSE)))</f>
        <v/>
      </c>
      <c r="Y95" s="537" t="str">
        <f>IFERROR(IF(OR(LEFT(P95,5)="Error ▲",LEFT(O95,5)="Error ▲"),"Check Data ⚠",IF(F95&lt;S95,'G-7 Rivers Data'!$R$3,INDEX('G-7 Rivers Data'!$U$5:$Y$9,MATCH(G95,'G-7 Rivers Data'!$T$5:$T$9,0),MATCH(T95,'G-7 Rivers Data'!$U$4:$Y$4,0)))),"")</f>
        <v/>
      </c>
      <c r="Z95" s="203"/>
      <c r="AA95" s="203"/>
      <c r="AB95" s="534" t="str">
        <f t="shared" si="8"/>
        <v/>
      </c>
      <c r="AC95" s="521" t="str">
        <f t="shared" si="9"/>
        <v/>
      </c>
      <c r="AD95" s="564" t="str">
        <f>IFERROR(IF(AC95="Check Data ⚠","Check Data ⚠",VLOOKUP(AC95,'G-4 Temporal multipliers'!$A$4:$C$37,3,FALSE)),"")</f>
        <v/>
      </c>
      <c r="AE95" s="537" t="str">
        <f>IF(N95="","",VLOOKUP(N95,'G-7 Rivers Data'!$B$4:$G$8,5,FALSE))</f>
        <v/>
      </c>
      <c r="AF95" s="520" t="str">
        <f t="shared" si="10"/>
        <v/>
      </c>
      <c r="AG95" s="520" t="str">
        <f t="shared" si="14"/>
        <v/>
      </c>
      <c r="AH95" s="524" t="str">
        <f t="shared" si="11"/>
        <v/>
      </c>
      <c r="AI95" s="145"/>
      <c r="AJ95" s="499" t="str">
        <f>IF(AI95="","",IF(VLOOKUP(AI95,'G-7 Rivers Data'!$AA$4:$AB$7,2,FALSE)=0,"Spatial Data Missing ⚠",VLOOKUP(AI95,'G-7 Rivers Data'!$AA$4:$AB$7,2,FALSE)))</f>
        <v/>
      </c>
      <c r="AK95" s="155"/>
      <c r="AL95" s="536" t="str">
        <f>IF(AK95="","",IF(VLOOKUP(AK95,'G-7 Rivers Data'!$AD$4:$AE$8,2,FALSE)=0,"Spatial Data Missing ⚠",VLOOKUP(AK95,'G-7 Rivers Data'!$AD$4:$AE$8,2,FALSE)))</f>
        <v/>
      </c>
      <c r="AM95" s="154"/>
      <c r="AN95" s="524" t="str">
        <f>IF(AM95="","",VLOOKUP(AM95,'G-7 Rivers Data'!$AO$4:$AP$7,2,FALSE))</f>
        <v/>
      </c>
      <c r="AO95" s="545" t="str">
        <f t="shared" si="15"/>
        <v/>
      </c>
      <c r="AP95" s="149"/>
      <c r="AQ95" s="150"/>
      <c r="AX95" s="31" t="str">
        <f>IFERROR(INDEX('G-7 Rivers Data'!$AZ$3:$AZ$7,MATCH(N95,'G-7 Rivers Data'!$AY$3:$AY$7,0)),"")</f>
        <v/>
      </c>
    </row>
    <row r="96" spans="2:50" ht="13.8" x14ac:dyDescent="0.25">
      <c r="B96" s="531" t="str">
        <f>'F-1 Off Site River Baseline'!AN94</f>
        <v/>
      </c>
      <c r="C96" s="520" t="str">
        <f>IF(B96="","",VLOOKUP($B96,'F-1 Off Site River Baseline'!$C$9:$R$257,2,FALSE))</f>
        <v/>
      </c>
      <c r="D96" s="520" t="str">
        <f>IF(C96="","",VLOOKUP($B96,'F-1 Off Site River Baseline'!$C$9:$R$257,3,FALSE))</f>
        <v/>
      </c>
      <c r="E96" s="520" t="str">
        <f>IF(D96="","",VLOOKUP($B96,'F-1 Off Site River Baseline'!$C$9:$R$257,4,FALSE))</f>
        <v/>
      </c>
      <c r="F96" s="520" t="str">
        <f>IF(E96="","",VLOOKUP($B96,'F-1 Off Site River Baseline'!$C$9:$R$257,5,FALSE))</f>
        <v/>
      </c>
      <c r="G96" s="520" t="str">
        <f>IF(F96="","",VLOOKUP($B96,'F-1 Off Site River Baseline'!$C$9:$R$257,6,FALSE))</f>
        <v/>
      </c>
      <c r="H96" s="520" t="str">
        <f>IF(G96="","",VLOOKUP($B96,'F-1 Off Site River Baseline'!$C$9:$R$257,7,FALSE))</f>
        <v/>
      </c>
      <c r="I96" s="520" t="str">
        <f>IF(H96="","",VLOOKUP($B96,'F-1 Off Site River Baseline'!$C$9:$R$257,8,FALSE))</f>
        <v/>
      </c>
      <c r="J96" s="520" t="str">
        <f>IF(I96="","",VLOOKUP($B96,'F-1 Off Site River Baseline'!$C$9:$R$257,9,FALSE))</f>
        <v/>
      </c>
      <c r="K96" s="520" t="str">
        <f>IF(J96="","",VLOOKUP($B96,'F-1 Off Site River Baseline'!$C$9:$R$257,10,FALSE))</f>
        <v/>
      </c>
      <c r="L96" s="520" t="str">
        <f>IF(B96="","",VLOOKUP($B96,'C-1 Site River Baseline'!$C$9:$R$257,15,FALSE))</f>
        <v/>
      </c>
      <c r="M96" s="524" t="str">
        <f>IF(L96="","",VLOOKUP($B96,'F-1 Off Site River Baseline'!$C$9:$R$257,16,FALSE))</f>
        <v/>
      </c>
      <c r="N96" s="418" t="str">
        <f t="shared" si="12"/>
        <v/>
      </c>
      <c r="O96" s="498" t="str">
        <f t="shared" si="13"/>
        <v/>
      </c>
      <c r="P96" s="499"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5" t="str">
        <f>IF(N96="","",VLOOKUP(B96,'F-1 Off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20" t="str">
        <f>IF(V96="","",IF(VLOOKUP(V96,'G-7 Rivers Data'!$AG$4:$AI$9,2,FALSE)=0,"Spatial Data Missing ⚠",VLOOKUP(V96,'G-7 Rivers Data'!$AG$4:$AI$9,2,FALSE)))</f>
        <v/>
      </c>
      <c r="X96" s="524" t="str">
        <f>IF(V96="","",IF(VLOOKUP(V96,'G-7 Rivers Data'!$AG$4:$AI$9,3,FALSE)=0,"Spatial Data Missing ⚠",VLOOKUP(V96,'G-7 Rivers Data'!$AG$4:$AI$9,3,FALSE)))</f>
        <v/>
      </c>
      <c r="Y96" s="537" t="str">
        <f>IFERROR(IF(OR(LEFT(P96,5)="Error ▲",LEFT(O96,5)="Error ▲"),"Check Data ⚠",IF(F96&lt;S96,'G-7 Rivers Data'!$R$3,INDEX('G-7 Rivers Data'!$U$5:$Y$9,MATCH(G96,'G-7 Rivers Data'!$T$5:$T$9,0),MATCH(T96,'G-7 Rivers Data'!$U$4:$Y$4,0)))),"")</f>
        <v/>
      </c>
      <c r="Z96" s="203"/>
      <c r="AA96" s="203"/>
      <c r="AB96" s="534" t="str">
        <f t="shared" si="8"/>
        <v/>
      </c>
      <c r="AC96" s="521" t="str">
        <f t="shared" si="9"/>
        <v/>
      </c>
      <c r="AD96" s="564" t="str">
        <f>IFERROR(IF(AC96="Check Data ⚠","Check Data ⚠",VLOOKUP(AC96,'G-4 Temporal multipliers'!$A$4:$C$37,3,FALSE)),"")</f>
        <v/>
      </c>
      <c r="AE96" s="537" t="str">
        <f>IF(N96="","",VLOOKUP(N96,'G-7 Rivers Data'!$B$4:$G$8,5,FALSE))</f>
        <v/>
      </c>
      <c r="AF96" s="520" t="str">
        <f t="shared" si="10"/>
        <v/>
      </c>
      <c r="AG96" s="520" t="str">
        <f t="shared" si="14"/>
        <v/>
      </c>
      <c r="AH96" s="524" t="str">
        <f t="shared" si="11"/>
        <v/>
      </c>
      <c r="AI96" s="145"/>
      <c r="AJ96" s="499" t="str">
        <f>IF(AI96="","",IF(VLOOKUP(AI96,'G-7 Rivers Data'!$AA$4:$AB$7,2,FALSE)=0,"Spatial Data Missing ⚠",VLOOKUP(AI96,'G-7 Rivers Data'!$AA$4:$AB$7,2,FALSE)))</f>
        <v/>
      </c>
      <c r="AK96" s="155"/>
      <c r="AL96" s="536" t="str">
        <f>IF(AK96="","",IF(VLOOKUP(AK96,'G-7 Rivers Data'!$AD$4:$AE$8,2,FALSE)=0,"Spatial Data Missing ⚠",VLOOKUP(AK96,'G-7 Rivers Data'!$AD$4:$AE$8,2,FALSE)))</f>
        <v/>
      </c>
      <c r="AM96" s="154"/>
      <c r="AN96" s="524" t="str">
        <f>IF(AM96="","",VLOOKUP(AM96,'G-7 Rivers Data'!$AO$4:$AP$7,2,FALSE))</f>
        <v/>
      </c>
      <c r="AO96" s="545" t="str">
        <f t="shared" si="15"/>
        <v/>
      </c>
      <c r="AP96" s="149"/>
      <c r="AQ96" s="150"/>
      <c r="AX96" s="31" t="str">
        <f>IFERROR(INDEX('G-7 Rivers Data'!$AZ$3:$AZ$7,MATCH(N96,'G-7 Rivers Data'!$AY$3:$AY$7,0)),"")</f>
        <v/>
      </c>
    </row>
    <row r="97" spans="2:50" ht="13.8" x14ac:dyDescent="0.25">
      <c r="B97" s="531" t="str">
        <f>'F-1 Off Site River Baseline'!AN95</f>
        <v/>
      </c>
      <c r="C97" s="520" t="str">
        <f>IF(B97="","",VLOOKUP($B97,'F-1 Off Site River Baseline'!$C$9:$R$257,2,FALSE))</f>
        <v/>
      </c>
      <c r="D97" s="520" t="str">
        <f>IF(C97="","",VLOOKUP($B97,'F-1 Off Site River Baseline'!$C$9:$R$257,3,FALSE))</f>
        <v/>
      </c>
      <c r="E97" s="520" t="str">
        <f>IF(D97="","",VLOOKUP($B97,'F-1 Off Site River Baseline'!$C$9:$R$257,4,FALSE))</f>
        <v/>
      </c>
      <c r="F97" s="520" t="str">
        <f>IF(E97="","",VLOOKUP($B97,'F-1 Off Site River Baseline'!$C$9:$R$257,5,FALSE))</f>
        <v/>
      </c>
      <c r="G97" s="520" t="str">
        <f>IF(F97="","",VLOOKUP($B97,'F-1 Off Site River Baseline'!$C$9:$R$257,6,FALSE))</f>
        <v/>
      </c>
      <c r="H97" s="520" t="str">
        <f>IF(G97="","",VLOOKUP($B97,'F-1 Off Site River Baseline'!$C$9:$R$257,7,FALSE))</f>
        <v/>
      </c>
      <c r="I97" s="520" t="str">
        <f>IF(H97="","",VLOOKUP($B97,'F-1 Off Site River Baseline'!$C$9:$R$257,8,FALSE))</f>
        <v/>
      </c>
      <c r="J97" s="520" t="str">
        <f>IF(I97="","",VLOOKUP($B97,'F-1 Off Site River Baseline'!$C$9:$R$257,9,FALSE))</f>
        <v/>
      </c>
      <c r="K97" s="520" t="str">
        <f>IF(J97="","",VLOOKUP($B97,'F-1 Off Site River Baseline'!$C$9:$R$257,10,FALSE))</f>
        <v/>
      </c>
      <c r="L97" s="520" t="str">
        <f>IF(B97="","",VLOOKUP($B97,'C-1 Site River Baseline'!$C$9:$R$257,15,FALSE))</f>
        <v/>
      </c>
      <c r="M97" s="524" t="str">
        <f>IF(L97="","",VLOOKUP($B97,'F-1 Off Site River Baseline'!$C$9:$R$257,16,FALSE))</f>
        <v/>
      </c>
      <c r="N97" s="418" t="str">
        <f t="shared" si="12"/>
        <v/>
      </c>
      <c r="O97" s="498" t="str">
        <f t="shared" si="13"/>
        <v/>
      </c>
      <c r="P97" s="499"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5" t="str">
        <f>IF(N97="","",VLOOKUP(B97,'F-1 Off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20" t="str">
        <f>IF(V97="","",IF(VLOOKUP(V97,'G-7 Rivers Data'!$AG$4:$AI$9,2,FALSE)=0,"Spatial Data Missing ⚠",VLOOKUP(V97,'G-7 Rivers Data'!$AG$4:$AI$9,2,FALSE)))</f>
        <v/>
      </c>
      <c r="X97" s="524" t="str">
        <f>IF(V97="","",IF(VLOOKUP(V97,'G-7 Rivers Data'!$AG$4:$AI$9,3,FALSE)=0,"Spatial Data Missing ⚠",VLOOKUP(V97,'G-7 Rivers Data'!$AG$4:$AI$9,3,FALSE)))</f>
        <v/>
      </c>
      <c r="Y97" s="537" t="str">
        <f>IFERROR(IF(OR(LEFT(P97,5)="Error ▲",LEFT(O97,5)="Error ▲"),"Check Data ⚠",IF(F97&lt;S97,'G-7 Rivers Data'!$R$3,INDEX('G-7 Rivers Data'!$U$5:$Y$9,MATCH(G97,'G-7 Rivers Data'!$T$5:$T$9,0),MATCH(T97,'G-7 Rivers Data'!$U$4:$Y$4,0)))),"")</f>
        <v/>
      </c>
      <c r="Z97" s="203"/>
      <c r="AA97" s="203"/>
      <c r="AB97" s="534" t="str">
        <f t="shared" si="8"/>
        <v/>
      </c>
      <c r="AC97" s="521" t="str">
        <f t="shared" si="9"/>
        <v/>
      </c>
      <c r="AD97" s="564" t="str">
        <f>IFERROR(IF(AC97="Check Data ⚠","Check Data ⚠",VLOOKUP(AC97,'G-4 Temporal multipliers'!$A$4:$C$37,3,FALSE)),"")</f>
        <v/>
      </c>
      <c r="AE97" s="537" t="str">
        <f>IF(N97="","",VLOOKUP(N97,'G-7 Rivers Data'!$B$4:$G$8,5,FALSE))</f>
        <v/>
      </c>
      <c r="AF97" s="520" t="str">
        <f t="shared" si="10"/>
        <v/>
      </c>
      <c r="AG97" s="520" t="str">
        <f t="shared" si="14"/>
        <v/>
      </c>
      <c r="AH97" s="524" t="str">
        <f t="shared" si="11"/>
        <v/>
      </c>
      <c r="AI97" s="145"/>
      <c r="AJ97" s="499" t="str">
        <f>IF(AI97="","",IF(VLOOKUP(AI97,'G-7 Rivers Data'!$AA$4:$AB$7,2,FALSE)=0,"Spatial Data Missing ⚠",VLOOKUP(AI97,'G-7 Rivers Data'!$AA$4:$AB$7,2,FALSE)))</f>
        <v/>
      </c>
      <c r="AK97" s="155"/>
      <c r="AL97" s="536" t="str">
        <f>IF(AK97="","",IF(VLOOKUP(AK97,'G-7 Rivers Data'!$AD$4:$AE$8,2,FALSE)=0,"Spatial Data Missing ⚠",VLOOKUP(AK97,'G-7 Rivers Data'!$AD$4:$AE$8,2,FALSE)))</f>
        <v/>
      </c>
      <c r="AM97" s="154"/>
      <c r="AN97" s="524" t="str">
        <f>IF(AM97="","",VLOOKUP(AM97,'G-7 Rivers Data'!$AO$4:$AP$7,2,FALSE))</f>
        <v/>
      </c>
      <c r="AO97" s="545" t="str">
        <f t="shared" si="15"/>
        <v/>
      </c>
      <c r="AP97" s="149"/>
      <c r="AQ97" s="150"/>
      <c r="AX97" s="31" t="str">
        <f>IFERROR(INDEX('G-7 Rivers Data'!$AZ$3:$AZ$7,MATCH(N97,'G-7 Rivers Data'!$AY$3:$AY$7,0)),"")</f>
        <v/>
      </c>
    </row>
    <row r="98" spans="2:50" ht="13.8" x14ac:dyDescent="0.25">
      <c r="B98" s="531" t="str">
        <f>'F-1 Off Site River Baseline'!AN96</f>
        <v/>
      </c>
      <c r="C98" s="520" t="str">
        <f>IF(B98="","",VLOOKUP($B98,'F-1 Off Site River Baseline'!$C$9:$R$257,2,FALSE))</f>
        <v/>
      </c>
      <c r="D98" s="520" t="str">
        <f>IF(C98="","",VLOOKUP($B98,'F-1 Off Site River Baseline'!$C$9:$R$257,3,FALSE))</f>
        <v/>
      </c>
      <c r="E98" s="520" t="str">
        <f>IF(D98="","",VLOOKUP($B98,'F-1 Off Site River Baseline'!$C$9:$R$257,4,FALSE))</f>
        <v/>
      </c>
      <c r="F98" s="520" t="str">
        <f>IF(E98="","",VLOOKUP($B98,'F-1 Off Site River Baseline'!$C$9:$R$257,5,FALSE))</f>
        <v/>
      </c>
      <c r="G98" s="520" t="str">
        <f>IF(F98="","",VLOOKUP($B98,'F-1 Off Site River Baseline'!$C$9:$R$257,6,FALSE))</f>
        <v/>
      </c>
      <c r="H98" s="520" t="str">
        <f>IF(G98="","",VLOOKUP($B98,'F-1 Off Site River Baseline'!$C$9:$R$257,7,FALSE))</f>
        <v/>
      </c>
      <c r="I98" s="520" t="str">
        <f>IF(H98="","",VLOOKUP($B98,'F-1 Off Site River Baseline'!$C$9:$R$257,8,FALSE))</f>
        <v/>
      </c>
      <c r="J98" s="520" t="str">
        <f>IF(I98="","",VLOOKUP($B98,'F-1 Off Site River Baseline'!$C$9:$R$257,9,FALSE))</f>
        <v/>
      </c>
      <c r="K98" s="520" t="str">
        <f>IF(J98="","",VLOOKUP($B98,'F-1 Off Site River Baseline'!$C$9:$R$257,10,FALSE))</f>
        <v/>
      </c>
      <c r="L98" s="520" t="str">
        <f>IF(B98="","",VLOOKUP($B98,'C-1 Site River Baseline'!$C$9:$R$257,15,FALSE))</f>
        <v/>
      </c>
      <c r="M98" s="524" t="str">
        <f>IF(L98="","",VLOOKUP($B98,'F-1 Off Site River Baseline'!$C$9:$R$257,16,FALSE))</f>
        <v/>
      </c>
      <c r="N98" s="418" t="str">
        <f t="shared" si="12"/>
        <v/>
      </c>
      <c r="O98" s="498" t="str">
        <f t="shared" si="13"/>
        <v/>
      </c>
      <c r="P98" s="499"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5" t="str">
        <f>IF(N98="","",VLOOKUP(B98,'F-1 Off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20" t="str">
        <f>IF(V98="","",IF(VLOOKUP(V98,'G-7 Rivers Data'!$AG$4:$AI$9,2,FALSE)=0,"Spatial Data Missing ⚠",VLOOKUP(V98,'G-7 Rivers Data'!$AG$4:$AI$9,2,FALSE)))</f>
        <v/>
      </c>
      <c r="X98" s="524" t="str">
        <f>IF(V98="","",IF(VLOOKUP(V98,'G-7 Rivers Data'!$AG$4:$AI$9,3,FALSE)=0,"Spatial Data Missing ⚠",VLOOKUP(V98,'G-7 Rivers Data'!$AG$4:$AI$9,3,FALSE)))</f>
        <v/>
      </c>
      <c r="Y98" s="537" t="str">
        <f>IFERROR(IF(OR(LEFT(P98,5)="Error ▲",LEFT(O98,5)="Error ▲"),"Check Data ⚠",IF(F98&lt;S98,'G-7 Rivers Data'!$R$3,INDEX('G-7 Rivers Data'!$U$5:$Y$9,MATCH(G98,'G-7 Rivers Data'!$T$5:$T$9,0),MATCH(T98,'G-7 Rivers Data'!$U$4:$Y$4,0)))),"")</f>
        <v/>
      </c>
      <c r="Z98" s="203"/>
      <c r="AA98" s="203"/>
      <c r="AB98" s="534" t="str">
        <f t="shared" si="8"/>
        <v/>
      </c>
      <c r="AC98" s="521" t="str">
        <f t="shared" si="9"/>
        <v/>
      </c>
      <c r="AD98" s="564" t="str">
        <f>IFERROR(IF(AC98="Check Data ⚠","Check Data ⚠",VLOOKUP(AC98,'G-4 Temporal multipliers'!$A$4:$C$37,3,FALSE)),"")</f>
        <v/>
      </c>
      <c r="AE98" s="537" t="str">
        <f>IF(N98="","",VLOOKUP(N98,'G-7 Rivers Data'!$B$4:$G$8,5,FALSE))</f>
        <v/>
      </c>
      <c r="AF98" s="520" t="str">
        <f t="shared" si="10"/>
        <v/>
      </c>
      <c r="AG98" s="520" t="str">
        <f t="shared" si="14"/>
        <v/>
      </c>
      <c r="AH98" s="524" t="str">
        <f t="shared" si="11"/>
        <v/>
      </c>
      <c r="AI98" s="145"/>
      <c r="AJ98" s="499" t="str">
        <f>IF(AI98="","",IF(VLOOKUP(AI98,'G-7 Rivers Data'!$AA$4:$AB$7,2,FALSE)=0,"Spatial Data Missing ⚠",VLOOKUP(AI98,'G-7 Rivers Data'!$AA$4:$AB$7,2,FALSE)))</f>
        <v/>
      </c>
      <c r="AK98" s="155"/>
      <c r="AL98" s="536" t="str">
        <f>IF(AK98="","",IF(VLOOKUP(AK98,'G-7 Rivers Data'!$AD$4:$AE$8,2,FALSE)=0,"Spatial Data Missing ⚠",VLOOKUP(AK98,'G-7 Rivers Data'!$AD$4:$AE$8,2,FALSE)))</f>
        <v/>
      </c>
      <c r="AM98" s="154"/>
      <c r="AN98" s="524" t="str">
        <f>IF(AM98="","",VLOOKUP(AM98,'G-7 Rivers Data'!$AO$4:$AP$7,2,FALSE))</f>
        <v/>
      </c>
      <c r="AO98" s="545" t="str">
        <f t="shared" si="15"/>
        <v/>
      </c>
      <c r="AP98" s="149"/>
      <c r="AQ98" s="150"/>
      <c r="AX98" s="31" t="str">
        <f>IFERROR(INDEX('G-7 Rivers Data'!$AZ$3:$AZ$7,MATCH(N98,'G-7 Rivers Data'!$AY$3:$AY$7,0)),"")</f>
        <v/>
      </c>
    </row>
    <row r="99" spans="2:50" ht="13.8" x14ac:dyDescent="0.25">
      <c r="B99" s="531" t="str">
        <f>'F-1 Off Site River Baseline'!AN97</f>
        <v/>
      </c>
      <c r="C99" s="520" t="str">
        <f>IF(B99="","",VLOOKUP($B99,'F-1 Off Site River Baseline'!$C$9:$R$257,2,FALSE))</f>
        <v/>
      </c>
      <c r="D99" s="520" t="str">
        <f>IF(C99="","",VLOOKUP($B99,'F-1 Off Site River Baseline'!$C$9:$R$257,3,FALSE))</f>
        <v/>
      </c>
      <c r="E99" s="520" t="str">
        <f>IF(D99="","",VLOOKUP($B99,'F-1 Off Site River Baseline'!$C$9:$R$257,4,FALSE))</f>
        <v/>
      </c>
      <c r="F99" s="520" t="str">
        <f>IF(E99="","",VLOOKUP($B99,'F-1 Off Site River Baseline'!$C$9:$R$257,5,FALSE))</f>
        <v/>
      </c>
      <c r="G99" s="520" t="str">
        <f>IF(F99="","",VLOOKUP($B99,'F-1 Off Site River Baseline'!$C$9:$R$257,6,FALSE))</f>
        <v/>
      </c>
      <c r="H99" s="520" t="str">
        <f>IF(G99="","",VLOOKUP($B99,'F-1 Off Site River Baseline'!$C$9:$R$257,7,FALSE))</f>
        <v/>
      </c>
      <c r="I99" s="520" t="str">
        <f>IF(H99="","",VLOOKUP($B99,'F-1 Off Site River Baseline'!$C$9:$R$257,8,FALSE))</f>
        <v/>
      </c>
      <c r="J99" s="520" t="str">
        <f>IF(I99="","",VLOOKUP($B99,'F-1 Off Site River Baseline'!$C$9:$R$257,9,FALSE))</f>
        <v/>
      </c>
      <c r="K99" s="520" t="str">
        <f>IF(J99="","",VLOOKUP($B99,'F-1 Off Site River Baseline'!$C$9:$R$257,10,FALSE))</f>
        <v/>
      </c>
      <c r="L99" s="520" t="str">
        <f>IF(B99="","",VLOOKUP($B99,'C-1 Site River Baseline'!$C$9:$R$257,15,FALSE))</f>
        <v/>
      </c>
      <c r="M99" s="524" t="str">
        <f>IF(L99="","",VLOOKUP($B99,'F-1 Off Site River Baseline'!$C$9:$R$257,16,FALSE))</f>
        <v/>
      </c>
      <c r="N99" s="418" t="str">
        <f t="shared" si="12"/>
        <v/>
      </c>
      <c r="O99" s="498" t="str">
        <f t="shared" si="13"/>
        <v/>
      </c>
      <c r="P99" s="499"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5" t="str">
        <f>IF(N99="","",VLOOKUP(B99,'F-1 Off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20" t="str">
        <f>IF(V99="","",IF(VLOOKUP(V99,'G-7 Rivers Data'!$AG$4:$AI$9,2,FALSE)=0,"Spatial Data Missing ⚠",VLOOKUP(V99,'G-7 Rivers Data'!$AG$4:$AI$9,2,FALSE)))</f>
        <v/>
      </c>
      <c r="X99" s="524" t="str">
        <f>IF(V99="","",IF(VLOOKUP(V99,'G-7 Rivers Data'!$AG$4:$AI$9,3,FALSE)=0,"Spatial Data Missing ⚠",VLOOKUP(V99,'G-7 Rivers Data'!$AG$4:$AI$9,3,FALSE)))</f>
        <v/>
      </c>
      <c r="Y99" s="537" t="str">
        <f>IFERROR(IF(OR(LEFT(P99,5)="Error ▲",LEFT(O99,5)="Error ▲"),"Check Data ⚠",IF(F99&lt;S99,'G-7 Rivers Data'!$R$3,INDEX('G-7 Rivers Data'!$U$5:$Y$9,MATCH(G99,'G-7 Rivers Data'!$T$5:$T$9,0),MATCH(T99,'G-7 Rivers Data'!$U$4:$Y$4,0)))),"")</f>
        <v/>
      </c>
      <c r="Z99" s="203"/>
      <c r="AA99" s="203"/>
      <c r="AB99" s="534" t="str">
        <f t="shared" si="8"/>
        <v/>
      </c>
      <c r="AC99" s="521" t="str">
        <f t="shared" si="9"/>
        <v/>
      </c>
      <c r="AD99" s="564" t="str">
        <f>IFERROR(IF(AC99="Check Data ⚠","Check Data ⚠",VLOOKUP(AC99,'G-4 Temporal multipliers'!$A$4:$C$37,3,FALSE)),"")</f>
        <v/>
      </c>
      <c r="AE99" s="537" t="str">
        <f>IF(N99="","",VLOOKUP(N99,'G-7 Rivers Data'!$B$4:$G$8,5,FALSE))</f>
        <v/>
      </c>
      <c r="AF99" s="520" t="str">
        <f t="shared" si="10"/>
        <v/>
      </c>
      <c r="AG99" s="520" t="str">
        <f t="shared" si="14"/>
        <v/>
      </c>
      <c r="AH99" s="524" t="str">
        <f t="shared" si="11"/>
        <v/>
      </c>
      <c r="AI99" s="145"/>
      <c r="AJ99" s="499" t="str">
        <f>IF(AI99="","",IF(VLOOKUP(AI99,'G-7 Rivers Data'!$AA$4:$AB$7,2,FALSE)=0,"Spatial Data Missing ⚠",VLOOKUP(AI99,'G-7 Rivers Data'!$AA$4:$AB$7,2,FALSE)))</f>
        <v/>
      </c>
      <c r="AK99" s="155"/>
      <c r="AL99" s="536" t="str">
        <f>IF(AK99="","",IF(VLOOKUP(AK99,'G-7 Rivers Data'!$AD$4:$AE$8,2,FALSE)=0,"Spatial Data Missing ⚠",VLOOKUP(AK99,'G-7 Rivers Data'!$AD$4:$AE$8,2,FALSE)))</f>
        <v/>
      </c>
      <c r="AM99" s="154"/>
      <c r="AN99" s="524" t="str">
        <f>IF(AM99="","",VLOOKUP(AM99,'G-7 Rivers Data'!$AO$4:$AP$7,2,FALSE))</f>
        <v/>
      </c>
      <c r="AO99" s="545" t="str">
        <f t="shared" si="15"/>
        <v/>
      </c>
      <c r="AP99" s="149"/>
      <c r="AQ99" s="150"/>
      <c r="AX99" s="31" t="str">
        <f>IFERROR(INDEX('G-7 Rivers Data'!$AZ$3:$AZ$7,MATCH(N99,'G-7 Rivers Data'!$AY$3:$AY$7,0)),"")</f>
        <v/>
      </c>
    </row>
    <row r="100" spans="2:50" ht="13.8" x14ac:dyDescent="0.25">
      <c r="B100" s="531" t="str">
        <f>'F-1 Off Site River Baseline'!AN98</f>
        <v/>
      </c>
      <c r="C100" s="520" t="str">
        <f>IF(B100="","",VLOOKUP($B100,'F-1 Off Site River Baseline'!$C$9:$R$257,2,FALSE))</f>
        <v/>
      </c>
      <c r="D100" s="520" t="str">
        <f>IF(C100="","",VLOOKUP($B100,'F-1 Off Site River Baseline'!$C$9:$R$257,3,FALSE))</f>
        <v/>
      </c>
      <c r="E100" s="520" t="str">
        <f>IF(D100="","",VLOOKUP($B100,'F-1 Off Site River Baseline'!$C$9:$R$257,4,FALSE))</f>
        <v/>
      </c>
      <c r="F100" s="520" t="str">
        <f>IF(E100="","",VLOOKUP($B100,'F-1 Off Site River Baseline'!$C$9:$R$257,5,FALSE))</f>
        <v/>
      </c>
      <c r="G100" s="520" t="str">
        <f>IF(F100="","",VLOOKUP($B100,'F-1 Off Site River Baseline'!$C$9:$R$257,6,FALSE))</f>
        <v/>
      </c>
      <c r="H100" s="520" t="str">
        <f>IF(G100="","",VLOOKUP($B100,'F-1 Off Site River Baseline'!$C$9:$R$257,7,FALSE))</f>
        <v/>
      </c>
      <c r="I100" s="520" t="str">
        <f>IF(H100="","",VLOOKUP($B100,'F-1 Off Site River Baseline'!$C$9:$R$257,8,FALSE))</f>
        <v/>
      </c>
      <c r="J100" s="520" t="str">
        <f>IF(I100="","",VLOOKUP($B100,'F-1 Off Site River Baseline'!$C$9:$R$257,9,FALSE))</f>
        <v/>
      </c>
      <c r="K100" s="520" t="str">
        <f>IF(J100="","",VLOOKUP($B100,'F-1 Off Site River Baseline'!$C$9:$R$257,10,FALSE))</f>
        <v/>
      </c>
      <c r="L100" s="520" t="str">
        <f>IF(B100="","",VLOOKUP($B100,'C-1 Site River Baseline'!$C$9:$R$257,15,FALSE))</f>
        <v/>
      </c>
      <c r="M100" s="524" t="str">
        <f>IF(L100="","",VLOOKUP($B100,'F-1 Off Site River Baseline'!$C$9:$R$257,16,FALSE))</f>
        <v/>
      </c>
      <c r="N100" s="418" t="str">
        <f t="shared" si="12"/>
        <v/>
      </c>
      <c r="O100" s="498" t="str">
        <f t="shared" si="13"/>
        <v/>
      </c>
      <c r="P100" s="499"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5" t="str">
        <f>IF(N100="","",VLOOKUP(B100,'F-1 Off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20" t="str">
        <f>IF(V100="","",IF(VLOOKUP(V100,'G-7 Rivers Data'!$AG$4:$AI$9,2,FALSE)=0,"Spatial Data Missing ⚠",VLOOKUP(V100,'G-7 Rivers Data'!$AG$4:$AI$9,2,FALSE)))</f>
        <v/>
      </c>
      <c r="X100" s="524" t="str">
        <f>IF(V100="","",IF(VLOOKUP(V100,'G-7 Rivers Data'!$AG$4:$AI$9,3,FALSE)=0,"Spatial Data Missing ⚠",VLOOKUP(V100,'G-7 Rivers Data'!$AG$4:$AI$9,3,FALSE)))</f>
        <v/>
      </c>
      <c r="Y100" s="537" t="str">
        <f>IFERROR(IF(OR(LEFT(P100,5)="Error ▲",LEFT(O100,5)="Error ▲"),"Check Data ⚠",IF(F100&lt;S100,'G-7 Rivers Data'!$R$3,INDEX('G-7 Rivers Data'!$U$5:$Y$9,MATCH(G100,'G-7 Rivers Data'!$T$5:$T$9,0),MATCH(T100,'G-7 Rivers Data'!$U$4:$Y$4,0)))),"")</f>
        <v/>
      </c>
      <c r="Z100" s="203"/>
      <c r="AA100" s="203"/>
      <c r="AB100" s="534" t="str">
        <f t="shared" si="8"/>
        <v/>
      </c>
      <c r="AC100" s="521" t="str">
        <f t="shared" si="9"/>
        <v/>
      </c>
      <c r="AD100" s="564" t="str">
        <f>IFERROR(IF(AC100="Check Data ⚠","Check Data ⚠",VLOOKUP(AC100,'G-4 Temporal multipliers'!$A$4:$C$37,3,FALSE)),"")</f>
        <v/>
      </c>
      <c r="AE100" s="537" t="str">
        <f>IF(N100="","",VLOOKUP(N100,'G-7 Rivers Data'!$B$4:$G$8,5,FALSE))</f>
        <v/>
      </c>
      <c r="AF100" s="520" t="str">
        <f t="shared" si="10"/>
        <v/>
      </c>
      <c r="AG100" s="520" t="str">
        <f t="shared" si="14"/>
        <v/>
      </c>
      <c r="AH100" s="524" t="str">
        <f t="shared" si="11"/>
        <v/>
      </c>
      <c r="AI100" s="145"/>
      <c r="AJ100" s="499" t="str">
        <f>IF(AI100="","",IF(VLOOKUP(AI100,'G-7 Rivers Data'!$AA$4:$AB$7,2,FALSE)=0,"Spatial Data Missing ⚠",VLOOKUP(AI100,'G-7 Rivers Data'!$AA$4:$AB$7,2,FALSE)))</f>
        <v/>
      </c>
      <c r="AK100" s="155"/>
      <c r="AL100" s="536" t="str">
        <f>IF(AK100="","",IF(VLOOKUP(AK100,'G-7 Rivers Data'!$AD$4:$AE$8,2,FALSE)=0,"Spatial Data Missing ⚠",VLOOKUP(AK100,'G-7 Rivers Data'!$AD$4:$AE$8,2,FALSE)))</f>
        <v/>
      </c>
      <c r="AM100" s="154"/>
      <c r="AN100" s="524" t="str">
        <f>IF(AM100="","",VLOOKUP(AM100,'G-7 Rivers Data'!$AO$4:$AP$7,2,FALSE))</f>
        <v/>
      </c>
      <c r="AO100" s="545" t="str">
        <f t="shared" si="15"/>
        <v/>
      </c>
      <c r="AP100" s="149"/>
      <c r="AQ100" s="150"/>
      <c r="AX100" s="31" t="str">
        <f>IFERROR(INDEX('G-7 Rivers Data'!$AZ$3:$AZ$7,MATCH(N100,'G-7 Rivers Data'!$AY$3:$AY$7,0)),"")</f>
        <v/>
      </c>
    </row>
    <row r="101" spans="2:50" ht="13.8" x14ac:dyDescent="0.25">
      <c r="B101" s="531" t="str">
        <f>'F-1 Off Site River Baseline'!AN99</f>
        <v/>
      </c>
      <c r="C101" s="520" t="str">
        <f>IF(B101="","",VLOOKUP($B101,'F-1 Off Site River Baseline'!$C$9:$R$257,2,FALSE))</f>
        <v/>
      </c>
      <c r="D101" s="520" t="str">
        <f>IF(C101="","",VLOOKUP($B101,'F-1 Off Site River Baseline'!$C$9:$R$257,3,FALSE))</f>
        <v/>
      </c>
      <c r="E101" s="520" t="str">
        <f>IF(D101="","",VLOOKUP($B101,'F-1 Off Site River Baseline'!$C$9:$R$257,4,FALSE))</f>
        <v/>
      </c>
      <c r="F101" s="520" t="str">
        <f>IF(E101="","",VLOOKUP($B101,'F-1 Off Site River Baseline'!$C$9:$R$257,5,FALSE))</f>
        <v/>
      </c>
      <c r="G101" s="520" t="str">
        <f>IF(F101="","",VLOOKUP($B101,'F-1 Off Site River Baseline'!$C$9:$R$257,6,FALSE))</f>
        <v/>
      </c>
      <c r="H101" s="520" t="str">
        <f>IF(G101="","",VLOOKUP($B101,'F-1 Off Site River Baseline'!$C$9:$R$257,7,FALSE))</f>
        <v/>
      </c>
      <c r="I101" s="520" t="str">
        <f>IF(H101="","",VLOOKUP($B101,'F-1 Off Site River Baseline'!$C$9:$R$257,8,FALSE))</f>
        <v/>
      </c>
      <c r="J101" s="520" t="str">
        <f>IF(I101="","",VLOOKUP($B101,'F-1 Off Site River Baseline'!$C$9:$R$257,9,FALSE))</f>
        <v/>
      </c>
      <c r="K101" s="520" t="str">
        <f>IF(J101="","",VLOOKUP($B101,'F-1 Off Site River Baseline'!$C$9:$R$257,10,FALSE))</f>
        <v/>
      </c>
      <c r="L101" s="520" t="str">
        <f>IF(B101="","",VLOOKUP($B101,'C-1 Site River Baseline'!$C$9:$R$257,15,FALSE))</f>
        <v/>
      </c>
      <c r="M101" s="524" t="str">
        <f>IF(L101="","",VLOOKUP($B101,'F-1 Off Site River Baseline'!$C$9:$R$257,16,FALSE))</f>
        <v/>
      </c>
      <c r="N101" s="418" t="str">
        <f t="shared" si="12"/>
        <v/>
      </c>
      <c r="O101" s="498" t="str">
        <f t="shared" si="13"/>
        <v/>
      </c>
      <c r="P101" s="499"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5" t="str">
        <f>IF(N101="","",VLOOKUP(B101,'F-1 Off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20" t="str">
        <f>IF(V101="","",IF(VLOOKUP(V101,'G-7 Rivers Data'!$AG$4:$AI$9,2,FALSE)=0,"Spatial Data Missing ⚠",VLOOKUP(V101,'G-7 Rivers Data'!$AG$4:$AI$9,2,FALSE)))</f>
        <v/>
      </c>
      <c r="X101" s="524" t="str">
        <f>IF(V101="","",IF(VLOOKUP(V101,'G-7 Rivers Data'!$AG$4:$AI$9,3,FALSE)=0,"Spatial Data Missing ⚠",VLOOKUP(V101,'G-7 Rivers Data'!$AG$4:$AI$9,3,FALSE)))</f>
        <v/>
      </c>
      <c r="Y101" s="537" t="str">
        <f>IFERROR(IF(OR(LEFT(P101,5)="Error ▲",LEFT(O101,5)="Error ▲"),"Check Data ⚠",IF(F101&lt;S101,'G-7 Rivers Data'!$R$3,INDEX('G-7 Rivers Data'!$U$5:$Y$9,MATCH(G101,'G-7 Rivers Data'!$T$5:$T$9,0),MATCH(T101,'G-7 Rivers Data'!$U$4:$Y$4,0)))),"")</f>
        <v/>
      </c>
      <c r="Z101" s="203"/>
      <c r="AA101" s="203"/>
      <c r="AB101" s="534" t="str">
        <f t="shared" si="8"/>
        <v/>
      </c>
      <c r="AC101" s="521" t="str">
        <f t="shared" si="9"/>
        <v/>
      </c>
      <c r="AD101" s="564" t="str">
        <f>IFERROR(IF(AC101="Check Data ⚠","Check Data ⚠",VLOOKUP(AC101,'G-4 Temporal multipliers'!$A$4:$C$37,3,FALSE)),"")</f>
        <v/>
      </c>
      <c r="AE101" s="537" t="str">
        <f>IF(N101="","",VLOOKUP(N101,'G-7 Rivers Data'!$B$4:$G$8,5,FALSE))</f>
        <v/>
      </c>
      <c r="AF101" s="520" t="str">
        <f t="shared" si="10"/>
        <v/>
      </c>
      <c r="AG101" s="520" t="str">
        <f t="shared" si="14"/>
        <v/>
      </c>
      <c r="AH101" s="524" t="str">
        <f t="shared" si="11"/>
        <v/>
      </c>
      <c r="AI101" s="145"/>
      <c r="AJ101" s="499" t="str">
        <f>IF(AI101="","",IF(VLOOKUP(AI101,'G-7 Rivers Data'!$AA$4:$AB$7,2,FALSE)=0,"Spatial Data Missing ⚠",VLOOKUP(AI101,'G-7 Rivers Data'!$AA$4:$AB$7,2,FALSE)))</f>
        <v/>
      </c>
      <c r="AK101" s="155"/>
      <c r="AL101" s="536" t="str">
        <f>IF(AK101="","",IF(VLOOKUP(AK101,'G-7 Rivers Data'!$AD$4:$AE$8,2,FALSE)=0,"Spatial Data Missing ⚠",VLOOKUP(AK101,'G-7 Rivers Data'!$AD$4:$AE$8,2,FALSE)))</f>
        <v/>
      </c>
      <c r="AM101" s="154"/>
      <c r="AN101" s="524" t="str">
        <f>IF(AM101="","",VLOOKUP(AM101,'G-7 Rivers Data'!$AO$4:$AP$7,2,FALSE))</f>
        <v/>
      </c>
      <c r="AO101" s="545" t="str">
        <f t="shared" si="15"/>
        <v/>
      </c>
      <c r="AP101" s="149"/>
      <c r="AQ101" s="150"/>
      <c r="AX101" s="31" t="str">
        <f>IFERROR(INDEX('G-7 Rivers Data'!$AZ$3:$AZ$7,MATCH(N101,'G-7 Rivers Data'!$AY$3:$AY$7,0)),"")</f>
        <v/>
      </c>
    </row>
    <row r="102" spans="2:50" ht="13.8" x14ac:dyDescent="0.25">
      <c r="B102" s="531" t="str">
        <f>'F-1 Off Site River Baseline'!AN100</f>
        <v/>
      </c>
      <c r="C102" s="520" t="str">
        <f>IF(B102="","",VLOOKUP($B102,'F-1 Off Site River Baseline'!$C$9:$R$257,2,FALSE))</f>
        <v/>
      </c>
      <c r="D102" s="520" t="str">
        <f>IF(C102="","",VLOOKUP($B102,'F-1 Off Site River Baseline'!$C$9:$R$257,3,FALSE))</f>
        <v/>
      </c>
      <c r="E102" s="520" t="str">
        <f>IF(D102="","",VLOOKUP($B102,'F-1 Off Site River Baseline'!$C$9:$R$257,4,FALSE))</f>
        <v/>
      </c>
      <c r="F102" s="520" t="str">
        <f>IF(E102="","",VLOOKUP($B102,'F-1 Off Site River Baseline'!$C$9:$R$257,5,FALSE))</f>
        <v/>
      </c>
      <c r="G102" s="520" t="str">
        <f>IF(F102="","",VLOOKUP($B102,'F-1 Off Site River Baseline'!$C$9:$R$257,6,FALSE))</f>
        <v/>
      </c>
      <c r="H102" s="520" t="str">
        <f>IF(G102="","",VLOOKUP($B102,'F-1 Off Site River Baseline'!$C$9:$R$257,7,FALSE))</f>
        <v/>
      </c>
      <c r="I102" s="520" t="str">
        <f>IF(H102="","",VLOOKUP($B102,'F-1 Off Site River Baseline'!$C$9:$R$257,8,FALSE))</f>
        <v/>
      </c>
      <c r="J102" s="520" t="str">
        <f>IF(I102="","",VLOOKUP($B102,'F-1 Off Site River Baseline'!$C$9:$R$257,9,FALSE))</f>
        <v/>
      </c>
      <c r="K102" s="520" t="str">
        <f>IF(J102="","",VLOOKUP($B102,'F-1 Off Site River Baseline'!$C$9:$R$257,10,FALSE))</f>
        <v/>
      </c>
      <c r="L102" s="520" t="str">
        <f>IF(B102="","",VLOOKUP($B102,'C-1 Site River Baseline'!$C$9:$R$257,15,FALSE))</f>
        <v/>
      </c>
      <c r="M102" s="524" t="str">
        <f>IF(L102="","",VLOOKUP($B102,'F-1 Off Site River Baseline'!$C$9:$R$257,16,FALSE))</f>
        <v/>
      </c>
      <c r="N102" s="418" t="str">
        <f t="shared" si="12"/>
        <v/>
      </c>
      <c r="O102" s="498" t="str">
        <f t="shared" si="13"/>
        <v/>
      </c>
      <c r="P102" s="499"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5" t="str">
        <f>IF(N102="","",VLOOKUP(B102,'F-1 Off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20" t="str">
        <f>IF(V102="","",IF(VLOOKUP(V102,'G-7 Rivers Data'!$AG$4:$AI$9,2,FALSE)=0,"Spatial Data Missing ⚠",VLOOKUP(V102,'G-7 Rivers Data'!$AG$4:$AI$9,2,FALSE)))</f>
        <v/>
      </c>
      <c r="X102" s="524" t="str">
        <f>IF(V102="","",IF(VLOOKUP(V102,'G-7 Rivers Data'!$AG$4:$AI$9,3,FALSE)=0,"Spatial Data Missing ⚠",VLOOKUP(V102,'G-7 Rivers Data'!$AG$4:$AI$9,3,FALSE)))</f>
        <v/>
      </c>
      <c r="Y102" s="537" t="str">
        <f>IFERROR(IF(OR(LEFT(P102,5)="Error ▲",LEFT(O102,5)="Error ▲"),"Check Data ⚠",IF(F102&lt;S102,'G-7 Rivers Data'!$R$3,INDEX('G-7 Rivers Data'!$U$5:$Y$9,MATCH(G102,'G-7 Rivers Data'!$T$5:$T$9,0),MATCH(T102,'G-7 Rivers Data'!$U$4:$Y$4,0)))),"")</f>
        <v/>
      </c>
      <c r="Z102" s="203"/>
      <c r="AA102" s="203"/>
      <c r="AB102" s="534" t="str">
        <f t="shared" si="8"/>
        <v/>
      </c>
      <c r="AC102" s="521" t="str">
        <f t="shared" si="9"/>
        <v/>
      </c>
      <c r="AD102" s="564" t="str">
        <f>IFERROR(IF(AC102="Check Data ⚠","Check Data ⚠",VLOOKUP(AC102,'G-4 Temporal multipliers'!$A$4:$C$37,3,FALSE)),"")</f>
        <v/>
      </c>
      <c r="AE102" s="537" t="str">
        <f>IF(N102="","",VLOOKUP(N102,'G-7 Rivers Data'!$B$4:$G$8,5,FALSE))</f>
        <v/>
      </c>
      <c r="AF102" s="520" t="str">
        <f t="shared" si="10"/>
        <v/>
      </c>
      <c r="AG102" s="520" t="str">
        <f t="shared" si="14"/>
        <v/>
      </c>
      <c r="AH102" s="524" t="str">
        <f t="shared" si="11"/>
        <v/>
      </c>
      <c r="AI102" s="145"/>
      <c r="AJ102" s="499" t="str">
        <f>IF(AI102="","",IF(VLOOKUP(AI102,'G-7 Rivers Data'!$AA$4:$AB$7,2,FALSE)=0,"Spatial Data Missing ⚠",VLOOKUP(AI102,'G-7 Rivers Data'!$AA$4:$AB$7,2,FALSE)))</f>
        <v/>
      </c>
      <c r="AK102" s="155"/>
      <c r="AL102" s="536" t="str">
        <f>IF(AK102="","",IF(VLOOKUP(AK102,'G-7 Rivers Data'!$AD$4:$AE$8,2,FALSE)=0,"Spatial Data Missing ⚠",VLOOKUP(AK102,'G-7 Rivers Data'!$AD$4:$AE$8,2,FALSE)))</f>
        <v/>
      </c>
      <c r="AM102" s="154"/>
      <c r="AN102" s="524" t="str">
        <f>IF(AM102="","",VLOOKUP(AM102,'G-7 Rivers Data'!$AO$4:$AP$7,2,FALSE))</f>
        <v/>
      </c>
      <c r="AO102" s="545" t="str">
        <f t="shared" si="15"/>
        <v/>
      </c>
      <c r="AP102" s="149"/>
      <c r="AQ102" s="150"/>
      <c r="AX102" s="31" t="str">
        <f>IFERROR(INDEX('G-7 Rivers Data'!$AZ$3:$AZ$7,MATCH(N102,'G-7 Rivers Data'!$AY$3:$AY$7,0)),"")</f>
        <v/>
      </c>
    </row>
    <row r="103" spans="2:50" ht="13.8" x14ac:dyDescent="0.25">
      <c r="B103" s="531" t="str">
        <f>'F-1 Off Site River Baseline'!AN101</f>
        <v/>
      </c>
      <c r="C103" s="520" t="str">
        <f>IF(B103="","",VLOOKUP($B103,'F-1 Off Site River Baseline'!$C$9:$R$257,2,FALSE))</f>
        <v/>
      </c>
      <c r="D103" s="520" t="str">
        <f>IF(C103="","",VLOOKUP($B103,'F-1 Off Site River Baseline'!$C$9:$R$257,3,FALSE))</f>
        <v/>
      </c>
      <c r="E103" s="520" t="str">
        <f>IF(D103="","",VLOOKUP($B103,'F-1 Off Site River Baseline'!$C$9:$R$257,4,FALSE))</f>
        <v/>
      </c>
      <c r="F103" s="520" t="str">
        <f>IF(E103="","",VLOOKUP($B103,'F-1 Off Site River Baseline'!$C$9:$R$257,5,FALSE))</f>
        <v/>
      </c>
      <c r="G103" s="520" t="str">
        <f>IF(F103="","",VLOOKUP($B103,'F-1 Off Site River Baseline'!$C$9:$R$257,6,FALSE))</f>
        <v/>
      </c>
      <c r="H103" s="520" t="str">
        <f>IF(G103="","",VLOOKUP($B103,'F-1 Off Site River Baseline'!$C$9:$R$257,7,FALSE))</f>
        <v/>
      </c>
      <c r="I103" s="520" t="str">
        <f>IF(H103="","",VLOOKUP($B103,'F-1 Off Site River Baseline'!$C$9:$R$257,8,FALSE))</f>
        <v/>
      </c>
      <c r="J103" s="520" t="str">
        <f>IF(I103="","",VLOOKUP($B103,'F-1 Off Site River Baseline'!$C$9:$R$257,9,FALSE))</f>
        <v/>
      </c>
      <c r="K103" s="520" t="str">
        <f>IF(J103="","",VLOOKUP($B103,'F-1 Off Site River Baseline'!$C$9:$R$257,10,FALSE))</f>
        <v/>
      </c>
      <c r="L103" s="520" t="str">
        <f>IF(B103="","",VLOOKUP($B103,'C-1 Site River Baseline'!$C$9:$R$257,15,FALSE))</f>
        <v/>
      </c>
      <c r="M103" s="524" t="str">
        <f>IF(L103="","",VLOOKUP($B103,'F-1 Off Site River Baseline'!$C$9:$R$257,16,FALSE))</f>
        <v/>
      </c>
      <c r="N103" s="418" t="str">
        <f t="shared" si="12"/>
        <v/>
      </c>
      <c r="O103" s="498" t="str">
        <f t="shared" si="13"/>
        <v/>
      </c>
      <c r="P103" s="499"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5" t="str">
        <f>IF(N103="","",VLOOKUP(B103,'F-1 Off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20" t="str">
        <f>IF(V103="","",IF(VLOOKUP(V103,'G-7 Rivers Data'!$AG$4:$AI$9,2,FALSE)=0,"Spatial Data Missing ⚠",VLOOKUP(V103,'G-7 Rivers Data'!$AG$4:$AI$9,2,FALSE)))</f>
        <v/>
      </c>
      <c r="X103" s="524" t="str">
        <f>IF(V103="","",IF(VLOOKUP(V103,'G-7 Rivers Data'!$AG$4:$AI$9,3,FALSE)=0,"Spatial Data Missing ⚠",VLOOKUP(V103,'G-7 Rivers Data'!$AG$4:$AI$9,3,FALSE)))</f>
        <v/>
      </c>
      <c r="Y103" s="537" t="str">
        <f>IFERROR(IF(OR(LEFT(P103,5)="Error ▲",LEFT(O103,5)="Error ▲"),"Check Data ⚠",IF(F103&lt;S103,'G-7 Rivers Data'!$R$3,INDEX('G-7 Rivers Data'!$U$5:$Y$9,MATCH(G103,'G-7 Rivers Data'!$T$5:$T$9,0),MATCH(T103,'G-7 Rivers Data'!$U$4:$Y$4,0)))),"")</f>
        <v/>
      </c>
      <c r="Z103" s="203"/>
      <c r="AA103" s="203"/>
      <c r="AB103" s="534" t="str">
        <f t="shared" si="8"/>
        <v/>
      </c>
      <c r="AC103" s="521" t="str">
        <f t="shared" si="9"/>
        <v/>
      </c>
      <c r="AD103" s="564" t="str">
        <f>IFERROR(IF(AC103="Check Data ⚠","Check Data ⚠",VLOOKUP(AC103,'G-4 Temporal multipliers'!$A$4:$C$37,3,FALSE)),"")</f>
        <v/>
      </c>
      <c r="AE103" s="537" t="str">
        <f>IF(N103="","",VLOOKUP(N103,'G-7 Rivers Data'!$B$4:$G$8,5,FALSE))</f>
        <v/>
      </c>
      <c r="AF103" s="520" t="str">
        <f t="shared" si="10"/>
        <v/>
      </c>
      <c r="AG103" s="520" t="str">
        <f t="shared" si="14"/>
        <v/>
      </c>
      <c r="AH103" s="524" t="str">
        <f t="shared" si="11"/>
        <v/>
      </c>
      <c r="AI103" s="145"/>
      <c r="AJ103" s="499" t="str">
        <f>IF(AI103="","",IF(VLOOKUP(AI103,'G-7 Rivers Data'!$AA$4:$AB$7,2,FALSE)=0,"Spatial Data Missing ⚠",VLOOKUP(AI103,'G-7 Rivers Data'!$AA$4:$AB$7,2,FALSE)))</f>
        <v/>
      </c>
      <c r="AK103" s="155"/>
      <c r="AL103" s="536" t="str">
        <f>IF(AK103="","",IF(VLOOKUP(AK103,'G-7 Rivers Data'!$AD$4:$AE$8,2,FALSE)=0,"Spatial Data Missing ⚠",VLOOKUP(AK103,'G-7 Rivers Data'!$AD$4:$AE$8,2,FALSE)))</f>
        <v/>
      </c>
      <c r="AM103" s="154"/>
      <c r="AN103" s="524" t="str">
        <f>IF(AM103="","",VLOOKUP(AM103,'G-7 Rivers Data'!$AO$4:$AP$7,2,FALSE))</f>
        <v/>
      </c>
      <c r="AO103" s="545" t="str">
        <f t="shared" si="15"/>
        <v/>
      </c>
      <c r="AP103" s="149"/>
      <c r="AQ103" s="150"/>
      <c r="AX103" s="31" t="str">
        <f>IFERROR(INDEX('G-7 Rivers Data'!$AZ$3:$AZ$7,MATCH(N103,'G-7 Rivers Data'!$AY$3:$AY$7,0)),"")</f>
        <v/>
      </c>
    </row>
    <row r="104" spans="2:50" ht="13.8" x14ac:dyDescent="0.25">
      <c r="B104" s="531" t="str">
        <f>'F-1 Off Site River Baseline'!AN102</f>
        <v/>
      </c>
      <c r="C104" s="520" t="str">
        <f>IF(B104="","",VLOOKUP($B104,'F-1 Off Site River Baseline'!$C$9:$R$257,2,FALSE))</f>
        <v/>
      </c>
      <c r="D104" s="520" t="str">
        <f>IF(C104="","",VLOOKUP($B104,'F-1 Off Site River Baseline'!$C$9:$R$257,3,FALSE))</f>
        <v/>
      </c>
      <c r="E104" s="520" t="str">
        <f>IF(D104="","",VLOOKUP($B104,'F-1 Off Site River Baseline'!$C$9:$R$257,4,FALSE))</f>
        <v/>
      </c>
      <c r="F104" s="520" t="str">
        <f>IF(E104="","",VLOOKUP($B104,'F-1 Off Site River Baseline'!$C$9:$R$257,5,FALSE))</f>
        <v/>
      </c>
      <c r="G104" s="520" t="str">
        <f>IF(F104="","",VLOOKUP($B104,'F-1 Off Site River Baseline'!$C$9:$R$257,6,FALSE))</f>
        <v/>
      </c>
      <c r="H104" s="520" t="str">
        <f>IF(G104="","",VLOOKUP($B104,'F-1 Off Site River Baseline'!$C$9:$R$257,7,FALSE))</f>
        <v/>
      </c>
      <c r="I104" s="520" t="str">
        <f>IF(H104="","",VLOOKUP($B104,'F-1 Off Site River Baseline'!$C$9:$R$257,8,FALSE))</f>
        <v/>
      </c>
      <c r="J104" s="520" t="str">
        <f>IF(I104="","",VLOOKUP($B104,'F-1 Off Site River Baseline'!$C$9:$R$257,9,FALSE))</f>
        <v/>
      </c>
      <c r="K104" s="520" t="str">
        <f>IF(J104="","",VLOOKUP($B104,'F-1 Off Site River Baseline'!$C$9:$R$257,10,FALSE))</f>
        <v/>
      </c>
      <c r="L104" s="520" t="str">
        <f>IF(B104="","",VLOOKUP($B104,'C-1 Site River Baseline'!$C$9:$R$257,15,FALSE))</f>
        <v/>
      </c>
      <c r="M104" s="524" t="str">
        <f>IF(L104="","",VLOOKUP($B104,'F-1 Off Site River Baseline'!$C$9:$R$257,16,FALSE))</f>
        <v/>
      </c>
      <c r="N104" s="418" t="str">
        <f t="shared" si="12"/>
        <v/>
      </c>
      <c r="O104" s="498" t="str">
        <f t="shared" si="13"/>
        <v/>
      </c>
      <c r="P104" s="499"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5" t="str">
        <f>IF(N104="","",VLOOKUP(B104,'F-1 Off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20" t="str">
        <f>IF(V104="","",IF(VLOOKUP(V104,'G-7 Rivers Data'!$AG$4:$AI$9,2,FALSE)=0,"Spatial Data Missing ⚠",VLOOKUP(V104,'G-7 Rivers Data'!$AG$4:$AI$9,2,FALSE)))</f>
        <v/>
      </c>
      <c r="X104" s="524" t="str">
        <f>IF(V104="","",IF(VLOOKUP(V104,'G-7 Rivers Data'!$AG$4:$AI$9,3,FALSE)=0,"Spatial Data Missing ⚠",VLOOKUP(V104,'G-7 Rivers Data'!$AG$4:$AI$9,3,FALSE)))</f>
        <v/>
      </c>
      <c r="Y104" s="537" t="str">
        <f>IFERROR(IF(OR(LEFT(P104,5)="Error ▲",LEFT(O104,5)="Error ▲"),"Check Data ⚠",IF(F104&lt;S104,'G-7 Rivers Data'!$R$3,INDEX('G-7 Rivers Data'!$U$5:$Y$9,MATCH(G104,'G-7 Rivers Data'!$T$5:$T$9,0),MATCH(T104,'G-7 Rivers Data'!$U$4:$Y$4,0)))),"")</f>
        <v/>
      </c>
      <c r="Z104" s="203"/>
      <c r="AA104" s="203"/>
      <c r="AB104" s="534" t="str">
        <f t="shared" si="8"/>
        <v/>
      </c>
      <c r="AC104" s="521" t="str">
        <f t="shared" si="9"/>
        <v/>
      </c>
      <c r="AD104" s="564" t="str">
        <f>IFERROR(IF(AC104="Check Data ⚠","Check Data ⚠",VLOOKUP(AC104,'G-4 Temporal multipliers'!$A$4:$C$37,3,FALSE)),"")</f>
        <v/>
      </c>
      <c r="AE104" s="537" t="str">
        <f>IF(N104="","",VLOOKUP(N104,'G-7 Rivers Data'!$B$4:$G$8,5,FALSE))</f>
        <v/>
      </c>
      <c r="AF104" s="520" t="str">
        <f t="shared" si="10"/>
        <v/>
      </c>
      <c r="AG104" s="520" t="str">
        <f t="shared" si="14"/>
        <v/>
      </c>
      <c r="AH104" s="524" t="str">
        <f t="shared" si="11"/>
        <v/>
      </c>
      <c r="AI104" s="145"/>
      <c r="AJ104" s="499" t="str">
        <f>IF(AI104="","",IF(VLOOKUP(AI104,'G-7 Rivers Data'!$AA$4:$AB$7,2,FALSE)=0,"Spatial Data Missing ⚠",VLOOKUP(AI104,'G-7 Rivers Data'!$AA$4:$AB$7,2,FALSE)))</f>
        <v/>
      </c>
      <c r="AK104" s="155"/>
      <c r="AL104" s="536" t="str">
        <f>IF(AK104="","",IF(VLOOKUP(AK104,'G-7 Rivers Data'!$AD$4:$AE$8,2,FALSE)=0,"Spatial Data Missing ⚠",VLOOKUP(AK104,'G-7 Rivers Data'!$AD$4:$AE$8,2,FALSE)))</f>
        <v/>
      </c>
      <c r="AM104" s="154"/>
      <c r="AN104" s="524" t="str">
        <f>IF(AM104="","",VLOOKUP(AM104,'G-7 Rivers Data'!$AO$4:$AP$7,2,FALSE))</f>
        <v/>
      </c>
      <c r="AO104" s="545" t="str">
        <f t="shared" si="15"/>
        <v/>
      </c>
      <c r="AP104" s="149"/>
      <c r="AQ104" s="150"/>
      <c r="AX104" s="31" t="str">
        <f>IFERROR(INDEX('G-7 Rivers Data'!$AZ$3:$AZ$7,MATCH(N104,'G-7 Rivers Data'!$AY$3:$AY$7,0)),"")</f>
        <v/>
      </c>
    </row>
    <row r="105" spans="2:50" ht="13.8" x14ac:dyDescent="0.25">
      <c r="B105" s="531" t="str">
        <f>'F-1 Off Site River Baseline'!AN103</f>
        <v/>
      </c>
      <c r="C105" s="520" t="str">
        <f>IF(B105="","",VLOOKUP($B105,'F-1 Off Site River Baseline'!$C$9:$R$257,2,FALSE))</f>
        <v/>
      </c>
      <c r="D105" s="520" t="str">
        <f>IF(C105="","",VLOOKUP($B105,'F-1 Off Site River Baseline'!$C$9:$R$257,3,FALSE))</f>
        <v/>
      </c>
      <c r="E105" s="520" t="str">
        <f>IF(D105="","",VLOOKUP($B105,'F-1 Off Site River Baseline'!$C$9:$R$257,4,FALSE))</f>
        <v/>
      </c>
      <c r="F105" s="520" t="str">
        <f>IF(E105="","",VLOOKUP($B105,'F-1 Off Site River Baseline'!$C$9:$R$257,5,FALSE))</f>
        <v/>
      </c>
      <c r="G105" s="520" t="str">
        <f>IF(F105="","",VLOOKUP($B105,'F-1 Off Site River Baseline'!$C$9:$R$257,6,FALSE))</f>
        <v/>
      </c>
      <c r="H105" s="520" t="str">
        <f>IF(G105="","",VLOOKUP($B105,'F-1 Off Site River Baseline'!$C$9:$R$257,7,FALSE))</f>
        <v/>
      </c>
      <c r="I105" s="520" t="str">
        <f>IF(H105="","",VLOOKUP($B105,'F-1 Off Site River Baseline'!$C$9:$R$257,8,FALSE))</f>
        <v/>
      </c>
      <c r="J105" s="520" t="str">
        <f>IF(I105="","",VLOOKUP($B105,'F-1 Off Site River Baseline'!$C$9:$R$257,9,FALSE))</f>
        <v/>
      </c>
      <c r="K105" s="520" t="str">
        <f>IF(J105="","",VLOOKUP($B105,'F-1 Off Site River Baseline'!$C$9:$R$257,10,FALSE))</f>
        <v/>
      </c>
      <c r="L105" s="520" t="str">
        <f>IF(B105="","",VLOOKUP($B105,'C-1 Site River Baseline'!$C$9:$R$257,15,FALSE))</f>
        <v/>
      </c>
      <c r="M105" s="524" t="str">
        <f>IF(L105="","",VLOOKUP($B105,'F-1 Off Site River Baseline'!$C$9:$R$257,16,FALSE))</f>
        <v/>
      </c>
      <c r="N105" s="418" t="str">
        <f t="shared" si="12"/>
        <v/>
      </c>
      <c r="O105" s="498" t="str">
        <f t="shared" si="13"/>
        <v/>
      </c>
      <c r="P105" s="499"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5" t="str">
        <f>IF(N105="","",VLOOKUP(B105,'F-1 Off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20" t="str">
        <f>IF(V105="","",IF(VLOOKUP(V105,'G-7 Rivers Data'!$AG$4:$AI$9,2,FALSE)=0,"Spatial Data Missing ⚠",VLOOKUP(V105,'G-7 Rivers Data'!$AG$4:$AI$9,2,FALSE)))</f>
        <v/>
      </c>
      <c r="X105" s="524" t="str">
        <f>IF(V105="","",IF(VLOOKUP(V105,'G-7 Rivers Data'!$AG$4:$AI$9,3,FALSE)=0,"Spatial Data Missing ⚠",VLOOKUP(V105,'G-7 Rivers Data'!$AG$4:$AI$9,3,FALSE)))</f>
        <v/>
      </c>
      <c r="Y105" s="537" t="str">
        <f>IFERROR(IF(OR(LEFT(P105,5)="Error ▲",LEFT(O105,5)="Error ▲"),"Check Data ⚠",IF(F105&lt;S105,'G-7 Rivers Data'!$R$3,INDEX('G-7 Rivers Data'!$U$5:$Y$9,MATCH(G105,'G-7 Rivers Data'!$T$5:$T$9,0),MATCH(T105,'G-7 Rivers Data'!$U$4:$Y$4,0)))),"")</f>
        <v/>
      </c>
      <c r="Z105" s="203"/>
      <c r="AA105" s="203"/>
      <c r="AB105" s="534" t="str">
        <f t="shared" si="8"/>
        <v/>
      </c>
      <c r="AC105" s="521" t="str">
        <f t="shared" si="9"/>
        <v/>
      </c>
      <c r="AD105" s="564" t="str">
        <f>IFERROR(IF(AC105="Check Data ⚠","Check Data ⚠",VLOOKUP(AC105,'G-4 Temporal multipliers'!$A$4:$C$37,3,FALSE)),"")</f>
        <v/>
      </c>
      <c r="AE105" s="537" t="str">
        <f>IF(N105="","",VLOOKUP(N105,'G-7 Rivers Data'!$B$4:$G$8,5,FALSE))</f>
        <v/>
      </c>
      <c r="AF105" s="520" t="str">
        <f t="shared" si="10"/>
        <v/>
      </c>
      <c r="AG105" s="520" t="str">
        <f t="shared" si="14"/>
        <v/>
      </c>
      <c r="AH105" s="524" t="str">
        <f t="shared" si="11"/>
        <v/>
      </c>
      <c r="AI105" s="145"/>
      <c r="AJ105" s="499" t="str">
        <f>IF(AI105="","",IF(VLOOKUP(AI105,'G-7 Rivers Data'!$AA$4:$AB$7,2,FALSE)=0,"Spatial Data Missing ⚠",VLOOKUP(AI105,'G-7 Rivers Data'!$AA$4:$AB$7,2,FALSE)))</f>
        <v/>
      </c>
      <c r="AK105" s="155"/>
      <c r="AL105" s="536" t="str">
        <f>IF(AK105="","",IF(VLOOKUP(AK105,'G-7 Rivers Data'!$AD$4:$AE$8,2,FALSE)=0,"Spatial Data Missing ⚠",VLOOKUP(AK105,'G-7 Rivers Data'!$AD$4:$AE$8,2,FALSE)))</f>
        <v/>
      </c>
      <c r="AM105" s="154"/>
      <c r="AN105" s="524" t="str">
        <f>IF(AM105="","",VLOOKUP(AM105,'G-7 Rivers Data'!$AO$4:$AP$7,2,FALSE))</f>
        <v/>
      </c>
      <c r="AO105" s="545" t="str">
        <f t="shared" si="15"/>
        <v/>
      </c>
      <c r="AP105" s="149"/>
      <c r="AQ105" s="150"/>
      <c r="AX105" s="31" t="str">
        <f>IFERROR(INDEX('G-7 Rivers Data'!$AZ$3:$AZ$7,MATCH(N105,'G-7 Rivers Data'!$AY$3:$AY$7,0)),"")</f>
        <v/>
      </c>
    </row>
    <row r="106" spans="2:50" ht="13.8" x14ac:dyDescent="0.25">
      <c r="B106" s="531" t="str">
        <f>'F-1 Off Site River Baseline'!AN104</f>
        <v/>
      </c>
      <c r="C106" s="520" t="str">
        <f>IF(B106="","",VLOOKUP($B106,'F-1 Off Site River Baseline'!$C$9:$R$257,2,FALSE))</f>
        <v/>
      </c>
      <c r="D106" s="520" t="str">
        <f>IF(C106="","",VLOOKUP($B106,'F-1 Off Site River Baseline'!$C$9:$R$257,3,FALSE))</f>
        <v/>
      </c>
      <c r="E106" s="520" t="str">
        <f>IF(D106="","",VLOOKUP($B106,'F-1 Off Site River Baseline'!$C$9:$R$257,4,FALSE))</f>
        <v/>
      </c>
      <c r="F106" s="520" t="str">
        <f>IF(E106="","",VLOOKUP($B106,'F-1 Off Site River Baseline'!$C$9:$R$257,5,FALSE))</f>
        <v/>
      </c>
      <c r="G106" s="520" t="str">
        <f>IF(F106="","",VLOOKUP($B106,'F-1 Off Site River Baseline'!$C$9:$R$257,6,FALSE))</f>
        <v/>
      </c>
      <c r="H106" s="520" t="str">
        <f>IF(G106="","",VLOOKUP($B106,'F-1 Off Site River Baseline'!$C$9:$R$257,7,FALSE))</f>
        <v/>
      </c>
      <c r="I106" s="520" t="str">
        <f>IF(H106="","",VLOOKUP($B106,'F-1 Off Site River Baseline'!$C$9:$R$257,8,FALSE))</f>
        <v/>
      </c>
      <c r="J106" s="520" t="str">
        <f>IF(I106="","",VLOOKUP($B106,'F-1 Off Site River Baseline'!$C$9:$R$257,9,FALSE))</f>
        <v/>
      </c>
      <c r="K106" s="520" t="str">
        <f>IF(J106="","",VLOOKUP($B106,'F-1 Off Site River Baseline'!$C$9:$R$257,10,FALSE))</f>
        <v/>
      </c>
      <c r="L106" s="520" t="str">
        <f>IF(B106="","",VLOOKUP($B106,'C-1 Site River Baseline'!$C$9:$R$257,15,FALSE))</f>
        <v/>
      </c>
      <c r="M106" s="524" t="str">
        <f>IF(L106="","",VLOOKUP($B106,'F-1 Off Site River Baseline'!$C$9:$R$257,16,FALSE))</f>
        <v/>
      </c>
      <c r="N106" s="418" t="str">
        <f t="shared" si="12"/>
        <v/>
      </c>
      <c r="O106" s="498" t="str">
        <f t="shared" si="13"/>
        <v/>
      </c>
      <c r="P106" s="499"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5" t="str">
        <f>IF(N106="","",VLOOKUP(B106,'F-1 Off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20" t="str">
        <f>IF(V106="","",IF(VLOOKUP(V106,'G-7 Rivers Data'!$AG$4:$AI$9,2,FALSE)=0,"Spatial Data Missing ⚠",VLOOKUP(V106,'G-7 Rivers Data'!$AG$4:$AI$9,2,FALSE)))</f>
        <v/>
      </c>
      <c r="X106" s="524" t="str">
        <f>IF(V106="","",IF(VLOOKUP(V106,'G-7 Rivers Data'!$AG$4:$AI$9,3,FALSE)=0,"Spatial Data Missing ⚠",VLOOKUP(V106,'G-7 Rivers Data'!$AG$4:$AI$9,3,FALSE)))</f>
        <v/>
      </c>
      <c r="Y106" s="537" t="str">
        <f>IFERROR(IF(OR(LEFT(P106,5)="Error ▲",LEFT(O106,5)="Error ▲"),"Check Data ⚠",IF(F106&lt;S106,'G-7 Rivers Data'!$R$3,INDEX('G-7 Rivers Data'!$U$5:$Y$9,MATCH(G106,'G-7 Rivers Data'!$T$5:$T$9,0),MATCH(T106,'G-7 Rivers Data'!$U$4:$Y$4,0)))),"")</f>
        <v/>
      </c>
      <c r="Z106" s="203"/>
      <c r="AA106" s="203"/>
      <c r="AB106" s="534" t="str">
        <f t="shared" si="8"/>
        <v/>
      </c>
      <c r="AC106" s="521" t="str">
        <f t="shared" si="9"/>
        <v/>
      </c>
      <c r="AD106" s="564" t="str">
        <f>IFERROR(IF(AC106="Check Data ⚠","Check Data ⚠",VLOOKUP(AC106,'G-4 Temporal multipliers'!$A$4:$C$37,3,FALSE)),"")</f>
        <v/>
      </c>
      <c r="AE106" s="537" t="str">
        <f>IF(N106="","",VLOOKUP(N106,'G-7 Rivers Data'!$B$4:$G$8,5,FALSE))</f>
        <v/>
      </c>
      <c r="AF106" s="520" t="str">
        <f t="shared" si="10"/>
        <v/>
      </c>
      <c r="AG106" s="520" t="str">
        <f t="shared" si="14"/>
        <v/>
      </c>
      <c r="AH106" s="524" t="str">
        <f t="shared" si="11"/>
        <v/>
      </c>
      <c r="AI106" s="145"/>
      <c r="AJ106" s="499" t="str">
        <f>IF(AI106="","",IF(VLOOKUP(AI106,'G-7 Rivers Data'!$AA$4:$AB$7,2,FALSE)=0,"Spatial Data Missing ⚠",VLOOKUP(AI106,'G-7 Rivers Data'!$AA$4:$AB$7,2,FALSE)))</f>
        <v/>
      </c>
      <c r="AK106" s="155"/>
      <c r="AL106" s="536" t="str">
        <f>IF(AK106="","",IF(VLOOKUP(AK106,'G-7 Rivers Data'!$AD$4:$AE$8,2,FALSE)=0,"Spatial Data Missing ⚠",VLOOKUP(AK106,'G-7 Rivers Data'!$AD$4:$AE$8,2,FALSE)))</f>
        <v/>
      </c>
      <c r="AM106" s="154"/>
      <c r="AN106" s="524" t="str">
        <f>IF(AM106="","",VLOOKUP(AM106,'G-7 Rivers Data'!$AO$4:$AP$7,2,FALSE))</f>
        <v/>
      </c>
      <c r="AO106" s="545" t="str">
        <f t="shared" si="15"/>
        <v/>
      </c>
      <c r="AP106" s="149"/>
      <c r="AQ106" s="150"/>
      <c r="AX106" s="31" t="str">
        <f>IFERROR(INDEX('G-7 Rivers Data'!$AZ$3:$AZ$7,MATCH(N106,'G-7 Rivers Data'!$AY$3:$AY$7,0)),"")</f>
        <v/>
      </c>
    </row>
    <row r="107" spans="2:50" ht="13.8" x14ac:dyDescent="0.25">
      <c r="B107" s="531" t="str">
        <f>'F-1 Off Site River Baseline'!AN105</f>
        <v/>
      </c>
      <c r="C107" s="520" t="str">
        <f>IF(B107="","",VLOOKUP($B107,'F-1 Off Site River Baseline'!$C$9:$R$257,2,FALSE))</f>
        <v/>
      </c>
      <c r="D107" s="520" t="str">
        <f>IF(C107="","",VLOOKUP($B107,'F-1 Off Site River Baseline'!$C$9:$R$257,3,FALSE))</f>
        <v/>
      </c>
      <c r="E107" s="520" t="str">
        <f>IF(D107="","",VLOOKUP($B107,'F-1 Off Site River Baseline'!$C$9:$R$257,4,FALSE))</f>
        <v/>
      </c>
      <c r="F107" s="520" t="str">
        <f>IF(E107="","",VLOOKUP($B107,'F-1 Off Site River Baseline'!$C$9:$R$257,5,FALSE))</f>
        <v/>
      </c>
      <c r="G107" s="520" t="str">
        <f>IF(F107="","",VLOOKUP($B107,'F-1 Off Site River Baseline'!$C$9:$R$257,6,FALSE))</f>
        <v/>
      </c>
      <c r="H107" s="520" t="str">
        <f>IF(G107="","",VLOOKUP($B107,'F-1 Off Site River Baseline'!$C$9:$R$257,7,FALSE))</f>
        <v/>
      </c>
      <c r="I107" s="520" t="str">
        <f>IF(H107="","",VLOOKUP($B107,'F-1 Off Site River Baseline'!$C$9:$R$257,8,FALSE))</f>
        <v/>
      </c>
      <c r="J107" s="520" t="str">
        <f>IF(I107="","",VLOOKUP($B107,'F-1 Off Site River Baseline'!$C$9:$R$257,9,FALSE))</f>
        <v/>
      </c>
      <c r="K107" s="520" t="str">
        <f>IF(J107="","",VLOOKUP($B107,'F-1 Off Site River Baseline'!$C$9:$R$257,10,FALSE))</f>
        <v/>
      </c>
      <c r="L107" s="520" t="str">
        <f>IF(B107="","",VLOOKUP($B107,'C-1 Site River Baseline'!$C$9:$R$257,15,FALSE))</f>
        <v/>
      </c>
      <c r="M107" s="524" t="str">
        <f>IF(L107="","",VLOOKUP($B107,'F-1 Off Site River Baseline'!$C$9:$R$257,16,FALSE))</f>
        <v/>
      </c>
      <c r="N107" s="418" t="str">
        <f t="shared" si="12"/>
        <v/>
      </c>
      <c r="O107" s="498" t="str">
        <f t="shared" si="13"/>
        <v/>
      </c>
      <c r="P107" s="499"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5" t="str">
        <f>IF(N107="","",VLOOKUP(B107,'F-1 Off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20" t="str">
        <f>IF(V107="","",IF(VLOOKUP(V107,'G-7 Rivers Data'!$AG$4:$AI$9,2,FALSE)=0,"Spatial Data Missing ⚠",VLOOKUP(V107,'G-7 Rivers Data'!$AG$4:$AI$9,2,FALSE)))</f>
        <v/>
      </c>
      <c r="X107" s="524" t="str">
        <f>IF(V107="","",IF(VLOOKUP(V107,'G-7 Rivers Data'!$AG$4:$AI$9,3,FALSE)=0,"Spatial Data Missing ⚠",VLOOKUP(V107,'G-7 Rivers Data'!$AG$4:$AI$9,3,FALSE)))</f>
        <v/>
      </c>
      <c r="Y107" s="537" t="str">
        <f>IFERROR(IF(OR(LEFT(P107,5)="Error ▲",LEFT(O107,5)="Error ▲"),"Check Data ⚠",IF(F107&lt;S107,'G-7 Rivers Data'!$R$3,INDEX('G-7 Rivers Data'!$U$5:$Y$9,MATCH(G107,'G-7 Rivers Data'!$T$5:$T$9,0),MATCH(T107,'G-7 Rivers Data'!$U$4:$Y$4,0)))),"")</f>
        <v/>
      </c>
      <c r="Z107" s="203"/>
      <c r="AA107" s="203"/>
      <c r="AB107" s="534" t="str">
        <f t="shared" si="8"/>
        <v/>
      </c>
      <c r="AC107" s="521" t="str">
        <f t="shared" si="9"/>
        <v/>
      </c>
      <c r="AD107" s="564" t="str">
        <f>IFERROR(IF(AC107="Check Data ⚠","Check Data ⚠",VLOOKUP(AC107,'G-4 Temporal multipliers'!$A$4:$C$37,3,FALSE)),"")</f>
        <v/>
      </c>
      <c r="AE107" s="537" t="str">
        <f>IF(N107="","",VLOOKUP(N107,'G-7 Rivers Data'!$B$4:$G$8,5,FALSE))</f>
        <v/>
      </c>
      <c r="AF107" s="520" t="str">
        <f t="shared" si="10"/>
        <v/>
      </c>
      <c r="AG107" s="520" t="str">
        <f t="shared" si="14"/>
        <v/>
      </c>
      <c r="AH107" s="524" t="str">
        <f t="shared" si="11"/>
        <v/>
      </c>
      <c r="AI107" s="145"/>
      <c r="AJ107" s="499" t="str">
        <f>IF(AI107="","",IF(VLOOKUP(AI107,'G-7 Rivers Data'!$AA$4:$AB$7,2,FALSE)=0,"Spatial Data Missing ⚠",VLOOKUP(AI107,'G-7 Rivers Data'!$AA$4:$AB$7,2,FALSE)))</f>
        <v/>
      </c>
      <c r="AK107" s="155"/>
      <c r="AL107" s="536" t="str">
        <f>IF(AK107="","",IF(VLOOKUP(AK107,'G-7 Rivers Data'!$AD$4:$AE$8,2,FALSE)=0,"Spatial Data Missing ⚠",VLOOKUP(AK107,'G-7 Rivers Data'!$AD$4:$AE$8,2,FALSE)))</f>
        <v/>
      </c>
      <c r="AM107" s="154"/>
      <c r="AN107" s="524" t="str">
        <f>IF(AM107="","",VLOOKUP(AM107,'G-7 Rivers Data'!$AO$4:$AP$7,2,FALSE))</f>
        <v/>
      </c>
      <c r="AO107" s="545" t="str">
        <f t="shared" si="15"/>
        <v/>
      </c>
      <c r="AP107" s="149"/>
      <c r="AQ107" s="150"/>
      <c r="AX107" s="31" t="str">
        <f>IFERROR(INDEX('G-7 Rivers Data'!$AZ$3:$AZ$7,MATCH(N107,'G-7 Rivers Data'!$AY$3:$AY$7,0)),"")</f>
        <v/>
      </c>
    </row>
    <row r="108" spans="2:50" ht="13.8" x14ac:dyDescent="0.25">
      <c r="B108" s="531" t="str">
        <f>'F-1 Off Site River Baseline'!AN106</f>
        <v/>
      </c>
      <c r="C108" s="520" t="str">
        <f>IF(B108="","",VLOOKUP($B108,'F-1 Off Site River Baseline'!$C$9:$R$257,2,FALSE))</f>
        <v/>
      </c>
      <c r="D108" s="520" t="str">
        <f>IF(C108="","",VLOOKUP($B108,'F-1 Off Site River Baseline'!$C$9:$R$257,3,FALSE))</f>
        <v/>
      </c>
      <c r="E108" s="520" t="str">
        <f>IF(D108="","",VLOOKUP($B108,'F-1 Off Site River Baseline'!$C$9:$R$257,4,FALSE))</f>
        <v/>
      </c>
      <c r="F108" s="520" t="str">
        <f>IF(E108="","",VLOOKUP($B108,'F-1 Off Site River Baseline'!$C$9:$R$257,5,FALSE))</f>
        <v/>
      </c>
      <c r="G108" s="520" t="str">
        <f>IF(F108="","",VLOOKUP($B108,'F-1 Off Site River Baseline'!$C$9:$R$257,6,FALSE))</f>
        <v/>
      </c>
      <c r="H108" s="520" t="str">
        <f>IF(G108="","",VLOOKUP($B108,'F-1 Off Site River Baseline'!$C$9:$R$257,7,FALSE))</f>
        <v/>
      </c>
      <c r="I108" s="520" t="str">
        <f>IF(H108="","",VLOOKUP($B108,'F-1 Off Site River Baseline'!$C$9:$R$257,8,FALSE))</f>
        <v/>
      </c>
      <c r="J108" s="520" t="str">
        <f>IF(I108="","",VLOOKUP($B108,'F-1 Off Site River Baseline'!$C$9:$R$257,9,FALSE))</f>
        <v/>
      </c>
      <c r="K108" s="520" t="str">
        <f>IF(J108="","",VLOOKUP($B108,'F-1 Off Site River Baseline'!$C$9:$R$257,10,FALSE))</f>
        <v/>
      </c>
      <c r="L108" s="520" t="str">
        <f>IF(B108="","",VLOOKUP($B108,'C-1 Site River Baseline'!$C$9:$R$257,15,FALSE))</f>
        <v/>
      </c>
      <c r="M108" s="524" t="str">
        <f>IF(L108="","",VLOOKUP($B108,'F-1 Off Site River Baseline'!$C$9:$R$257,16,FALSE))</f>
        <v/>
      </c>
      <c r="N108" s="418" t="str">
        <f t="shared" si="12"/>
        <v/>
      </c>
      <c r="O108" s="498" t="str">
        <f t="shared" si="13"/>
        <v/>
      </c>
      <c r="P108" s="499"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5" t="str">
        <f>IF(N108="","",VLOOKUP(B108,'F-1 Off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20" t="str">
        <f>IF(V108="","",IF(VLOOKUP(V108,'G-7 Rivers Data'!$AG$4:$AI$9,2,FALSE)=0,"Spatial Data Missing ⚠",VLOOKUP(V108,'G-7 Rivers Data'!$AG$4:$AI$9,2,FALSE)))</f>
        <v/>
      </c>
      <c r="X108" s="524" t="str">
        <f>IF(V108="","",IF(VLOOKUP(V108,'G-7 Rivers Data'!$AG$4:$AI$9,3,FALSE)=0,"Spatial Data Missing ⚠",VLOOKUP(V108,'G-7 Rivers Data'!$AG$4:$AI$9,3,FALSE)))</f>
        <v/>
      </c>
      <c r="Y108" s="537" t="str">
        <f>IFERROR(IF(OR(LEFT(P108,5)="Error ▲",LEFT(O108,5)="Error ▲"),"Check Data ⚠",IF(F108&lt;S108,'G-7 Rivers Data'!$R$3,INDEX('G-7 Rivers Data'!$U$5:$Y$9,MATCH(G108,'G-7 Rivers Data'!$T$5:$T$9,0),MATCH(T108,'G-7 Rivers Data'!$U$4:$Y$4,0)))),"")</f>
        <v/>
      </c>
      <c r="Z108" s="203"/>
      <c r="AA108" s="203"/>
      <c r="AB108" s="534" t="str">
        <f t="shared" si="8"/>
        <v/>
      </c>
      <c r="AC108" s="521" t="str">
        <f t="shared" si="9"/>
        <v/>
      </c>
      <c r="AD108" s="564" t="str">
        <f>IFERROR(IF(AC108="Check Data ⚠","Check Data ⚠",VLOOKUP(AC108,'G-4 Temporal multipliers'!$A$4:$C$37,3,FALSE)),"")</f>
        <v/>
      </c>
      <c r="AE108" s="537" t="str">
        <f>IF(N108="","",VLOOKUP(N108,'G-7 Rivers Data'!$B$4:$G$8,5,FALSE))</f>
        <v/>
      </c>
      <c r="AF108" s="520" t="str">
        <f t="shared" si="10"/>
        <v/>
      </c>
      <c r="AG108" s="520" t="str">
        <f t="shared" si="14"/>
        <v/>
      </c>
      <c r="AH108" s="524" t="str">
        <f t="shared" si="11"/>
        <v/>
      </c>
      <c r="AI108" s="145"/>
      <c r="AJ108" s="499" t="str">
        <f>IF(AI108="","",IF(VLOOKUP(AI108,'G-7 Rivers Data'!$AA$4:$AB$7,2,FALSE)=0,"Spatial Data Missing ⚠",VLOOKUP(AI108,'G-7 Rivers Data'!$AA$4:$AB$7,2,FALSE)))</f>
        <v/>
      </c>
      <c r="AK108" s="155"/>
      <c r="AL108" s="536" t="str">
        <f>IF(AK108="","",IF(VLOOKUP(AK108,'G-7 Rivers Data'!$AD$4:$AE$8,2,FALSE)=0,"Spatial Data Missing ⚠",VLOOKUP(AK108,'G-7 Rivers Data'!$AD$4:$AE$8,2,FALSE)))</f>
        <v/>
      </c>
      <c r="AM108" s="154"/>
      <c r="AN108" s="524" t="str">
        <f>IF(AM108="","",VLOOKUP(AM108,'G-7 Rivers Data'!$AO$4:$AP$7,2,FALSE))</f>
        <v/>
      </c>
      <c r="AO108" s="545" t="str">
        <f t="shared" si="15"/>
        <v/>
      </c>
      <c r="AP108" s="149"/>
      <c r="AQ108" s="150"/>
      <c r="AX108" s="31" t="str">
        <f>IFERROR(INDEX('G-7 Rivers Data'!$AZ$3:$AZ$7,MATCH(N108,'G-7 Rivers Data'!$AY$3:$AY$7,0)),"")</f>
        <v/>
      </c>
    </row>
    <row r="109" spans="2:50" ht="13.8" x14ac:dyDescent="0.25">
      <c r="B109" s="531" t="str">
        <f>'F-1 Off Site River Baseline'!AN107</f>
        <v/>
      </c>
      <c r="C109" s="520" t="str">
        <f>IF(B109="","",VLOOKUP($B109,'F-1 Off Site River Baseline'!$C$9:$R$257,2,FALSE))</f>
        <v/>
      </c>
      <c r="D109" s="520" t="str">
        <f>IF(C109="","",VLOOKUP($B109,'F-1 Off Site River Baseline'!$C$9:$R$257,3,FALSE))</f>
        <v/>
      </c>
      <c r="E109" s="520" t="str">
        <f>IF(D109="","",VLOOKUP($B109,'F-1 Off Site River Baseline'!$C$9:$R$257,4,FALSE))</f>
        <v/>
      </c>
      <c r="F109" s="520" t="str">
        <f>IF(E109="","",VLOOKUP($B109,'F-1 Off Site River Baseline'!$C$9:$R$257,5,FALSE))</f>
        <v/>
      </c>
      <c r="G109" s="520" t="str">
        <f>IF(F109="","",VLOOKUP($B109,'F-1 Off Site River Baseline'!$C$9:$R$257,6,FALSE))</f>
        <v/>
      </c>
      <c r="H109" s="520" t="str">
        <f>IF(G109="","",VLOOKUP($B109,'F-1 Off Site River Baseline'!$C$9:$R$257,7,FALSE))</f>
        <v/>
      </c>
      <c r="I109" s="520" t="str">
        <f>IF(H109="","",VLOOKUP($B109,'F-1 Off Site River Baseline'!$C$9:$R$257,8,FALSE))</f>
        <v/>
      </c>
      <c r="J109" s="520" t="str">
        <f>IF(I109="","",VLOOKUP($B109,'F-1 Off Site River Baseline'!$C$9:$R$257,9,FALSE))</f>
        <v/>
      </c>
      <c r="K109" s="520" t="str">
        <f>IF(J109="","",VLOOKUP($B109,'F-1 Off Site River Baseline'!$C$9:$R$257,10,FALSE))</f>
        <v/>
      </c>
      <c r="L109" s="520" t="str">
        <f>IF(B109="","",VLOOKUP($B109,'C-1 Site River Baseline'!$C$9:$R$257,15,FALSE))</f>
        <v/>
      </c>
      <c r="M109" s="524" t="str">
        <f>IF(L109="","",VLOOKUP($B109,'F-1 Off Site River Baseline'!$C$9:$R$257,16,FALSE))</f>
        <v/>
      </c>
      <c r="N109" s="418" t="str">
        <f t="shared" si="12"/>
        <v/>
      </c>
      <c r="O109" s="498" t="str">
        <f t="shared" si="13"/>
        <v/>
      </c>
      <c r="P109" s="499"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5" t="str">
        <f>IF(N109="","",VLOOKUP(B109,'F-1 Off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20" t="str">
        <f>IF(V109="","",IF(VLOOKUP(V109,'G-7 Rivers Data'!$AG$4:$AI$9,2,FALSE)=0,"Spatial Data Missing ⚠",VLOOKUP(V109,'G-7 Rivers Data'!$AG$4:$AI$9,2,FALSE)))</f>
        <v/>
      </c>
      <c r="X109" s="524" t="str">
        <f>IF(V109="","",IF(VLOOKUP(V109,'G-7 Rivers Data'!$AG$4:$AI$9,3,FALSE)=0,"Spatial Data Missing ⚠",VLOOKUP(V109,'G-7 Rivers Data'!$AG$4:$AI$9,3,FALSE)))</f>
        <v/>
      </c>
      <c r="Y109" s="537" t="str">
        <f>IFERROR(IF(OR(LEFT(P109,5)="Error ▲",LEFT(O109,5)="Error ▲"),"Check Data ⚠",IF(F109&lt;S109,'G-7 Rivers Data'!$R$3,INDEX('G-7 Rivers Data'!$U$5:$Y$9,MATCH(G109,'G-7 Rivers Data'!$T$5:$T$9,0),MATCH(T109,'G-7 Rivers Data'!$U$4:$Y$4,0)))),"")</f>
        <v/>
      </c>
      <c r="Z109" s="203"/>
      <c r="AA109" s="203"/>
      <c r="AB109" s="534" t="str">
        <f t="shared" si="8"/>
        <v/>
      </c>
      <c r="AC109" s="521" t="str">
        <f t="shared" si="9"/>
        <v/>
      </c>
      <c r="AD109" s="564" t="str">
        <f>IFERROR(IF(AC109="Check Data ⚠","Check Data ⚠",VLOOKUP(AC109,'G-4 Temporal multipliers'!$A$4:$C$37,3,FALSE)),"")</f>
        <v/>
      </c>
      <c r="AE109" s="537" t="str">
        <f>IF(N109="","",VLOOKUP(N109,'G-7 Rivers Data'!$B$4:$G$8,5,FALSE))</f>
        <v/>
      </c>
      <c r="AF109" s="520" t="str">
        <f t="shared" si="10"/>
        <v/>
      </c>
      <c r="AG109" s="520" t="str">
        <f t="shared" si="14"/>
        <v/>
      </c>
      <c r="AH109" s="524" t="str">
        <f t="shared" si="11"/>
        <v/>
      </c>
      <c r="AI109" s="145"/>
      <c r="AJ109" s="499" t="str">
        <f>IF(AI109="","",IF(VLOOKUP(AI109,'G-7 Rivers Data'!$AA$4:$AB$7,2,FALSE)=0,"Spatial Data Missing ⚠",VLOOKUP(AI109,'G-7 Rivers Data'!$AA$4:$AB$7,2,FALSE)))</f>
        <v/>
      </c>
      <c r="AK109" s="155"/>
      <c r="AL109" s="536" t="str">
        <f>IF(AK109="","",IF(VLOOKUP(AK109,'G-7 Rivers Data'!$AD$4:$AE$8,2,FALSE)=0,"Spatial Data Missing ⚠",VLOOKUP(AK109,'G-7 Rivers Data'!$AD$4:$AE$8,2,FALSE)))</f>
        <v/>
      </c>
      <c r="AM109" s="154"/>
      <c r="AN109" s="524" t="str">
        <f>IF(AM109="","",VLOOKUP(AM109,'G-7 Rivers Data'!$AO$4:$AP$7,2,FALSE))</f>
        <v/>
      </c>
      <c r="AO109" s="545" t="str">
        <f t="shared" si="15"/>
        <v/>
      </c>
      <c r="AP109" s="149"/>
      <c r="AQ109" s="150"/>
      <c r="AX109" s="31" t="str">
        <f>IFERROR(INDEX('G-7 Rivers Data'!$AZ$3:$AZ$7,MATCH(N109,'G-7 Rivers Data'!$AY$3:$AY$7,0)),"")</f>
        <v/>
      </c>
    </row>
    <row r="110" spans="2:50" ht="13.8" x14ac:dyDescent="0.25">
      <c r="B110" s="531" t="str">
        <f>'F-1 Off Site River Baseline'!AN108</f>
        <v/>
      </c>
      <c r="C110" s="520" t="str">
        <f>IF(B110="","",VLOOKUP($B110,'F-1 Off Site River Baseline'!$C$9:$R$257,2,FALSE))</f>
        <v/>
      </c>
      <c r="D110" s="520" t="str">
        <f>IF(C110="","",VLOOKUP($B110,'F-1 Off Site River Baseline'!$C$9:$R$257,3,FALSE))</f>
        <v/>
      </c>
      <c r="E110" s="520" t="str">
        <f>IF(D110="","",VLOOKUP($B110,'F-1 Off Site River Baseline'!$C$9:$R$257,4,FALSE))</f>
        <v/>
      </c>
      <c r="F110" s="520" t="str">
        <f>IF(E110="","",VLOOKUP($B110,'F-1 Off Site River Baseline'!$C$9:$R$257,5,FALSE))</f>
        <v/>
      </c>
      <c r="G110" s="520" t="str">
        <f>IF(F110="","",VLOOKUP($B110,'F-1 Off Site River Baseline'!$C$9:$R$257,6,FALSE))</f>
        <v/>
      </c>
      <c r="H110" s="520" t="str">
        <f>IF(G110="","",VLOOKUP($B110,'F-1 Off Site River Baseline'!$C$9:$R$257,7,FALSE))</f>
        <v/>
      </c>
      <c r="I110" s="520" t="str">
        <f>IF(H110="","",VLOOKUP($B110,'F-1 Off Site River Baseline'!$C$9:$R$257,8,FALSE))</f>
        <v/>
      </c>
      <c r="J110" s="520" t="str">
        <f>IF(I110="","",VLOOKUP($B110,'F-1 Off Site River Baseline'!$C$9:$R$257,9,FALSE))</f>
        <v/>
      </c>
      <c r="K110" s="520" t="str">
        <f>IF(J110="","",VLOOKUP($B110,'F-1 Off Site River Baseline'!$C$9:$R$257,10,FALSE))</f>
        <v/>
      </c>
      <c r="L110" s="520" t="str">
        <f>IF(B110="","",VLOOKUP($B110,'C-1 Site River Baseline'!$C$9:$R$257,15,FALSE))</f>
        <v/>
      </c>
      <c r="M110" s="524" t="str">
        <f>IF(L110="","",VLOOKUP($B110,'F-1 Off Site River Baseline'!$C$9:$R$257,16,FALSE))</f>
        <v/>
      </c>
      <c r="N110" s="418" t="str">
        <f t="shared" si="12"/>
        <v/>
      </c>
      <c r="O110" s="498" t="str">
        <f t="shared" si="13"/>
        <v/>
      </c>
      <c r="P110" s="499"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5" t="str">
        <f>IF(N110="","",VLOOKUP(B110,'F-1 Off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20" t="str">
        <f>IF(V110="","",IF(VLOOKUP(V110,'G-7 Rivers Data'!$AG$4:$AI$9,2,FALSE)=0,"Spatial Data Missing ⚠",VLOOKUP(V110,'G-7 Rivers Data'!$AG$4:$AI$9,2,FALSE)))</f>
        <v/>
      </c>
      <c r="X110" s="524" t="str">
        <f>IF(V110="","",IF(VLOOKUP(V110,'G-7 Rivers Data'!$AG$4:$AI$9,3,FALSE)=0,"Spatial Data Missing ⚠",VLOOKUP(V110,'G-7 Rivers Data'!$AG$4:$AI$9,3,FALSE)))</f>
        <v/>
      </c>
      <c r="Y110" s="537" t="str">
        <f>IFERROR(IF(OR(LEFT(P110,5)="Error ▲",LEFT(O110,5)="Error ▲"),"Check Data ⚠",IF(F110&lt;S110,'G-7 Rivers Data'!$R$3,INDEX('G-7 Rivers Data'!$U$5:$Y$9,MATCH(G110,'G-7 Rivers Data'!$T$5:$T$9,0),MATCH(T110,'G-7 Rivers Data'!$U$4:$Y$4,0)))),"")</f>
        <v/>
      </c>
      <c r="Z110" s="203"/>
      <c r="AA110" s="203"/>
      <c r="AB110" s="534" t="str">
        <f t="shared" si="8"/>
        <v/>
      </c>
      <c r="AC110" s="521" t="str">
        <f t="shared" si="9"/>
        <v/>
      </c>
      <c r="AD110" s="564" t="str">
        <f>IFERROR(IF(AC110="Check Data ⚠","Check Data ⚠",VLOOKUP(AC110,'G-4 Temporal multipliers'!$A$4:$C$37,3,FALSE)),"")</f>
        <v/>
      </c>
      <c r="AE110" s="537" t="str">
        <f>IF(N110="","",VLOOKUP(N110,'G-7 Rivers Data'!$B$4:$G$8,5,FALSE))</f>
        <v/>
      </c>
      <c r="AF110" s="520" t="str">
        <f t="shared" si="10"/>
        <v/>
      </c>
      <c r="AG110" s="520" t="str">
        <f t="shared" si="14"/>
        <v/>
      </c>
      <c r="AH110" s="524" t="str">
        <f t="shared" si="11"/>
        <v/>
      </c>
      <c r="AI110" s="145"/>
      <c r="AJ110" s="499" t="str">
        <f>IF(AI110="","",IF(VLOOKUP(AI110,'G-7 Rivers Data'!$AA$4:$AB$7,2,FALSE)=0,"Spatial Data Missing ⚠",VLOOKUP(AI110,'G-7 Rivers Data'!$AA$4:$AB$7,2,FALSE)))</f>
        <v/>
      </c>
      <c r="AK110" s="155"/>
      <c r="AL110" s="536" t="str">
        <f>IF(AK110="","",IF(VLOOKUP(AK110,'G-7 Rivers Data'!$AD$4:$AE$8,2,FALSE)=0,"Spatial Data Missing ⚠",VLOOKUP(AK110,'G-7 Rivers Data'!$AD$4:$AE$8,2,FALSE)))</f>
        <v/>
      </c>
      <c r="AM110" s="154"/>
      <c r="AN110" s="524" t="str">
        <f>IF(AM110="","",VLOOKUP(AM110,'G-7 Rivers Data'!$AO$4:$AP$7,2,FALSE))</f>
        <v/>
      </c>
      <c r="AO110" s="545" t="str">
        <f t="shared" si="15"/>
        <v/>
      </c>
      <c r="AP110" s="149"/>
      <c r="AQ110" s="150"/>
      <c r="AX110" s="31" t="str">
        <f>IFERROR(INDEX('G-7 Rivers Data'!$AZ$3:$AZ$7,MATCH(N110,'G-7 Rivers Data'!$AY$3:$AY$7,0)),"")</f>
        <v/>
      </c>
    </row>
    <row r="111" spans="2:50" ht="13.8" x14ac:dyDescent="0.25">
      <c r="B111" s="531" t="str">
        <f>'F-1 Off Site River Baseline'!AN109</f>
        <v/>
      </c>
      <c r="C111" s="520" t="str">
        <f>IF(B111="","",VLOOKUP($B111,'F-1 Off Site River Baseline'!$C$9:$R$257,2,FALSE))</f>
        <v/>
      </c>
      <c r="D111" s="520" t="str">
        <f>IF(C111="","",VLOOKUP($B111,'F-1 Off Site River Baseline'!$C$9:$R$257,3,FALSE))</f>
        <v/>
      </c>
      <c r="E111" s="520" t="str">
        <f>IF(D111="","",VLOOKUP($B111,'F-1 Off Site River Baseline'!$C$9:$R$257,4,FALSE))</f>
        <v/>
      </c>
      <c r="F111" s="520" t="str">
        <f>IF(E111="","",VLOOKUP($B111,'F-1 Off Site River Baseline'!$C$9:$R$257,5,FALSE))</f>
        <v/>
      </c>
      <c r="G111" s="520" t="str">
        <f>IF(F111="","",VLOOKUP($B111,'F-1 Off Site River Baseline'!$C$9:$R$257,6,FALSE))</f>
        <v/>
      </c>
      <c r="H111" s="520" t="str">
        <f>IF(G111="","",VLOOKUP($B111,'F-1 Off Site River Baseline'!$C$9:$R$257,7,FALSE))</f>
        <v/>
      </c>
      <c r="I111" s="520" t="str">
        <f>IF(H111="","",VLOOKUP($B111,'F-1 Off Site River Baseline'!$C$9:$R$257,8,FALSE))</f>
        <v/>
      </c>
      <c r="J111" s="520" t="str">
        <f>IF(I111="","",VLOOKUP($B111,'F-1 Off Site River Baseline'!$C$9:$R$257,9,FALSE))</f>
        <v/>
      </c>
      <c r="K111" s="520" t="str">
        <f>IF(J111="","",VLOOKUP($B111,'F-1 Off Site River Baseline'!$C$9:$R$257,10,FALSE))</f>
        <v/>
      </c>
      <c r="L111" s="520" t="str">
        <f>IF(B111="","",VLOOKUP($B111,'C-1 Site River Baseline'!$C$9:$R$257,15,FALSE))</f>
        <v/>
      </c>
      <c r="M111" s="524" t="str">
        <f>IF(L111="","",VLOOKUP($B111,'F-1 Off Site River Baseline'!$C$9:$R$257,16,FALSE))</f>
        <v/>
      </c>
      <c r="N111" s="418" t="str">
        <f t="shared" si="12"/>
        <v/>
      </c>
      <c r="O111" s="498" t="str">
        <f t="shared" si="13"/>
        <v/>
      </c>
      <c r="P111" s="499"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5" t="str">
        <f>IF(N111="","",VLOOKUP(B111,'F-1 Off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20" t="str">
        <f>IF(V111="","",IF(VLOOKUP(V111,'G-7 Rivers Data'!$AG$4:$AI$9,2,FALSE)=0,"Spatial Data Missing ⚠",VLOOKUP(V111,'G-7 Rivers Data'!$AG$4:$AI$9,2,FALSE)))</f>
        <v/>
      </c>
      <c r="X111" s="524" t="str">
        <f>IF(V111="","",IF(VLOOKUP(V111,'G-7 Rivers Data'!$AG$4:$AI$9,3,FALSE)=0,"Spatial Data Missing ⚠",VLOOKUP(V111,'G-7 Rivers Data'!$AG$4:$AI$9,3,FALSE)))</f>
        <v/>
      </c>
      <c r="Y111" s="537" t="str">
        <f>IFERROR(IF(OR(LEFT(P111,5)="Error ▲",LEFT(O111,5)="Error ▲"),"Check Data ⚠",IF(F111&lt;S111,'G-7 Rivers Data'!$R$3,INDEX('G-7 Rivers Data'!$U$5:$Y$9,MATCH(G111,'G-7 Rivers Data'!$T$5:$T$9,0),MATCH(T111,'G-7 Rivers Data'!$U$4:$Y$4,0)))),"")</f>
        <v/>
      </c>
      <c r="Z111" s="203"/>
      <c r="AA111" s="203"/>
      <c r="AB111" s="534" t="str">
        <f t="shared" si="8"/>
        <v/>
      </c>
      <c r="AC111" s="521" t="str">
        <f t="shared" si="9"/>
        <v/>
      </c>
      <c r="AD111" s="564" t="str">
        <f>IFERROR(IF(AC111="Check Data ⚠","Check Data ⚠",VLOOKUP(AC111,'G-4 Temporal multipliers'!$A$4:$C$37,3,FALSE)),"")</f>
        <v/>
      </c>
      <c r="AE111" s="537" t="str">
        <f>IF(N111="","",VLOOKUP(N111,'G-7 Rivers Data'!$B$4:$G$8,5,FALSE))</f>
        <v/>
      </c>
      <c r="AF111" s="520" t="str">
        <f t="shared" si="10"/>
        <v/>
      </c>
      <c r="AG111" s="520" t="str">
        <f t="shared" si="14"/>
        <v/>
      </c>
      <c r="AH111" s="524" t="str">
        <f t="shared" si="11"/>
        <v/>
      </c>
      <c r="AI111" s="145"/>
      <c r="AJ111" s="499" t="str">
        <f>IF(AI111="","",IF(VLOOKUP(AI111,'G-7 Rivers Data'!$AA$4:$AB$7,2,FALSE)=0,"Spatial Data Missing ⚠",VLOOKUP(AI111,'G-7 Rivers Data'!$AA$4:$AB$7,2,FALSE)))</f>
        <v/>
      </c>
      <c r="AK111" s="155"/>
      <c r="AL111" s="536" t="str">
        <f>IF(AK111="","",IF(VLOOKUP(AK111,'G-7 Rivers Data'!$AD$4:$AE$8,2,FALSE)=0,"Spatial Data Missing ⚠",VLOOKUP(AK111,'G-7 Rivers Data'!$AD$4:$AE$8,2,FALSE)))</f>
        <v/>
      </c>
      <c r="AM111" s="154"/>
      <c r="AN111" s="524" t="str">
        <f>IF(AM111="","",VLOOKUP(AM111,'G-7 Rivers Data'!$AO$4:$AP$7,2,FALSE))</f>
        <v/>
      </c>
      <c r="AO111" s="545" t="str">
        <f t="shared" si="15"/>
        <v/>
      </c>
      <c r="AP111" s="149"/>
      <c r="AQ111" s="150"/>
      <c r="AX111" s="31" t="str">
        <f>IFERROR(INDEX('G-7 Rivers Data'!$AZ$3:$AZ$7,MATCH(N111,'G-7 Rivers Data'!$AY$3:$AY$7,0)),"")</f>
        <v/>
      </c>
    </row>
    <row r="112" spans="2:50" ht="13.8" x14ac:dyDescent="0.25">
      <c r="B112" s="531" t="str">
        <f>'F-1 Off Site River Baseline'!AN110</f>
        <v/>
      </c>
      <c r="C112" s="520" t="str">
        <f>IF(B112="","",VLOOKUP($B112,'F-1 Off Site River Baseline'!$C$9:$R$257,2,FALSE))</f>
        <v/>
      </c>
      <c r="D112" s="520" t="str">
        <f>IF(C112="","",VLOOKUP($B112,'F-1 Off Site River Baseline'!$C$9:$R$257,3,FALSE))</f>
        <v/>
      </c>
      <c r="E112" s="520" t="str">
        <f>IF(D112="","",VLOOKUP($B112,'F-1 Off Site River Baseline'!$C$9:$R$257,4,FALSE))</f>
        <v/>
      </c>
      <c r="F112" s="520" t="str">
        <f>IF(E112="","",VLOOKUP($B112,'F-1 Off Site River Baseline'!$C$9:$R$257,5,FALSE))</f>
        <v/>
      </c>
      <c r="G112" s="520" t="str">
        <f>IF(F112="","",VLOOKUP($B112,'F-1 Off Site River Baseline'!$C$9:$R$257,6,FALSE))</f>
        <v/>
      </c>
      <c r="H112" s="520" t="str">
        <f>IF(G112="","",VLOOKUP($B112,'F-1 Off Site River Baseline'!$C$9:$R$257,7,FALSE))</f>
        <v/>
      </c>
      <c r="I112" s="520" t="str">
        <f>IF(H112="","",VLOOKUP($B112,'F-1 Off Site River Baseline'!$C$9:$R$257,8,FALSE))</f>
        <v/>
      </c>
      <c r="J112" s="520" t="str">
        <f>IF(I112="","",VLOOKUP($B112,'F-1 Off Site River Baseline'!$C$9:$R$257,9,FALSE))</f>
        <v/>
      </c>
      <c r="K112" s="520" t="str">
        <f>IF(J112="","",VLOOKUP($B112,'F-1 Off Site River Baseline'!$C$9:$R$257,10,FALSE))</f>
        <v/>
      </c>
      <c r="L112" s="520" t="str">
        <f>IF(B112="","",VLOOKUP($B112,'C-1 Site River Baseline'!$C$9:$R$257,15,FALSE))</f>
        <v/>
      </c>
      <c r="M112" s="524" t="str">
        <f>IF(L112="","",VLOOKUP($B112,'F-1 Off Site River Baseline'!$C$9:$R$257,16,FALSE))</f>
        <v/>
      </c>
      <c r="N112" s="418" t="str">
        <f t="shared" si="12"/>
        <v/>
      </c>
      <c r="O112" s="498" t="str">
        <f t="shared" si="13"/>
        <v/>
      </c>
      <c r="P112" s="499"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5" t="str">
        <f>IF(N112="","",VLOOKUP(B112,'F-1 Off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20" t="str">
        <f>IF(V112="","",IF(VLOOKUP(V112,'G-7 Rivers Data'!$AG$4:$AI$9,2,FALSE)=0,"Spatial Data Missing ⚠",VLOOKUP(V112,'G-7 Rivers Data'!$AG$4:$AI$9,2,FALSE)))</f>
        <v/>
      </c>
      <c r="X112" s="524" t="str">
        <f>IF(V112="","",IF(VLOOKUP(V112,'G-7 Rivers Data'!$AG$4:$AI$9,3,FALSE)=0,"Spatial Data Missing ⚠",VLOOKUP(V112,'G-7 Rivers Data'!$AG$4:$AI$9,3,FALSE)))</f>
        <v/>
      </c>
      <c r="Y112" s="537" t="str">
        <f>IFERROR(IF(OR(LEFT(P112,5)="Error ▲",LEFT(O112,5)="Error ▲"),"Check Data ⚠",IF(F112&lt;S112,'G-7 Rivers Data'!$R$3,INDEX('G-7 Rivers Data'!$U$5:$Y$9,MATCH(G112,'G-7 Rivers Data'!$T$5:$T$9,0),MATCH(T112,'G-7 Rivers Data'!$U$4:$Y$4,0)))),"")</f>
        <v/>
      </c>
      <c r="Z112" s="203"/>
      <c r="AA112" s="203"/>
      <c r="AB112" s="534" t="str">
        <f t="shared" si="8"/>
        <v/>
      </c>
      <c r="AC112" s="521" t="str">
        <f t="shared" si="9"/>
        <v/>
      </c>
      <c r="AD112" s="564" t="str">
        <f>IFERROR(IF(AC112="Check Data ⚠","Check Data ⚠",VLOOKUP(AC112,'G-4 Temporal multipliers'!$A$4:$C$37,3,FALSE)),"")</f>
        <v/>
      </c>
      <c r="AE112" s="537" t="str">
        <f>IF(N112="","",VLOOKUP(N112,'G-7 Rivers Data'!$B$4:$G$8,5,FALSE))</f>
        <v/>
      </c>
      <c r="AF112" s="520" t="str">
        <f t="shared" si="10"/>
        <v/>
      </c>
      <c r="AG112" s="520" t="str">
        <f t="shared" si="14"/>
        <v/>
      </c>
      <c r="AH112" s="524" t="str">
        <f t="shared" si="11"/>
        <v/>
      </c>
      <c r="AI112" s="145"/>
      <c r="AJ112" s="499" t="str">
        <f>IF(AI112="","",IF(VLOOKUP(AI112,'G-7 Rivers Data'!$AA$4:$AB$7,2,FALSE)=0,"Spatial Data Missing ⚠",VLOOKUP(AI112,'G-7 Rivers Data'!$AA$4:$AB$7,2,FALSE)))</f>
        <v/>
      </c>
      <c r="AK112" s="155"/>
      <c r="AL112" s="536" t="str">
        <f>IF(AK112="","",IF(VLOOKUP(AK112,'G-7 Rivers Data'!$AD$4:$AE$8,2,FALSE)=0,"Spatial Data Missing ⚠",VLOOKUP(AK112,'G-7 Rivers Data'!$AD$4:$AE$8,2,FALSE)))</f>
        <v/>
      </c>
      <c r="AM112" s="154"/>
      <c r="AN112" s="524" t="str">
        <f>IF(AM112="","",VLOOKUP(AM112,'G-7 Rivers Data'!$AO$4:$AP$7,2,FALSE))</f>
        <v/>
      </c>
      <c r="AO112" s="545" t="str">
        <f t="shared" si="15"/>
        <v/>
      </c>
      <c r="AP112" s="149"/>
      <c r="AQ112" s="150"/>
      <c r="AX112" s="31" t="str">
        <f>IFERROR(INDEX('G-7 Rivers Data'!$AZ$3:$AZ$7,MATCH(N112,'G-7 Rivers Data'!$AY$3:$AY$7,0)),"")</f>
        <v/>
      </c>
    </row>
    <row r="113" spans="2:50" ht="13.8" x14ac:dyDescent="0.25">
      <c r="B113" s="531" t="str">
        <f>'F-1 Off Site River Baseline'!AN111</f>
        <v/>
      </c>
      <c r="C113" s="520" t="str">
        <f>IF(B113="","",VLOOKUP($B113,'F-1 Off Site River Baseline'!$C$9:$R$257,2,FALSE))</f>
        <v/>
      </c>
      <c r="D113" s="520" t="str">
        <f>IF(C113="","",VLOOKUP($B113,'F-1 Off Site River Baseline'!$C$9:$R$257,3,FALSE))</f>
        <v/>
      </c>
      <c r="E113" s="520" t="str">
        <f>IF(D113="","",VLOOKUP($B113,'F-1 Off Site River Baseline'!$C$9:$R$257,4,FALSE))</f>
        <v/>
      </c>
      <c r="F113" s="520" t="str">
        <f>IF(E113="","",VLOOKUP($B113,'F-1 Off Site River Baseline'!$C$9:$R$257,5,FALSE))</f>
        <v/>
      </c>
      <c r="G113" s="520" t="str">
        <f>IF(F113="","",VLOOKUP($B113,'F-1 Off Site River Baseline'!$C$9:$R$257,6,FALSE))</f>
        <v/>
      </c>
      <c r="H113" s="520" t="str">
        <f>IF(G113="","",VLOOKUP($B113,'F-1 Off Site River Baseline'!$C$9:$R$257,7,FALSE))</f>
        <v/>
      </c>
      <c r="I113" s="520" t="str">
        <f>IF(H113="","",VLOOKUP($B113,'F-1 Off Site River Baseline'!$C$9:$R$257,8,FALSE))</f>
        <v/>
      </c>
      <c r="J113" s="520" t="str">
        <f>IF(I113="","",VLOOKUP($B113,'F-1 Off Site River Baseline'!$C$9:$R$257,9,FALSE))</f>
        <v/>
      </c>
      <c r="K113" s="520" t="str">
        <f>IF(J113="","",VLOOKUP($B113,'F-1 Off Site River Baseline'!$C$9:$R$257,10,FALSE))</f>
        <v/>
      </c>
      <c r="L113" s="520" t="str">
        <f>IF(B113="","",VLOOKUP($B113,'C-1 Site River Baseline'!$C$9:$R$257,15,FALSE))</f>
        <v/>
      </c>
      <c r="M113" s="524" t="str">
        <f>IF(L113="","",VLOOKUP($B113,'F-1 Off Site River Baseline'!$C$9:$R$257,16,FALSE))</f>
        <v/>
      </c>
      <c r="N113" s="418" t="str">
        <f t="shared" si="12"/>
        <v/>
      </c>
      <c r="O113" s="498" t="str">
        <f t="shared" si="13"/>
        <v/>
      </c>
      <c r="P113" s="499"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5" t="str">
        <f>IF(N113="","",VLOOKUP(B113,'F-1 Off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20" t="str">
        <f>IF(V113="","",IF(VLOOKUP(V113,'G-7 Rivers Data'!$AG$4:$AI$9,2,FALSE)=0,"Spatial Data Missing ⚠",VLOOKUP(V113,'G-7 Rivers Data'!$AG$4:$AI$9,2,FALSE)))</f>
        <v/>
      </c>
      <c r="X113" s="524" t="str">
        <f>IF(V113="","",IF(VLOOKUP(V113,'G-7 Rivers Data'!$AG$4:$AI$9,3,FALSE)=0,"Spatial Data Missing ⚠",VLOOKUP(V113,'G-7 Rivers Data'!$AG$4:$AI$9,3,FALSE)))</f>
        <v/>
      </c>
      <c r="Y113" s="537" t="str">
        <f>IFERROR(IF(OR(LEFT(P113,5)="Error ▲",LEFT(O113,5)="Error ▲"),"Check Data ⚠",IF(F113&lt;S113,'G-7 Rivers Data'!$R$3,INDEX('G-7 Rivers Data'!$U$5:$Y$9,MATCH(G113,'G-7 Rivers Data'!$T$5:$T$9,0),MATCH(T113,'G-7 Rivers Data'!$U$4:$Y$4,0)))),"")</f>
        <v/>
      </c>
      <c r="Z113" s="203"/>
      <c r="AA113" s="203"/>
      <c r="AB113" s="534" t="str">
        <f t="shared" si="8"/>
        <v/>
      </c>
      <c r="AC113" s="521" t="str">
        <f t="shared" si="9"/>
        <v/>
      </c>
      <c r="AD113" s="564" t="str">
        <f>IFERROR(IF(AC113="Check Data ⚠","Check Data ⚠",VLOOKUP(AC113,'G-4 Temporal multipliers'!$A$4:$C$37,3,FALSE)),"")</f>
        <v/>
      </c>
      <c r="AE113" s="537" t="str">
        <f>IF(N113="","",VLOOKUP(N113,'G-7 Rivers Data'!$B$4:$G$8,5,FALSE))</f>
        <v/>
      </c>
      <c r="AF113" s="520" t="str">
        <f t="shared" si="10"/>
        <v/>
      </c>
      <c r="AG113" s="520" t="str">
        <f t="shared" si="14"/>
        <v/>
      </c>
      <c r="AH113" s="524" t="str">
        <f t="shared" si="11"/>
        <v/>
      </c>
      <c r="AI113" s="145"/>
      <c r="AJ113" s="499" t="str">
        <f>IF(AI113="","",IF(VLOOKUP(AI113,'G-7 Rivers Data'!$AA$4:$AB$7,2,FALSE)=0,"Spatial Data Missing ⚠",VLOOKUP(AI113,'G-7 Rivers Data'!$AA$4:$AB$7,2,FALSE)))</f>
        <v/>
      </c>
      <c r="AK113" s="155"/>
      <c r="AL113" s="536" t="str">
        <f>IF(AK113="","",IF(VLOOKUP(AK113,'G-7 Rivers Data'!$AD$4:$AE$8,2,FALSE)=0,"Spatial Data Missing ⚠",VLOOKUP(AK113,'G-7 Rivers Data'!$AD$4:$AE$8,2,FALSE)))</f>
        <v/>
      </c>
      <c r="AM113" s="154"/>
      <c r="AN113" s="524" t="str">
        <f>IF(AM113="","",VLOOKUP(AM113,'G-7 Rivers Data'!$AO$4:$AP$7,2,FALSE))</f>
        <v/>
      </c>
      <c r="AO113" s="545" t="str">
        <f t="shared" si="15"/>
        <v/>
      </c>
      <c r="AP113" s="149"/>
      <c r="AQ113" s="150"/>
      <c r="AX113" s="31" t="str">
        <f>IFERROR(INDEX('G-7 Rivers Data'!$AZ$3:$AZ$7,MATCH(N113,'G-7 Rivers Data'!$AY$3:$AY$7,0)),"")</f>
        <v/>
      </c>
    </row>
    <row r="114" spans="2:50" ht="13.8" x14ac:dyDescent="0.25">
      <c r="B114" s="531" t="str">
        <f>'F-1 Off Site River Baseline'!AN112</f>
        <v/>
      </c>
      <c r="C114" s="520" t="str">
        <f>IF(B114="","",VLOOKUP($B114,'F-1 Off Site River Baseline'!$C$9:$R$257,2,FALSE))</f>
        <v/>
      </c>
      <c r="D114" s="520" t="str">
        <f>IF(C114="","",VLOOKUP($B114,'F-1 Off Site River Baseline'!$C$9:$R$257,3,FALSE))</f>
        <v/>
      </c>
      <c r="E114" s="520" t="str">
        <f>IF(D114="","",VLOOKUP($B114,'F-1 Off Site River Baseline'!$C$9:$R$257,4,FALSE))</f>
        <v/>
      </c>
      <c r="F114" s="520" t="str">
        <f>IF(E114="","",VLOOKUP($B114,'F-1 Off Site River Baseline'!$C$9:$R$257,5,FALSE))</f>
        <v/>
      </c>
      <c r="G114" s="520" t="str">
        <f>IF(F114="","",VLOOKUP($B114,'F-1 Off Site River Baseline'!$C$9:$R$257,6,FALSE))</f>
        <v/>
      </c>
      <c r="H114" s="520" t="str">
        <f>IF(G114="","",VLOOKUP($B114,'F-1 Off Site River Baseline'!$C$9:$R$257,7,FALSE))</f>
        <v/>
      </c>
      <c r="I114" s="520" t="str">
        <f>IF(H114="","",VLOOKUP($B114,'F-1 Off Site River Baseline'!$C$9:$R$257,8,FALSE))</f>
        <v/>
      </c>
      <c r="J114" s="520" t="str">
        <f>IF(I114="","",VLOOKUP($B114,'F-1 Off Site River Baseline'!$C$9:$R$257,9,FALSE))</f>
        <v/>
      </c>
      <c r="K114" s="520" t="str">
        <f>IF(J114="","",VLOOKUP($B114,'F-1 Off Site River Baseline'!$C$9:$R$257,10,FALSE))</f>
        <v/>
      </c>
      <c r="L114" s="520" t="str">
        <f>IF(B114="","",VLOOKUP($B114,'C-1 Site River Baseline'!$C$9:$R$257,15,FALSE))</f>
        <v/>
      </c>
      <c r="M114" s="524" t="str">
        <f>IF(L114="","",VLOOKUP($B114,'F-1 Off Site River Baseline'!$C$9:$R$257,16,FALSE))</f>
        <v/>
      </c>
      <c r="N114" s="418" t="str">
        <f t="shared" si="12"/>
        <v/>
      </c>
      <c r="O114" s="498" t="str">
        <f t="shared" si="13"/>
        <v/>
      </c>
      <c r="P114" s="499"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5" t="str">
        <f>IF(N114="","",VLOOKUP(B114,'F-1 Off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20" t="str">
        <f>IF(V114="","",IF(VLOOKUP(V114,'G-7 Rivers Data'!$AG$4:$AI$9,2,FALSE)=0,"Spatial Data Missing ⚠",VLOOKUP(V114,'G-7 Rivers Data'!$AG$4:$AI$9,2,FALSE)))</f>
        <v/>
      </c>
      <c r="X114" s="524" t="str">
        <f>IF(V114="","",IF(VLOOKUP(V114,'G-7 Rivers Data'!$AG$4:$AI$9,3,FALSE)=0,"Spatial Data Missing ⚠",VLOOKUP(V114,'G-7 Rivers Data'!$AG$4:$AI$9,3,FALSE)))</f>
        <v/>
      </c>
      <c r="Y114" s="537" t="str">
        <f>IFERROR(IF(OR(LEFT(P114,5)="Error ▲",LEFT(O114,5)="Error ▲"),"Check Data ⚠",IF(F114&lt;S114,'G-7 Rivers Data'!$R$3,INDEX('G-7 Rivers Data'!$U$5:$Y$9,MATCH(G114,'G-7 Rivers Data'!$T$5:$T$9,0),MATCH(T114,'G-7 Rivers Data'!$U$4:$Y$4,0)))),"")</f>
        <v/>
      </c>
      <c r="Z114" s="203"/>
      <c r="AA114" s="203"/>
      <c r="AB114" s="534" t="str">
        <f t="shared" si="8"/>
        <v/>
      </c>
      <c r="AC114" s="521" t="str">
        <f t="shared" si="9"/>
        <v/>
      </c>
      <c r="AD114" s="564" t="str">
        <f>IFERROR(IF(AC114="Check Data ⚠","Check Data ⚠",VLOOKUP(AC114,'G-4 Temporal multipliers'!$A$4:$C$37,3,FALSE)),"")</f>
        <v/>
      </c>
      <c r="AE114" s="537" t="str">
        <f>IF(N114="","",VLOOKUP(N114,'G-7 Rivers Data'!$B$4:$G$8,5,FALSE))</f>
        <v/>
      </c>
      <c r="AF114" s="520" t="str">
        <f t="shared" si="10"/>
        <v/>
      </c>
      <c r="AG114" s="520" t="str">
        <f t="shared" si="14"/>
        <v/>
      </c>
      <c r="AH114" s="524" t="str">
        <f t="shared" si="11"/>
        <v/>
      </c>
      <c r="AI114" s="145"/>
      <c r="AJ114" s="499" t="str">
        <f>IF(AI114="","",IF(VLOOKUP(AI114,'G-7 Rivers Data'!$AA$4:$AB$7,2,FALSE)=0,"Spatial Data Missing ⚠",VLOOKUP(AI114,'G-7 Rivers Data'!$AA$4:$AB$7,2,FALSE)))</f>
        <v/>
      </c>
      <c r="AK114" s="155"/>
      <c r="AL114" s="536" t="str">
        <f>IF(AK114="","",IF(VLOOKUP(AK114,'G-7 Rivers Data'!$AD$4:$AE$8,2,FALSE)=0,"Spatial Data Missing ⚠",VLOOKUP(AK114,'G-7 Rivers Data'!$AD$4:$AE$8,2,FALSE)))</f>
        <v/>
      </c>
      <c r="AM114" s="154"/>
      <c r="AN114" s="524" t="str">
        <f>IF(AM114="","",VLOOKUP(AM114,'G-7 Rivers Data'!$AO$4:$AP$7,2,FALSE))</f>
        <v/>
      </c>
      <c r="AO114" s="545" t="str">
        <f t="shared" si="15"/>
        <v/>
      </c>
      <c r="AP114" s="149"/>
      <c r="AQ114" s="150"/>
      <c r="AX114" s="31" t="str">
        <f>IFERROR(INDEX('G-7 Rivers Data'!$AZ$3:$AZ$7,MATCH(N114,'G-7 Rivers Data'!$AY$3:$AY$7,0)),"")</f>
        <v/>
      </c>
    </row>
    <row r="115" spans="2:50" ht="13.8" x14ac:dyDescent="0.25">
      <c r="B115" s="531" t="str">
        <f>'F-1 Off Site River Baseline'!AN113</f>
        <v/>
      </c>
      <c r="C115" s="520" t="str">
        <f>IF(B115="","",VLOOKUP($B115,'F-1 Off Site River Baseline'!$C$9:$R$257,2,FALSE))</f>
        <v/>
      </c>
      <c r="D115" s="520" t="str">
        <f>IF(C115="","",VLOOKUP($B115,'F-1 Off Site River Baseline'!$C$9:$R$257,3,FALSE))</f>
        <v/>
      </c>
      <c r="E115" s="520" t="str">
        <f>IF(D115="","",VLOOKUP($B115,'F-1 Off Site River Baseline'!$C$9:$R$257,4,FALSE))</f>
        <v/>
      </c>
      <c r="F115" s="520" t="str">
        <f>IF(E115="","",VLOOKUP($B115,'F-1 Off Site River Baseline'!$C$9:$R$257,5,FALSE))</f>
        <v/>
      </c>
      <c r="G115" s="520" t="str">
        <f>IF(F115="","",VLOOKUP($B115,'F-1 Off Site River Baseline'!$C$9:$R$257,6,FALSE))</f>
        <v/>
      </c>
      <c r="H115" s="520" t="str">
        <f>IF(G115="","",VLOOKUP($B115,'F-1 Off Site River Baseline'!$C$9:$R$257,7,FALSE))</f>
        <v/>
      </c>
      <c r="I115" s="520" t="str">
        <f>IF(H115="","",VLOOKUP($B115,'F-1 Off Site River Baseline'!$C$9:$R$257,8,FALSE))</f>
        <v/>
      </c>
      <c r="J115" s="520" t="str">
        <f>IF(I115="","",VLOOKUP($B115,'F-1 Off Site River Baseline'!$C$9:$R$257,9,FALSE))</f>
        <v/>
      </c>
      <c r="K115" s="520" t="str">
        <f>IF(J115="","",VLOOKUP($B115,'F-1 Off Site River Baseline'!$C$9:$R$257,10,FALSE))</f>
        <v/>
      </c>
      <c r="L115" s="520" t="str">
        <f>IF(B115="","",VLOOKUP($B115,'C-1 Site River Baseline'!$C$9:$R$257,15,FALSE))</f>
        <v/>
      </c>
      <c r="M115" s="524" t="str">
        <f>IF(L115="","",VLOOKUP($B115,'F-1 Off Site River Baseline'!$C$9:$R$257,16,FALSE))</f>
        <v/>
      </c>
      <c r="N115" s="418" t="str">
        <f t="shared" si="12"/>
        <v/>
      </c>
      <c r="O115" s="498" t="str">
        <f t="shared" si="13"/>
        <v/>
      </c>
      <c r="P115" s="499"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5" t="str">
        <f>IF(N115="","",VLOOKUP(B115,'F-1 Off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20" t="str">
        <f>IF(V115="","",IF(VLOOKUP(V115,'G-7 Rivers Data'!$AG$4:$AI$9,2,FALSE)=0,"Spatial Data Missing ⚠",VLOOKUP(V115,'G-7 Rivers Data'!$AG$4:$AI$9,2,FALSE)))</f>
        <v/>
      </c>
      <c r="X115" s="524" t="str">
        <f>IF(V115="","",IF(VLOOKUP(V115,'G-7 Rivers Data'!$AG$4:$AI$9,3,FALSE)=0,"Spatial Data Missing ⚠",VLOOKUP(V115,'G-7 Rivers Data'!$AG$4:$AI$9,3,FALSE)))</f>
        <v/>
      </c>
      <c r="Y115" s="537" t="str">
        <f>IFERROR(IF(OR(LEFT(P115,5)="Error ▲",LEFT(O115,5)="Error ▲"),"Check Data ⚠",IF(F115&lt;S115,'G-7 Rivers Data'!$R$3,INDEX('G-7 Rivers Data'!$U$5:$Y$9,MATCH(G115,'G-7 Rivers Data'!$T$5:$T$9,0),MATCH(T115,'G-7 Rivers Data'!$U$4:$Y$4,0)))),"")</f>
        <v/>
      </c>
      <c r="Z115" s="203"/>
      <c r="AA115" s="203"/>
      <c r="AB115" s="534" t="str">
        <f t="shared" si="8"/>
        <v/>
      </c>
      <c r="AC115" s="521" t="str">
        <f t="shared" si="9"/>
        <v/>
      </c>
      <c r="AD115" s="564" t="str">
        <f>IFERROR(IF(AC115="Check Data ⚠","Check Data ⚠",VLOOKUP(AC115,'G-4 Temporal multipliers'!$A$4:$C$37,3,FALSE)),"")</f>
        <v/>
      </c>
      <c r="AE115" s="537" t="str">
        <f>IF(N115="","",VLOOKUP(N115,'G-7 Rivers Data'!$B$4:$G$8,5,FALSE))</f>
        <v/>
      </c>
      <c r="AF115" s="520" t="str">
        <f t="shared" si="10"/>
        <v/>
      </c>
      <c r="AG115" s="520" t="str">
        <f t="shared" si="14"/>
        <v/>
      </c>
      <c r="AH115" s="524" t="str">
        <f t="shared" si="11"/>
        <v/>
      </c>
      <c r="AI115" s="145"/>
      <c r="AJ115" s="499" t="str">
        <f>IF(AI115="","",IF(VLOOKUP(AI115,'G-7 Rivers Data'!$AA$4:$AB$7,2,FALSE)=0,"Spatial Data Missing ⚠",VLOOKUP(AI115,'G-7 Rivers Data'!$AA$4:$AB$7,2,FALSE)))</f>
        <v/>
      </c>
      <c r="AK115" s="155"/>
      <c r="AL115" s="536" t="str">
        <f>IF(AK115="","",IF(VLOOKUP(AK115,'G-7 Rivers Data'!$AD$4:$AE$8,2,FALSE)=0,"Spatial Data Missing ⚠",VLOOKUP(AK115,'G-7 Rivers Data'!$AD$4:$AE$8,2,FALSE)))</f>
        <v/>
      </c>
      <c r="AM115" s="154"/>
      <c r="AN115" s="524" t="str">
        <f>IF(AM115="","",VLOOKUP(AM115,'G-7 Rivers Data'!$AO$4:$AP$7,2,FALSE))</f>
        <v/>
      </c>
      <c r="AO115" s="545" t="str">
        <f t="shared" si="15"/>
        <v/>
      </c>
      <c r="AP115" s="149"/>
      <c r="AQ115" s="150"/>
      <c r="AX115" s="31" t="str">
        <f>IFERROR(INDEX('G-7 Rivers Data'!$AZ$3:$AZ$7,MATCH(N115,'G-7 Rivers Data'!$AY$3:$AY$7,0)),"")</f>
        <v/>
      </c>
    </row>
    <row r="116" spans="2:50" ht="13.8" x14ac:dyDescent="0.25">
      <c r="B116" s="531" t="str">
        <f>'F-1 Off Site River Baseline'!AN114</f>
        <v/>
      </c>
      <c r="C116" s="520" t="str">
        <f>IF(B116="","",VLOOKUP($B116,'F-1 Off Site River Baseline'!$C$9:$R$257,2,FALSE))</f>
        <v/>
      </c>
      <c r="D116" s="520" t="str">
        <f>IF(C116="","",VLOOKUP($B116,'F-1 Off Site River Baseline'!$C$9:$R$257,3,FALSE))</f>
        <v/>
      </c>
      <c r="E116" s="520" t="str">
        <f>IF(D116="","",VLOOKUP($B116,'F-1 Off Site River Baseline'!$C$9:$R$257,4,FALSE))</f>
        <v/>
      </c>
      <c r="F116" s="520" t="str">
        <f>IF(E116="","",VLOOKUP($B116,'F-1 Off Site River Baseline'!$C$9:$R$257,5,FALSE))</f>
        <v/>
      </c>
      <c r="G116" s="520" t="str">
        <f>IF(F116="","",VLOOKUP($B116,'F-1 Off Site River Baseline'!$C$9:$R$257,6,FALSE))</f>
        <v/>
      </c>
      <c r="H116" s="520" t="str">
        <f>IF(G116="","",VLOOKUP($B116,'F-1 Off Site River Baseline'!$C$9:$R$257,7,FALSE))</f>
        <v/>
      </c>
      <c r="I116" s="520" t="str">
        <f>IF(H116="","",VLOOKUP($B116,'F-1 Off Site River Baseline'!$C$9:$R$257,8,FALSE))</f>
        <v/>
      </c>
      <c r="J116" s="520" t="str">
        <f>IF(I116="","",VLOOKUP($B116,'F-1 Off Site River Baseline'!$C$9:$R$257,9,FALSE))</f>
        <v/>
      </c>
      <c r="K116" s="520" t="str">
        <f>IF(J116="","",VLOOKUP($B116,'F-1 Off Site River Baseline'!$C$9:$R$257,10,FALSE))</f>
        <v/>
      </c>
      <c r="L116" s="520" t="str">
        <f>IF(B116="","",VLOOKUP($B116,'C-1 Site River Baseline'!$C$9:$R$257,15,FALSE))</f>
        <v/>
      </c>
      <c r="M116" s="524" t="str">
        <f>IF(L116="","",VLOOKUP($B116,'F-1 Off Site River Baseline'!$C$9:$R$257,16,FALSE))</f>
        <v/>
      </c>
      <c r="N116" s="418" t="str">
        <f t="shared" si="12"/>
        <v/>
      </c>
      <c r="O116" s="498" t="str">
        <f t="shared" si="13"/>
        <v/>
      </c>
      <c r="P116" s="499"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5" t="str">
        <f>IF(N116="","",VLOOKUP(B116,'F-1 Off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20" t="str">
        <f>IF(V116="","",IF(VLOOKUP(V116,'G-7 Rivers Data'!$AG$4:$AI$9,2,FALSE)=0,"Spatial Data Missing ⚠",VLOOKUP(V116,'G-7 Rivers Data'!$AG$4:$AI$9,2,FALSE)))</f>
        <v/>
      </c>
      <c r="X116" s="524" t="str">
        <f>IF(V116="","",IF(VLOOKUP(V116,'G-7 Rivers Data'!$AG$4:$AI$9,3,FALSE)=0,"Spatial Data Missing ⚠",VLOOKUP(V116,'G-7 Rivers Data'!$AG$4:$AI$9,3,FALSE)))</f>
        <v/>
      </c>
      <c r="Y116" s="537" t="str">
        <f>IFERROR(IF(OR(LEFT(P116,5)="Error ▲",LEFT(O116,5)="Error ▲"),"Check Data ⚠",IF(F116&lt;S116,'G-7 Rivers Data'!$R$3,INDEX('G-7 Rivers Data'!$U$5:$Y$9,MATCH(G116,'G-7 Rivers Data'!$T$5:$T$9,0),MATCH(T116,'G-7 Rivers Data'!$U$4:$Y$4,0)))),"")</f>
        <v/>
      </c>
      <c r="Z116" s="203"/>
      <c r="AA116" s="203"/>
      <c r="AB116" s="534" t="str">
        <f t="shared" si="8"/>
        <v/>
      </c>
      <c r="AC116" s="521" t="str">
        <f t="shared" si="9"/>
        <v/>
      </c>
      <c r="AD116" s="564" t="str">
        <f>IFERROR(IF(AC116="Check Data ⚠","Check Data ⚠",VLOOKUP(AC116,'G-4 Temporal multipliers'!$A$4:$C$37,3,FALSE)),"")</f>
        <v/>
      </c>
      <c r="AE116" s="537" t="str">
        <f>IF(N116="","",VLOOKUP(N116,'G-7 Rivers Data'!$B$4:$G$8,5,FALSE))</f>
        <v/>
      </c>
      <c r="AF116" s="520" t="str">
        <f t="shared" si="10"/>
        <v/>
      </c>
      <c r="AG116" s="520" t="str">
        <f t="shared" si="14"/>
        <v/>
      </c>
      <c r="AH116" s="524" t="str">
        <f t="shared" si="11"/>
        <v/>
      </c>
      <c r="AI116" s="145"/>
      <c r="AJ116" s="499" t="str">
        <f>IF(AI116="","",IF(VLOOKUP(AI116,'G-7 Rivers Data'!$AA$4:$AB$7,2,FALSE)=0,"Spatial Data Missing ⚠",VLOOKUP(AI116,'G-7 Rivers Data'!$AA$4:$AB$7,2,FALSE)))</f>
        <v/>
      </c>
      <c r="AK116" s="155"/>
      <c r="AL116" s="536" t="str">
        <f>IF(AK116="","",IF(VLOOKUP(AK116,'G-7 Rivers Data'!$AD$4:$AE$8,2,FALSE)=0,"Spatial Data Missing ⚠",VLOOKUP(AK116,'G-7 Rivers Data'!$AD$4:$AE$8,2,FALSE)))</f>
        <v/>
      </c>
      <c r="AM116" s="154"/>
      <c r="AN116" s="524" t="str">
        <f>IF(AM116="","",VLOOKUP(AM116,'G-7 Rivers Data'!$AO$4:$AP$7,2,FALSE))</f>
        <v/>
      </c>
      <c r="AO116" s="545" t="str">
        <f t="shared" si="15"/>
        <v/>
      </c>
      <c r="AP116" s="149"/>
      <c r="AQ116" s="150"/>
      <c r="AX116" s="31" t="str">
        <f>IFERROR(INDEX('G-7 Rivers Data'!$AZ$3:$AZ$7,MATCH(N116,'G-7 Rivers Data'!$AY$3:$AY$7,0)),"")</f>
        <v/>
      </c>
    </row>
    <row r="117" spans="2:50" ht="13.8" x14ac:dyDescent="0.25">
      <c r="B117" s="531" t="str">
        <f>'F-1 Off Site River Baseline'!AN115</f>
        <v/>
      </c>
      <c r="C117" s="520" t="str">
        <f>IF(B117="","",VLOOKUP($B117,'F-1 Off Site River Baseline'!$C$9:$R$257,2,FALSE))</f>
        <v/>
      </c>
      <c r="D117" s="520" t="str">
        <f>IF(C117="","",VLOOKUP($B117,'F-1 Off Site River Baseline'!$C$9:$R$257,3,FALSE))</f>
        <v/>
      </c>
      <c r="E117" s="520" t="str">
        <f>IF(D117="","",VLOOKUP($B117,'F-1 Off Site River Baseline'!$C$9:$R$257,4,FALSE))</f>
        <v/>
      </c>
      <c r="F117" s="520" t="str">
        <f>IF(E117="","",VLOOKUP($B117,'F-1 Off Site River Baseline'!$C$9:$R$257,5,FALSE))</f>
        <v/>
      </c>
      <c r="G117" s="520" t="str">
        <f>IF(F117="","",VLOOKUP($B117,'F-1 Off Site River Baseline'!$C$9:$R$257,6,FALSE))</f>
        <v/>
      </c>
      <c r="H117" s="520" t="str">
        <f>IF(G117="","",VLOOKUP($B117,'F-1 Off Site River Baseline'!$C$9:$R$257,7,FALSE))</f>
        <v/>
      </c>
      <c r="I117" s="520" t="str">
        <f>IF(H117="","",VLOOKUP($B117,'F-1 Off Site River Baseline'!$C$9:$R$257,8,FALSE))</f>
        <v/>
      </c>
      <c r="J117" s="520" t="str">
        <f>IF(I117="","",VLOOKUP($B117,'F-1 Off Site River Baseline'!$C$9:$R$257,9,FALSE))</f>
        <v/>
      </c>
      <c r="K117" s="520" t="str">
        <f>IF(J117="","",VLOOKUP($B117,'F-1 Off Site River Baseline'!$C$9:$R$257,10,FALSE))</f>
        <v/>
      </c>
      <c r="L117" s="520" t="str">
        <f>IF(B117="","",VLOOKUP($B117,'C-1 Site River Baseline'!$C$9:$R$257,15,FALSE))</f>
        <v/>
      </c>
      <c r="M117" s="524" t="str">
        <f>IF(L117="","",VLOOKUP($B117,'F-1 Off Site River Baseline'!$C$9:$R$257,16,FALSE))</f>
        <v/>
      </c>
      <c r="N117" s="418" t="str">
        <f t="shared" si="12"/>
        <v/>
      </c>
      <c r="O117" s="498" t="str">
        <f t="shared" si="13"/>
        <v/>
      </c>
      <c r="P117" s="499"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5" t="str">
        <f>IF(N117="","",VLOOKUP(B117,'F-1 Off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20" t="str">
        <f>IF(V117="","",IF(VLOOKUP(V117,'G-7 Rivers Data'!$AG$4:$AI$9,2,FALSE)=0,"Spatial Data Missing ⚠",VLOOKUP(V117,'G-7 Rivers Data'!$AG$4:$AI$9,2,FALSE)))</f>
        <v/>
      </c>
      <c r="X117" s="524" t="str">
        <f>IF(V117="","",IF(VLOOKUP(V117,'G-7 Rivers Data'!$AG$4:$AI$9,3,FALSE)=0,"Spatial Data Missing ⚠",VLOOKUP(V117,'G-7 Rivers Data'!$AG$4:$AI$9,3,FALSE)))</f>
        <v/>
      </c>
      <c r="Y117" s="537" t="str">
        <f>IFERROR(IF(OR(LEFT(P117,5)="Error ▲",LEFT(O117,5)="Error ▲"),"Check Data ⚠",IF(F117&lt;S117,'G-7 Rivers Data'!$R$3,INDEX('G-7 Rivers Data'!$U$5:$Y$9,MATCH(G117,'G-7 Rivers Data'!$T$5:$T$9,0),MATCH(T117,'G-7 Rivers Data'!$U$4:$Y$4,0)))),"")</f>
        <v/>
      </c>
      <c r="Z117" s="203"/>
      <c r="AA117" s="203"/>
      <c r="AB117" s="534" t="str">
        <f t="shared" si="8"/>
        <v/>
      </c>
      <c r="AC117" s="521" t="str">
        <f t="shared" si="9"/>
        <v/>
      </c>
      <c r="AD117" s="564" t="str">
        <f>IFERROR(IF(AC117="Check Data ⚠","Check Data ⚠",VLOOKUP(AC117,'G-4 Temporal multipliers'!$A$4:$C$37,3,FALSE)),"")</f>
        <v/>
      </c>
      <c r="AE117" s="537" t="str">
        <f>IF(N117="","",VLOOKUP(N117,'G-7 Rivers Data'!$B$4:$G$8,5,FALSE))</f>
        <v/>
      </c>
      <c r="AF117" s="520" t="str">
        <f t="shared" si="10"/>
        <v/>
      </c>
      <c r="AG117" s="520" t="str">
        <f t="shared" si="14"/>
        <v/>
      </c>
      <c r="AH117" s="524" t="str">
        <f t="shared" si="11"/>
        <v/>
      </c>
      <c r="AI117" s="145"/>
      <c r="AJ117" s="499" t="str">
        <f>IF(AI117="","",IF(VLOOKUP(AI117,'G-7 Rivers Data'!$AA$4:$AB$7,2,FALSE)=0,"Spatial Data Missing ⚠",VLOOKUP(AI117,'G-7 Rivers Data'!$AA$4:$AB$7,2,FALSE)))</f>
        <v/>
      </c>
      <c r="AK117" s="155"/>
      <c r="AL117" s="536" t="str">
        <f>IF(AK117="","",IF(VLOOKUP(AK117,'G-7 Rivers Data'!$AD$4:$AE$8,2,FALSE)=0,"Spatial Data Missing ⚠",VLOOKUP(AK117,'G-7 Rivers Data'!$AD$4:$AE$8,2,FALSE)))</f>
        <v/>
      </c>
      <c r="AM117" s="154"/>
      <c r="AN117" s="524" t="str">
        <f>IF(AM117="","",VLOOKUP(AM117,'G-7 Rivers Data'!$AO$4:$AP$7,2,FALSE))</f>
        <v/>
      </c>
      <c r="AO117" s="545" t="str">
        <f t="shared" si="15"/>
        <v/>
      </c>
      <c r="AP117" s="149"/>
      <c r="AQ117" s="150"/>
      <c r="AX117" s="31" t="str">
        <f>IFERROR(INDEX('G-7 Rivers Data'!$AZ$3:$AZ$7,MATCH(N117,'G-7 Rivers Data'!$AY$3:$AY$7,0)),"")</f>
        <v/>
      </c>
    </row>
    <row r="118" spans="2:50" ht="13.8" x14ac:dyDescent="0.25">
      <c r="B118" s="531" t="str">
        <f>'F-1 Off Site River Baseline'!AN116</f>
        <v/>
      </c>
      <c r="C118" s="520" t="str">
        <f>IF(B118="","",VLOOKUP($B118,'F-1 Off Site River Baseline'!$C$9:$R$257,2,FALSE))</f>
        <v/>
      </c>
      <c r="D118" s="520" t="str">
        <f>IF(C118="","",VLOOKUP($B118,'F-1 Off Site River Baseline'!$C$9:$R$257,3,FALSE))</f>
        <v/>
      </c>
      <c r="E118" s="520" t="str">
        <f>IF(D118="","",VLOOKUP($B118,'F-1 Off Site River Baseline'!$C$9:$R$257,4,FALSE))</f>
        <v/>
      </c>
      <c r="F118" s="520" t="str">
        <f>IF(E118="","",VLOOKUP($B118,'F-1 Off Site River Baseline'!$C$9:$R$257,5,FALSE))</f>
        <v/>
      </c>
      <c r="G118" s="520" t="str">
        <f>IF(F118="","",VLOOKUP($B118,'F-1 Off Site River Baseline'!$C$9:$R$257,6,FALSE))</f>
        <v/>
      </c>
      <c r="H118" s="520" t="str">
        <f>IF(G118="","",VLOOKUP($B118,'F-1 Off Site River Baseline'!$C$9:$R$257,7,FALSE))</f>
        <v/>
      </c>
      <c r="I118" s="520" t="str">
        <f>IF(H118="","",VLOOKUP($B118,'F-1 Off Site River Baseline'!$C$9:$R$257,8,FALSE))</f>
        <v/>
      </c>
      <c r="J118" s="520" t="str">
        <f>IF(I118="","",VLOOKUP($B118,'F-1 Off Site River Baseline'!$C$9:$R$257,9,FALSE))</f>
        <v/>
      </c>
      <c r="K118" s="520" t="str">
        <f>IF(J118="","",VLOOKUP($B118,'F-1 Off Site River Baseline'!$C$9:$R$257,10,FALSE))</f>
        <v/>
      </c>
      <c r="L118" s="520" t="str">
        <f>IF(B118="","",VLOOKUP($B118,'C-1 Site River Baseline'!$C$9:$R$257,15,FALSE))</f>
        <v/>
      </c>
      <c r="M118" s="524" t="str">
        <f>IF(L118="","",VLOOKUP($B118,'F-1 Off Site River Baseline'!$C$9:$R$257,16,FALSE))</f>
        <v/>
      </c>
      <c r="N118" s="418" t="str">
        <f t="shared" si="12"/>
        <v/>
      </c>
      <c r="O118" s="498" t="str">
        <f t="shared" si="13"/>
        <v/>
      </c>
      <c r="P118" s="499"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5" t="str">
        <f>IF(N118="","",VLOOKUP(B118,'F-1 Off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20" t="str">
        <f>IF(V118="","",IF(VLOOKUP(V118,'G-7 Rivers Data'!$AG$4:$AI$9,2,FALSE)=0,"Spatial Data Missing ⚠",VLOOKUP(V118,'G-7 Rivers Data'!$AG$4:$AI$9,2,FALSE)))</f>
        <v/>
      </c>
      <c r="X118" s="524" t="str">
        <f>IF(V118="","",IF(VLOOKUP(V118,'G-7 Rivers Data'!$AG$4:$AI$9,3,FALSE)=0,"Spatial Data Missing ⚠",VLOOKUP(V118,'G-7 Rivers Data'!$AG$4:$AI$9,3,FALSE)))</f>
        <v/>
      </c>
      <c r="Y118" s="537" t="str">
        <f>IFERROR(IF(OR(LEFT(P118,5)="Error ▲",LEFT(O118,5)="Error ▲"),"Check Data ⚠",IF(F118&lt;S118,'G-7 Rivers Data'!$R$3,INDEX('G-7 Rivers Data'!$U$5:$Y$9,MATCH(G118,'G-7 Rivers Data'!$T$5:$T$9,0),MATCH(T118,'G-7 Rivers Data'!$U$4:$Y$4,0)))),"")</f>
        <v/>
      </c>
      <c r="Z118" s="203"/>
      <c r="AA118" s="203"/>
      <c r="AB118" s="534" t="str">
        <f t="shared" si="8"/>
        <v/>
      </c>
      <c r="AC118" s="521" t="str">
        <f t="shared" si="9"/>
        <v/>
      </c>
      <c r="AD118" s="564" t="str">
        <f>IFERROR(IF(AC118="Check Data ⚠","Check Data ⚠",VLOOKUP(AC118,'G-4 Temporal multipliers'!$A$4:$C$37,3,FALSE)),"")</f>
        <v/>
      </c>
      <c r="AE118" s="537" t="str">
        <f>IF(N118="","",VLOOKUP(N118,'G-7 Rivers Data'!$B$4:$G$8,5,FALSE))</f>
        <v/>
      </c>
      <c r="AF118" s="520" t="str">
        <f t="shared" si="10"/>
        <v/>
      </c>
      <c r="AG118" s="520" t="str">
        <f t="shared" si="14"/>
        <v/>
      </c>
      <c r="AH118" s="524" t="str">
        <f t="shared" si="11"/>
        <v/>
      </c>
      <c r="AI118" s="145"/>
      <c r="AJ118" s="499" t="str">
        <f>IF(AI118="","",IF(VLOOKUP(AI118,'G-7 Rivers Data'!$AA$4:$AB$7,2,FALSE)=0,"Spatial Data Missing ⚠",VLOOKUP(AI118,'G-7 Rivers Data'!$AA$4:$AB$7,2,FALSE)))</f>
        <v/>
      </c>
      <c r="AK118" s="155"/>
      <c r="AL118" s="536" t="str">
        <f>IF(AK118="","",IF(VLOOKUP(AK118,'G-7 Rivers Data'!$AD$4:$AE$8,2,FALSE)=0,"Spatial Data Missing ⚠",VLOOKUP(AK118,'G-7 Rivers Data'!$AD$4:$AE$8,2,FALSE)))</f>
        <v/>
      </c>
      <c r="AM118" s="154"/>
      <c r="AN118" s="524" t="str">
        <f>IF(AM118="","",VLOOKUP(AM118,'G-7 Rivers Data'!$AO$4:$AP$7,2,FALSE))</f>
        <v/>
      </c>
      <c r="AO118" s="545" t="str">
        <f t="shared" si="15"/>
        <v/>
      </c>
      <c r="AP118" s="149"/>
      <c r="AQ118" s="150"/>
      <c r="AX118" s="31" t="str">
        <f>IFERROR(INDEX('G-7 Rivers Data'!$AZ$3:$AZ$7,MATCH(N118,'G-7 Rivers Data'!$AY$3:$AY$7,0)),"")</f>
        <v/>
      </c>
    </row>
    <row r="119" spans="2:50" ht="13.8" x14ac:dyDescent="0.25">
      <c r="B119" s="531" t="str">
        <f>'F-1 Off Site River Baseline'!AN117</f>
        <v/>
      </c>
      <c r="C119" s="520" t="str">
        <f>IF(B119="","",VLOOKUP($B119,'F-1 Off Site River Baseline'!$C$9:$R$257,2,FALSE))</f>
        <v/>
      </c>
      <c r="D119" s="520" t="str">
        <f>IF(C119="","",VLOOKUP($B119,'F-1 Off Site River Baseline'!$C$9:$R$257,3,FALSE))</f>
        <v/>
      </c>
      <c r="E119" s="520" t="str">
        <f>IF(D119="","",VLOOKUP($B119,'F-1 Off Site River Baseline'!$C$9:$R$257,4,FALSE))</f>
        <v/>
      </c>
      <c r="F119" s="520" t="str">
        <f>IF(E119="","",VLOOKUP($B119,'F-1 Off Site River Baseline'!$C$9:$R$257,5,FALSE))</f>
        <v/>
      </c>
      <c r="G119" s="520" t="str">
        <f>IF(F119="","",VLOOKUP($B119,'F-1 Off Site River Baseline'!$C$9:$R$257,6,FALSE))</f>
        <v/>
      </c>
      <c r="H119" s="520" t="str">
        <f>IF(G119="","",VLOOKUP($B119,'F-1 Off Site River Baseline'!$C$9:$R$257,7,FALSE))</f>
        <v/>
      </c>
      <c r="I119" s="520" t="str">
        <f>IF(H119="","",VLOOKUP($B119,'F-1 Off Site River Baseline'!$C$9:$R$257,8,FALSE))</f>
        <v/>
      </c>
      <c r="J119" s="520" t="str">
        <f>IF(I119="","",VLOOKUP($B119,'F-1 Off Site River Baseline'!$C$9:$R$257,9,FALSE))</f>
        <v/>
      </c>
      <c r="K119" s="520" t="str">
        <f>IF(J119="","",VLOOKUP($B119,'F-1 Off Site River Baseline'!$C$9:$R$257,10,FALSE))</f>
        <v/>
      </c>
      <c r="L119" s="520" t="str">
        <f>IF(B119="","",VLOOKUP($B119,'C-1 Site River Baseline'!$C$9:$R$257,15,FALSE))</f>
        <v/>
      </c>
      <c r="M119" s="524" t="str">
        <f>IF(L119="","",VLOOKUP($B119,'F-1 Off Site River Baseline'!$C$9:$R$257,16,FALSE))</f>
        <v/>
      </c>
      <c r="N119" s="418" t="str">
        <f t="shared" si="12"/>
        <v/>
      </c>
      <c r="O119" s="498" t="str">
        <f t="shared" si="13"/>
        <v/>
      </c>
      <c r="P119" s="499"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5" t="str">
        <f>IF(N119="","",VLOOKUP(B119,'F-1 Off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20" t="str">
        <f>IF(V119="","",IF(VLOOKUP(V119,'G-7 Rivers Data'!$AG$4:$AI$9,2,FALSE)=0,"Spatial Data Missing ⚠",VLOOKUP(V119,'G-7 Rivers Data'!$AG$4:$AI$9,2,FALSE)))</f>
        <v/>
      </c>
      <c r="X119" s="524" t="str">
        <f>IF(V119="","",IF(VLOOKUP(V119,'G-7 Rivers Data'!$AG$4:$AI$9,3,FALSE)=0,"Spatial Data Missing ⚠",VLOOKUP(V119,'G-7 Rivers Data'!$AG$4:$AI$9,3,FALSE)))</f>
        <v/>
      </c>
      <c r="Y119" s="537" t="str">
        <f>IFERROR(IF(OR(LEFT(P119,5)="Error ▲",LEFT(O119,5)="Error ▲"),"Check Data ⚠",IF(F119&lt;S119,'G-7 Rivers Data'!$R$3,INDEX('G-7 Rivers Data'!$U$5:$Y$9,MATCH(G119,'G-7 Rivers Data'!$T$5:$T$9,0),MATCH(T119,'G-7 Rivers Data'!$U$4:$Y$4,0)))),"")</f>
        <v/>
      </c>
      <c r="Z119" s="203"/>
      <c r="AA119" s="203"/>
      <c r="AB119" s="534" t="str">
        <f t="shared" si="8"/>
        <v/>
      </c>
      <c r="AC119" s="521" t="str">
        <f t="shared" si="9"/>
        <v/>
      </c>
      <c r="AD119" s="564" t="str">
        <f>IFERROR(IF(AC119="Check Data ⚠","Check Data ⚠",VLOOKUP(AC119,'G-4 Temporal multipliers'!$A$4:$C$37,3,FALSE)),"")</f>
        <v/>
      </c>
      <c r="AE119" s="537" t="str">
        <f>IF(N119="","",VLOOKUP(N119,'G-7 Rivers Data'!$B$4:$G$8,5,FALSE))</f>
        <v/>
      </c>
      <c r="AF119" s="520" t="str">
        <f t="shared" si="10"/>
        <v/>
      </c>
      <c r="AG119" s="520" t="str">
        <f t="shared" si="14"/>
        <v/>
      </c>
      <c r="AH119" s="524" t="str">
        <f t="shared" si="11"/>
        <v/>
      </c>
      <c r="AI119" s="145"/>
      <c r="AJ119" s="499" t="str">
        <f>IF(AI119="","",IF(VLOOKUP(AI119,'G-7 Rivers Data'!$AA$4:$AB$7,2,FALSE)=0,"Spatial Data Missing ⚠",VLOOKUP(AI119,'G-7 Rivers Data'!$AA$4:$AB$7,2,FALSE)))</f>
        <v/>
      </c>
      <c r="AK119" s="155"/>
      <c r="AL119" s="536" t="str">
        <f>IF(AK119="","",IF(VLOOKUP(AK119,'G-7 Rivers Data'!$AD$4:$AE$8,2,FALSE)=0,"Spatial Data Missing ⚠",VLOOKUP(AK119,'G-7 Rivers Data'!$AD$4:$AE$8,2,FALSE)))</f>
        <v/>
      </c>
      <c r="AM119" s="154"/>
      <c r="AN119" s="524" t="str">
        <f>IF(AM119="","",VLOOKUP(AM119,'G-7 Rivers Data'!$AO$4:$AP$7,2,FALSE))</f>
        <v/>
      </c>
      <c r="AO119" s="545" t="str">
        <f t="shared" si="15"/>
        <v/>
      </c>
      <c r="AP119" s="149"/>
      <c r="AQ119" s="150"/>
      <c r="AX119" s="31" t="str">
        <f>IFERROR(INDEX('G-7 Rivers Data'!$AZ$3:$AZ$7,MATCH(N119,'G-7 Rivers Data'!$AY$3:$AY$7,0)),"")</f>
        <v/>
      </c>
    </row>
    <row r="120" spans="2:50" ht="13.8" x14ac:dyDescent="0.25">
      <c r="B120" s="531" t="str">
        <f>'F-1 Off Site River Baseline'!AN118</f>
        <v/>
      </c>
      <c r="C120" s="520" t="str">
        <f>IF(B120="","",VLOOKUP($B120,'F-1 Off Site River Baseline'!$C$9:$R$257,2,FALSE))</f>
        <v/>
      </c>
      <c r="D120" s="520" t="str">
        <f>IF(C120="","",VLOOKUP($B120,'F-1 Off Site River Baseline'!$C$9:$R$257,3,FALSE))</f>
        <v/>
      </c>
      <c r="E120" s="520" t="str">
        <f>IF(D120="","",VLOOKUP($B120,'F-1 Off Site River Baseline'!$C$9:$R$257,4,FALSE))</f>
        <v/>
      </c>
      <c r="F120" s="520" t="str">
        <f>IF(E120="","",VLOOKUP($B120,'F-1 Off Site River Baseline'!$C$9:$R$257,5,FALSE))</f>
        <v/>
      </c>
      <c r="G120" s="520" t="str">
        <f>IF(F120="","",VLOOKUP($B120,'F-1 Off Site River Baseline'!$C$9:$R$257,6,FALSE))</f>
        <v/>
      </c>
      <c r="H120" s="520" t="str">
        <f>IF(G120="","",VLOOKUP($B120,'F-1 Off Site River Baseline'!$C$9:$R$257,7,FALSE))</f>
        <v/>
      </c>
      <c r="I120" s="520" t="str">
        <f>IF(H120="","",VLOOKUP($B120,'F-1 Off Site River Baseline'!$C$9:$R$257,8,FALSE))</f>
        <v/>
      </c>
      <c r="J120" s="520" t="str">
        <f>IF(I120="","",VLOOKUP($B120,'F-1 Off Site River Baseline'!$C$9:$R$257,9,FALSE))</f>
        <v/>
      </c>
      <c r="K120" s="520" t="str">
        <f>IF(J120="","",VLOOKUP($B120,'F-1 Off Site River Baseline'!$C$9:$R$257,10,FALSE))</f>
        <v/>
      </c>
      <c r="L120" s="520" t="str">
        <f>IF(B120="","",VLOOKUP($B120,'C-1 Site River Baseline'!$C$9:$R$257,15,FALSE))</f>
        <v/>
      </c>
      <c r="M120" s="524" t="str">
        <f>IF(L120="","",VLOOKUP($B120,'F-1 Off Site River Baseline'!$C$9:$R$257,16,FALSE))</f>
        <v/>
      </c>
      <c r="N120" s="418" t="str">
        <f t="shared" si="12"/>
        <v/>
      </c>
      <c r="O120" s="498" t="str">
        <f t="shared" si="13"/>
        <v/>
      </c>
      <c r="P120" s="499"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5" t="str">
        <f>IF(N120="","",VLOOKUP(B120,'F-1 Off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20" t="str">
        <f>IF(V120="","",IF(VLOOKUP(V120,'G-7 Rivers Data'!$AG$4:$AI$9,2,FALSE)=0,"Spatial Data Missing ⚠",VLOOKUP(V120,'G-7 Rivers Data'!$AG$4:$AI$9,2,FALSE)))</f>
        <v/>
      </c>
      <c r="X120" s="524" t="str">
        <f>IF(V120="","",IF(VLOOKUP(V120,'G-7 Rivers Data'!$AG$4:$AI$9,3,FALSE)=0,"Spatial Data Missing ⚠",VLOOKUP(V120,'G-7 Rivers Data'!$AG$4:$AI$9,3,FALSE)))</f>
        <v/>
      </c>
      <c r="Y120" s="537" t="str">
        <f>IFERROR(IF(OR(LEFT(P120,5)="Error ▲",LEFT(O120,5)="Error ▲"),"Check Data ⚠",IF(F120&lt;S120,'G-7 Rivers Data'!$R$3,INDEX('G-7 Rivers Data'!$U$5:$Y$9,MATCH(G120,'G-7 Rivers Data'!$T$5:$T$9,0),MATCH(T120,'G-7 Rivers Data'!$U$4:$Y$4,0)))),"")</f>
        <v/>
      </c>
      <c r="Z120" s="203"/>
      <c r="AA120" s="203"/>
      <c r="AB120" s="534" t="str">
        <f t="shared" si="8"/>
        <v/>
      </c>
      <c r="AC120" s="521" t="str">
        <f t="shared" si="9"/>
        <v/>
      </c>
      <c r="AD120" s="564" t="str">
        <f>IFERROR(IF(AC120="Check Data ⚠","Check Data ⚠",VLOOKUP(AC120,'G-4 Temporal multipliers'!$A$4:$C$37,3,FALSE)),"")</f>
        <v/>
      </c>
      <c r="AE120" s="537" t="str">
        <f>IF(N120="","",VLOOKUP(N120,'G-7 Rivers Data'!$B$4:$G$8,5,FALSE))</f>
        <v/>
      </c>
      <c r="AF120" s="520" t="str">
        <f t="shared" si="10"/>
        <v/>
      </c>
      <c r="AG120" s="520" t="str">
        <f t="shared" si="14"/>
        <v/>
      </c>
      <c r="AH120" s="524" t="str">
        <f t="shared" si="11"/>
        <v/>
      </c>
      <c r="AI120" s="145"/>
      <c r="AJ120" s="499" t="str">
        <f>IF(AI120="","",IF(VLOOKUP(AI120,'G-7 Rivers Data'!$AA$4:$AB$7,2,FALSE)=0,"Spatial Data Missing ⚠",VLOOKUP(AI120,'G-7 Rivers Data'!$AA$4:$AB$7,2,FALSE)))</f>
        <v/>
      </c>
      <c r="AK120" s="155"/>
      <c r="AL120" s="536" t="str">
        <f>IF(AK120="","",IF(VLOOKUP(AK120,'G-7 Rivers Data'!$AD$4:$AE$8,2,FALSE)=0,"Spatial Data Missing ⚠",VLOOKUP(AK120,'G-7 Rivers Data'!$AD$4:$AE$8,2,FALSE)))</f>
        <v/>
      </c>
      <c r="AM120" s="154"/>
      <c r="AN120" s="524" t="str">
        <f>IF(AM120="","",VLOOKUP(AM120,'G-7 Rivers Data'!$AO$4:$AP$7,2,FALSE))</f>
        <v/>
      </c>
      <c r="AO120" s="545" t="str">
        <f t="shared" si="15"/>
        <v/>
      </c>
      <c r="AP120" s="149"/>
      <c r="AQ120" s="150"/>
      <c r="AX120" s="31" t="str">
        <f>IFERROR(INDEX('G-7 Rivers Data'!$AZ$3:$AZ$7,MATCH(N120,'G-7 Rivers Data'!$AY$3:$AY$7,0)),"")</f>
        <v/>
      </c>
    </row>
    <row r="121" spans="2:50" ht="13.8" x14ac:dyDescent="0.25">
      <c r="B121" s="531" t="str">
        <f>'F-1 Off Site River Baseline'!AN119</f>
        <v/>
      </c>
      <c r="C121" s="520" t="str">
        <f>IF(B121="","",VLOOKUP($B121,'F-1 Off Site River Baseline'!$C$9:$R$257,2,FALSE))</f>
        <v/>
      </c>
      <c r="D121" s="520" t="str">
        <f>IF(C121="","",VLOOKUP($B121,'F-1 Off Site River Baseline'!$C$9:$R$257,3,FALSE))</f>
        <v/>
      </c>
      <c r="E121" s="520" t="str">
        <f>IF(D121="","",VLOOKUP($B121,'F-1 Off Site River Baseline'!$C$9:$R$257,4,FALSE))</f>
        <v/>
      </c>
      <c r="F121" s="520" t="str">
        <f>IF(E121="","",VLOOKUP($B121,'F-1 Off Site River Baseline'!$C$9:$R$257,5,FALSE))</f>
        <v/>
      </c>
      <c r="G121" s="520" t="str">
        <f>IF(F121="","",VLOOKUP($B121,'F-1 Off Site River Baseline'!$C$9:$R$257,6,FALSE))</f>
        <v/>
      </c>
      <c r="H121" s="520" t="str">
        <f>IF(G121="","",VLOOKUP($B121,'F-1 Off Site River Baseline'!$C$9:$R$257,7,FALSE))</f>
        <v/>
      </c>
      <c r="I121" s="520" t="str">
        <f>IF(H121="","",VLOOKUP($B121,'F-1 Off Site River Baseline'!$C$9:$R$257,8,FALSE))</f>
        <v/>
      </c>
      <c r="J121" s="520" t="str">
        <f>IF(I121="","",VLOOKUP($B121,'F-1 Off Site River Baseline'!$C$9:$R$257,9,FALSE))</f>
        <v/>
      </c>
      <c r="K121" s="520" t="str">
        <f>IF(J121="","",VLOOKUP($B121,'F-1 Off Site River Baseline'!$C$9:$R$257,10,FALSE))</f>
        <v/>
      </c>
      <c r="L121" s="520" t="str">
        <f>IF(B121="","",VLOOKUP($B121,'C-1 Site River Baseline'!$C$9:$R$257,15,FALSE))</f>
        <v/>
      </c>
      <c r="M121" s="524" t="str">
        <f>IF(L121="","",VLOOKUP($B121,'F-1 Off Site River Baseline'!$C$9:$R$257,16,FALSE))</f>
        <v/>
      </c>
      <c r="N121" s="418" t="str">
        <f t="shared" si="12"/>
        <v/>
      </c>
      <c r="O121" s="498" t="str">
        <f t="shared" si="13"/>
        <v/>
      </c>
      <c r="P121" s="499"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5" t="str">
        <f>IF(N121="","",VLOOKUP(B121,'F-1 Off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20" t="str">
        <f>IF(V121="","",IF(VLOOKUP(V121,'G-7 Rivers Data'!$AG$4:$AI$9,2,FALSE)=0,"Spatial Data Missing ⚠",VLOOKUP(V121,'G-7 Rivers Data'!$AG$4:$AI$9,2,FALSE)))</f>
        <v/>
      </c>
      <c r="X121" s="524" t="str">
        <f>IF(V121="","",IF(VLOOKUP(V121,'G-7 Rivers Data'!$AG$4:$AI$9,3,FALSE)=0,"Spatial Data Missing ⚠",VLOOKUP(V121,'G-7 Rivers Data'!$AG$4:$AI$9,3,FALSE)))</f>
        <v/>
      </c>
      <c r="Y121" s="537" t="str">
        <f>IFERROR(IF(OR(LEFT(P121,5)="Error ▲",LEFT(O121,5)="Error ▲"),"Check Data ⚠",IF(F121&lt;S121,'G-7 Rivers Data'!$R$3,INDEX('G-7 Rivers Data'!$U$5:$Y$9,MATCH(G121,'G-7 Rivers Data'!$T$5:$T$9,0),MATCH(T121,'G-7 Rivers Data'!$U$4:$Y$4,0)))),"")</f>
        <v/>
      </c>
      <c r="Z121" s="203"/>
      <c r="AA121" s="203"/>
      <c r="AB121" s="534" t="str">
        <f t="shared" si="8"/>
        <v/>
      </c>
      <c r="AC121" s="521" t="str">
        <f t="shared" si="9"/>
        <v/>
      </c>
      <c r="AD121" s="564" t="str">
        <f>IFERROR(IF(AC121="Check Data ⚠","Check Data ⚠",VLOOKUP(AC121,'G-4 Temporal multipliers'!$A$4:$C$37,3,FALSE)),"")</f>
        <v/>
      </c>
      <c r="AE121" s="537" t="str">
        <f>IF(N121="","",VLOOKUP(N121,'G-7 Rivers Data'!$B$4:$G$8,5,FALSE))</f>
        <v/>
      </c>
      <c r="AF121" s="520" t="str">
        <f t="shared" si="10"/>
        <v/>
      </c>
      <c r="AG121" s="520" t="str">
        <f t="shared" si="14"/>
        <v/>
      </c>
      <c r="AH121" s="524" t="str">
        <f t="shared" si="11"/>
        <v/>
      </c>
      <c r="AI121" s="145"/>
      <c r="AJ121" s="499" t="str">
        <f>IF(AI121="","",IF(VLOOKUP(AI121,'G-7 Rivers Data'!$AA$4:$AB$7,2,FALSE)=0,"Spatial Data Missing ⚠",VLOOKUP(AI121,'G-7 Rivers Data'!$AA$4:$AB$7,2,FALSE)))</f>
        <v/>
      </c>
      <c r="AK121" s="155"/>
      <c r="AL121" s="536" t="str">
        <f>IF(AK121="","",IF(VLOOKUP(AK121,'G-7 Rivers Data'!$AD$4:$AE$8,2,FALSE)=0,"Spatial Data Missing ⚠",VLOOKUP(AK121,'G-7 Rivers Data'!$AD$4:$AE$8,2,FALSE)))</f>
        <v/>
      </c>
      <c r="AM121" s="154"/>
      <c r="AN121" s="524" t="str">
        <f>IF(AM121="","",VLOOKUP(AM121,'G-7 Rivers Data'!$AO$4:$AP$7,2,FALSE))</f>
        <v/>
      </c>
      <c r="AO121" s="545" t="str">
        <f t="shared" si="15"/>
        <v/>
      </c>
      <c r="AP121" s="149"/>
      <c r="AQ121" s="150"/>
      <c r="AX121" s="31" t="str">
        <f>IFERROR(INDEX('G-7 Rivers Data'!$AZ$3:$AZ$7,MATCH(N121,'G-7 Rivers Data'!$AY$3:$AY$7,0)),"")</f>
        <v/>
      </c>
    </row>
    <row r="122" spans="2:50" ht="13.8" x14ac:dyDescent="0.25">
      <c r="B122" s="531" t="str">
        <f>'F-1 Off Site River Baseline'!AN120</f>
        <v/>
      </c>
      <c r="C122" s="520" t="str">
        <f>IF(B122="","",VLOOKUP($B122,'F-1 Off Site River Baseline'!$C$9:$R$257,2,FALSE))</f>
        <v/>
      </c>
      <c r="D122" s="520" t="str">
        <f>IF(C122="","",VLOOKUP($B122,'F-1 Off Site River Baseline'!$C$9:$R$257,3,FALSE))</f>
        <v/>
      </c>
      <c r="E122" s="520" t="str">
        <f>IF(D122="","",VLOOKUP($B122,'F-1 Off Site River Baseline'!$C$9:$R$257,4,FALSE))</f>
        <v/>
      </c>
      <c r="F122" s="520" t="str">
        <f>IF(E122="","",VLOOKUP($B122,'F-1 Off Site River Baseline'!$C$9:$R$257,5,FALSE))</f>
        <v/>
      </c>
      <c r="G122" s="520" t="str">
        <f>IF(F122="","",VLOOKUP($B122,'F-1 Off Site River Baseline'!$C$9:$R$257,6,FALSE))</f>
        <v/>
      </c>
      <c r="H122" s="520" t="str">
        <f>IF(G122="","",VLOOKUP($B122,'F-1 Off Site River Baseline'!$C$9:$R$257,7,FALSE))</f>
        <v/>
      </c>
      <c r="I122" s="520" t="str">
        <f>IF(H122="","",VLOOKUP($B122,'F-1 Off Site River Baseline'!$C$9:$R$257,8,FALSE))</f>
        <v/>
      </c>
      <c r="J122" s="520" t="str">
        <f>IF(I122="","",VLOOKUP($B122,'F-1 Off Site River Baseline'!$C$9:$R$257,9,FALSE))</f>
        <v/>
      </c>
      <c r="K122" s="520" t="str">
        <f>IF(J122="","",VLOOKUP($B122,'F-1 Off Site River Baseline'!$C$9:$R$257,10,FALSE))</f>
        <v/>
      </c>
      <c r="L122" s="520" t="str">
        <f>IF(B122="","",VLOOKUP($B122,'C-1 Site River Baseline'!$C$9:$R$257,15,FALSE))</f>
        <v/>
      </c>
      <c r="M122" s="524" t="str">
        <f>IF(L122="","",VLOOKUP($B122,'F-1 Off Site River Baseline'!$C$9:$R$257,16,FALSE))</f>
        <v/>
      </c>
      <c r="N122" s="418" t="str">
        <f t="shared" si="12"/>
        <v/>
      </c>
      <c r="O122" s="498" t="str">
        <f t="shared" si="13"/>
        <v/>
      </c>
      <c r="P122" s="499"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5" t="str">
        <f>IF(N122="","",VLOOKUP(B122,'F-1 Off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20" t="str">
        <f>IF(V122="","",IF(VLOOKUP(V122,'G-7 Rivers Data'!$AG$4:$AI$9,2,FALSE)=0,"Spatial Data Missing ⚠",VLOOKUP(V122,'G-7 Rivers Data'!$AG$4:$AI$9,2,FALSE)))</f>
        <v/>
      </c>
      <c r="X122" s="524" t="str">
        <f>IF(V122="","",IF(VLOOKUP(V122,'G-7 Rivers Data'!$AG$4:$AI$9,3,FALSE)=0,"Spatial Data Missing ⚠",VLOOKUP(V122,'G-7 Rivers Data'!$AG$4:$AI$9,3,FALSE)))</f>
        <v/>
      </c>
      <c r="Y122" s="537" t="str">
        <f>IFERROR(IF(OR(LEFT(P122,5)="Error ▲",LEFT(O122,5)="Error ▲"),"Check Data ⚠",IF(F122&lt;S122,'G-7 Rivers Data'!$R$3,INDEX('G-7 Rivers Data'!$U$5:$Y$9,MATCH(G122,'G-7 Rivers Data'!$T$5:$T$9,0),MATCH(T122,'G-7 Rivers Data'!$U$4:$Y$4,0)))),"")</f>
        <v/>
      </c>
      <c r="Z122" s="203"/>
      <c r="AA122" s="203"/>
      <c r="AB122" s="534" t="str">
        <f t="shared" si="8"/>
        <v/>
      </c>
      <c r="AC122" s="521" t="str">
        <f t="shared" si="9"/>
        <v/>
      </c>
      <c r="AD122" s="564" t="str">
        <f>IFERROR(IF(AC122="Check Data ⚠","Check Data ⚠",VLOOKUP(AC122,'G-4 Temporal multipliers'!$A$4:$C$37,3,FALSE)),"")</f>
        <v/>
      </c>
      <c r="AE122" s="537" t="str">
        <f>IF(N122="","",VLOOKUP(N122,'G-7 Rivers Data'!$B$4:$G$8,5,FALSE))</f>
        <v/>
      </c>
      <c r="AF122" s="520" t="str">
        <f t="shared" si="10"/>
        <v/>
      </c>
      <c r="AG122" s="520" t="str">
        <f t="shared" si="14"/>
        <v/>
      </c>
      <c r="AH122" s="524" t="str">
        <f t="shared" si="11"/>
        <v/>
      </c>
      <c r="AI122" s="145"/>
      <c r="AJ122" s="499" t="str">
        <f>IF(AI122="","",IF(VLOOKUP(AI122,'G-7 Rivers Data'!$AA$4:$AB$7,2,FALSE)=0,"Spatial Data Missing ⚠",VLOOKUP(AI122,'G-7 Rivers Data'!$AA$4:$AB$7,2,FALSE)))</f>
        <v/>
      </c>
      <c r="AK122" s="155"/>
      <c r="AL122" s="536" t="str">
        <f>IF(AK122="","",IF(VLOOKUP(AK122,'G-7 Rivers Data'!$AD$4:$AE$8,2,FALSE)=0,"Spatial Data Missing ⚠",VLOOKUP(AK122,'G-7 Rivers Data'!$AD$4:$AE$8,2,FALSE)))</f>
        <v/>
      </c>
      <c r="AM122" s="154"/>
      <c r="AN122" s="524" t="str">
        <f>IF(AM122="","",VLOOKUP(AM122,'G-7 Rivers Data'!$AO$4:$AP$7,2,FALSE))</f>
        <v/>
      </c>
      <c r="AO122" s="545" t="str">
        <f t="shared" si="15"/>
        <v/>
      </c>
      <c r="AP122" s="149"/>
      <c r="AQ122" s="150"/>
      <c r="AX122" s="31" t="str">
        <f>IFERROR(INDEX('G-7 Rivers Data'!$AZ$3:$AZ$7,MATCH(N122,'G-7 Rivers Data'!$AY$3:$AY$7,0)),"")</f>
        <v/>
      </c>
    </row>
    <row r="123" spans="2:50" ht="13.8" x14ac:dyDescent="0.25">
      <c r="B123" s="531" t="str">
        <f>'F-1 Off Site River Baseline'!AN121</f>
        <v/>
      </c>
      <c r="C123" s="520" t="str">
        <f>IF(B123="","",VLOOKUP($B123,'F-1 Off Site River Baseline'!$C$9:$R$257,2,FALSE))</f>
        <v/>
      </c>
      <c r="D123" s="520" t="str">
        <f>IF(C123="","",VLOOKUP($B123,'F-1 Off Site River Baseline'!$C$9:$R$257,3,FALSE))</f>
        <v/>
      </c>
      <c r="E123" s="520" t="str">
        <f>IF(D123="","",VLOOKUP($B123,'F-1 Off Site River Baseline'!$C$9:$R$257,4,FALSE))</f>
        <v/>
      </c>
      <c r="F123" s="520" t="str">
        <f>IF(E123="","",VLOOKUP($B123,'F-1 Off Site River Baseline'!$C$9:$R$257,5,FALSE))</f>
        <v/>
      </c>
      <c r="G123" s="520" t="str">
        <f>IF(F123="","",VLOOKUP($B123,'F-1 Off Site River Baseline'!$C$9:$R$257,6,FALSE))</f>
        <v/>
      </c>
      <c r="H123" s="520" t="str">
        <f>IF(G123="","",VLOOKUP($B123,'F-1 Off Site River Baseline'!$C$9:$R$257,7,FALSE))</f>
        <v/>
      </c>
      <c r="I123" s="520" t="str">
        <f>IF(H123="","",VLOOKUP($B123,'F-1 Off Site River Baseline'!$C$9:$R$257,8,FALSE))</f>
        <v/>
      </c>
      <c r="J123" s="520" t="str">
        <f>IF(I123="","",VLOOKUP($B123,'F-1 Off Site River Baseline'!$C$9:$R$257,9,FALSE))</f>
        <v/>
      </c>
      <c r="K123" s="520" t="str">
        <f>IF(J123="","",VLOOKUP($B123,'F-1 Off Site River Baseline'!$C$9:$R$257,10,FALSE))</f>
        <v/>
      </c>
      <c r="L123" s="520" t="str">
        <f>IF(B123="","",VLOOKUP($B123,'C-1 Site River Baseline'!$C$9:$R$257,15,FALSE))</f>
        <v/>
      </c>
      <c r="M123" s="524" t="str">
        <f>IF(L123="","",VLOOKUP($B123,'F-1 Off Site River Baseline'!$C$9:$R$257,16,FALSE))</f>
        <v/>
      </c>
      <c r="N123" s="418" t="str">
        <f t="shared" si="12"/>
        <v/>
      </c>
      <c r="O123" s="498" t="str">
        <f t="shared" si="13"/>
        <v/>
      </c>
      <c r="P123" s="499"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5" t="str">
        <f>IF(N123="","",VLOOKUP(B123,'F-1 Off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20" t="str">
        <f>IF(V123="","",IF(VLOOKUP(V123,'G-7 Rivers Data'!$AG$4:$AI$9,2,FALSE)=0,"Spatial Data Missing ⚠",VLOOKUP(V123,'G-7 Rivers Data'!$AG$4:$AI$9,2,FALSE)))</f>
        <v/>
      </c>
      <c r="X123" s="524" t="str">
        <f>IF(V123="","",IF(VLOOKUP(V123,'G-7 Rivers Data'!$AG$4:$AI$9,3,FALSE)=0,"Spatial Data Missing ⚠",VLOOKUP(V123,'G-7 Rivers Data'!$AG$4:$AI$9,3,FALSE)))</f>
        <v/>
      </c>
      <c r="Y123" s="537" t="str">
        <f>IFERROR(IF(OR(LEFT(P123,5)="Error ▲",LEFT(O123,5)="Error ▲"),"Check Data ⚠",IF(F123&lt;S123,'G-7 Rivers Data'!$R$3,INDEX('G-7 Rivers Data'!$U$5:$Y$9,MATCH(G123,'G-7 Rivers Data'!$T$5:$T$9,0),MATCH(T123,'G-7 Rivers Data'!$U$4:$Y$4,0)))),"")</f>
        <v/>
      </c>
      <c r="Z123" s="203"/>
      <c r="AA123" s="203"/>
      <c r="AB123" s="534" t="str">
        <f t="shared" si="8"/>
        <v/>
      </c>
      <c r="AC123" s="521" t="str">
        <f t="shared" si="9"/>
        <v/>
      </c>
      <c r="AD123" s="564" t="str">
        <f>IFERROR(IF(AC123="Check Data ⚠","Check Data ⚠",VLOOKUP(AC123,'G-4 Temporal multipliers'!$A$4:$C$37,3,FALSE)),"")</f>
        <v/>
      </c>
      <c r="AE123" s="537" t="str">
        <f>IF(N123="","",VLOOKUP(N123,'G-7 Rivers Data'!$B$4:$G$8,5,FALSE))</f>
        <v/>
      </c>
      <c r="AF123" s="520" t="str">
        <f t="shared" si="10"/>
        <v/>
      </c>
      <c r="AG123" s="520" t="str">
        <f t="shared" si="14"/>
        <v/>
      </c>
      <c r="AH123" s="524" t="str">
        <f t="shared" si="11"/>
        <v/>
      </c>
      <c r="AI123" s="145"/>
      <c r="AJ123" s="499" t="str">
        <f>IF(AI123="","",IF(VLOOKUP(AI123,'G-7 Rivers Data'!$AA$4:$AB$7,2,FALSE)=0,"Spatial Data Missing ⚠",VLOOKUP(AI123,'G-7 Rivers Data'!$AA$4:$AB$7,2,FALSE)))</f>
        <v/>
      </c>
      <c r="AK123" s="155"/>
      <c r="AL123" s="536" t="str">
        <f>IF(AK123="","",IF(VLOOKUP(AK123,'G-7 Rivers Data'!$AD$4:$AE$8,2,FALSE)=0,"Spatial Data Missing ⚠",VLOOKUP(AK123,'G-7 Rivers Data'!$AD$4:$AE$8,2,FALSE)))</f>
        <v/>
      </c>
      <c r="AM123" s="154"/>
      <c r="AN123" s="524" t="str">
        <f>IF(AM123="","",VLOOKUP(AM123,'G-7 Rivers Data'!$AO$4:$AP$7,2,FALSE))</f>
        <v/>
      </c>
      <c r="AO123" s="545" t="str">
        <f t="shared" si="15"/>
        <v/>
      </c>
      <c r="AP123" s="149"/>
      <c r="AQ123" s="150"/>
      <c r="AX123" s="31" t="str">
        <f>IFERROR(INDEX('G-7 Rivers Data'!$AZ$3:$AZ$7,MATCH(N123,'G-7 Rivers Data'!$AY$3:$AY$7,0)),"")</f>
        <v/>
      </c>
    </row>
    <row r="124" spans="2:50" ht="13.8" x14ac:dyDescent="0.25">
      <c r="B124" s="531" t="str">
        <f>'F-1 Off Site River Baseline'!AN122</f>
        <v/>
      </c>
      <c r="C124" s="520" t="str">
        <f>IF(B124="","",VLOOKUP($B124,'F-1 Off Site River Baseline'!$C$9:$R$257,2,FALSE))</f>
        <v/>
      </c>
      <c r="D124" s="520" t="str">
        <f>IF(C124="","",VLOOKUP($B124,'F-1 Off Site River Baseline'!$C$9:$R$257,3,FALSE))</f>
        <v/>
      </c>
      <c r="E124" s="520" t="str">
        <f>IF(D124="","",VLOOKUP($B124,'F-1 Off Site River Baseline'!$C$9:$R$257,4,FALSE))</f>
        <v/>
      </c>
      <c r="F124" s="520" t="str">
        <f>IF(E124="","",VLOOKUP($B124,'F-1 Off Site River Baseline'!$C$9:$R$257,5,FALSE))</f>
        <v/>
      </c>
      <c r="G124" s="520" t="str">
        <f>IF(F124="","",VLOOKUP($B124,'F-1 Off Site River Baseline'!$C$9:$R$257,6,FALSE))</f>
        <v/>
      </c>
      <c r="H124" s="520" t="str">
        <f>IF(G124="","",VLOOKUP($B124,'F-1 Off Site River Baseline'!$C$9:$R$257,7,FALSE))</f>
        <v/>
      </c>
      <c r="I124" s="520" t="str">
        <f>IF(H124="","",VLOOKUP($B124,'F-1 Off Site River Baseline'!$C$9:$R$257,8,FALSE))</f>
        <v/>
      </c>
      <c r="J124" s="520" t="str">
        <f>IF(I124="","",VLOOKUP($B124,'F-1 Off Site River Baseline'!$C$9:$R$257,9,FALSE))</f>
        <v/>
      </c>
      <c r="K124" s="520" t="str">
        <f>IF(J124="","",VLOOKUP($B124,'F-1 Off Site River Baseline'!$C$9:$R$257,10,FALSE))</f>
        <v/>
      </c>
      <c r="L124" s="520" t="str">
        <f>IF(B124="","",VLOOKUP($B124,'C-1 Site River Baseline'!$C$9:$R$257,15,FALSE))</f>
        <v/>
      </c>
      <c r="M124" s="524" t="str">
        <f>IF(L124="","",VLOOKUP($B124,'F-1 Off Site River Baseline'!$C$9:$R$257,16,FALSE))</f>
        <v/>
      </c>
      <c r="N124" s="418" t="str">
        <f t="shared" si="12"/>
        <v/>
      </c>
      <c r="O124" s="498" t="str">
        <f t="shared" si="13"/>
        <v/>
      </c>
      <c r="P124" s="499"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5" t="str">
        <f>IF(N124="","",VLOOKUP(B124,'F-1 Off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20" t="str">
        <f>IF(V124="","",IF(VLOOKUP(V124,'G-7 Rivers Data'!$AG$4:$AI$9,2,FALSE)=0,"Spatial Data Missing ⚠",VLOOKUP(V124,'G-7 Rivers Data'!$AG$4:$AI$9,2,FALSE)))</f>
        <v/>
      </c>
      <c r="X124" s="524" t="str">
        <f>IF(V124="","",IF(VLOOKUP(V124,'G-7 Rivers Data'!$AG$4:$AI$9,3,FALSE)=0,"Spatial Data Missing ⚠",VLOOKUP(V124,'G-7 Rivers Data'!$AG$4:$AI$9,3,FALSE)))</f>
        <v/>
      </c>
      <c r="Y124" s="537" t="str">
        <f>IFERROR(IF(OR(LEFT(P124,5)="Error ▲",LEFT(O124,5)="Error ▲"),"Check Data ⚠",IF(F124&lt;S124,'G-7 Rivers Data'!$R$3,INDEX('G-7 Rivers Data'!$U$5:$Y$9,MATCH(G124,'G-7 Rivers Data'!$T$5:$T$9,0),MATCH(T124,'G-7 Rivers Data'!$U$4:$Y$4,0)))),"")</f>
        <v/>
      </c>
      <c r="Z124" s="203"/>
      <c r="AA124" s="203"/>
      <c r="AB124" s="534" t="str">
        <f t="shared" si="8"/>
        <v/>
      </c>
      <c r="AC124" s="521" t="str">
        <f t="shared" si="9"/>
        <v/>
      </c>
      <c r="AD124" s="564" t="str">
        <f>IFERROR(IF(AC124="Check Data ⚠","Check Data ⚠",VLOOKUP(AC124,'G-4 Temporal multipliers'!$A$4:$C$37,3,FALSE)),"")</f>
        <v/>
      </c>
      <c r="AE124" s="537" t="str">
        <f>IF(N124="","",VLOOKUP(N124,'G-7 Rivers Data'!$B$4:$G$8,5,FALSE))</f>
        <v/>
      </c>
      <c r="AF124" s="520" t="str">
        <f t="shared" si="10"/>
        <v/>
      </c>
      <c r="AG124" s="520" t="str">
        <f t="shared" si="14"/>
        <v/>
      </c>
      <c r="AH124" s="524" t="str">
        <f t="shared" si="11"/>
        <v/>
      </c>
      <c r="AI124" s="145"/>
      <c r="AJ124" s="499" t="str">
        <f>IF(AI124="","",IF(VLOOKUP(AI124,'G-7 Rivers Data'!$AA$4:$AB$7,2,FALSE)=0,"Spatial Data Missing ⚠",VLOOKUP(AI124,'G-7 Rivers Data'!$AA$4:$AB$7,2,FALSE)))</f>
        <v/>
      </c>
      <c r="AK124" s="155"/>
      <c r="AL124" s="536" t="str">
        <f>IF(AK124="","",IF(VLOOKUP(AK124,'G-7 Rivers Data'!$AD$4:$AE$8,2,FALSE)=0,"Spatial Data Missing ⚠",VLOOKUP(AK124,'G-7 Rivers Data'!$AD$4:$AE$8,2,FALSE)))</f>
        <v/>
      </c>
      <c r="AM124" s="154"/>
      <c r="AN124" s="524" t="str">
        <f>IF(AM124="","",VLOOKUP(AM124,'G-7 Rivers Data'!$AO$4:$AP$7,2,FALSE))</f>
        <v/>
      </c>
      <c r="AO124" s="545" t="str">
        <f t="shared" si="15"/>
        <v/>
      </c>
      <c r="AP124" s="149"/>
      <c r="AQ124" s="150"/>
      <c r="AX124" s="31" t="str">
        <f>IFERROR(INDEX('G-7 Rivers Data'!$AZ$3:$AZ$7,MATCH(N124,'G-7 Rivers Data'!$AY$3:$AY$7,0)),"")</f>
        <v/>
      </c>
    </row>
    <row r="125" spans="2:50" ht="13.8" x14ac:dyDescent="0.25">
      <c r="B125" s="531" t="str">
        <f>'F-1 Off Site River Baseline'!AN123</f>
        <v/>
      </c>
      <c r="C125" s="520" t="str">
        <f>IF(B125="","",VLOOKUP($B125,'F-1 Off Site River Baseline'!$C$9:$R$257,2,FALSE))</f>
        <v/>
      </c>
      <c r="D125" s="520" t="str">
        <f>IF(C125="","",VLOOKUP($B125,'F-1 Off Site River Baseline'!$C$9:$R$257,3,FALSE))</f>
        <v/>
      </c>
      <c r="E125" s="520" t="str">
        <f>IF(D125="","",VLOOKUP($B125,'F-1 Off Site River Baseline'!$C$9:$R$257,4,FALSE))</f>
        <v/>
      </c>
      <c r="F125" s="520" t="str">
        <f>IF(E125="","",VLOOKUP($B125,'F-1 Off Site River Baseline'!$C$9:$R$257,5,FALSE))</f>
        <v/>
      </c>
      <c r="G125" s="520" t="str">
        <f>IF(F125="","",VLOOKUP($B125,'F-1 Off Site River Baseline'!$C$9:$R$257,6,FALSE))</f>
        <v/>
      </c>
      <c r="H125" s="520" t="str">
        <f>IF(G125="","",VLOOKUP($B125,'F-1 Off Site River Baseline'!$C$9:$R$257,7,FALSE))</f>
        <v/>
      </c>
      <c r="I125" s="520" t="str">
        <f>IF(H125="","",VLOOKUP($B125,'F-1 Off Site River Baseline'!$C$9:$R$257,8,FALSE))</f>
        <v/>
      </c>
      <c r="J125" s="520" t="str">
        <f>IF(I125="","",VLOOKUP($B125,'F-1 Off Site River Baseline'!$C$9:$R$257,9,FALSE))</f>
        <v/>
      </c>
      <c r="K125" s="520" t="str">
        <f>IF(J125="","",VLOOKUP($B125,'F-1 Off Site River Baseline'!$C$9:$R$257,10,FALSE))</f>
        <v/>
      </c>
      <c r="L125" s="520" t="str">
        <f>IF(B125="","",VLOOKUP($B125,'C-1 Site River Baseline'!$C$9:$R$257,15,FALSE))</f>
        <v/>
      </c>
      <c r="M125" s="524" t="str">
        <f>IF(L125="","",VLOOKUP($B125,'F-1 Off Site River Baseline'!$C$9:$R$257,16,FALSE))</f>
        <v/>
      </c>
      <c r="N125" s="418" t="str">
        <f t="shared" si="12"/>
        <v/>
      </c>
      <c r="O125" s="498" t="str">
        <f t="shared" si="13"/>
        <v/>
      </c>
      <c r="P125" s="499"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5" t="str">
        <f>IF(N125="","",VLOOKUP(B125,'F-1 Off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20" t="str">
        <f>IF(V125="","",IF(VLOOKUP(V125,'G-7 Rivers Data'!$AG$4:$AI$9,2,FALSE)=0,"Spatial Data Missing ⚠",VLOOKUP(V125,'G-7 Rivers Data'!$AG$4:$AI$9,2,FALSE)))</f>
        <v/>
      </c>
      <c r="X125" s="524" t="str">
        <f>IF(V125="","",IF(VLOOKUP(V125,'G-7 Rivers Data'!$AG$4:$AI$9,3,FALSE)=0,"Spatial Data Missing ⚠",VLOOKUP(V125,'G-7 Rivers Data'!$AG$4:$AI$9,3,FALSE)))</f>
        <v/>
      </c>
      <c r="Y125" s="537" t="str">
        <f>IFERROR(IF(OR(LEFT(P125,5)="Error ▲",LEFT(O125,5)="Error ▲"),"Check Data ⚠",IF(F125&lt;S125,'G-7 Rivers Data'!$R$3,INDEX('G-7 Rivers Data'!$U$5:$Y$9,MATCH(G125,'G-7 Rivers Data'!$T$5:$T$9,0),MATCH(T125,'G-7 Rivers Data'!$U$4:$Y$4,0)))),"")</f>
        <v/>
      </c>
      <c r="Z125" s="203"/>
      <c r="AA125" s="203"/>
      <c r="AB125" s="534" t="str">
        <f t="shared" si="8"/>
        <v/>
      </c>
      <c r="AC125" s="521" t="str">
        <f t="shared" si="9"/>
        <v/>
      </c>
      <c r="AD125" s="564" t="str">
        <f>IFERROR(IF(AC125="Check Data ⚠","Check Data ⚠",VLOOKUP(AC125,'G-4 Temporal multipliers'!$A$4:$C$37,3,FALSE)),"")</f>
        <v/>
      </c>
      <c r="AE125" s="537" t="str">
        <f>IF(N125="","",VLOOKUP(N125,'G-7 Rivers Data'!$B$4:$G$8,5,FALSE))</f>
        <v/>
      </c>
      <c r="AF125" s="520" t="str">
        <f t="shared" si="10"/>
        <v/>
      </c>
      <c r="AG125" s="520" t="str">
        <f t="shared" si="14"/>
        <v/>
      </c>
      <c r="AH125" s="524" t="str">
        <f t="shared" si="11"/>
        <v/>
      </c>
      <c r="AI125" s="145"/>
      <c r="AJ125" s="499" t="str">
        <f>IF(AI125="","",IF(VLOOKUP(AI125,'G-7 Rivers Data'!$AA$4:$AB$7,2,FALSE)=0,"Spatial Data Missing ⚠",VLOOKUP(AI125,'G-7 Rivers Data'!$AA$4:$AB$7,2,FALSE)))</f>
        <v/>
      </c>
      <c r="AK125" s="155"/>
      <c r="AL125" s="536" t="str">
        <f>IF(AK125="","",IF(VLOOKUP(AK125,'G-7 Rivers Data'!$AD$4:$AE$8,2,FALSE)=0,"Spatial Data Missing ⚠",VLOOKUP(AK125,'G-7 Rivers Data'!$AD$4:$AE$8,2,FALSE)))</f>
        <v/>
      </c>
      <c r="AM125" s="154"/>
      <c r="AN125" s="524" t="str">
        <f>IF(AM125="","",VLOOKUP(AM125,'G-7 Rivers Data'!$AO$4:$AP$7,2,FALSE))</f>
        <v/>
      </c>
      <c r="AO125" s="545" t="str">
        <f t="shared" si="15"/>
        <v/>
      </c>
      <c r="AP125" s="149"/>
      <c r="AQ125" s="150"/>
      <c r="AX125" s="31" t="str">
        <f>IFERROR(INDEX('G-7 Rivers Data'!$AZ$3:$AZ$7,MATCH(N125,'G-7 Rivers Data'!$AY$3:$AY$7,0)),"")</f>
        <v/>
      </c>
    </row>
    <row r="126" spans="2:50" ht="13.8" x14ac:dyDescent="0.25">
      <c r="B126" s="531" t="str">
        <f>'F-1 Off Site River Baseline'!AN124</f>
        <v/>
      </c>
      <c r="C126" s="520" t="str">
        <f>IF(B126="","",VLOOKUP($B126,'F-1 Off Site River Baseline'!$C$9:$R$257,2,FALSE))</f>
        <v/>
      </c>
      <c r="D126" s="520" t="str">
        <f>IF(C126="","",VLOOKUP($B126,'F-1 Off Site River Baseline'!$C$9:$R$257,3,FALSE))</f>
        <v/>
      </c>
      <c r="E126" s="520" t="str">
        <f>IF(D126="","",VLOOKUP($B126,'F-1 Off Site River Baseline'!$C$9:$R$257,4,FALSE))</f>
        <v/>
      </c>
      <c r="F126" s="520" t="str">
        <f>IF(E126="","",VLOOKUP($B126,'F-1 Off Site River Baseline'!$C$9:$R$257,5,FALSE))</f>
        <v/>
      </c>
      <c r="G126" s="520" t="str">
        <f>IF(F126="","",VLOOKUP($B126,'F-1 Off Site River Baseline'!$C$9:$R$257,6,FALSE))</f>
        <v/>
      </c>
      <c r="H126" s="520" t="str">
        <f>IF(G126="","",VLOOKUP($B126,'F-1 Off Site River Baseline'!$C$9:$R$257,7,FALSE))</f>
        <v/>
      </c>
      <c r="I126" s="520" t="str">
        <f>IF(H126="","",VLOOKUP($B126,'F-1 Off Site River Baseline'!$C$9:$R$257,8,FALSE))</f>
        <v/>
      </c>
      <c r="J126" s="520" t="str">
        <f>IF(I126="","",VLOOKUP($B126,'F-1 Off Site River Baseline'!$C$9:$R$257,9,FALSE))</f>
        <v/>
      </c>
      <c r="K126" s="520" t="str">
        <f>IF(J126="","",VLOOKUP($B126,'F-1 Off Site River Baseline'!$C$9:$R$257,10,FALSE))</f>
        <v/>
      </c>
      <c r="L126" s="520" t="str">
        <f>IF(B126="","",VLOOKUP($B126,'C-1 Site River Baseline'!$C$9:$R$257,15,FALSE))</f>
        <v/>
      </c>
      <c r="M126" s="524" t="str">
        <f>IF(L126="","",VLOOKUP($B126,'F-1 Off Site River Baseline'!$C$9:$R$257,16,FALSE))</f>
        <v/>
      </c>
      <c r="N126" s="418" t="str">
        <f t="shared" si="12"/>
        <v/>
      </c>
      <c r="O126" s="498" t="str">
        <f t="shared" si="13"/>
        <v/>
      </c>
      <c r="P126" s="499"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5" t="str">
        <f>IF(N126="","",VLOOKUP(B126,'F-1 Off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20" t="str">
        <f>IF(V126="","",IF(VLOOKUP(V126,'G-7 Rivers Data'!$AG$4:$AI$9,2,FALSE)=0,"Spatial Data Missing ⚠",VLOOKUP(V126,'G-7 Rivers Data'!$AG$4:$AI$9,2,FALSE)))</f>
        <v/>
      </c>
      <c r="X126" s="524" t="str">
        <f>IF(V126="","",IF(VLOOKUP(V126,'G-7 Rivers Data'!$AG$4:$AI$9,3,FALSE)=0,"Spatial Data Missing ⚠",VLOOKUP(V126,'G-7 Rivers Data'!$AG$4:$AI$9,3,FALSE)))</f>
        <v/>
      </c>
      <c r="Y126" s="537" t="str">
        <f>IFERROR(IF(OR(LEFT(P126,5)="Error ▲",LEFT(O126,5)="Error ▲"),"Check Data ⚠",IF(F126&lt;S126,'G-7 Rivers Data'!$R$3,INDEX('G-7 Rivers Data'!$U$5:$Y$9,MATCH(G126,'G-7 Rivers Data'!$T$5:$T$9,0),MATCH(T126,'G-7 Rivers Data'!$U$4:$Y$4,0)))),"")</f>
        <v/>
      </c>
      <c r="Z126" s="203"/>
      <c r="AA126" s="203"/>
      <c r="AB126" s="534" t="str">
        <f t="shared" si="8"/>
        <v/>
      </c>
      <c r="AC126" s="521" t="str">
        <f t="shared" si="9"/>
        <v/>
      </c>
      <c r="AD126" s="564" t="str">
        <f>IFERROR(IF(AC126="Check Data ⚠","Check Data ⚠",VLOOKUP(AC126,'G-4 Temporal multipliers'!$A$4:$C$37,3,FALSE)),"")</f>
        <v/>
      </c>
      <c r="AE126" s="537" t="str">
        <f>IF(N126="","",VLOOKUP(N126,'G-7 Rivers Data'!$B$4:$G$8,5,FALSE))</f>
        <v/>
      </c>
      <c r="AF126" s="520" t="str">
        <f t="shared" si="10"/>
        <v/>
      </c>
      <c r="AG126" s="520" t="str">
        <f t="shared" si="14"/>
        <v/>
      </c>
      <c r="AH126" s="524" t="str">
        <f t="shared" si="11"/>
        <v/>
      </c>
      <c r="AI126" s="145"/>
      <c r="AJ126" s="499" t="str">
        <f>IF(AI126="","",IF(VLOOKUP(AI126,'G-7 Rivers Data'!$AA$4:$AB$7,2,FALSE)=0,"Spatial Data Missing ⚠",VLOOKUP(AI126,'G-7 Rivers Data'!$AA$4:$AB$7,2,FALSE)))</f>
        <v/>
      </c>
      <c r="AK126" s="155"/>
      <c r="AL126" s="536" t="str">
        <f>IF(AK126="","",IF(VLOOKUP(AK126,'G-7 Rivers Data'!$AD$4:$AE$8,2,FALSE)=0,"Spatial Data Missing ⚠",VLOOKUP(AK126,'G-7 Rivers Data'!$AD$4:$AE$8,2,FALSE)))</f>
        <v/>
      </c>
      <c r="AM126" s="154"/>
      <c r="AN126" s="524" t="str">
        <f>IF(AM126="","",VLOOKUP(AM126,'G-7 Rivers Data'!$AO$4:$AP$7,2,FALSE))</f>
        <v/>
      </c>
      <c r="AO126" s="545" t="str">
        <f t="shared" si="15"/>
        <v/>
      </c>
      <c r="AP126" s="149"/>
      <c r="AQ126" s="150"/>
      <c r="AX126" s="31" t="str">
        <f>IFERROR(INDEX('G-7 Rivers Data'!$AZ$3:$AZ$7,MATCH(N126,'G-7 Rivers Data'!$AY$3:$AY$7,0)),"")</f>
        <v/>
      </c>
    </row>
    <row r="127" spans="2:50" ht="13.8" x14ac:dyDescent="0.25">
      <c r="B127" s="531" t="str">
        <f>'F-1 Off Site River Baseline'!AN125</f>
        <v/>
      </c>
      <c r="C127" s="520" t="str">
        <f>IF(B127="","",VLOOKUP($B127,'F-1 Off Site River Baseline'!$C$9:$R$257,2,FALSE))</f>
        <v/>
      </c>
      <c r="D127" s="520" t="str">
        <f>IF(C127="","",VLOOKUP($B127,'F-1 Off Site River Baseline'!$C$9:$R$257,3,FALSE))</f>
        <v/>
      </c>
      <c r="E127" s="520" t="str">
        <f>IF(D127="","",VLOOKUP($B127,'F-1 Off Site River Baseline'!$C$9:$R$257,4,FALSE))</f>
        <v/>
      </c>
      <c r="F127" s="520" t="str">
        <f>IF(E127="","",VLOOKUP($B127,'F-1 Off Site River Baseline'!$C$9:$R$257,5,FALSE))</f>
        <v/>
      </c>
      <c r="G127" s="520" t="str">
        <f>IF(F127="","",VLOOKUP($B127,'F-1 Off Site River Baseline'!$C$9:$R$257,6,FALSE))</f>
        <v/>
      </c>
      <c r="H127" s="520" t="str">
        <f>IF(G127="","",VLOOKUP($B127,'F-1 Off Site River Baseline'!$C$9:$R$257,7,FALSE))</f>
        <v/>
      </c>
      <c r="I127" s="520" t="str">
        <f>IF(H127="","",VLOOKUP($B127,'F-1 Off Site River Baseline'!$C$9:$R$257,8,FALSE))</f>
        <v/>
      </c>
      <c r="J127" s="520" t="str">
        <f>IF(I127="","",VLOOKUP($B127,'F-1 Off Site River Baseline'!$C$9:$R$257,9,FALSE))</f>
        <v/>
      </c>
      <c r="K127" s="520" t="str">
        <f>IF(J127="","",VLOOKUP($B127,'F-1 Off Site River Baseline'!$C$9:$R$257,10,FALSE))</f>
        <v/>
      </c>
      <c r="L127" s="520" t="str">
        <f>IF(B127="","",VLOOKUP($B127,'C-1 Site River Baseline'!$C$9:$R$257,15,FALSE))</f>
        <v/>
      </c>
      <c r="M127" s="524" t="str">
        <f>IF(L127="","",VLOOKUP($B127,'F-1 Off Site River Baseline'!$C$9:$R$257,16,FALSE))</f>
        <v/>
      </c>
      <c r="N127" s="418" t="str">
        <f t="shared" si="12"/>
        <v/>
      </c>
      <c r="O127" s="498" t="str">
        <f t="shared" si="13"/>
        <v/>
      </c>
      <c r="P127" s="499"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5" t="str">
        <f>IF(N127="","",VLOOKUP(B127,'F-1 Off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20" t="str">
        <f>IF(V127="","",IF(VLOOKUP(V127,'G-7 Rivers Data'!$AG$4:$AI$9,2,FALSE)=0,"Spatial Data Missing ⚠",VLOOKUP(V127,'G-7 Rivers Data'!$AG$4:$AI$9,2,FALSE)))</f>
        <v/>
      </c>
      <c r="X127" s="524" t="str">
        <f>IF(V127="","",IF(VLOOKUP(V127,'G-7 Rivers Data'!$AG$4:$AI$9,3,FALSE)=0,"Spatial Data Missing ⚠",VLOOKUP(V127,'G-7 Rivers Data'!$AG$4:$AI$9,3,FALSE)))</f>
        <v/>
      </c>
      <c r="Y127" s="537" t="str">
        <f>IFERROR(IF(OR(LEFT(P127,5)="Error ▲",LEFT(O127,5)="Error ▲"),"Check Data ⚠",IF(F127&lt;S127,'G-7 Rivers Data'!$R$3,INDEX('G-7 Rivers Data'!$U$5:$Y$9,MATCH(G127,'G-7 Rivers Data'!$T$5:$T$9,0),MATCH(T127,'G-7 Rivers Data'!$U$4:$Y$4,0)))),"")</f>
        <v/>
      </c>
      <c r="Z127" s="203"/>
      <c r="AA127" s="203"/>
      <c r="AB127" s="534" t="str">
        <f t="shared" si="8"/>
        <v/>
      </c>
      <c r="AC127" s="521" t="str">
        <f t="shared" si="9"/>
        <v/>
      </c>
      <c r="AD127" s="564" t="str">
        <f>IFERROR(IF(AC127="Check Data ⚠","Check Data ⚠",VLOOKUP(AC127,'G-4 Temporal multipliers'!$A$4:$C$37,3,FALSE)),"")</f>
        <v/>
      </c>
      <c r="AE127" s="537" t="str">
        <f>IF(N127="","",VLOOKUP(N127,'G-7 Rivers Data'!$B$4:$G$8,5,FALSE))</f>
        <v/>
      </c>
      <c r="AF127" s="520" t="str">
        <f t="shared" si="10"/>
        <v/>
      </c>
      <c r="AG127" s="520" t="str">
        <f t="shared" si="14"/>
        <v/>
      </c>
      <c r="AH127" s="524" t="str">
        <f t="shared" si="11"/>
        <v/>
      </c>
      <c r="AI127" s="145"/>
      <c r="AJ127" s="499" t="str">
        <f>IF(AI127="","",IF(VLOOKUP(AI127,'G-7 Rivers Data'!$AA$4:$AB$7,2,FALSE)=0,"Spatial Data Missing ⚠",VLOOKUP(AI127,'G-7 Rivers Data'!$AA$4:$AB$7,2,FALSE)))</f>
        <v/>
      </c>
      <c r="AK127" s="155"/>
      <c r="AL127" s="536" t="str">
        <f>IF(AK127="","",IF(VLOOKUP(AK127,'G-7 Rivers Data'!$AD$4:$AE$8,2,FALSE)=0,"Spatial Data Missing ⚠",VLOOKUP(AK127,'G-7 Rivers Data'!$AD$4:$AE$8,2,FALSE)))</f>
        <v/>
      </c>
      <c r="AM127" s="154"/>
      <c r="AN127" s="524" t="str">
        <f>IF(AM127="","",VLOOKUP(AM127,'G-7 Rivers Data'!$AO$4:$AP$7,2,FALSE))</f>
        <v/>
      </c>
      <c r="AO127" s="545" t="str">
        <f t="shared" si="15"/>
        <v/>
      </c>
      <c r="AP127" s="149"/>
      <c r="AQ127" s="150"/>
      <c r="AX127" s="31" t="str">
        <f>IFERROR(INDEX('G-7 Rivers Data'!$AZ$3:$AZ$7,MATCH(N127,'G-7 Rivers Data'!$AY$3:$AY$7,0)),"")</f>
        <v/>
      </c>
    </row>
    <row r="128" spans="2:50" ht="13.8" x14ac:dyDescent="0.25">
      <c r="B128" s="531" t="str">
        <f>'F-1 Off Site River Baseline'!AN126</f>
        <v/>
      </c>
      <c r="C128" s="520" t="str">
        <f>IF(B128="","",VLOOKUP($B128,'F-1 Off Site River Baseline'!$C$9:$R$257,2,FALSE))</f>
        <v/>
      </c>
      <c r="D128" s="520" t="str">
        <f>IF(C128="","",VLOOKUP($B128,'F-1 Off Site River Baseline'!$C$9:$R$257,3,FALSE))</f>
        <v/>
      </c>
      <c r="E128" s="520" t="str">
        <f>IF(D128="","",VLOOKUP($B128,'F-1 Off Site River Baseline'!$C$9:$R$257,4,FALSE))</f>
        <v/>
      </c>
      <c r="F128" s="520" t="str">
        <f>IF(E128="","",VLOOKUP($B128,'F-1 Off Site River Baseline'!$C$9:$R$257,5,FALSE))</f>
        <v/>
      </c>
      <c r="G128" s="520" t="str">
        <f>IF(F128="","",VLOOKUP($B128,'F-1 Off Site River Baseline'!$C$9:$R$257,6,FALSE))</f>
        <v/>
      </c>
      <c r="H128" s="520" t="str">
        <f>IF(G128="","",VLOOKUP($B128,'F-1 Off Site River Baseline'!$C$9:$R$257,7,FALSE))</f>
        <v/>
      </c>
      <c r="I128" s="520" t="str">
        <f>IF(H128="","",VLOOKUP($B128,'F-1 Off Site River Baseline'!$C$9:$R$257,8,FALSE))</f>
        <v/>
      </c>
      <c r="J128" s="520" t="str">
        <f>IF(I128="","",VLOOKUP($B128,'F-1 Off Site River Baseline'!$C$9:$R$257,9,FALSE))</f>
        <v/>
      </c>
      <c r="K128" s="520" t="str">
        <f>IF(J128="","",VLOOKUP($B128,'F-1 Off Site River Baseline'!$C$9:$R$257,10,FALSE))</f>
        <v/>
      </c>
      <c r="L128" s="520" t="str">
        <f>IF(B128="","",VLOOKUP($B128,'C-1 Site River Baseline'!$C$9:$R$257,15,FALSE))</f>
        <v/>
      </c>
      <c r="M128" s="524" t="str">
        <f>IF(L128="","",VLOOKUP($B128,'F-1 Off Site River Baseline'!$C$9:$R$257,16,FALSE))</f>
        <v/>
      </c>
      <c r="N128" s="418" t="str">
        <f t="shared" si="12"/>
        <v/>
      </c>
      <c r="O128" s="498" t="str">
        <f t="shared" si="13"/>
        <v/>
      </c>
      <c r="P128" s="499"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5" t="str">
        <f>IF(N128="","",VLOOKUP(B128,'F-1 Off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20" t="str">
        <f>IF(V128="","",IF(VLOOKUP(V128,'G-7 Rivers Data'!$AG$4:$AI$9,2,FALSE)=0,"Spatial Data Missing ⚠",VLOOKUP(V128,'G-7 Rivers Data'!$AG$4:$AI$9,2,FALSE)))</f>
        <v/>
      </c>
      <c r="X128" s="524" t="str">
        <f>IF(V128="","",IF(VLOOKUP(V128,'G-7 Rivers Data'!$AG$4:$AI$9,3,FALSE)=0,"Spatial Data Missing ⚠",VLOOKUP(V128,'G-7 Rivers Data'!$AG$4:$AI$9,3,FALSE)))</f>
        <v/>
      </c>
      <c r="Y128" s="537" t="str">
        <f>IFERROR(IF(OR(LEFT(P128,5)="Error ▲",LEFT(O128,5)="Error ▲"),"Check Data ⚠",IF(F128&lt;S128,'G-7 Rivers Data'!$R$3,INDEX('G-7 Rivers Data'!$U$5:$Y$9,MATCH(G128,'G-7 Rivers Data'!$T$5:$T$9,0),MATCH(T128,'G-7 Rivers Data'!$U$4:$Y$4,0)))),"")</f>
        <v/>
      </c>
      <c r="Z128" s="203"/>
      <c r="AA128" s="203"/>
      <c r="AB128" s="534" t="str">
        <f t="shared" si="8"/>
        <v/>
      </c>
      <c r="AC128" s="521" t="str">
        <f t="shared" si="9"/>
        <v/>
      </c>
      <c r="AD128" s="564" t="str">
        <f>IFERROR(IF(AC128="Check Data ⚠","Check Data ⚠",VLOOKUP(AC128,'G-4 Temporal multipliers'!$A$4:$C$37,3,FALSE)),"")</f>
        <v/>
      </c>
      <c r="AE128" s="537" t="str">
        <f>IF(N128="","",VLOOKUP(N128,'G-7 Rivers Data'!$B$4:$G$8,5,FALSE))</f>
        <v/>
      </c>
      <c r="AF128" s="520" t="str">
        <f t="shared" si="10"/>
        <v/>
      </c>
      <c r="AG128" s="520" t="str">
        <f t="shared" si="14"/>
        <v/>
      </c>
      <c r="AH128" s="524" t="str">
        <f t="shared" si="11"/>
        <v/>
      </c>
      <c r="AI128" s="145"/>
      <c r="AJ128" s="499" t="str">
        <f>IF(AI128="","",IF(VLOOKUP(AI128,'G-7 Rivers Data'!$AA$4:$AB$7,2,FALSE)=0,"Spatial Data Missing ⚠",VLOOKUP(AI128,'G-7 Rivers Data'!$AA$4:$AB$7,2,FALSE)))</f>
        <v/>
      </c>
      <c r="AK128" s="155"/>
      <c r="AL128" s="536" t="str">
        <f>IF(AK128="","",IF(VLOOKUP(AK128,'G-7 Rivers Data'!$AD$4:$AE$8,2,FALSE)=0,"Spatial Data Missing ⚠",VLOOKUP(AK128,'G-7 Rivers Data'!$AD$4:$AE$8,2,FALSE)))</f>
        <v/>
      </c>
      <c r="AM128" s="154"/>
      <c r="AN128" s="524" t="str">
        <f>IF(AM128="","",VLOOKUP(AM128,'G-7 Rivers Data'!$AO$4:$AP$7,2,FALSE))</f>
        <v/>
      </c>
      <c r="AO128" s="545" t="str">
        <f t="shared" si="15"/>
        <v/>
      </c>
      <c r="AP128" s="149"/>
      <c r="AQ128" s="150"/>
      <c r="AX128" s="31" t="str">
        <f>IFERROR(INDEX('G-7 Rivers Data'!$AZ$3:$AZ$7,MATCH(N128,'G-7 Rivers Data'!$AY$3:$AY$7,0)),"")</f>
        <v/>
      </c>
    </row>
    <row r="129" spans="2:50" ht="13.8" x14ac:dyDescent="0.25">
      <c r="B129" s="531" t="str">
        <f>'F-1 Off Site River Baseline'!AN127</f>
        <v/>
      </c>
      <c r="C129" s="520" t="str">
        <f>IF(B129="","",VLOOKUP($B129,'F-1 Off Site River Baseline'!$C$9:$R$257,2,FALSE))</f>
        <v/>
      </c>
      <c r="D129" s="520" t="str">
        <f>IF(C129="","",VLOOKUP($B129,'F-1 Off Site River Baseline'!$C$9:$R$257,3,FALSE))</f>
        <v/>
      </c>
      <c r="E129" s="520" t="str">
        <f>IF(D129="","",VLOOKUP($B129,'F-1 Off Site River Baseline'!$C$9:$R$257,4,FALSE))</f>
        <v/>
      </c>
      <c r="F129" s="520" t="str">
        <f>IF(E129="","",VLOOKUP($B129,'F-1 Off Site River Baseline'!$C$9:$R$257,5,FALSE))</f>
        <v/>
      </c>
      <c r="G129" s="520" t="str">
        <f>IF(F129="","",VLOOKUP($B129,'F-1 Off Site River Baseline'!$C$9:$R$257,6,FALSE))</f>
        <v/>
      </c>
      <c r="H129" s="520" t="str">
        <f>IF(G129="","",VLOOKUP($B129,'F-1 Off Site River Baseline'!$C$9:$R$257,7,FALSE))</f>
        <v/>
      </c>
      <c r="I129" s="520" t="str">
        <f>IF(H129="","",VLOOKUP($B129,'F-1 Off Site River Baseline'!$C$9:$R$257,8,FALSE))</f>
        <v/>
      </c>
      <c r="J129" s="520" t="str">
        <f>IF(I129="","",VLOOKUP($B129,'F-1 Off Site River Baseline'!$C$9:$R$257,9,FALSE))</f>
        <v/>
      </c>
      <c r="K129" s="520" t="str">
        <f>IF(J129="","",VLOOKUP($B129,'F-1 Off Site River Baseline'!$C$9:$R$257,10,FALSE))</f>
        <v/>
      </c>
      <c r="L129" s="520" t="str">
        <f>IF(B129="","",VLOOKUP($B129,'C-1 Site River Baseline'!$C$9:$R$257,15,FALSE))</f>
        <v/>
      </c>
      <c r="M129" s="524" t="str">
        <f>IF(L129="","",VLOOKUP($B129,'F-1 Off Site River Baseline'!$C$9:$R$257,16,FALSE))</f>
        <v/>
      </c>
      <c r="N129" s="418" t="str">
        <f t="shared" si="12"/>
        <v/>
      </c>
      <c r="O129" s="498" t="str">
        <f t="shared" si="13"/>
        <v/>
      </c>
      <c r="P129" s="499"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5" t="str">
        <f>IF(N129="","",VLOOKUP(B129,'F-1 Off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20" t="str">
        <f>IF(V129="","",IF(VLOOKUP(V129,'G-7 Rivers Data'!$AG$4:$AI$9,2,FALSE)=0,"Spatial Data Missing ⚠",VLOOKUP(V129,'G-7 Rivers Data'!$AG$4:$AI$9,2,FALSE)))</f>
        <v/>
      </c>
      <c r="X129" s="524" t="str">
        <f>IF(V129="","",IF(VLOOKUP(V129,'G-7 Rivers Data'!$AG$4:$AI$9,3,FALSE)=0,"Spatial Data Missing ⚠",VLOOKUP(V129,'G-7 Rivers Data'!$AG$4:$AI$9,3,FALSE)))</f>
        <v/>
      </c>
      <c r="Y129" s="537" t="str">
        <f>IFERROR(IF(OR(LEFT(P129,5)="Error ▲",LEFT(O129,5)="Error ▲"),"Check Data ⚠",IF(F129&lt;S129,'G-7 Rivers Data'!$R$3,INDEX('G-7 Rivers Data'!$U$5:$Y$9,MATCH(G129,'G-7 Rivers Data'!$T$5:$T$9,0),MATCH(T129,'G-7 Rivers Data'!$U$4:$Y$4,0)))),"")</f>
        <v/>
      </c>
      <c r="Z129" s="203"/>
      <c r="AA129" s="203"/>
      <c r="AB129" s="534" t="str">
        <f t="shared" si="8"/>
        <v/>
      </c>
      <c r="AC129" s="521" t="str">
        <f t="shared" si="9"/>
        <v/>
      </c>
      <c r="AD129" s="564" t="str">
        <f>IFERROR(IF(AC129="Check Data ⚠","Check Data ⚠",VLOOKUP(AC129,'G-4 Temporal multipliers'!$A$4:$C$37,3,FALSE)),"")</f>
        <v/>
      </c>
      <c r="AE129" s="537" t="str">
        <f>IF(N129="","",VLOOKUP(N129,'G-7 Rivers Data'!$B$4:$G$8,5,FALSE))</f>
        <v/>
      </c>
      <c r="AF129" s="520" t="str">
        <f t="shared" si="10"/>
        <v/>
      </c>
      <c r="AG129" s="520" t="str">
        <f t="shared" si="14"/>
        <v/>
      </c>
      <c r="AH129" s="524" t="str">
        <f t="shared" si="11"/>
        <v/>
      </c>
      <c r="AI129" s="145"/>
      <c r="AJ129" s="499" t="str">
        <f>IF(AI129="","",IF(VLOOKUP(AI129,'G-7 Rivers Data'!$AA$4:$AB$7,2,FALSE)=0,"Spatial Data Missing ⚠",VLOOKUP(AI129,'G-7 Rivers Data'!$AA$4:$AB$7,2,FALSE)))</f>
        <v/>
      </c>
      <c r="AK129" s="155"/>
      <c r="AL129" s="536" t="str">
        <f>IF(AK129="","",IF(VLOOKUP(AK129,'G-7 Rivers Data'!$AD$4:$AE$8,2,FALSE)=0,"Spatial Data Missing ⚠",VLOOKUP(AK129,'G-7 Rivers Data'!$AD$4:$AE$8,2,FALSE)))</f>
        <v/>
      </c>
      <c r="AM129" s="154"/>
      <c r="AN129" s="524" t="str">
        <f>IF(AM129="","",VLOOKUP(AM129,'G-7 Rivers Data'!$AO$4:$AP$7,2,FALSE))</f>
        <v/>
      </c>
      <c r="AO129" s="545" t="str">
        <f t="shared" si="15"/>
        <v/>
      </c>
      <c r="AP129" s="149"/>
      <c r="AQ129" s="150"/>
      <c r="AX129" s="31" t="str">
        <f>IFERROR(INDEX('G-7 Rivers Data'!$AZ$3:$AZ$7,MATCH(N129,'G-7 Rivers Data'!$AY$3:$AY$7,0)),"")</f>
        <v/>
      </c>
    </row>
    <row r="130" spans="2:50" ht="13.8" x14ac:dyDescent="0.25">
      <c r="B130" s="531" t="str">
        <f>'F-1 Off Site River Baseline'!AN128</f>
        <v/>
      </c>
      <c r="C130" s="520" t="str">
        <f>IF(B130="","",VLOOKUP($B130,'F-1 Off Site River Baseline'!$C$9:$R$257,2,FALSE))</f>
        <v/>
      </c>
      <c r="D130" s="520" t="str">
        <f>IF(C130="","",VLOOKUP($B130,'F-1 Off Site River Baseline'!$C$9:$R$257,3,FALSE))</f>
        <v/>
      </c>
      <c r="E130" s="520" t="str">
        <f>IF(D130="","",VLOOKUP($B130,'F-1 Off Site River Baseline'!$C$9:$R$257,4,FALSE))</f>
        <v/>
      </c>
      <c r="F130" s="520" t="str">
        <f>IF(E130="","",VLOOKUP($B130,'F-1 Off Site River Baseline'!$C$9:$R$257,5,FALSE))</f>
        <v/>
      </c>
      <c r="G130" s="520" t="str">
        <f>IF(F130="","",VLOOKUP($B130,'F-1 Off Site River Baseline'!$C$9:$R$257,6,FALSE))</f>
        <v/>
      </c>
      <c r="H130" s="520" t="str">
        <f>IF(G130="","",VLOOKUP($B130,'F-1 Off Site River Baseline'!$C$9:$R$257,7,FALSE))</f>
        <v/>
      </c>
      <c r="I130" s="520" t="str">
        <f>IF(H130="","",VLOOKUP($B130,'F-1 Off Site River Baseline'!$C$9:$R$257,8,FALSE))</f>
        <v/>
      </c>
      <c r="J130" s="520" t="str">
        <f>IF(I130="","",VLOOKUP($B130,'F-1 Off Site River Baseline'!$C$9:$R$257,9,FALSE))</f>
        <v/>
      </c>
      <c r="K130" s="520" t="str">
        <f>IF(J130="","",VLOOKUP($B130,'F-1 Off Site River Baseline'!$C$9:$R$257,10,FALSE))</f>
        <v/>
      </c>
      <c r="L130" s="520" t="str">
        <f>IF(B130="","",VLOOKUP($B130,'C-1 Site River Baseline'!$C$9:$R$257,15,FALSE))</f>
        <v/>
      </c>
      <c r="M130" s="524" t="str">
        <f>IF(L130="","",VLOOKUP($B130,'F-1 Off Site River Baseline'!$C$9:$R$257,16,FALSE))</f>
        <v/>
      </c>
      <c r="N130" s="418" t="str">
        <f t="shared" si="12"/>
        <v/>
      </c>
      <c r="O130" s="498" t="str">
        <f t="shared" si="13"/>
        <v/>
      </c>
      <c r="P130" s="499"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5" t="str">
        <f>IF(N130="","",VLOOKUP(B130,'F-1 Off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20" t="str">
        <f>IF(V130="","",IF(VLOOKUP(V130,'G-7 Rivers Data'!$AG$4:$AI$9,2,FALSE)=0,"Spatial Data Missing ⚠",VLOOKUP(V130,'G-7 Rivers Data'!$AG$4:$AI$9,2,FALSE)))</f>
        <v/>
      </c>
      <c r="X130" s="524" t="str">
        <f>IF(V130="","",IF(VLOOKUP(V130,'G-7 Rivers Data'!$AG$4:$AI$9,3,FALSE)=0,"Spatial Data Missing ⚠",VLOOKUP(V130,'G-7 Rivers Data'!$AG$4:$AI$9,3,FALSE)))</f>
        <v/>
      </c>
      <c r="Y130" s="537" t="str">
        <f>IFERROR(IF(OR(LEFT(P130,5)="Error ▲",LEFT(O130,5)="Error ▲"),"Check Data ⚠",IF(F130&lt;S130,'G-7 Rivers Data'!$R$3,INDEX('G-7 Rivers Data'!$U$5:$Y$9,MATCH(G130,'G-7 Rivers Data'!$T$5:$T$9,0),MATCH(T130,'G-7 Rivers Data'!$U$4:$Y$4,0)))),"")</f>
        <v/>
      </c>
      <c r="Z130" s="203"/>
      <c r="AA130" s="203"/>
      <c r="AB130" s="534" t="str">
        <f t="shared" si="8"/>
        <v/>
      </c>
      <c r="AC130" s="521" t="str">
        <f t="shared" si="9"/>
        <v/>
      </c>
      <c r="AD130" s="564" t="str">
        <f>IFERROR(IF(AC130="Check Data ⚠","Check Data ⚠",VLOOKUP(AC130,'G-4 Temporal multipliers'!$A$4:$C$37,3,FALSE)),"")</f>
        <v/>
      </c>
      <c r="AE130" s="537" t="str">
        <f>IF(N130="","",VLOOKUP(N130,'G-7 Rivers Data'!$B$4:$G$8,5,FALSE))</f>
        <v/>
      </c>
      <c r="AF130" s="520" t="str">
        <f t="shared" si="10"/>
        <v/>
      </c>
      <c r="AG130" s="520" t="str">
        <f t="shared" si="14"/>
        <v/>
      </c>
      <c r="AH130" s="524" t="str">
        <f t="shared" si="11"/>
        <v/>
      </c>
      <c r="AI130" s="145"/>
      <c r="AJ130" s="499" t="str">
        <f>IF(AI130="","",IF(VLOOKUP(AI130,'G-7 Rivers Data'!$AA$4:$AB$7,2,FALSE)=0,"Spatial Data Missing ⚠",VLOOKUP(AI130,'G-7 Rivers Data'!$AA$4:$AB$7,2,FALSE)))</f>
        <v/>
      </c>
      <c r="AK130" s="155"/>
      <c r="AL130" s="536" t="str">
        <f>IF(AK130="","",IF(VLOOKUP(AK130,'G-7 Rivers Data'!$AD$4:$AE$8,2,FALSE)=0,"Spatial Data Missing ⚠",VLOOKUP(AK130,'G-7 Rivers Data'!$AD$4:$AE$8,2,FALSE)))</f>
        <v/>
      </c>
      <c r="AM130" s="154"/>
      <c r="AN130" s="524" t="str">
        <f>IF(AM130="","",VLOOKUP(AM130,'G-7 Rivers Data'!$AO$4:$AP$7,2,FALSE))</f>
        <v/>
      </c>
      <c r="AO130" s="545" t="str">
        <f t="shared" si="15"/>
        <v/>
      </c>
      <c r="AP130" s="149"/>
      <c r="AQ130" s="150"/>
      <c r="AX130" s="31" t="str">
        <f>IFERROR(INDEX('G-7 Rivers Data'!$AZ$3:$AZ$7,MATCH(N130,'G-7 Rivers Data'!$AY$3:$AY$7,0)),"")</f>
        <v/>
      </c>
    </row>
    <row r="131" spans="2:50" ht="13.8" x14ac:dyDescent="0.25">
      <c r="B131" s="531" t="str">
        <f>'F-1 Off Site River Baseline'!AN129</f>
        <v/>
      </c>
      <c r="C131" s="520" t="str">
        <f>IF(B131="","",VLOOKUP($B131,'F-1 Off Site River Baseline'!$C$9:$R$257,2,FALSE))</f>
        <v/>
      </c>
      <c r="D131" s="520" t="str">
        <f>IF(C131="","",VLOOKUP($B131,'F-1 Off Site River Baseline'!$C$9:$R$257,3,FALSE))</f>
        <v/>
      </c>
      <c r="E131" s="520" t="str">
        <f>IF(D131="","",VLOOKUP($B131,'F-1 Off Site River Baseline'!$C$9:$R$257,4,FALSE))</f>
        <v/>
      </c>
      <c r="F131" s="520" t="str">
        <f>IF(E131="","",VLOOKUP($B131,'F-1 Off Site River Baseline'!$C$9:$R$257,5,FALSE))</f>
        <v/>
      </c>
      <c r="G131" s="520" t="str">
        <f>IF(F131="","",VLOOKUP($B131,'F-1 Off Site River Baseline'!$C$9:$R$257,6,FALSE))</f>
        <v/>
      </c>
      <c r="H131" s="520" t="str">
        <f>IF(G131="","",VLOOKUP($B131,'F-1 Off Site River Baseline'!$C$9:$R$257,7,FALSE))</f>
        <v/>
      </c>
      <c r="I131" s="520" t="str">
        <f>IF(H131="","",VLOOKUP($B131,'F-1 Off Site River Baseline'!$C$9:$R$257,8,FALSE))</f>
        <v/>
      </c>
      <c r="J131" s="520" t="str">
        <f>IF(I131="","",VLOOKUP($B131,'F-1 Off Site River Baseline'!$C$9:$R$257,9,FALSE))</f>
        <v/>
      </c>
      <c r="K131" s="520" t="str">
        <f>IF(J131="","",VLOOKUP($B131,'F-1 Off Site River Baseline'!$C$9:$R$257,10,FALSE))</f>
        <v/>
      </c>
      <c r="L131" s="520" t="str">
        <f>IF(B131="","",VLOOKUP($B131,'C-1 Site River Baseline'!$C$9:$R$257,15,FALSE))</f>
        <v/>
      </c>
      <c r="M131" s="524" t="str">
        <f>IF(L131="","",VLOOKUP($B131,'F-1 Off Site River Baseline'!$C$9:$R$257,16,FALSE))</f>
        <v/>
      </c>
      <c r="N131" s="418" t="str">
        <f t="shared" si="12"/>
        <v/>
      </c>
      <c r="O131" s="498" t="str">
        <f t="shared" si="13"/>
        <v/>
      </c>
      <c r="P131" s="499"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5" t="str">
        <f>IF(N131="","",VLOOKUP(B131,'F-1 Off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20" t="str">
        <f>IF(V131="","",IF(VLOOKUP(V131,'G-7 Rivers Data'!$AG$4:$AI$9,2,FALSE)=0,"Spatial Data Missing ⚠",VLOOKUP(V131,'G-7 Rivers Data'!$AG$4:$AI$9,2,FALSE)))</f>
        <v/>
      </c>
      <c r="X131" s="524" t="str">
        <f>IF(V131="","",IF(VLOOKUP(V131,'G-7 Rivers Data'!$AG$4:$AI$9,3,FALSE)=0,"Spatial Data Missing ⚠",VLOOKUP(V131,'G-7 Rivers Data'!$AG$4:$AI$9,3,FALSE)))</f>
        <v/>
      </c>
      <c r="Y131" s="537" t="str">
        <f>IFERROR(IF(OR(LEFT(P131,5)="Error ▲",LEFT(O131,5)="Error ▲"),"Check Data ⚠",IF(F131&lt;S131,'G-7 Rivers Data'!$R$3,INDEX('G-7 Rivers Data'!$U$5:$Y$9,MATCH(G131,'G-7 Rivers Data'!$T$5:$T$9,0),MATCH(T131,'G-7 Rivers Data'!$U$4:$Y$4,0)))),"")</f>
        <v/>
      </c>
      <c r="Z131" s="203"/>
      <c r="AA131" s="203"/>
      <c r="AB131" s="534" t="str">
        <f t="shared" si="8"/>
        <v/>
      </c>
      <c r="AC131" s="521" t="str">
        <f t="shared" si="9"/>
        <v/>
      </c>
      <c r="AD131" s="564" t="str">
        <f>IFERROR(IF(AC131="Check Data ⚠","Check Data ⚠",VLOOKUP(AC131,'G-4 Temporal multipliers'!$A$4:$C$37,3,FALSE)),"")</f>
        <v/>
      </c>
      <c r="AE131" s="537" t="str">
        <f>IF(N131="","",VLOOKUP(N131,'G-7 Rivers Data'!$B$4:$G$8,5,FALSE))</f>
        <v/>
      </c>
      <c r="AF131" s="520" t="str">
        <f t="shared" si="10"/>
        <v/>
      </c>
      <c r="AG131" s="520" t="str">
        <f t="shared" si="14"/>
        <v/>
      </c>
      <c r="AH131" s="524" t="str">
        <f t="shared" si="11"/>
        <v/>
      </c>
      <c r="AI131" s="145"/>
      <c r="AJ131" s="499" t="str">
        <f>IF(AI131="","",IF(VLOOKUP(AI131,'G-7 Rivers Data'!$AA$4:$AB$7,2,FALSE)=0,"Spatial Data Missing ⚠",VLOOKUP(AI131,'G-7 Rivers Data'!$AA$4:$AB$7,2,FALSE)))</f>
        <v/>
      </c>
      <c r="AK131" s="155"/>
      <c r="AL131" s="536" t="str">
        <f>IF(AK131="","",IF(VLOOKUP(AK131,'G-7 Rivers Data'!$AD$4:$AE$8,2,FALSE)=0,"Spatial Data Missing ⚠",VLOOKUP(AK131,'G-7 Rivers Data'!$AD$4:$AE$8,2,FALSE)))</f>
        <v/>
      </c>
      <c r="AM131" s="154"/>
      <c r="AN131" s="524" t="str">
        <f>IF(AM131="","",VLOOKUP(AM131,'G-7 Rivers Data'!$AO$4:$AP$7,2,FALSE))</f>
        <v/>
      </c>
      <c r="AO131" s="545" t="str">
        <f t="shared" si="15"/>
        <v/>
      </c>
      <c r="AP131" s="149"/>
      <c r="AQ131" s="150"/>
      <c r="AX131" s="31" t="str">
        <f>IFERROR(INDEX('G-7 Rivers Data'!$AZ$3:$AZ$7,MATCH(N131,'G-7 Rivers Data'!$AY$3:$AY$7,0)),"")</f>
        <v/>
      </c>
    </row>
    <row r="132" spans="2:50" ht="13.8" x14ac:dyDescent="0.25">
      <c r="B132" s="531" t="str">
        <f>'F-1 Off Site River Baseline'!AN130</f>
        <v/>
      </c>
      <c r="C132" s="520" t="str">
        <f>IF(B132="","",VLOOKUP($B132,'F-1 Off Site River Baseline'!$C$9:$R$257,2,FALSE))</f>
        <v/>
      </c>
      <c r="D132" s="520" t="str">
        <f>IF(C132="","",VLOOKUP($B132,'F-1 Off Site River Baseline'!$C$9:$R$257,3,FALSE))</f>
        <v/>
      </c>
      <c r="E132" s="520" t="str">
        <f>IF(D132="","",VLOOKUP($B132,'F-1 Off Site River Baseline'!$C$9:$R$257,4,FALSE))</f>
        <v/>
      </c>
      <c r="F132" s="520" t="str">
        <f>IF(E132="","",VLOOKUP($B132,'F-1 Off Site River Baseline'!$C$9:$R$257,5,FALSE))</f>
        <v/>
      </c>
      <c r="G132" s="520" t="str">
        <f>IF(F132="","",VLOOKUP($B132,'F-1 Off Site River Baseline'!$C$9:$R$257,6,FALSE))</f>
        <v/>
      </c>
      <c r="H132" s="520" t="str">
        <f>IF(G132="","",VLOOKUP($B132,'F-1 Off Site River Baseline'!$C$9:$R$257,7,FALSE))</f>
        <v/>
      </c>
      <c r="I132" s="520" t="str">
        <f>IF(H132="","",VLOOKUP($B132,'F-1 Off Site River Baseline'!$C$9:$R$257,8,FALSE))</f>
        <v/>
      </c>
      <c r="J132" s="520" t="str">
        <f>IF(I132="","",VLOOKUP($B132,'F-1 Off Site River Baseline'!$C$9:$R$257,9,FALSE))</f>
        <v/>
      </c>
      <c r="K132" s="520" t="str">
        <f>IF(J132="","",VLOOKUP($B132,'F-1 Off Site River Baseline'!$C$9:$R$257,10,FALSE))</f>
        <v/>
      </c>
      <c r="L132" s="520" t="str">
        <f>IF(B132="","",VLOOKUP($B132,'C-1 Site River Baseline'!$C$9:$R$257,15,FALSE))</f>
        <v/>
      </c>
      <c r="M132" s="524" t="str">
        <f>IF(L132="","",VLOOKUP($B132,'F-1 Off Site River Baseline'!$C$9:$R$257,16,FALSE))</f>
        <v/>
      </c>
      <c r="N132" s="418" t="str">
        <f t="shared" si="12"/>
        <v/>
      </c>
      <c r="O132" s="498" t="str">
        <f t="shared" si="13"/>
        <v/>
      </c>
      <c r="P132" s="499"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5" t="str">
        <f>IF(N132="","",VLOOKUP(B132,'F-1 Off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20" t="str">
        <f>IF(V132="","",IF(VLOOKUP(V132,'G-7 Rivers Data'!$AG$4:$AI$9,2,FALSE)=0,"Spatial Data Missing ⚠",VLOOKUP(V132,'G-7 Rivers Data'!$AG$4:$AI$9,2,FALSE)))</f>
        <v/>
      </c>
      <c r="X132" s="524" t="str">
        <f>IF(V132="","",IF(VLOOKUP(V132,'G-7 Rivers Data'!$AG$4:$AI$9,3,FALSE)=0,"Spatial Data Missing ⚠",VLOOKUP(V132,'G-7 Rivers Data'!$AG$4:$AI$9,3,FALSE)))</f>
        <v/>
      </c>
      <c r="Y132" s="537" t="str">
        <f>IFERROR(IF(OR(LEFT(P132,5)="Error ▲",LEFT(O132,5)="Error ▲"),"Check Data ⚠",IF(F132&lt;S132,'G-7 Rivers Data'!$R$3,INDEX('G-7 Rivers Data'!$U$5:$Y$9,MATCH(G132,'G-7 Rivers Data'!$T$5:$T$9,0),MATCH(T132,'G-7 Rivers Data'!$U$4:$Y$4,0)))),"")</f>
        <v/>
      </c>
      <c r="Z132" s="203"/>
      <c r="AA132" s="203"/>
      <c r="AB132" s="534" t="str">
        <f t="shared" si="8"/>
        <v/>
      </c>
      <c r="AC132" s="521" t="str">
        <f t="shared" si="9"/>
        <v/>
      </c>
      <c r="AD132" s="564" t="str">
        <f>IFERROR(IF(AC132="Check Data ⚠","Check Data ⚠",VLOOKUP(AC132,'G-4 Temporal multipliers'!$A$4:$C$37,3,FALSE)),"")</f>
        <v/>
      </c>
      <c r="AE132" s="537" t="str">
        <f>IF(N132="","",VLOOKUP(N132,'G-7 Rivers Data'!$B$4:$G$8,5,FALSE))</f>
        <v/>
      </c>
      <c r="AF132" s="520" t="str">
        <f t="shared" si="10"/>
        <v/>
      </c>
      <c r="AG132" s="520" t="str">
        <f t="shared" si="14"/>
        <v/>
      </c>
      <c r="AH132" s="524" t="str">
        <f t="shared" si="11"/>
        <v/>
      </c>
      <c r="AI132" s="145"/>
      <c r="AJ132" s="499" t="str">
        <f>IF(AI132="","",IF(VLOOKUP(AI132,'G-7 Rivers Data'!$AA$4:$AB$7,2,FALSE)=0,"Spatial Data Missing ⚠",VLOOKUP(AI132,'G-7 Rivers Data'!$AA$4:$AB$7,2,FALSE)))</f>
        <v/>
      </c>
      <c r="AK132" s="155"/>
      <c r="AL132" s="536" t="str">
        <f>IF(AK132="","",IF(VLOOKUP(AK132,'G-7 Rivers Data'!$AD$4:$AE$8,2,FALSE)=0,"Spatial Data Missing ⚠",VLOOKUP(AK132,'G-7 Rivers Data'!$AD$4:$AE$8,2,FALSE)))</f>
        <v/>
      </c>
      <c r="AM132" s="154"/>
      <c r="AN132" s="524" t="str">
        <f>IF(AM132="","",VLOOKUP(AM132,'G-7 Rivers Data'!$AO$4:$AP$7,2,FALSE))</f>
        <v/>
      </c>
      <c r="AO132" s="545" t="str">
        <f t="shared" si="15"/>
        <v/>
      </c>
      <c r="AP132" s="149"/>
      <c r="AQ132" s="150"/>
      <c r="AX132" s="31" t="str">
        <f>IFERROR(INDEX('G-7 Rivers Data'!$AZ$3:$AZ$7,MATCH(N132,'G-7 Rivers Data'!$AY$3:$AY$7,0)),"")</f>
        <v/>
      </c>
    </row>
    <row r="133" spans="2:50" ht="13.8" x14ac:dyDescent="0.25">
      <c r="B133" s="531" t="str">
        <f>'F-1 Off Site River Baseline'!AN131</f>
        <v/>
      </c>
      <c r="C133" s="520" t="str">
        <f>IF(B133="","",VLOOKUP($B133,'F-1 Off Site River Baseline'!$C$9:$R$257,2,FALSE))</f>
        <v/>
      </c>
      <c r="D133" s="520" t="str">
        <f>IF(C133="","",VLOOKUP($B133,'F-1 Off Site River Baseline'!$C$9:$R$257,3,FALSE))</f>
        <v/>
      </c>
      <c r="E133" s="520" t="str">
        <f>IF(D133="","",VLOOKUP($B133,'F-1 Off Site River Baseline'!$C$9:$R$257,4,FALSE))</f>
        <v/>
      </c>
      <c r="F133" s="520" t="str">
        <f>IF(E133="","",VLOOKUP($B133,'F-1 Off Site River Baseline'!$C$9:$R$257,5,FALSE))</f>
        <v/>
      </c>
      <c r="G133" s="520" t="str">
        <f>IF(F133="","",VLOOKUP($B133,'F-1 Off Site River Baseline'!$C$9:$R$257,6,FALSE))</f>
        <v/>
      </c>
      <c r="H133" s="520" t="str">
        <f>IF(G133="","",VLOOKUP($B133,'F-1 Off Site River Baseline'!$C$9:$R$257,7,FALSE))</f>
        <v/>
      </c>
      <c r="I133" s="520" t="str">
        <f>IF(H133="","",VLOOKUP($B133,'F-1 Off Site River Baseline'!$C$9:$R$257,8,FALSE))</f>
        <v/>
      </c>
      <c r="J133" s="520" t="str">
        <f>IF(I133="","",VLOOKUP($B133,'F-1 Off Site River Baseline'!$C$9:$R$257,9,FALSE))</f>
        <v/>
      </c>
      <c r="K133" s="520" t="str">
        <f>IF(J133="","",VLOOKUP($B133,'F-1 Off Site River Baseline'!$C$9:$R$257,10,FALSE))</f>
        <v/>
      </c>
      <c r="L133" s="520" t="str">
        <f>IF(B133="","",VLOOKUP($B133,'C-1 Site River Baseline'!$C$9:$R$257,15,FALSE))</f>
        <v/>
      </c>
      <c r="M133" s="524" t="str">
        <f>IF(L133="","",VLOOKUP($B133,'F-1 Off Site River Baseline'!$C$9:$R$257,16,FALSE))</f>
        <v/>
      </c>
      <c r="N133" s="418" t="str">
        <f t="shared" si="12"/>
        <v/>
      </c>
      <c r="O133" s="498" t="str">
        <f t="shared" si="13"/>
        <v/>
      </c>
      <c r="P133" s="499"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5" t="str">
        <f>IF(N133="","",VLOOKUP(B133,'F-1 Off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20" t="str">
        <f>IF(V133="","",IF(VLOOKUP(V133,'G-7 Rivers Data'!$AG$4:$AI$9,2,FALSE)=0,"Spatial Data Missing ⚠",VLOOKUP(V133,'G-7 Rivers Data'!$AG$4:$AI$9,2,FALSE)))</f>
        <v/>
      </c>
      <c r="X133" s="524" t="str">
        <f>IF(V133="","",IF(VLOOKUP(V133,'G-7 Rivers Data'!$AG$4:$AI$9,3,FALSE)=0,"Spatial Data Missing ⚠",VLOOKUP(V133,'G-7 Rivers Data'!$AG$4:$AI$9,3,FALSE)))</f>
        <v/>
      </c>
      <c r="Y133" s="537" t="str">
        <f>IFERROR(IF(OR(LEFT(P133,5)="Error ▲",LEFT(O133,5)="Error ▲"),"Check Data ⚠",IF(F133&lt;S133,'G-7 Rivers Data'!$R$3,INDEX('G-7 Rivers Data'!$U$5:$Y$9,MATCH(G133,'G-7 Rivers Data'!$T$5:$T$9,0),MATCH(T133,'G-7 Rivers Data'!$U$4:$Y$4,0)))),"")</f>
        <v/>
      </c>
      <c r="Z133" s="203"/>
      <c r="AA133" s="203"/>
      <c r="AB133" s="534" t="str">
        <f t="shared" si="8"/>
        <v/>
      </c>
      <c r="AC133" s="521" t="str">
        <f t="shared" si="9"/>
        <v/>
      </c>
      <c r="AD133" s="564" t="str">
        <f>IFERROR(IF(AC133="Check Data ⚠","Check Data ⚠",VLOOKUP(AC133,'G-4 Temporal multipliers'!$A$4:$C$37,3,FALSE)),"")</f>
        <v/>
      </c>
      <c r="AE133" s="537" t="str">
        <f>IF(N133="","",VLOOKUP(N133,'G-7 Rivers Data'!$B$4:$G$8,5,FALSE))</f>
        <v/>
      </c>
      <c r="AF133" s="520" t="str">
        <f t="shared" si="10"/>
        <v/>
      </c>
      <c r="AG133" s="520" t="str">
        <f t="shared" si="14"/>
        <v/>
      </c>
      <c r="AH133" s="524" t="str">
        <f t="shared" si="11"/>
        <v/>
      </c>
      <c r="AI133" s="145"/>
      <c r="AJ133" s="499" t="str">
        <f>IF(AI133="","",IF(VLOOKUP(AI133,'G-7 Rivers Data'!$AA$4:$AB$7,2,FALSE)=0,"Spatial Data Missing ⚠",VLOOKUP(AI133,'G-7 Rivers Data'!$AA$4:$AB$7,2,FALSE)))</f>
        <v/>
      </c>
      <c r="AK133" s="155"/>
      <c r="AL133" s="536" t="str">
        <f>IF(AK133="","",IF(VLOOKUP(AK133,'G-7 Rivers Data'!$AD$4:$AE$8,2,FALSE)=0,"Spatial Data Missing ⚠",VLOOKUP(AK133,'G-7 Rivers Data'!$AD$4:$AE$8,2,FALSE)))</f>
        <v/>
      </c>
      <c r="AM133" s="154"/>
      <c r="AN133" s="524" t="str">
        <f>IF(AM133="","",VLOOKUP(AM133,'G-7 Rivers Data'!$AO$4:$AP$7,2,FALSE))</f>
        <v/>
      </c>
      <c r="AO133" s="545" t="str">
        <f t="shared" si="15"/>
        <v/>
      </c>
      <c r="AP133" s="149"/>
      <c r="AQ133" s="150"/>
      <c r="AX133" s="31" t="str">
        <f>IFERROR(INDEX('G-7 Rivers Data'!$AZ$3:$AZ$7,MATCH(N133,'G-7 Rivers Data'!$AY$3:$AY$7,0)),"")</f>
        <v/>
      </c>
    </row>
    <row r="134" spans="2:50" ht="13.8" x14ac:dyDescent="0.25">
      <c r="B134" s="531" t="str">
        <f>'F-1 Off Site River Baseline'!AN132</f>
        <v/>
      </c>
      <c r="C134" s="520" t="str">
        <f>IF(B134="","",VLOOKUP($B134,'F-1 Off Site River Baseline'!$C$9:$R$257,2,FALSE))</f>
        <v/>
      </c>
      <c r="D134" s="520" t="str">
        <f>IF(C134="","",VLOOKUP($B134,'F-1 Off Site River Baseline'!$C$9:$R$257,3,FALSE))</f>
        <v/>
      </c>
      <c r="E134" s="520" t="str">
        <f>IF(D134="","",VLOOKUP($B134,'F-1 Off Site River Baseline'!$C$9:$R$257,4,FALSE))</f>
        <v/>
      </c>
      <c r="F134" s="520" t="str">
        <f>IF(E134="","",VLOOKUP($B134,'F-1 Off Site River Baseline'!$C$9:$R$257,5,FALSE))</f>
        <v/>
      </c>
      <c r="G134" s="520" t="str">
        <f>IF(F134="","",VLOOKUP($B134,'F-1 Off Site River Baseline'!$C$9:$R$257,6,FALSE))</f>
        <v/>
      </c>
      <c r="H134" s="520" t="str">
        <f>IF(G134="","",VLOOKUP($B134,'F-1 Off Site River Baseline'!$C$9:$R$257,7,FALSE))</f>
        <v/>
      </c>
      <c r="I134" s="520" t="str">
        <f>IF(H134="","",VLOOKUP($B134,'F-1 Off Site River Baseline'!$C$9:$R$257,8,FALSE))</f>
        <v/>
      </c>
      <c r="J134" s="520" t="str">
        <f>IF(I134="","",VLOOKUP($B134,'F-1 Off Site River Baseline'!$C$9:$R$257,9,FALSE))</f>
        <v/>
      </c>
      <c r="K134" s="520" t="str">
        <f>IF(J134="","",VLOOKUP($B134,'F-1 Off Site River Baseline'!$C$9:$R$257,10,FALSE))</f>
        <v/>
      </c>
      <c r="L134" s="520" t="str">
        <f>IF(B134="","",VLOOKUP($B134,'C-1 Site River Baseline'!$C$9:$R$257,15,FALSE))</f>
        <v/>
      </c>
      <c r="M134" s="524" t="str">
        <f>IF(L134="","",VLOOKUP($B134,'F-1 Off Site River Baseline'!$C$9:$R$257,16,FALSE))</f>
        <v/>
      </c>
      <c r="N134" s="418" t="str">
        <f t="shared" si="12"/>
        <v/>
      </c>
      <c r="O134" s="498" t="str">
        <f t="shared" si="13"/>
        <v/>
      </c>
      <c r="P134" s="499"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5" t="str">
        <f>IF(N134="","",VLOOKUP(B134,'F-1 Off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20" t="str">
        <f>IF(V134="","",IF(VLOOKUP(V134,'G-7 Rivers Data'!$AG$4:$AI$9,2,FALSE)=0,"Spatial Data Missing ⚠",VLOOKUP(V134,'G-7 Rivers Data'!$AG$4:$AI$9,2,FALSE)))</f>
        <v/>
      </c>
      <c r="X134" s="524" t="str">
        <f>IF(V134="","",IF(VLOOKUP(V134,'G-7 Rivers Data'!$AG$4:$AI$9,3,FALSE)=0,"Spatial Data Missing ⚠",VLOOKUP(V134,'G-7 Rivers Data'!$AG$4:$AI$9,3,FALSE)))</f>
        <v/>
      </c>
      <c r="Y134" s="537" t="str">
        <f>IFERROR(IF(OR(LEFT(P134,5)="Error ▲",LEFT(O134,5)="Error ▲"),"Check Data ⚠",IF(F134&lt;S134,'G-7 Rivers Data'!$R$3,INDEX('G-7 Rivers Data'!$U$5:$Y$9,MATCH(G134,'G-7 Rivers Data'!$T$5:$T$9,0),MATCH(T134,'G-7 Rivers Data'!$U$4:$Y$4,0)))),"")</f>
        <v/>
      </c>
      <c r="Z134" s="203"/>
      <c r="AA134" s="203"/>
      <c r="AB134" s="534" t="str">
        <f t="shared" si="8"/>
        <v/>
      </c>
      <c r="AC134" s="521" t="str">
        <f t="shared" si="9"/>
        <v/>
      </c>
      <c r="AD134" s="564" t="str">
        <f>IFERROR(IF(AC134="Check Data ⚠","Check Data ⚠",VLOOKUP(AC134,'G-4 Temporal multipliers'!$A$4:$C$37,3,FALSE)),"")</f>
        <v/>
      </c>
      <c r="AE134" s="537" t="str">
        <f>IF(N134="","",VLOOKUP(N134,'G-7 Rivers Data'!$B$4:$G$8,5,FALSE))</f>
        <v/>
      </c>
      <c r="AF134" s="520" t="str">
        <f t="shared" si="10"/>
        <v/>
      </c>
      <c r="AG134" s="520" t="str">
        <f t="shared" si="14"/>
        <v/>
      </c>
      <c r="AH134" s="524" t="str">
        <f t="shared" si="11"/>
        <v/>
      </c>
      <c r="AI134" s="145"/>
      <c r="AJ134" s="499" t="str">
        <f>IF(AI134="","",IF(VLOOKUP(AI134,'G-7 Rivers Data'!$AA$4:$AB$7,2,FALSE)=0,"Spatial Data Missing ⚠",VLOOKUP(AI134,'G-7 Rivers Data'!$AA$4:$AB$7,2,FALSE)))</f>
        <v/>
      </c>
      <c r="AK134" s="155"/>
      <c r="AL134" s="536" t="str">
        <f>IF(AK134="","",IF(VLOOKUP(AK134,'G-7 Rivers Data'!$AD$4:$AE$8,2,FALSE)=0,"Spatial Data Missing ⚠",VLOOKUP(AK134,'G-7 Rivers Data'!$AD$4:$AE$8,2,FALSE)))</f>
        <v/>
      </c>
      <c r="AM134" s="154"/>
      <c r="AN134" s="524" t="str">
        <f>IF(AM134="","",VLOOKUP(AM134,'G-7 Rivers Data'!$AO$4:$AP$7,2,FALSE))</f>
        <v/>
      </c>
      <c r="AO134" s="545" t="str">
        <f t="shared" si="15"/>
        <v/>
      </c>
      <c r="AP134" s="149"/>
      <c r="AQ134" s="150"/>
      <c r="AX134" s="31" t="str">
        <f>IFERROR(INDEX('G-7 Rivers Data'!$AZ$3:$AZ$7,MATCH(N134,'G-7 Rivers Data'!$AY$3:$AY$7,0)),"")</f>
        <v/>
      </c>
    </row>
    <row r="135" spans="2:50" ht="13.8" x14ac:dyDescent="0.25">
      <c r="B135" s="531" t="str">
        <f>'F-1 Off Site River Baseline'!AN133</f>
        <v/>
      </c>
      <c r="C135" s="520" t="str">
        <f>IF(B135="","",VLOOKUP($B135,'F-1 Off Site River Baseline'!$C$9:$R$257,2,FALSE))</f>
        <v/>
      </c>
      <c r="D135" s="520" t="str">
        <f>IF(C135="","",VLOOKUP($B135,'F-1 Off Site River Baseline'!$C$9:$R$257,3,FALSE))</f>
        <v/>
      </c>
      <c r="E135" s="520" t="str">
        <f>IF(D135="","",VLOOKUP($B135,'F-1 Off Site River Baseline'!$C$9:$R$257,4,FALSE))</f>
        <v/>
      </c>
      <c r="F135" s="520" t="str">
        <f>IF(E135="","",VLOOKUP($B135,'F-1 Off Site River Baseline'!$C$9:$R$257,5,FALSE))</f>
        <v/>
      </c>
      <c r="G135" s="520" t="str">
        <f>IF(F135="","",VLOOKUP($B135,'F-1 Off Site River Baseline'!$C$9:$R$257,6,FALSE))</f>
        <v/>
      </c>
      <c r="H135" s="520" t="str">
        <f>IF(G135="","",VLOOKUP($B135,'F-1 Off Site River Baseline'!$C$9:$R$257,7,FALSE))</f>
        <v/>
      </c>
      <c r="I135" s="520" t="str">
        <f>IF(H135="","",VLOOKUP($B135,'F-1 Off Site River Baseline'!$C$9:$R$257,8,FALSE))</f>
        <v/>
      </c>
      <c r="J135" s="520" t="str">
        <f>IF(I135="","",VLOOKUP($B135,'F-1 Off Site River Baseline'!$C$9:$R$257,9,FALSE))</f>
        <v/>
      </c>
      <c r="K135" s="520" t="str">
        <f>IF(J135="","",VLOOKUP($B135,'F-1 Off Site River Baseline'!$C$9:$R$257,10,FALSE))</f>
        <v/>
      </c>
      <c r="L135" s="520" t="str">
        <f>IF(B135="","",VLOOKUP($B135,'C-1 Site River Baseline'!$C$9:$R$257,15,FALSE))</f>
        <v/>
      </c>
      <c r="M135" s="524" t="str">
        <f>IF(L135="","",VLOOKUP($B135,'F-1 Off Site River Baseline'!$C$9:$R$257,16,FALSE))</f>
        <v/>
      </c>
      <c r="N135" s="418" t="str">
        <f t="shared" si="12"/>
        <v/>
      </c>
      <c r="O135" s="498" t="str">
        <f t="shared" si="13"/>
        <v/>
      </c>
      <c r="P135" s="499"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5" t="str">
        <f>IF(N135="","",VLOOKUP(B135,'F-1 Off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20" t="str">
        <f>IF(V135="","",IF(VLOOKUP(V135,'G-7 Rivers Data'!$AG$4:$AI$9,2,FALSE)=0,"Spatial Data Missing ⚠",VLOOKUP(V135,'G-7 Rivers Data'!$AG$4:$AI$9,2,FALSE)))</f>
        <v/>
      </c>
      <c r="X135" s="524" t="str">
        <f>IF(V135="","",IF(VLOOKUP(V135,'G-7 Rivers Data'!$AG$4:$AI$9,3,FALSE)=0,"Spatial Data Missing ⚠",VLOOKUP(V135,'G-7 Rivers Data'!$AG$4:$AI$9,3,FALSE)))</f>
        <v/>
      </c>
      <c r="Y135" s="537" t="str">
        <f>IFERROR(IF(OR(LEFT(P135,5)="Error ▲",LEFT(O135,5)="Error ▲"),"Check Data ⚠",IF(F135&lt;S135,'G-7 Rivers Data'!$R$3,INDEX('G-7 Rivers Data'!$U$5:$Y$9,MATCH(G135,'G-7 Rivers Data'!$T$5:$T$9,0),MATCH(T135,'G-7 Rivers Data'!$U$4:$Y$4,0)))),"")</f>
        <v/>
      </c>
      <c r="Z135" s="203"/>
      <c r="AA135" s="203"/>
      <c r="AB135" s="534" t="str">
        <f t="shared" si="8"/>
        <v/>
      </c>
      <c r="AC135" s="521" t="str">
        <f t="shared" si="9"/>
        <v/>
      </c>
      <c r="AD135" s="564" t="str">
        <f>IFERROR(IF(AC135="Check Data ⚠","Check Data ⚠",VLOOKUP(AC135,'G-4 Temporal multipliers'!$A$4:$C$37,3,FALSE)),"")</f>
        <v/>
      </c>
      <c r="AE135" s="537" t="str">
        <f>IF(N135="","",VLOOKUP(N135,'G-7 Rivers Data'!$B$4:$G$8,5,FALSE))</f>
        <v/>
      </c>
      <c r="AF135" s="520" t="str">
        <f t="shared" si="10"/>
        <v/>
      </c>
      <c r="AG135" s="520" t="str">
        <f t="shared" si="14"/>
        <v/>
      </c>
      <c r="AH135" s="524" t="str">
        <f t="shared" si="11"/>
        <v/>
      </c>
      <c r="AI135" s="145"/>
      <c r="AJ135" s="499" t="str">
        <f>IF(AI135="","",IF(VLOOKUP(AI135,'G-7 Rivers Data'!$AA$4:$AB$7,2,FALSE)=0,"Spatial Data Missing ⚠",VLOOKUP(AI135,'G-7 Rivers Data'!$AA$4:$AB$7,2,FALSE)))</f>
        <v/>
      </c>
      <c r="AK135" s="155"/>
      <c r="AL135" s="536" t="str">
        <f>IF(AK135="","",IF(VLOOKUP(AK135,'G-7 Rivers Data'!$AD$4:$AE$8,2,FALSE)=0,"Spatial Data Missing ⚠",VLOOKUP(AK135,'G-7 Rivers Data'!$AD$4:$AE$8,2,FALSE)))</f>
        <v/>
      </c>
      <c r="AM135" s="154"/>
      <c r="AN135" s="524" t="str">
        <f>IF(AM135="","",VLOOKUP(AM135,'G-7 Rivers Data'!$AO$4:$AP$7,2,FALSE))</f>
        <v/>
      </c>
      <c r="AO135" s="545" t="str">
        <f t="shared" si="15"/>
        <v/>
      </c>
      <c r="AP135" s="149"/>
      <c r="AQ135" s="150"/>
      <c r="AX135" s="31" t="str">
        <f>IFERROR(INDEX('G-7 Rivers Data'!$AZ$3:$AZ$7,MATCH(N135,'G-7 Rivers Data'!$AY$3:$AY$7,0)),"")</f>
        <v/>
      </c>
    </row>
    <row r="136" spans="2:50" ht="13.8" x14ac:dyDescent="0.25">
      <c r="B136" s="531" t="str">
        <f>'F-1 Off Site River Baseline'!AN134</f>
        <v/>
      </c>
      <c r="C136" s="520" t="str">
        <f>IF(B136="","",VLOOKUP($B136,'F-1 Off Site River Baseline'!$C$9:$R$257,2,FALSE))</f>
        <v/>
      </c>
      <c r="D136" s="520" t="str">
        <f>IF(C136="","",VLOOKUP($B136,'F-1 Off Site River Baseline'!$C$9:$R$257,3,FALSE))</f>
        <v/>
      </c>
      <c r="E136" s="520" t="str">
        <f>IF(D136="","",VLOOKUP($B136,'F-1 Off Site River Baseline'!$C$9:$R$257,4,FALSE))</f>
        <v/>
      </c>
      <c r="F136" s="520" t="str">
        <f>IF(E136="","",VLOOKUP($B136,'F-1 Off Site River Baseline'!$C$9:$R$257,5,FALSE))</f>
        <v/>
      </c>
      <c r="G136" s="520" t="str">
        <f>IF(F136="","",VLOOKUP($B136,'F-1 Off Site River Baseline'!$C$9:$R$257,6,FALSE))</f>
        <v/>
      </c>
      <c r="H136" s="520" t="str">
        <f>IF(G136="","",VLOOKUP($B136,'F-1 Off Site River Baseline'!$C$9:$R$257,7,FALSE))</f>
        <v/>
      </c>
      <c r="I136" s="520" t="str">
        <f>IF(H136="","",VLOOKUP($B136,'F-1 Off Site River Baseline'!$C$9:$R$257,8,FALSE))</f>
        <v/>
      </c>
      <c r="J136" s="520" t="str">
        <f>IF(I136="","",VLOOKUP($B136,'F-1 Off Site River Baseline'!$C$9:$R$257,9,FALSE))</f>
        <v/>
      </c>
      <c r="K136" s="520" t="str">
        <f>IF(J136="","",VLOOKUP($B136,'F-1 Off Site River Baseline'!$C$9:$R$257,10,FALSE))</f>
        <v/>
      </c>
      <c r="L136" s="520" t="str">
        <f>IF(B136="","",VLOOKUP($B136,'C-1 Site River Baseline'!$C$9:$R$257,15,FALSE))</f>
        <v/>
      </c>
      <c r="M136" s="524" t="str">
        <f>IF(L136="","",VLOOKUP($B136,'F-1 Off Site River Baseline'!$C$9:$R$257,16,FALSE))</f>
        <v/>
      </c>
      <c r="N136" s="418" t="str">
        <f t="shared" si="12"/>
        <v/>
      </c>
      <c r="O136" s="498" t="str">
        <f t="shared" si="13"/>
        <v/>
      </c>
      <c r="P136" s="499"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5" t="str">
        <f>IF(N136="","",VLOOKUP(B136,'F-1 Off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20" t="str">
        <f>IF(V136="","",IF(VLOOKUP(V136,'G-7 Rivers Data'!$AG$4:$AI$9,2,FALSE)=0,"Spatial Data Missing ⚠",VLOOKUP(V136,'G-7 Rivers Data'!$AG$4:$AI$9,2,FALSE)))</f>
        <v/>
      </c>
      <c r="X136" s="524" t="str">
        <f>IF(V136="","",IF(VLOOKUP(V136,'G-7 Rivers Data'!$AG$4:$AI$9,3,FALSE)=0,"Spatial Data Missing ⚠",VLOOKUP(V136,'G-7 Rivers Data'!$AG$4:$AI$9,3,FALSE)))</f>
        <v/>
      </c>
      <c r="Y136" s="537" t="str">
        <f>IFERROR(IF(OR(LEFT(P136,5)="Error ▲",LEFT(O136,5)="Error ▲"),"Check Data ⚠",IF(F136&lt;S136,'G-7 Rivers Data'!$R$3,INDEX('G-7 Rivers Data'!$U$5:$Y$9,MATCH(G136,'G-7 Rivers Data'!$T$5:$T$9,0),MATCH(T136,'G-7 Rivers Data'!$U$4:$Y$4,0)))),"")</f>
        <v/>
      </c>
      <c r="Z136" s="203"/>
      <c r="AA136" s="203"/>
      <c r="AB136" s="534" t="str">
        <f t="shared" si="8"/>
        <v/>
      </c>
      <c r="AC136" s="521" t="str">
        <f t="shared" si="9"/>
        <v/>
      </c>
      <c r="AD136" s="564" t="str">
        <f>IFERROR(IF(AC136="Check Data ⚠","Check Data ⚠",VLOOKUP(AC136,'G-4 Temporal multipliers'!$A$4:$C$37,3,FALSE)),"")</f>
        <v/>
      </c>
      <c r="AE136" s="537" t="str">
        <f>IF(N136="","",VLOOKUP(N136,'G-7 Rivers Data'!$B$4:$G$8,5,FALSE))</f>
        <v/>
      </c>
      <c r="AF136" s="520" t="str">
        <f t="shared" si="10"/>
        <v/>
      </c>
      <c r="AG136" s="520" t="str">
        <f t="shared" si="14"/>
        <v/>
      </c>
      <c r="AH136" s="524" t="str">
        <f t="shared" si="11"/>
        <v/>
      </c>
      <c r="AI136" s="145"/>
      <c r="AJ136" s="499" t="str">
        <f>IF(AI136="","",IF(VLOOKUP(AI136,'G-7 Rivers Data'!$AA$4:$AB$7,2,FALSE)=0,"Spatial Data Missing ⚠",VLOOKUP(AI136,'G-7 Rivers Data'!$AA$4:$AB$7,2,FALSE)))</f>
        <v/>
      </c>
      <c r="AK136" s="155"/>
      <c r="AL136" s="536" t="str">
        <f>IF(AK136="","",IF(VLOOKUP(AK136,'G-7 Rivers Data'!$AD$4:$AE$8,2,FALSE)=0,"Spatial Data Missing ⚠",VLOOKUP(AK136,'G-7 Rivers Data'!$AD$4:$AE$8,2,FALSE)))</f>
        <v/>
      </c>
      <c r="AM136" s="154"/>
      <c r="AN136" s="524" t="str">
        <f>IF(AM136="","",VLOOKUP(AM136,'G-7 Rivers Data'!$AO$4:$AP$7,2,FALSE))</f>
        <v/>
      </c>
      <c r="AO136" s="545" t="str">
        <f t="shared" si="15"/>
        <v/>
      </c>
      <c r="AP136" s="149"/>
      <c r="AQ136" s="150"/>
      <c r="AX136" s="31" t="str">
        <f>IFERROR(INDEX('G-7 Rivers Data'!$AZ$3:$AZ$7,MATCH(N136,'G-7 Rivers Data'!$AY$3:$AY$7,0)),"")</f>
        <v/>
      </c>
    </row>
    <row r="137" spans="2:50" ht="13.8" x14ac:dyDescent="0.25">
      <c r="B137" s="531" t="str">
        <f>'F-1 Off Site River Baseline'!AN135</f>
        <v/>
      </c>
      <c r="C137" s="520" t="str">
        <f>IF(B137="","",VLOOKUP($B137,'F-1 Off Site River Baseline'!$C$9:$R$257,2,FALSE))</f>
        <v/>
      </c>
      <c r="D137" s="520" t="str">
        <f>IF(C137="","",VLOOKUP($B137,'F-1 Off Site River Baseline'!$C$9:$R$257,3,FALSE))</f>
        <v/>
      </c>
      <c r="E137" s="520" t="str">
        <f>IF(D137="","",VLOOKUP($B137,'F-1 Off Site River Baseline'!$C$9:$R$257,4,FALSE))</f>
        <v/>
      </c>
      <c r="F137" s="520" t="str">
        <f>IF(E137="","",VLOOKUP($B137,'F-1 Off Site River Baseline'!$C$9:$R$257,5,FALSE))</f>
        <v/>
      </c>
      <c r="G137" s="520" t="str">
        <f>IF(F137="","",VLOOKUP($B137,'F-1 Off Site River Baseline'!$C$9:$R$257,6,FALSE))</f>
        <v/>
      </c>
      <c r="H137" s="520" t="str">
        <f>IF(G137="","",VLOOKUP($B137,'F-1 Off Site River Baseline'!$C$9:$R$257,7,FALSE))</f>
        <v/>
      </c>
      <c r="I137" s="520" t="str">
        <f>IF(H137="","",VLOOKUP($B137,'F-1 Off Site River Baseline'!$C$9:$R$257,8,FALSE))</f>
        <v/>
      </c>
      <c r="J137" s="520" t="str">
        <f>IF(I137="","",VLOOKUP($B137,'F-1 Off Site River Baseline'!$C$9:$R$257,9,FALSE))</f>
        <v/>
      </c>
      <c r="K137" s="520" t="str">
        <f>IF(J137="","",VLOOKUP($B137,'F-1 Off Site River Baseline'!$C$9:$R$257,10,FALSE))</f>
        <v/>
      </c>
      <c r="L137" s="520" t="str">
        <f>IF(B137="","",VLOOKUP($B137,'C-1 Site River Baseline'!$C$9:$R$257,15,FALSE))</f>
        <v/>
      </c>
      <c r="M137" s="524" t="str">
        <f>IF(L137="","",VLOOKUP($B137,'F-1 Off Site River Baseline'!$C$9:$R$257,16,FALSE))</f>
        <v/>
      </c>
      <c r="N137" s="418" t="str">
        <f t="shared" si="12"/>
        <v/>
      </c>
      <c r="O137" s="498" t="str">
        <f t="shared" si="13"/>
        <v/>
      </c>
      <c r="P137" s="499"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5" t="str">
        <f>IF(N137="","",VLOOKUP(B137,'F-1 Off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20" t="str">
        <f>IF(V137="","",IF(VLOOKUP(V137,'G-7 Rivers Data'!$AG$4:$AI$9,2,FALSE)=0,"Spatial Data Missing ⚠",VLOOKUP(V137,'G-7 Rivers Data'!$AG$4:$AI$9,2,FALSE)))</f>
        <v/>
      </c>
      <c r="X137" s="524" t="str">
        <f>IF(V137="","",IF(VLOOKUP(V137,'G-7 Rivers Data'!$AG$4:$AI$9,3,FALSE)=0,"Spatial Data Missing ⚠",VLOOKUP(V137,'G-7 Rivers Data'!$AG$4:$AI$9,3,FALSE)))</f>
        <v/>
      </c>
      <c r="Y137" s="537" t="str">
        <f>IFERROR(IF(OR(LEFT(P137,5)="Error ▲",LEFT(O137,5)="Error ▲"),"Check Data ⚠",IF(F137&lt;S137,'G-7 Rivers Data'!$R$3,INDEX('G-7 Rivers Data'!$U$5:$Y$9,MATCH(G137,'G-7 Rivers Data'!$T$5:$T$9,0),MATCH(T137,'G-7 Rivers Data'!$U$4:$Y$4,0)))),"")</f>
        <v/>
      </c>
      <c r="Z137" s="203"/>
      <c r="AA137" s="203"/>
      <c r="AB137" s="534" t="str">
        <f t="shared" si="8"/>
        <v/>
      </c>
      <c r="AC137" s="521" t="str">
        <f t="shared" si="9"/>
        <v/>
      </c>
      <c r="AD137" s="564" t="str">
        <f>IFERROR(IF(AC137="Check Data ⚠","Check Data ⚠",VLOOKUP(AC137,'G-4 Temporal multipliers'!$A$4:$C$37,3,FALSE)),"")</f>
        <v/>
      </c>
      <c r="AE137" s="537" t="str">
        <f>IF(N137="","",VLOOKUP(N137,'G-7 Rivers Data'!$B$4:$G$8,5,FALSE))</f>
        <v/>
      </c>
      <c r="AF137" s="520" t="str">
        <f t="shared" si="10"/>
        <v/>
      </c>
      <c r="AG137" s="520" t="str">
        <f t="shared" si="14"/>
        <v/>
      </c>
      <c r="AH137" s="524" t="str">
        <f t="shared" si="11"/>
        <v/>
      </c>
      <c r="AI137" s="145"/>
      <c r="AJ137" s="499" t="str">
        <f>IF(AI137="","",IF(VLOOKUP(AI137,'G-7 Rivers Data'!$AA$4:$AB$7,2,FALSE)=0,"Spatial Data Missing ⚠",VLOOKUP(AI137,'G-7 Rivers Data'!$AA$4:$AB$7,2,FALSE)))</f>
        <v/>
      </c>
      <c r="AK137" s="155"/>
      <c r="AL137" s="536" t="str">
        <f>IF(AK137="","",IF(VLOOKUP(AK137,'G-7 Rivers Data'!$AD$4:$AE$8,2,FALSE)=0,"Spatial Data Missing ⚠",VLOOKUP(AK137,'G-7 Rivers Data'!$AD$4:$AE$8,2,FALSE)))</f>
        <v/>
      </c>
      <c r="AM137" s="154"/>
      <c r="AN137" s="524" t="str">
        <f>IF(AM137="","",VLOOKUP(AM137,'G-7 Rivers Data'!$AO$4:$AP$7,2,FALSE))</f>
        <v/>
      </c>
      <c r="AO137" s="545" t="str">
        <f t="shared" si="15"/>
        <v/>
      </c>
      <c r="AP137" s="149"/>
      <c r="AQ137" s="150"/>
      <c r="AX137" s="31" t="str">
        <f>IFERROR(INDEX('G-7 Rivers Data'!$AZ$3:$AZ$7,MATCH(N137,'G-7 Rivers Data'!$AY$3:$AY$7,0)),"")</f>
        <v/>
      </c>
    </row>
    <row r="138" spans="2:50" ht="13.8" x14ac:dyDescent="0.25">
      <c r="B138" s="531" t="str">
        <f>'F-1 Off Site River Baseline'!AN136</f>
        <v/>
      </c>
      <c r="C138" s="520" t="str">
        <f>IF(B138="","",VLOOKUP($B138,'F-1 Off Site River Baseline'!$C$9:$R$257,2,FALSE))</f>
        <v/>
      </c>
      <c r="D138" s="520" t="str">
        <f>IF(C138="","",VLOOKUP($B138,'F-1 Off Site River Baseline'!$C$9:$R$257,3,FALSE))</f>
        <v/>
      </c>
      <c r="E138" s="520" t="str">
        <f>IF(D138="","",VLOOKUP($B138,'F-1 Off Site River Baseline'!$C$9:$R$257,4,FALSE))</f>
        <v/>
      </c>
      <c r="F138" s="520" t="str">
        <f>IF(E138="","",VLOOKUP($B138,'F-1 Off Site River Baseline'!$C$9:$R$257,5,FALSE))</f>
        <v/>
      </c>
      <c r="G138" s="520" t="str">
        <f>IF(F138="","",VLOOKUP($B138,'F-1 Off Site River Baseline'!$C$9:$R$257,6,FALSE))</f>
        <v/>
      </c>
      <c r="H138" s="520" t="str">
        <f>IF(G138="","",VLOOKUP($B138,'F-1 Off Site River Baseline'!$C$9:$R$257,7,FALSE))</f>
        <v/>
      </c>
      <c r="I138" s="520" t="str">
        <f>IF(H138="","",VLOOKUP($B138,'F-1 Off Site River Baseline'!$C$9:$R$257,8,FALSE))</f>
        <v/>
      </c>
      <c r="J138" s="520" t="str">
        <f>IF(I138="","",VLOOKUP($B138,'F-1 Off Site River Baseline'!$C$9:$R$257,9,FALSE))</f>
        <v/>
      </c>
      <c r="K138" s="520" t="str">
        <f>IF(J138="","",VLOOKUP($B138,'F-1 Off Site River Baseline'!$C$9:$R$257,10,FALSE))</f>
        <v/>
      </c>
      <c r="L138" s="520" t="str">
        <f>IF(B138="","",VLOOKUP($B138,'C-1 Site River Baseline'!$C$9:$R$257,15,FALSE))</f>
        <v/>
      </c>
      <c r="M138" s="524" t="str">
        <f>IF(L138="","",VLOOKUP($B138,'F-1 Off Site River Baseline'!$C$9:$R$257,16,FALSE))</f>
        <v/>
      </c>
      <c r="N138" s="418" t="str">
        <f t="shared" si="12"/>
        <v/>
      </c>
      <c r="O138" s="498" t="str">
        <f t="shared" si="13"/>
        <v/>
      </c>
      <c r="P138" s="499"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5" t="str">
        <f>IF(N138="","",VLOOKUP(B138,'F-1 Off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20" t="str">
        <f>IF(V138="","",IF(VLOOKUP(V138,'G-7 Rivers Data'!$AG$4:$AI$9,2,FALSE)=0,"Spatial Data Missing ⚠",VLOOKUP(V138,'G-7 Rivers Data'!$AG$4:$AI$9,2,FALSE)))</f>
        <v/>
      </c>
      <c r="X138" s="524" t="str">
        <f>IF(V138="","",IF(VLOOKUP(V138,'G-7 Rivers Data'!$AG$4:$AI$9,3,FALSE)=0,"Spatial Data Missing ⚠",VLOOKUP(V138,'G-7 Rivers Data'!$AG$4:$AI$9,3,FALSE)))</f>
        <v/>
      </c>
      <c r="Y138" s="537" t="str">
        <f>IFERROR(IF(OR(LEFT(P138,5)="Error ▲",LEFT(O138,5)="Error ▲"),"Check Data ⚠",IF(F138&lt;S138,'G-7 Rivers Data'!$R$3,INDEX('G-7 Rivers Data'!$U$5:$Y$9,MATCH(G138,'G-7 Rivers Data'!$T$5:$T$9,0),MATCH(T138,'G-7 Rivers Data'!$U$4:$Y$4,0)))),"")</f>
        <v/>
      </c>
      <c r="Z138" s="203"/>
      <c r="AA138" s="203"/>
      <c r="AB138" s="534" t="str">
        <f t="shared" si="8"/>
        <v/>
      </c>
      <c r="AC138" s="521" t="str">
        <f t="shared" si="9"/>
        <v/>
      </c>
      <c r="AD138" s="564" t="str">
        <f>IFERROR(IF(AC138="Check Data ⚠","Check Data ⚠",VLOOKUP(AC138,'G-4 Temporal multipliers'!$A$4:$C$37,3,FALSE)),"")</f>
        <v/>
      </c>
      <c r="AE138" s="537" t="str">
        <f>IF(N138="","",VLOOKUP(N138,'G-7 Rivers Data'!$B$4:$G$8,5,FALSE))</f>
        <v/>
      </c>
      <c r="AF138" s="520" t="str">
        <f t="shared" si="10"/>
        <v/>
      </c>
      <c r="AG138" s="520" t="str">
        <f t="shared" si="14"/>
        <v/>
      </c>
      <c r="AH138" s="524" t="str">
        <f t="shared" si="11"/>
        <v/>
      </c>
      <c r="AI138" s="145"/>
      <c r="AJ138" s="499" t="str">
        <f>IF(AI138="","",IF(VLOOKUP(AI138,'G-7 Rivers Data'!$AA$4:$AB$7,2,FALSE)=0,"Spatial Data Missing ⚠",VLOOKUP(AI138,'G-7 Rivers Data'!$AA$4:$AB$7,2,FALSE)))</f>
        <v/>
      </c>
      <c r="AK138" s="155"/>
      <c r="AL138" s="536" t="str">
        <f>IF(AK138="","",IF(VLOOKUP(AK138,'G-7 Rivers Data'!$AD$4:$AE$8,2,FALSE)=0,"Spatial Data Missing ⚠",VLOOKUP(AK138,'G-7 Rivers Data'!$AD$4:$AE$8,2,FALSE)))</f>
        <v/>
      </c>
      <c r="AM138" s="154"/>
      <c r="AN138" s="524" t="str">
        <f>IF(AM138="","",VLOOKUP(AM138,'G-7 Rivers Data'!$AO$4:$AP$7,2,FALSE))</f>
        <v/>
      </c>
      <c r="AO138" s="545" t="str">
        <f t="shared" si="15"/>
        <v/>
      </c>
      <c r="AP138" s="149"/>
      <c r="AQ138" s="150"/>
      <c r="AX138" s="31" t="str">
        <f>IFERROR(INDEX('G-7 Rivers Data'!$AZ$3:$AZ$7,MATCH(N138,'G-7 Rivers Data'!$AY$3:$AY$7,0)),"")</f>
        <v/>
      </c>
    </row>
    <row r="139" spans="2:50" ht="13.8" x14ac:dyDescent="0.25">
      <c r="B139" s="531" t="str">
        <f>'F-1 Off Site River Baseline'!AN137</f>
        <v/>
      </c>
      <c r="C139" s="520" t="str">
        <f>IF(B139="","",VLOOKUP($B139,'F-1 Off Site River Baseline'!$C$9:$R$257,2,FALSE))</f>
        <v/>
      </c>
      <c r="D139" s="520" t="str">
        <f>IF(C139="","",VLOOKUP($B139,'F-1 Off Site River Baseline'!$C$9:$R$257,3,FALSE))</f>
        <v/>
      </c>
      <c r="E139" s="520" t="str">
        <f>IF(D139="","",VLOOKUP($B139,'F-1 Off Site River Baseline'!$C$9:$R$257,4,FALSE))</f>
        <v/>
      </c>
      <c r="F139" s="520" t="str">
        <f>IF(E139="","",VLOOKUP($B139,'F-1 Off Site River Baseline'!$C$9:$R$257,5,FALSE))</f>
        <v/>
      </c>
      <c r="G139" s="520" t="str">
        <f>IF(F139="","",VLOOKUP($B139,'F-1 Off Site River Baseline'!$C$9:$R$257,6,FALSE))</f>
        <v/>
      </c>
      <c r="H139" s="520" t="str">
        <f>IF(G139="","",VLOOKUP($B139,'F-1 Off Site River Baseline'!$C$9:$R$257,7,FALSE))</f>
        <v/>
      </c>
      <c r="I139" s="520" t="str">
        <f>IF(H139="","",VLOOKUP($B139,'F-1 Off Site River Baseline'!$C$9:$R$257,8,FALSE))</f>
        <v/>
      </c>
      <c r="J139" s="520" t="str">
        <f>IF(I139="","",VLOOKUP($B139,'F-1 Off Site River Baseline'!$C$9:$R$257,9,FALSE))</f>
        <v/>
      </c>
      <c r="K139" s="520" t="str">
        <f>IF(J139="","",VLOOKUP($B139,'F-1 Off Site River Baseline'!$C$9:$R$257,10,FALSE))</f>
        <v/>
      </c>
      <c r="L139" s="520" t="str">
        <f>IF(B139="","",VLOOKUP($B139,'C-1 Site River Baseline'!$C$9:$R$257,15,FALSE))</f>
        <v/>
      </c>
      <c r="M139" s="524" t="str">
        <f>IF(L139="","",VLOOKUP($B139,'F-1 Off Site River Baseline'!$C$9:$R$257,16,FALSE))</f>
        <v/>
      </c>
      <c r="N139" s="418" t="str">
        <f t="shared" si="12"/>
        <v/>
      </c>
      <c r="O139" s="498" t="str">
        <f t="shared" si="13"/>
        <v/>
      </c>
      <c r="P139" s="499"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5" t="str">
        <f>IF(N139="","",VLOOKUP(B139,'F-1 Off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20" t="str">
        <f>IF(V139="","",IF(VLOOKUP(V139,'G-7 Rivers Data'!$AG$4:$AI$9,2,FALSE)=0,"Spatial Data Missing ⚠",VLOOKUP(V139,'G-7 Rivers Data'!$AG$4:$AI$9,2,FALSE)))</f>
        <v/>
      </c>
      <c r="X139" s="524" t="str">
        <f>IF(V139="","",IF(VLOOKUP(V139,'G-7 Rivers Data'!$AG$4:$AI$9,3,FALSE)=0,"Spatial Data Missing ⚠",VLOOKUP(V139,'G-7 Rivers Data'!$AG$4:$AI$9,3,FALSE)))</f>
        <v/>
      </c>
      <c r="Y139" s="537" t="str">
        <f>IFERROR(IF(OR(LEFT(P139,5)="Error ▲",LEFT(O139,5)="Error ▲"),"Check Data ⚠",IF(F139&lt;S139,'G-7 Rivers Data'!$R$3,INDEX('G-7 Rivers Data'!$U$5:$Y$9,MATCH(G139,'G-7 Rivers Data'!$T$5:$T$9,0),MATCH(T139,'G-7 Rivers Data'!$U$4:$Y$4,0)))),"")</f>
        <v/>
      </c>
      <c r="Z139" s="203"/>
      <c r="AA139" s="203"/>
      <c r="AB139" s="534" t="str">
        <f t="shared" si="8"/>
        <v/>
      </c>
      <c r="AC139" s="521" t="str">
        <f t="shared" si="9"/>
        <v/>
      </c>
      <c r="AD139" s="564" t="str">
        <f>IFERROR(IF(AC139="Check Data ⚠","Check Data ⚠",VLOOKUP(AC139,'G-4 Temporal multipliers'!$A$4:$C$37,3,FALSE)),"")</f>
        <v/>
      </c>
      <c r="AE139" s="537" t="str">
        <f>IF(N139="","",VLOOKUP(N139,'G-7 Rivers Data'!$B$4:$G$8,5,FALSE))</f>
        <v/>
      </c>
      <c r="AF139" s="520" t="str">
        <f t="shared" si="10"/>
        <v/>
      </c>
      <c r="AG139" s="520" t="str">
        <f t="shared" si="14"/>
        <v/>
      </c>
      <c r="AH139" s="524" t="str">
        <f t="shared" si="11"/>
        <v/>
      </c>
      <c r="AI139" s="145"/>
      <c r="AJ139" s="499" t="str">
        <f>IF(AI139="","",IF(VLOOKUP(AI139,'G-7 Rivers Data'!$AA$4:$AB$7,2,FALSE)=0,"Spatial Data Missing ⚠",VLOOKUP(AI139,'G-7 Rivers Data'!$AA$4:$AB$7,2,FALSE)))</f>
        <v/>
      </c>
      <c r="AK139" s="155"/>
      <c r="AL139" s="536" t="str">
        <f>IF(AK139="","",IF(VLOOKUP(AK139,'G-7 Rivers Data'!$AD$4:$AE$8,2,FALSE)=0,"Spatial Data Missing ⚠",VLOOKUP(AK139,'G-7 Rivers Data'!$AD$4:$AE$8,2,FALSE)))</f>
        <v/>
      </c>
      <c r="AM139" s="154"/>
      <c r="AN139" s="524" t="str">
        <f>IF(AM139="","",VLOOKUP(AM139,'G-7 Rivers Data'!$AO$4:$AP$7,2,FALSE))</f>
        <v/>
      </c>
      <c r="AO139" s="545" t="str">
        <f t="shared" si="15"/>
        <v/>
      </c>
      <c r="AP139" s="149"/>
      <c r="AQ139" s="150"/>
      <c r="AX139" s="31" t="str">
        <f>IFERROR(INDEX('G-7 Rivers Data'!$AZ$3:$AZ$7,MATCH(N139,'G-7 Rivers Data'!$AY$3:$AY$7,0)),"")</f>
        <v/>
      </c>
    </row>
    <row r="140" spans="2:50" ht="13.8" x14ac:dyDescent="0.25">
      <c r="B140" s="531" t="str">
        <f>'F-1 Off Site River Baseline'!AN138</f>
        <v/>
      </c>
      <c r="C140" s="520" t="str">
        <f>IF(B140="","",VLOOKUP($B140,'F-1 Off Site River Baseline'!$C$9:$R$257,2,FALSE))</f>
        <v/>
      </c>
      <c r="D140" s="520" t="str">
        <f>IF(C140="","",VLOOKUP($B140,'F-1 Off Site River Baseline'!$C$9:$R$257,3,FALSE))</f>
        <v/>
      </c>
      <c r="E140" s="520" t="str">
        <f>IF(D140="","",VLOOKUP($B140,'F-1 Off Site River Baseline'!$C$9:$R$257,4,FALSE))</f>
        <v/>
      </c>
      <c r="F140" s="520" t="str">
        <f>IF(E140="","",VLOOKUP($B140,'F-1 Off Site River Baseline'!$C$9:$R$257,5,FALSE))</f>
        <v/>
      </c>
      <c r="G140" s="520" t="str">
        <f>IF(F140="","",VLOOKUP($B140,'F-1 Off Site River Baseline'!$C$9:$R$257,6,FALSE))</f>
        <v/>
      </c>
      <c r="H140" s="520" t="str">
        <f>IF(G140="","",VLOOKUP($B140,'F-1 Off Site River Baseline'!$C$9:$R$257,7,FALSE))</f>
        <v/>
      </c>
      <c r="I140" s="520" t="str">
        <f>IF(H140="","",VLOOKUP($B140,'F-1 Off Site River Baseline'!$C$9:$R$257,8,FALSE))</f>
        <v/>
      </c>
      <c r="J140" s="520" t="str">
        <f>IF(I140="","",VLOOKUP($B140,'F-1 Off Site River Baseline'!$C$9:$R$257,9,FALSE))</f>
        <v/>
      </c>
      <c r="K140" s="520" t="str">
        <f>IF(J140="","",VLOOKUP($B140,'F-1 Off Site River Baseline'!$C$9:$R$257,10,FALSE))</f>
        <v/>
      </c>
      <c r="L140" s="520" t="str">
        <f>IF(B140="","",VLOOKUP($B140,'C-1 Site River Baseline'!$C$9:$R$257,15,FALSE))</f>
        <v/>
      </c>
      <c r="M140" s="524" t="str">
        <f>IF(L140="","",VLOOKUP($B140,'F-1 Off Site River Baseline'!$C$9:$R$257,16,FALSE))</f>
        <v/>
      </c>
      <c r="N140" s="418" t="str">
        <f t="shared" si="12"/>
        <v/>
      </c>
      <c r="O140" s="498" t="str">
        <f t="shared" si="13"/>
        <v/>
      </c>
      <c r="P140" s="499"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5" t="str">
        <f>IF(N140="","",VLOOKUP(B140,'F-1 Off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20" t="str">
        <f>IF(V140="","",IF(VLOOKUP(V140,'G-7 Rivers Data'!$AG$4:$AI$9,2,FALSE)=0,"Spatial Data Missing ⚠",VLOOKUP(V140,'G-7 Rivers Data'!$AG$4:$AI$9,2,FALSE)))</f>
        <v/>
      </c>
      <c r="X140" s="524" t="str">
        <f>IF(V140="","",IF(VLOOKUP(V140,'G-7 Rivers Data'!$AG$4:$AI$9,3,FALSE)=0,"Spatial Data Missing ⚠",VLOOKUP(V140,'G-7 Rivers Data'!$AG$4:$AI$9,3,FALSE)))</f>
        <v/>
      </c>
      <c r="Y140" s="537" t="str">
        <f>IFERROR(IF(OR(LEFT(P140,5)="Error ▲",LEFT(O140,5)="Error ▲"),"Check Data ⚠",IF(F140&lt;S140,'G-7 Rivers Data'!$R$3,INDEX('G-7 Rivers Data'!$U$5:$Y$9,MATCH(G140,'G-7 Rivers Data'!$T$5:$T$9,0),MATCH(T140,'G-7 Rivers Data'!$U$4:$Y$4,0)))),"")</f>
        <v/>
      </c>
      <c r="Z140" s="203"/>
      <c r="AA140" s="203"/>
      <c r="AB140" s="534"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1" t="str">
        <f t="shared" ref="AC140:AC203" si="17">IF(LEFT(AB140,5)="Error ▲","Check Data ⚠",IF(AB140="Check Data ⚠","Check Data ⚠",IF(Y140="","",IF(Z140="30+",0,IF(AA140="30+","30+ ⚠",IF(Y140+AA140&gt;30,"30+ ⚠",IF(Y140+AA140-Z140&gt;0,Y140+AA140-Z140,IF(Y140-Z140&lt;0,0,Y140+AA140-Z140))))))))</f>
        <v/>
      </c>
      <c r="AD140" s="564" t="str">
        <f>IFERROR(IF(AC140="Check Data ⚠","Check Data ⚠",VLOOKUP(AC140,'G-4 Temporal multipliers'!$A$4:$C$37,3,FALSE)),"")</f>
        <v/>
      </c>
      <c r="AE140" s="537" t="str">
        <f>IF(N140="","",VLOOKUP(N140,'G-7 Rivers Data'!$B$4:$G$8,5,FALSE))</f>
        <v/>
      </c>
      <c r="AF140" s="520" t="str">
        <f t="shared" ref="AF140:AF203" si="18">IF(N140="","",IF(AC140="Check Data ⚠","Check Data ⚠",IF(T140="","",IF($AB140="Check details - Is there evidence that habitat has reached target condition? ⚠","Low Difficulty - only applicable if all habitat created before losses ⚠","Standard difficulty applied"))))</f>
        <v/>
      </c>
      <c r="AG140" s="520" t="str">
        <f t="shared" si="14"/>
        <v/>
      </c>
      <c r="AH140" s="524" t="str">
        <f t="shared" ref="AH140:AH203" si="19">IF(N140="","",VLOOKUP(AE140,Difficulty,2,FALSE))</f>
        <v/>
      </c>
      <c r="AI140" s="145"/>
      <c r="AJ140" s="499" t="str">
        <f>IF(AI140="","",IF(VLOOKUP(AI140,'G-7 Rivers Data'!$AA$4:$AB$7,2,FALSE)=0,"Spatial Data Missing ⚠",VLOOKUP(AI140,'G-7 Rivers Data'!$AA$4:$AB$7,2,FALSE)))</f>
        <v/>
      </c>
      <c r="AK140" s="155"/>
      <c r="AL140" s="536" t="str">
        <f>IF(AK140="","",IF(VLOOKUP(AK140,'G-7 Rivers Data'!$AD$4:$AE$8,2,FALSE)=0,"Spatial Data Missing ⚠",VLOOKUP(AK140,'G-7 Rivers Data'!$AD$4:$AE$8,2,FALSE)))</f>
        <v/>
      </c>
      <c r="AM140" s="154"/>
      <c r="AN140" s="524" t="str">
        <f>IF(AM140="","",VLOOKUP(AM140,'G-7 Rivers Data'!$AO$4:$AP$7,2,FALSE))</f>
        <v/>
      </c>
      <c r="AO140" s="545" t="str">
        <f t="shared" si="15"/>
        <v/>
      </c>
      <c r="AP140" s="149"/>
      <c r="AQ140" s="150"/>
      <c r="AX140" s="31" t="str">
        <f>IFERROR(INDEX('G-7 Rivers Data'!$AZ$3:$AZ$7,MATCH(N140,'G-7 Rivers Data'!$AY$3:$AY$7,0)),"")</f>
        <v/>
      </c>
    </row>
    <row r="141" spans="2:50" ht="13.8" x14ac:dyDescent="0.25">
      <c r="B141" s="531" t="str">
        <f>'F-1 Off Site River Baseline'!AN139</f>
        <v/>
      </c>
      <c r="C141" s="520" t="str">
        <f>IF(B141="","",VLOOKUP($B141,'F-1 Off Site River Baseline'!$C$9:$R$257,2,FALSE))</f>
        <v/>
      </c>
      <c r="D141" s="520" t="str">
        <f>IF(C141="","",VLOOKUP($B141,'F-1 Off Site River Baseline'!$C$9:$R$257,3,FALSE))</f>
        <v/>
      </c>
      <c r="E141" s="520" t="str">
        <f>IF(D141="","",VLOOKUP($B141,'F-1 Off Site River Baseline'!$C$9:$R$257,4,FALSE))</f>
        <v/>
      </c>
      <c r="F141" s="520" t="str">
        <f>IF(E141="","",VLOOKUP($B141,'F-1 Off Site River Baseline'!$C$9:$R$257,5,FALSE))</f>
        <v/>
      </c>
      <c r="G141" s="520" t="str">
        <f>IF(F141="","",VLOOKUP($B141,'F-1 Off Site River Baseline'!$C$9:$R$257,6,FALSE))</f>
        <v/>
      </c>
      <c r="H141" s="520" t="str">
        <f>IF(G141="","",VLOOKUP($B141,'F-1 Off Site River Baseline'!$C$9:$R$257,7,FALSE))</f>
        <v/>
      </c>
      <c r="I141" s="520" t="str">
        <f>IF(H141="","",VLOOKUP($B141,'F-1 Off Site River Baseline'!$C$9:$R$257,8,FALSE))</f>
        <v/>
      </c>
      <c r="J141" s="520" t="str">
        <f>IF(I141="","",VLOOKUP($B141,'F-1 Off Site River Baseline'!$C$9:$R$257,9,FALSE))</f>
        <v/>
      </c>
      <c r="K141" s="520" t="str">
        <f>IF(J141="","",VLOOKUP($B141,'F-1 Off Site River Baseline'!$C$9:$R$257,10,FALSE))</f>
        <v/>
      </c>
      <c r="L141" s="520" t="str">
        <f>IF(B141="","",VLOOKUP($B141,'C-1 Site River Baseline'!$C$9:$R$257,15,FALSE))</f>
        <v/>
      </c>
      <c r="M141" s="524" t="str">
        <f>IF(L141="","",VLOOKUP($B141,'F-1 Off Site River Baseline'!$C$9:$R$257,16,FALSE))</f>
        <v/>
      </c>
      <c r="N141" s="418" t="str">
        <f t="shared" ref="N141:N204" si="20">C141</f>
        <v/>
      </c>
      <c r="O141" s="498" t="str">
        <f t="shared" ref="O141:O204" si="21">IF(B141="","",IF(S141&lt;F141,"Error Trading Down ▲",E141&amp;" - "&amp;R141))</f>
        <v/>
      </c>
      <c r="P141" s="499"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5" t="str">
        <f>IF(N141="","",VLOOKUP(B141,'F-1 Off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20" t="str">
        <f>IF(V141="","",IF(VLOOKUP(V141,'G-7 Rivers Data'!$AG$4:$AI$9,2,FALSE)=0,"Spatial Data Missing ⚠",VLOOKUP(V141,'G-7 Rivers Data'!$AG$4:$AI$9,2,FALSE)))</f>
        <v/>
      </c>
      <c r="X141" s="524" t="str">
        <f>IF(V141="","",IF(VLOOKUP(V141,'G-7 Rivers Data'!$AG$4:$AI$9,3,FALSE)=0,"Spatial Data Missing ⚠",VLOOKUP(V141,'G-7 Rivers Data'!$AG$4:$AI$9,3,FALSE)))</f>
        <v/>
      </c>
      <c r="Y141" s="537" t="str">
        <f>IFERROR(IF(OR(LEFT(P141,5)="Error ▲",LEFT(O141,5)="Error ▲"),"Check Data ⚠",IF(F141&lt;S141,'G-7 Rivers Data'!$R$3,INDEX('G-7 Rivers Data'!$U$5:$Y$9,MATCH(G141,'G-7 Rivers Data'!$T$5:$T$9,0),MATCH(T141,'G-7 Rivers Data'!$U$4:$Y$4,0)))),"")</f>
        <v/>
      </c>
      <c r="Z141" s="203"/>
      <c r="AA141" s="203"/>
      <c r="AB141" s="534" t="str">
        <f t="shared" si="16"/>
        <v/>
      </c>
      <c r="AC141" s="521" t="str">
        <f t="shared" si="17"/>
        <v/>
      </c>
      <c r="AD141" s="564" t="str">
        <f>IFERROR(IF(AC141="Check Data ⚠","Check Data ⚠",VLOOKUP(AC141,'G-4 Temporal multipliers'!$A$4:$C$37,3,FALSE)),"")</f>
        <v/>
      </c>
      <c r="AE141" s="537" t="str">
        <f>IF(N141="","",VLOOKUP(N141,'G-7 Rivers Data'!$B$4:$G$8,5,FALSE))</f>
        <v/>
      </c>
      <c r="AF141" s="520" t="str">
        <f t="shared" si="18"/>
        <v/>
      </c>
      <c r="AG141" s="520" t="str">
        <f t="shared" ref="AG141:AG204" si="22">(IF(AND(AF141="Standard difficulty applied",Y141&gt;Z141),AE141,IF(AND(AF141="Low Difficulty - only applicable if all habitat created before losses ⚠",Z141&gt;=Y141),"Low",AE141)))</f>
        <v/>
      </c>
      <c r="AH141" s="524" t="str">
        <f t="shared" si="19"/>
        <v/>
      </c>
      <c r="AI141" s="145"/>
      <c r="AJ141" s="499" t="str">
        <f>IF(AI141="","",IF(VLOOKUP(AI141,'G-7 Rivers Data'!$AA$4:$AB$7,2,FALSE)=0,"Spatial Data Missing ⚠",VLOOKUP(AI141,'G-7 Rivers Data'!$AA$4:$AB$7,2,FALSE)))</f>
        <v/>
      </c>
      <c r="AK141" s="155"/>
      <c r="AL141" s="536" t="str">
        <f>IF(AK141="","",IF(VLOOKUP(AK141,'G-7 Rivers Data'!$AD$4:$AE$8,2,FALSE)=0,"Spatial Data Missing ⚠",VLOOKUP(AK141,'G-7 Rivers Data'!$AD$4:$AE$8,2,FALSE)))</f>
        <v/>
      </c>
      <c r="AM141" s="154"/>
      <c r="AN141" s="524" t="str">
        <f>IF(AM141="","",VLOOKUP(AM141,'G-7 Rivers Data'!$AO$4:$AP$7,2,FALSE))</f>
        <v/>
      </c>
      <c r="AO141" s="545"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8" x14ac:dyDescent="0.25">
      <c r="B142" s="531" t="str">
        <f>'F-1 Off Site River Baseline'!AN140</f>
        <v/>
      </c>
      <c r="C142" s="520" t="str">
        <f>IF(B142="","",VLOOKUP($B142,'F-1 Off Site River Baseline'!$C$9:$R$257,2,FALSE))</f>
        <v/>
      </c>
      <c r="D142" s="520" t="str">
        <f>IF(C142="","",VLOOKUP($B142,'F-1 Off Site River Baseline'!$C$9:$R$257,3,FALSE))</f>
        <v/>
      </c>
      <c r="E142" s="520" t="str">
        <f>IF(D142="","",VLOOKUP($B142,'F-1 Off Site River Baseline'!$C$9:$R$257,4,FALSE))</f>
        <v/>
      </c>
      <c r="F142" s="520" t="str">
        <f>IF(E142="","",VLOOKUP($B142,'F-1 Off Site River Baseline'!$C$9:$R$257,5,FALSE))</f>
        <v/>
      </c>
      <c r="G142" s="520" t="str">
        <f>IF(F142="","",VLOOKUP($B142,'F-1 Off Site River Baseline'!$C$9:$R$257,6,FALSE))</f>
        <v/>
      </c>
      <c r="H142" s="520" t="str">
        <f>IF(G142="","",VLOOKUP($B142,'F-1 Off Site River Baseline'!$C$9:$R$257,7,FALSE))</f>
        <v/>
      </c>
      <c r="I142" s="520" t="str">
        <f>IF(H142="","",VLOOKUP($B142,'F-1 Off Site River Baseline'!$C$9:$R$257,8,FALSE))</f>
        <v/>
      </c>
      <c r="J142" s="520" t="str">
        <f>IF(I142="","",VLOOKUP($B142,'F-1 Off Site River Baseline'!$C$9:$R$257,9,FALSE))</f>
        <v/>
      </c>
      <c r="K142" s="520" t="str">
        <f>IF(J142="","",VLOOKUP($B142,'F-1 Off Site River Baseline'!$C$9:$R$257,10,FALSE))</f>
        <v/>
      </c>
      <c r="L142" s="520" t="str">
        <f>IF(B142="","",VLOOKUP($B142,'C-1 Site River Baseline'!$C$9:$R$257,15,FALSE))</f>
        <v/>
      </c>
      <c r="M142" s="524" t="str">
        <f>IF(L142="","",VLOOKUP($B142,'F-1 Off Site River Baseline'!$C$9:$R$257,16,FALSE))</f>
        <v/>
      </c>
      <c r="N142" s="418" t="str">
        <f t="shared" si="20"/>
        <v/>
      </c>
      <c r="O142" s="498" t="str">
        <f t="shared" si="21"/>
        <v/>
      </c>
      <c r="P142" s="499"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5" t="str">
        <f>IF(N142="","",VLOOKUP(B142,'F-1 Off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20" t="str">
        <f>IF(V142="","",IF(VLOOKUP(V142,'G-7 Rivers Data'!$AG$4:$AI$9,2,FALSE)=0,"Spatial Data Missing ⚠",VLOOKUP(V142,'G-7 Rivers Data'!$AG$4:$AI$9,2,FALSE)))</f>
        <v/>
      </c>
      <c r="X142" s="524" t="str">
        <f>IF(V142="","",IF(VLOOKUP(V142,'G-7 Rivers Data'!$AG$4:$AI$9,3,FALSE)=0,"Spatial Data Missing ⚠",VLOOKUP(V142,'G-7 Rivers Data'!$AG$4:$AI$9,3,FALSE)))</f>
        <v/>
      </c>
      <c r="Y142" s="537" t="str">
        <f>IFERROR(IF(OR(LEFT(P142,5)="Error ▲",LEFT(O142,5)="Error ▲"),"Check Data ⚠",IF(F142&lt;S142,'G-7 Rivers Data'!$R$3,INDEX('G-7 Rivers Data'!$U$5:$Y$9,MATCH(G142,'G-7 Rivers Data'!$T$5:$T$9,0),MATCH(T142,'G-7 Rivers Data'!$U$4:$Y$4,0)))),"")</f>
        <v/>
      </c>
      <c r="Z142" s="203"/>
      <c r="AA142" s="203"/>
      <c r="AB142" s="534" t="str">
        <f t="shared" si="16"/>
        <v/>
      </c>
      <c r="AC142" s="521" t="str">
        <f t="shared" si="17"/>
        <v/>
      </c>
      <c r="AD142" s="564" t="str">
        <f>IFERROR(IF(AC142="Check Data ⚠","Check Data ⚠",VLOOKUP(AC142,'G-4 Temporal multipliers'!$A$4:$C$37,3,FALSE)),"")</f>
        <v/>
      </c>
      <c r="AE142" s="537" t="str">
        <f>IF(N142="","",VLOOKUP(N142,'G-7 Rivers Data'!$B$4:$G$8,5,FALSE))</f>
        <v/>
      </c>
      <c r="AF142" s="520" t="str">
        <f t="shared" si="18"/>
        <v/>
      </c>
      <c r="AG142" s="520" t="str">
        <f t="shared" si="22"/>
        <v/>
      </c>
      <c r="AH142" s="524" t="str">
        <f t="shared" si="19"/>
        <v/>
      </c>
      <c r="AI142" s="145"/>
      <c r="AJ142" s="499" t="str">
        <f>IF(AI142="","",IF(VLOOKUP(AI142,'G-7 Rivers Data'!$AA$4:$AB$7,2,FALSE)=0,"Spatial Data Missing ⚠",VLOOKUP(AI142,'G-7 Rivers Data'!$AA$4:$AB$7,2,FALSE)))</f>
        <v/>
      </c>
      <c r="AK142" s="155"/>
      <c r="AL142" s="536" t="str">
        <f>IF(AK142="","",IF(VLOOKUP(AK142,'G-7 Rivers Data'!$AD$4:$AE$8,2,FALSE)=0,"Spatial Data Missing ⚠",VLOOKUP(AK142,'G-7 Rivers Data'!$AD$4:$AE$8,2,FALSE)))</f>
        <v/>
      </c>
      <c r="AM142" s="154"/>
      <c r="AN142" s="524" t="str">
        <f>IF(AM142="","",VLOOKUP(AM142,'G-7 Rivers Data'!$AO$4:$AP$7,2,FALSE))</f>
        <v/>
      </c>
      <c r="AO142" s="545" t="str">
        <f t="shared" si="23"/>
        <v/>
      </c>
      <c r="AP142" s="149"/>
      <c r="AQ142" s="150"/>
      <c r="AX142" s="31" t="str">
        <f>IFERROR(INDEX('G-7 Rivers Data'!$AZ$3:$AZ$7,MATCH(N142,'G-7 Rivers Data'!$AY$3:$AY$7,0)),"")</f>
        <v/>
      </c>
    </row>
    <row r="143" spans="2:50" ht="13.8" x14ac:dyDescent="0.25">
      <c r="B143" s="531" t="str">
        <f>'F-1 Off Site River Baseline'!AN141</f>
        <v/>
      </c>
      <c r="C143" s="520" t="str">
        <f>IF(B143="","",VLOOKUP($B143,'F-1 Off Site River Baseline'!$C$9:$R$257,2,FALSE))</f>
        <v/>
      </c>
      <c r="D143" s="520" t="str">
        <f>IF(C143="","",VLOOKUP($B143,'F-1 Off Site River Baseline'!$C$9:$R$257,3,FALSE))</f>
        <v/>
      </c>
      <c r="E143" s="520" t="str">
        <f>IF(D143="","",VLOOKUP($B143,'F-1 Off Site River Baseline'!$C$9:$R$257,4,FALSE))</f>
        <v/>
      </c>
      <c r="F143" s="520" t="str">
        <f>IF(E143="","",VLOOKUP($B143,'F-1 Off Site River Baseline'!$C$9:$R$257,5,FALSE))</f>
        <v/>
      </c>
      <c r="G143" s="520" t="str">
        <f>IF(F143="","",VLOOKUP($B143,'F-1 Off Site River Baseline'!$C$9:$R$257,6,FALSE))</f>
        <v/>
      </c>
      <c r="H143" s="520" t="str">
        <f>IF(G143="","",VLOOKUP($B143,'F-1 Off Site River Baseline'!$C$9:$R$257,7,FALSE))</f>
        <v/>
      </c>
      <c r="I143" s="520" t="str">
        <f>IF(H143="","",VLOOKUP($B143,'F-1 Off Site River Baseline'!$C$9:$R$257,8,FALSE))</f>
        <v/>
      </c>
      <c r="J143" s="520" t="str">
        <f>IF(I143="","",VLOOKUP($B143,'F-1 Off Site River Baseline'!$C$9:$R$257,9,FALSE))</f>
        <v/>
      </c>
      <c r="K143" s="520" t="str">
        <f>IF(J143="","",VLOOKUP($B143,'F-1 Off Site River Baseline'!$C$9:$R$257,10,FALSE))</f>
        <v/>
      </c>
      <c r="L143" s="520" t="str">
        <f>IF(B143="","",VLOOKUP($B143,'C-1 Site River Baseline'!$C$9:$R$257,15,FALSE))</f>
        <v/>
      </c>
      <c r="M143" s="524" t="str">
        <f>IF(L143="","",VLOOKUP($B143,'F-1 Off Site River Baseline'!$C$9:$R$257,16,FALSE))</f>
        <v/>
      </c>
      <c r="N143" s="418" t="str">
        <f t="shared" si="20"/>
        <v/>
      </c>
      <c r="O143" s="498" t="str">
        <f t="shared" si="21"/>
        <v/>
      </c>
      <c r="P143" s="499"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5" t="str">
        <f>IF(N143="","",VLOOKUP(B143,'F-1 Off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20" t="str">
        <f>IF(V143="","",IF(VLOOKUP(V143,'G-7 Rivers Data'!$AG$4:$AI$9,2,FALSE)=0,"Spatial Data Missing ⚠",VLOOKUP(V143,'G-7 Rivers Data'!$AG$4:$AI$9,2,FALSE)))</f>
        <v/>
      </c>
      <c r="X143" s="524" t="str">
        <f>IF(V143="","",IF(VLOOKUP(V143,'G-7 Rivers Data'!$AG$4:$AI$9,3,FALSE)=0,"Spatial Data Missing ⚠",VLOOKUP(V143,'G-7 Rivers Data'!$AG$4:$AI$9,3,FALSE)))</f>
        <v/>
      </c>
      <c r="Y143" s="537" t="str">
        <f>IFERROR(IF(OR(LEFT(P143,5)="Error ▲",LEFT(O143,5)="Error ▲"),"Check Data ⚠",IF(F143&lt;S143,'G-7 Rivers Data'!$R$3,INDEX('G-7 Rivers Data'!$U$5:$Y$9,MATCH(G143,'G-7 Rivers Data'!$T$5:$T$9,0),MATCH(T143,'G-7 Rivers Data'!$U$4:$Y$4,0)))),"")</f>
        <v/>
      </c>
      <c r="Z143" s="203"/>
      <c r="AA143" s="203"/>
      <c r="AB143" s="534" t="str">
        <f t="shared" si="16"/>
        <v/>
      </c>
      <c r="AC143" s="521" t="str">
        <f t="shared" si="17"/>
        <v/>
      </c>
      <c r="AD143" s="564" t="str">
        <f>IFERROR(IF(AC143="Check Data ⚠","Check Data ⚠",VLOOKUP(AC143,'G-4 Temporal multipliers'!$A$4:$C$37,3,FALSE)),"")</f>
        <v/>
      </c>
      <c r="AE143" s="537" t="str">
        <f>IF(N143="","",VLOOKUP(N143,'G-7 Rivers Data'!$B$4:$G$8,5,FALSE))</f>
        <v/>
      </c>
      <c r="AF143" s="520" t="str">
        <f t="shared" si="18"/>
        <v/>
      </c>
      <c r="AG143" s="520" t="str">
        <f t="shared" si="22"/>
        <v/>
      </c>
      <c r="AH143" s="524" t="str">
        <f t="shared" si="19"/>
        <v/>
      </c>
      <c r="AI143" s="145"/>
      <c r="AJ143" s="499" t="str">
        <f>IF(AI143="","",IF(VLOOKUP(AI143,'G-7 Rivers Data'!$AA$4:$AB$7,2,FALSE)=0,"Spatial Data Missing ⚠",VLOOKUP(AI143,'G-7 Rivers Data'!$AA$4:$AB$7,2,FALSE)))</f>
        <v/>
      </c>
      <c r="AK143" s="155"/>
      <c r="AL143" s="536" t="str">
        <f>IF(AK143="","",IF(VLOOKUP(AK143,'G-7 Rivers Data'!$AD$4:$AE$8,2,FALSE)=0,"Spatial Data Missing ⚠",VLOOKUP(AK143,'G-7 Rivers Data'!$AD$4:$AE$8,2,FALSE)))</f>
        <v/>
      </c>
      <c r="AM143" s="154"/>
      <c r="AN143" s="524" t="str">
        <f>IF(AM143="","",VLOOKUP(AM143,'G-7 Rivers Data'!$AO$4:$AP$7,2,FALSE))</f>
        <v/>
      </c>
      <c r="AO143" s="545" t="str">
        <f t="shared" si="23"/>
        <v/>
      </c>
      <c r="AP143" s="149"/>
      <c r="AQ143" s="150"/>
      <c r="AX143" s="31" t="str">
        <f>IFERROR(INDEX('G-7 Rivers Data'!$AZ$3:$AZ$7,MATCH(N143,'G-7 Rivers Data'!$AY$3:$AY$7,0)),"")</f>
        <v/>
      </c>
    </row>
    <row r="144" spans="2:50" ht="13.8" x14ac:dyDescent="0.25">
      <c r="B144" s="531" t="str">
        <f>'F-1 Off Site River Baseline'!AN142</f>
        <v/>
      </c>
      <c r="C144" s="520" t="str">
        <f>IF(B144="","",VLOOKUP($B144,'F-1 Off Site River Baseline'!$C$9:$R$257,2,FALSE))</f>
        <v/>
      </c>
      <c r="D144" s="520" t="str">
        <f>IF(C144="","",VLOOKUP($B144,'F-1 Off Site River Baseline'!$C$9:$R$257,3,FALSE))</f>
        <v/>
      </c>
      <c r="E144" s="520" t="str">
        <f>IF(D144="","",VLOOKUP($B144,'F-1 Off Site River Baseline'!$C$9:$R$257,4,FALSE))</f>
        <v/>
      </c>
      <c r="F144" s="520" t="str">
        <f>IF(E144="","",VLOOKUP($B144,'F-1 Off Site River Baseline'!$C$9:$R$257,5,FALSE))</f>
        <v/>
      </c>
      <c r="G144" s="520" t="str">
        <f>IF(F144="","",VLOOKUP($B144,'F-1 Off Site River Baseline'!$C$9:$R$257,6,FALSE))</f>
        <v/>
      </c>
      <c r="H144" s="520" t="str">
        <f>IF(G144="","",VLOOKUP($B144,'F-1 Off Site River Baseline'!$C$9:$R$257,7,FALSE))</f>
        <v/>
      </c>
      <c r="I144" s="520" t="str">
        <f>IF(H144="","",VLOOKUP($B144,'F-1 Off Site River Baseline'!$C$9:$R$257,8,FALSE))</f>
        <v/>
      </c>
      <c r="J144" s="520" t="str">
        <f>IF(I144="","",VLOOKUP($B144,'F-1 Off Site River Baseline'!$C$9:$R$257,9,FALSE))</f>
        <v/>
      </c>
      <c r="K144" s="520" t="str">
        <f>IF(J144="","",VLOOKUP($B144,'F-1 Off Site River Baseline'!$C$9:$R$257,10,FALSE))</f>
        <v/>
      </c>
      <c r="L144" s="520" t="str">
        <f>IF(B144="","",VLOOKUP($B144,'C-1 Site River Baseline'!$C$9:$R$257,15,FALSE))</f>
        <v/>
      </c>
      <c r="M144" s="524" t="str">
        <f>IF(L144="","",VLOOKUP($B144,'F-1 Off Site River Baseline'!$C$9:$R$257,16,FALSE))</f>
        <v/>
      </c>
      <c r="N144" s="418" t="str">
        <f t="shared" si="20"/>
        <v/>
      </c>
      <c r="O144" s="498" t="str">
        <f t="shared" si="21"/>
        <v/>
      </c>
      <c r="P144" s="499"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5" t="str">
        <f>IF(N144="","",VLOOKUP(B144,'F-1 Off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20" t="str">
        <f>IF(V144="","",IF(VLOOKUP(V144,'G-7 Rivers Data'!$AG$4:$AI$9,2,FALSE)=0,"Spatial Data Missing ⚠",VLOOKUP(V144,'G-7 Rivers Data'!$AG$4:$AI$9,2,FALSE)))</f>
        <v/>
      </c>
      <c r="X144" s="524" t="str">
        <f>IF(V144="","",IF(VLOOKUP(V144,'G-7 Rivers Data'!$AG$4:$AI$9,3,FALSE)=0,"Spatial Data Missing ⚠",VLOOKUP(V144,'G-7 Rivers Data'!$AG$4:$AI$9,3,FALSE)))</f>
        <v/>
      </c>
      <c r="Y144" s="537" t="str">
        <f>IFERROR(IF(OR(LEFT(P144,5)="Error ▲",LEFT(O144,5)="Error ▲"),"Check Data ⚠",IF(F144&lt;S144,'G-7 Rivers Data'!$R$3,INDEX('G-7 Rivers Data'!$U$5:$Y$9,MATCH(G144,'G-7 Rivers Data'!$T$5:$T$9,0),MATCH(T144,'G-7 Rivers Data'!$U$4:$Y$4,0)))),"")</f>
        <v/>
      </c>
      <c r="Z144" s="203"/>
      <c r="AA144" s="203"/>
      <c r="AB144" s="534" t="str">
        <f t="shared" si="16"/>
        <v/>
      </c>
      <c r="AC144" s="521" t="str">
        <f t="shared" si="17"/>
        <v/>
      </c>
      <c r="AD144" s="564" t="str">
        <f>IFERROR(IF(AC144="Check Data ⚠","Check Data ⚠",VLOOKUP(AC144,'G-4 Temporal multipliers'!$A$4:$C$37,3,FALSE)),"")</f>
        <v/>
      </c>
      <c r="AE144" s="537" t="str">
        <f>IF(N144="","",VLOOKUP(N144,'G-7 Rivers Data'!$B$4:$G$8,5,FALSE))</f>
        <v/>
      </c>
      <c r="AF144" s="520" t="str">
        <f t="shared" si="18"/>
        <v/>
      </c>
      <c r="AG144" s="520" t="str">
        <f t="shared" si="22"/>
        <v/>
      </c>
      <c r="AH144" s="524" t="str">
        <f t="shared" si="19"/>
        <v/>
      </c>
      <c r="AI144" s="145"/>
      <c r="AJ144" s="499" t="str">
        <f>IF(AI144="","",IF(VLOOKUP(AI144,'G-7 Rivers Data'!$AA$4:$AB$7,2,FALSE)=0,"Spatial Data Missing ⚠",VLOOKUP(AI144,'G-7 Rivers Data'!$AA$4:$AB$7,2,FALSE)))</f>
        <v/>
      </c>
      <c r="AK144" s="155"/>
      <c r="AL144" s="536" t="str">
        <f>IF(AK144="","",IF(VLOOKUP(AK144,'G-7 Rivers Data'!$AD$4:$AE$8,2,FALSE)=0,"Spatial Data Missing ⚠",VLOOKUP(AK144,'G-7 Rivers Data'!$AD$4:$AE$8,2,FALSE)))</f>
        <v/>
      </c>
      <c r="AM144" s="154"/>
      <c r="AN144" s="524" t="str">
        <f>IF(AM144="","",VLOOKUP(AM144,'G-7 Rivers Data'!$AO$4:$AP$7,2,FALSE))</f>
        <v/>
      </c>
      <c r="AO144" s="545" t="str">
        <f t="shared" si="23"/>
        <v/>
      </c>
      <c r="AP144" s="149"/>
      <c r="AQ144" s="150"/>
      <c r="AX144" s="31" t="str">
        <f>IFERROR(INDEX('G-7 Rivers Data'!$AZ$3:$AZ$7,MATCH(N144,'G-7 Rivers Data'!$AY$3:$AY$7,0)),"")</f>
        <v/>
      </c>
    </row>
    <row r="145" spans="2:50" ht="13.8" x14ac:dyDescent="0.25">
      <c r="B145" s="531" t="str">
        <f>'F-1 Off Site River Baseline'!AN143</f>
        <v/>
      </c>
      <c r="C145" s="520" t="str">
        <f>IF(B145="","",VLOOKUP($B145,'F-1 Off Site River Baseline'!$C$9:$R$257,2,FALSE))</f>
        <v/>
      </c>
      <c r="D145" s="520" t="str">
        <f>IF(C145="","",VLOOKUP($B145,'F-1 Off Site River Baseline'!$C$9:$R$257,3,FALSE))</f>
        <v/>
      </c>
      <c r="E145" s="520" t="str">
        <f>IF(D145="","",VLOOKUP($B145,'F-1 Off Site River Baseline'!$C$9:$R$257,4,FALSE))</f>
        <v/>
      </c>
      <c r="F145" s="520" t="str">
        <f>IF(E145="","",VLOOKUP($B145,'F-1 Off Site River Baseline'!$C$9:$R$257,5,FALSE))</f>
        <v/>
      </c>
      <c r="G145" s="520" t="str">
        <f>IF(F145="","",VLOOKUP($B145,'F-1 Off Site River Baseline'!$C$9:$R$257,6,FALSE))</f>
        <v/>
      </c>
      <c r="H145" s="520" t="str">
        <f>IF(G145="","",VLOOKUP($B145,'F-1 Off Site River Baseline'!$C$9:$R$257,7,FALSE))</f>
        <v/>
      </c>
      <c r="I145" s="520" t="str">
        <f>IF(H145="","",VLOOKUP($B145,'F-1 Off Site River Baseline'!$C$9:$R$257,8,FALSE))</f>
        <v/>
      </c>
      <c r="J145" s="520" t="str">
        <f>IF(I145="","",VLOOKUP($B145,'F-1 Off Site River Baseline'!$C$9:$R$257,9,FALSE))</f>
        <v/>
      </c>
      <c r="K145" s="520" t="str">
        <f>IF(J145="","",VLOOKUP($B145,'F-1 Off Site River Baseline'!$C$9:$R$257,10,FALSE))</f>
        <v/>
      </c>
      <c r="L145" s="520" t="str">
        <f>IF(B145="","",VLOOKUP($B145,'C-1 Site River Baseline'!$C$9:$R$257,15,FALSE))</f>
        <v/>
      </c>
      <c r="M145" s="524" t="str">
        <f>IF(L145="","",VLOOKUP($B145,'F-1 Off Site River Baseline'!$C$9:$R$257,16,FALSE))</f>
        <v/>
      </c>
      <c r="N145" s="418" t="str">
        <f t="shared" si="20"/>
        <v/>
      </c>
      <c r="O145" s="498" t="str">
        <f t="shared" si="21"/>
        <v/>
      </c>
      <c r="P145" s="499"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5" t="str">
        <f>IF(N145="","",VLOOKUP(B145,'F-1 Off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20" t="str">
        <f>IF(V145="","",IF(VLOOKUP(V145,'G-7 Rivers Data'!$AG$4:$AI$9,2,FALSE)=0,"Spatial Data Missing ⚠",VLOOKUP(V145,'G-7 Rivers Data'!$AG$4:$AI$9,2,FALSE)))</f>
        <v/>
      </c>
      <c r="X145" s="524" t="str">
        <f>IF(V145="","",IF(VLOOKUP(V145,'G-7 Rivers Data'!$AG$4:$AI$9,3,FALSE)=0,"Spatial Data Missing ⚠",VLOOKUP(V145,'G-7 Rivers Data'!$AG$4:$AI$9,3,FALSE)))</f>
        <v/>
      </c>
      <c r="Y145" s="537" t="str">
        <f>IFERROR(IF(OR(LEFT(P145,5)="Error ▲",LEFT(O145,5)="Error ▲"),"Check Data ⚠",IF(F145&lt;S145,'G-7 Rivers Data'!$R$3,INDEX('G-7 Rivers Data'!$U$5:$Y$9,MATCH(G145,'G-7 Rivers Data'!$T$5:$T$9,0),MATCH(T145,'G-7 Rivers Data'!$U$4:$Y$4,0)))),"")</f>
        <v/>
      </c>
      <c r="Z145" s="203"/>
      <c r="AA145" s="203"/>
      <c r="AB145" s="534" t="str">
        <f t="shared" si="16"/>
        <v/>
      </c>
      <c r="AC145" s="521" t="str">
        <f t="shared" si="17"/>
        <v/>
      </c>
      <c r="AD145" s="564" t="str">
        <f>IFERROR(IF(AC145="Check Data ⚠","Check Data ⚠",VLOOKUP(AC145,'G-4 Temporal multipliers'!$A$4:$C$37,3,FALSE)),"")</f>
        <v/>
      </c>
      <c r="AE145" s="537" t="str">
        <f>IF(N145="","",VLOOKUP(N145,'G-7 Rivers Data'!$B$4:$G$8,5,FALSE))</f>
        <v/>
      </c>
      <c r="AF145" s="520" t="str">
        <f t="shared" si="18"/>
        <v/>
      </c>
      <c r="AG145" s="520" t="str">
        <f t="shared" si="22"/>
        <v/>
      </c>
      <c r="AH145" s="524" t="str">
        <f t="shared" si="19"/>
        <v/>
      </c>
      <c r="AI145" s="145"/>
      <c r="AJ145" s="499" t="str">
        <f>IF(AI145="","",IF(VLOOKUP(AI145,'G-7 Rivers Data'!$AA$4:$AB$7,2,FALSE)=0,"Spatial Data Missing ⚠",VLOOKUP(AI145,'G-7 Rivers Data'!$AA$4:$AB$7,2,FALSE)))</f>
        <v/>
      </c>
      <c r="AK145" s="155"/>
      <c r="AL145" s="536" t="str">
        <f>IF(AK145="","",IF(VLOOKUP(AK145,'G-7 Rivers Data'!$AD$4:$AE$8,2,FALSE)=0,"Spatial Data Missing ⚠",VLOOKUP(AK145,'G-7 Rivers Data'!$AD$4:$AE$8,2,FALSE)))</f>
        <v/>
      </c>
      <c r="AM145" s="154"/>
      <c r="AN145" s="524" t="str">
        <f>IF(AM145="","",VLOOKUP(AM145,'G-7 Rivers Data'!$AO$4:$AP$7,2,FALSE))</f>
        <v/>
      </c>
      <c r="AO145" s="545" t="str">
        <f t="shared" si="23"/>
        <v/>
      </c>
      <c r="AP145" s="149"/>
      <c r="AQ145" s="150"/>
      <c r="AX145" s="31" t="str">
        <f>IFERROR(INDEX('G-7 Rivers Data'!$AZ$3:$AZ$7,MATCH(N145,'G-7 Rivers Data'!$AY$3:$AY$7,0)),"")</f>
        <v/>
      </c>
    </row>
    <row r="146" spans="2:50" ht="13.8" x14ac:dyDescent="0.25">
      <c r="B146" s="531" t="str">
        <f>'F-1 Off Site River Baseline'!AN144</f>
        <v/>
      </c>
      <c r="C146" s="520" t="str">
        <f>IF(B146="","",VLOOKUP($B146,'F-1 Off Site River Baseline'!$C$9:$R$257,2,FALSE))</f>
        <v/>
      </c>
      <c r="D146" s="520" t="str">
        <f>IF(C146="","",VLOOKUP($B146,'F-1 Off Site River Baseline'!$C$9:$R$257,3,FALSE))</f>
        <v/>
      </c>
      <c r="E146" s="520" t="str">
        <f>IF(D146="","",VLOOKUP($B146,'F-1 Off Site River Baseline'!$C$9:$R$257,4,FALSE))</f>
        <v/>
      </c>
      <c r="F146" s="520" t="str">
        <f>IF(E146="","",VLOOKUP($B146,'F-1 Off Site River Baseline'!$C$9:$R$257,5,FALSE))</f>
        <v/>
      </c>
      <c r="G146" s="520" t="str">
        <f>IF(F146="","",VLOOKUP($B146,'F-1 Off Site River Baseline'!$C$9:$R$257,6,FALSE))</f>
        <v/>
      </c>
      <c r="H146" s="520" t="str">
        <f>IF(G146="","",VLOOKUP($B146,'F-1 Off Site River Baseline'!$C$9:$R$257,7,FALSE))</f>
        <v/>
      </c>
      <c r="I146" s="520" t="str">
        <f>IF(H146="","",VLOOKUP($B146,'F-1 Off Site River Baseline'!$C$9:$R$257,8,FALSE))</f>
        <v/>
      </c>
      <c r="J146" s="520" t="str">
        <f>IF(I146="","",VLOOKUP($B146,'F-1 Off Site River Baseline'!$C$9:$R$257,9,FALSE))</f>
        <v/>
      </c>
      <c r="K146" s="520" t="str">
        <f>IF(J146="","",VLOOKUP($B146,'F-1 Off Site River Baseline'!$C$9:$R$257,10,FALSE))</f>
        <v/>
      </c>
      <c r="L146" s="520" t="str">
        <f>IF(B146="","",VLOOKUP($B146,'C-1 Site River Baseline'!$C$9:$R$257,15,FALSE))</f>
        <v/>
      </c>
      <c r="M146" s="524" t="str">
        <f>IF(L146="","",VLOOKUP($B146,'F-1 Off Site River Baseline'!$C$9:$R$257,16,FALSE))</f>
        <v/>
      </c>
      <c r="N146" s="418" t="str">
        <f t="shared" si="20"/>
        <v/>
      </c>
      <c r="O146" s="498" t="str">
        <f t="shared" si="21"/>
        <v/>
      </c>
      <c r="P146" s="499"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5" t="str">
        <f>IF(N146="","",VLOOKUP(B146,'F-1 Off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20" t="str">
        <f>IF(V146="","",IF(VLOOKUP(V146,'G-7 Rivers Data'!$AG$4:$AI$9,2,FALSE)=0,"Spatial Data Missing ⚠",VLOOKUP(V146,'G-7 Rivers Data'!$AG$4:$AI$9,2,FALSE)))</f>
        <v/>
      </c>
      <c r="X146" s="524" t="str">
        <f>IF(V146="","",IF(VLOOKUP(V146,'G-7 Rivers Data'!$AG$4:$AI$9,3,FALSE)=0,"Spatial Data Missing ⚠",VLOOKUP(V146,'G-7 Rivers Data'!$AG$4:$AI$9,3,FALSE)))</f>
        <v/>
      </c>
      <c r="Y146" s="537" t="str">
        <f>IFERROR(IF(OR(LEFT(P146,5)="Error ▲",LEFT(O146,5)="Error ▲"),"Check Data ⚠",IF(F146&lt;S146,'G-7 Rivers Data'!$R$3,INDEX('G-7 Rivers Data'!$U$5:$Y$9,MATCH(G146,'G-7 Rivers Data'!$T$5:$T$9,0),MATCH(T146,'G-7 Rivers Data'!$U$4:$Y$4,0)))),"")</f>
        <v/>
      </c>
      <c r="Z146" s="203"/>
      <c r="AA146" s="203"/>
      <c r="AB146" s="534" t="str">
        <f t="shared" si="16"/>
        <v/>
      </c>
      <c r="AC146" s="521" t="str">
        <f t="shared" si="17"/>
        <v/>
      </c>
      <c r="AD146" s="564" t="str">
        <f>IFERROR(IF(AC146="Check Data ⚠","Check Data ⚠",VLOOKUP(AC146,'G-4 Temporal multipliers'!$A$4:$C$37,3,FALSE)),"")</f>
        <v/>
      </c>
      <c r="AE146" s="537" t="str">
        <f>IF(N146="","",VLOOKUP(N146,'G-7 Rivers Data'!$B$4:$G$8,5,FALSE))</f>
        <v/>
      </c>
      <c r="AF146" s="520" t="str">
        <f t="shared" si="18"/>
        <v/>
      </c>
      <c r="AG146" s="520" t="str">
        <f t="shared" si="22"/>
        <v/>
      </c>
      <c r="AH146" s="524" t="str">
        <f t="shared" si="19"/>
        <v/>
      </c>
      <c r="AI146" s="145"/>
      <c r="AJ146" s="499" t="str">
        <f>IF(AI146="","",IF(VLOOKUP(AI146,'G-7 Rivers Data'!$AA$4:$AB$7,2,FALSE)=0,"Spatial Data Missing ⚠",VLOOKUP(AI146,'G-7 Rivers Data'!$AA$4:$AB$7,2,FALSE)))</f>
        <v/>
      </c>
      <c r="AK146" s="155"/>
      <c r="AL146" s="536" t="str">
        <f>IF(AK146="","",IF(VLOOKUP(AK146,'G-7 Rivers Data'!$AD$4:$AE$8,2,FALSE)=0,"Spatial Data Missing ⚠",VLOOKUP(AK146,'G-7 Rivers Data'!$AD$4:$AE$8,2,FALSE)))</f>
        <v/>
      </c>
      <c r="AM146" s="154"/>
      <c r="AN146" s="524" t="str">
        <f>IF(AM146="","",VLOOKUP(AM146,'G-7 Rivers Data'!$AO$4:$AP$7,2,FALSE))</f>
        <v/>
      </c>
      <c r="AO146" s="545" t="str">
        <f t="shared" si="23"/>
        <v/>
      </c>
      <c r="AP146" s="149"/>
      <c r="AQ146" s="150"/>
      <c r="AX146" s="31" t="str">
        <f>IFERROR(INDEX('G-7 Rivers Data'!$AZ$3:$AZ$7,MATCH(N146,'G-7 Rivers Data'!$AY$3:$AY$7,0)),"")</f>
        <v/>
      </c>
    </row>
    <row r="147" spans="2:50" ht="13.8" x14ac:dyDescent="0.25">
      <c r="B147" s="531" t="str">
        <f>'F-1 Off Site River Baseline'!AN145</f>
        <v/>
      </c>
      <c r="C147" s="520" t="str">
        <f>IF(B147="","",VLOOKUP($B147,'F-1 Off Site River Baseline'!$C$9:$R$257,2,FALSE))</f>
        <v/>
      </c>
      <c r="D147" s="520" t="str">
        <f>IF(C147="","",VLOOKUP($B147,'F-1 Off Site River Baseline'!$C$9:$R$257,3,FALSE))</f>
        <v/>
      </c>
      <c r="E147" s="520" t="str">
        <f>IF(D147="","",VLOOKUP($B147,'F-1 Off Site River Baseline'!$C$9:$R$257,4,FALSE))</f>
        <v/>
      </c>
      <c r="F147" s="520" t="str">
        <f>IF(E147="","",VLOOKUP($B147,'F-1 Off Site River Baseline'!$C$9:$R$257,5,FALSE))</f>
        <v/>
      </c>
      <c r="G147" s="520" t="str">
        <f>IF(F147="","",VLOOKUP($B147,'F-1 Off Site River Baseline'!$C$9:$R$257,6,FALSE))</f>
        <v/>
      </c>
      <c r="H147" s="520" t="str">
        <f>IF(G147="","",VLOOKUP($B147,'F-1 Off Site River Baseline'!$C$9:$R$257,7,FALSE))</f>
        <v/>
      </c>
      <c r="I147" s="520" t="str">
        <f>IF(H147="","",VLOOKUP($B147,'F-1 Off Site River Baseline'!$C$9:$R$257,8,FALSE))</f>
        <v/>
      </c>
      <c r="J147" s="520" t="str">
        <f>IF(I147="","",VLOOKUP($B147,'F-1 Off Site River Baseline'!$C$9:$R$257,9,FALSE))</f>
        <v/>
      </c>
      <c r="K147" s="520" t="str">
        <f>IF(J147="","",VLOOKUP($B147,'F-1 Off Site River Baseline'!$C$9:$R$257,10,FALSE))</f>
        <v/>
      </c>
      <c r="L147" s="520" t="str">
        <f>IF(B147="","",VLOOKUP($B147,'C-1 Site River Baseline'!$C$9:$R$257,15,FALSE))</f>
        <v/>
      </c>
      <c r="M147" s="524" t="str">
        <f>IF(L147="","",VLOOKUP($B147,'F-1 Off Site River Baseline'!$C$9:$R$257,16,FALSE))</f>
        <v/>
      </c>
      <c r="N147" s="418" t="str">
        <f t="shared" si="20"/>
        <v/>
      </c>
      <c r="O147" s="498" t="str">
        <f t="shared" si="21"/>
        <v/>
      </c>
      <c r="P147" s="499"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5" t="str">
        <f>IF(N147="","",VLOOKUP(B147,'F-1 Off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20" t="str">
        <f>IF(V147="","",IF(VLOOKUP(V147,'G-7 Rivers Data'!$AG$4:$AI$9,2,FALSE)=0,"Spatial Data Missing ⚠",VLOOKUP(V147,'G-7 Rivers Data'!$AG$4:$AI$9,2,FALSE)))</f>
        <v/>
      </c>
      <c r="X147" s="524" t="str">
        <f>IF(V147="","",IF(VLOOKUP(V147,'G-7 Rivers Data'!$AG$4:$AI$9,3,FALSE)=0,"Spatial Data Missing ⚠",VLOOKUP(V147,'G-7 Rivers Data'!$AG$4:$AI$9,3,FALSE)))</f>
        <v/>
      </c>
      <c r="Y147" s="537" t="str">
        <f>IFERROR(IF(OR(LEFT(P147,5)="Error ▲",LEFT(O147,5)="Error ▲"),"Check Data ⚠",IF(F147&lt;S147,'G-7 Rivers Data'!$R$3,INDEX('G-7 Rivers Data'!$U$5:$Y$9,MATCH(G147,'G-7 Rivers Data'!$T$5:$T$9,0),MATCH(T147,'G-7 Rivers Data'!$U$4:$Y$4,0)))),"")</f>
        <v/>
      </c>
      <c r="Z147" s="203"/>
      <c r="AA147" s="203"/>
      <c r="AB147" s="534" t="str">
        <f t="shared" si="16"/>
        <v/>
      </c>
      <c r="AC147" s="521" t="str">
        <f t="shared" si="17"/>
        <v/>
      </c>
      <c r="AD147" s="564" t="str">
        <f>IFERROR(IF(AC147="Check Data ⚠","Check Data ⚠",VLOOKUP(AC147,'G-4 Temporal multipliers'!$A$4:$C$37,3,FALSE)),"")</f>
        <v/>
      </c>
      <c r="AE147" s="537" t="str">
        <f>IF(N147="","",VLOOKUP(N147,'G-7 Rivers Data'!$B$4:$G$8,5,FALSE))</f>
        <v/>
      </c>
      <c r="AF147" s="520" t="str">
        <f t="shared" si="18"/>
        <v/>
      </c>
      <c r="AG147" s="520" t="str">
        <f t="shared" si="22"/>
        <v/>
      </c>
      <c r="AH147" s="524" t="str">
        <f t="shared" si="19"/>
        <v/>
      </c>
      <c r="AI147" s="145"/>
      <c r="AJ147" s="499" t="str">
        <f>IF(AI147="","",IF(VLOOKUP(AI147,'G-7 Rivers Data'!$AA$4:$AB$7,2,FALSE)=0,"Spatial Data Missing ⚠",VLOOKUP(AI147,'G-7 Rivers Data'!$AA$4:$AB$7,2,FALSE)))</f>
        <v/>
      </c>
      <c r="AK147" s="155"/>
      <c r="AL147" s="536" t="str">
        <f>IF(AK147="","",IF(VLOOKUP(AK147,'G-7 Rivers Data'!$AD$4:$AE$8,2,FALSE)=0,"Spatial Data Missing ⚠",VLOOKUP(AK147,'G-7 Rivers Data'!$AD$4:$AE$8,2,FALSE)))</f>
        <v/>
      </c>
      <c r="AM147" s="154"/>
      <c r="AN147" s="524" t="str">
        <f>IF(AM147="","",VLOOKUP(AM147,'G-7 Rivers Data'!$AO$4:$AP$7,2,FALSE))</f>
        <v/>
      </c>
      <c r="AO147" s="545" t="str">
        <f t="shared" si="23"/>
        <v/>
      </c>
      <c r="AP147" s="149"/>
      <c r="AQ147" s="150"/>
      <c r="AX147" s="31" t="str">
        <f>IFERROR(INDEX('G-7 Rivers Data'!$AZ$3:$AZ$7,MATCH(N147,'G-7 Rivers Data'!$AY$3:$AY$7,0)),"")</f>
        <v/>
      </c>
    </row>
    <row r="148" spans="2:50" ht="13.8" x14ac:dyDescent="0.25">
      <c r="B148" s="531" t="str">
        <f>'F-1 Off Site River Baseline'!AN146</f>
        <v/>
      </c>
      <c r="C148" s="520" t="str">
        <f>IF(B148="","",VLOOKUP($B148,'F-1 Off Site River Baseline'!$C$9:$R$257,2,FALSE))</f>
        <v/>
      </c>
      <c r="D148" s="520" t="str">
        <f>IF(C148="","",VLOOKUP($B148,'F-1 Off Site River Baseline'!$C$9:$R$257,3,FALSE))</f>
        <v/>
      </c>
      <c r="E148" s="520" t="str">
        <f>IF(D148="","",VLOOKUP($B148,'F-1 Off Site River Baseline'!$C$9:$R$257,4,FALSE))</f>
        <v/>
      </c>
      <c r="F148" s="520" t="str">
        <f>IF(E148="","",VLOOKUP($B148,'F-1 Off Site River Baseline'!$C$9:$R$257,5,FALSE))</f>
        <v/>
      </c>
      <c r="G148" s="520" t="str">
        <f>IF(F148="","",VLOOKUP($B148,'F-1 Off Site River Baseline'!$C$9:$R$257,6,FALSE))</f>
        <v/>
      </c>
      <c r="H148" s="520" t="str">
        <f>IF(G148="","",VLOOKUP($B148,'F-1 Off Site River Baseline'!$C$9:$R$257,7,FALSE))</f>
        <v/>
      </c>
      <c r="I148" s="520" t="str">
        <f>IF(H148="","",VLOOKUP($B148,'F-1 Off Site River Baseline'!$C$9:$R$257,8,FALSE))</f>
        <v/>
      </c>
      <c r="J148" s="520" t="str">
        <f>IF(I148="","",VLOOKUP($B148,'F-1 Off Site River Baseline'!$C$9:$R$257,9,FALSE))</f>
        <v/>
      </c>
      <c r="K148" s="520" t="str">
        <f>IF(J148="","",VLOOKUP($B148,'F-1 Off Site River Baseline'!$C$9:$R$257,10,FALSE))</f>
        <v/>
      </c>
      <c r="L148" s="520" t="str">
        <f>IF(B148="","",VLOOKUP($B148,'C-1 Site River Baseline'!$C$9:$R$257,15,FALSE))</f>
        <v/>
      </c>
      <c r="M148" s="524" t="str">
        <f>IF(L148="","",VLOOKUP($B148,'F-1 Off Site River Baseline'!$C$9:$R$257,16,FALSE))</f>
        <v/>
      </c>
      <c r="N148" s="418" t="str">
        <f t="shared" si="20"/>
        <v/>
      </c>
      <c r="O148" s="498" t="str">
        <f t="shared" si="21"/>
        <v/>
      </c>
      <c r="P148" s="499"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5" t="str">
        <f>IF(N148="","",VLOOKUP(B148,'F-1 Off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20" t="str">
        <f>IF(V148="","",IF(VLOOKUP(V148,'G-7 Rivers Data'!$AG$4:$AI$9,2,FALSE)=0,"Spatial Data Missing ⚠",VLOOKUP(V148,'G-7 Rivers Data'!$AG$4:$AI$9,2,FALSE)))</f>
        <v/>
      </c>
      <c r="X148" s="524" t="str">
        <f>IF(V148="","",IF(VLOOKUP(V148,'G-7 Rivers Data'!$AG$4:$AI$9,3,FALSE)=0,"Spatial Data Missing ⚠",VLOOKUP(V148,'G-7 Rivers Data'!$AG$4:$AI$9,3,FALSE)))</f>
        <v/>
      </c>
      <c r="Y148" s="537" t="str">
        <f>IFERROR(IF(OR(LEFT(P148,5)="Error ▲",LEFT(O148,5)="Error ▲"),"Check Data ⚠",IF(F148&lt;S148,'G-7 Rivers Data'!$R$3,INDEX('G-7 Rivers Data'!$U$5:$Y$9,MATCH(G148,'G-7 Rivers Data'!$T$5:$T$9,0),MATCH(T148,'G-7 Rivers Data'!$U$4:$Y$4,0)))),"")</f>
        <v/>
      </c>
      <c r="Z148" s="203"/>
      <c r="AA148" s="203"/>
      <c r="AB148" s="534" t="str">
        <f t="shared" si="16"/>
        <v/>
      </c>
      <c r="AC148" s="521" t="str">
        <f t="shared" si="17"/>
        <v/>
      </c>
      <c r="AD148" s="564" t="str">
        <f>IFERROR(IF(AC148="Check Data ⚠","Check Data ⚠",VLOOKUP(AC148,'G-4 Temporal multipliers'!$A$4:$C$37,3,FALSE)),"")</f>
        <v/>
      </c>
      <c r="AE148" s="537" t="str">
        <f>IF(N148="","",VLOOKUP(N148,'G-7 Rivers Data'!$B$4:$G$8,5,FALSE))</f>
        <v/>
      </c>
      <c r="AF148" s="520" t="str">
        <f t="shared" si="18"/>
        <v/>
      </c>
      <c r="AG148" s="520" t="str">
        <f t="shared" si="22"/>
        <v/>
      </c>
      <c r="AH148" s="524" t="str">
        <f t="shared" si="19"/>
        <v/>
      </c>
      <c r="AI148" s="145"/>
      <c r="AJ148" s="499" t="str">
        <f>IF(AI148="","",IF(VLOOKUP(AI148,'G-7 Rivers Data'!$AA$4:$AB$7,2,FALSE)=0,"Spatial Data Missing ⚠",VLOOKUP(AI148,'G-7 Rivers Data'!$AA$4:$AB$7,2,FALSE)))</f>
        <v/>
      </c>
      <c r="AK148" s="155"/>
      <c r="AL148" s="536" t="str">
        <f>IF(AK148="","",IF(VLOOKUP(AK148,'G-7 Rivers Data'!$AD$4:$AE$8,2,FALSE)=0,"Spatial Data Missing ⚠",VLOOKUP(AK148,'G-7 Rivers Data'!$AD$4:$AE$8,2,FALSE)))</f>
        <v/>
      </c>
      <c r="AM148" s="154"/>
      <c r="AN148" s="524" t="str">
        <f>IF(AM148="","",VLOOKUP(AM148,'G-7 Rivers Data'!$AO$4:$AP$7,2,FALSE))</f>
        <v/>
      </c>
      <c r="AO148" s="545" t="str">
        <f t="shared" si="23"/>
        <v/>
      </c>
      <c r="AP148" s="149"/>
      <c r="AQ148" s="150"/>
      <c r="AX148" s="31" t="str">
        <f>IFERROR(INDEX('G-7 Rivers Data'!$AZ$3:$AZ$7,MATCH(N148,'G-7 Rivers Data'!$AY$3:$AY$7,0)),"")</f>
        <v/>
      </c>
    </row>
    <row r="149" spans="2:50" ht="13.8" x14ac:dyDescent="0.25">
      <c r="B149" s="531" t="str">
        <f>'F-1 Off Site River Baseline'!AN147</f>
        <v/>
      </c>
      <c r="C149" s="520" t="str">
        <f>IF(B149="","",VLOOKUP($B149,'F-1 Off Site River Baseline'!$C$9:$R$257,2,FALSE))</f>
        <v/>
      </c>
      <c r="D149" s="520" t="str">
        <f>IF(C149="","",VLOOKUP($B149,'F-1 Off Site River Baseline'!$C$9:$R$257,3,FALSE))</f>
        <v/>
      </c>
      <c r="E149" s="520" t="str">
        <f>IF(D149="","",VLOOKUP($B149,'F-1 Off Site River Baseline'!$C$9:$R$257,4,FALSE))</f>
        <v/>
      </c>
      <c r="F149" s="520" t="str">
        <f>IF(E149="","",VLOOKUP($B149,'F-1 Off Site River Baseline'!$C$9:$R$257,5,FALSE))</f>
        <v/>
      </c>
      <c r="G149" s="520" t="str">
        <f>IF(F149="","",VLOOKUP($B149,'F-1 Off Site River Baseline'!$C$9:$R$257,6,FALSE))</f>
        <v/>
      </c>
      <c r="H149" s="520" t="str">
        <f>IF(G149="","",VLOOKUP($B149,'F-1 Off Site River Baseline'!$C$9:$R$257,7,FALSE))</f>
        <v/>
      </c>
      <c r="I149" s="520" t="str">
        <f>IF(H149="","",VLOOKUP($B149,'F-1 Off Site River Baseline'!$C$9:$R$257,8,FALSE))</f>
        <v/>
      </c>
      <c r="J149" s="520" t="str">
        <f>IF(I149="","",VLOOKUP($B149,'F-1 Off Site River Baseline'!$C$9:$R$257,9,FALSE))</f>
        <v/>
      </c>
      <c r="K149" s="520" t="str">
        <f>IF(J149="","",VLOOKUP($B149,'F-1 Off Site River Baseline'!$C$9:$R$257,10,FALSE))</f>
        <v/>
      </c>
      <c r="L149" s="520" t="str">
        <f>IF(B149="","",VLOOKUP($B149,'C-1 Site River Baseline'!$C$9:$R$257,15,FALSE))</f>
        <v/>
      </c>
      <c r="M149" s="524" t="str">
        <f>IF(L149="","",VLOOKUP($B149,'F-1 Off Site River Baseline'!$C$9:$R$257,16,FALSE))</f>
        <v/>
      </c>
      <c r="N149" s="418" t="str">
        <f t="shared" si="20"/>
        <v/>
      </c>
      <c r="O149" s="498" t="str">
        <f t="shared" si="21"/>
        <v/>
      </c>
      <c r="P149" s="499"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5" t="str">
        <f>IF(N149="","",VLOOKUP(B149,'F-1 Off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20" t="str">
        <f>IF(V149="","",IF(VLOOKUP(V149,'G-7 Rivers Data'!$AG$4:$AI$9,2,FALSE)=0,"Spatial Data Missing ⚠",VLOOKUP(V149,'G-7 Rivers Data'!$AG$4:$AI$9,2,FALSE)))</f>
        <v/>
      </c>
      <c r="X149" s="524" t="str">
        <f>IF(V149="","",IF(VLOOKUP(V149,'G-7 Rivers Data'!$AG$4:$AI$9,3,FALSE)=0,"Spatial Data Missing ⚠",VLOOKUP(V149,'G-7 Rivers Data'!$AG$4:$AI$9,3,FALSE)))</f>
        <v/>
      </c>
      <c r="Y149" s="537" t="str">
        <f>IFERROR(IF(OR(LEFT(P149,5)="Error ▲",LEFT(O149,5)="Error ▲"),"Check Data ⚠",IF(F149&lt;S149,'G-7 Rivers Data'!$R$3,INDEX('G-7 Rivers Data'!$U$5:$Y$9,MATCH(G149,'G-7 Rivers Data'!$T$5:$T$9,0),MATCH(T149,'G-7 Rivers Data'!$U$4:$Y$4,0)))),"")</f>
        <v/>
      </c>
      <c r="Z149" s="203"/>
      <c r="AA149" s="203"/>
      <c r="AB149" s="534" t="str">
        <f t="shared" si="16"/>
        <v/>
      </c>
      <c r="AC149" s="521" t="str">
        <f t="shared" si="17"/>
        <v/>
      </c>
      <c r="AD149" s="564" t="str">
        <f>IFERROR(IF(AC149="Check Data ⚠","Check Data ⚠",VLOOKUP(AC149,'G-4 Temporal multipliers'!$A$4:$C$37,3,FALSE)),"")</f>
        <v/>
      </c>
      <c r="AE149" s="537" t="str">
        <f>IF(N149="","",VLOOKUP(N149,'G-7 Rivers Data'!$B$4:$G$8,5,FALSE))</f>
        <v/>
      </c>
      <c r="AF149" s="520" t="str">
        <f t="shared" si="18"/>
        <v/>
      </c>
      <c r="AG149" s="520" t="str">
        <f t="shared" si="22"/>
        <v/>
      </c>
      <c r="AH149" s="524" t="str">
        <f t="shared" si="19"/>
        <v/>
      </c>
      <c r="AI149" s="145"/>
      <c r="AJ149" s="499" t="str">
        <f>IF(AI149="","",IF(VLOOKUP(AI149,'G-7 Rivers Data'!$AA$4:$AB$7,2,FALSE)=0,"Spatial Data Missing ⚠",VLOOKUP(AI149,'G-7 Rivers Data'!$AA$4:$AB$7,2,FALSE)))</f>
        <v/>
      </c>
      <c r="AK149" s="155"/>
      <c r="AL149" s="536" t="str">
        <f>IF(AK149="","",IF(VLOOKUP(AK149,'G-7 Rivers Data'!$AD$4:$AE$8,2,FALSE)=0,"Spatial Data Missing ⚠",VLOOKUP(AK149,'G-7 Rivers Data'!$AD$4:$AE$8,2,FALSE)))</f>
        <v/>
      </c>
      <c r="AM149" s="154"/>
      <c r="AN149" s="524" t="str">
        <f>IF(AM149="","",VLOOKUP(AM149,'G-7 Rivers Data'!$AO$4:$AP$7,2,FALSE))</f>
        <v/>
      </c>
      <c r="AO149" s="545" t="str">
        <f t="shared" si="23"/>
        <v/>
      </c>
      <c r="AP149" s="149"/>
      <c r="AQ149" s="150"/>
      <c r="AX149" s="31" t="str">
        <f>IFERROR(INDEX('G-7 Rivers Data'!$AZ$3:$AZ$7,MATCH(N149,'G-7 Rivers Data'!$AY$3:$AY$7,0)),"")</f>
        <v/>
      </c>
    </row>
    <row r="150" spans="2:50" ht="13.8" x14ac:dyDescent="0.25">
      <c r="B150" s="531" t="str">
        <f>'F-1 Off Site River Baseline'!AN148</f>
        <v/>
      </c>
      <c r="C150" s="520" t="str">
        <f>IF(B150="","",VLOOKUP($B150,'F-1 Off Site River Baseline'!$C$9:$R$257,2,FALSE))</f>
        <v/>
      </c>
      <c r="D150" s="520" t="str">
        <f>IF(C150="","",VLOOKUP($B150,'F-1 Off Site River Baseline'!$C$9:$R$257,3,FALSE))</f>
        <v/>
      </c>
      <c r="E150" s="520" t="str">
        <f>IF(D150="","",VLOOKUP($B150,'F-1 Off Site River Baseline'!$C$9:$R$257,4,FALSE))</f>
        <v/>
      </c>
      <c r="F150" s="520" t="str">
        <f>IF(E150="","",VLOOKUP($B150,'F-1 Off Site River Baseline'!$C$9:$R$257,5,FALSE))</f>
        <v/>
      </c>
      <c r="G150" s="520" t="str">
        <f>IF(F150="","",VLOOKUP($B150,'F-1 Off Site River Baseline'!$C$9:$R$257,6,FALSE))</f>
        <v/>
      </c>
      <c r="H150" s="520" t="str">
        <f>IF(G150="","",VLOOKUP($B150,'F-1 Off Site River Baseline'!$C$9:$R$257,7,FALSE))</f>
        <v/>
      </c>
      <c r="I150" s="520" t="str">
        <f>IF(H150="","",VLOOKUP($B150,'F-1 Off Site River Baseline'!$C$9:$R$257,8,FALSE))</f>
        <v/>
      </c>
      <c r="J150" s="520" t="str">
        <f>IF(I150="","",VLOOKUP($B150,'F-1 Off Site River Baseline'!$C$9:$R$257,9,FALSE))</f>
        <v/>
      </c>
      <c r="K150" s="520" t="str">
        <f>IF(J150="","",VLOOKUP($B150,'F-1 Off Site River Baseline'!$C$9:$R$257,10,FALSE))</f>
        <v/>
      </c>
      <c r="L150" s="520" t="str">
        <f>IF(B150="","",VLOOKUP($B150,'C-1 Site River Baseline'!$C$9:$R$257,15,FALSE))</f>
        <v/>
      </c>
      <c r="M150" s="524" t="str">
        <f>IF(L150="","",VLOOKUP($B150,'F-1 Off Site River Baseline'!$C$9:$R$257,16,FALSE))</f>
        <v/>
      </c>
      <c r="N150" s="418" t="str">
        <f t="shared" si="20"/>
        <v/>
      </c>
      <c r="O150" s="498" t="str">
        <f t="shared" si="21"/>
        <v/>
      </c>
      <c r="P150" s="499"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5" t="str">
        <f>IF(N150="","",VLOOKUP(B150,'F-1 Off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20" t="str">
        <f>IF(V150="","",IF(VLOOKUP(V150,'G-7 Rivers Data'!$AG$4:$AI$9,2,FALSE)=0,"Spatial Data Missing ⚠",VLOOKUP(V150,'G-7 Rivers Data'!$AG$4:$AI$9,2,FALSE)))</f>
        <v/>
      </c>
      <c r="X150" s="524" t="str">
        <f>IF(V150="","",IF(VLOOKUP(V150,'G-7 Rivers Data'!$AG$4:$AI$9,3,FALSE)=0,"Spatial Data Missing ⚠",VLOOKUP(V150,'G-7 Rivers Data'!$AG$4:$AI$9,3,FALSE)))</f>
        <v/>
      </c>
      <c r="Y150" s="537" t="str">
        <f>IFERROR(IF(OR(LEFT(P150,5)="Error ▲",LEFT(O150,5)="Error ▲"),"Check Data ⚠",IF(F150&lt;S150,'G-7 Rivers Data'!$R$3,INDEX('G-7 Rivers Data'!$U$5:$Y$9,MATCH(G150,'G-7 Rivers Data'!$T$5:$T$9,0),MATCH(T150,'G-7 Rivers Data'!$U$4:$Y$4,0)))),"")</f>
        <v/>
      </c>
      <c r="Z150" s="203"/>
      <c r="AA150" s="203"/>
      <c r="AB150" s="534" t="str">
        <f t="shared" si="16"/>
        <v/>
      </c>
      <c r="AC150" s="521" t="str">
        <f t="shared" si="17"/>
        <v/>
      </c>
      <c r="AD150" s="564" t="str">
        <f>IFERROR(IF(AC150="Check Data ⚠","Check Data ⚠",VLOOKUP(AC150,'G-4 Temporal multipliers'!$A$4:$C$37,3,FALSE)),"")</f>
        <v/>
      </c>
      <c r="AE150" s="537" t="str">
        <f>IF(N150="","",VLOOKUP(N150,'G-7 Rivers Data'!$B$4:$G$8,5,FALSE))</f>
        <v/>
      </c>
      <c r="AF150" s="520" t="str">
        <f t="shared" si="18"/>
        <v/>
      </c>
      <c r="AG150" s="520" t="str">
        <f t="shared" si="22"/>
        <v/>
      </c>
      <c r="AH150" s="524" t="str">
        <f t="shared" si="19"/>
        <v/>
      </c>
      <c r="AI150" s="145"/>
      <c r="AJ150" s="499" t="str">
        <f>IF(AI150="","",IF(VLOOKUP(AI150,'G-7 Rivers Data'!$AA$4:$AB$7,2,FALSE)=0,"Spatial Data Missing ⚠",VLOOKUP(AI150,'G-7 Rivers Data'!$AA$4:$AB$7,2,FALSE)))</f>
        <v/>
      </c>
      <c r="AK150" s="155"/>
      <c r="AL150" s="536" t="str">
        <f>IF(AK150="","",IF(VLOOKUP(AK150,'G-7 Rivers Data'!$AD$4:$AE$8,2,FALSE)=0,"Spatial Data Missing ⚠",VLOOKUP(AK150,'G-7 Rivers Data'!$AD$4:$AE$8,2,FALSE)))</f>
        <v/>
      </c>
      <c r="AM150" s="154"/>
      <c r="AN150" s="524" t="str">
        <f>IF(AM150="","",VLOOKUP(AM150,'G-7 Rivers Data'!$AO$4:$AP$7,2,FALSE))</f>
        <v/>
      </c>
      <c r="AO150" s="545" t="str">
        <f t="shared" si="23"/>
        <v/>
      </c>
      <c r="AP150" s="149"/>
      <c r="AQ150" s="150"/>
      <c r="AX150" s="31" t="str">
        <f>IFERROR(INDEX('G-7 Rivers Data'!$AZ$3:$AZ$7,MATCH(N150,'G-7 Rivers Data'!$AY$3:$AY$7,0)),"")</f>
        <v/>
      </c>
    </row>
    <row r="151" spans="2:50" ht="13.8" x14ac:dyDescent="0.25">
      <c r="B151" s="531" t="str">
        <f>'F-1 Off Site River Baseline'!AN149</f>
        <v/>
      </c>
      <c r="C151" s="520" t="str">
        <f>IF(B151="","",VLOOKUP($B151,'F-1 Off Site River Baseline'!$C$9:$R$257,2,FALSE))</f>
        <v/>
      </c>
      <c r="D151" s="520" t="str">
        <f>IF(C151="","",VLOOKUP($B151,'F-1 Off Site River Baseline'!$C$9:$R$257,3,FALSE))</f>
        <v/>
      </c>
      <c r="E151" s="520" t="str">
        <f>IF(D151="","",VLOOKUP($B151,'F-1 Off Site River Baseline'!$C$9:$R$257,4,FALSE))</f>
        <v/>
      </c>
      <c r="F151" s="520" t="str">
        <f>IF(E151="","",VLOOKUP($B151,'F-1 Off Site River Baseline'!$C$9:$R$257,5,FALSE))</f>
        <v/>
      </c>
      <c r="G151" s="520" t="str">
        <f>IF(F151="","",VLOOKUP($B151,'F-1 Off Site River Baseline'!$C$9:$R$257,6,FALSE))</f>
        <v/>
      </c>
      <c r="H151" s="520" t="str">
        <f>IF(G151="","",VLOOKUP($B151,'F-1 Off Site River Baseline'!$C$9:$R$257,7,FALSE))</f>
        <v/>
      </c>
      <c r="I151" s="520" t="str">
        <f>IF(H151="","",VLOOKUP($B151,'F-1 Off Site River Baseline'!$C$9:$R$257,8,FALSE))</f>
        <v/>
      </c>
      <c r="J151" s="520" t="str">
        <f>IF(I151="","",VLOOKUP($B151,'F-1 Off Site River Baseline'!$C$9:$R$257,9,FALSE))</f>
        <v/>
      </c>
      <c r="K151" s="520" t="str">
        <f>IF(J151="","",VLOOKUP($B151,'F-1 Off Site River Baseline'!$C$9:$R$257,10,FALSE))</f>
        <v/>
      </c>
      <c r="L151" s="520" t="str">
        <f>IF(B151="","",VLOOKUP($B151,'C-1 Site River Baseline'!$C$9:$R$257,15,FALSE))</f>
        <v/>
      </c>
      <c r="M151" s="524" t="str">
        <f>IF(L151="","",VLOOKUP($B151,'F-1 Off Site River Baseline'!$C$9:$R$257,16,FALSE))</f>
        <v/>
      </c>
      <c r="N151" s="418" t="str">
        <f t="shared" si="20"/>
        <v/>
      </c>
      <c r="O151" s="498" t="str">
        <f t="shared" si="21"/>
        <v/>
      </c>
      <c r="P151" s="499"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5" t="str">
        <f>IF(N151="","",VLOOKUP(B151,'F-1 Off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20" t="str">
        <f>IF(V151="","",IF(VLOOKUP(V151,'G-7 Rivers Data'!$AG$4:$AI$9,2,FALSE)=0,"Spatial Data Missing ⚠",VLOOKUP(V151,'G-7 Rivers Data'!$AG$4:$AI$9,2,FALSE)))</f>
        <v/>
      </c>
      <c r="X151" s="524" t="str">
        <f>IF(V151="","",IF(VLOOKUP(V151,'G-7 Rivers Data'!$AG$4:$AI$9,3,FALSE)=0,"Spatial Data Missing ⚠",VLOOKUP(V151,'G-7 Rivers Data'!$AG$4:$AI$9,3,FALSE)))</f>
        <v/>
      </c>
      <c r="Y151" s="537" t="str">
        <f>IFERROR(IF(OR(LEFT(P151,5)="Error ▲",LEFT(O151,5)="Error ▲"),"Check Data ⚠",IF(F151&lt;S151,'G-7 Rivers Data'!$R$3,INDEX('G-7 Rivers Data'!$U$5:$Y$9,MATCH(G151,'G-7 Rivers Data'!$T$5:$T$9,0),MATCH(T151,'G-7 Rivers Data'!$U$4:$Y$4,0)))),"")</f>
        <v/>
      </c>
      <c r="Z151" s="203"/>
      <c r="AA151" s="203"/>
      <c r="AB151" s="534" t="str">
        <f t="shared" si="16"/>
        <v/>
      </c>
      <c r="AC151" s="521" t="str">
        <f t="shared" si="17"/>
        <v/>
      </c>
      <c r="AD151" s="564" t="str">
        <f>IFERROR(IF(AC151="Check Data ⚠","Check Data ⚠",VLOOKUP(AC151,'G-4 Temporal multipliers'!$A$4:$C$37,3,FALSE)),"")</f>
        <v/>
      </c>
      <c r="AE151" s="537" t="str">
        <f>IF(N151="","",VLOOKUP(N151,'G-7 Rivers Data'!$B$4:$G$8,5,FALSE))</f>
        <v/>
      </c>
      <c r="AF151" s="520" t="str">
        <f t="shared" si="18"/>
        <v/>
      </c>
      <c r="AG151" s="520" t="str">
        <f t="shared" si="22"/>
        <v/>
      </c>
      <c r="AH151" s="524" t="str">
        <f t="shared" si="19"/>
        <v/>
      </c>
      <c r="AI151" s="145"/>
      <c r="AJ151" s="499" t="str">
        <f>IF(AI151="","",IF(VLOOKUP(AI151,'G-7 Rivers Data'!$AA$4:$AB$7,2,FALSE)=0,"Spatial Data Missing ⚠",VLOOKUP(AI151,'G-7 Rivers Data'!$AA$4:$AB$7,2,FALSE)))</f>
        <v/>
      </c>
      <c r="AK151" s="155"/>
      <c r="AL151" s="536" t="str">
        <f>IF(AK151="","",IF(VLOOKUP(AK151,'G-7 Rivers Data'!$AD$4:$AE$8,2,FALSE)=0,"Spatial Data Missing ⚠",VLOOKUP(AK151,'G-7 Rivers Data'!$AD$4:$AE$8,2,FALSE)))</f>
        <v/>
      </c>
      <c r="AM151" s="154"/>
      <c r="AN151" s="524" t="str">
        <f>IF(AM151="","",VLOOKUP(AM151,'G-7 Rivers Data'!$AO$4:$AP$7,2,FALSE))</f>
        <v/>
      </c>
      <c r="AO151" s="545" t="str">
        <f t="shared" si="23"/>
        <v/>
      </c>
      <c r="AP151" s="149"/>
      <c r="AQ151" s="150"/>
      <c r="AX151" s="31" t="str">
        <f>IFERROR(INDEX('G-7 Rivers Data'!$AZ$3:$AZ$7,MATCH(N151,'G-7 Rivers Data'!$AY$3:$AY$7,0)),"")</f>
        <v/>
      </c>
    </row>
    <row r="152" spans="2:50" ht="13.8" x14ac:dyDescent="0.25">
      <c r="B152" s="531" t="str">
        <f>'F-1 Off Site River Baseline'!AN150</f>
        <v/>
      </c>
      <c r="C152" s="520" t="str">
        <f>IF(B152="","",VLOOKUP($B152,'F-1 Off Site River Baseline'!$C$9:$R$257,2,FALSE))</f>
        <v/>
      </c>
      <c r="D152" s="520" t="str">
        <f>IF(C152="","",VLOOKUP($B152,'F-1 Off Site River Baseline'!$C$9:$R$257,3,FALSE))</f>
        <v/>
      </c>
      <c r="E152" s="520" t="str">
        <f>IF(D152="","",VLOOKUP($B152,'F-1 Off Site River Baseline'!$C$9:$R$257,4,FALSE))</f>
        <v/>
      </c>
      <c r="F152" s="520" t="str">
        <f>IF(E152="","",VLOOKUP($B152,'F-1 Off Site River Baseline'!$C$9:$R$257,5,FALSE))</f>
        <v/>
      </c>
      <c r="G152" s="520" t="str">
        <f>IF(F152="","",VLOOKUP($B152,'F-1 Off Site River Baseline'!$C$9:$R$257,6,FALSE))</f>
        <v/>
      </c>
      <c r="H152" s="520" t="str">
        <f>IF(G152="","",VLOOKUP($B152,'F-1 Off Site River Baseline'!$C$9:$R$257,7,FALSE))</f>
        <v/>
      </c>
      <c r="I152" s="520" t="str">
        <f>IF(H152="","",VLOOKUP($B152,'F-1 Off Site River Baseline'!$C$9:$R$257,8,FALSE))</f>
        <v/>
      </c>
      <c r="J152" s="520" t="str">
        <f>IF(I152="","",VLOOKUP($B152,'F-1 Off Site River Baseline'!$C$9:$R$257,9,FALSE))</f>
        <v/>
      </c>
      <c r="K152" s="520" t="str">
        <f>IF(J152="","",VLOOKUP($B152,'F-1 Off Site River Baseline'!$C$9:$R$257,10,FALSE))</f>
        <v/>
      </c>
      <c r="L152" s="520" t="str">
        <f>IF(B152="","",VLOOKUP($B152,'C-1 Site River Baseline'!$C$9:$R$257,15,FALSE))</f>
        <v/>
      </c>
      <c r="M152" s="524" t="str">
        <f>IF(L152="","",VLOOKUP($B152,'F-1 Off Site River Baseline'!$C$9:$R$257,16,FALSE))</f>
        <v/>
      </c>
      <c r="N152" s="418" t="str">
        <f t="shared" si="20"/>
        <v/>
      </c>
      <c r="O152" s="498" t="str">
        <f t="shared" si="21"/>
        <v/>
      </c>
      <c r="P152" s="499"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5" t="str">
        <f>IF(N152="","",VLOOKUP(B152,'F-1 Off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20" t="str">
        <f>IF(V152="","",IF(VLOOKUP(V152,'G-7 Rivers Data'!$AG$4:$AI$9,2,FALSE)=0,"Spatial Data Missing ⚠",VLOOKUP(V152,'G-7 Rivers Data'!$AG$4:$AI$9,2,FALSE)))</f>
        <v/>
      </c>
      <c r="X152" s="524" t="str">
        <f>IF(V152="","",IF(VLOOKUP(V152,'G-7 Rivers Data'!$AG$4:$AI$9,3,FALSE)=0,"Spatial Data Missing ⚠",VLOOKUP(V152,'G-7 Rivers Data'!$AG$4:$AI$9,3,FALSE)))</f>
        <v/>
      </c>
      <c r="Y152" s="537" t="str">
        <f>IFERROR(IF(OR(LEFT(P152,5)="Error ▲",LEFT(O152,5)="Error ▲"),"Check Data ⚠",IF(F152&lt;S152,'G-7 Rivers Data'!$R$3,INDEX('G-7 Rivers Data'!$U$5:$Y$9,MATCH(G152,'G-7 Rivers Data'!$T$5:$T$9,0),MATCH(T152,'G-7 Rivers Data'!$U$4:$Y$4,0)))),"")</f>
        <v/>
      </c>
      <c r="Z152" s="203"/>
      <c r="AA152" s="203"/>
      <c r="AB152" s="534" t="str">
        <f t="shared" si="16"/>
        <v/>
      </c>
      <c r="AC152" s="521" t="str">
        <f t="shared" si="17"/>
        <v/>
      </c>
      <c r="AD152" s="564" t="str">
        <f>IFERROR(IF(AC152="Check Data ⚠","Check Data ⚠",VLOOKUP(AC152,'G-4 Temporal multipliers'!$A$4:$C$37,3,FALSE)),"")</f>
        <v/>
      </c>
      <c r="AE152" s="537" t="str">
        <f>IF(N152="","",VLOOKUP(N152,'G-7 Rivers Data'!$B$4:$G$8,5,FALSE))</f>
        <v/>
      </c>
      <c r="AF152" s="520" t="str">
        <f t="shared" si="18"/>
        <v/>
      </c>
      <c r="AG152" s="520" t="str">
        <f t="shared" si="22"/>
        <v/>
      </c>
      <c r="AH152" s="524" t="str">
        <f t="shared" si="19"/>
        <v/>
      </c>
      <c r="AI152" s="145"/>
      <c r="AJ152" s="499" t="str">
        <f>IF(AI152="","",IF(VLOOKUP(AI152,'G-7 Rivers Data'!$AA$4:$AB$7,2,FALSE)=0,"Spatial Data Missing ⚠",VLOOKUP(AI152,'G-7 Rivers Data'!$AA$4:$AB$7,2,FALSE)))</f>
        <v/>
      </c>
      <c r="AK152" s="155"/>
      <c r="AL152" s="536" t="str">
        <f>IF(AK152="","",IF(VLOOKUP(AK152,'G-7 Rivers Data'!$AD$4:$AE$8,2,FALSE)=0,"Spatial Data Missing ⚠",VLOOKUP(AK152,'G-7 Rivers Data'!$AD$4:$AE$8,2,FALSE)))</f>
        <v/>
      </c>
      <c r="AM152" s="154"/>
      <c r="AN152" s="524" t="str">
        <f>IF(AM152="","",VLOOKUP(AM152,'G-7 Rivers Data'!$AO$4:$AP$7,2,FALSE))</f>
        <v/>
      </c>
      <c r="AO152" s="545" t="str">
        <f t="shared" si="23"/>
        <v/>
      </c>
      <c r="AP152" s="149"/>
      <c r="AQ152" s="150"/>
      <c r="AX152" s="31" t="str">
        <f>IFERROR(INDEX('G-7 Rivers Data'!$AZ$3:$AZ$7,MATCH(N152,'G-7 Rivers Data'!$AY$3:$AY$7,0)),"")</f>
        <v/>
      </c>
    </row>
    <row r="153" spans="2:50" ht="13.8" x14ac:dyDescent="0.25">
      <c r="B153" s="531" t="str">
        <f>'F-1 Off Site River Baseline'!AN151</f>
        <v/>
      </c>
      <c r="C153" s="520" t="str">
        <f>IF(B153="","",VLOOKUP($B153,'F-1 Off Site River Baseline'!$C$9:$R$257,2,FALSE))</f>
        <v/>
      </c>
      <c r="D153" s="520" t="str">
        <f>IF(C153="","",VLOOKUP($B153,'F-1 Off Site River Baseline'!$C$9:$R$257,3,FALSE))</f>
        <v/>
      </c>
      <c r="E153" s="520" t="str">
        <f>IF(D153="","",VLOOKUP($B153,'F-1 Off Site River Baseline'!$C$9:$R$257,4,FALSE))</f>
        <v/>
      </c>
      <c r="F153" s="520" t="str">
        <f>IF(E153="","",VLOOKUP($B153,'F-1 Off Site River Baseline'!$C$9:$R$257,5,FALSE))</f>
        <v/>
      </c>
      <c r="G153" s="520" t="str">
        <f>IF(F153="","",VLOOKUP($B153,'F-1 Off Site River Baseline'!$C$9:$R$257,6,FALSE))</f>
        <v/>
      </c>
      <c r="H153" s="520" t="str">
        <f>IF(G153="","",VLOOKUP($B153,'F-1 Off Site River Baseline'!$C$9:$R$257,7,FALSE))</f>
        <v/>
      </c>
      <c r="I153" s="520" t="str">
        <f>IF(H153="","",VLOOKUP($B153,'F-1 Off Site River Baseline'!$C$9:$R$257,8,FALSE))</f>
        <v/>
      </c>
      <c r="J153" s="520" t="str">
        <f>IF(I153="","",VLOOKUP($B153,'F-1 Off Site River Baseline'!$C$9:$R$257,9,FALSE))</f>
        <v/>
      </c>
      <c r="K153" s="520" t="str">
        <f>IF(J153="","",VLOOKUP($B153,'F-1 Off Site River Baseline'!$C$9:$R$257,10,FALSE))</f>
        <v/>
      </c>
      <c r="L153" s="520" t="str">
        <f>IF(B153="","",VLOOKUP($B153,'C-1 Site River Baseline'!$C$9:$R$257,15,FALSE))</f>
        <v/>
      </c>
      <c r="M153" s="524" t="str">
        <f>IF(L153="","",VLOOKUP($B153,'F-1 Off Site River Baseline'!$C$9:$R$257,16,FALSE))</f>
        <v/>
      </c>
      <c r="N153" s="418" t="str">
        <f t="shared" si="20"/>
        <v/>
      </c>
      <c r="O153" s="498" t="str">
        <f t="shared" si="21"/>
        <v/>
      </c>
      <c r="P153" s="499"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5" t="str">
        <f>IF(N153="","",VLOOKUP(B153,'F-1 Off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20" t="str">
        <f>IF(V153="","",IF(VLOOKUP(V153,'G-7 Rivers Data'!$AG$4:$AI$9,2,FALSE)=0,"Spatial Data Missing ⚠",VLOOKUP(V153,'G-7 Rivers Data'!$AG$4:$AI$9,2,FALSE)))</f>
        <v/>
      </c>
      <c r="X153" s="524" t="str">
        <f>IF(V153="","",IF(VLOOKUP(V153,'G-7 Rivers Data'!$AG$4:$AI$9,3,FALSE)=0,"Spatial Data Missing ⚠",VLOOKUP(V153,'G-7 Rivers Data'!$AG$4:$AI$9,3,FALSE)))</f>
        <v/>
      </c>
      <c r="Y153" s="537" t="str">
        <f>IFERROR(IF(OR(LEFT(P153,5)="Error ▲",LEFT(O153,5)="Error ▲"),"Check Data ⚠",IF(F153&lt;S153,'G-7 Rivers Data'!$R$3,INDEX('G-7 Rivers Data'!$U$5:$Y$9,MATCH(G153,'G-7 Rivers Data'!$T$5:$T$9,0),MATCH(T153,'G-7 Rivers Data'!$U$4:$Y$4,0)))),"")</f>
        <v/>
      </c>
      <c r="Z153" s="203"/>
      <c r="AA153" s="203"/>
      <c r="AB153" s="534" t="str">
        <f t="shared" si="16"/>
        <v/>
      </c>
      <c r="AC153" s="521" t="str">
        <f t="shared" si="17"/>
        <v/>
      </c>
      <c r="AD153" s="564" t="str">
        <f>IFERROR(IF(AC153="Check Data ⚠","Check Data ⚠",VLOOKUP(AC153,'G-4 Temporal multipliers'!$A$4:$C$37,3,FALSE)),"")</f>
        <v/>
      </c>
      <c r="AE153" s="537" t="str">
        <f>IF(N153="","",VLOOKUP(N153,'G-7 Rivers Data'!$B$4:$G$8,5,FALSE))</f>
        <v/>
      </c>
      <c r="AF153" s="520" t="str">
        <f t="shared" si="18"/>
        <v/>
      </c>
      <c r="AG153" s="520" t="str">
        <f t="shared" si="22"/>
        <v/>
      </c>
      <c r="AH153" s="524" t="str">
        <f t="shared" si="19"/>
        <v/>
      </c>
      <c r="AI153" s="145"/>
      <c r="AJ153" s="499" t="str">
        <f>IF(AI153="","",IF(VLOOKUP(AI153,'G-7 Rivers Data'!$AA$4:$AB$7,2,FALSE)=0,"Spatial Data Missing ⚠",VLOOKUP(AI153,'G-7 Rivers Data'!$AA$4:$AB$7,2,FALSE)))</f>
        <v/>
      </c>
      <c r="AK153" s="155"/>
      <c r="AL153" s="536" t="str">
        <f>IF(AK153="","",IF(VLOOKUP(AK153,'G-7 Rivers Data'!$AD$4:$AE$8,2,FALSE)=0,"Spatial Data Missing ⚠",VLOOKUP(AK153,'G-7 Rivers Data'!$AD$4:$AE$8,2,FALSE)))</f>
        <v/>
      </c>
      <c r="AM153" s="154"/>
      <c r="AN153" s="524" t="str">
        <f>IF(AM153="","",VLOOKUP(AM153,'G-7 Rivers Data'!$AO$4:$AP$7,2,FALSE))</f>
        <v/>
      </c>
      <c r="AO153" s="545" t="str">
        <f t="shared" si="23"/>
        <v/>
      </c>
      <c r="AP153" s="149"/>
      <c r="AQ153" s="150"/>
      <c r="AX153" s="31" t="str">
        <f>IFERROR(INDEX('G-7 Rivers Data'!$AZ$3:$AZ$7,MATCH(N153,'G-7 Rivers Data'!$AY$3:$AY$7,0)),"")</f>
        <v/>
      </c>
    </row>
    <row r="154" spans="2:50" ht="13.8" x14ac:dyDescent="0.25">
      <c r="B154" s="531" t="str">
        <f>'F-1 Off Site River Baseline'!AN152</f>
        <v/>
      </c>
      <c r="C154" s="520" t="str">
        <f>IF(B154="","",VLOOKUP($B154,'F-1 Off Site River Baseline'!$C$9:$R$257,2,FALSE))</f>
        <v/>
      </c>
      <c r="D154" s="520" t="str">
        <f>IF(C154="","",VLOOKUP($B154,'F-1 Off Site River Baseline'!$C$9:$R$257,3,FALSE))</f>
        <v/>
      </c>
      <c r="E154" s="520" t="str">
        <f>IF(D154="","",VLOOKUP($B154,'F-1 Off Site River Baseline'!$C$9:$R$257,4,FALSE))</f>
        <v/>
      </c>
      <c r="F154" s="520" t="str">
        <f>IF(E154="","",VLOOKUP($B154,'F-1 Off Site River Baseline'!$C$9:$R$257,5,FALSE))</f>
        <v/>
      </c>
      <c r="G154" s="520" t="str">
        <f>IF(F154="","",VLOOKUP($B154,'F-1 Off Site River Baseline'!$C$9:$R$257,6,FALSE))</f>
        <v/>
      </c>
      <c r="H154" s="520" t="str">
        <f>IF(G154="","",VLOOKUP($B154,'F-1 Off Site River Baseline'!$C$9:$R$257,7,FALSE))</f>
        <v/>
      </c>
      <c r="I154" s="520" t="str">
        <f>IF(H154="","",VLOOKUP($B154,'F-1 Off Site River Baseline'!$C$9:$R$257,8,FALSE))</f>
        <v/>
      </c>
      <c r="J154" s="520" t="str">
        <f>IF(I154="","",VLOOKUP($B154,'F-1 Off Site River Baseline'!$C$9:$R$257,9,FALSE))</f>
        <v/>
      </c>
      <c r="K154" s="520" t="str">
        <f>IF(J154="","",VLOOKUP($B154,'F-1 Off Site River Baseline'!$C$9:$R$257,10,FALSE))</f>
        <v/>
      </c>
      <c r="L154" s="520" t="str">
        <f>IF(B154="","",VLOOKUP($B154,'C-1 Site River Baseline'!$C$9:$R$257,15,FALSE))</f>
        <v/>
      </c>
      <c r="M154" s="524" t="str">
        <f>IF(L154="","",VLOOKUP($B154,'F-1 Off Site River Baseline'!$C$9:$R$257,16,FALSE))</f>
        <v/>
      </c>
      <c r="N154" s="418" t="str">
        <f t="shared" si="20"/>
        <v/>
      </c>
      <c r="O154" s="498" t="str">
        <f t="shared" si="21"/>
        <v/>
      </c>
      <c r="P154" s="499"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5" t="str">
        <f>IF(N154="","",VLOOKUP(B154,'F-1 Off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20" t="str">
        <f>IF(V154="","",IF(VLOOKUP(V154,'G-7 Rivers Data'!$AG$4:$AI$9,2,FALSE)=0,"Spatial Data Missing ⚠",VLOOKUP(V154,'G-7 Rivers Data'!$AG$4:$AI$9,2,FALSE)))</f>
        <v/>
      </c>
      <c r="X154" s="524" t="str">
        <f>IF(V154="","",IF(VLOOKUP(V154,'G-7 Rivers Data'!$AG$4:$AI$9,3,FALSE)=0,"Spatial Data Missing ⚠",VLOOKUP(V154,'G-7 Rivers Data'!$AG$4:$AI$9,3,FALSE)))</f>
        <v/>
      </c>
      <c r="Y154" s="537" t="str">
        <f>IFERROR(IF(OR(LEFT(P154,5)="Error ▲",LEFT(O154,5)="Error ▲"),"Check Data ⚠",IF(F154&lt;S154,'G-7 Rivers Data'!$R$3,INDEX('G-7 Rivers Data'!$U$5:$Y$9,MATCH(G154,'G-7 Rivers Data'!$T$5:$T$9,0),MATCH(T154,'G-7 Rivers Data'!$U$4:$Y$4,0)))),"")</f>
        <v/>
      </c>
      <c r="Z154" s="203"/>
      <c r="AA154" s="203"/>
      <c r="AB154" s="534" t="str">
        <f t="shared" si="16"/>
        <v/>
      </c>
      <c r="AC154" s="521" t="str">
        <f t="shared" si="17"/>
        <v/>
      </c>
      <c r="AD154" s="564" t="str">
        <f>IFERROR(IF(AC154="Check Data ⚠","Check Data ⚠",VLOOKUP(AC154,'G-4 Temporal multipliers'!$A$4:$C$37,3,FALSE)),"")</f>
        <v/>
      </c>
      <c r="AE154" s="537" t="str">
        <f>IF(N154="","",VLOOKUP(N154,'G-7 Rivers Data'!$B$4:$G$8,5,FALSE))</f>
        <v/>
      </c>
      <c r="AF154" s="520" t="str">
        <f t="shared" si="18"/>
        <v/>
      </c>
      <c r="AG154" s="520" t="str">
        <f t="shared" si="22"/>
        <v/>
      </c>
      <c r="AH154" s="524" t="str">
        <f t="shared" si="19"/>
        <v/>
      </c>
      <c r="AI154" s="145"/>
      <c r="AJ154" s="499" t="str">
        <f>IF(AI154="","",IF(VLOOKUP(AI154,'G-7 Rivers Data'!$AA$4:$AB$7,2,FALSE)=0,"Spatial Data Missing ⚠",VLOOKUP(AI154,'G-7 Rivers Data'!$AA$4:$AB$7,2,FALSE)))</f>
        <v/>
      </c>
      <c r="AK154" s="155"/>
      <c r="AL154" s="536" t="str">
        <f>IF(AK154="","",IF(VLOOKUP(AK154,'G-7 Rivers Data'!$AD$4:$AE$8,2,FALSE)=0,"Spatial Data Missing ⚠",VLOOKUP(AK154,'G-7 Rivers Data'!$AD$4:$AE$8,2,FALSE)))</f>
        <v/>
      </c>
      <c r="AM154" s="154"/>
      <c r="AN154" s="524" t="str">
        <f>IF(AM154="","",VLOOKUP(AM154,'G-7 Rivers Data'!$AO$4:$AP$7,2,FALSE))</f>
        <v/>
      </c>
      <c r="AO154" s="545" t="str">
        <f t="shared" si="23"/>
        <v/>
      </c>
      <c r="AP154" s="149"/>
      <c r="AQ154" s="150"/>
      <c r="AX154" s="31" t="str">
        <f>IFERROR(INDEX('G-7 Rivers Data'!$AZ$3:$AZ$7,MATCH(N154,'G-7 Rivers Data'!$AY$3:$AY$7,0)),"")</f>
        <v/>
      </c>
    </row>
    <row r="155" spans="2:50" ht="13.8" x14ac:dyDescent="0.25">
      <c r="B155" s="531" t="str">
        <f>'F-1 Off Site River Baseline'!AN153</f>
        <v/>
      </c>
      <c r="C155" s="520" t="str">
        <f>IF(B155="","",VLOOKUP($B155,'F-1 Off Site River Baseline'!$C$9:$R$257,2,FALSE))</f>
        <v/>
      </c>
      <c r="D155" s="520" t="str">
        <f>IF(C155="","",VLOOKUP($B155,'F-1 Off Site River Baseline'!$C$9:$R$257,3,FALSE))</f>
        <v/>
      </c>
      <c r="E155" s="520" t="str">
        <f>IF(D155="","",VLOOKUP($B155,'F-1 Off Site River Baseline'!$C$9:$R$257,4,FALSE))</f>
        <v/>
      </c>
      <c r="F155" s="520" t="str">
        <f>IF(E155="","",VLOOKUP($B155,'F-1 Off Site River Baseline'!$C$9:$R$257,5,FALSE))</f>
        <v/>
      </c>
      <c r="G155" s="520" t="str">
        <f>IF(F155="","",VLOOKUP($B155,'F-1 Off Site River Baseline'!$C$9:$R$257,6,FALSE))</f>
        <v/>
      </c>
      <c r="H155" s="520" t="str">
        <f>IF(G155="","",VLOOKUP($B155,'F-1 Off Site River Baseline'!$C$9:$R$257,7,FALSE))</f>
        <v/>
      </c>
      <c r="I155" s="520" t="str">
        <f>IF(H155="","",VLOOKUP($B155,'F-1 Off Site River Baseline'!$C$9:$R$257,8,FALSE))</f>
        <v/>
      </c>
      <c r="J155" s="520" t="str">
        <f>IF(I155="","",VLOOKUP($B155,'F-1 Off Site River Baseline'!$C$9:$R$257,9,FALSE))</f>
        <v/>
      </c>
      <c r="K155" s="520" t="str">
        <f>IF(J155="","",VLOOKUP($B155,'F-1 Off Site River Baseline'!$C$9:$R$257,10,FALSE))</f>
        <v/>
      </c>
      <c r="L155" s="520" t="str">
        <f>IF(B155="","",VLOOKUP($B155,'C-1 Site River Baseline'!$C$9:$R$257,15,FALSE))</f>
        <v/>
      </c>
      <c r="M155" s="524" t="str">
        <f>IF(L155="","",VLOOKUP($B155,'F-1 Off Site River Baseline'!$C$9:$R$257,16,FALSE))</f>
        <v/>
      </c>
      <c r="N155" s="418" t="str">
        <f t="shared" si="20"/>
        <v/>
      </c>
      <c r="O155" s="498" t="str">
        <f t="shared" si="21"/>
        <v/>
      </c>
      <c r="P155" s="499"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5" t="str">
        <f>IF(N155="","",VLOOKUP(B155,'F-1 Off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20" t="str">
        <f>IF(V155="","",IF(VLOOKUP(V155,'G-7 Rivers Data'!$AG$4:$AI$9,2,FALSE)=0,"Spatial Data Missing ⚠",VLOOKUP(V155,'G-7 Rivers Data'!$AG$4:$AI$9,2,FALSE)))</f>
        <v/>
      </c>
      <c r="X155" s="524" t="str">
        <f>IF(V155="","",IF(VLOOKUP(V155,'G-7 Rivers Data'!$AG$4:$AI$9,3,FALSE)=0,"Spatial Data Missing ⚠",VLOOKUP(V155,'G-7 Rivers Data'!$AG$4:$AI$9,3,FALSE)))</f>
        <v/>
      </c>
      <c r="Y155" s="537" t="str">
        <f>IFERROR(IF(OR(LEFT(P155,5)="Error ▲",LEFT(O155,5)="Error ▲"),"Check Data ⚠",IF(F155&lt;S155,'G-7 Rivers Data'!$R$3,INDEX('G-7 Rivers Data'!$U$5:$Y$9,MATCH(G155,'G-7 Rivers Data'!$T$5:$T$9,0),MATCH(T155,'G-7 Rivers Data'!$U$4:$Y$4,0)))),"")</f>
        <v/>
      </c>
      <c r="Z155" s="203"/>
      <c r="AA155" s="203"/>
      <c r="AB155" s="534" t="str">
        <f t="shared" si="16"/>
        <v/>
      </c>
      <c r="AC155" s="521" t="str">
        <f t="shared" si="17"/>
        <v/>
      </c>
      <c r="AD155" s="564" t="str">
        <f>IFERROR(IF(AC155="Check Data ⚠","Check Data ⚠",VLOOKUP(AC155,'G-4 Temporal multipliers'!$A$4:$C$37,3,FALSE)),"")</f>
        <v/>
      </c>
      <c r="AE155" s="537" t="str">
        <f>IF(N155="","",VLOOKUP(N155,'G-7 Rivers Data'!$B$4:$G$8,5,FALSE))</f>
        <v/>
      </c>
      <c r="AF155" s="520" t="str">
        <f t="shared" si="18"/>
        <v/>
      </c>
      <c r="AG155" s="520" t="str">
        <f t="shared" si="22"/>
        <v/>
      </c>
      <c r="AH155" s="524" t="str">
        <f t="shared" si="19"/>
        <v/>
      </c>
      <c r="AI155" s="145"/>
      <c r="AJ155" s="499" t="str">
        <f>IF(AI155="","",IF(VLOOKUP(AI155,'G-7 Rivers Data'!$AA$4:$AB$7,2,FALSE)=0,"Spatial Data Missing ⚠",VLOOKUP(AI155,'G-7 Rivers Data'!$AA$4:$AB$7,2,FALSE)))</f>
        <v/>
      </c>
      <c r="AK155" s="155"/>
      <c r="AL155" s="536" t="str">
        <f>IF(AK155="","",IF(VLOOKUP(AK155,'G-7 Rivers Data'!$AD$4:$AE$8,2,FALSE)=0,"Spatial Data Missing ⚠",VLOOKUP(AK155,'G-7 Rivers Data'!$AD$4:$AE$8,2,FALSE)))</f>
        <v/>
      </c>
      <c r="AM155" s="154"/>
      <c r="AN155" s="524" t="str">
        <f>IF(AM155="","",VLOOKUP(AM155,'G-7 Rivers Data'!$AO$4:$AP$7,2,FALSE))</f>
        <v/>
      </c>
      <c r="AO155" s="545" t="str">
        <f t="shared" si="23"/>
        <v/>
      </c>
      <c r="AP155" s="149"/>
      <c r="AQ155" s="150"/>
      <c r="AX155" s="31" t="str">
        <f>IFERROR(INDEX('G-7 Rivers Data'!$AZ$3:$AZ$7,MATCH(N155,'G-7 Rivers Data'!$AY$3:$AY$7,0)),"")</f>
        <v/>
      </c>
    </row>
    <row r="156" spans="2:50" ht="13.8" x14ac:dyDescent="0.25">
      <c r="B156" s="531" t="str">
        <f>'F-1 Off Site River Baseline'!AN154</f>
        <v/>
      </c>
      <c r="C156" s="520" t="str">
        <f>IF(B156="","",VLOOKUP($B156,'F-1 Off Site River Baseline'!$C$9:$R$257,2,FALSE))</f>
        <v/>
      </c>
      <c r="D156" s="520" t="str">
        <f>IF(C156="","",VLOOKUP($B156,'F-1 Off Site River Baseline'!$C$9:$R$257,3,FALSE))</f>
        <v/>
      </c>
      <c r="E156" s="520" t="str">
        <f>IF(D156="","",VLOOKUP($B156,'F-1 Off Site River Baseline'!$C$9:$R$257,4,FALSE))</f>
        <v/>
      </c>
      <c r="F156" s="520" t="str">
        <f>IF(E156="","",VLOOKUP($B156,'F-1 Off Site River Baseline'!$C$9:$R$257,5,FALSE))</f>
        <v/>
      </c>
      <c r="G156" s="520" t="str">
        <f>IF(F156="","",VLOOKUP($B156,'F-1 Off Site River Baseline'!$C$9:$R$257,6,FALSE))</f>
        <v/>
      </c>
      <c r="H156" s="520" t="str">
        <f>IF(G156="","",VLOOKUP($B156,'F-1 Off Site River Baseline'!$C$9:$R$257,7,FALSE))</f>
        <v/>
      </c>
      <c r="I156" s="520" t="str">
        <f>IF(H156="","",VLOOKUP($B156,'F-1 Off Site River Baseline'!$C$9:$R$257,8,FALSE))</f>
        <v/>
      </c>
      <c r="J156" s="520" t="str">
        <f>IF(I156="","",VLOOKUP($B156,'F-1 Off Site River Baseline'!$C$9:$R$257,9,FALSE))</f>
        <v/>
      </c>
      <c r="K156" s="520" t="str">
        <f>IF(J156="","",VLOOKUP($B156,'F-1 Off Site River Baseline'!$C$9:$R$257,10,FALSE))</f>
        <v/>
      </c>
      <c r="L156" s="520" t="str">
        <f>IF(B156="","",VLOOKUP($B156,'C-1 Site River Baseline'!$C$9:$R$257,15,FALSE))</f>
        <v/>
      </c>
      <c r="M156" s="524" t="str">
        <f>IF(L156="","",VLOOKUP($B156,'F-1 Off Site River Baseline'!$C$9:$R$257,16,FALSE))</f>
        <v/>
      </c>
      <c r="N156" s="418" t="str">
        <f t="shared" si="20"/>
        <v/>
      </c>
      <c r="O156" s="498" t="str">
        <f t="shared" si="21"/>
        <v/>
      </c>
      <c r="P156" s="499"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5" t="str">
        <f>IF(N156="","",VLOOKUP(B156,'F-1 Off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20" t="str">
        <f>IF(V156="","",IF(VLOOKUP(V156,'G-7 Rivers Data'!$AG$4:$AI$9,2,FALSE)=0,"Spatial Data Missing ⚠",VLOOKUP(V156,'G-7 Rivers Data'!$AG$4:$AI$9,2,FALSE)))</f>
        <v/>
      </c>
      <c r="X156" s="524" t="str">
        <f>IF(V156="","",IF(VLOOKUP(V156,'G-7 Rivers Data'!$AG$4:$AI$9,3,FALSE)=0,"Spatial Data Missing ⚠",VLOOKUP(V156,'G-7 Rivers Data'!$AG$4:$AI$9,3,FALSE)))</f>
        <v/>
      </c>
      <c r="Y156" s="537" t="str">
        <f>IFERROR(IF(OR(LEFT(P156,5)="Error ▲",LEFT(O156,5)="Error ▲"),"Check Data ⚠",IF(F156&lt;S156,'G-7 Rivers Data'!$R$3,INDEX('G-7 Rivers Data'!$U$5:$Y$9,MATCH(G156,'G-7 Rivers Data'!$T$5:$T$9,0),MATCH(T156,'G-7 Rivers Data'!$U$4:$Y$4,0)))),"")</f>
        <v/>
      </c>
      <c r="Z156" s="203"/>
      <c r="AA156" s="203"/>
      <c r="AB156" s="534" t="str">
        <f t="shared" si="16"/>
        <v/>
      </c>
      <c r="AC156" s="521" t="str">
        <f t="shared" si="17"/>
        <v/>
      </c>
      <c r="AD156" s="564" t="str">
        <f>IFERROR(IF(AC156="Check Data ⚠","Check Data ⚠",VLOOKUP(AC156,'G-4 Temporal multipliers'!$A$4:$C$37,3,FALSE)),"")</f>
        <v/>
      </c>
      <c r="AE156" s="537" t="str">
        <f>IF(N156="","",VLOOKUP(N156,'G-7 Rivers Data'!$B$4:$G$8,5,FALSE))</f>
        <v/>
      </c>
      <c r="AF156" s="520" t="str">
        <f t="shared" si="18"/>
        <v/>
      </c>
      <c r="AG156" s="520" t="str">
        <f t="shared" si="22"/>
        <v/>
      </c>
      <c r="AH156" s="524" t="str">
        <f t="shared" si="19"/>
        <v/>
      </c>
      <c r="AI156" s="145"/>
      <c r="AJ156" s="499" t="str">
        <f>IF(AI156="","",IF(VLOOKUP(AI156,'G-7 Rivers Data'!$AA$4:$AB$7,2,FALSE)=0,"Spatial Data Missing ⚠",VLOOKUP(AI156,'G-7 Rivers Data'!$AA$4:$AB$7,2,FALSE)))</f>
        <v/>
      </c>
      <c r="AK156" s="155"/>
      <c r="AL156" s="536" t="str">
        <f>IF(AK156="","",IF(VLOOKUP(AK156,'G-7 Rivers Data'!$AD$4:$AE$8,2,FALSE)=0,"Spatial Data Missing ⚠",VLOOKUP(AK156,'G-7 Rivers Data'!$AD$4:$AE$8,2,FALSE)))</f>
        <v/>
      </c>
      <c r="AM156" s="154"/>
      <c r="AN156" s="524" t="str">
        <f>IF(AM156="","",VLOOKUP(AM156,'G-7 Rivers Data'!$AO$4:$AP$7,2,FALSE))</f>
        <v/>
      </c>
      <c r="AO156" s="545" t="str">
        <f t="shared" si="23"/>
        <v/>
      </c>
      <c r="AP156" s="149"/>
      <c r="AQ156" s="150"/>
      <c r="AX156" s="31" t="str">
        <f>IFERROR(INDEX('G-7 Rivers Data'!$AZ$3:$AZ$7,MATCH(N156,'G-7 Rivers Data'!$AY$3:$AY$7,0)),"")</f>
        <v/>
      </c>
    </row>
    <row r="157" spans="2:50" ht="13.8" x14ac:dyDescent="0.25">
      <c r="B157" s="531" t="str">
        <f>'F-1 Off Site River Baseline'!AN155</f>
        <v/>
      </c>
      <c r="C157" s="520" t="str">
        <f>IF(B157="","",VLOOKUP($B157,'F-1 Off Site River Baseline'!$C$9:$R$257,2,FALSE))</f>
        <v/>
      </c>
      <c r="D157" s="520" t="str">
        <f>IF(C157="","",VLOOKUP($B157,'F-1 Off Site River Baseline'!$C$9:$R$257,3,FALSE))</f>
        <v/>
      </c>
      <c r="E157" s="520" t="str">
        <f>IF(D157="","",VLOOKUP($B157,'F-1 Off Site River Baseline'!$C$9:$R$257,4,FALSE))</f>
        <v/>
      </c>
      <c r="F157" s="520" t="str">
        <f>IF(E157="","",VLOOKUP($B157,'F-1 Off Site River Baseline'!$C$9:$R$257,5,FALSE))</f>
        <v/>
      </c>
      <c r="G157" s="520" t="str">
        <f>IF(F157="","",VLOOKUP($B157,'F-1 Off Site River Baseline'!$C$9:$R$257,6,FALSE))</f>
        <v/>
      </c>
      <c r="H157" s="520" t="str">
        <f>IF(G157="","",VLOOKUP($B157,'F-1 Off Site River Baseline'!$C$9:$R$257,7,FALSE))</f>
        <v/>
      </c>
      <c r="I157" s="520" t="str">
        <f>IF(H157="","",VLOOKUP($B157,'F-1 Off Site River Baseline'!$C$9:$R$257,8,FALSE))</f>
        <v/>
      </c>
      <c r="J157" s="520" t="str">
        <f>IF(I157="","",VLOOKUP($B157,'F-1 Off Site River Baseline'!$C$9:$R$257,9,FALSE))</f>
        <v/>
      </c>
      <c r="K157" s="520" t="str">
        <f>IF(J157="","",VLOOKUP($B157,'F-1 Off Site River Baseline'!$C$9:$R$257,10,FALSE))</f>
        <v/>
      </c>
      <c r="L157" s="520" t="str">
        <f>IF(B157="","",VLOOKUP($B157,'C-1 Site River Baseline'!$C$9:$R$257,15,FALSE))</f>
        <v/>
      </c>
      <c r="M157" s="524" t="str">
        <f>IF(L157="","",VLOOKUP($B157,'F-1 Off Site River Baseline'!$C$9:$R$257,16,FALSE))</f>
        <v/>
      </c>
      <c r="N157" s="418" t="str">
        <f t="shared" si="20"/>
        <v/>
      </c>
      <c r="O157" s="498" t="str">
        <f t="shared" si="21"/>
        <v/>
      </c>
      <c r="P157" s="499"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5" t="str">
        <f>IF(N157="","",VLOOKUP(B157,'F-1 Off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20" t="str">
        <f>IF(V157="","",IF(VLOOKUP(V157,'G-7 Rivers Data'!$AG$4:$AI$9,2,FALSE)=0,"Spatial Data Missing ⚠",VLOOKUP(V157,'G-7 Rivers Data'!$AG$4:$AI$9,2,FALSE)))</f>
        <v/>
      </c>
      <c r="X157" s="524" t="str">
        <f>IF(V157="","",IF(VLOOKUP(V157,'G-7 Rivers Data'!$AG$4:$AI$9,3,FALSE)=0,"Spatial Data Missing ⚠",VLOOKUP(V157,'G-7 Rivers Data'!$AG$4:$AI$9,3,FALSE)))</f>
        <v/>
      </c>
      <c r="Y157" s="537" t="str">
        <f>IFERROR(IF(OR(LEFT(P157,5)="Error ▲",LEFT(O157,5)="Error ▲"),"Check Data ⚠",IF(F157&lt;S157,'G-7 Rivers Data'!$R$3,INDEX('G-7 Rivers Data'!$U$5:$Y$9,MATCH(G157,'G-7 Rivers Data'!$T$5:$T$9,0),MATCH(T157,'G-7 Rivers Data'!$U$4:$Y$4,0)))),"")</f>
        <v/>
      </c>
      <c r="Z157" s="203"/>
      <c r="AA157" s="203"/>
      <c r="AB157" s="534" t="str">
        <f t="shared" si="16"/>
        <v/>
      </c>
      <c r="AC157" s="521" t="str">
        <f t="shared" si="17"/>
        <v/>
      </c>
      <c r="AD157" s="564" t="str">
        <f>IFERROR(IF(AC157="Check Data ⚠","Check Data ⚠",VLOOKUP(AC157,'G-4 Temporal multipliers'!$A$4:$C$37,3,FALSE)),"")</f>
        <v/>
      </c>
      <c r="AE157" s="537" t="str">
        <f>IF(N157="","",VLOOKUP(N157,'G-7 Rivers Data'!$B$4:$G$8,5,FALSE))</f>
        <v/>
      </c>
      <c r="AF157" s="520" t="str">
        <f t="shared" si="18"/>
        <v/>
      </c>
      <c r="AG157" s="520" t="str">
        <f t="shared" si="22"/>
        <v/>
      </c>
      <c r="AH157" s="524" t="str">
        <f t="shared" si="19"/>
        <v/>
      </c>
      <c r="AI157" s="145"/>
      <c r="AJ157" s="499" t="str">
        <f>IF(AI157="","",IF(VLOOKUP(AI157,'G-7 Rivers Data'!$AA$4:$AB$7,2,FALSE)=0,"Spatial Data Missing ⚠",VLOOKUP(AI157,'G-7 Rivers Data'!$AA$4:$AB$7,2,FALSE)))</f>
        <v/>
      </c>
      <c r="AK157" s="155"/>
      <c r="AL157" s="536" t="str">
        <f>IF(AK157="","",IF(VLOOKUP(AK157,'G-7 Rivers Data'!$AD$4:$AE$8,2,FALSE)=0,"Spatial Data Missing ⚠",VLOOKUP(AK157,'G-7 Rivers Data'!$AD$4:$AE$8,2,FALSE)))</f>
        <v/>
      </c>
      <c r="AM157" s="154"/>
      <c r="AN157" s="524" t="str">
        <f>IF(AM157="","",VLOOKUP(AM157,'G-7 Rivers Data'!$AO$4:$AP$7,2,FALSE))</f>
        <v/>
      </c>
      <c r="AO157" s="545" t="str">
        <f t="shared" si="23"/>
        <v/>
      </c>
      <c r="AP157" s="149"/>
      <c r="AQ157" s="150"/>
      <c r="AX157" s="31" t="str">
        <f>IFERROR(INDEX('G-7 Rivers Data'!$AZ$3:$AZ$7,MATCH(N157,'G-7 Rivers Data'!$AY$3:$AY$7,0)),"")</f>
        <v/>
      </c>
    </row>
    <row r="158" spans="2:50" ht="13.8" x14ac:dyDescent="0.25">
      <c r="B158" s="531" t="str">
        <f>'F-1 Off Site River Baseline'!AN156</f>
        <v/>
      </c>
      <c r="C158" s="520" t="str">
        <f>IF(B158="","",VLOOKUP($B158,'F-1 Off Site River Baseline'!$C$9:$R$257,2,FALSE))</f>
        <v/>
      </c>
      <c r="D158" s="520" t="str">
        <f>IF(C158="","",VLOOKUP($B158,'F-1 Off Site River Baseline'!$C$9:$R$257,3,FALSE))</f>
        <v/>
      </c>
      <c r="E158" s="520" t="str">
        <f>IF(D158="","",VLOOKUP($B158,'F-1 Off Site River Baseline'!$C$9:$R$257,4,FALSE))</f>
        <v/>
      </c>
      <c r="F158" s="520" t="str">
        <f>IF(E158="","",VLOOKUP($B158,'F-1 Off Site River Baseline'!$C$9:$R$257,5,FALSE))</f>
        <v/>
      </c>
      <c r="G158" s="520" t="str">
        <f>IF(F158="","",VLOOKUP($B158,'F-1 Off Site River Baseline'!$C$9:$R$257,6,FALSE))</f>
        <v/>
      </c>
      <c r="H158" s="520" t="str">
        <f>IF(G158="","",VLOOKUP($B158,'F-1 Off Site River Baseline'!$C$9:$R$257,7,FALSE))</f>
        <v/>
      </c>
      <c r="I158" s="520" t="str">
        <f>IF(H158="","",VLOOKUP($B158,'F-1 Off Site River Baseline'!$C$9:$R$257,8,FALSE))</f>
        <v/>
      </c>
      <c r="J158" s="520" t="str">
        <f>IF(I158="","",VLOOKUP($B158,'F-1 Off Site River Baseline'!$C$9:$R$257,9,FALSE))</f>
        <v/>
      </c>
      <c r="K158" s="520" t="str">
        <f>IF(J158="","",VLOOKUP($B158,'F-1 Off Site River Baseline'!$C$9:$R$257,10,FALSE))</f>
        <v/>
      </c>
      <c r="L158" s="520" t="str">
        <f>IF(B158="","",VLOOKUP($B158,'C-1 Site River Baseline'!$C$9:$R$257,15,FALSE))</f>
        <v/>
      </c>
      <c r="M158" s="524" t="str">
        <f>IF(L158="","",VLOOKUP($B158,'F-1 Off Site River Baseline'!$C$9:$R$257,16,FALSE))</f>
        <v/>
      </c>
      <c r="N158" s="418" t="str">
        <f t="shared" si="20"/>
        <v/>
      </c>
      <c r="O158" s="498" t="str">
        <f t="shared" si="21"/>
        <v/>
      </c>
      <c r="P158" s="499"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5" t="str">
        <f>IF(N158="","",VLOOKUP(B158,'F-1 Off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20" t="str">
        <f>IF(V158="","",IF(VLOOKUP(V158,'G-7 Rivers Data'!$AG$4:$AI$9,2,FALSE)=0,"Spatial Data Missing ⚠",VLOOKUP(V158,'G-7 Rivers Data'!$AG$4:$AI$9,2,FALSE)))</f>
        <v/>
      </c>
      <c r="X158" s="524" t="str">
        <f>IF(V158="","",IF(VLOOKUP(V158,'G-7 Rivers Data'!$AG$4:$AI$9,3,FALSE)=0,"Spatial Data Missing ⚠",VLOOKUP(V158,'G-7 Rivers Data'!$AG$4:$AI$9,3,FALSE)))</f>
        <v/>
      </c>
      <c r="Y158" s="537" t="str">
        <f>IFERROR(IF(OR(LEFT(P158,5)="Error ▲",LEFT(O158,5)="Error ▲"),"Check Data ⚠",IF(F158&lt;S158,'G-7 Rivers Data'!$R$3,INDEX('G-7 Rivers Data'!$U$5:$Y$9,MATCH(G158,'G-7 Rivers Data'!$T$5:$T$9,0),MATCH(T158,'G-7 Rivers Data'!$U$4:$Y$4,0)))),"")</f>
        <v/>
      </c>
      <c r="Z158" s="203"/>
      <c r="AA158" s="203"/>
      <c r="AB158" s="534" t="str">
        <f t="shared" si="16"/>
        <v/>
      </c>
      <c r="AC158" s="521" t="str">
        <f t="shared" si="17"/>
        <v/>
      </c>
      <c r="AD158" s="564" t="str">
        <f>IFERROR(IF(AC158="Check Data ⚠","Check Data ⚠",VLOOKUP(AC158,'G-4 Temporal multipliers'!$A$4:$C$37,3,FALSE)),"")</f>
        <v/>
      </c>
      <c r="AE158" s="537" t="str">
        <f>IF(N158="","",VLOOKUP(N158,'G-7 Rivers Data'!$B$4:$G$8,5,FALSE))</f>
        <v/>
      </c>
      <c r="AF158" s="520" t="str">
        <f t="shared" si="18"/>
        <v/>
      </c>
      <c r="AG158" s="520" t="str">
        <f t="shared" si="22"/>
        <v/>
      </c>
      <c r="AH158" s="524" t="str">
        <f t="shared" si="19"/>
        <v/>
      </c>
      <c r="AI158" s="145"/>
      <c r="AJ158" s="499" t="str">
        <f>IF(AI158="","",IF(VLOOKUP(AI158,'G-7 Rivers Data'!$AA$4:$AB$7,2,FALSE)=0,"Spatial Data Missing ⚠",VLOOKUP(AI158,'G-7 Rivers Data'!$AA$4:$AB$7,2,FALSE)))</f>
        <v/>
      </c>
      <c r="AK158" s="155"/>
      <c r="AL158" s="536" t="str">
        <f>IF(AK158="","",IF(VLOOKUP(AK158,'G-7 Rivers Data'!$AD$4:$AE$8,2,FALSE)=0,"Spatial Data Missing ⚠",VLOOKUP(AK158,'G-7 Rivers Data'!$AD$4:$AE$8,2,FALSE)))</f>
        <v/>
      </c>
      <c r="AM158" s="154"/>
      <c r="AN158" s="524" t="str">
        <f>IF(AM158="","",VLOOKUP(AM158,'G-7 Rivers Data'!$AO$4:$AP$7,2,FALSE))</f>
        <v/>
      </c>
      <c r="AO158" s="545" t="str">
        <f t="shared" si="23"/>
        <v/>
      </c>
      <c r="AP158" s="149"/>
      <c r="AQ158" s="150"/>
      <c r="AX158" s="31" t="str">
        <f>IFERROR(INDEX('G-7 Rivers Data'!$AZ$3:$AZ$7,MATCH(N158,'G-7 Rivers Data'!$AY$3:$AY$7,0)),"")</f>
        <v/>
      </c>
    </row>
    <row r="159" spans="2:50" ht="13.8" x14ac:dyDescent="0.25">
      <c r="B159" s="531" t="str">
        <f>'F-1 Off Site River Baseline'!AN157</f>
        <v/>
      </c>
      <c r="C159" s="520" t="str">
        <f>IF(B159="","",VLOOKUP($B159,'F-1 Off Site River Baseline'!$C$9:$R$257,2,FALSE))</f>
        <v/>
      </c>
      <c r="D159" s="520" t="str">
        <f>IF(C159="","",VLOOKUP($B159,'F-1 Off Site River Baseline'!$C$9:$R$257,3,FALSE))</f>
        <v/>
      </c>
      <c r="E159" s="520" t="str">
        <f>IF(D159="","",VLOOKUP($B159,'F-1 Off Site River Baseline'!$C$9:$R$257,4,FALSE))</f>
        <v/>
      </c>
      <c r="F159" s="520" t="str">
        <f>IF(E159="","",VLOOKUP($B159,'F-1 Off Site River Baseline'!$C$9:$R$257,5,FALSE))</f>
        <v/>
      </c>
      <c r="G159" s="520" t="str">
        <f>IF(F159="","",VLOOKUP($B159,'F-1 Off Site River Baseline'!$C$9:$R$257,6,FALSE))</f>
        <v/>
      </c>
      <c r="H159" s="520" t="str">
        <f>IF(G159="","",VLOOKUP($B159,'F-1 Off Site River Baseline'!$C$9:$R$257,7,FALSE))</f>
        <v/>
      </c>
      <c r="I159" s="520" t="str">
        <f>IF(H159="","",VLOOKUP($B159,'F-1 Off Site River Baseline'!$C$9:$R$257,8,FALSE))</f>
        <v/>
      </c>
      <c r="J159" s="520" t="str">
        <f>IF(I159="","",VLOOKUP($B159,'F-1 Off Site River Baseline'!$C$9:$R$257,9,FALSE))</f>
        <v/>
      </c>
      <c r="K159" s="520" t="str">
        <f>IF(J159="","",VLOOKUP($B159,'F-1 Off Site River Baseline'!$C$9:$R$257,10,FALSE))</f>
        <v/>
      </c>
      <c r="L159" s="520" t="str">
        <f>IF(B159="","",VLOOKUP($B159,'C-1 Site River Baseline'!$C$9:$R$257,15,FALSE))</f>
        <v/>
      </c>
      <c r="M159" s="524" t="str">
        <f>IF(L159="","",VLOOKUP($B159,'F-1 Off Site River Baseline'!$C$9:$R$257,16,FALSE))</f>
        <v/>
      </c>
      <c r="N159" s="418" t="str">
        <f t="shared" si="20"/>
        <v/>
      </c>
      <c r="O159" s="498" t="str">
        <f t="shared" si="21"/>
        <v/>
      </c>
      <c r="P159" s="499"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5" t="str">
        <f>IF(N159="","",VLOOKUP(B159,'F-1 Off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20" t="str">
        <f>IF(V159="","",IF(VLOOKUP(V159,'G-7 Rivers Data'!$AG$4:$AI$9,2,FALSE)=0,"Spatial Data Missing ⚠",VLOOKUP(V159,'G-7 Rivers Data'!$AG$4:$AI$9,2,FALSE)))</f>
        <v/>
      </c>
      <c r="X159" s="524" t="str">
        <f>IF(V159="","",IF(VLOOKUP(V159,'G-7 Rivers Data'!$AG$4:$AI$9,3,FALSE)=0,"Spatial Data Missing ⚠",VLOOKUP(V159,'G-7 Rivers Data'!$AG$4:$AI$9,3,FALSE)))</f>
        <v/>
      </c>
      <c r="Y159" s="537" t="str">
        <f>IFERROR(IF(OR(LEFT(P159,5)="Error ▲",LEFT(O159,5)="Error ▲"),"Check Data ⚠",IF(F159&lt;S159,'G-7 Rivers Data'!$R$3,INDEX('G-7 Rivers Data'!$U$5:$Y$9,MATCH(G159,'G-7 Rivers Data'!$T$5:$T$9,0),MATCH(T159,'G-7 Rivers Data'!$U$4:$Y$4,0)))),"")</f>
        <v/>
      </c>
      <c r="Z159" s="203"/>
      <c r="AA159" s="203"/>
      <c r="AB159" s="534" t="str">
        <f t="shared" si="16"/>
        <v/>
      </c>
      <c r="AC159" s="521" t="str">
        <f t="shared" si="17"/>
        <v/>
      </c>
      <c r="AD159" s="564" t="str">
        <f>IFERROR(IF(AC159="Check Data ⚠","Check Data ⚠",VLOOKUP(AC159,'G-4 Temporal multipliers'!$A$4:$C$37,3,FALSE)),"")</f>
        <v/>
      </c>
      <c r="AE159" s="537" t="str">
        <f>IF(N159="","",VLOOKUP(N159,'G-7 Rivers Data'!$B$4:$G$8,5,FALSE))</f>
        <v/>
      </c>
      <c r="AF159" s="520" t="str">
        <f t="shared" si="18"/>
        <v/>
      </c>
      <c r="AG159" s="520" t="str">
        <f t="shared" si="22"/>
        <v/>
      </c>
      <c r="AH159" s="524" t="str">
        <f t="shared" si="19"/>
        <v/>
      </c>
      <c r="AI159" s="145"/>
      <c r="AJ159" s="499" t="str">
        <f>IF(AI159="","",IF(VLOOKUP(AI159,'G-7 Rivers Data'!$AA$4:$AB$7,2,FALSE)=0,"Spatial Data Missing ⚠",VLOOKUP(AI159,'G-7 Rivers Data'!$AA$4:$AB$7,2,FALSE)))</f>
        <v/>
      </c>
      <c r="AK159" s="155"/>
      <c r="AL159" s="536" t="str">
        <f>IF(AK159="","",IF(VLOOKUP(AK159,'G-7 Rivers Data'!$AD$4:$AE$8,2,FALSE)=0,"Spatial Data Missing ⚠",VLOOKUP(AK159,'G-7 Rivers Data'!$AD$4:$AE$8,2,FALSE)))</f>
        <v/>
      </c>
      <c r="AM159" s="154"/>
      <c r="AN159" s="524" t="str">
        <f>IF(AM159="","",VLOOKUP(AM159,'G-7 Rivers Data'!$AO$4:$AP$7,2,FALSE))</f>
        <v/>
      </c>
      <c r="AO159" s="545" t="str">
        <f t="shared" si="23"/>
        <v/>
      </c>
      <c r="AP159" s="149"/>
      <c r="AQ159" s="150"/>
      <c r="AX159" s="31" t="str">
        <f>IFERROR(INDEX('G-7 Rivers Data'!$AZ$3:$AZ$7,MATCH(N159,'G-7 Rivers Data'!$AY$3:$AY$7,0)),"")</f>
        <v/>
      </c>
    </row>
    <row r="160" spans="2:50" ht="13.8" x14ac:dyDescent="0.25">
      <c r="B160" s="531" t="str">
        <f>'F-1 Off Site River Baseline'!AN158</f>
        <v/>
      </c>
      <c r="C160" s="520" t="str">
        <f>IF(B160="","",VLOOKUP($B160,'F-1 Off Site River Baseline'!$C$9:$R$257,2,FALSE))</f>
        <v/>
      </c>
      <c r="D160" s="520" t="str">
        <f>IF(C160="","",VLOOKUP($B160,'F-1 Off Site River Baseline'!$C$9:$R$257,3,FALSE))</f>
        <v/>
      </c>
      <c r="E160" s="520" t="str">
        <f>IF(D160="","",VLOOKUP($B160,'F-1 Off Site River Baseline'!$C$9:$R$257,4,FALSE))</f>
        <v/>
      </c>
      <c r="F160" s="520" t="str">
        <f>IF(E160="","",VLOOKUP($B160,'F-1 Off Site River Baseline'!$C$9:$R$257,5,FALSE))</f>
        <v/>
      </c>
      <c r="G160" s="520" t="str">
        <f>IF(F160="","",VLOOKUP($B160,'F-1 Off Site River Baseline'!$C$9:$R$257,6,FALSE))</f>
        <v/>
      </c>
      <c r="H160" s="520" t="str">
        <f>IF(G160="","",VLOOKUP($B160,'F-1 Off Site River Baseline'!$C$9:$R$257,7,FALSE))</f>
        <v/>
      </c>
      <c r="I160" s="520" t="str">
        <f>IF(H160="","",VLOOKUP($B160,'F-1 Off Site River Baseline'!$C$9:$R$257,8,FALSE))</f>
        <v/>
      </c>
      <c r="J160" s="520" t="str">
        <f>IF(I160="","",VLOOKUP($B160,'F-1 Off Site River Baseline'!$C$9:$R$257,9,FALSE))</f>
        <v/>
      </c>
      <c r="K160" s="520" t="str">
        <f>IF(J160="","",VLOOKUP($B160,'F-1 Off Site River Baseline'!$C$9:$R$257,10,FALSE))</f>
        <v/>
      </c>
      <c r="L160" s="520" t="str">
        <f>IF(B160="","",VLOOKUP($B160,'C-1 Site River Baseline'!$C$9:$R$257,15,FALSE))</f>
        <v/>
      </c>
      <c r="M160" s="524" t="str">
        <f>IF(L160="","",VLOOKUP($B160,'F-1 Off Site River Baseline'!$C$9:$R$257,16,FALSE))</f>
        <v/>
      </c>
      <c r="N160" s="418" t="str">
        <f t="shared" si="20"/>
        <v/>
      </c>
      <c r="O160" s="498" t="str">
        <f t="shared" si="21"/>
        <v/>
      </c>
      <c r="P160" s="499"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5" t="str">
        <f>IF(N160="","",VLOOKUP(B160,'F-1 Off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20" t="str">
        <f>IF(V160="","",IF(VLOOKUP(V160,'G-7 Rivers Data'!$AG$4:$AI$9,2,FALSE)=0,"Spatial Data Missing ⚠",VLOOKUP(V160,'G-7 Rivers Data'!$AG$4:$AI$9,2,FALSE)))</f>
        <v/>
      </c>
      <c r="X160" s="524" t="str">
        <f>IF(V160="","",IF(VLOOKUP(V160,'G-7 Rivers Data'!$AG$4:$AI$9,3,FALSE)=0,"Spatial Data Missing ⚠",VLOOKUP(V160,'G-7 Rivers Data'!$AG$4:$AI$9,3,FALSE)))</f>
        <v/>
      </c>
      <c r="Y160" s="537" t="str">
        <f>IFERROR(IF(OR(LEFT(P160,5)="Error ▲",LEFT(O160,5)="Error ▲"),"Check Data ⚠",IF(F160&lt;S160,'G-7 Rivers Data'!$R$3,INDEX('G-7 Rivers Data'!$U$5:$Y$9,MATCH(G160,'G-7 Rivers Data'!$T$5:$T$9,0),MATCH(T160,'G-7 Rivers Data'!$U$4:$Y$4,0)))),"")</f>
        <v/>
      </c>
      <c r="Z160" s="203"/>
      <c r="AA160" s="203"/>
      <c r="AB160" s="534" t="str">
        <f t="shared" si="16"/>
        <v/>
      </c>
      <c r="AC160" s="521" t="str">
        <f t="shared" si="17"/>
        <v/>
      </c>
      <c r="AD160" s="564" t="str">
        <f>IFERROR(IF(AC160="Check Data ⚠","Check Data ⚠",VLOOKUP(AC160,'G-4 Temporal multipliers'!$A$4:$C$37,3,FALSE)),"")</f>
        <v/>
      </c>
      <c r="AE160" s="537" t="str">
        <f>IF(N160="","",VLOOKUP(N160,'G-7 Rivers Data'!$B$4:$G$8,5,FALSE))</f>
        <v/>
      </c>
      <c r="AF160" s="520" t="str">
        <f t="shared" si="18"/>
        <v/>
      </c>
      <c r="AG160" s="520" t="str">
        <f t="shared" si="22"/>
        <v/>
      </c>
      <c r="AH160" s="524" t="str">
        <f t="shared" si="19"/>
        <v/>
      </c>
      <c r="AI160" s="145"/>
      <c r="AJ160" s="499" t="str">
        <f>IF(AI160="","",IF(VLOOKUP(AI160,'G-7 Rivers Data'!$AA$4:$AB$7,2,FALSE)=0,"Spatial Data Missing ⚠",VLOOKUP(AI160,'G-7 Rivers Data'!$AA$4:$AB$7,2,FALSE)))</f>
        <v/>
      </c>
      <c r="AK160" s="155"/>
      <c r="AL160" s="536" t="str">
        <f>IF(AK160="","",IF(VLOOKUP(AK160,'G-7 Rivers Data'!$AD$4:$AE$8,2,FALSE)=0,"Spatial Data Missing ⚠",VLOOKUP(AK160,'G-7 Rivers Data'!$AD$4:$AE$8,2,FALSE)))</f>
        <v/>
      </c>
      <c r="AM160" s="154"/>
      <c r="AN160" s="524" t="str">
        <f>IF(AM160="","",VLOOKUP(AM160,'G-7 Rivers Data'!$AO$4:$AP$7,2,FALSE))</f>
        <v/>
      </c>
      <c r="AO160" s="545" t="str">
        <f t="shared" si="23"/>
        <v/>
      </c>
      <c r="AP160" s="149"/>
      <c r="AQ160" s="150"/>
      <c r="AX160" s="31" t="str">
        <f>IFERROR(INDEX('G-7 Rivers Data'!$AZ$3:$AZ$7,MATCH(N160,'G-7 Rivers Data'!$AY$3:$AY$7,0)),"")</f>
        <v/>
      </c>
    </row>
    <row r="161" spans="2:50" ht="13.8" x14ac:dyDescent="0.25">
      <c r="B161" s="531" t="str">
        <f>'F-1 Off Site River Baseline'!AN159</f>
        <v/>
      </c>
      <c r="C161" s="520" t="str">
        <f>IF(B161="","",VLOOKUP($B161,'F-1 Off Site River Baseline'!$C$9:$R$257,2,FALSE))</f>
        <v/>
      </c>
      <c r="D161" s="520" t="str">
        <f>IF(C161="","",VLOOKUP($B161,'F-1 Off Site River Baseline'!$C$9:$R$257,3,FALSE))</f>
        <v/>
      </c>
      <c r="E161" s="520" t="str">
        <f>IF(D161="","",VLOOKUP($B161,'F-1 Off Site River Baseline'!$C$9:$R$257,4,FALSE))</f>
        <v/>
      </c>
      <c r="F161" s="520" t="str">
        <f>IF(E161="","",VLOOKUP($B161,'F-1 Off Site River Baseline'!$C$9:$R$257,5,FALSE))</f>
        <v/>
      </c>
      <c r="G161" s="520" t="str">
        <f>IF(F161="","",VLOOKUP($B161,'F-1 Off Site River Baseline'!$C$9:$R$257,6,FALSE))</f>
        <v/>
      </c>
      <c r="H161" s="520" t="str">
        <f>IF(G161="","",VLOOKUP($B161,'F-1 Off Site River Baseline'!$C$9:$R$257,7,FALSE))</f>
        <v/>
      </c>
      <c r="I161" s="520" t="str">
        <f>IF(H161="","",VLOOKUP($B161,'F-1 Off Site River Baseline'!$C$9:$R$257,8,FALSE))</f>
        <v/>
      </c>
      <c r="J161" s="520" t="str">
        <f>IF(I161="","",VLOOKUP($B161,'F-1 Off Site River Baseline'!$C$9:$R$257,9,FALSE))</f>
        <v/>
      </c>
      <c r="K161" s="520" t="str">
        <f>IF(J161="","",VLOOKUP($B161,'F-1 Off Site River Baseline'!$C$9:$R$257,10,FALSE))</f>
        <v/>
      </c>
      <c r="L161" s="520" t="str">
        <f>IF(B161="","",VLOOKUP($B161,'C-1 Site River Baseline'!$C$9:$R$257,15,FALSE))</f>
        <v/>
      </c>
      <c r="M161" s="524" t="str">
        <f>IF(L161="","",VLOOKUP($B161,'F-1 Off Site River Baseline'!$C$9:$R$257,16,FALSE))</f>
        <v/>
      </c>
      <c r="N161" s="418" t="str">
        <f t="shared" si="20"/>
        <v/>
      </c>
      <c r="O161" s="498" t="str">
        <f t="shared" si="21"/>
        <v/>
      </c>
      <c r="P161" s="499"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5" t="str">
        <f>IF(N161="","",VLOOKUP(B161,'F-1 Off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20" t="str">
        <f>IF(V161="","",IF(VLOOKUP(V161,'G-7 Rivers Data'!$AG$4:$AI$9,2,FALSE)=0,"Spatial Data Missing ⚠",VLOOKUP(V161,'G-7 Rivers Data'!$AG$4:$AI$9,2,FALSE)))</f>
        <v/>
      </c>
      <c r="X161" s="524" t="str">
        <f>IF(V161="","",IF(VLOOKUP(V161,'G-7 Rivers Data'!$AG$4:$AI$9,3,FALSE)=0,"Spatial Data Missing ⚠",VLOOKUP(V161,'G-7 Rivers Data'!$AG$4:$AI$9,3,FALSE)))</f>
        <v/>
      </c>
      <c r="Y161" s="537" t="str">
        <f>IFERROR(IF(OR(LEFT(P161,5)="Error ▲",LEFT(O161,5)="Error ▲"),"Check Data ⚠",IF(F161&lt;S161,'G-7 Rivers Data'!$R$3,INDEX('G-7 Rivers Data'!$U$5:$Y$9,MATCH(G161,'G-7 Rivers Data'!$T$5:$T$9,0),MATCH(T161,'G-7 Rivers Data'!$U$4:$Y$4,0)))),"")</f>
        <v/>
      </c>
      <c r="Z161" s="203"/>
      <c r="AA161" s="203"/>
      <c r="AB161" s="534" t="str">
        <f t="shared" si="16"/>
        <v/>
      </c>
      <c r="AC161" s="521" t="str">
        <f t="shared" si="17"/>
        <v/>
      </c>
      <c r="AD161" s="564" t="str">
        <f>IFERROR(IF(AC161="Check Data ⚠","Check Data ⚠",VLOOKUP(AC161,'G-4 Temporal multipliers'!$A$4:$C$37,3,FALSE)),"")</f>
        <v/>
      </c>
      <c r="AE161" s="537" t="str">
        <f>IF(N161="","",VLOOKUP(N161,'G-7 Rivers Data'!$B$4:$G$8,5,FALSE))</f>
        <v/>
      </c>
      <c r="AF161" s="520" t="str">
        <f t="shared" si="18"/>
        <v/>
      </c>
      <c r="AG161" s="520" t="str">
        <f t="shared" si="22"/>
        <v/>
      </c>
      <c r="AH161" s="524" t="str">
        <f t="shared" si="19"/>
        <v/>
      </c>
      <c r="AI161" s="145"/>
      <c r="AJ161" s="499" t="str">
        <f>IF(AI161="","",IF(VLOOKUP(AI161,'G-7 Rivers Data'!$AA$4:$AB$7,2,FALSE)=0,"Spatial Data Missing ⚠",VLOOKUP(AI161,'G-7 Rivers Data'!$AA$4:$AB$7,2,FALSE)))</f>
        <v/>
      </c>
      <c r="AK161" s="155"/>
      <c r="AL161" s="536" t="str">
        <f>IF(AK161="","",IF(VLOOKUP(AK161,'G-7 Rivers Data'!$AD$4:$AE$8,2,FALSE)=0,"Spatial Data Missing ⚠",VLOOKUP(AK161,'G-7 Rivers Data'!$AD$4:$AE$8,2,FALSE)))</f>
        <v/>
      </c>
      <c r="AM161" s="154"/>
      <c r="AN161" s="524" t="str">
        <f>IF(AM161="","",VLOOKUP(AM161,'G-7 Rivers Data'!$AO$4:$AP$7,2,FALSE))</f>
        <v/>
      </c>
      <c r="AO161" s="545" t="str">
        <f t="shared" si="23"/>
        <v/>
      </c>
      <c r="AP161" s="149"/>
      <c r="AQ161" s="150"/>
      <c r="AX161" s="31" t="str">
        <f>IFERROR(INDEX('G-7 Rivers Data'!$AZ$3:$AZ$7,MATCH(N161,'G-7 Rivers Data'!$AY$3:$AY$7,0)),"")</f>
        <v/>
      </c>
    </row>
    <row r="162" spans="2:50" ht="13.8" x14ac:dyDescent="0.25">
      <c r="B162" s="531" t="str">
        <f>'F-1 Off Site River Baseline'!AN160</f>
        <v/>
      </c>
      <c r="C162" s="520" t="str">
        <f>IF(B162="","",VLOOKUP($B162,'F-1 Off Site River Baseline'!$C$9:$R$257,2,FALSE))</f>
        <v/>
      </c>
      <c r="D162" s="520" t="str">
        <f>IF(C162="","",VLOOKUP($B162,'F-1 Off Site River Baseline'!$C$9:$R$257,3,FALSE))</f>
        <v/>
      </c>
      <c r="E162" s="520" t="str">
        <f>IF(D162="","",VLOOKUP($B162,'F-1 Off Site River Baseline'!$C$9:$R$257,4,FALSE))</f>
        <v/>
      </c>
      <c r="F162" s="520" t="str">
        <f>IF(E162="","",VLOOKUP($B162,'F-1 Off Site River Baseline'!$C$9:$R$257,5,FALSE))</f>
        <v/>
      </c>
      <c r="G162" s="520" t="str">
        <f>IF(F162="","",VLOOKUP($B162,'F-1 Off Site River Baseline'!$C$9:$R$257,6,FALSE))</f>
        <v/>
      </c>
      <c r="H162" s="520" t="str">
        <f>IF(G162="","",VLOOKUP($B162,'F-1 Off Site River Baseline'!$C$9:$R$257,7,FALSE))</f>
        <v/>
      </c>
      <c r="I162" s="520" t="str">
        <f>IF(H162="","",VLOOKUP($B162,'F-1 Off Site River Baseline'!$C$9:$R$257,8,FALSE))</f>
        <v/>
      </c>
      <c r="J162" s="520" t="str">
        <f>IF(I162="","",VLOOKUP($B162,'F-1 Off Site River Baseline'!$C$9:$R$257,9,FALSE))</f>
        <v/>
      </c>
      <c r="K162" s="520" t="str">
        <f>IF(J162="","",VLOOKUP($B162,'F-1 Off Site River Baseline'!$C$9:$R$257,10,FALSE))</f>
        <v/>
      </c>
      <c r="L162" s="520" t="str">
        <f>IF(B162="","",VLOOKUP($B162,'C-1 Site River Baseline'!$C$9:$R$257,15,FALSE))</f>
        <v/>
      </c>
      <c r="M162" s="524" t="str">
        <f>IF(L162="","",VLOOKUP($B162,'F-1 Off Site River Baseline'!$C$9:$R$257,16,FALSE))</f>
        <v/>
      </c>
      <c r="N162" s="418" t="str">
        <f t="shared" si="20"/>
        <v/>
      </c>
      <c r="O162" s="498" t="str">
        <f t="shared" si="21"/>
        <v/>
      </c>
      <c r="P162" s="499"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5" t="str">
        <f>IF(N162="","",VLOOKUP(B162,'F-1 Off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20" t="str">
        <f>IF(V162="","",IF(VLOOKUP(V162,'G-7 Rivers Data'!$AG$4:$AI$9,2,FALSE)=0,"Spatial Data Missing ⚠",VLOOKUP(V162,'G-7 Rivers Data'!$AG$4:$AI$9,2,FALSE)))</f>
        <v/>
      </c>
      <c r="X162" s="524" t="str">
        <f>IF(V162="","",IF(VLOOKUP(V162,'G-7 Rivers Data'!$AG$4:$AI$9,3,FALSE)=0,"Spatial Data Missing ⚠",VLOOKUP(V162,'G-7 Rivers Data'!$AG$4:$AI$9,3,FALSE)))</f>
        <v/>
      </c>
      <c r="Y162" s="537" t="str">
        <f>IFERROR(IF(OR(LEFT(P162,5)="Error ▲",LEFT(O162,5)="Error ▲"),"Check Data ⚠",IF(F162&lt;S162,'G-7 Rivers Data'!$R$3,INDEX('G-7 Rivers Data'!$U$5:$Y$9,MATCH(G162,'G-7 Rivers Data'!$T$5:$T$9,0),MATCH(T162,'G-7 Rivers Data'!$U$4:$Y$4,0)))),"")</f>
        <v/>
      </c>
      <c r="Z162" s="203"/>
      <c r="AA162" s="203"/>
      <c r="AB162" s="534" t="str">
        <f t="shared" si="16"/>
        <v/>
      </c>
      <c r="AC162" s="521" t="str">
        <f t="shared" si="17"/>
        <v/>
      </c>
      <c r="AD162" s="564" t="str">
        <f>IFERROR(IF(AC162="Check Data ⚠","Check Data ⚠",VLOOKUP(AC162,'G-4 Temporal multipliers'!$A$4:$C$37,3,FALSE)),"")</f>
        <v/>
      </c>
      <c r="AE162" s="537" t="str">
        <f>IF(N162="","",VLOOKUP(N162,'G-7 Rivers Data'!$B$4:$G$8,5,FALSE))</f>
        <v/>
      </c>
      <c r="AF162" s="520" t="str">
        <f t="shared" si="18"/>
        <v/>
      </c>
      <c r="AG162" s="520" t="str">
        <f t="shared" si="22"/>
        <v/>
      </c>
      <c r="AH162" s="524" t="str">
        <f t="shared" si="19"/>
        <v/>
      </c>
      <c r="AI162" s="145"/>
      <c r="AJ162" s="499" t="str">
        <f>IF(AI162="","",IF(VLOOKUP(AI162,'G-7 Rivers Data'!$AA$4:$AB$7,2,FALSE)=0,"Spatial Data Missing ⚠",VLOOKUP(AI162,'G-7 Rivers Data'!$AA$4:$AB$7,2,FALSE)))</f>
        <v/>
      </c>
      <c r="AK162" s="155"/>
      <c r="AL162" s="536" t="str">
        <f>IF(AK162="","",IF(VLOOKUP(AK162,'G-7 Rivers Data'!$AD$4:$AE$8,2,FALSE)=0,"Spatial Data Missing ⚠",VLOOKUP(AK162,'G-7 Rivers Data'!$AD$4:$AE$8,2,FALSE)))</f>
        <v/>
      </c>
      <c r="AM162" s="154"/>
      <c r="AN162" s="524" t="str">
        <f>IF(AM162="","",VLOOKUP(AM162,'G-7 Rivers Data'!$AO$4:$AP$7,2,FALSE))</f>
        <v/>
      </c>
      <c r="AO162" s="545" t="str">
        <f t="shared" si="23"/>
        <v/>
      </c>
      <c r="AP162" s="149"/>
      <c r="AQ162" s="150"/>
      <c r="AX162" s="31" t="str">
        <f>IFERROR(INDEX('G-7 Rivers Data'!$AZ$3:$AZ$7,MATCH(N162,'G-7 Rivers Data'!$AY$3:$AY$7,0)),"")</f>
        <v/>
      </c>
    </row>
    <row r="163" spans="2:50" ht="13.8" x14ac:dyDescent="0.25">
      <c r="B163" s="531" t="str">
        <f>'F-1 Off Site River Baseline'!AN161</f>
        <v/>
      </c>
      <c r="C163" s="520" t="str">
        <f>IF(B163="","",VLOOKUP($B163,'F-1 Off Site River Baseline'!$C$9:$R$257,2,FALSE))</f>
        <v/>
      </c>
      <c r="D163" s="520" t="str">
        <f>IF(C163="","",VLOOKUP($B163,'F-1 Off Site River Baseline'!$C$9:$R$257,3,FALSE))</f>
        <v/>
      </c>
      <c r="E163" s="520" t="str">
        <f>IF(D163="","",VLOOKUP($B163,'F-1 Off Site River Baseline'!$C$9:$R$257,4,FALSE))</f>
        <v/>
      </c>
      <c r="F163" s="520" t="str">
        <f>IF(E163="","",VLOOKUP($B163,'F-1 Off Site River Baseline'!$C$9:$R$257,5,FALSE))</f>
        <v/>
      </c>
      <c r="G163" s="520" t="str">
        <f>IF(F163="","",VLOOKUP($B163,'F-1 Off Site River Baseline'!$C$9:$R$257,6,FALSE))</f>
        <v/>
      </c>
      <c r="H163" s="520" t="str">
        <f>IF(G163="","",VLOOKUP($B163,'F-1 Off Site River Baseline'!$C$9:$R$257,7,FALSE))</f>
        <v/>
      </c>
      <c r="I163" s="520" t="str">
        <f>IF(H163="","",VLOOKUP($B163,'F-1 Off Site River Baseline'!$C$9:$R$257,8,FALSE))</f>
        <v/>
      </c>
      <c r="J163" s="520" t="str">
        <f>IF(I163="","",VLOOKUP($B163,'F-1 Off Site River Baseline'!$C$9:$R$257,9,FALSE))</f>
        <v/>
      </c>
      <c r="K163" s="520" t="str">
        <f>IF(J163="","",VLOOKUP($B163,'F-1 Off Site River Baseline'!$C$9:$R$257,10,FALSE))</f>
        <v/>
      </c>
      <c r="L163" s="520" t="str">
        <f>IF(B163="","",VLOOKUP($B163,'C-1 Site River Baseline'!$C$9:$R$257,15,FALSE))</f>
        <v/>
      </c>
      <c r="M163" s="524" t="str">
        <f>IF(L163="","",VLOOKUP($B163,'F-1 Off Site River Baseline'!$C$9:$R$257,16,FALSE))</f>
        <v/>
      </c>
      <c r="N163" s="418" t="str">
        <f t="shared" si="20"/>
        <v/>
      </c>
      <c r="O163" s="498" t="str">
        <f t="shared" si="21"/>
        <v/>
      </c>
      <c r="P163" s="499"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5" t="str">
        <f>IF(N163="","",VLOOKUP(B163,'F-1 Off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20" t="str">
        <f>IF(V163="","",IF(VLOOKUP(V163,'G-7 Rivers Data'!$AG$4:$AI$9,2,FALSE)=0,"Spatial Data Missing ⚠",VLOOKUP(V163,'G-7 Rivers Data'!$AG$4:$AI$9,2,FALSE)))</f>
        <v/>
      </c>
      <c r="X163" s="524" t="str">
        <f>IF(V163="","",IF(VLOOKUP(V163,'G-7 Rivers Data'!$AG$4:$AI$9,3,FALSE)=0,"Spatial Data Missing ⚠",VLOOKUP(V163,'G-7 Rivers Data'!$AG$4:$AI$9,3,FALSE)))</f>
        <v/>
      </c>
      <c r="Y163" s="537" t="str">
        <f>IFERROR(IF(OR(LEFT(P163,5)="Error ▲",LEFT(O163,5)="Error ▲"),"Check Data ⚠",IF(F163&lt;S163,'G-7 Rivers Data'!$R$3,INDEX('G-7 Rivers Data'!$U$5:$Y$9,MATCH(G163,'G-7 Rivers Data'!$T$5:$T$9,0),MATCH(T163,'G-7 Rivers Data'!$U$4:$Y$4,0)))),"")</f>
        <v/>
      </c>
      <c r="Z163" s="203"/>
      <c r="AA163" s="203"/>
      <c r="AB163" s="534" t="str">
        <f t="shared" si="16"/>
        <v/>
      </c>
      <c r="AC163" s="521" t="str">
        <f t="shared" si="17"/>
        <v/>
      </c>
      <c r="AD163" s="564" t="str">
        <f>IFERROR(IF(AC163="Check Data ⚠","Check Data ⚠",VLOOKUP(AC163,'G-4 Temporal multipliers'!$A$4:$C$37,3,FALSE)),"")</f>
        <v/>
      </c>
      <c r="AE163" s="537" t="str">
        <f>IF(N163="","",VLOOKUP(N163,'G-7 Rivers Data'!$B$4:$G$8,5,FALSE))</f>
        <v/>
      </c>
      <c r="AF163" s="520" t="str">
        <f t="shared" si="18"/>
        <v/>
      </c>
      <c r="AG163" s="520" t="str">
        <f t="shared" si="22"/>
        <v/>
      </c>
      <c r="AH163" s="524" t="str">
        <f t="shared" si="19"/>
        <v/>
      </c>
      <c r="AI163" s="145"/>
      <c r="AJ163" s="499" t="str">
        <f>IF(AI163="","",IF(VLOOKUP(AI163,'G-7 Rivers Data'!$AA$4:$AB$7,2,FALSE)=0,"Spatial Data Missing ⚠",VLOOKUP(AI163,'G-7 Rivers Data'!$AA$4:$AB$7,2,FALSE)))</f>
        <v/>
      </c>
      <c r="AK163" s="155"/>
      <c r="AL163" s="536" t="str">
        <f>IF(AK163="","",IF(VLOOKUP(AK163,'G-7 Rivers Data'!$AD$4:$AE$8,2,FALSE)=0,"Spatial Data Missing ⚠",VLOOKUP(AK163,'G-7 Rivers Data'!$AD$4:$AE$8,2,FALSE)))</f>
        <v/>
      </c>
      <c r="AM163" s="154"/>
      <c r="AN163" s="524" t="str">
        <f>IF(AM163="","",VLOOKUP(AM163,'G-7 Rivers Data'!$AO$4:$AP$7,2,FALSE))</f>
        <v/>
      </c>
      <c r="AO163" s="545" t="str">
        <f t="shared" si="23"/>
        <v/>
      </c>
      <c r="AP163" s="149"/>
      <c r="AQ163" s="150"/>
      <c r="AX163" s="31" t="str">
        <f>IFERROR(INDEX('G-7 Rivers Data'!$AZ$3:$AZ$7,MATCH(N163,'G-7 Rivers Data'!$AY$3:$AY$7,0)),"")</f>
        <v/>
      </c>
    </row>
    <row r="164" spans="2:50" ht="13.8" x14ac:dyDescent="0.25">
      <c r="B164" s="531" t="str">
        <f>'F-1 Off Site River Baseline'!AN162</f>
        <v/>
      </c>
      <c r="C164" s="520" t="str">
        <f>IF(B164="","",VLOOKUP($B164,'F-1 Off Site River Baseline'!$C$9:$R$257,2,FALSE))</f>
        <v/>
      </c>
      <c r="D164" s="520" t="str">
        <f>IF(C164="","",VLOOKUP($B164,'F-1 Off Site River Baseline'!$C$9:$R$257,3,FALSE))</f>
        <v/>
      </c>
      <c r="E164" s="520" t="str">
        <f>IF(D164="","",VLOOKUP($B164,'F-1 Off Site River Baseline'!$C$9:$R$257,4,FALSE))</f>
        <v/>
      </c>
      <c r="F164" s="520" t="str">
        <f>IF(E164="","",VLOOKUP($B164,'F-1 Off Site River Baseline'!$C$9:$R$257,5,FALSE))</f>
        <v/>
      </c>
      <c r="G164" s="520" t="str">
        <f>IF(F164="","",VLOOKUP($B164,'F-1 Off Site River Baseline'!$C$9:$R$257,6,FALSE))</f>
        <v/>
      </c>
      <c r="H164" s="520" t="str">
        <f>IF(G164="","",VLOOKUP($B164,'F-1 Off Site River Baseline'!$C$9:$R$257,7,FALSE))</f>
        <v/>
      </c>
      <c r="I164" s="520" t="str">
        <f>IF(H164="","",VLOOKUP($B164,'F-1 Off Site River Baseline'!$C$9:$R$257,8,FALSE))</f>
        <v/>
      </c>
      <c r="J164" s="520" t="str">
        <f>IF(I164="","",VLOOKUP($B164,'F-1 Off Site River Baseline'!$C$9:$R$257,9,FALSE))</f>
        <v/>
      </c>
      <c r="K164" s="520" t="str">
        <f>IF(J164="","",VLOOKUP($B164,'F-1 Off Site River Baseline'!$C$9:$R$257,10,FALSE))</f>
        <v/>
      </c>
      <c r="L164" s="520" t="str">
        <f>IF(B164="","",VLOOKUP($B164,'C-1 Site River Baseline'!$C$9:$R$257,15,FALSE))</f>
        <v/>
      </c>
      <c r="M164" s="524" t="str">
        <f>IF(L164="","",VLOOKUP($B164,'F-1 Off Site River Baseline'!$C$9:$R$257,16,FALSE))</f>
        <v/>
      </c>
      <c r="N164" s="418" t="str">
        <f t="shared" si="20"/>
        <v/>
      </c>
      <c r="O164" s="498" t="str">
        <f t="shared" si="21"/>
        <v/>
      </c>
      <c r="P164" s="499"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5" t="str">
        <f>IF(N164="","",VLOOKUP(B164,'F-1 Off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20" t="str">
        <f>IF(V164="","",IF(VLOOKUP(V164,'G-7 Rivers Data'!$AG$4:$AI$9,2,FALSE)=0,"Spatial Data Missing ⚠",VLOOKUP(V164,'G-7 Rivers Data'!$AG$4:$AI$9,2,FALSE)))</f>
        <v/>
      </c>
      <c r="X164" s="524" t="str">
        <f>IF(V164="","",IF(VLOOKUP(V164,'G-7 Rivers Data'!$AG$4:$AI$9,3,FALSE)=0,"Spatial Data Missing ⚠",VLOOKUP(V164,'G-7 Rivers Data'!$AG$4:$AI$9,3,FALSE)))</f>
        <v/>
      </c>
      <c r="Y164" s="537" t="str">
        <f>IFERROR(IF(OR(LEFT(P164,5)="Error ▲",LEFT(O164,5)="Error ▲"),"Check Data ⚠",IF(F164&lt;S164,'G-7 Rivers Data'!$R$3,INDEX('G-7 Rivers Data'!$U$5:$Y$9,MATCH(G164,'G-7 Rivers Data'!$T$5:$T$9,0),MATCH(T164,'G-7 Rivers Data'!$U$4:$Y$4,0)))),"")</f>
        <v/>
      </c>
      <c r="Z164" s="203"/>
      <c r="AA164" s="203"/>
      <c r="AB164" s="534" t="str">
        <f t="shared" si="16"/>
        <v/>
      </c>
      <c r="AC164" s="521" t="str">
        <f t="shared" si="17"/>
        <v/>
      </c>
      <c r="AD164" s="564" t="str">
        <f>IFERROR(IF(AC164="Check Data ⚠","Check Data ⚠",VLOOKUP(AC164,'G-4 Temporal multipliers'!$A$4:$C$37,3,FALSE)),"")</f>
        <v/>
      </c>
      <c r="AE164" s="537" t="str">
        <f>IF(N164="","",VLOOKUP(N164,'G-7 Rivers Data'!$B$4:$G$8,5,FALSE))</f>
        <v/>
      </c>
      <c r="AF164" s="520" t="str">
        <f t="shared" si="18"/>
        <v/>
      </c>
      <c r="AG164" s="520" t="str">
        <f t="shared" si="22"/>
        <v/>
      </c>
      <c r="AH164" s="524" t="str">
        <f t="shared" si="19"/>
        <v/>
      </c>
      <c r="AI164" s="145"/>
      <c r="AJ164" s="499" t="str">
        <f>IF(AI164="","",IF(VLOOKUP(AI164,'G-7 Rivers Data'!$AA$4:$AB$7,2,FALSE)=0,"Spatial Data Missing ⚠",VLOOKUP(AI164,'G-7 Rivers Data'!$AA$4:$AB$7,2,FALSE)))</f>
        <v/>
      </c>
      <c r="AK164" s="155"/>
      <c r="AL164" s="536" t="str">
        <f>IF(AK164="","",IF(VLOOKUP(AK164,'G-7 Rivers Data'!$AD$4:$AE$8,2,FALSE)=0,"Spatial Data Missing ⚠",VLOOKUP(AK164,'G-7 Rivers Data'!$AD$4:$AE$8,2,FALSE)))</f>
        <v/>
      </c>
      <c r="AM164" s="154"/>
      <c r="AN164" s="524" t="str">
        <f>IF(AM164="","",VLOOKUP(AM164,'G-7 Rivers Data'!$AO$4:$AP$7,2,FALSE))</f>
        <v/>
      </c>
      <c r="AO164" s="545" t="str">
        <f t="shared" si="23"/>
        <v/>
      </c>
      <c r="AP164" s="149"/>
      <c r="AQ164" s="150"/>
      <c r="AX164" s="31" t="str">
        <f>IFERROR(INDEX('G-7 Rivers Data'!$AZ$3:$AZ$7,MATCH(N164,'G-7 Rivers Data'!$AY$3:$AY$7,0)),"")</f>
        <v/>
      </c>
    </row>
    <row r="165" spans="2:50" ht="13.8" x14ac:dyDescent="0.25">
      <c r="B165" s="531" t="str">
        <f>'F-1 Off Site River Baseline'!AN163</f>
        <v/>
      </c>
      <c r="C165" s="520" t="str">
        <f>IF(B165="","",VLOOKUP($B165,'F-1 Off Site River Baseline'!$C$9:$R$257,2,FALSE))</f>
        <v/>
      </c>
      <c r="D165" s="520" t="str">
        <f>IF(C165="","",VLOOKUP($B165,'F-1 Off Site River Baseline'!$C$9:$R$257,3,FALSE))</f>
        <v/>
      </c>
      <c r="E165" s="520" t="str">
        <f>IF(D165="","",VLOOKUP($B165,'F-1 Off Site River Baseline'!$C$9:$R$257,4,FALSE))</f>
        <v/>
      </c>
      <c r="F165" s="520" t="str">
        <f>IF(E165="","",VLOOKUP($B165,'F-1 Off Site River Baseline'!$C$9:$R$257,5,FALSE))</f>
        <v/>
      </c>
      <c r="G165" s="520" t="str">
        <f>IF(F165="","",VLOOKUP($B165,'F-1 Off Site River Baseline'!$C$9:$R$257,6,FALSE))</f>
        <v/>
      </c>
      <c r="H165" s="520" t="str">
        <f>IF(G165="","",VLOOKUP($B165,'F-1 Off Site River Baseline'!$C$9:$R$257,7,FALSE))</f>
        <v/>
      </c>
      <c r="I165" s="520" t="str">
        <f>IF(H165="","",VLOOKUP($B165,'F-1 Off Site River Baseline'!$C$9:$R$257,8,FALSE))</f>
        <v/>
      </c>
      <c r="J165" s="520" t="str">
        <f>IF(I165="","",VLOOKUP($B165,'F-1 Off Site River Baseline'!$C$9:$R$257,9,FALSE))</f>
        <v/>
      </c>
      <c r="K165" s="520" t="str">
        <f>IF(J165="","",VLOOKUP($B165,'F-1 Off Site River Baseline'!$C$9:$R$257,10,FALSE))</f>
        <v/>
      </c>
      <c r="L165" s="520" t="str">
        <f>IF(B165="","",VLOOKUP($B165,'C-1 Site River Baseline'!$C$9:$R$257,15,FALSE))</f>
        <v/>
      </c>
      <c r="M165" s="524" t="str">
        <f>IF(L165="","",VLOOKUP($B165,'F-1 Off Site River Baseline'!$C$9:$R$257,16,FALSE))</f>
        <v/>
      </c>
      <c r="N165" s="418" t="str">
        <f t="shared" si="20"/>
        <v/>
      </c>
      <c r="O165" s="498" t="str">
        <f t="shared" si="21"/>
        <v/>
      </c>
      <c r="P165" s="499"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5" t="str">
        <f>IF(N165="","",VLOOKUP(B165,'F-1 Off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20" t="str">
        <f>IF(V165="","",IF(VLOOKUP(V165,'G-7 Rivers Data'!$AG$4:$AI$9,2,FALSE)=0,"Spatial Data Missing ⚠",VLOOKUP(V165,'G-7 Rivers Data'!$AG$4:$AI$9,2,FALSE)))</f>
        <v/>
      </c>
      <c r="X165" s="524" t="str">
        <f>IF(V165="","",IF(VLOOKUP(V165,'G-7 Rivers Data'!$AG$4:$AI$9,3,FALSE)=0,"Spatial Data Missing ⚠",VLOOKUP(V165,'G-7 Rivers Data'!$AG$4:$AI$9,3,FALSE)))</f>
        <v/>
      </c>
      <c r="Y165" s="537" t="str">
        <f>IFERROR(IF(OR(LEFT(P165,5)="Error ▲",LEFT(O165,5)="Error ▲"),"Check Data ⚠",IF(F165&lt;S165,'G-7 Rivers Data'!$R$3,INDEX('G-7 Rivers Data'!$U$5:$Y$9,MATCH(G165,'G-7 Rivers Data'!$T$5:$T$9,0),MATCH(T165,'G-7 Rivers Data'!$U$4:$Y$4,0)))),"")</f>
        <v/>
      </c>
      <c r="Z165" s="203"/>
      <c r="AA165" s="203"/>
      <c r="AB165" s="534" t="str">
        <f t="shared" si="16"/>
        <v/>
      </c>
      <c r="AC165" s="521" t="str">
        <f t="shared" si="17"/>
        <v/>
      </c>
      <c r="AD165" s="564" t="str">
        <f>IFERROR(IF(AC165="Check Data ⚠","Check Data ⚠",VLOOKUP(AC165,'G-4 Temporal multipliers'!$A$4:$C$37,3,FALSE)),"")</f>
        <v/>
      </c>
      <c r="AE165" s="537" t="str">
        <f>IF(N165="","",VLOOKUP(N165,'G-7 Rivers Data'!$B$4:$G$8,5,FALSE))</f>
        <v/>
      </c>
      <c r="AF165" s="520" t="str">
        <f t="shared" si="18"/>
        <v/>
      </c>
      <c r="AG165" s="520" t="str">
        <f t="shared" si="22"/>
        <v/>
      </c>
      <c r="AH165" s="524" t="str">
        <f t="shared" si="19"/>
        <v/>
      </c>
      <c r="AI165" s="145"/>
      <c r="AJ165" s="499" t="str">
        <f>IF(AI165="","",IF(VLOOKUP(AI165,'G-7 Rivers Data'!$AA$4:$AB$7,2,FALSE)=0,"Spatial Data Missing ⚠",VLOOKUP(AI165,'G-7 Rivers Data'!$AA$4:$AB$7,2,FALSE)))</f>
        <v/>
      </c>
      <c r="AK165" s="155"/>
      <c r="AL165" s="536" t="str">
        <f>IF(AK165="","",IF(VLOOKUP(AK165,'G-7 Rivers Data'!$AD$4:$AE$8,2,FALSE)=0,"Spatial Data Missing ⚠",VLOOKUP(AK165,'G-7 Rivers Data'!$AD$4:$AE$8,2,FALSE)))</f>
        <v/>
      </c>
      <c r="AM165" s="154"/>
      <c r="AN165" s="524" t="str">
        <f>IF(AM165="","",VLOOKUP(AM165,'G-7 Rivers Data'!$AO$4:$AP$7,2,FALSE))</f>
        <v/>
      </c>
      <c r="AO165" s="545" t="str">
        <f t="shared" si="23"/>
        <v/>
      </c>
      <c r="AP165" s="149"/>
      <c r="AQ165" s="150"/>
      <c r="AX165" s="31" t="str">
        <f>IFERROR(INDEX('G-7 Rivers Data'!$AZ$3:$AZ$7,MATCH(N165,'G-7 Rivers Data'!$AY$3:$AY$7,0)),"")</f>
        <v/>
      </c>
    </row>
    <row r="166" spans="2:50" ht="13.8" x14ac:dyDescent="0.25">
      <c r="B166" s="531" t="str">
        <f>'F-1 Off Site River Baseline'!AN164</f>
        <v/>
      </c>
      <c r="C166" s="520" t="str">
        <f>IF(B166="","",VLOOKUP($B166,'F-1 Off Site River Baseline'!$C$9:$R$257,2,FALSE))</f>
        <v/>
      </c>
      <c r="D166" s="520" t="str">
        <f>IF(C166="","",VLOOKUP($B166,'F-1 Off Site River Baseline'!$C$9:$R$257,3,FALSE))</f>
        <v/>
      </c>
      <c r="E166" s="520" t="str">
        <f>IF(D166="","",VLOOKUP($B166,'F-1 Off Site River Baseline'!$C$9:$R$257,4,FALSE))</f>
        <v/>
      </c>
      <c r="F166" s="520" t="str">
        <f>IF(E166="","",VLOOKUP($B166,'F-1 Off Site River Baseline'!$C$9:$R$257,5,FALSE))</f>
        <v/>
      </c>
      <c r="G166" s="520" t="str">
        <f>IF(F166="","",VLOOKUP($B166,'F-1 Off Site River Baseline'!$C$9:$R$257,6,FALSE))</f>
        <v/>
      </c>
      <c r="H166" s="520" t="str">
        <f>IF(G166="","",VLOOKUP($B166,'F-1 Off Site River Baseline'!$C$9:$R$257,7,FALSE))</f>
        <v/>
      </c>
      <c r="I166" s="520" t="str">
        <f>IF(H166="","",VLOOKUP($B166,'F-1 Off Site River Baseline'!$C$9:$R$257,8,FALSE))</f>
        <v/>
      </c>
      <c r="J166" s="520" t="str">
        <f>IF(I166="","",VLOOKUP($B166,'F-1 Off Site River Baseline'!$C$9:$R$257,9,FALSE))</f>
        <v/>
      </c>
      <c r="K166" s="520" t="str">
        <f>IF(J166="","",VLOOKUP($B166,'F-1 Off Site River Baseline'!$C$9:$R$257,10,FALSE))</f>
        <v/>
      </c>
      <c r="L166" s="520" t="str">
        <f>IF(B166="","",VLOOKUP($B166,'C-1 Site River Baseline'!$C$9:$R$257,15,FALSE))</f>
        <v/>
      </c>
      <c r="M166" s="524" t="str">
        <f>IF(L166="","",VLOOKUP($B166,'F-1 Off Site River Baseline'!$C$9:$R$257,16,FALSE))</f>
        <v/>
      </c>
      <c r="N166" s="418" t="str">
        <f t="shared" si="20"/>
        <v/>
      </c>
      <c r="O166" s="498" t="str">
        <f t="shared" si="21"/>
        <v/>
      </c>
      <c r="P166" s="499"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5" t="str">
        <f>IF(N166="","",VLOOKUP(B166,'F-1 Off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20" t="str">
        <f>IF(V166="","",IF(VLOOKUP(V166,'G-7 Rivers Data'!$AG$4:$AI$9,2,FALSE)=0,"Spatial Data Missing ⚠",VLOOKUP(V166,'G-7 Rivers Data'!$AG$4:$AI$9,2,FALSE)))</f>
        <v/>
      </c>
      <c r="X166" s="524" t="str">
        <f>IF(V166="","",IF(VLOOKUP(V166,'G-7 Rivers Data'!$AG$4:$AI$9,3,FALSE)=0,"Spatial Data Missing ⚠",VLOOKUP(V166,'G-7 Rivers Data'!$AG$4:$AI$9,3,FALSE)))</f>
        <v/>
      </c>
      <c r="Y166" s="537" t="str">
        <f>IFERROR(IF(OR(LEFT(P166,5)="Error ▲",LEFT(O166,5)="Error ▲"),"Check Data ⚠",IF(F166&lt;S166,'G-7 Rivers Data'!$R$3,INDEX('G-7 Rivers Data'!$U$5:$Y$9,MATCH(G166,'G-7 Rivers Data'!$T$5:$T$9,0),MATCH(T166,'G-7 Rivers Data'!$U$4:$Y$4,0)))),"")</f>
        <v/>
      </c>
      <c r="Z166" s="203"/>
      <c r="AA166" s="203"/>
      <c r="AB166" s="534" t="str">
        <f t="shared" si="16"/>
        <v/>
      </c>
      <c r="AC166" s="521" t="str">
        <f t="shared" si="17"/>
        <v/>
      </c>
      <c r="AD166" s="564" t="str">
        <f>IFERROR(IF(AC166="Check Data ⚠","Check Data ⚠",VLOOKUP(AC166,'G-4 Temporal multipliers'!$A$4:$C$37,3,FALSE)),"")</f>
        <v/>
      </c>
      <c r="AE166" s="537" t="str">
        <f>IF(N166="","",VLOOKUP(N166,'G-7 Rivers Data'!$B$4:$G$8,5,FALSE))</f>
        <v/>
      </c>
      <c r="AF166" s="520" t="str">
        <f t="shared" si="18"/>
        <v/>
      </c>
      <c r="AG166" s="520" t="str">
        <f t="shared" si="22"/>
        <v/>
      </c>
      <c r="AH166" s="524" t="str">
        <f t="shared" si="19"/>
        <v/>
      </c>
      <c r="AI166" s="145"/>
      <c r="AJ166" s="499" t="str">
        <f>IF(AI166="","",IF(VLOOKUP(AI166,'G-7 Rivers Data'!$AA$4:$AB$7,2,FALSE)=0,"Spatial Data Missing ⚠",VLOOKUP(AI166,'G-7 Rivers Data'!$AA$4:$AB$7,2,FALSE)))</f>
        <v/>
      </c>
      <c r="AK166" s="155"/>
      <c r="AL166" s="536" t="str">
        <f>IF(AK166="","",IF(VLOOKUP(AK166,'G-7 Rivers Data'!$AD$4:$AE$8,2,FALSE)=0,"Spatial Data Missing ⚠",VLOOKUP(AK166,'G-7 Rivers Data'!$AD$4:$AE$8,2,FALSE)))</f>
        <v/>
      </c>
      <c r="AM166" s="154"/>
      <c r="AN166" s="524" t="str">
        <f>IF(AM166="","",VLOOKUP(AM166,'G-7 Rivers Data'!$AO$4:$AP$7,2,FALSE))</f>
        <v/>
      </c>
      <c r="AO166" s="545" t="str">
        <f t="shared" si="23"/>
        <v/>
      </c>
      <c r="AP166" s="149"/>
      <c r="AQ166" s="150"/>
      <c r="AX166" s="31" t="str">
        <f>IFERROR(INDEX('G-7 Rivers Data'!$AZ$3:$AZ$7,MATCH(N166,'G-7 Rivers Data'!$AY$3:$AY$7,0)),"")</f>
        <v/>
      </c>
    </row>
    <row r="167" spans="2:50" ht="13.8" x14ac:dyDescent="0.25">
      <c r="B167" s="531" t="str">
        <f>'F-1 Off Site River Baseline'!AN165</f>
        <v/>
      </c>
      <c r="C167" s="520" t="str">
        <f>IF(B167="","",VLOOKUP($B167,'F-1 Off Site River Baseline'!$C$9:$R$257,2,FALSE))</f>
        <v/>
      </c>
      <c r="D167" s="520" t="str">
        <f>IF(C167="","",VLOOKUP($B167,'F-1 Off Site River Baseline'!$C$9:$R$257,3,FALSE))</f>
        <v/>
      </c>
      <c r="E167" s="520" t="str">
        <f>IF(D167="","",VLOOKUP($B167,'F-1 Off Site River Baseline'!$C$9:$R$257,4,FALSE))</f>
        <v/>
      </c>
      <c r="F167" s="520" t="str">
        <f>IF(E167="","",VLOOKUP($B167,'F-1 Off Site River Baseline'!$C$9:$R$257,5,FALSE))</f>
        <v/>
      </c>
      <c r="G167" s="520" t="str">
        <f>IF(F167="","",VLOOKUP($B167,'F-1 Off Site River Baseline'!$C$9:$R$257,6,FALSE))</f>
        <v/>
      </c>
      <c r="H167" s="520" t="str">
        <f>IF(G167="","",VLOOKUP($B167,'F-1 Off Site River Baseline'!$C$9:$R$257,7,FALSE))</f>
        <v/>
      </c>
      <c r="I167" s="520" t="str">
        <f>IF(H167="","",VLOOKUP($B167,'F-1 Off Site River Baseline'!$C$9:$R$257,8,FALSE))</f>
        <v/>
      </c>
      <c r="J167" s="520" t="str">
        <f>IF(I167="","",VLOOKUP($B167,'F-1 Off Site River Baseline'!$C$9:$R$257,9,FALSE))</f>
        <v/>
      </c>
      <c r="K167" s="520" t="str">
        <f>IF(J167="","",VLOOKUP($B167,'F-1 Off Site River Baseline'!$C$9:$R$257,10,FALSE))</f>
        <v/>
      </c>
      <c r="L167" s="520" t="str">
        <f>IF(B167="","",VLOOKUP($B167,'C-1 Site River Baseline'!$C$9:$R$257,15,FALSE))</f>
        <v/>
      </c>
      <c r="M167" s="524" t="str">
        <f>IF(L167="","",VLOOKUP($B167,'F-1 Off Site River Baseline'!$C$9:$R$257,16,FALSE))</f>
        <v/>
      </c>
      <c r="N167" s="418" t="str">
        <f t="shared" si="20"/>
        <v/>
      </c>
      <c r="O167" s="498" t="str">
        <f t="shared" si="21"/>
        <v/>
      </c>
      <c r="P167" s="499"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5" t="str">
        <f>IF(N167="","",VLOOKUP(B167,'F-1 Off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20" t="str">
        <f>IF(V167="","",IF(VLOOKUP(V167,'G-7 Rivers Data'!$AG$4:$AI$9,2,FALSE)=0,"Spatial Data Missing ⚠",VLOOKUP(V167,'G-7 Rivers Data'!$AG$4:$AI$9,2,FALSE)))</f>
        <v/>
      </c>
      <c r="X167" s="524" t="str">
        <f>IF(V167="","",IF(VLOOKUP(V167,'G-7 Rivers Data'!$AG$4:$AI$9,3,FALSE)=0,"Spatial Data Missing ⚠",VLOOKUP(V167,'G-7 Rivers Data'!$AG$4:$AI$9,3,FALSE)))</f>
        <v/>
      </c>
      <c r="Y167" s="537" t="str">
        <f>IFERROR(IF(OR(LEFT(P167,5)="Error ▲",LEFT(O167,5)="Error ▲"),"Check Data ⚠",IF(F167&lt;S167,'G-7 Rivers Data'!$R$3,INDEX('G-7 Rivers Data'!$U$5:$Y$9,MATCH(G167,'G-7 Rivers Data'!$T$5:$T$9,0),MATCH(T167,'G-7 Rivers Data'!$U$4:$Y$4,0)))),"")</f>
        <v/>
      </c>
      <c r="Z167" s="203"/>
      <c r="AA167" s="203"/>
      <c r="AB167" s="534" t="str">
        <f t="shared" si="16"/>
        <v/>
      </c>
      <c r="AC167" s="521" t="str">
        <f t="shared" si="17"/>
        <v/>
      </c>
      <c r="AD167" s="564" t="str">
        <f>IFERROR(IF(AC167="Check Data ⚠","Check Data ⚠",VLOOKUP(AC167,'G-4 Temporal multipliers'!$A$4:$C$37,3,FALSE)),"")</f>
        <v/>
      </c>
      <c r="AE167" s="537" t="str">
        <f>IF(N167="","",VLOOKUP(N167,'G-7 Rivers Data'!$B$4:$G$8,5,FALSE))</f>
        <v/>
      </c>
      <c r="AF167" s="520" t="str">
        <f t="shared" si="18"/>
        <v/>
      </c>
      <c r="AG167" s="520" t="str">
        <f t="shared" si="22"/>
        <v/>
      </c>
      <c r="AH167" s="524" t="str">
        <f t="shared" si="19"/>
        <v/>
      </c>
      <c r="AI167" s="145"/>
      <c r="AJ167" s="499" t="str">
        <f>IF(AI167="","",IF(VLOOKUP(AI167,'G-7 Rivers Data'!$AA$4:$AB$7,2,FALSE)=0,"Spatial Data Missing ⚠",VLOOKUP(AI167,'G-7 Rivers Data'!$AA$4:$AB$7,2,FALSE)))</f>
        <v/>
      </c>
      <c r="AK167" s="155"/>
      <c r="AL167" s="536" t="str">
        <f>IF(AK167="","",IF(VLOOKUP(AK167,'G-7 Rivers Data'!$AD$4:$AE$8,2,FALSE)=0,"Spatial Data Missing ⚠",VLOOKUP(AK167,'G-7 Rivers Data'!$AD$4:$AE$8,2,FALSE)))</f>
        <v/>
      </c>
      <c r="AM167" s="154"/>
      <c r="AN167" s="524" t="str">
        <f>IF(AM167="","",VLOOKUP(AM167,'G-7 Rivers Data'!$AO$4:$AP$7,2,FALSE))</f>
        <v/>
      </c>
      <c r="AO167" s="545" t="str">
        <f t="shared" si="23"/>
        <v/>
      </c>
      <c r="AP167" s="149"/>
      <c r="AQ167" s="150"/>
      <c r="AX167" s="31" t="str">
        <f>IFERROR(INDEX('G-7 Rivers Data'!$AZ$3:$AZ$7,MATCH(N167,'G-7 Rivers Data'!$AY$3:$AY$7,0)),"")</f>
        <v/>
      </c>
    </row>
    <row r="168" spans="2:50" ht="13.8" x14ac:dyDescent="0.25">
      <c r="B168" s="531" t="str">
        <f>'F-1 Off Site River Baseline'!AN166</f>
        <v/>
      </c>
      <c r="C168" s="520" t="str">
        <f>IF(B168="","",VLOOKUP($B168,'F-1 Off Site River Baseline'!$C$9:$R$257,2,FALSE))</f>
        <v/>
      </c>
      <c r="D168" s="520" t="str">
        <f>IF(C168="","",VLOOKUP($B168,'F-1 Off Site River Baseline'!$C$9:$R$257,3,FALSE))</f>
        <v/>
      </c>
      <c r="E168" s="520" t="str">
        <f>IF(D168="","",VLOOKUP($B168,'F-1 Off Site River Baseline'!$C$9:$R$257,4,FALSE))</f>
        <v/>
      </c>
      <c r="F168" s="520" t="str">
        <f>IF(E168="","",VLOOKUP($B168,'F-1 Off Site River Baseline'!$C$9:$R$257,5,FALSE))</f>
        <v/>
      </c>
      <c r="G168" s="520" t="str">
        <f>IF(F168="","",VLOOKUP($B168,'F-1 Off Site River Baseline'!$C$9:$R$257,6,FALSE))</f>
        <v/>
      </c>
      <c r="H168" s="520" t="str">
        <f>IF(G168="","",VLOOKUP($B168,'F-1 Off Site River Baseline'!$C$9:$R$257,7,FALSE))</f>
        <v/>
      </c>
      <c r="I168" s="520" t="str">
        <f>IF(H168="","",VLOOKUP($B168,'F-1 Off Site River Baseline'!$C$9:$R$257,8,FALSE))</f>
        <v/>
      </c>
      <c r="J168" s="520" t="str">
        <f>IF(I168="","",VLOOKUP($B168,'F-1 Off Site River Baseline'!$C$9:$R$257,9,FALSE))</f>
        <v/>
      </c>
      <c r="K168" s="520" t="str">
        <f>IF(J168="","",VLOOKUP($B168,'F-1 Off Site River Baseline'!$C$9:$R$257,10,FALSE))</f>
        <v/>
      </c>
      <c r="L168" s="520" t="str">
        <f>IF(B168="","",VLOOKUP($B168,'C-1 Site River Baseline'!$C$9:$R$257,15,FALSE))</f>
        <v/>
      </c>
      <c r="M168" s="524" t="str">
        <f>IF(L168="","",VLOOKUP($B168,'F-1 Off Site River Baseline'!$C$9:$R$257,16,FALSE))</f>
        <v/>
      </c>
      <c r="N168" s="418" t="str">
        <f t="shared" si="20"/>
        <v/>
      </c>
      <c r="O168" s="498" t="str">
        <f t="shared" si="21"/>
        <v/>
      </c>
      <c r="P168" s="499"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5" t="str">
        <f>IF(N168="","",VLOOKUP(B168,'F-1 Off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20" t="str">
        <f>IF(V168="","",IF(VLOOKUP(V168,'G-7 Rivers Data'!$AG$4:$AI$9,2,FALSE)=0,"Spatial Data Missing ⚠",VLOOKUP(V168,'G-7 Rivers Data'!$AG$4:$AI$9,2,FALSE)))</f>
        <v/>
      </c>
      <c r="X168" s="524" t="str">
        <f>IF(V168="","",IF(VLOOKUP(V168,'G-7 Rivers Data'!$AG$4:$AI$9,3,FALSE)=0,"Spatial Data Missing ⚠",VLOOKUP(V168,'G-7 Rivers Data'!$AG$4:$AI$9,3,FALSE)))</f>
        <v/>
      </c>
      <c r="Y168" s="537" t="str">
        <f>IFERROR(IF(OR(LEFT(P168,5)="Error ▲",LEFT(O168,5)="Error ▲"),"Check Data ⚠",IF(F168&lt;S168,'G-7 Rivers Data'!$R$3,INDEX('G-7 Rivers Data'!$U$5:$Y$9,MATCH(G168,'G-7 Rivers Data'!$T$5:$T$9,0),MATCH(T168,'G-7 Rivers Data'!$U$4:$Y$4,0)))),"")</f>
        <v/>
      </c>
      <c r="Z168" s="203"/>
      <c r="AA168" s="203"/>
      <c r="AB168" s="534" t="str">
        <f t="shared" si="16"/>
        <v/>
      </c>
      <c r="AC168" s="521" t="str">
        <f t="shared" si="17"/>
        <v/>
      </c>
      <c r="AD168" s="564" t="str">
        <f>IFERROR(IF(AC168="Check Data ⚠","Check Data ⚠",VLOOKUP(AC168,'G-4 Temporal multipliers'!$A$4:$C$37,3,FALSE)),"")</f>
        <v/>
      </c>
      <c r="AE168" s="537" t="str">
        <f>IF(N168="","",VLOOKUP(N168,'G-7 Rivers Data'!$B$4:$G$8,5,FALSE))</f>
        <v/>
      </c>
      <c r="AF168" s="520" t="str">
        <f t="shared" si="18"/>
        <v/>
      </c>
      <c r="AG168" s="520" t="str">
        <f t="shared" si="22"/>
        <v/>
      </c>
      <c r="AH168" s="524" t="str">
        <f t="shared" si="19"/>
        <v/>
      </c>
      <c r="AI168" s="145"/>
      <c r="AJ168" s="499" t="str">
        <f>IF(AI168="","",IF(VLOOKUP(AI168,'G-7 Rivers Data'!$AA$4:$AB$7,2,FALSE)=0,"Spatial Data Missing ⚠",VLOOKUP(AI168,'G-7 Rivers Data'!$AA$4:$AB$7,2,FALSE)))</f>
        <v/>
      </c>
      <c r="AK168" s="155"/>
      <c r="AL168" s="536" t="str">
        <f>IF(AK168="","",IF(VLOOKUP(AK168,'G-7 Rivers Data'!$AD$4:$AE$8,2,FALSE)=0,"Spatial Data Missing ⚠",VLOOKUP(AK168,'G-7 Rivers Data'!$AD$4:$AE$8,2,FALSE)))</f>
        <v/>
      </c>
      <c r="AM168" s="154"/>
      <c r="AN168" s="524" t="str">
        <f>IF(AM168="","",VLOOKUP(AM168,'G-7 Rivers Data'!$AO$4:$AP$7,2,FALSE))</f>
        <v/>
      </c>
      <c r="AO168" s="545" t="str">
        <f t="shared" si="23"/>
        <v/>
      </c>
      <c r="AP168" s="149"/>
      <c r="AQ168" s="150"/>
      <c r="AX168" s="31" t="str">
        <f>IFERROR(INDEX('G-7 Rivers Data'!$AZ$3:$AZ$7,MATCH(N168,'G-7 Rivers Data'!$AY$3:$AY$7,0)),"")</f>
        <v/>
      </c>
    </row>
    <row r="169" spans="2:50" ht="13.8" x14ac:dyDescent="0.25">
      <c r="B169" s="531" t="str">
        <f>'F-1 Off Site River Baseline'!AN167</f>
        <v/>
      </c>
      <c r="C169" s="520" t="str">
        <f>IF(B169="","",VLOOKUP($B169,'F-1 Off Site River Baseline'!$C$9:$R$257,2,FALSE))</f>
        <v/>
      </c>
      <c r="D169" s="520" t="str">
        <f>IF(C169="","",VLOOKUP($B169,'F-1 Off Site River Baseline'!$C$9:$R$257,3,FALSE))</f>
        <v/>
      </c>
      <c r="E169" s="520" t="str">
        <f>IF(D169="","",VLOOKUP($B169,'F-1 Off Site River Baseline'!$C$9:$R$257,4,FALSE))</f>
        <v/>
      </c>
      <c r="F169" s="520" t="str">
        <f>IF(E169="","",VLOOKUP($B169,'F-1 Off Site River Baseline'!$C$9:$R$257,5,FALSE))</f>
        <v/>
      </c>
      <c r="G169" s="520" t="str">
        <f>IF(F169="","",VLOOKUP($B169,'F-1 Off Site River Baseline'!$C$9:$R$257,6,FALSE))</f>
        <v/>
      </c>
      <c r="H169" s="520" t="str">
        <f>IF(G169="","",VLOOKUP($B169,'F-1 Off Site River Baseline'!$C$9:$R$257,7,FALSE))</f>
        <v/>
      </c>
      <c r="I169" s="520" t="str">
        <f>IF(H169="","",VLOOKUP($B169,'F-1 Off Site River Baseline'!$C$9:$R$257,8,FALSE))</f>
        <v/>
      </c>
      <c r="J169" s="520" t="str">
        <f>IF(I169="","",VLOOKUP($B169,'F-1 Off Site River Baseline'!$C$9:$R$257,9,FALSE))</f>
        <v/>
      </c>
      <c r="K169" s="520" t="str">
        <f>IF(J169="","",VLOOKUP($B169,'F-1 Off Site River Baseline'!$C$9:$R$257,10,FALSE))</f>
        <v/>
      </c>
      <c r="L169" s="520" t="str">
        <f>IF(B169="","",VLOOKUP($B169,'C-1 Site River Baseline'!$C$9:$R$257,15,FALSE))</f>
        <v/>
      </c>
      <c r="M169" s="524" t="str">
        <f>IF(L169="","",VLOOKUP($B169,'F-1 Off Site River Baseline'!$C$9:$R$257,16,FALSE))</f>
        <v/>
      </c>
      <c r="N169" s="418" t="str">
        <f t="shared" si="20"/>
        <v/>
      </c>
      <c r="O169" s="498" t="str">
        <f t="shared" si="21"/>
        <v/>
      </c>
      <c r="P169" s="499"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5" t="str">
        <f>IF(N169="","",VLOOKUP(B169,'F-1 Off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20" t="str">
        <f>IF(V169="","",IF(VLOOKUP(V169,'G-7 Rivers Data'!$AG$4:$AI$9,2,FALSE)=0,"Spatial Data Missing ⚠",VLOOKUP(V169,'G-7 Rivers Data'!$AG$4:$AI$9,2,FALSE)))</f>
        <v/>
      </c>
      <c r="X169" s="524" t="str">
        <f>IF(V169="","",IF(VLOOKUP(V169,'G-7 Rivers Data'!$AG$4:$AI$9,3,FALSE)=0,"Spatial Data Missing ⚠",VLOOKUP(V169,'G-7 Rivers Data'!$AG$4:$AI$9,3,FALSE)))</f>
        <v/>
      </c>
      <c r="Y169" s="537" t="str">
        <f>IFERROR(IF(OR(LEFT(P169,5)="Error ▲",LEFT(O169,5)="Error ▲"),"Check Data ⚠",IF(F169&lt;S169,'G-7 Rivers Data'!$R$3,INDEX('G-7 Rivers Data'!$U$5:$Y$9,MATCH(G169,'G-7 Rivers Data'!$T$5:$T$9,0),MATCH(T169,'G-7 Rivers Data'!$U$4:$Y$4,0)))),"")</f>
        <v/>
      </c>
      <c r="Z169" s="203"/>
      <c r="AA169" s="203"/>
      <c r="AB169" s="534" t="str">
        <f t="shared" si="16"/>
        <v/>
      </c>
      <c r="AC169" s="521" t="str">
        <f t="shared" si="17"/>
        <v/>
      </c>
      <c r="AD169" s="564" t="str">
        <f>IFERROR(IF(AC169="Check Data ⚠","Check Data ⚠",VLOOKUP(AC169,'G-4 Temporal multipliers'!$A$4:$C$37,3,FALSE)),"")</f>
        <v/>
      </c>
      <c r="AE169" s="537" t="str">
        <f>IF(N169="","",VLOOKUP(N169,'G-7 Rivers Data'!$B$4:$G$8,5,FALSE))</f>
        <v/>
      </c>
      <c r="AF169" s="520" t="str">
        <f t="shared" si="18"/>
        <v/>
      </c>
      <c r="AG169" s="520" t="str">
        <f t="shared" si="22"/>
        <v/>
      </c>
      <c r="AH169" s="524" t="str">
        <f t="shared" si="19"/>
        <v/>
      </c>
      <c r="AI169" s="145"/>
      <c r="AJ169" s="499" t="str">
        <f>IF(AI169="","",IF(VLOOKUP(AI169,'G-7 Rivers Data'!$AA$4:$AB$7,2,FALSE)=0,"Spatial Data Missing ⚠",VLOOKUP(AI169,'G-7 Rivers Data'!$AA$4:$AB$7,2,FALSE)))</f>
        <v/>
      </c>
      <c r="AK169" s="155"/>
      <c r="AL169" s="536" t="str">
        <f>IF(AK169="","",IF(VLOOKUP(AK169,'G-7 Rivers Data'!$AD$4:$AE$8,2,FALSE)=0,"Spatial Data Missing ⚠",VLOOKUP(AK169,'G-7 Rivers Data'!$AD$4:$AE$8,2,FALSE)))</f>
        <v/>
      </c>
      <c r="AM169" s="154"/>
      <c r="AN169" s="524" t="str">
        <f>IF(AM169="","",VLOOKUP(AM169,'G-7 Rivers Data'!$AO$4:$AP$7,2,FALSE))</f>
        <v/>
      </c>
      <c r="AO169" s="545" t="str">
        <f t="shared" si="23"/>
        <v/>
      </c>
      <c r="AP169" s="149"/>
      <c r="AQ169" s="150"/>
      <c r="AX169" s="31" t="str">
        <f>IFERROR(INDEX('G-7 Rivers Data'!$AZ$3:$AZ$7,MATCH(N169,'G-7 Rivers Data'!$AY$3:$AY$7,0)),"")</f>
        <v/>
      </c>
    </row>
    <row r="170" spans="2:50" ht="13.8" x14ac:dyDescent="0.25">
      <c r="B170" s="531" t="str">
        <f>'F-1 Off Site River Baseline'!AN168</f>
        <v/>
      </c>
      <c r="C170" s="520" t="str">
        <f>IF(B170="","",VLOOKUP($B170,'F-1 Off Site River Baseline'!$C$9:$R$257,2,FALSE))</f>
        <v/>
      </c>
      <c r="D170" s="520" t="str">
        <f>IF(C170="","",VLOOKUP($B170,'F-1 Off Site River Baseline'!$C$9:$R$257,3,FALSE))</f>
        <v/>
      </c>
      <c r="E170" s="520" t="str">
        <f>IF(D170="","",VLOOKUP($B170,'F-1 Off Site River Baseline'!$C$9:$R$257,4,FALSE))</f>
        <v/>
      </c>
      <c r="F170" s="520" t="str">
        <f>IF(E170="","",VLOOKUP($B170,'F-1 Off Site River Baseline'!$C$9:$R$257,5,FALSE))</f>
        <v/>
      </c>
      <c r="G170" s="520" t="str">
        <f>IF(F170="","",VLOOKUP($B170,'F-1 Off Site River Baseline'!$C$9:$R$257,6,FALSE))</f>
        <v/>
      </c>
      <c r="H170" s="520" t="str">
        <f>IF(G170="","",VLOOKUP($B170,'F-1 Off Site River Baseline'!$C$9:$R$257,7,FALSE))</f>
        <v/>
      </c>
      <c r="I170" s="520" t="str">
        <f>IF(H170="","",VLOOKUP($B170,'F-1 Off Site River Baseline'!$C$9:$R$257,8,FALSE))</f>
        <v/>
      </c>
      <c r="J170" s="520" t="str">
        <f>IF(I170="","",VLOOKUP($B170,'F-1 Off Site River Baseline'!$C$9:$R$257,9,FALSE))</f>
        <v/>
      </c>
      <c r="K170" s="520" t="str">
        <f>IF(J170="","",VLOOKUP($B170,'F-1 Off Site River Baseline'!$C$9:$R$257,10,FALSE))</f>
        <v/>
      </c>
      <c r="L170" s="520" t="str">
        <f>IF(B170="","",VLOOKUP($B170,'C-1 Site River Baseline'!$C$9:$R$257,15,FALSE))</f>
        <v/>
      </c>
      <c r="M170" s="524" t="str">
        <f>IF(L170="","",VLOOKUP($B170,'F-1 Off Site River Baseline'!$C$9:$R$257,16,FALSE))</f>
        <v/>
      </c>
      <c r="N170" s="418" t="str">
        <f t="shared" si="20"/>
        <v/>
      </c>
      <c r="O170" s="498" t="str">
        <f t="shared" si="21"/>
        <v/>
      </c>
      <c r="P170" s="499"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5" t="str">
        <f>IF(N170="","",VLOOKUP(B170,'F-1 Off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20" t="str">
        <f>IF(V170="","",IF(VLOOKUP(V170,'G-7 Rivers Data'!$AG$4:$AI$9,2,FALSE)=0,"Spatial Data Missing ⚠",VLOOKUP(V170,'G-7 Rivers Data'!$AG$4:$AI$9,2,FALSE)))</f>
        <v/>
      </c>
      <c r="X170" s="524" t="str">
        <f>IF(V170="","",IF(VLOOKUP(V170,'G-7 Rivers Data'!$AG$4:$AI$9,3,FALSE)=0,"Spatial Data Missing ⚠",VLOOKUP(V170,'G-7 Rivers Data'!$AG$4:$AI$9,3,FALSE)))</f>
        <v/>
      </c>
      <c r="Y170" s="537" t="str">
        <f>IFERROR(IF(OR(LEFT(P170,5)="Error ▲",LEFT(O170,5)="Error ▲"),"Check Data ⚠",IF(F170&lt;S170,'G-7 Rivers Data'!$R$3,INDEX('G-7 Rivers Data'!$U$5:$Y$9,MATCH(G170,'G-7 Rivers Data'!$T$5:$T$9,0),MATCH(T170,'G-7 Rivers Data'!$U$4:$Y$4,0)))),"")</f>
        <v/>
      </c>
      <c r="Z170" s="203"/>
      <c r="AA170" s="203"/>
      <c r="AB170" s="534" t="str">
        <f t="shared" si="16"/>
        <v/>
      </c>
      <c r="AC170" s="521" t="str">
        <f t="shared" si="17"/>
        <v/>
      </c>
      <c r="AD170" s="564" t="str">
        <f>IFERROR(IF(AC170="Check Data ⚠","Check Data ⚠",VLOOKUP(AC170,'G-4 Temporal multipliers'!$A$4:$C$37,3,FALSE)),"")</f>
        <v/>
      </c>
      <c r="AE170" s="537" t="str">
        <f>IF(N170="","",VLOOKUP(N170,'G-7 Rivers Data'!$B$4:$G$8,5,FALSE))</f>
        <v/>
      </c>
      <c r="AF170" s="520" t="str">
        <f t="shared" si="18"/>
        <v/>
      </c>
      <c r="AG170" s="520" t="str">
        <f t="shared" si="22"/>
        <v/>
      </c>
      <c r="AH170" s="524" t="str">
        <f t="shared" si="19"/>
        <v/>
      </c>
      <c r="AI170" s="145"/>
      <c r="AJ170" s="499" t="str">
        <f>IF(AI170="","",IF(VLOOKUP(AI170,'G-7 Rivers Data'!$AA$4:$AB$7,2,FALSE)=0,"Spatial Data Missing ⚠",VLOOKUP(AI170,'G-7 Rivers Data'!$AA$4:$AB$7,2,FALSE)))</f>
        <v/>
      </c>
      <c r="AK170" s="155"/>
      <c r="AL170" s="536" t="str">
        <f>IF(AK170="","",IF(VLOOKUP(AK170,'G-7 Rivers Data'!$AD$4:$AE$8,2,FALSE)=0,"Spatial Data Missing ⚠",VLOOKUP(AK170,'G-7 Rivers Data'!$AD$4:$AE$8,2,FALSE)))</f>
        <v/>
      </c>
      <c r="AM170" s="154"/>
      <c r="AN170" s="524" t="str">
        <f>IF(AM170="","",VLOOKUP(AM170,'G-7 Rivers Data'!$AO$4:$AP$7,2,FALSE))</f>
        <v/>
      </c>
      <c r="AO170" s="545" t="str">
        <f t="shared" si="23"/>
        <v/>
      </c>
      <c r="AP170" s="149"/>
      <c r="AQ170" s="150"/>
      <c r="AX170" s="31" t="str">
        <f>IFERROR(INDEX('G-7 Rivers Data'!$AZ$3:$AZ$7,MATCH(N170,'G-7 Rivers Data'!$AY$3:$AY$7,0)),"")</f>
        <v/>
      </c>
    </row>
    <row r="171" spans="2:50" ht="13.8" x14ac:dyDescent="0.25">
      <c r="B171" s="531" t="str">
        <f>'F-1 Off Site River Baseline'!AN169</f>
        <v/>
      </c>
      <c r="C171" s="520" t="str">
        <f>IF(B171="","",VLOOKUP($B171,'F-1 Off Site River Baseline'!$C$9:$R$257,2,FALSE))</f>
        <v/>
      </c>
      <c r="D171" s="520" t="str">
        <f>IF(C171="","",VLOOKUP($B171,'F-1 Off Site River Baseline'!$C$9:$R$257,3,FALSE))</f>
        <v/>
      </c>
      <c r="E171" s="520" t="str">
        <f>IF(D171="","",VLOOKUP($B171,'F-1 Off Site River Baseline'!$C$9:$R$257,4,FALSE))</f>
        <v/>
      </c>
      <c r="F171" s="520" t="str">
        <f>IF(E171="","",VLOOKUP($B171,'F-1 Off Site River Baseline'!$C$9:$R$257,5,FALSE))</f>
        <v/>
      </c>
      <c r="G171" s="520" t="str">
        <f>IF(F171="","",VLOOKUP($B171,'F-1 Off Site River Baseline'!$C$9:$R$257,6,FALSE))</f>
        <v/>
      </c>
      <c r="H171" s="520" t="str">
        <f>IF(G171="","",VLOOKUP($B171,'F-1 Off Site River Baseline'!$C$9:$R$257,7,FALSE))</f>
        <v/>
      </c>
      <c r="I171" s="520" t="str">
        <f>IF(H171="","",VLOOKUP($B171,'F-1 Off Site River Baseline'!$C$9:$R$257,8,FALSE))</f>
        <v/>
      </c>
      <c r="J171" s="520" t="str">
        <f>IF(I171="","",VLOOKUP($B171,'F-1 Off Site River Baseline'!$C$9:$R$257,9,FALSE))</f>
        <v/>
      </c>
      <c r="K171" s="520" t="str">
        <f>IF(J171="","",VLOOKUP($B171,'F-1 Off Site River Baseline'!$C$9:$R$257,10,FALSE))</f>
        <v/>
      </c>
      <c r="L171" s="520" t="str">
        <f>IF(B171="","",VLOOKUP($B171,'C-1 Site River Baseline'!$C$9:$R$257,15,FALSE))</f>
        <v/>
      </c>
      <c r="M171" s="524" t="str">
        <f>IF(L171="","",VLOOKUP($B171,'F-1 Off Site River Baseline'!$C$9:$R$257,16,FALSE))</f>
        <v/>
      </c>
      <c r="N171" s="418" t="str">
        <f t="shared" si="20"/>
        <v/>
      </c>
      <c r="O171" s="498" t="str">
        <f t="shared" si="21"/>
        <v/>
      </c>
      <c r="P171" s="499"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5" t="str">
        <f>IF(N171="","",VLOOKUP(B171,'F-1 Off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20" t="str">
        <f>IF(V171="","",IF(VLOOKUP(V171,'G-7 Rivers Data'!$AG$4:$AI$9,2,FALSE)=0,"Spatial Data Missing ⚠",VLOOKUP(V171,'G-7 Rivers Data'!$AG$4:$AI$9,2,FALSE)))</f>
        <v/>
      </c>
      <c r="X171" s="524" t="str">
        <f>IF(V171="","",IF(VLOOKUP(V171,'G-7 Rivers Data'!$AG$4:$AI$9,3,FALSE)=0,"Spatial Data Missing ⚠",VLOOKUP(V171,'G-7 Rivers Data'!$AG$4:$AI$9,3,FALSE)))</f>
        <v/>
      </c>
      <c r="Y171" s="537" t="str">
        <f>IFERROR(IF(OR(LEFT(P171,5)="Error ▲",LEFT(O171,5)="Error ▲"),"Check Data ⚠",IF(F171&lt;S171,'G-7 Rivers Data'!$R$3,INDEX('G-7 Rivers Data'!$U$5:$Y$9,MATCH(G171,'G-7 Rivers Data'!$T$5:$T$9,0),MATCH(T171,'G-7 Rivers Data'!$U$4:$Y$4,0)))),"")</f>
        <v/>
      </c>
      <c r="Z171" s="203"/>
      <c r="AA171" s="203"/>
      <c r="AB171" s="534" t="str">
        <f t="shared" si="16"/>
        <v/>
      </c>
      <c r="AC171" s="521" t="str">
        <f t="shared" si="17"/>
        <v/>
      </c>
      <c r="AD171" s="564" t="str">
        <f>IFERROR(IF(AC171="Check Data ⚠","Check Data ⚠",VLOOKUP(AC171,'G-4 Temporal multipliers'!$A$4:$C$37,3,FALSE)),"")</f>
        <v/>
      </c>
      <c r="AE171" s="537" t="str">
        <f>IF(N171="","",VLOOKUP(N171,'G-7 Rivers Data'!$B$4:$G$8,5,FALSE))</f>
        <v/>
      </c>
      <c r="AF171" s="520" t="str">
        <f t="shared" si="18"/>
        <v/>
      </c>
      <c r="AG171" s="520" t="str">
        <f t="shared" si="22"/>
        <v/>
      </c>
      <c r="AH171" s="524" t="str">
        <f t="shared" si="19"/>
        <v/>
      </c>
      <c r="AI171" s="145"/>
      <c r="AJ171" s="499" t="str">
        <f>IF(AI171="","",IF(VLOOKUP(AI171,'G-7 Rivers Data'!$AA$4:$AB$7,2,FALSE)=0,"Spatial Data Missing ⚠",VLOOKUP(AI171,'G-7 Rivers Data'!$AA$4:$AB$7,2,FALSE)))</f>
        <v/>
      </c>
      <c r="AK171" s="155"/>
      <c r="AL171" s="536" t="str">
        <f>IF(AK171="","",IF(VLOOKUP(AK171,'G-7 Rivers Data'!$AD$4:$AE$8,2,FALSE)=0,"Spatial Data Missing ⚠",VLOOKUP(AK171,'G-7 Rivers Data'!$AD$4:$AE$8,2,FALSE)))</f>
        <v/>
      </c>
      <c r="AM171" s="154"/>
      <c r="AN171" s="524" t="str">
        <f>IF(AM171="","",VLOOKUP(AM171,'G-7 Rivers Data'!$AO$4:$AP$7,2,FALSE))</f>
        <v/>
      </c>
      <c r="AO171" s="545" t="str">
        <f t="shared" si="23"/>
        <v/>
      </c>
      <c r="AP171" s="149"/>
      <c r="AQ171" s="150"/>
      <c r="AX171" s="31" t="str">
        <f>IFERROR(INDEX('G-7 Rivers Data'!$AZ$3:$AZ$7,MATCH(N171,'G-7 Rivers Data'!$AY$3:$AY$7,0)),"")</f>
        <v/>
      </c>
    </row>
    <row r="172" spans="2:50" ht="13.8" x14ac:dyDescent="0.25">
      <c r="B172" s="531" t="str">
        <f>'F-1 Off Site River Baseline'!AN170</f>
        <v/>
      </c>
      <c r="C172" s="520" t="str">
        <f>IF(B172="","",VLOOKUP($B172,'F-1 Off Site River Baseline'!$C$9:$R$257,2,FALSE))</f>
        <v/>
      </c>
      <c r="D172" s="520" t="str">
        <f>IF(C172="","",VLOOKUP($B172,'F-1 Off Site River Baseline'!$C$9:$R$257,3,FALSE))</f>
        <v/>
      </c>
      <c r="E172" s="520" t="str">
        <f>IF(D172="","",VLOOKUP($B172,'F-1 Off Site River Baseline'!$C$9:$R$257,4,FALSE))</f>
        <v/>
      </c>
      <c r="F172" s="520" t="str">
        <f>IF(E172="","",VLOOKUP($B172,'F-1 Off Site River Baseline'!$C$9:$R$257,5,FALSE))</f>
        <v/>
      </c>
      <c r="G172" s="520" t="str">
        <f>IF(F172="","",VLOOKUP($B172,'F-1 Off Site River Baseline'!$C$9:$R$257,6,FALSE))</f>
        <v/>
      </c>
      <c r="H172" s="520" t="str">
        <f>IF(G172="","",VLOOKUP($B172,'F-1 Off Site River Baseline'!$C$9:$R$257,7,FALSE))</f>
        <v/>
      </c>
      <c r="I172" s="520" t="str">
        <f>IF(H172="","",VLOOKUP($B172,'F-1 Off Site River Baseline'!$C$9:$R$257,8,FALSE))</f>
        <v/>
      </c>
      <c r="J172" s="520" t="str">
        <f>IF(I172="","",VLOOKUP($B172,'F-1 Off Site River Baseline'!$C$9:$R$257,9,FALSE))</f>
        <v/>
      </c>
      <c r="K172" s="520" t="str">
        <f>IF(J172="","",VLOOKUP($B172,'F-1 Off Site River Baseline'!$C$9:$R$257,10,FALSE))</f>
        <v/>
      </c>
      <c r="L172" s="520" t="str">
        <f>IF(B172="","",VLOOKUP($B172,'C-1 Site River Baseline'!$C$9:$R$257,15,FALSE))</f>
        <v/>
      </c>
      <c r="M172" s="524" t="str">
        <f>IF(L172="","",VLOOKUP($B172,'F-1 Off Site River Baseline'!$C$9:$R$257,16,FALSE))</f>
        <v/>
      </c>
      <c r="N172" s="418" t="str">
        <f t="shared" si="20"/>
        <v/>
      </c>
      <c r="O172" s="498" t="str">
        <f t="shared" si="21"/>
        <v/>
      </c>
      <c r="P172" s="499"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5" t="str">
        <f>IF(N172="","",VLOOKUP(B172,'F-1 Off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20" t="str">
        <f>IF(V172="","",IF(VLOOKUP(V172,'G-7 Rivers Data'!$AG$4:$AI$9,2,FALSE)=0,"Spatial Data Missing ⚠",VLOOKUP(V172,'G-7 Rivers Data'!$AG$4:$AI$9,2,FALSE)))</f>
        <v/>
      </c>
      <c r="X172" s="524" t="str">
        <f>IF(V172="","",IF(VLOOKUP(V172,'G-7 Rivers Data'!$AG$4:$AI$9,3,FALSE)=0,"Spatial Data Missing ⚠",VLOOKUP(V172,'G-7 Rivers Data'!$AG$4:$AI$9,3,FALSE)))</f>
        <v/>
      </c>
      <c r="Y172" s="537" t="str">
        <f>IFERROR(IF(OR(LEFT(P172,5)="Error ▲",LEFT(O172,5)="Error ▲"),"Check Data ⚠",IF(F172&lt;S172,'G-7 Rivers Data'!$R$3,INDEX('G-7 Rivers Data'!$U$5:$Y$9,MATCH(G172,'G-7 Rivers Data'!$T$5:$T$9,0),MATCH(T172,'G-7 Rivers Data'!$U$4:$Y$4,0)))),"")</f>
        <v/>
      </c>
      <c r="Z172" s="203"/>
      <c r="AA172" s="203"/>
      <c r="AB172" s="534" t="str">
        <f t="shared" si="16"/>
        <v/>
      </c>
      <c r="AC172" s="521" t="str">
        <f t="shared" si="17"/>
        <v/>
      </c>
      <c r="AD172" s="564" t="str">
        <f>IFERROR(IF(AC172="Check Data ⚠","Check Data ⚠",VLOOKUP(AC172,'G-4 Temporal multipliers'!$A$4:$C$37,3,FALSE)),"")</f>
        <v/>
      </c>
      <c r="AE172" s="537" t="str">
        <f>IF(N172="","",VLOOKUP(N172,'G-7 Rivers Data'!$B$4:$G$8,5,FALSE))</f>
        <v/>
      </c>
      <c r="AF172" s="520" t="str">
        <f t="shared" si="18"/>
        <v/>
      </c>
      <c r="AG172" s="520" t="str">
        <f t="shared" si="22"/>
        <v/>
      </c>
      <c r="AH172" s="524" t="str">
        <f t="shared" si="19"/>
        <v/>
      </c>
      <c r="AI172" s="145"/>
      <c r="AJ172" s="499" t="str">
        <f>IF(AI172="","",IF(VLOOKUP(AI172,'G-7 Rivers Data'!$AA$4:$AB$7,2,FALSE)=0,"Spatial Data Missing ⚠",VLOOKUP(AI172,'G-7 Rivers Data'!$AA$4:$AB$7,2,FALSE)))</f>
        <v/>
      </c>
      <c r="AK172" s="155"/>
      <c r="AL172" s="536" t="str">
        <f>IF(AK172="","",IF(VLOOKUP(AK172,'G-7 Rivers Data'!$AD$4:$AE$8,2,FALSE)=0,"Spatial Data Missing ⚠",VLOOKUP(AK172,'G-7 Rivers Data'!$AD$4:$AE$8,2,FALSE)))</f>
        <v/>
      </c>
      <c r="AM172" s="154"/>
      <c r="AN172" s="524" t="str">
        <f>IF(AM172="","",VLOOKUP(AM172,'G-7 Rivers Data'!$AO$4:$AP$7,2,FALSE))</f>
        <v/>
      </c>
      <c r="AO172" s="545" t="str">
        <f t="shared" si="23"/>
        <v/>
      </c>
      <c r="AP172" s="149"/>
      <c r="AQ172" s="150"/>
      <c r="AX172" s="31" t="str">
        <f>IFERROR(INDEX('G-7 Rivers Data'!$AZ$3:$AZ$7,MATCH(N172,'G-7 Rivers Data'!$AY$3:$AY$7,0)),"")</f>
        <v/>
      </c>
    </row>
    <row r="173" spans="2:50" ht="13.8" x14ac:dyDescent="0.25">
      <c r="B173" s="531" t="str">
        <f>'F-1 Off Site River Baseline'!AN171</f>
        <v/>
      </c>
      <c r="C173" s="520" t="str">
        <f>IF(B173="","",VLOOKUP($B173,'F-1 Off Site River Baseline'!$C$9:$R$257,2,FALSE))</f>
        <v/>
      </c>
      <c r="D173" s="520" t="str">
        <f>IF(C173="","",VLOOKUP($B173,'F-1 Off Site River Baseline'!$C$9:$R$257,3,FALSE))</f>
        <v/>
      </c>
      <c r="E173" s="520" t="str">
        <f>IF(D173="","",VLOOKUP($B173,'F-1 Off Site River Baseline'!$C$9:$R$257,4,FALSE))</f>
        <v/>
      </c>
      <c r="F173" s="520" t="str">
        <f>IF(E173="","",VLOOKUP($B173,'F-1 Off Site River Baseline'!$C$9:$R$257,5,FALSE))</f>
        <v/>
      </c>
      <c r="G173" s="520" t="str">
        <f>IF(F173="","",VLOOKUP($B173,'F-1 Off Site River Baseline'!$C$9:$R$257,6,FALSE))</f>
        <v/>
      </c>
      <c r="H173" s="520" t="str">
        <f>IF(G173="","",VLOOKUP($B173,'F-1 Off Site River Baseline'!$C$9:$R$257,7,FALSE))</f>
        <v/>
      </c>
      <c r="I173" s="520" t="str">
        <f>IF(H173="","",VLOOKUP($B173,'F-1 Off Site River Baseline'!$C$9:$R$257,8,FALSE))</f>
        <v/>
      </c>
      <c r="J173" s="520" t="str">
        <f>IF(I173="","",VLOOKUP($B173,'F-1 Off Site River Baseline'!$C$9:$R$257,9,FALSE))</f>
        <v/>
      </c>
      <c r="K173" s="520" t="str">
        <f>IF(J173="","",VLOOKUP($B173,'F-1 Off Site River Baseline'!$C$9:$R$257,10,FALSE))</f>
        <v/>
      </c>
      <c r="L173" s="520" t="str">
        <f>IF(B173="","",VLOOKUP($B173,'C-1 Site River Baseline'!$C$9:$R$257,15,FALSE))</f>
        <v/>
      </c>
      <c r="M173" s="524" t="str">
        <f>IF(L173="","",VLOOKUP($B173,'F-1 Off Site River Baseline'!$C$9:$R$257,16,FALSE))</f>
        <v/>
      </c>
      <c r="N173" s="418" t="str">
        <f t="shared" si="20"/>
        <v/>
      </c>
      <c r="O173" s="498" t="str">
        <f t="shared" si="21"/>
        <v/>
      </c>
      <c r="P173" s="499"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5" t="str">
        <f>IF(N173="","",VLOOKUP(B173,'F-1 Off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20" t="str">
        <f>IF(V173="","",IF(VLOOKUP(V173,'G-7 Rivers Data'!$AG$4:$AI$9,2,FALSE)=0,"Spatial Data Missing ⚠",VLOOKUP(V173,'G-7 Rivers Data'!$AG$4:$AI$9,2,FALSE)))</f>
        <v/>
      </c>
      <c r="X173" s="524" t="str">
        <f>IF(V173="","",IF(VLOOKUP(V173,'G-7 Rivers Data'!$AG$4:$AI$9,3,FALSE)=0,"Spatial Data Missing ⚠",VLOOKUP(V173,'G-7 Rivers Data'!$AG$4:$AI$9,3,FALSE)))</f>
        <v/>
      </c>
      <c r="Y173" s="537" t="str">
        <f>IFERROR(IF(OR(LEFT(P173,5)="Error ▲",LEFT(O173,5)="Error ▲"),"Check Data ⚠",IF(F173&lt;S173,'G-7 Rivers Data'!$R$3,INDEX('G-7 Rivers Data'!$U$5:$Y$9,MATCH(G173,'G-7 Rivers Data'!$T$5:$T$9,0),MATCH(T173,'G-7 Rivers Data'!$U$4:$Y$4,0)))),"")</f>
        <v/>
      </c>
      <c r="Z173" s="203"/>
      <c r="AA173" s="203"/>
      <c r="AB173" s="534" t="str">
        <f t="shared" si="16"/>
        <v/>
      </c>
      <c r="AC173" s="521" t="str">
        <f t="shared" si="17"/>
        <v/>
      </c>
      <c r="AD173" s="564" t="str">
        <f>IFERROR(IF(AC173="Check Data ⚠","Check Data ⚠",VLOOKUP(AC173,'G-4 Temporal multipliers'!$A$4:$C$37,3,FALSE)),"")</f>
        <v/>
      </c>
      <c r="AE173" s="537" t="str">
        <f>IF(N173="","",VLOOKUP(N173,'G-7 Rivers Data'!$B$4:$G$8,5,FALSE))</f>
        <v/>
      </c>
      <c r="AF173" s="520" t="str">
        <f t="shared" si="18"/>
        <v/>
      </c>
      <c r="AG173" s="520" t="str">
        <f t="shared" si="22"/>
        <v/>
      </c>
      <c r="AH173" s="524" t="str">
        <f t="shared" si="19"/>
        <v/>
      </c>
      <c r="AI173" s="145"/>
      <c r="AJ173" s="499" t="str">
        <f>IF(AI173="","",IF(VLOOKUP(AI173,'G-7 Rivers Data'!$AA$4:$AB$7,2,FALSE)=0,"Spatial Data Missing ⚠",VLOOKUP(AI173,'G-7 Rivers Data'!$AA$4:$AB$7,2,FALSE)))</f>
        <v/>
      </c>
      <c r="AK173" s="155"/>
      <c r="AL173" s="536" t="str">
        <f>IF(AK173="","",IF(VLOOKUP(AK173,'G-7 Rivers Data'!$AD$4:$AE$8,2,FALSE)=0,"Spatial Data Missing ⚠",VLOOKUP(AK173,'G-7 Rivers Data'!$AD$4:$AE$8,2,FALSE)))</f>
        <v/>
      </c>
      <c r="AM173" s="154"/>
      <c r="AN173" s="524" t="str">
        <f>IF(AM173="","",VLOOKUP(AM173,'G-7 Rivers Data'!$AO$4:$AP$7,2,FALSE))</f>
        <v/>
      </c>
      <c r="AO173" s="545" t="str">
        <f t="shared" si="23"/>
        <v/>
      </c>
      <c r="AP173" s="149"/>
      <c r="AQ173" s="150"/>
      <c r="AX173" s="31" t="str">
        <f>IFERROR(INDEX('G-7 Rivers Data'!$AZ$3:$AZ$7,MATCH(N173,'G-7 Rivers Data'!$AY$3:$AY$7,0)),"")</f>
        <v/>
      </c>
    </row>
    <row r="174" spans="2:50" ht="13.8" x14ac:dyDescent="0.25">
      <c r="B174" s="531" t="str">
        <f>'F-1 Off Site River Baseline'!AN172</f>
        <v/>
      </c>
      <c r="C174" s="520" t="str">
        <f>IF(B174="","",VLOOKUP($B174,'F-1 Off Site River Baseline'!$C$9:$R$257,2,FALSE))</f>
        <v/>
      </c>
      <c r="D174" s="520" t="str">
        <f>IF(C174="","",VLOOKUP($B174,'F-1 Off Site River Baseline'!$C$9:$R$257,3,FALSE))</f>
        <v/>
      </c>
      <c r="E174" s="520" t="str">
        <f>IF(D174="","",VLOOKUP($B174,'F-1 Off Site River Baseline'!$C$9:$R$257,4,FALSE))</f>
        <v/>
      </c>
      <c r="F174" s="520" t="str">
        <f>IF(E174="","",VLOOKUP($B174,'F-1 Off Site River Baseline'!$C$9:$R$257,5,FALSE))</f>
        <v/>
      </c>
      <c r="G174" s="520" t="str">
        <f>IF(F174="","",VLOOKUP($B174,'F-1 Off Site River Baseline'!$C$9:$R$257,6,FALSE))</f>
        <v/>
      </c>
      <c r="H174" s="520" t="str">
        <f>IF(G174="","",VLOOKUP($B174,'F-1 Off Site River Baseline'!$C$9:$R$257,7,FALSE))</f>
        <v/>
      </c>
      <c r="I174" s="520" t="str">
        <f>IF(H174="","",VLOOKUP($B174,'F-1 Off Site River Baseline'!$C$9:$R$257,8,FALSE))</f>
        <v/>
      </c>
      <c r="J174" s="520" t="str">
        <f>IF(I174="","",VLOOKUP($B174,'F-1 Off Site River Baseline'!$C$9:$R$257,9,FALSE))</f>
        <v/>
      </c>
      <c r="K174" s="520" t="str">
        <f>IF(J174="","",VLOOKUP($B174,'F-1 Off Site River Baseline'!$C$9:$R$257,10,FALSE))</f>
        <v/>
      </c>
      <c r="L174" s="520" t="str">
        <f>IF(B174="","",VLOOKUP($B174,'C-1 Site River Baseline'!$C$9:$R$257,15,FALSE))</f>
        <v/>
      </c>
      <c r="M174" s="524" t="str">
        <f>IF(L174="","",VLOOKUP($B174,'F-1 Off Site River Baseline'!$C$9:$R$257,16,FALSE))</f>
        <v/>
      </c>
      <c r="N174" s="418" t="str">
        <f t="shared" si="20"/>
        <v/>
      </c>
      <c r="O174" s="498" t="str">
        <f t="shared" si="21"/>
        <v/>
      </c>
      <c r="P174" s="499"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5" t="str">
        <f>IF(N174="","",VLOOKUP(B174,'F-1 Off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20" t="str">
        <f>IF(V174="","",IF(VLOOKUP(V174,'G-7 Rivers Data'!$AG$4:$AI$9,2,FALSE)=0,"Spatial Data Missing ⚠",VLOOKUP(V174,'G-7 Rivers Data'!$AG$4:$AI$9,2,FALSE)))</f>
        <v/>
      </c>
      <c r="X174" s="524" t="str">
        <f>IF(V174="","",IF(VLOOKUP(V174,'G-7 Rivers Data'!$AG$4:$AI$9,3,FALSE)=0,"Spatial Data Missing ⚠",VLOOKUP(V174,'G-7 Rivers Data'!$AG$4:$AI$9,3,FALSE)))</f>
        <v/>
      </c>
      <c r="Y174" s="537" t="str">
        <f>IFERROR(IF(OR(LEFT(P174,5)="Error ▲",LEFT(O174,5)="Error ▲"),"Check Data ⚠",IF(F174&lt;S174,'G-7 Rivers Data'!$R$3,INDEX('G-7 Rivers Data'!$U$5:$Y$9,MATCH(G174,'G-7 Rivers Data'!$T$5:$T$9,0),MATCH(T174,'G-7 Rivers Data'!$U$4:$Y$4,0)))),"")</f>
        <v/>
      </c>
      <c r="Z174" s="203"/>
      <c r="AA174" s="203"/>
      <c r="AB174" s="534" t="str">
        <f t="shared" si="16"/>
        <v/>
      </c>
      <c r="AC174" s="521" t="str">
        <f t="shared" si="17"/>
        <v/>
      </c>
      <c r="AD174" s="564" t="str">
        <f>IFERROR(IF(AC174="Check Data ⚠","Check Data ⚠",VLOOKUP(AC174,'G-4 Temporal multipliers'!$A$4:$C$37,3,FALSE)),"")</f>
        <v/>
      </c>
      <c r="AE174" s="537" t="str">
        <f>IF(N174="","",VLOOKUP(N174,'G-7 Rivers Data'!$B$4:$G$8,5,FALSE))</f>
        <v/>
      </c>
      <c r="AF174" s="520" t="str">
        <f t="shared" si="18"/>
        <v/>
      </c>
      <c r="AG174" s="520" t="str">
        <f t="shared" si="22"/>
        <v/>
      </c>
      <c r="AH174" s="524" t="str">
        <f t="shared" si="19"/>
        <v/>
      </c>
      <c r="AI174" s="145"/>
      <c r="AJ174" s="499" t="str">
        <f>IF(AI174="","",IF(VLOOKUP(AI174,'G-7 Rivers Data'!$AA$4:$AB$7,2,FALSE)=0,"Spatial Data Missing ⚠",VLOOKUP(AI174,'G-7 Rivers Data'!$AA$4:$AB$7,2,FALSE)))</f>
        <v/>
      </c>
      <c r="AK174" s="155"/>
      <c r="AL174" s="536" t="str">
        <f>IF(AK174="","",IF(VLOOKUP(AK174,'G-7 Rivers Data'!$AD$4:$AE$8,2,FALSE)=0,"Spatial Data Missing ⚠",VLOOKUP(AK174,'G-7 Rivers Data'!$AD$4:$AE$8,2,FALSE)))</f>
        <v/>
      </c>
      <c r="AM174" s="154"/>
      <c r="AN174" s="524" t="str">
        <f>IF(AM174="","",VLOOKUP(AM174,'G-7 Rivers Data'!$AO$4:$AP$7,2,FALSE))</f>
        <v/>
      </c>
      <c r="AO174" s="545" t="str">
        <f t="shared" si="23"/>
        <v/>
      </c>
      <c r="AP174" s="149"/>
      <c r="AQ174" s="150"/>
      <c r="AX174" s="31" t="str">
        <f>IFERROR(INDEX('G-7 Rivers Data'!$AZ$3:$AZ$7,MATCH(N174,'G-7 Rivers Data'!$AY$3:$AY$7,0)),"")</f>
        <v/>
      </c>
    </row>
    <row r="175" spans="2:50" ht="13.8" x14ac:dyDescent="0.25">
      <c r="B175" s="531" t="str">
        <f>'F-1 Off Site River Baseline'!AN173</f>
        <v/>
      </c>
      <c r="C175" s="520" t="str">
        <f>IF(B175="","",VLOOKUP($B175,'F-1 Off Site River Baseline'!$C$9:$R$257,2,FALSE))</f>
        <v/>
      </c>
      <c r="D175" s="520" t="str">
        <f>IF(C175="","",VLOOKUP($B175,'F-1 Off Site River Baseline'!$C$9:$R$257,3,FALSE))</f>
        <v/>
      </c>
      <c r="E175" s="520" t="str">
        <f>IF(D175="","",VLOOKUP($B175,'F-1 Off Site River Baseline'!$C$9:$R$257,4,FALSE))</f>
        <v/>
      </c>
      <c r="F175" s="520" t="str">
        <f>IF(E175="","",VLOOKUP($B175,'F-1 Off Site River Baseline'!$C$9:$R$257,5,FALSE))</f>
        <v/>
      </c>
      <c r="G175" s="520" t="str">
        <f>IF(F175="","",VLOOKUP($B175,'F-1 Off Site River Baseline'!$C$9:$R$257,6,FALSE))</f>
        <v/>
      </c>
      <c r="H175" s="520" t="str">
        <f>IF(G175="","",VLOOKUP($B175,'F-1 Off Site River Baseline'!$C$9:$R$257,7,FALSE))</f>
        <v/>
      </c>
      <c r="I175" s="520" t="str">
        <f>IF(H175="","",VLOOKUP($B175,'F-1 Off Site River Baseline'!$C$9:$R$257,8,FALSE))</f>
        <v/>
      </c>
      <c r="J175" s="520" t="str">
        <f>IF(I175="","",VLOOKUP($B175,'F-1 Off Site River Baseline'!$C$9:$R$257,9,FALSE))</f>
        <v/>
      </c>
      <c r="K175" s="520" t="str">
        <f>IF(J175="","",VLOOKUP($B175,'F-1 Off Site River Baseline'!$C$9:$R$257,10,FALSE))</f>
        <v/>
      </c>
      <c r="L175" s="520" t="str">
        <f>IF(B175="","",VLOOKUP($B175,'C-1 Site River Baseline'!$C$9:$R$257,15,FALSE))</f>
        <v/>
      </c>
      <c r="M175" s="524" t="str">
        <f>IF(L175="","",VLOOKUP($B175,'F-1 Off Site River Baseline'!$C$9:$R$257,16,FALSE))</f>
        <v/>
      </c>
      <c r="N175" s="418" t="str">
        <f t="shared" si="20"/>
        <v/>
      </c>
      <c r="O175" s="498" t="str">
        <f t="shared" si="21"/>
        <v/>
      </c>
      <c r="P175" s="499"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5" t="str">
        <f>IF(N175="","",VLOOKUP(B175,'F-1 Off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20" t="str">
        <f>IF(V175="","",IF(VLOOKUP(V175,'G-7 Rivers Data'!$AG$4:$AI$9,2,FALSE)=0,"Spatial Data Missing ⚠",VLOOKUP(V175,'G-7 Rivers Data'!$AG$4:$AI$9,2,FALSE)))</f>
        <v/>
      </c>
      <c r="X175" s="524" t="str">
        <f>IF(V175="","",IF(VLOOKUP(V175,'G-7 Rivers Data'!$AG$4:$AI$9,3,FALSE)=0,"Spatial Data Missing ⚠",VLOOKUP(V175,'G-7 Rivers Data'!$AG$4:$AI$9,3,FALSE)))</f>
        <v/>
      </c>
      <c r="Y175" s="537" t="str">
        <f>IFERROR(IF(OR(LEFT(P175,5)="Error ▲",LEFT(O175,5)="Error ▲"),"Check Data ⚠",IF(F175&lt;S175,'G-7 Rivers Data'!$R$3,INDEX('G-7 Rivers Data'!$U$5:$Y$9,MATCH(G175,'G-7 Rivers Data'!$T$5:$T$9,0),MATCH(T175,'G-7 Rivers Data'!$U$4:$Y$4,0)))),"")</f>
        <v/>
      </c>
      <c r="Z175" s="203"/>
      <c r="AA175" s="203"/>
      <c r="AB175" s="534" t="str">
        <f t="shared" si="16"/>
        <v/>
      </c>
      <c r="AC175" s="521" t="str">
        <f t="shared" si="17"/>
        <v/>
      </c>
      <c r="AD175" s="564" t="str">
        <f>IFERROR(IF(AC175="Check Data ⚠","Check Data ⚠",VLOOKUP(AC175,'G-4 Temporal multipliers'!$A$4:$C$37,3,FALSE)),"")</f>
        <v/>
      </c>
      <c r="AE175" s="537" t="str">
        <f>IF(N175="","",VLOOKUP(N175,'G-7 Rivers Data'!$B$4:$G$8,5,FALSE))</f>
        <v/>
      </c>
      <c r="AF175" s="520" t="str">
        <f t="shared" si="18"/>
        <v/>
      </c>
      <c r="AG175" s="520" t="str">
        <f t="shared" si="22"/>
        <v/>
      </c>
      <c r="AH175" s="524" t="str">
        <f t="shared" si="19"/>
        <v/>
      </c>
      <c r="AI175" s="145"/>
      <c r="AJ175" s="499" t="str">
        <f>IF(AI175="","",IF(VLOOKUP(AI175,'G-7 Rivers Data'!$AA$4:$AB$7,2,FALSE)=0,"Spatial Data Missing ⚠",VLOOKUP(AI175,'G-7 Rivers Data'!$AA$4:$AB$7,2,FALSE)))</f>
        <v/>
      </c>
      <c r="AK175" s="155"/>
      <c r="AL175" s="536" t="str">
        <f>IF(AK175="","",IF(VLOOKUP(AK175,'G-7 Rivers Data'!$AD$4:$AE$8,2,FALSE)=0,"Spatial Data Missing ⚠",VLOOKUP(AK175,'G-7 Rivers Data'!$AD$4:$AE$8,2,FALSE)))</f>
        <v/>
      </c>
      <c r="AM175" s="154"/>
      <c r="AN175" s="524" t="str">
        <f>IF(AM175="","",VLOOKUP(AM175,'G-7 Rivers Data'!$AO$4:$AP$7,2,FALSE))</f>
        <v/>
      </c>
      <c r="AO175" s="545" t="str">
        <f t="shared" si="23"/>
        <v/>
      </c>
      <c r="AP175" s="149"/>
      <c r="AQ175" s="150"/>
      <c r="AX175" s="31" t="str">
        <f>IFERROR(INDEX('G-7 Rivers Data'!$AZ$3:$AZ$7,MATCH(N175,'G-7 Rivers Data'!$AY$3:$AY$7,0)),"")</f>
        <v/>
      </c>
    </row>
    <row r="176" spans="2:50" ht="13.8" x14ac:dyDescent="0.25">
      <c r="B176" s="531" t="str">
        <f>'F-1 Off Site River Baseline'!AN174</f>
        <v/>
      </c>
      <c r="C176" s="520" t="str">
        <f>IF(B176="","",VLOOKUP($B176,'F-1 Off Site River Baseline'!$C$9:$R$257,2,FALSE))</f>
        <v/>
      </c>
      <c r="D176" s="520" t="str">
        <f>IF(C176="","",VLOOKUP($B176,'F-1 Off Site River Baseline'!$C$9:$R$257,3,FALSE))</f>
        <v/>
      </c>
      <c r="E176" s="520" t="str">
        <f>IF(D176="","",VLOOKUP($B176,'F-1 Off Site River Baseline'!$C$9:$R$257,4,FALSE))</f>
        <v/>
      </c>
      <c r="F176" s="520" t="str">
        <f>IF(E176="","",VLOOKUP($B176,'F-1 Off Site River Baseline'!$C$9:$R$257,5,FALSE))</f>
        <v/>
      </c>
      <c r="G176" s="520" t="str">
        <f>IF(F176="","",VLOOKUP($B176,'F-1 Off Site River Baseline'!$C$9:$R$257,6,FALSE))</f>
        <v/>
      </c>
      <c r="H176" s="520" t="str">
        <f>IF(G176="","",VLOOKUP($B176,'F-1 Off Site River Baseline'!$C$9:$R$257,7,FALSE))</f>
        <v/>
      </c>
      <c r="I176" s="520" t="str">
        <f>IF(H176="","",VLOOKUP($B176,'F-1 Off Site River Baseline'!$C$9:$R$257,8,FALSE))</f>
        <v/>
      </c>
      <c r="J176" s="520" t="str">
        <f>IF(I176="","",VLOOKUP($B176,'F-1 Off Site River Baseline'!$C$9:$R$257,9,FALSE))</f>
        <v/>
      </c>
      <c r="K176" s="520" t="str">
        <f>IF(J176="","",VLOOKUP($B176,'F-1 Off Site River Baseline'!$C$9:$R$257,10,FALSE))</f>
        <v/>
      </c>
      <c r="L176" s="520" t="str">
        <f>IF(B176="","",VLOOKUP($B176,'C-1 Site River Baseline'!$C$9:$R$257,15,FALSE))</f>
        <v/>
      </c>
      <c r="M176" s="524" t="str">
        <f>IF(L176="","",VLOOKUP($B176,'F-1 Off Site River Baseline'!$C$9:$R$257,16,FALSE))</f>
        <v/>
      </c>
      <c r="N176" s="418" t="str">
        <f t="shared" si="20"/>
        <v/>
      </c>
      <c r="O176" s="498" t="str">
        <f t="shared" si="21"/>
        <v/>
      </c>
      <c r="P176" s="499"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5" t="str">
        <f>IF(N176="","",VLOOKUP(B176,'F-1 Off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20" t="str">
        <f>IF(V176="","",IF(VLOOKUP(V176,'G-7 Rivers Data'!$AG$4:$AI$9,2,FALSE)=0,"Spatial Data Missing ⚠",VLOOKUP(V176,'G-7 Rivers Data'!$AG$4:$AI$9,2,FALSE)))</f>
        <v/>
      </c>
      <c r="X176" s="524" t="str">
        <f>IF(V176="","",IF(VLOOKUP(V176,'G-7 Rivers Data'!$AG$4:$AI$9,3,FALSE)=0,"Spatial Data Missing ⚠",VLOOKUP(V176,'G-7 Rivers Data'!$AG$4:$AI$9,3,FALSE)))</f>
        <v/>
      </c>
      <c r="Y176" s="537" t="str">
        <f>IFERROR(IF(OR(LEFT(P176,5)="Error ▲",LEFT(O176,5)="Error ▲"),"Check Data ⚠",IF(F176&lt;S176,'G-7 Rivers Data'!$R$3,INDEX('G-7 Rivers Data'!$U$5:$Y$9,MATCH(G176,'G-7 Rivers Data'!$T$5:$T$9,0),MATCH(T176,'G-7 Rivers Data'!$U$4:$Y$4,0)))),"")</f>
        <v/>
      </c>
      <c r="Z176" s="203"/>
      <c r="AA176" s="203"/>
      <c r="AB176" s="534" t="str">
        <f t="shared" si="16"/>
        <v/>
      </c>
      <c r="AC176" s="521" t="str">
        <f t="shared" si="17"/>
        <v/>
      </c>
      <c r="AD176" s="564" t="str">
        <f>IFERROR(IF(AC176="Check Data ⚠","Check Data ⚠",VLOOKUP(AC176,'G-4 Temporal multipliers'!$A$4:$C$37,3,FALSE)),"")</f>
        <v/>
      </c>
      <c r="AE176" s="537" t="str">
        <f>IF(N176="","",VLOOKUP(N176,'G-7 Rivers Data'!$B$4:$G$8,5,FALSE))</f>
        <v/>
      </c>
      <c r="AF176" s="520" t="str">
        <f t="shared" si="18"/>
        <v/>
      </c>
      <c r="AG176" s="520" t="str">
        <f t="shared" si="22"/>
        <v/>
      </c>
      <c r="AH176" s="524" t="str">
        <f t="shared" si="19"/>
        <v/>
      </c>
      <c r="AI176" s="145"/>
      <c r="AJ176" s="499" t="str">
        <f>IF(AI176="","",IF(VLOOKUP(AI176,'G-7 Rivers Data'!$AA$4:$AB$7,2,FALSE)=0,"Spatial Data Missing ⚠",VLOOKUP(AI176,'G-7 Rivers Data'!$AA$4:$AB$7,2,FALSE)))</f>
        <v/>
      </c>
      <c r="AK176" s="155"/>
      <c r="AL176" s="536" t="str">
        <f>IF(AK176="","",IF(VLOOKUP(AK176,'G-7 Rivers Data'!$AD$4:$AE$8,2,FALSE)=0,"Spatial Data Missing ⚠",VLOOKUP(AK176,'G-7 Rivers Data'!$AD$4:$AE$8,2,FALSE)))</f>
        <v/>
      </c>
      <c r="AM176" s="154"/>
      <c r="AN176" s="524" t="str">
        <f>IF(AM176="","",VLOOKUP(AM176,'G-7 Rivers Data'!$AO$4:$AP$7,2,FALSE))</f>
        <v/>
      </c>
      <c r="AO176" s="545" t="str">
        <f t="shared" si="23"/>
        <v/>
      </c>
      <c r="AP176" s="149"/>
      <c r="AQ176" s="150"/>
      <c r="AX176" s="31" t="str">
        <f>IFERROR(INDEX('G-7 Rivers Data'!$AZ$3:$AZ$7,MATCH(N176,'G-7 Rivers Data'!$AY$3:$AY$7,0)),"")</f>
        <v/>
      </c>
    </row>
    <row r="177" spans="2:50" ht="13.8" x14ac:dyDescent="0.25">
      <c r="B177" s="531" t="str">
        <f>'F-1 Off Site River Baseline'!AN175</f>
        <v/>
      </c>
      <c r="C177" s="520" t="str">
        <f>IF(B177="","",VLOOKUP($B177,'F-1 Off Site River Baseline'!$C$9:$R$257,2,FALSE))</f>
        <v/>
      </c>
      <c r="D177" s="520" t="str">
        <f>IF(C177="","",VLOOKUP($B177,'F-1 Off Site River Baseline'!$C$9:$R$257,3,FALSE))</f>
        <v/>
      </c>
      <c r="E177" s="520" t="str">
        <f>IF(D177="","",VLOOKUP($B177,'F-1 Off Site River Baseline'!$C$9:$R$257,4,FALSE))</f>
        <v/>
      </c>
      <c r="F177" s="520" t="str">
        <f>IF(E177="","",VLOOKUP($B177,'F-1 Off Site River Baseline'!$C$9:$R$257,5,FALSE))</f>
        <v/>
      </c>
      <c r="G177" s="520" t="str">
        <f>IF(F177="","",VLOOKUP($B177,'F-1 Off Site River Baseline'!$C$9:$R$257,6,FALSE))</f>
        <v/>
      </c>
      <c r="H177" s="520" t="str">
        <f>IF(G177="","",VLOOKUP($B177,'F-1 Off Site River Baseline'!$C$9:$R$257,7,FALSE))</f>
        <v/>
      </c>
      <c r="I177" s="520" t="str">
        <f>IF(H177="","",VLOOKUP($B177,'F-1 Off Site River Baseline'!$C$9:$R$257,8,FALSE))</f>
        <v/>
      </c>
      <c r="J177" s="520" t="str">
        <f>IF(I177="","",VLOOKUP($B177,'F-1 Off Site River Baseline'!$C$9:$R$257,9,FALSE))</f>
        <v/>
      </c>
      <c r="K177" s="520" t="str">
        <f>IF(J177="","",VLOOKUP($B177,'F-1 Off Site River Baseline'!$C$9:$R$257,10,FALSE))</f>
        <v/>
      </c>
      <c r="L177" s="520" t="str">
        <f>IF(B177="","",VLOOKUP($B177,'C-1 Site River Baseline'!$C$9:$R$257,15,FALSE))</f>
        <v/>
      </c>
      <c r="M177" s="524" t="str">
        <f>IF(L177="","",VLOOKUP($B177,'F-1 Off Site River Baseline'!$C$9:$R$257,16,FALSE))</f>
        <v/>
      </c>
      <c r="N177" s="418" t="str">
        <f t="shared" si="20"/>
        <v/>
      </c>
      <c r="O177" s="498" t="str">
        <f t="shared" si="21"/>
        <v/>
      </c>
      <c r="P177" s="499"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5" t="str">
        <f>IF(N177="","",VLOOKUP(B177,'F-1 Off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20" t="str">
        <f>IF(V177="","",IF(VLOOKUP(V177,'G-7 Rivers Data'!$AG$4:$AI$9,2,FALSE)=0,"Spatial Data Missing ⚠",VLOOKUP(V177,'G-7 Rivers Data'!$AG$4:$AI$9,2,FALSE)))</f>
        <v/>
      </c>
      <c r="X177" s="524" t="str">
        <f>IF(V177="","",IF(VLOOKUP(V177,'G-7 Rivers Data'!$AG$4:$AI$9,3,FALSE)=0,"Spatial Data Missing ⚠",VLOOKUP(V177,'G-7 Rivers Data'!$AG$4:$AI$9,3,FALSE)))</f>
        <v/>
      </c>
      <c r="Y177" s="537" t="str">
        <f>IFERROR(IF(OR(LEFT(P177,5)="Error ▲",LEFT(O177,5)="Error ▲"),"Check Data ⚠",IF(F177&lt;S177,'G-7 Rivers Data'!$R$3,INDEX('G-7 Rivers Data'!$U$5:$Y$9,MATCH(G177,'G-7 Rivers Data'!$T$5:$T$9,0),MATCH(T177,'G-7 Rivers Data'!$U$4:$Y$4,0)))),"")</f>
        <v/>
      </c>
      <c r="Z177" s="203"/>
      <c r="AA177" s="203"/>
      <c r="AB177" s="534" t="str">
        <f t="shared" si="16"/>
        <v/>
      </c>
      <c r="AC177" s="521" t="str">
        <f t="shared" si="17"/>
        <v/>
      </c>
      <c r="AD177" s="564" t="str">
        <f>IFERROR(IF(AC177="Check Data ⚠","Check Data ⚠",VLOOKUP(AC177,'G-4 Temporal multipliers'!$A$4:$C$37,3,FALSE)),"")</f>
        <v/>
      </c>
      <c r="AE177" s="537" t="str">
        <f>IF(N177="","",VLOOKUP(N177,'G-7 Rivers Data'!$B$4:$G$8,5,FALSE))</f>
        <v/>
      </c>
      <c r="AF177" s="520" t="str">
        <f t="shared" si="18"/>
        <v/>
      </c>
      <c r="AG177" s="520" t="str">
        <f t="shared" si="22"/>
        <v/>
      </c>
      <c r="AH177" s="524" t="str">
        <f t="shared" si="19"/>
        <v/>
      </c>
      <c r="AI177" s="145"/>
      <c r="AJ177" s="499" t="str">
        <f>IF(AI177="","",IF(VLOOKUP(AI177,'G-7 Rivers Data'!$AA$4:$AB$7,2,FALSE)=0,"Spatial Data Missing ⚠",VLOOKUP(AI177,'G-7 Rivers Data'!$AA$4:$AB$7,2,FALSE)))</f>
        <v/>
      </c>
      <c r="AK177" s="155"/>
      <c r="AL177" s="536" t="str">
        <f>IF(AK177="","",IF(VLOOKUP(AK177,'G-7 Rivers Data'!$AD$4:$AE$8,2,FALSE)=0,"Spatial Data Missing ⚠",VLOOKUP(AK177,'G-7 Rivers Data'!$AD$4:$AE$8,2,FALSE)))</f>
        <v/>
      </c>
      <c r="AM177" s="154"/>
      <c r="AN177" s="524" t="str">
        <f>IF(AM177="","",VLOOKUP(AM177,'G-7 Rivers Data'!$AO$4:$AP$7,2,FALSE))</f>
        <v/>
      </c>
      <c r="AO177" s="545" t="str">
        <f t="shared" si="23"/>
        <v/>
      </c>
      <c r="AP177" s="149"/>
      <c r="AQ177" s="150"/>
      <c r="AX177" s="31" t="str">
        <f>IFERROR(INDEX('G-7 Rivers Data'!$AZ$3:$AZ$7,MATCH(N177,'G-7 Rivers Data'!$AY$3:$AY$7,0)),"")</f>
        <v/>
      </c>
    </row>
    <row r="178" spans="2:50" ht="13.8" x14ac:dyDescent="0.25">
      <c r="B178" s="531" t="str">
        <f>'F-1 Off Site River Baseline'!AN176</f>
        <v/>
      </c>
      <c r="C178" s="520" t="str">
        <f>IF(B178="","",VLOOKUP($B178,'F-1 Off Site River Baseline'!$C$9:$R$257,2,FALSE))</f>
        <v/>
      </c>
      <c r="D178" s="520" t="str">
        <f>IF(C178="","",VLOOKUP($B178,'F-1 Off Site River Baseline'!$C$9:$R$257,3,FALSE))</f>
        <v/>
      </c>
      <c r="E178" s="520" t="str">
        <f>IF(D178="","",VLOOKUP($B178,'F-1 Off Site River Baseline'!$C$9:$R$257,4,FALSE))</f>
        <v/>
      </c>
      <c r="F178" s="520" t="str">
        <f>IF(E178="","",VLOOKUP($B178,'F-1 Off Site River Baseline'!$C$9:$R$257,5,FALSE))</f>
        <v/>
      </c>
      <c r="G178" s="520" t="str">
        <f>IF(F178="","",VLOOKUP($B178,'F-1 Off Site River Baseline'!$C$9:$R$257,6,FALSE))</f>
        <v/>
      </c>
      <c r="H178" s="520" t="str">
        <f>IF(G178="","",VLOOKUP($B178,'F-1 Off Site River Baseline'!$C$9:$R$257,7,FALSE))</f>
        <v/>
      </c>
      <c r="I178" s="520" t="str">
        <f>IF(H178="","",VLOOKUP($B178,'F-1 Off Site River Baseline'!$C$9:$R$257,8,FALSE))</f>
        <v/>
      </c>
      <c r="J178" s="520" t="str">
        <f>IF(I178="","",VLOOKUP($B178,'F-1 Off Site River Baseline'!$C$9:$R$257,9,FALSE))</f>
        <v/>
      </c>
      <c r="K178" s="520" t="str">
        <f>IF(J178="","",VLOOKUP($B178,'F-1 Off Site River Baseline'!$C$9:$R$257,10,FALSE))</f>
        <v/>
      </c>
      <c r="L178" s="520" t="str">
        <f>IF(B178="","",VLOOKUP($B178,'C-1 Site River Baseline'!$C$9:$R$257,15,FALSE))</f>
        <v/>
      </c>
      <c r="M178" s="524" t="str">
        <f>IF(L178="","",VLOOKUP($B178,'F-1 Off Site River Baseline'!$C$9:$R$257,16,FALSE))</f>
        <v/>
      </c>
      <c r="N178" s="418" t="str">
        <f t="shared" si="20"/>
        <v/>
      </c>
      <c r="O178" s="498" t="str">
        <f t="shared" si="21"/>
        <v/>
      </c>
      <c r="P178" s="499"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5" t="str">
        <f>IF(N178="","",VLOOKUP(B178,'F-1 Off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20" t="str">
        <f>IF(V178="","",IF(VLOOKUP(V178,'G-7 Rivers Data'!$AG$4:$AI$9,2,FALSE)=0,"Spatial Data Missing ⚠",VLOOKUP(V178,'G-7 Rivers Data'!$AG$4:$AI$9,2,FALSE)))</f>
        <v/>
      </c>
      <c r="X178" s="524" t="str">
        <f>IF(V178="","",IF(VLOOKUP(V178,'G-7 Rivers Data'!$AG$4:$AI$9,3,FALSE)=0,"Spatial Data Missing ⚠",VLOOKUP(V178,'G-7 Rivers Data'!$AG$4:$AI$9,3,FALSE)))</f>
        <v/>
      </c>
      <c r="Y178" s="537" t="str">
        <f>IFERROR(IF(OR(LEFT(P178,5)="Error ▲",LEFT(O178,5)="Error ▲"),"Check Data ⚠",IF(F178&lt;S178,'G-7 Rivers Data'!$R$3,INDEX('G-7 Rivers Data'!$U$5:$Y$9,MATCH(G178,'G-7 Rivers Data'!$T$5:$T$9,0),MATCH(T178,'G-7 Rivers Data'!$U$4:$Y$4,0)))),"")</f>
        <v/>
      </c>
      <c r="Z178" s="203"/>
      <c r="AA178" s="203"/>
      <c r="AB178" s="534" t="str">
        <f t="shared" si="16"/>
        <v/>
      </c>
      <c r="AC178" s="521" t="str">
        <f t="shared" si="17"/>
        <v/>
      </c>
      <c r="AD178" s="564" t="str">
        <f>IFERROR(IF(AC178="Check Data ⚠","Check Data ⚠",VLOOKUP(AC178,'G-4 Temporal multipliers'!$A$4:$C$37,3,FALSE)),"")</f>
        <v/>
      </c>
      <c r="AE178" s="537" t="str">
        <f>IF(N178="","",VLOOKUP(N178,'G-7 Rivers Data'!$B$4:$G$8,5,FALSE))</f>
        <v/>
      </c>
      <c r="AF178" s="520" t="str">
        <f t="shared" si="18"/>
        <v/>
      </c>
      <c r="AG178" s="520" t="str">
        <f t="shared" si="22"/>
        <v/>
      </c>
      <c r="AH178" s="524" t="str">
        <f t="shared" si="19"/>
        <v/>
      </c>
      <c r="AI178" s="145"/>
      <c r="AJ178" s="499" t="str">
        <f>IF(AI178="","",IF(VLOOKUP(AI178,'G-7 Rivers Data'!$AA$4:$AB$7,2,FALSE)=0,"Spatial Data Missing ⚠",VLOOKUP(AI178,'G-7 Rivers Data'!$AA$4:$AB$7,2,FALSE)))</f>
        <v/>
      </c>
      <c r="AK178" s="155"/>
      <c r="AL178" s="536" t="str">
        <f>IF(AK178="","",IF(VLOOKUP(AK178,'G-7 Rivers Data'!$AD$4:$AE$8,2,FALSE)=0,"Spatial Data Missing ⚠",VLOOKUP(AK178,'G-7 Rivers Data'!$AD$4:$AE$8,2,FALSE)))</f>
        <v/>
      </c>
      <c r="AM178" s="154"/>
      <c r="AN178" s="524" t="str">
        <f>IF(AM178="","",VLOOKUP(AM178,'G-7 Rivers Data'!$AO$4:$AP$7,2,FALSE))</f>
        <v/>
      </c>
      <c r="AO178" s="545" t="str">
        <f t="shared" si="23"/>
        <v/>
      </c>
      <c r="AP178" s="149"/>
      <c r="AQ178" s="150"/>
      <c r="AX178" s="31" t="str">
        <f>IFERROR(INDEX('G-7 Rivers Data'!$AZ$3:$AZ$7,MATCH(N178,'G-7 Rivers Data'!$AY$3:$AY$7,0)),"")</f>
        <v/>
      </c>
    </row>
    <row r="179" spans="2:50" ht="13.8" x14ac:dyDescent="0.25">
      <c r="B179" s="531" t="str">
        <f>'F-1 Off Site River Baseline'!AN177</f>
        <v/>
      </c>
      <c r="C179" s="520" t="str">
        <f>IF(B179="","",VLOOKUP($B179,'F-1 Off Site River Baseline'!$C$9:$R$257,2,FALSE))</f>
        <v/>
      </c>
      <c r="D179" s="520" t="str">
        <f>IF(C179="","",VLOOKUP($B179,'F-1 Off Site River Baseline'!$C$9:$R$257,3,FALSE))</f>
        <v/>
      </c>
      <c r="E179" s="520" t="str">
        <f>IF(D179="","",VLOOKUP($B179,'F-1 Off Site River Baseline'!$C$9:$R$257,4,FALSE))</f>
        <v/>
      </c>
      <c r="F179" s="520" t="str">
        <f>IF(E179="","",VLOOKUP($B179,'F-1 Off Site River Baseline'!$C$9:$R$257,5,FALSE))</f>
        <v/>
      </c>
      <c r="G179" s="520" t="str">
        <f>IF(F179="","",VLOOKUP($B179,'F-1 Off Site River Baseline'!$C$9:$R$257,6,FALSE))</f>
        <v/>
      </c>
      <c r="H179" s="520" t="str">
        <f>IF(G179="","",VLOOKUP($B179,'F-1 Off Site River Baseline'!$C$9:$R$257,7,FALSE))</f>
        <v/>
      </c>
      <c r="I179" s="520" t="str">
        <f>IF(H179="","",VLOOKUP($B179,'F-1 Off Site River Baseline'!$C$9:$R$257,8,FALSE))</f>
        <v/>
      </c>
      <c r="J179" s="520" t="str">
        <f>IF(I179="","",VLOOKUP($B179,'F-1 Off Site River Baseline'!$C$9:$R$257,9,FALSE))</f>
        <v/>
      </c>
      <c r="K179" s="520" t="str">
        <f>IF(J179="","",VLOOKUP($B179,'F-1 Off Site River Baseline'!$C$9:$R$257,10,FALSE))</f>
        <v/>
      </c>
      <c r="L179" s="520" t="str">
        <f>IF(B179="","",VLOOKUP($B179,'C-1 Site River Baseline'!$C$9:$R$257,15,FALSE))</f>
        <v/>
      </c>
      <c r="M179" s="524" t="str">
        <f>IF(L179="","",VLOOKUP($B179,'F-1 Off Site River Baseline'!$C$9:$R$257,16,FALSE))</f>
        <v/>
      </c>
      <c r="N179" s="418" t="str">
        <f t="shared" si="20"/>
        <v/>
      </c>
      <c r="O179" s="498" t="str">
        <f t="shared" si="21"/>
        <v/>
      </c>
      <c r="P179" s="499"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5" t="str">
        <f>IF(N179="","",VLOOKUP(B179,'F-1 Off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20" t="str">
        <f>IF(V179="","",IF(VLOOKUP(V179,'G-7 Rivers Data'!$AG$4:$AI$9,2,FALSE)=0,"Spatial Data Missing ⚠",VLOOKUP(V179,'G-7 Rivers Data'!$AG$4:$AI$9,2,FALSE)))</f>
        <v/>
      </c>
      <c r="X179" s="524" t="str">
        <f>IF(V179="","",IF(VLOOKUP(V179,'G-7 Rivers Data'!$AG$4:$AI$9,3,FALSE)=0,"Spatial Data Missing ⚠",VLOOKUP(V179,'G-7 Rivers Data'!$AG$4:$AI$9,3,FALSE)))</f>
        <v/>
      </c>
      <c r="Y179" s="537" t="str">
        <f>IFERROR(IF(OR(LEFT(P179,5)="Error ▲",LEFT(O179,5)="Error ▲"),"Check Data ⚠",IF(F179&lt;S179,'G-7 Rivers Data'!$R$3,INDEX('G-7 Rivers Data'!$U$5:$Y$9,MATCH(G179,'G-7 Rivers Data'!$T$5:$T$9,0),MATCH(T179,'G-7 Rivers Data'!$U$4:$Y$4,0)))),"")</f>
        <v/>
      </c>
      <c r="Z179" s="203"/>
      <c r="AA179" s="203"/>
      <c r="AB179" s="534" t="str">
        <f t="shared" si="16"/>
        <v/>
      </c>
      <c r="AC179" s="521" t="str">
        <f t="shared" si="17"/>
        <v/>
      </c>
      <c r="AD179" s="564" t="str">
        <f>IFERROR(IF(AC179="Check Data ⚠","Check Data ⚠",VLOOKUP(AC179,'G-4 Temporal multipliers'!$A$4:$C$37,3,FALSE)),"")</f>
        <v/>
      </c>
      <c r="AE179" s="537" t="str">
        <f>IF(N179="","",VLOOKUP(N179,'G-7 Rivers Data'!$B$4:$G$8,5,FALSE))</f>
        <v/>
      </c>
      <c r="AF179" s="520" t="str">
        <f t="shared" si="18"/>
        <v/>
      </c>
      <c r="AG179" s="520" t="str">
        <f t="shared" si="22"/>
        <v/>
      </c>
      <c r="AH179" s="524" t="str">
        <f t="shared" si="19"/>
        <v/>
      </c>
      <c r="AI179" s="145"/>
      <c r="AJ179" s="499" t="str">
        <f>IF(AI179="","",IF(VLOOKUP(AI179,'G-7 Rivers Data'!$AA$4:$AB$7,2,FALSE)=0,"Spatial Data Missing ⚠",VLOOKUP(AI179,'G-7 Rivers Data'!$AA$4:$AB$7,2,FALSE)))</f>
        <v/>
      </c>
      <c r="AK179" s="155"/>
      <c r="AL179" s="536" t="str">
        <f>IF(AK179="","",IF(VLOOKUP(AK179,'G-7 Rivers Data'!$AD$4:$AE$8,2,FALSE)=0,"Spatial Data Missing ⚠",VLOOKUP(AK179,'G-7 Rivers Data'!$AD$4:$AE$8,2,FALSE)))</f>
        <v/>
      </c>
      <c r="AM179" s="154"/>
      <c r="AN179" s="524" t="str">
        <f>IF(AM179="","",VLOOKUP(AM179,'G-7 Rivers Data'!$AO$4:$AP$7,2,FALSE))</f>
        <v/>
      </c>
      <c r="AO179" s="545" t="str">
        <f t="shared" si="23"/>
        <v/>
      </c>
      <c r="AP179" s="149"/>
      <c r="AQ179" s="150"/>
      <c r="AX179" s="31" t="str">
        <f>IFERROR(INDEX('G-7 Rivers Data'!$AZ$3:$AZ$7,MATCH(N179,'G-7 Rivers Data'!$AY$3:$AY$7,0)),"")</f>
        <v/>
      </c>
    </row>
    <row r="180" spans="2:50" ht="13.8" x14ac:dyDescent="0.25">
      <c r="B180" s="531" t="str">
        <f>'F-1 Off Site River Baseline'!AN178</f>
        <v/>
      </c>
      <c r="C180" s="520" t="str">
        <f>IF(B180="","",VLOOKUP($B180,'F-1 Off Site River Baseline'!$C$9:$R$257,2,FALSE))</f>
        <v/>
      </c>
      <c r="D180" s="520" t="str">
        <f>IF(C180="","",VLOOKUP($B180,'F-1 Off Site River Baseline'!$C$9:$R$257,3,FALSE))</f>
        <v/>
      </c>
      <c r="E180" s="520" t="str">
        <f>IF(D180="","",VLOOKUP($B180,'F-1 Off Site River Baseline'!$C$9:$R$257,4,FALSE))</f>
        <v/>
      </c>
      <c r="F180" s="520" t="str">
        <f>IF(E180="","",VLOOKUP($B180,'F-1 Off Site River Baseline'!$C$9:$R$257,5,FALSE))</f>
        <v/>
      </c>
      <c r="G180" s="520" t="str">
        <f>IF(F180="","",VLOOKUP($B180,'F-1 Off Site River Baseline'!$C$9:$R$257,6,FALSE))</f>
        <v/>
      </c>
      <c r="H180" s="520" t="str">
        <f>IF(G180="","",VLOOKUP($B180,'F-1 Off Site River Baseline'!$C$9:$R$257,7,FALSE))</f>
        <v/>
      </c>
      <c r="I180" s="520" t="str">
        <f>IF(H180="","",VLOOKUP($B180,'F-1 Off Site River Baseline'!$C$9:$R$257,8,FALSE))</f>
        <v/>
      </c>
      <c r="J180" s="520" t="str">
        <f>IF(I180="","",VLOOKUP($B180,'F-1 Off Site River Baseline'!$C$9:$R$257,9,FALSE))</f>
        <v/>
      </c>
      <c r="K180" s="520" t="str">
        <f>IF(J180="","",VLOOKUP($B180,'F-1 Off Site River Baseline'!$C$9:$R$257,10,FALSE))</f>
        <v/>
      </c>
      <c r="L180" s="520" t="str">
        <f>IF(B180="","",VLOOKUP($B180,'C-1 Site River Baseline'!$C$9:$R$257,15,FALSE))</f>
        <v/>
      </c>
      <c r="M180" s="524" t="str">
        <f>IF(L180="","",VLOOKUP($B180,'F-1 Off Site River Baseline'!$C$9:$R$257,16,FALSE))</f>
        <v/>
      </c>
      <c r="N180" s="418" t="str">
        <f t="shared" si="20"/>
        <v/>
      </c>
      <c r="O180" s="498" t="str">
        <f t="shared" si="21"/>
        <v/>
      </c>
      <c r="P180" s="499"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5" t="str">
        <f>IF(N180="","",VLOOKUP(B180,'F-1 Off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20" t="str">
        <f>IF(V180="","",IF(VLOOKUP(V180,'G-7 Rivers Data'!$AG$4:$AI$9,2,FALSE)=0,"Spatial Data Missing ⚠",VLOOKUP(V180,'G-7 Rivers Data'!$AG$4:$AI$9,2,FALSE)))</f>
        <v/>
      </c>
      <c r="X180" s="524" t="str">
        <f>IF(V180="","",IF(VLOOKUP(V180,'G-7 Rivers Data'!$AG$4:$AI$9,3,FALSE)=0,"Spatial Data Missing ⚠",VLOOKUP(V180,'G-7 Rivers Data'!$AG$4:$AI$9,3,FALSE)))</f>
        <v/>
      </c>
      <c r="Y180" s="537" t="str">
        <f>IFERROR(IF(OR(LEFT(P180,5)="Error ▲",LEFT(O180,5)="Error ▲"),"Check Data ⚠",IF(F180&lt;S180,'G-7 Rivers Data'!$R$3,INDEX('G-7 Rivers Data'!$U$5:$Y$9,MATCH(G180,'G-7 Rivers Data'!$T$5:$T$9,0),MATCH(T180,'G-7 Rivers Data'!$U$4:$Y$4,0)))),"")</f>
        <v/>
      </c>
      <c r="Z180" s="203"/>
      <c r="AA180" s="203"/>
      <c r="AB180" s="534" t="str">
        <f t="shared" si="16"/>
        <v/>
      </c>
      <c r="AC180" s="521" t="str">
        <f t="shared" si="17"/>
        <v/>
      </c>
      <c r="AD180" s="564" t="str">
        <f>IFERROR(IF(AC180="Check Data ⚠","Check Data ⚠",VLOOKUP(AC180,'G-4 Temporal multipliers'!$A$4:$C$37,3,FALSE)),"")</f>
        <v/>
      </c>
      <c r="AE180" s="537" t="str">
        <f>IF(N180="","",VLOOKUP(N180,'G-7 Rivers Data'!$B$4:$G$8,5,FALSE))</f>
        <v/>
      </c>
      <c r="AF180" s="520" t="str">
        <f t="shared" si="18"/>
        <v/>
      </c>
      <c r="AG180" s="520" t="str">
        <f t="shared" si="22"/>
        <v/>
      </c>
      <c r="AH180" s="524" t="str">
        <f t="shared" si="19"/>
        <v/>
      </c>
      <c r="AI180" s="145"/>
      <c r="AJ180" s="499" t="str">
        <f>IF(AI180="","",IF(VLOOKUP(AI180,'G-7 Rivers Data'!$AA$4:$AB$7,2,FALSE)=0,"Spatial Data Missing ⚠",VLOOKUP(AI180,'G-7 Rivers Data'!$AA$4:$AB$7,2,FALSE)))</f>
        <v/>
      </c>
      <c r="AK180" s="155"/>
      <c r="AL180" s="536" t="str">
        <f>IF(AK180="","",IF(VLOOKUP(AK180,'G-7 Rivers Data'!$AD$4:$AE$8,2,FALSE)=0,"Spatial Data Missing ⚠",VLOOKUP(AK180,'G-7 Rivers Data'!$AD$4:$AE$8,2,FALSE)))</f>
        <v/>
      </c>
      <c r="AM180" s="154"/>
      <c r="AN180" s="524" t="str">
        <f>IF(AM180="","",VLOOKUP(AM180,'G-7 Rivers Data'!$AO$4:$AP$7,2,FALSE))</f>
        <v/>
      </c>
      <c r="AO180" s="545" t="str">
        <f t="shared" si="23"/>
        <v/>
      </c>
      <c r="AP180" s="149"/>
      <c r="AQ180" s="150"/>
      <c r="AX180" s="31" t="str">
        <f>IFERROR(INDEX('G-7 Rivers Data'!$AZ$3:$AZ$7,MATCH(N180,'G-7 Rivers Data'!$AY$3:$AY$7,0)),"")</f>
        <v/>
      </c>
    </row>
    <row r="181" spans="2:50" ht="13.8" x14ac:dyDescent="0.25">
      <c r="B181" s="531" t="str">
        <f>'F-1 Off Site River Baseline'!AN179</f>
        <v/>
      </c>
      <c r="C181" s="520" t="str">
        <f>IF(B181="","",VLOOKUP($B181,'F-1 Off Site River Baseline'!$C$9:$R$257,2,FALSE))</f>
        <v/>
      </c>
      <c r="D181" s="520" t="str">
        <f>IF(C181="","",VLOOKUP($B181,'F-1 Off Site River Baseline'!$C$9:$R$257,3,FALSE))</f>
        <v/>
      </c>
      <c r="E181" s="520" t="str">
        <f>IF(D181="","",VLOOKUP($B181,'F-1 Off Site River Baseline'!$C$9:$R$257,4,FALSE))</f>
        <v/>
      </c>
      <c r="F181" s="520" t="str">
        <f>IF(E181="","",VLOOKUP($B181,'F-1 Off Site River Baseline'!$C$9:$R$257,5,FALSE))</f>
        <v/>
      </c>
      <c r="G181" s="520" t="str">
        <f>IF(F181="","",VLOOKUP($B181,'F-1 Off Site River Baseline'!$C$9:$R$257,6,FALSE))</f>
        <v/>
      </c>
      <c r="H181" s="520" t="str">
        <f>IF(G181="","",VLOOKUP($B181,'F-1 Off Site River Baseline'!$C$9:$R$257,7,FALSE))</f>
        <v/>
      </c>
      <c r="I181" s="520" t="str">
        <f>IF(H181="","",VLOOKUP($B181,'F-1 Off Site River Baseline'!$C$9:$R$257,8,FALSE))</f>
        <v/>
      </c>
      <c r="J181" s="520" t="str">
        <f>IF(I181="","",VLOOKUP($B181,'F-1 Off Site River Baseline'!$C$9:$R$257,9,FALSE))</f>
        <v/>
      </c>
      <c r="K181" s="520" t="str">
        <f>IF(J181="","",VLOOKUP($B181,'F-1 Off Site River Baseline'!$C$9:$R$257,10,FALSE))</f>
        <v/>
      </c>
      <c r="L181" s="520" t="str">
        <f>IF(B181="","",VLOOKUP($B181,'C-1 Site River Baseline'!$C$9:$R$257,15,FALSE))</f>
        <v/>
      </c>
      <c r="M181" s="524" t="str">
        <f>IF(L181="","",VLOOKUP($B181,'F-1 Off Site River Baseline'!$C$9:$R$257,16,FALSE))</f>
        <v/>
      </c>
      <c r="N181" s="418" t="str">
        <f t="shared" si="20"/>
        <v/>
      </c>
      <c r="O181" s="498" t="str">
        <f t="shared" si="21"/>
        <v/>
      </c>
      <c r="P181" s="499"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5" t="str">
        <f>IF(N181="","",VLOOKUP(B181,'F-1 Off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20" t="str">
        <f>IF(V181="","",IF(VLOOKUP(V181,'G-7 Rivers Data'!$AG$4:$AI$9,2,FALSE)=0,"Spatial Data Missing ⚠",VLOOKUP(V181,'G-7 Rivers Data'!$AG$4:$AI$9,2,FALSE)))</f>
        <v/>
      </c>
      <c r="X181" s="524" t="str">
        <f>IF(V181="","",IF(VLOOKUP(V181,'G-7 Rivers Data'!$AG$4:$AI$9,3,FALSE)=0,"Spatial Data Missing ⚠",VLOOKUP(V181,'G-7 Rivers Data'!$AG$4:$AI$9,3,FALSE)))</f>
        <v/>
      </c>
      <c r="Y181" s="537" t="str">
        <f>IFERROR(IF(OR(LEFT(P181,5)="Error ▲",LEFT(O181,5)="Error ▲"),"Check Data ⚠",IF(F181&lt;S181,'G-7 Rivers Data'!$R$3,INDEX('G-7 Rivers Data'!$U$5:$Y$9,MATCH(G181,'G-7 Rivers Data'!$T$5:$T$9,0),MATCH(T181,'G-7 Rivers Data'!$U$4:$Y$4,0)))),"")</f>
        <v/>
      </c>
      <c r="Z181" s="203"/>
      <c r="AA181" s="203"/>
      <c r="AB181" s="534" t="str">
        <f t="shared" si="16"/>
        <v/>
      </c>
      <c r="AC181" s="521" t="str">
        <f t="shared" si="17"/>
        <v/>
      </c>
      <c r="AD181" s="564" t="str">
        <f>IFERROR(IF(AC181="Check Data ⚠","Check Data ⚠",VLOOKUP(AC181,'G-4 Temporal multipliers'!$A$4:$C$37,3,FALSE)),"")</f>
        <v/>
      </c>
      <c r="AE181" s="537" t="str">
        <f>IF(N181="","",VLOOKUP(N181,'G-7 Rivers Data'!$B$4:$G$8,5,FALSE))</f>
        <v/>
      </c>
      <c r="AF181" s="520" t="str">
        <f t="shared" si="18"/>
        <v/>
      </c>
      <c r="AG181" s="520" t="str">
        <f t="shared" si="22"/>
        <v/>
      </c>
      <c r="AH181" s="524" t="str">
        <f t="shared" si="19"/>
        <v/>
      </c>
      <c r="AI181" s="145"/>
      <c r="AJ181" s="499" t="str">
        <f>IF(AI181="","",IF(VLOOKUP(AI181,'G-7 Rivers Data'!$AA$4:$AB$7,2,FALSE)=0,"Spatial Data Missing ⚠",VLOOKUP(AI181,'G-7 Rivers Data'!$AA$4:$AB$7,2,FALSE)))</f>
        <v/>
      </c>
      <c r="AK181" s="155"/>
      <c r="AL181" s="536" t="str">
        <f>IF(AK181="","",IF(VLOOKUP(AK181,'G-7 Rivers Data'!$AD$4:$AE$8,2,FALSE)=0,"Spatial Data Missing ⚠",VLOOKUP(AK181,'G-7 Rivers Data'!$AD$4:$AE$8,2,FALSE)))</f>
        <v/>
      </c>
      <c r="AM181" s="154"/>
      <c r="AN181" s="524" t="str">
        <f>IF(AM181="","",VLOOKUP(AM181,'G-7 Rivers Data'!$AO$4:$AP$7,2,FALSE))</f>
        <v/>
      </c>
      <c r="AO181" s="545" t="str">
        <f t="shared" si="23"/>
        <v/>
      </c>
      <c r="AP181" s="149"/>
      <c r="AQ181" s="150"/>
      <c r="AX181" s="31" t="str">
        <f>IFERROR(INDEX('G-7 Rivers Data'!$AZ$3:$AZ$7,MATCH(N181,'G-7 Rivers Data'!$AY$3:$AY$7,0)),"")</f>
        <v/>
      </c>
    </row>
    <row r="182" spans="2:50" ht="13.8" x14ac:dyDescent="0.25">
      <c r="B182" s="531" t="str">
        <f>'F-1 Off Site River Baseline'!AN180</f>
        <v/>
      </c>
      <c r="C182" s="520" t="str">
        <f>IF(B182="","",VLOOKUP($B182,'F-1 Off Site River Baseline'!$C$9:$R$257,2,FALSE))</f>
        <v/>
      </c>
      <c r="D182" s="520" t="str">
        <f>IF(C182="","",VLOOKUP($B182,'F-1 Off Site River Baseline'!$C$9:$R$257,3,FALSE))</f>
        <v/>
      </c>
      <c r="E182" s="520" t="str">
        <f>IF(D182="","",VLOOKUP($B182,'F-1 Off Site River Baseline'!$C$9:$R$257,4,FALSE))</f>
        <v/>
      </c>
      <c r="F182" s="520" t="str">
        <f>IF(E182="","",VLOOKUP($B182,'F-1 Off Site River Baseline'!$C$9:$R$257,5,FALSE))</f>
        <v/>
      </c>
      <c r="G182" s="520" t="str">
        <f>IF(F182="","",VLOOKUP($B182,'F-1 Off Site River Baseline'!$C$9:$R$257,6,FALSE))</f>
        <v/>
      </c>
      <c r="H182" s="520" t="str">
        <f>IF(G182="","",VLOOKUP($B182,'F-1 Off Site River Baseline'!$C$9:$R$257,7,FALSE))</f>
        <v/>
      </c>
      <c r="I182" s="520" t="str">
        <f>IF(H182="","",VLOOKUP($B182,'F-1 Off Site River Baseline'!$C$9:$R$257,8,FALSE))</f>
        <v/>
      </c>
      <c r="J182" s="520" t="str">
        <f>IF(I182="","",VLOOKUP($B182,'F-1 Off Site River Baseline'!$C$9:$R$257,9,FALSE))</f>
        <v/>
      </c>
      <c r="K182" s="520" t="str">
        <f>IF(J182="","",VLOOKUP($B182,'F-1 Off Site River Baseline'!$C$9:$R$257,10,FALSE))</f>
        <v/>
      </c>
      <c r="L182" s="520" t="str">
        <f>IF(B182="","",VLOOKUP($B182,'C-1 Site River Baseline'!$C$9:$R$257,15,FALSE))</f>
        <v/>
      </c>
      <c r="M182" s="524" t="str">
        <f>IF(L182="","",VLOOKUP($B182,'F-1 Off Site River Baseline'!$C$9:$R$257,16,FALSE))</f>
        <v/>
      </c>
      <c r="N182" s="418" t="str">
        <f t="shared" si="20"/>
        <v/>
      </c>
      <c r="O182" s="498" t="str">
        <f t="shared" si="21"/>
        <v/>
      </c>
      <c r="P182" s="499"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5" t="str">
        <f>IF(N182="","",VLOOKUP(B182,'F-1 Off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20" t="str">
        <f>IF(V182="","",IF(VLOOKUP(V182,'G-7 Rivers Data'!$AG$4:$AI$9,2,FALSE)=0,"Spatial Data Missing ⚠",VLOOKUP(V182,'G-7 Rivers Data'!$AG$4:$AI$9,2,FALSE)))</f>
        <v/>
      </c>
      <c r="X182" s="524" t="str">
        <f>IF(V182="","",IF(VLOOKUP(V182,'G-7 Rivers Data'!$AG$4:$AI$9,3,FALSE)=0,"Spatial Data Missing ⚠",VLOOKUP(V182,'G-7 Rivers Data'!$AG$4:$AI$9,3,FALSE)))</f>
        <v/>
      </c>
      <c r="Y182" s="537" t="str">
        <f>IFERROR(IF(OR(LEFT(P182,5)="Error ▲",LEFT(O182,5)="Error ▲"),"Check Data ⚠",IF(F182&lt;S182,'G-7 Rivers Data'!$R$3,INDEX('G-7 Rivers Data'!$U$5:$Y$9,MATCH(G182,'G-7 Rivers Data'!$T$5:$T$9,0),MATCH(T182,'G-7 Rivers Data'!$U$4:$Y$4,0)))),"")</f>
        <v/>
      </c>
      <c r="Z182" s="203"/>
      <c r="AA182" s="203"/>
      <c r="AB182" s="534" t="str">
        <f t="shared" si="16"/>
        <v/>
      </c>
      <c r="AC182" s="521" t="str">
        <f t="shared" si="17"/>
        <v/>
      </c>
      <c r="AD182" s="564" t="str">
        <f>IFERROR(IF(AC182="Check Data ⚠","Check Data ⚠",VLOOKUP(AC182,'G-4 Temporal multipliers'!$A$4:$C$37,3,FALSE)),"")</f>
        <v/>
      </c>
      <c r="AE182" s="537" t="str">
        <f>IF(N182="","",VLOOKUP(N182,'G-7 Rivers Data'!$B$4:$G$8,5,FALSE))</f>
        <v/>
      </c>
      <c r="AF182" s="520" t="str">
        <f t="shared" si="18"/>
        <v/>
      </c>
      <c r="AG182" s="520" t="str">
        <f t="shared" si="22"/>
        <v/>
      </c>
      <c r="AH182" s="524" t="str">
        <f t="shared" si="19"/>
        <v/>
      </c>
      <c r="AI182" s="145"/>
      <c r="AJ182" s="499" t="str">
        <f>IF(AI182="","",IF(VLOOKUP(AI182,'G-7 Rivers Data'!$AA$4:$AB$7,2,FALSE)=0,"Spatial Data Missing ⚠",VLOOKUP(AI182,'G-7 Rivers Data'!$AA$4:$AB$7,2,FALSE)))</f>
        <v/>
      </c>
      <c r="AK182" s="155"/>
      <c r="AL182" s="536" t="str">
        <f>IF(AK182="","",IF(VLOOKUP(AK182,'G-7 Rivers Data'!$AD$4:$AE$8,2,FALSE)=0,"Spatial Data Missing ⚠",VLOOKUP(AK182,'G-7 Rivers Data'!$AD$4:$AE$8,2,FALSE)))</f>
        <v/>
      </c>
      <c r="AM182" s="154"/>
      <c r="AN182" s="524" t="str">
        <f>IF(AM182="","",VLOOKUP(AM182,'G-7 Rivers Data'!$AO$4:$AP$7,2,FALSE))</f>
        <v/>
      </c>
      <c r="AO182" s="545" t="str">
        <f t="shared" si="23"/>
        <v/>
      </c>
      <c r="AP182" s="149"/>
      <c r="AQ182" s="150"/>
      <c r="AX182" s="31" t="str">
        <f>IFERROR(INDEX('G-7 Rivers Data'!$AZ$3:$AZ$7,MATCH(N182,'G-7 Rivers Data'!$AY$3:$AY$7,0)),"")</f>
        <v/>
      </c>
    </row>
    <row r="183" spans="2:50" ht="13.8" x14ac:dyDescent="0.25">
      <c r="B183" s="531" t="str">
        <f>'F-1 Off Site River Baseline'!AN181</f>
        <v/>
      </c>
      <c r="C183" s="520" t="str">
        <f>IF(B183="","",VLOOKUP($B183,'F-1 Off Site River Baseline'!$C$9:$R$257,2,FALSE))</f>
        <v/>
      </c>
      <c r="D183" s="520" t="str">
        <f>IF(C183="","",VLOOKUP($B183,'F-1 Off Site River Baseline'!$C$9:$R$257,3,FALSE))</f>
        <v/>
      </c>
      <c r="E183" s="520" t="str">
        <f>IF(D183="","",VLOOKUP($B183,'F-1 Off Site River Baseline'!$C$9:$R$257,4,FALSE))</f>
        <v/>
      </c>
      <c r="F183" s="520" t="str">
        <f>IF(E183="","",VLOOKUP($B183,'F-1 Off Site River Baseline'!$C$9:$R$257,5,FALSE))</f>
        <v/>
      </c>
      <c r="G183" s="520" t="str">
        <f>IF(F183="","",VLOOKUP($B183,'F-1 Off Site River Baseline'!$C$9:$R$257,6,FALSE))</f>
        <v/>
      </c>
      <c r="H183" s="520" t="str">
        <f>IF(G183="","",VLOOKUP($B183,'F-1 Off Site River Baseline'!$C$9:$R$257,7,FALSE))</f>
        <v/>
      </c>
      <c r="I183" s="520" t="str">
        <f>IF(H183="","",VLOOKUP($B183,'F-1 Off Site River Baseline'!$C$9:$R$257,8,FALSE))</f>
        <v/>
      </c>
      <c r="J183" s="520" t="str">
        <f>IF(I183="","",VLOOKUP($B183,'F-1 Off Site River Baseline'!$C$9:$R$257,9,FALSE))</f>
        <v/>
      </c>
      <c r="K183" s="520" t="str">
        <f>IF(J183="","",VLOOKUP($B183,'F-1 Off Site River Baseline'!$C$9:$R$257,10,FALSE))</f>
        <v/>
      </c>
      <c r="L183" s="520" t="str">
        <f>IF(B183="","",VLOOKUP($B183,'C-1 Site River Baseline'!$C$9:$R$257,15,FALSE))</f>
        <v/>
      </c>
      <c r="M183" s="524" t="str">
        <f>IF(L183="","",VLOOKUP($B183,'F-1 Off Site River Baseline'!$C$9:$R$257,16,FALSE))</f>
        <v/>
      </c>
      <c r="N183" s="418" t="str">
        <f t="shared" si="20"/>
        <v/>
      </c>
      <c r="O183" s="498" t="str">
        <f t="shared" si="21"/>
        <v/>
      </c>
      <c r="P183" s="499"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5" t="str">
        <f>IF(N183="","",VLOOKUP(B183,'F-1 Off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20" t="str">
        <f>IF(V183="","",IF(VLOOKUP(V183,'G-7 Rivers Data'!$AG$4:$AI$9,2,FALSE)=0,"Spatial Data Missing ⚠",VLOOKUP(V183,'G-7 Rivers Data'!$AG$4:$AI$9,2,FALSE)))</f>
        <v/>
      </c>
      <c r="X183" s="524" t="str">
        <f>IF(V183="","",IF(VLOOKUP(V183,'G-7 Rivers Data'!$AG$4:$AI$9,3,FALSE)=0,"Spatial Data Missing ⚠",VLOOKUP(V183,'G-7 Rivers Data'!$AG$4:$AI$9,3,FALSE)))</f>
        <v/>
      </c>
      <c r="Y183" s="537" t="str">
        <f>IFERROR(IF(OR(LEFT(P183,5)="Error ▲",LEFT(O183,5)="Error ▲"),"Check Data ⚠",IF(F183&lt;S183,'G-7 Rivers Data'!$R$3,INDEX('G-7 Rivers Data'!$U$5:$Y$9,MATCH(G183,'G-7 Rivers Data'!$T$5:$T$9,0),MATCH(T183,'G-7 Rivers Data'!$U$4:$Y$4,0)))),"")</f>
        <v/>
      </c>
      <c r="Z183" s="203"/>
      <c r="AA183" s="203"/>
      <c r="AB183" s="534" t="str">
        <f t="shared" si="16"/>
        <v/>
      </c>
      <c r="AC183" s="521" t="str">
        <f t="shared" si="17"/>
        <v/>
      </c>
      <c r="AD183" s="564" t="str">
        <f>IFERROR(IF(AC183="Check Data ⚠","Check Data ⚠",VLOOKUP(AC183,'G-4 Temporal multipliers'!$A$4:$C$37,3,FALSE)),"")</f>
        <v/>
      </c>
      <c r="AE183" s="537" t="str">
        <f>IF(N183="","",VLOOKUP(N183,'G-7 Rivers Data'!$B$4:$G$8,5,FALSE))</f>
        <v/>
      </c>
      <c r="AF183" s="520" t="str">
        <f t="shared" si="18"/>
        <v/>
      </c>
      <c r="AG183" s="520" t="str">
        <f t="shared" si="22"/>
        <v/>
      </c>
      <c r="AH183" s="524" t="str">
        <f t="shared" si="19"/>
        <v/>
      </c>
      <c r="AI183" s="145"/>
      <c r="AJ183" s="499" t="str">
        <f>IF(AI183="","",IF(VLOOKUP(AI183,'G-7 Rivers Data'!$AA$4:$AB$7,2,FALSE)=0,"Spatial Data Missing ⚠",VLOOKUP(AI183,'G-7 Rivers Data'!$AA$4:$AB$7,2,FALSE)))</f>
        <v/>
      </c>
      <c r="AK183" s="155"/>
      <c r="AL183" s="536" t="str">
        <f>IF(AK183="","",IF(VLOOKUP(AK183,'G-7 Rivers Data'!$AD$4:$AE$8,2,FALSE)=0,"Spatial Data Missing ⚠",VLOOKUP(AK183,'G-7 Rivers Data'!$AD$4:$AE$8,2,FALSE)))</f>
        <v/>
      </c>
      <c r="AM183" s="154"/>
      <c r="AN183" s="524" t="str">
        <f>IF(AM183="","",VLOOKUP(AM183,'G-7 Rivers Data'!$AO$4:$AP$7,2,FALSE))</f>
        <v/>
      </c>
      <c r="AO183" s="545" t="str">
        <f t="shared" si="23"/>
        <v/>
      </c>
      <c r="AP183" s="149"/>
      <c r="AQ183" s="150"/>
      <c r="AX183" s="31" t="str">
        <f>IFERROR(INDEX('G-7 Rivers Data'!$AZ$3:$AZ$7,MATCH(N183,'G-7 Rivers Data'!$AY$3:$AY$7,0)),"")</f>
        <v/>
      </c>
    </row>
    <row r="184" spans="2:50" ht="13.8" x14ac:dyDescent="0.25">
      <c r="B184" s="531" t="str">
        <f>'F-1 Off Site River Baseline'!AN182</f>
        <v/>
      </c>
      <c r="C184" s="520" t="str">
        <f>IF(B184="","",VLOOKUP($B184,'F-1 Off Site River Baseline'!$C$9:$R$257,2,FALSE))</f>
        <v/>
      </c>
      <c r="D184" s="520" t="str">
        <f>IF(C184="","",VLOOKUP($B184,'F-1 Off Site River Baseline'!$C$9:$R$257,3,FALSE))</f>
        <v/>
      </c>
      <c r="E184" s="520" t="str">
        <f>IF(D184="","",VLOOKUP($B184,'F-1 Off Site River Baseline'!$C$9:$R$257,4,FALSE))</f>
        <v/>
      </c>
      <c r="F184" s="520" t="str">
        <f>IF(E184="","",VLOOKUP($B184,'F-1 Off Site River Baseline'!$C$9:$R$257,5,FALSE))</f>
        <v/>
      </c>
      <c r="G184" s="520" t="str">
        <f>IF(F184="","",VLOOKUP($B184,'F-1 Off Site River Baseline'!$C$9:$R$257,6,FALSE))</f>
        <v/>
      </c>
      <c r="H184" s="520" t="str">
        <f>IF(G184="","",VLOOKUP($B184,'F-1 Off Site River Baseline'!$C$9:$R$257,7,FALSE))</f>
        <v/>
      </c>
      <c r="I184" s="520" t="str">
        <f>IF(H184="","",VLOOKUP($B184,'F-1 Off Site River Baseline'!$C$9:$R$257,8,FALSE))</f>
        <v/>
      </c>
      <c r="J184" s="520" t="str">
        <f>IF(I184="","",VLOOKUP($B184,'F-1 Off Site River Baseline'!$C$9:$R$257,9,FALSE))</f>
        <v/>
      </c>
      <c r="K184" s="520" t="str">
        <f>IF(J184="","",VLOOKUP($B184,'F-1 Off Site River Baseline'!$C$9:$R$257,10,FALSE))</f>
        <v/>
      </c>
      <c r="L184" s="520" t="str">
        <f>IF(B184="","",VLOOKUP($B184,'C-1 Site River Baseline'!$C$9:$R$257,15,FALSE))</f>
        <v/>
      </c>
      <c r="M184" s="524" t="str">
        <f>IF(L184="","",VLOOKUP($B184,'F-1 Off Site River Baseline'!$C$9:$R$257,16,FALSE))</f>
        <v/>
      </c>
      <c r="N184" s="418" t="str">
        <f t="shared" si="20"/>
        <v/>
      </c>
      <c r="O184" s="498" t="str">
        <f t="shared" si="21"/>
        <v/>
      </c>
      <c r="P184" s="499"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5" t="str">
        <f>IF(N184="","",VLOOKUP(B184,'F-1 Off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20" t="str">
        <f>IF(V184="","",IF(VLOOKUP(V184,'G-7 Rivers Data'!$AG$4:$AI$9,2,FALSE)=0,"Spatial Data Missing ⚠",VLOOKUP(V184,'G-7 Rivers Data'!$AG$4:$AI$9,2,FALSE)))</f>
        <v/>
      </c>
      <c r="X184" s="524" t="str">
        <f>IF(V184="","",IF(VLOOKUP(V184,'G-7 Rivers Data'!$AG$4:$AI$9,3,FALSE)=0,"Spatial Data Missing ⚠",VLOOKUP(V184,'G-7 Rivers Data'!$AG$4:$AI$9,3,FALSE)))</f>
        <v/>
      </c>
      <c r="Y184" s="537" t="str">
        <f>IFERROR(IF(OR(LEFT(P184,5)="Error ▲",LEFT(O184,5)="Error ▲"),"Check Data ⚠",IF(F184&lt;S184,'G-7 Rivers Data'!$R$3,INDEX('G-7 Rivers Data'!$U$5:$Y$9,MATCH(G184,'G-7 Rivers Data'!$T$5:$T$9,0),MATCH(T184,'G-7 Rivers Data'!$U$4:$Y$4,0)))),"")</f>
        <v/>
      </c>
      <c r="Z184" s="203"/>
      <c r="AA184" s="203"/>
      <c r="AB184" s="534" t="str">
        <f t="shared" si="16"/>
        <v/>
      </c>
      <c r="AC184" s="521" t="str">
        <f t="shared" si="17"/>
        <v/>
      </c>
      <c r="AD184" s="564" t="str">
        <f>IFERROR(IF(AC184="Check Data ⚠","Check Data ⚠",VLOOKUP(AC184,'G-4 Temporal multipliers'!$A$4:$C$37,3,FALSE)),"")</f>
        <v/>
      </c>
      <c r="AE184" s="537" t="str">
        <f>IF(N184="","",VLOOKUP(N184,'G-7 Rivers Data'!$B$4:$G$8,5,FALSE))</f>
        <v/>
      </c>
      <c r="AF184" s="520" t="str">
        <f t="shared" si="18"/>
        <v/>
      </c>
      <c r="AG184" s="520" t="str">
        <f t="shared" si="22"/>
        <v/>
      </c>
      <c r="AH184" s="524" t="str">
        <f t="shared" si="19"/>
        <v/>
      </c>
      <c r="AI184" s="145"/>
      <c r="AJ184" s="499" t="str">
        <f>IF(AI184="","",IF(VLOOKUP(AI184,'G-7 Rivers Data'!$AA$4:$AB$7,2,FALSE)=0,"Spatial Data Missing ⚠",VLOOKUP(AI184,'G-7 Rivers Data'!$AA$4:$AB$7,2,FALSE)))</f>
        <v/>
      </c>
      <c r="AK184" s="155"/>
      <c r="AL184" s="536" t="str">
        <f>IF(AK184="","",IF(VLOOKUP(AK184,'G-7 Rivers Data'!$AD$4:$AE$8,2,FALSE)=0,"Spatial Data Missing ⚠",VLOOKUP(AK184,'G-7 Rivers Data'!$AD$4:$AE$8,2,FALSE)))</f>
        <v/>
      </c>
      <c r="AM184" s="154"/>
      <c r="AN184" s="524" t="str">
        <f>IF(AM184="","",VLOOKUP(AM184,'G-7 Rivers Data'!$AO$4:$AP$7,2,FALSE))</f>
        <v/>
      </c>
      <c r="AO184" s="545" t="str">
        <f t="shared" si="23"/>
        <v/>
      </c>
      <c r="AP184" s="149"/>
      <c r="AQ184" s="150"/>
      <c r="AX184" s="31" t="str">
        <f>IFERROR(INDEX('G-7 Rivers Data'!$AZ$3:$AZ$7,MATCH(N184,'G-7 Rivers Data'!$AY$3:$AY$7,0)),"")</f>
        <v/>
      </c>
    </row>
    <row r="185" spans="2:50" ht="13.8" x14ac:dyDescent="0.25">
      <c r="B185" s="531" t="str">
        <f>'F-1 Off Site River Baseline'!AN183</f>
        <v/>
      </c>
      <c r="C185" s="520" t="str">
        <f>IF(B185="","",VLOOKUP($B185,'F-1 Off Site River Baseline'!$C$9:$R$257,2,FALSE))</f>
        <v/>
      </c>
      <c r="D185" s="520" t="str">
        <f>IF(C185="","",VLOOKUP($B185,'F-1 Off Site River Baseline'!$C$9:$R$257,3,FALSE))</f>
        <v/>
      </c>
      <c r="E185" s="520" t="str">
        <f>IF(D185="","",VLOOKUP($B185,'F-1 Off Site River Baseline'!$C$9:$R$257,4,FALSE))</f>
        <v/>
      </c>
      <c r="F185" s="520" t="str">
        <f>IF(E185="","",VLOOKUP($B185,'F-1 Off Site River Baseline'!$C$9:$R$257,5,FALSE))</f>
        <v/>
      </c>
      <c r="G185" s="520" t="str">
        <f>IF(F185="","",VLOOKUP($B185,'F-1 Off Site River Baseline'!$C$9:$R$257,6,FALSE))</f>
        <v/>
      </c>
      <c r="H185" s="520" t="str">
        <f>IF(G185="","",VLOOKUP($B185,'F-1 Off Site River Baseline'!$C$9:$R$257,7,FALSE))</f>
        <v/>
      </c>
      <c r="I185" s="520" t="str">
        <f>IF(H185="","",VLOOKUP($B185,'F-1 Off Site River Baseline'!$C$9:$R$257,8,FALSE))</f>
        <v/>
      </c>
      <c r="J185" s="520" t="str">
        <f>IF(I185="","",VLOOKUP($B185,'F-1 Off Site River Baseline'!$C$9:$R$257,9,FALSE))</f>
        <v/>
      </c>
      <c r="K185" s="520" t="str">
        <f>IF(J185="","",VLOOKUP($B185,'F-1 Off Site River Baseline'!$C$9:$R$257,10,FALSE))</f>
        <v/>
      </c>
      <c r="L185" s="520" t="str">
        <f>IF(B185="","",VLOOKUP($B185,'C-1 Site River Baseline'!$C$9:$R$257,15,FALSE))</f>
        <v/>
      </c>
      <c r="M185" s="524" t="str">
        <f>IF(L185="","",VLOOKUP($B185,'F-1 Off Site River Baseline'!$C$9:$R$257,16,FALSE))</f>
        <v/>
      </c>
      <c r="N185" s="418" t="str">
        <f t="shared" si="20"/>
        <v/>
      </c>
      <c r="O185" s="498" t="str">
        <f t="shared" si="21"/>
        <v/>
      </c>
      <c r="P185" s="499"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5" t="str">
        <f>IF(N185="","",VLOOKUP(B185,'F-1 Off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20" t="str">
        <f>IF(V185="","",IF(VLOOKUP(V185,'G-7 Rivers Data'!$AG$4:$AI$9,2,FALSE)=0,"Spatial Data Missing ⚠",VLOOKUP(V185,'G-7 Rivers Data'!$AG$4:$AI$9,2,FALSE)))</f>
        <v/>
      </c>
      <c r="X185" s="524" t="str">
        <f>IF(V185="","",IF(VLOOKUP(V185,'G-7 Rivers Data'!$AG$4:$AI$9,3,FALSE)=0,"Spatial Data Missing ⚠",VLOOKUP(V185,'G-7 Rivers Data'!$AG$4:$AI$9,3,FALSE)))</f>
        <v/>
      </c>
      <c r="Y185" s="537" t="str">
        <f>IFERROR(IF(OR(LEFT(P185,5)="Error ▲",LEFT(O185,5)="Error ▲"),"Check Data ⚠",IF(F185&lt;S185,'G-7 Rivers Data'!$R$3,INDEX('G-7 Rivers Data'!$U$5:$Y$9,MATCH(G185,'G-7 Rivers Data'!$T$5:$T$9,0),MATCH(T185,'G-7 Rivers Data'!$U$4:$Y$4,0)))),"")</f>
        <v/>
      </c>
      <c r="Z185" s="203"/>
      <c r="AA185" s="203"/>
      <c r="AB185" s="534" t="str">
        <f t="shared" si="16"/>
        <v/>
      </c>
      <c r="AC185" s="521" t="str">
        <f t="shared" si="17"/>
        <v/>
      </c>
      <c r="AD185" s="564" t="str">
        <f>IFERROR(IF(AC185="Check Data ⚠","Check Data ⚠",VLOOKUP(AC185,'G-4 Temporal multipliers'!$A$4:$C$37,3,FALSE)),"")</f>
        <v/>
      </c>
      <c r="AE185" s="537" t="str">
        <f>IF(N185="","",VLOOKUP(N185,'G-7 Rivers Data'!$B$4:$G$8,5,FALSE))</f>
        <v/>
      </c>
      <c r="AF185" s="520" t="str">
        <f t="shared" si="18"/>
        <v/>
      </c>
      <c r="AG185" s="520" t="str">
        <f t="shared" si="22"/>
        <v/>
      </c>
      <c r="AH185" s="524" t="str">
        <f t="shared" si="19"/>
        <v/>
      </c>
      <c r="AI185" s="145"/>
      <c r="AJ185" s="499" t="str">
        <f>IF(AI185="","",IF(VLOOKUP(AI185,'G-7 Rivers Data'!$AA$4:$AB$7,2,FALSE)=0,"Spatial Data Missing ⚠",VLOOKUP(AI185,'G-7 Rivers Data'!$AA$4:$AB$7,2,FALSE)))</f>
        <v/>
      </c>
      <c r="AK185" s="155"/>
      <c r="AL185" s="536" t="str">
        <f>IF(AK185="","",IF(VLOOKUP(AK185,'G-7 Rivers Data'!$AD$4:$AE$8,2,FALSE)=0,"Spatial Data Missing ⚠",VLOOKUP(AK185,'G-7 Rivers Data'!$AD$4:$AE$8,2,FALSE)))</f>
        <v/>
      </c>
      <c r="AM185" s="154"/>
      <c r="AN185" s="524" t="str">
        <f>IF(AM185="","",VLOOKUP(AM185,'G-7 Rivers Data'!$AO$4:$AP$7,2,FALSE))</f>
        <v/>
      </c>
      <c r="AO185" s="545" t="str">
        <f t="shared" si="23"/>
        <v/>
      </c>
      <c r="AP185" s="149"/>
      <c r="AQ185" s="150"/>
      <c r="AX185" s="31" t="str">
        <f>IFERROR(INDEX('G-7 Rivers Data'!$AZ$3:$AZ$7,MATCH(N185,'G-7 Rivers Data'!$AY$3:$AY$7,0)),"")</f>
        <v/>
      </c>
    </row>
    <row r="186" spans="2:50" ht="13.8" x14ac:dyDescent="0.25">
      <c r="B186" s="531" t="str">
        <f>'F-1 Off Site River Baseline'!AN184</f>
        <v/>
      </c>
      <c r="C186" s="520" t="str">
        <f>IF(B186="","",VLOOKUP($B186,'F-1 Off Site River Baseline'!$C$9:$R$257,2,FALSE))</f>
        <v/>
      </c>
      <c r="D186" s="520" t="str">
        <f>IF(C186="","",VLOOKUP($B186,'F-1 Off Site River Baseline'!$C$9:$R$257,3,FALSE))</f>
        <v/>
      </c>
      <c r="E186" s="520" t="str">
        <f>IF(D186="","",VLOOKUP($B186,'F-1 Off Site River Baseline'!$C$9:$R$257,4,FALSE))</f>
        <v/>
      </c>
      <c r="F186" s="520" t="str">
        <f>IF(E186="","",VLOOKUP($B186,'F-1 Off Site River Baseline'!$C$9:$R$257,5,FALSE))</f>
        <v/>
      </c>
      <c r="G186" s="520" t="str">
        <f>IF(F186="","",VLOOKUP($B186,'F-1 Off Site River Baseline'!$C$9:$R$257,6,FALSE))</f>
        <v/>
      </c>
      <c r="H186" s="520" t="str">
        <f>IF(G186="","",VLOOKUP($B186,'F-1 Off Site River Baseline'!$C$9:$R$257,7,FALSE))</f>
        <v/>
      </c>
      <c r="I186" s="520" t="str">
        <f>IF(H186="","",VLOOKUP($B186,'F-1 Off Site River Baseline'!$C$9:$R$257,8,FALSE))</f>
        <v/>
      </c>
      <c r="J186" s="520" t="str">
        <f>IF(I186="","",VLOOKUP($B186,'F-1 Off Site River Baseline'!$C$9:$R$257,9,FALSE))</f>
        <v/>
      </c>
      <c r="K186" s="520" t="str">
        <f>IF(J186="","",VLOOKUP($B186,'F-1 Off Site River Baseline'!$C$9:$R$257,10,FALSE))</f>
        <v/>
      </c>
      <c r="L186" s="520" t="str">
        <f>IF(B186="","",VLOOKUP($B186,'C-1 Site River Baseline'!$C$9:$R$257,15,FALSE))</f>
        <v/>
      </c>
      <c r="M186" s="524" t="str">
        <f>IF(L186="","",VLOOKUP($B186,'F-1 Off Site River Baseline'!$C$9:$R$257,16,FALSE))</f>
        <v/>
      </c>
      <c r="N186" s="418" t="str">
        <f t="shared" si="20"/>
        <v/>
      </c>
      <c r="O186" s="498" t="str">
        <f t="shared" si="21"/>
        <v/>
      </c>
      <c r="P186" s="499"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5" t="str">
        <f>IF(N186="","",VLOOKUP(B186,'F-1 Off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20" t="str">
        <f>IF(V186="","",IF(VLOOKUP(V186,'G-7 Rivers Data'!$AG$4:$AI$9,2,FALSE)=0,"Spatial Data Missing ⚠",VLOOKUP(V186,'G-7 Rivers Data'!$AG$4:$AI$9,2,FALSE)))</f>
        <v/>
      </c>
      <c r="X186" s="524" t="str">
        <f>IF(V186="","",IF(VLOOKUP(V186,'G-7 Rivers Data'!$AG$4:$AI$9,3,FALSE)=0,"Spatial Data Missing ⚠",VLOOKUP(V186,'G-7 Rivers Data'!$AG$4:$AI$9,3,FALSE)))</f>
        <v/>
      </c>
      <c r="Y186" s="537" t="str">
        <f>IFERROR(IF(OR(LEFT(P186,5)="Error ▲",LEFT(O186,5)="Error ▲"),"Check Data ⚠",IF(F186&lt;S186,'G-7 Rivers Data'!$R$3,INDEX('G-7 Rivers Data'!$U$5:$Y$9,MATCH(G186,'G-7 Rivers Data'!$T$5:$T$9,0),MATCH(T186,'G-7 Rivers Data'!$U$4:$Y$4,0)))),"")</f>
        <v/>
      </c>
      <c r="Z186" s="203"/>
      <c r="AA186" s="203"/>
      <c r="AB186" s="534" t="str">
        <f t="shared" si="16"/>
        <v/>
      </c>
      <c r="AC186" s="521" t="str">
        <f t="shared" si="17"/>
        <v/>
      </c>
      <c r="AD186" s="564" t="str">
        <f>IFERROR(IF(AC186="Check Data ⚠","Check Data ⚠",VLOOKUP(AC186,'G-4 Temporal multipliers'!$A$4:$C$37,3,FALSE)),"")</f>
        <v/>
      </c>
      <c r="AE186" s="537" t="str">
        <f>IF(N186="","",VLOOKUP(N186,'G-7 Rivers Data'!$B$4:$G$8,5,FALSE))</f>
        <v/>
      </c>
      <c r="AF186" s="520" t="str">
        <f t="shared" si="18"/>
        <v/>
      </c>
      <c r="AG186" s="520" t="str">
        <f t="shared" si="22"/>
        <v/>
      </c>
      <c r="AH186" s="524" t="str">
        <f t="shared" si="19"/>
        <v/>
      </c>
      <c r="AI186" s="145"/>
      <c r="AJ186" s="499" t="str">
        <f>IF(AI186="","",IF(VLOOKUP(AI186,'G-7 Rivers Data'!$AA$4:$AB$7,2,FALSE)=0,"Spatial Data Missing ⚠",VLOOKUP(AI186,'G-7 Rivers Data'!$AA$4:$AB$7,2,FALSE)))</f>
        <v/>
      </c>
      <c r="AK186" s="155"/>
      <c r="AL186" s="536" t="str">
        <f>IF(AK186="","",IF(VLOOKUP(AK186,'G-7 Rivers Data'!$AD$4:$AE$8,2,FALSE)=0,"Spatial Data Missing ⚠",VLOOKUP(AK186,'G-7 Rivers Data'!$AD$4:$AE$8,2,FALSE)))</f>
        <v/>
      </c>
      <c r="AM186" s="154"/>
      <c r="AN186" s="524" t="str">
        <f>IF(AM186="","",VLOOKUP(AM186,'G-7 Rivers Data'!$AO$4:$AP$7,2,FALSE))</f>
        <v/>
      </c>
      <c r="AO186" s="545" t="str">
        <f t="shared" si="23"/>
        <v/>
      </c>
      <c r="AP186" s="149"/>
      <c r="AQ186" s="150"/>
      <c r="AX186" s="31" t="str">
        <f>IFERROR(INDEX('G-7 Rivers Data'!$AZ$3:$AZ$7,MATCH(N186,'G-7 Rivers Data'!$AY$3:$AY$7,0)),"")</f>
        <v/>
      </c>
    </row>
    <row r="187" spans="2:50" ht="13.8" x14ac:dyDescent="0.25">
      <c r="B187" s="531" t="str">
        <f>'F-1 Off Site River Baseline'!AN185</f>
        <v/>
      </c>
      <c r="C187" s="520" t="str">
        <f>IF(B187="","",VLOOKUP($B187,'F-1 Off Site River Baseline'!$C$9:$R$257,2,FALSE))</f>
        <v/>
      </c>
      <c r="D187" s="520" t="str">
        <f>IF(C187="","",VLOOKUP($B187,'F-1 Off Site River Baseline'!$C$9:$R$257,3,FALSE))</f>
        <v/>
      </c>
      <c r="E187" s="520" t="str">
        <f>IF(D187="","",VLOOKUP($B187,'F-1 Off Site River Baseline'!$C$9:$R$257,4,FALSE))</f>
        <v/>
      </c>
      <c r="F187" s="520" t="str">
        <f>IF(E187="","",VLOOKUP($B187,'F-1 Off Site River Baseline'!$C$9:$R$257,5,FALSE))</f>
        <v/>
      </c>
      <c r="G187" s="520" t="str">
        <f>IF(F187="","",VLOOKUP($B187,'F-1 Off Site River Baseline'!$C$9:$R$257,6,FALSE))</f>
        <v/>
      </c>
      <c r="H187" s="520" t="str">
        <f>IF(G187="","",VLOOKUP($B187,'F-1 Off Site River Baseline'!$C$9:$R$257,7,FALSE))</f>
        <v/>
      </c>
      <c r="I187" s="520" t="str">
        <f>IF(H187="","",VLOOKUP($B187,'F-1 Off Site River Baseline'!$C$9:$R$257,8,FALSE))</f>
        <v/>
      </c>
      <c r="J187" s="520" t="str">
        <f>IF(I187="","",VLOOKUP($B187,'F-1 Off Site River Baseline'!$C$9:$R$257,9,FALSE))</f>
        <v/>
      </c>
      <c r="K187" s="520" t="str">
        <f>IF(J187="","",VLOOKUP($B187,'F-1 Off Site River Baseline'!$C$9:$R$257,10,FALSE))</f>
        <v/>
      </c>
      <c r="L187" s="520" t="str">
        <f>IF(B187="","",VLOOKUP($B187,'C-1 Site River Baseline'!$C$9:$R$257,15,FALSE))</f>
        <v/>
      </c>
      <c r="M187" s="524" t="str">
        <f>IF(L187="","",VLOOKUP($B187,'F-1 Off Site River Baseline'!$C$9:$R$257,16,FALSE))</f>
        <v/>
      </c>
      <c r="N187" s="418" t="str">
        <f t="shared" si="20"/>
        <v/>
      </c>
      <c r="O187" s="498" t="str">
        <f t="shared" si="21"/>
        <v/>
      </c>
      <c r="P187" s="499"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5" t="str">
        <f>IF(N187="","",VLOOKUP(B187,'F-1 Off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20" t="str">
        <f>IF(V187="","",IF(VLOOKUP(V187,'G-7 Rivers Data'!$AG$4:$AI$9,2,FALSE)=0,"Spatial Data Missing ⚠",VLOOKUP(V187,'G-7 Rivers Data'!$AG$4:$AI$9,2,FALSE)))</f>
        <v/>
      </c>
      <c r="X187" s="524" t="str">
        <f>IF(V187="","",IF(VLOOKUP(V187,'G-7 Rivers Data'!$AG$4:$AI$9,3,FALSE)=0,"Spatial Data Missing ⚠",VLOOKUP(V187,'G-7 Rivers Data'!$AG$4:$AI$9,3,FALSE)))</f>
        <v/>
      </c>
      <c r="Y187" s="537" t="str">
        <f>IFERROR(IF(OR(LEFT(P187,5)="Error ▲",LEFT(O187,5)="Error ▲"),"Check Data ⚠",IF(F187&lt;S187,'G-7 Rivers Data'!$R$3,INDEX('G-7 Rivers Data'!$U$5:$Y$9,MATCH(G187,'G-7 Rivers Data'!$T$5:$T$9,0),MATCH(T187,'G-7 Rivers Data'!$U$4:$Y$4,0)))),"")</f>
        <v/>
      </c>
      <c r="Z187" s="203"/>
      <c r="AA187" s="203"/>
      <c r="AB187" s="534" t="str">
        <f t="shared" si="16"/>
        <v/>
      </c>
      <c r="AC187" s="521" t="str">
        <f t="shared" si="17"/>
        <v/>
      </c>
      <c r="AD187" s="564" t="str">
        <f>IFERROR(IF(AC187="Check Data ⚠","Check Data ⚠",VLOOKUP(AC187,'G-4 Temporal multipliers'!$A$4:$C$37,3,FALSE)),"")</f>
        <v/>
      </c>
      <c r="AE187" s="537" t="str">
        <f>IF(N187="","",VLOOKUP(N187,'G-7 Rivers Data'!$B$4:$G$8,5,FALSE))</f>
        <v/>
      </c>
      <c r="AF187" s="520" t="str">
        <f t="shared" si="18"/>
        <v/>
      </c>
      <c r="AG187" s="520" t="str">
        <f t="shared" si="22"/>
        <v/>
      </c>
      <c r="AH187" s="524" t="str">
        <f t="shared" si="19"/>
        <v/>
      </c>
      <c r="AI187" s="145"/>
      <c r="AJ187" s="499" t="str">
        <f>IF(AI187="","",IF(VLOOKUP(AI187,'G-7 Rivers Data'!$AA$4:$AB$7,2,FALSE)=0,"Spatial Data Missing ⚠",VLOOKUP(AI187,'G-7 Rivers Data'!$AA$4:$AB$7,2,FALSE)))</f>
        <v/>
      </c>
      <c r="AK187" s="155"/>
      <c r="AL187" s="536" t="str">
        <f>IF(AK187="","",IF(VLOOKUP(AK187,'G-7 Rivers Data'!$AD$4:$AE$8,2,FALSE)=0,"Spatial Data Missing ⚠",VLOOKUP(AK187,'G-7 Rivers Data'!$AD$4:$AE$8,2,FALSE)))</f>
        <v/>
      </c>
      <c r="AM187" s="154"/>
      <c r="AN187" s="524" t="str">
        <f>IF(AM187="","",VLOOKUP(AM187,'G-7 Rivers Data'!$AO$4:$AP$7,2,FALSE))</f>
        <v/>
      </c>
      <c r="AO187" s="545" t="str">
        <f t="shared" si="23"/>
        <v/>
      </c>
      <c r="AP187" s="149"/>
      <c r="AQ187" s="150"/>
      <c r="AX187" s="31" t="str">
        <f>IFERROR(INDEX('G-7 Rivers Data'!$AZ$3:$AZ$7,MATCH(N187,'G-7 Rivers Data'!$AY$3:$AY$7,0)),"")</f>
        <v/>
      </c>
    </row>
    <row r="188" spans="2:50" ht="13.8" x14ac:dyDescent="0.25">
      <c r="B188" s="531" t="str">
        <f>'F-1 Off Site River Baseline'!AN186</f>
        <v/>
      </c>
      <c r="C188" s="520" t="str">
        <f>IF(B188="","",VLOOKUP($B188,'F-1 Off Site River Baseline'!$C$9:$R$257,2,FALSE))</f>
        <v/>
      </c>
      <c r="D188" s="520" t="str">
        <f>IF(C188="","",VLOOKUP($B188,'F-1 Off Site River Baseline'!$C$9:$R$257,3,FALSE))</f>
        <v/>
      </c>
      <c r="E188" s="520" t="str">
        <f>IF(D188="","",VLOOKUP($B188,'F-1 Off Site River Baseline'!$C$9:$R$257,4,FALSE))</f>
        <v/>
      </c>
      <c r="F188" s="520" t="str">
        <f>IF(E188="","",VLOOKUP($B188,'F-1 Off Site River Baseline'!$C$9:$R$257,5,FALSE))</f>
        <v/>
      </c>
      <c r="G188" s="520" t="str">
        <f>IF(F188="","",VLOOKUP($B188,'F-1 Off Site River Baseline'!$C$9:$R$257,6,FALSE))</f>
        <v/>
      </c>
      <c r="H188" s="520" t="str">
        <f>IF(G188="","",VLOOKUP($B188,'F-1 Off Site River Baseline'!$C$9:$R$257,7,FALSE))</f>
        <v/>
      </c>
      <c r="I188" s="520" t="str">
        <f>IF(H188="","",VLOOKUP($B188,'F-1 Off Site River Baseline'!$C$9:$R$257,8,FALSE))</f>
        <v/>
      </c>
      <c r="J188" s="520" t="str">
        <f>IF(I188="","",VLOOKUP($B188,'F-1 Off Site River Baseline'!$C$9:$R$257,9,FALSE))</f>
        <v/>
      </c>
      <c r="K188" s="520" t="str">
        <f>IF(J188="","",VLOOKUP($B188,'F-1 Off Site River Baseline'!$C$9:$R$257,10,FALSE))</f>
        <v/>
      </c>
      <c r="L188" s="520" t="str">
        <f>IF(B188="","",VLOOKUP($B188,'C-1 Site River Baseline'!$C$9:$R$257,15,FALSE))</f>
        <v/>
      </c>
      <c r="M188" s="524" t="str">
        <f>IF(L188="","",VLOOKUP($B188,'F-1 Off Site River Baseline'!$C$9:$R$257,16,FALSE))</f>
        <v/>
      </c>
      <c r="N188" s="418" t="str">
        <f t="shared" si="20"/>
        <v/>
      </c>
      <c r="O188" s="498" t="str">
        <f t="shared" si="21"/>
        <v/>
      </c>
      <c r="P188" s="499"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5" t="str">
        <f>IF(N188="","",VLOOKUP(B188,'F-1 Off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20" t="str">
        <f>IF(V188="","",IF(VLOOKUP(V188,'G-7 Rivers Data'!$AG$4:$AI$9,2,FALSE)=0,"Spatial Data Missing ⚠",VLOOKUP(V188,'G-7 Rivers Data'!$AG$4:$AI$9,2,FALSE)))</f>
        <v/>
      </c>
      <c r="X188" s="524" t="str">
        <f>IF(V188="","",IF(VLOOKUP(V188,'G-7 Rivers Data'!$AG$4:$AI$9,3,FALSE)=0,"Spatial Data Missing ⚠",VLOOKUP(V188,'G-7 Rivers Data'!$AG$4:$AI$9,3,FALSE)))</f>
        <v/>
      </c>
      <c r="Y188" s="537" t="str">
        <f>IFERROR(IF(OR(LEFT(P188,5)="Error ▲",LEFT(O188,5)="Error ▲"),"Check Data ⚠",IF(F188&lt;S188,'G-7 Rivers Data'!$R$3,INDEX('G-7 Rivers Data'!$U$5:$Y$9,MATCH(G188,'G-7 Rivers Data'!$T$5:$T$9,0),MATCH(T188,'G-7 Rivers Data'!$U$4:$Y$4,0)))),"")</f>
        <v/>
      </c>
      <c r="Z188" s="203"/>
      <c r="AA188" s="203"/>
      <c r="AB188" s="534" t="str">
        <f t="shared" si="16"/>
        <v/>
      </c>
      <c r="AC188" s="521" t="str">
        <f t="shared" si="17"/>
        <v/>
      </c>
      <c r="AD188" s="564" t="str">
        <f>IFERROR(IF(AC188="Check Data ⚠","Check Data ⚠",VLOOKUP(AC188,'G-4 Temporal multipliers'!$A$4:$C$37,3,FALSE)),"")</f>
        <v/>
      </c>
      <c r="AE188" s="537" t="str">
        <f>IF(N188="","",VLOOKUP(N188,'G-7 Rivers Data'!$B$4:$G$8,5,FALSE))</f>
        <v/>
      </c>
      <c r="AF188" s="520" t="str">
        <f t="shared" si="18"/>
        <v/>
      </c>
      <c r="AG188" s="520" t="str">
        <f t="shared" si="22"/>
        <v/>
      </c>
      <c r="AH188" s="524" t="str">
        <f t="shared" si="19"/>
        <v/>
      </c>
      <c r="AI188" s="145"/>
      <c r="AJ188" s="499" t="str">
        <f>IF(AI188="","",IF(VLOOKUP(AI188,'G-7 Rivers Data'!$AA$4:$AB$7,2,FALSE)=0,"Spatial Data Missing ⚠",VLOOKUP(AI188,'G-7 Rivers Data'!$AA$4:$AB$7,2,FALSE)))</f>
        <v/>
      </c>
      <c r="AK188" s="155"/>
      <c r="AL188" s="536" t="str">
        <f>IF(AK188="","",IF(VLOOKUP(AK188,'G-7 Rivers Data'!$AD$4:$AE$8,2,FALSE)=0,"Spatial Data Missing ⚠",VLOOKUP(AK188,'G-7 Rivers Data'!$AD$4:$AE$8,2,FALSE)))</f>
        <v/>
      </c>
      <c r="AM188" s="154"/>
      <c r="AN188" s="524" t="str">
        <f>IF(AM188="","",VLOOKUP(AM188,'G-7 Rivers Data'!$AO$4:$AP$7,2,FALSE))</f>
        <v/>
      </c>
      <c r="AO188" s="545" t="str">
        <f t="shared" si="23"/>
        <v/>
      </c>
      <c r="AP188" s="149"/>
      <c r="AQ188" s="150"/>
      <c r="AX188" s="31" t="str">
        <f>IFERROR(INDEX('G-7 Rivers Data'!$AZ$3:$AZ$7,MATCH(N188,'G-7 Rivers Data'!$AY$3:$AY$7,0)),"")</f>
        <v/>
      </c>
    </row>
    <row r="189" spans="2:50" ht="13.8" x14ac:dyDescent="0.25">
      <c r="B189" s="531" t="str">
        <f>'F-1 Off Site River Baseline'!AN187</f>
        <v/>
      </c>
      <c r="C189" s="520" t="str">
        <f>IF(B189="","",VLOOKUP($B189,'F-1 Off Site River Baseline'!$C$9:$R$257,2,FALSE))</f>
        <v/>
      </c>
      <c r="D189" s="520" t="str">
        <f>IF(C189="","",VLOOKUP($B189,'F-1 Off Site River Baseline'!$C$9:$R$257,3,FALSE))</f>
        <v/>
      </c>
      <c r="E189" s="520" t="str">
        <f>IF(D189="","",VLOOKUP($B189,'F-1 Off Site River Baseline'!$C$9:$R$257,4,FALSE))</f>
        <v/>
      </c>
      <c r="F189" s="520" t="str">
        <f>IF(E189="","",VLOOKUP($B189,'F-1 Off Site River Baseline'!$C$9:$R$257,5,FALSE))</f>
        <v/>
      </c>
      <c r="G189" s="520" t="str">
        <f>IF(F189="","",VLOOKUP($B189,'F-1 Off Site River Baseline'!$C$9:$R$257,6,FALSE))</f>
        <v/>
      </c>
      <c r="H189" s="520" t="str">
        <f>IF(G189="","",VLOOKUP($B189,'F-1 Off Site River Baseline'!$C$9:$R$257,7,FALSE))</f>
        <v/>
      </c>
      <c r="I189" s="520" t="str">
        <f>IF(H189="","",VLOOKUP($B189,'F-1 Off Site River Baseline'!$C$9:$R$257,8,FALSE))</f>
        <v/>
      </c>
      <c r="J189" s="520" t="str">
        <f>IF(I189="","",VLOOKUP($B189,'F-1 Off Site River Baseline'!$C$9:$R$257,9,FALSE))</f>
        <v/>
      </c>
      <c r="K189" s="520" t="str">
        <f>IF(J189="","",VLOOKUP($B189,'F-1 Off Site River Baseline'!$C$9:$R$257,10,FALSE))</f>
        <v/>
      </c>
      <c r="L189" s="520" t="str">
        <f>IF(B189="","",VLOOKUP($B189,'C-1 Site River Baseline'!$C$9:$R$257,15,FALSE))</f>
        <v/>
      </c>
      <c r="M189" s="524" t="str">
        <f>IF(L189="","",VLOOKUP($B189,'F-1 Off Site River Baseline'!$C$9:$R$257,16,FALSE))</f>
        <v/>
      </c>
      <c r="N189" s="418" t="str">
        <f t="shared" si="20"/>
        <v/>
      </c>
      <c r="O189" s="498" t="str">
        <f t="shared" si="21"/>
        <v/>
      </c>
      <c r="P189" s="499"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5" t="str">
        <f>IF(N189="","",VLOOKUP(B189,'F-1 Off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20" t="str">
        <f>IF(V189="","",IF(VLOOKUP(V189,'G-7 Rivers Data'!$AG$4:$AI$9,2,FALSE)=0,"Spatial Data Missing ⚠",VLOOKUP(V189,'G-7 Rivers Data'!$AG$4:$AI$9,2,FALSE)))</f>
        <v/>
      </c>
      <c r="X189" s="524" t="str">
        <f>IF(V189="","",IF(VLOOKUP(V189,'G-7 Rivers Data'!$AG$4:$AI$9,3,FALSE)=0,"Spatial Data Missing ⚠",VLOOKUP(V189,'G-7 Rivers Data'!$AG$4:$AI$9,3,FALSE)))</f>
        <v/>
      </c>
      <c r="Y189" s="537" t="str">
        <f>IFERROR(IF(OR(LEFT(P189,5)="Error ▲",LEFT(O189,5)="Error ▲"),"Check Data ⚠",IF(F189&lt;S189,'G-7 Rivers Data'!$R$3,INDEX('G-7 Rivers Data'!$U$5:$Y$9,MATCH(G189,'G-7 Rivers Data'!$T$5:$T$9,0),MATCH(T189,'G-7 Rivers Data'!$U$4:$Y$4,0)))),"")</f>
        <v/>
      </c>
      <c r="Z189" s="203"/>
      <c r="AA189" s="203"/>
      <c r="AB189" s="534" t="str">
        <f t="shared" si="16"/>
        <v/>
      </c>
      <c r="AC189" s="521" t="str">
        <f t="shared" si="17"/>
        <v/>
      </c>
      <c r="AD189" s="564" t="str">
        <f>IFERROR(IF(AC189="Check Data ⚠","Check Data ⚠",VLOOKUP(AC189,'G-4 Temporal multipliers'!$A$4:$C$37,3,FALSE)),"")</f>
        <v/>
      </c>
      <c r="AE189" s="537" t="str">
        <f>IF(N189="","",VLOOKUP(N189,'G-7 Rivers Data'!$B$4:$G$8,5,FALSE))</f>
        <v/>
      </c>
      <c r="AF189" s="520" t="str">
        <f t="shared" si="18"/>
        <v/>
      </c>
      <c r="AG189" s="520" t="str">
        <f t="shared" si="22"/>
        <v/>
      </c>
      <c r="AH189" s="524" t="str">
        <f t="shared" si="19"/>
        <v/>
      </c>
      <c r="AI189" s="145"/>
      <c r="AJ189" s="499" t="str">
        <f>IF(AI189="","",IF(VLOOKUP(AI189,'G-7 Rivers Data'!$AA$4:$AB$7,2,FALSE)=0,"Spatial Data Missing ⚠",VLOOKUP(AI189,'G-7 Rivers Data'!$AA$4:$AB$7,2,FALSE)))</f>
        <v/>
      </c>
      <c r="AK189" s="155"/>
      <c r="AL189" s="536" t="str">
        <f>IF(AK189="","",IF(VLOOKUP(AK189,'G-7 Rivers Data'!$AD$4:$AE$8,2,FALSE)=0,"Spatial Data Missing ⚠",VLOOKUP(AK189,'G-7 Rivers Data'!$AD$4:$AE$8,2,FALSE)))</f>
        <v/>
      </c>
      <c r="AM189" s="154"/>
      <c r="AN189" s="524" t="str">
        <f>IF(AM189="","",VLOOKUP(AM189,'G-7 Rivers Data'!$AO$4:$AP$7,2,FALSE))</f>
        <v/>
      </c>
      <c r="AO189" s="545" t="str">
        <f t="shared" si="23"/>
        <v/>
      </c>
      <c r="AP189" s="149"/>
      <c r="AQ189" s="150"/>
      <c r="AX189" s="31" t="str">
        <f>IFERROR(INDEX('G-7 Rivers Data'!$AZ$3:$AZ$7,MATCH(N189,'G-7 Rivers Data'!$AY$3:$AY$7,0)),"")</f>
        <v/>
      </c>
    </row>
    <row r="190" spans="2:50" ht="13.8" x14ac:dyDescent="0.25">
      <c r="B190" s="531" t="str">
        <f>'F-1 Off Site River Baseline'!AN188</f>
        <v/>
      </c>
      <c r="C190" s="520" t="str">
        <f>IF(B190="","",VLOOKUP($B190,'F-1 Off Site River Baseline'!$C$9:$R$257,2,FALSE))</f>
        <v/>
      </c>
      <c r="D190" s="520" t="str">
        <f>IF(C190="","",VLOOKUP($B190,'F-1 Off Site River Baseline'!$C$9:$R$257,3,FALSE))</f>
        <v/>
      </c>
      <c r="E190" s="520" t="str">
        <f>IF(D190="","",VLOOKUP($B190,'F-1 Off Site River Baseline'!$C$9:$R$257,4,FALSE))</f>
        <v/>
      </c>
      <c r="F190" s="520" t="str">
        <f>IF(E190="","",VLOOKUP($B190,'F-1 Off Site River Baseline'!$C$9:$R$257,5,FALSE))</f>
        <v/>
      </c>
      <c r="G190" s="520" t="str">
        <f>IF(F190="","",VLOOKUP($B190,'F-1 Off Site River Baseline'!$C$9:$R$257,6,FALSE))</f>
        <v/>
      </c>
      <c r="H190" s="520" t="str">
        <f>IF(G190="","",VLOOKUP($B190,'F-1 Off Site River Baseline'!$C$9:$R$257,7,FALSE))</f>
        <v/>
      </c>
      <c r="I190" s="520" t="str">
        <f>IF(H190="","",VLOOKUP($B190,'F-1 Off Site River Baseline'!$C$9:$R$257,8,FALSE))</f>
        <v/>
      </c>
      <c r="J190" s="520" t="str">
        <f>IF(I190="","",VLOOKUP($B190,'F-1 Off Site River Baseline'!$C$9:$R$257,9,FALSE))</f>
        <v/>
      </c>
      <c r="K190" s="520" t="str">
        <f>IF(J190="","",VLOOKUP($B190,'F-1 Off Site River Baseline'!$C$9:$R$257,10,FALSE))</f>
        <v/>
      </c>
      <c r="L190" s="520" t="str">
        <f>IF(B190="","",VLOOKUP($B190,'C-1 Site River Baseline'!$C$9:$R$257,15,FALSE))</f>
        <v/>
      </c>
      <c r="M190" s="524" t="str">
        <f>IF(L190="","",VLOOKUP($B190,'F-1 Off Site River Baseline'!$C$9:$R$257,16,FALSE))</f>
        <v/>
      </c>
      <c r="N190" s="418" t="str">
        <f t="shared" si="20"/>
        <v/>
      </c>
      <c r="O190" s="498" t="str">
        <f t="shared" si="21"/>
        <v/>
      </c>
      <c r="P190" s="499"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5" t="str">
        <f>IF(N190="","",VLOOKUP(B190,'F-1 Off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20" t="str">
        <f>IF(V190="","",IF(VLOOKUP(V190,'G-7 Rivers Data'!$AG$4:$AI$9,2,FALSE)=0,"Spatial Data Missing ⚠",VLOOKUP(V190,'G-7 Rivers Data'!$AG$4:$AI$9,2,FALSE)))</f>
        <v/>
      </c>
      <c r="X190" s="524" t="str">
        <f>IF(V190="","",IF(VLOOKUP(V190,'G-7 Rivers Data'!$AG$4:$AI$9,3,FALSE)=0,"Spatial Data Missing ⚠",VLOOKUP(V190,'G-7 Rivers Data'!$AG$4:$AI$9,3,FALSE)))</f>
        <v/>
      </c>
      <c r="Y190" s="537" t="str">
        <f>IFERROR(IF(OR(LEFT(P190,5)="Error ▲",LEFT(O190,5)="Error ▲"),"Check Data ⚠",IF(F190&lt;S190,'G-7 Rivers Data'!$R$3,INDEX('G-7 Rivers Data'!$U$5:$Y$9,MATCH(G190,'G-7 Rivers Data'!$T$5:$T$9,0),MATCH(T190,'G-7 Rivers Data'!$U$4:$Y$4,0)))),"")</f>
        <v/>
      </c>
      <c r="Z190" s="203"/>
      <c r="AA190" s="203"/>
      <c r="AB190" s="534" t="str">
        <f t="shared" si="16"/>
        <v/>
      </c>
      <c r="AC190" s="521" t="str">
        <f t="shared" si="17"/>
        <v/>
      </c>
      <c r="AD190" s="564" t="str">
        <f>IFERROR(IF(AC190="Check Data ⚠","Check Data ⚠",VLOOKUP(AC190,'G-4 Temporal multipliers'!$A$4:$C$37,3,FALSE)),"")</f>
        <v/>
      </c>
      <c r="AE190" s="537" t="str">
        <f>IF(N190="","",VLOOKUP(N190,'G-7 Rivers Data'!$B$4:$G$8,5,FALSE))</f>
        <v/>
      </c>
      <c r="AF190" s="520" t="str">
        <f t="shared" si="18"/>
        <v/>
      </c>
      <c r="AG190" s="520" t="str">
        <f t="shared" si="22"/>
        <v/>
      </c>
      <c r="AH190" s="524" t="str">
        <f t="shared" si="19"/>
        <v/>
      </c>
      <c r="AI190" s="145"/>
      <c r="AJ190" s="499" t="str">
        <f>IF(AI190="","",IF(VLOOKUP(AI190,'G-7 Rivers Data'!$AA$4:$AB$7,2,FALSE)=0,"Spatial Data Missing ⚠",VLOOKUP(AI190,'G-7 Rivers Data'!$AA$4:$AB$7,2,FALSE)))</f>
        <v/>
      </c>
      <c r="AK190" s="155"/>
      <c r="AL190" s="536" t="str">
        <f>IF(AK190="","",IF(VLOOKUP(AK190,'G-7 Rivers Data'!$AD$4:$AE$8,2,FALSE)=0,"Spatial Data Missing ⚠",VLOOKUP(AK190,'G-7 Rivers Data'!$AD$4:$AE$8,2,FALSE)))</f>
        <v/>
      </c>
      <c r="AM190" s="154"/>
      <c r="AN190" s="524" t="str">
        <f>IF(AM190="","",VLOOKUP(AM190,'G-7 Rivers Data'!$AO$4:$AP$7,2,FALSE))</f>
        <v/>
      </c>
      <c r="AO190" s="545" t="str">
        <f t="shared" si="23"/>
        <v/>
      </c>
      <c r="AP190" s="149"/>
      <c r="AQ190" s="150"/>
      <c r="AX190" s="31" t="str">
        <f>IFERROR(INDEX('G-7 Rivers Data'!$AZ$3:$AZ$7,MATCH(N190,'G-7 Rivers Data'!$AY$3:$AY$7,0)),"")</f>
        <v/>
      </c>
    </row>
    <row r="191" spans="2:50" ht="13.8" x14ac:dyDescent="0.25">
      <c r="B191" s="531" t="str">
        <f>'F-1 Off Site River Baseline'!AN189</f>
        <v/>
      </c>
      <c r="C191" s="520" t="str">
        <f>IF(B191="","",VLOOKUP($B191,'F-1 Off Site River Baseline'!$C$9:$R$257,2,FALSE))</f>
        <v/>
      </c>
      <c r="D191" s="520" t="str">
        <f>IF(C191="","",VLOOKUP($B191,'F-1 Off Site River Baseline'!$C$9:$R$257,3,FALSE))</f>
        <v/>
      </c>
      <c r="E191" s="520" t="str">
        <f>IF(D191="","",VLOOKUP($B191,'F-1 Off Site River Baseline'!$C$9:$R$257,4,FALSE))</f>
        <v/>
      </c>
      <c r="F191" s="520" t="str">
        <f>IF(E191="","",VLOOKUP($B191,'F-1 Off Site River Baseline'!$C$9:$R$257,5,FALSE))</f>
        <v/>
      </c>
      <c r="G191" s="520" t="str">
        <f>IF(F191="","",VLOOKUP($B191,'F-1 Off Site River Baseline'!$C$9:$R$257,6,FALSE))</f>
        <v/>
      </c>
      <c r="H191" s="520" t="str">
        <f>IF(G191="","",VLOOKUP($B191,'F-1 Off Site River Baseline'!$C$9:$R$257,7,FALSE))</f>
        <v/>
      </c>
      <c r="I191" s="520" t="str">
        <f>IF(H191="","",VLOOKUP($B191,'F-1 Off Site River Baseline'!$C$9:$R$257,8,FALSE))</f>
        <v/>
      </c>
      <c r="J191" s="520" t="str">
        <f>IF(I191="","",VLOOKUP($B191,'F-1 Off Site River Baseline'!$C$9:$R$257,9,FALSE))</f>
        <v/>
      </c>
      <c r="K191" s="520" t="str">
        <f>IF(J191="","",VLOOKUP($B191,'F-1 Off Site River Baseline'!$C$9:$R$257,10,FALSE))</f>
        <v/>
      </c>
      <c r="L191" s="520" t="str">
        <f>IF(B191="","",VLOOKUP($B191,'C-1 Site River Baseline'!$C$9:$R$257,15,FALSE))</f>
        <v/>
      </c>
      <c r="M191" s="524" t="str">
        <f>IF(L191="","",VLOOKUP($B191,'F-1 Off Site River Baseline'!$C$9:$R$257,16,FALSE))</f>
        <v/>
      </c>
      <c r="N191" s="418" t="str">
        <f t="shared" si="20"/>
        <v/>
      </c>
      <c r="O191" s="498" t="str">
        <f t="shared" si="21"/>
        <v/>
      </c>
      <c r="P191" s="499"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5" t="str">
        <f>IF(N191="","",VLOOKUP(B191,'F-1 Off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20" t="str">
        <f>IF(V191="","",IF(VLOOKUP(V191,'G-7 Rivers Data'!$AG$4:$AI$9,2,FALSE)=0,"Spatial Data Missing ⚠",VLOOKUP(V191,'G-7 Rivers Data'!$AG$4:$AI$9,2,FALSE)))</f>
        <v/>
      </c>
      <c r="X191" s="524" t="str">
        <f>IF(V191="","",IF(VLOOKUP(V191,'G-7 Rivers Data'!$AG$4:$AI$9,3,FALSE)=0,"Spatial Data Missing ⚠",VLOOKUP(V191,'G-7 Rivers Data'!$AG$4:$AI$9,3,FALSE)))</f>
        <v/>
      </c>
      <c r="Y191" s="537" t="str">
        <f>IFERROR(IF(OR(LEFT(P191,5)="Error ▲",LEFT(O191,5)="Error ▲"),"Check Data ⚠",IF(F191&lt;S191,'G-7 Rivers Data'!$R$3,INDEX('G-7 Rivers Data'!$U$5:$Y$9,MATCH(G191,'G-7 Rivers Data'!$T$5:$T$9,0),MATCH(T191,'G-7 Rivers Data'!$U$4:$Y$4,0)))),"")</f>
        <v/>
      </c>
      <c r="Z191" s="203"/>
      <c r="AA191" s="203"/>
      <c r="AB191" s="534" t="str">
        <f t="shared" si="16"/>
        <v/>
      </c>
      <c r="AC191" s="521" t="str">
        <f t="shared" si="17"/>
        <v/>
      </c>
      <c r="AD191" s="564" t="str">
        <f>IFERROR(IF(AC191="Check Data ⚠","Check Data ⚠",VLOOKUP(AC191,'G-4 Temporal multipliers'!$A$4:$C$37,3,FALSE)),"")</f>
        <v/>
      </c>
      <c r="AE191" s="537" t="str">
        <f>IF(N191="","",VLOOKUP(N191,'G-7 Rivers Data'!$B$4:$G$8,5,FALSE))</f>
        <v/>
      </c>
      <c r="AF191" s="520" t="str">
        <f t="shared" si="18"/>
        <v/>
      </c>
      <c r="AG191" s="520" t="str">
        <f t="shared" si="22"/>
        <v/>
      </c>
      <c r="AH191" s="524" t="str">
        <f t="shared" si="19"/>
        <v/>
      </c>
      <c r="AI191" s="145"/>
      <c r="AJ191" s="499" t="str">
        <f>IF(AI191="","",IF(VLOOKUP(AI191,'G-7 Rivers Data'!$AA$4:$AB$7,2,FALSE)=0,"Spatial Data Missing ⚠",VLOOKUP(AI191,'G-7 Rivers Data'!$AA$4:$AB$7,2,FALSE)))</f>
        <v/>
      </c>
      <c r="AK191" s="155"/>
      <c r="AL191" s="536" t="str">
        <f>IF(AK191="","",IF(VLOOKUP(AK191,'G-7 Rivers Data'!$AD$4:$AE$8,2,FALSE)=0,"Spatial Data Missing ⚠",VLOOKUP(AK191,'G-7 Rivers Data'!$AD$4:$AE$8,2,FALSE)))</f>
        <v/>
      </c>
      <c r="AM191" s="154"/>
      <c r="AN191" s="524" t="str">
        <f>IF(AM191="","",VLOOKUP(AM191,'G-7 Rivers Data'!$AO$4:$AP$7,2,FALSE))</f>
        <v/>
      </c>
      <c r="AO191" s="545" t="str">
        <f t="shared" si="23"/>
        <v/>
      </c>
      <c r="AP191" s="149"/>
      <c r="AQ191" s="150"/>
      <c r="AX191" s="31" t="str">
        <f>IFERROR(INDEX('G-7 Rivers Data'!$AZ$3:$AZ$7,MATCH(N191,'G-7 Rivers Data'!$AY$3:$AY$7,0)),"")</f>
        <v/>
      </c>
    </row>
    <row r="192" spans="2:50" ht="13.8" x14ac:dyDescent="0.25">
      <c r="B192" s="531" t="str">
        <f>'F-1 Off Site River Baseline'!AN190</f>
        <v/>
      </c>
      <c r="C192" s="520" t="str">
        <f>IF(B192="","",VLOOKUP($B192,'F-1 Off Site River Baseline'!$C$9:$R$257,2,FALSE))</f>
        <v/>
      </c>
      <c r="D192" s="520" t="str">
        <f>IF(C192="","",VLOOKUP($B192,'F-1 Off Site River Baseline'!$C$9:$R$257,3,FALSE))</f>
        <v/>
      </c>
      <c r="E192" s="520" t="str">
        <f>IF(D192="","",VLOOKUP($B192,'F-1 Off Site River Baseline'!$C$9:$R$257,4,FALSE))</f>
        <v/>
      </c>
      <c r="F192" s="520" t="str">
        <f>IF(E192="","",VLOOKUP($B192,'F-1 Off Site River Baseline'!$C$9:$R$257,5,FALSE))</f>
        <v/>
      </c>
      <c r="G192" s="520" t="str">
        <f>IF(F192="","",VLOOKUP($B192,'F-1 Off Site River Baseline'!$C$9:$R$257,6,FALSE))</f>
        <v/>
      </c>
      <c r="H192" s="520" t="str">
        <f>IF(G192="","",VLOOKUP($B192,'F-1 Off Site River Baseline'!$C$9:$R$257,7,FALSE))</f>
        <v/>
      </c>
      <c r="I192" s="520" t="str">
        <f>IF(H192="","",VLOOKUP($B192,'F-1 Off Site River Baseline'!$C$9:$R$257,8,FALSE))</f>
        <v/>
      </c>
      <c r="J192" s="520" t="str">
        <f>IF(I192="","",VLOOKUP($B192,'F-1 Off Site River Baseline'!$C$9:$R$257,9,FALSE))</f>
        <v/>
      </c>
      <c r="K192" s="520" t="str">
        <f>IF(J192="","",VLOOKUP($B192,'F-1 Off Site River Baseline'!$C$9:$R$257,10,FALSE))</f>
        <v/>
      </c>
      <c r="L192" s="520" t="str">
        <f>IF(B192="","",VLOOKUP($B192,'C-1 Site River Baseline'!$C$9:$R$257,15,FALSE))</f>
        <v/>
      </c>
      <c r="M192" s="524" t="str">
        <f>IF(L192="","",VLOOKUP($B192,'F-1 Off Site River Baseline'!$C$9:$R$257,16,FALSE))</f>
        <v/>
      </c>
      <c r="N192" s="418" t="str">
        <f t="shared" si="20"/>
        <v/>
      </c>
      <c r="O192" s="498" t="str">
        <f t="shared" si="21"/>
        <v/>
      </c>
      <c r="P192" s="499"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5" t="str">
        <f>IF(N192="","",VLOOKUP(B192,'F-1 Off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20" t="str">
        <f>IF(V192="","",IF(VLOOKUP(V192,'G-7 Rivers Data'!$AG$4:$AI$9,2,FALSE)=0,"Spatial Data Missing ⚠",VLOOKUP(V192,'G-7 Rivers Data'!$AG$4:$AI$9,2,FALSE)))</f>
        <v/>
      </c>
      <c r="X192" s="524" t="str">
        <f>IF(V192="","",IF(VLOOKUP(V192,'G-7 Rivers Data'!$AG$4:$AI$9,3,FALSE)=0,"Spatial Data Missing ⚠",VLOOKUP(V192,'G-7 Rivers Data'!$AG$4:$AI$9,3,FALSE)))</f>
        <v/>
      </c>
      <c r="Y192" s="537" t="str">
        <f>IFERROR(IF(OR(LEFT(P192,5)="Error ▲",LEFT(O192,5)="Error ▲"),"Check Data ⚠",IF(F192&lt;S192,'G-7 Rivers Data'!$R$3,INDEX('G-7 Rivers Data'!$U$5:$Y$9,MATCH(G192,'G-7 Rivers Data'!$T$5:$T$9,0),MATCH(T192,'G-7 Rivers Data'!$U$4:$Y$4,0)))),"")</f>
        <v/>
      </c>
      <c r="Z192" s="203"/>
      <c r="AA192" s="203"/>
      <c r="AB192" s="534" t="str">
        <f t="shared" si="16"/>
        <v/>
      </c>
      <c r="AC192" s="521" t="str">
        <f t="shared" si="17"/>
        <v/>
      </c>
      <c r="AD192" s="564" t="str">
        <f>IFERROR(IF(AC192="Check Data ⚠","Check Data ⚠",VLOOKUP(AC192,'G-4 Temporal multipliers'!$A$4:$C$37,3,FALSE)),"")</f>
        <v/>
      </c>
      <c r="AE192" s="537" t="str">
        <f>IF(N192="","",VLOOKUP(N192,'G-7 Rivers Data'!$B$4:$G$8,5,FALSE))</f>
        <v/>
      </c>
      <c r="AF192" s="520" t="str">
        <f t="shared" si="18"/>
        <v/>
      </c>
      <c r="AG192" s="520" t="str">
        <f t="shared" si="22"/>
        <v/>
      </c>
      <c r="AH192" s="524" t="str">
        <f t="shared" si="19"/>
        <v/>
      </c>
      <c r="AI192" s="145"/>
      <c r="AJ192" s="499" t="str">
        <f>IF(AI192="","",IF(VLOOKUP(AI192,'G-7 Rivers Data'!$AA$4:$AB$7,2,FALSE)=0,"Spatial Data Missing ⚠",VLOOKUP(AI192,'G-7 Rivers Data'!$AA$4:$AB$7,2,FALSE)))</f>
        <v/>
      </c>
      <c r="AK192" s="155"/>
      <c r="AL192" s="536" t="str">
        <f>IF(AK192="","",IF(VLOOKUP(AK192,'G-7 Rivers Data'!$AD$4:$AE$8,2,FALSE)=0,"Spatial Data Missing ⚠",VLOOKUP(AK192,'G-7 Rivers Data'!$AD$4:$AE$8,2,FALSE)))</f>
        <v/>
      </c>
      <c r="AM192" s="154"/>
      <c r="AN192" s="524" t="str">
        <f>IF(AM192="","",VLOOKUP(AM192,'G-7 Rivers Data'!$AO$4:$AP$7,2,FALSE))</f>
        <v/>
      </c>
      <c r="AO192" s="545" t="str">
        <f t="shared" si="23"/>
        <v/>
      </c>
      <c r="AP192" s="149"/>
      <c r="AQ192" s="150"/>
      <c r="AX192" s="31" t="str">
        <f>IFERROR(INDEX('G-7 Rivers Data'!$AZ$3:$AZ$7,MATCH(N192,'G-7 Rivers Data'!$AY$3:$AY$7,0)),"")</f>
        <v/>
      </c>
    </row>
    <row r="193" spans="2:50" ht="13.8" x14ac:dyDescent="0.25">
      <c r="B193" s="531" t="str">
        <f>'F-1 Off Site River Baseline'!AN191</f>
        <v/>
      </c>
      <c r="C193" s="520" t="str">
        <f>IF(B193="","",VLOOKUP($B193,'F-1 Off Site River Baseline'!$C$9:$R$257,2,FALSE))</f>
        <v/>
      </c>
      <c r="D193" s="520" t="str">
        <f>IF(C193="","",VLOOKUP($B193,'F-1 Off Site River Baseline'!$C$9:$R$257,3,FALSE))</f>
        <v/>
      </c>
      <c r="E193" s="520" t="str">
        <f>IF(D193="","",VLOOKUP($B193,'F-1 Off Site River Baseline'!$C$9:$R$257,4,FALSE))</f>
        <v/>
      </c>
      <c r="F193" s="520" t="str">
        <f>IF(E193="","",VLOOKUP($B193,'F-1 Off Site River Baseline'!$C$9:$R$257,5,FALSE))</f>
        <v/>
      </c>
      <c r="G193" s="520" t="str">
        <f>IF(F193="","",VLOOKUP($B193,'F-1 Off Site River Baseline'!$C$9:$R$257,6,FALSE))</f>
        <v/>
      </c>
      <c r="H193" s="520" t="str">
        <f>IF(G193="","",VLOOKUP($B193,'F-1 Off Site River Baseline'!$C$9:$R$257,7,FALSE))</f>
        <v/>
      </c>
      <c r="I193" s="520" t="str">
        <f>IF(H193="","",VLOOKUP($B193,'F-1 Off Site River Baseline'!$C$9:$R$257,8,FALSE))</f>
        <v/>
      </c>
      <c r="J193" s="520" t="str">
        <f>IF(I193="","",VLOOKUP($B193,'F-1 Off Site River Baseline'!$C$9:$R$257,9,FALSE))</f>
        <v/>
      </c>
      <c r="K193" s="520" t="str">
        <f>IF(J193="","",VLOOKUP($B193,'F-1 Off Site River Baseline'!$C$9:$R$257,10,FALSE))</f>
        <v/>
      </c>
      <c r="L193" s="520" t="str">
        <f>IF(B193="","",VLOOKUP($B193,'C-1 Site River Baseline'!$C$9:$R$257,15,FALSE))</f>
        <v/>
      </c>
      <c r="M193" s="524" t="str">
        <f>IF(L193="","",VLOOKUP($B193,'F-1 Off Site River Baseline'!$C$9:$R$257,16,FALSE))</f>
        <v/>
      </c>
      <c r="N193" s="418" t="str">
        <f t="shared" si="20"/>
        <v/>
      </c>
      <c r="O193" s="498" t="str">
        <f t="shared" si="21"/>
        <v/>
      </c>
      <c r="P193" s="499"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5" t="str">
        <f>IF(N193="","",VLOOKUP(B193,'F-1 Off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20" t="str">
        <f>IF(V193="","",IF(VLOOKUP(V193,'G-7 Rivers Data'!$AG$4:$AI$9,2,FALSE)=0,"Spatial Data Missing ⚠",VLOOKUP(V193,'G-7 Rivers Data'!$AG$4:$AI$9,2,FALSE)))</f>
        <v/>
      </c>
      <c r="X193" s="524" t="str">
        <f>IF(V193="","",IF(VLOOKUP(V193,'G-7 Rivers Data'!$AG$4:$AI$9,3,FALSE)=0,"Spatial Data Missing ⚠",VLOOKUP(V193,'G-7 Rivers Data'!$AG$4:$AI$9,3,FALSE)))</f>
        <v/>
      </c>
      <c r="Y193" s="537" t="str">
        <f>IFERROR(IF(OR(LEFT(P193,5)="Error ▲",LEFT(O193,5)="Error ▲"),"Check Data ⚠",IF(F193&lt;S193,'G-7 Rivers Data'!$R$3,INDEX('G-7 Rivers Data'!$U$5:$Y$9,MATCH(G193,'G-7 Rivers Data'!$T$5:$T$9,0),MATCH(T193,'G-7 Rivers Data'!$U$4:$Y$4,0)))),"")</f>
        <v/>
      </c>
      <c r="Z193" s="203"/>
      <c r="AA193" s="203"/>
      <c r="AB193" s="534" t="str">
        <f t="shared" si="16"/>
        <v/>
      </c>
      <c r="AC193" s="521" t="str">
        <f t="shared" si="17"/>
        <v/>
      </c>
      <c r="AD193" s="564" t="str">
        <f>IFERROR(IF(AC193="Check Data ⚠","Check Data ⚠",VLOOKUP(AC193,'G-4 Temporal multipliers'!$A$4:$C$37,3,FALSE)),"")</f>
        <v/>
      </c>
      <c r="AE193" s="537" t="str">
        <f>IF(N193="","",VLOOKUP(N193,'G-7 Rivers Data'!$B$4:$G$8,5,FALSE))</f>
        <v/>
      </c>
      <c r="AF193" s="520" t="str">
        <f t="shared" si="18"/>
        <v/>
      </c>
      <c r="AG193" s="520" t="str">
        <f t="shared" si="22"/>
        <v/>
      </c>
      <c r="AH193" s="524" t="str">
        <f t="shared" si="19"/>
        <v/>
      </c>
      <c r="AI193" s="145"/>
      <c r="AJ193" s="499" t="str">
        <f>IF(AI193="","",IF(VLOOKUP(AI193,'G-7 Rivers Data'!$AA$4:$AB$7,2,FALSE)=0,"Spatial Data Missing ⚠",VLOOKUP(AI193,'G-7 Rivers Data'!$AA$4:$AB$7,2,FALSE)))</f>
        <v/>
      </c>
      <c r="AK193" s="155"/>
      <c r="AL193" s="536" t="str">
        <f>IF(AK193="","",IF(VLOOKUP(AK193,'G-7 Rivers Data'!$AD$4:$AE$8,2,FALSE)=0,"Spatial Data Missing ⚠",VLOOKUP(AK193,'G-7 Rivers Data'!$AD$4:$AE$8,2,FALSE)))</f>
        <v/>
      </c>
      <c r="AM193" s="154"/>
      <c r="AN193" s="524" t="str">
        <f>IF(AM193="","",VLOOKUP(AM193,'G-7 Rivers Data'!$AO$4:$AP$7,2,FALSE))</f>
        <v/>
      </c>
      <c r="AO193" s="545" t="str">
        <f t="shared" si="23"/>
        <v/>
      </c>
      <c r="AP193" s="149"/>
      <c r="AQ193" s="150"/>
      <c r="AX193" s="31" t="str">
        <f>IFERROR(INDEX('G-7 Rivers Data'!$AZ$3:$AZ$7,MATCH(N193,'G-7 Rivers Data'!$AY$3:$AY$7,0)),"")</f>
        <v/>
      </c>
    </row>
    <row r="194" spans="2:50" ht="13.8" x14ac:dyDescent="0.25">
      <c r="B194" s="531" t="str">
        <f>'F-1 Off Site River Baseline'!AN192</f>
        <v/>
      </c>
      <c r="C194" s="520" t="str">
        <f>IF(B194="","",VLOOKUP($B194,'F-1 Off Site River Baseline'!$C$9:$R$257,2,FALSE))</f>
        <v/>
      </c>
      <c r="D194" s="520" t="str">
        <f>IF(C194="","",VLOOKUP($B194,'F-1 Off Site River Baseline'!$C$9:$R$257,3,FALSE))</f>
        <v/>
      </c>
      <c r="E194" s="520" t="str">
        <f>IF(D194="","",VLOOKUP($B194,'F-1 Off Site River Baseline'!$C$9:$R$257,4,FALSE))</f>
        <v/>
      </c>
      <c r="F194" s="520" t="str">
        <f>IF(E194="","",VLOOKUP($B194,'F-1 Off Site River Baseline'!$C$9:$R$257,5,FALSE))</f>
        <v/>
      </c>
      <c r="G194" s="520" t="str">
        <f>IF(F194="","",VLOOKUP($B194,'F-1 Off Site River Baseline'!$C$9:$R$257,6,FALSE))</f>
        <v/>
      </c>
      <c r="H194" s="520" t="str">
        <f>IF(G194="","",VLOOKUP($B194,'F-1 Off Site River Baseline'!$C$9:$R$257,7,FALSE))</f>
        <v/>
      </c>
      <c r="I194" s="520" t="str">
        <f>IF(H194="","",VLOOKUP($B194,'F-1 Off Site River Baseline'!$C$9:$R$257,8,FALSE))</f>
        <v/>
      </c>
      <c r="J194" s="520" t="str">
        <f>IF(I194="","",VLOOKUP($B194,'F-1 Off Site River Baseline'!$C$9:$R$257,9,FALSE))</f>
        <v/>
      </c>
      <c r="K194" s="520" t="str">
        <f>IF(J194="","",VLOOKUP($B194,'F-1 Off Site River Baseline'!$C$9:$R$257,10,FALSE))</f>
        <v/>
      </c>
      <c r="L194" s="520" t="str">
        <f>IF(B194="","",VLOOKUP($B194,'C-1 Site River Baseline'!$C$9:$R$257,15,FALSE))</f>
        <v/>
      </c>
      <c r="M194" s="524" t="str">
        <f>IF(L194="","",VLOOKUP($B194,'F-1 Off Site River Baseline'!$C$9:$R$257,16,FALSE))</f>
        <v/>
      </c>
      <c r="N194" s="418" t="str">
        <f t="shared" si="20"/>
        <v/>
      </c>
      <c r="O194" s="498" t="str">
        <f t="shared" si="21"/>
        <v/>
      </c>
      <c r="P194" s="499"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5" t="str">
        <f>IF(N194="","",VLOOKUP(B194,'F-1 Off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20" t="str">
        <f>IF(V194="","",IF(VLOOKUP(V194,'G-7 Rivers Data'!$AG$4:$AI$9,2,FALSE)=0,"Spatial Data Missing ⚠",VLOOKUP(V194,'G-7 Rivers Data'!$AG$4:$AI$9,2,FALSE)))</f>
        <v/>
      </c>
      <c r="X194" s="524" t="str">
        <f>IF(V194="","",IF(VLOOKUP(V194,'G-7 Rivers Data'!$AG$4:$AI$9,3,FALSE)=0,"Spatial Data Missing ⚠",VLOOKUP(V194,'G-7 Rivers Data'!$AG$4:$AI$9,3,FALSE)))</f>
        <v/>
      </c>
      <c r="Y194" s="537" t="str">
        <f>IFERROR(IF(OR(LEFT(P194,5)="Error ▲",LEFT(O194,5)="Error ▲"),"Check Data ⚠",IF(F194&lt;S194,'G-7 Rivers Data'!$R$3,INDEX('G-7 Rivers Data'!$U$5:$Y$9,MATCH(G194,'G-7 Rivers Data'!$T$5:$T$9,0),MATCH(T194,'G-7 Rivers Data'!$U$4:$Y$4,0)))),"")</f>
        <v/>
      </c>
      <c r="Z194" s="203"/>
      <c r="AA194" s="203"/>
      <c r="AB194" s="534" t="str">
        <f t="shared" si="16"/>
        <v/>
      </c>
      <c r="AC194" s="521" t="str">
        <f t="shared" si="17"/>
        <v/>
      </c>
      <c r="AD194" s="564" t="str">
        <f>IFERROR(IF(AC194="Check Data ⚠","Check Data ⚠",VLOOKUP(AC194,'G-4 Temporal multipliers'!$A$4:$C$37,3,FALSE)),"")</f>
        <v/>
      </c>
      <c r="AE194" s="537" t="str">
        <f>IF(N194="","",VLOOKUP(N194,'G-7 Rivers Data'!$B$4:$G$8,5,FALSE))</f>
        <v/>
      </c>
      <c r="AF194" s="520" t="str">
        <f t="shared" si="18"/>
        <v/>
      </c>
      <c r="AG194" s="520" t="str">
        <f t="shared" si="22"/>
        <v/>
      </c>
      <c r="AH194" s="524" t="str">
        <f t="shared" si="19"/>
        <v/>
      </c>
      <c r="AI194" s="145"/>
      <c r="AJ194" s="499" t="str">
        <f>IF(AI194="","",IF(VLOOKUP(AI194,'G-7 Rivers Data'!$AA$4:$AB$7,2,FALSE)=0,"Spatial Data Missing ⚠",VLOOKUP(AI194,'G-7 Rivers Data'!$AA$4:$AB$7,2,FALSE)))</f>
        <v/>
      </c>
      <c r="AK194" s="155"/>
      <c r="AL194" s="536" t="str">
        <f>IF(AK194="","",IF(VLOOKUP(AK194,'G-7 Rivers Data'!$AD$4:$AE$8,2,FALSE)=0,"Spatial Data Missing ⚠",VLOOKUP(AK194,'G-7 Rivers Data'!$AD$4:$AE$8,2,FALSE)))</f>
        <v/>
      </c>
      <c r="AM194" s="154"/>
      <c r="AN194" s="524" t="str">
        <f>IF(AM194="","",VLOOKUP(AM194,'G-7 Rivers Data'!$AO$4:$AP$7,2,FALSE))</f>
        <v/>
      </c>
      <c r="AO194" s="545" t="str">
        <f t="shared" si="23"/>
        <v/>
      </c>
      <c r="AP194" s="149"/>
      <c r="AQ194" s="150"/>
      <c r="AX194" s="31" t="str">
        <f>IFERROR(INDEX('G-7 Rivers Data'!$AZ$3:$AZ$7,MATCH(N194,'G-7 Rivers Data'!$AY$3:$AY$7,0)),"")</f>
        <v/>
      </c>
    </row>
    <row r="195" spans="2:50" ht="13.8" x14ac:dyDescent="0.25">
      <c r="B195" s="531" t="str">
        <f>'F-1 Off Site River Baseline'!AN193</f>
        <v/>
      </c>
      <c r="C195" s="520" t="str">
        <f>IF(B195="","",VLOOKUP($B195,'F-1 Off Site River Baseline'!$C$9:$R$257,2,FALSE))</f>
        <v/>
      </c>
      <c r="D195" s="520" t="str">
        <f>IF(C195="","",VLOOKUP($B195,'F-1 Off Site River Baseline'!$C$9:$R$257,3,FALSE))</f>
        <v/>
      </c>
      <c r="E195" s="520" t="str">
        <f>IF(D195="","",VLOOKUP($B195,'F-1 Off Site River Baseline'!$C$9:$R$257,4,FALSE))</f>
        <v/>
      </c>
      <c r="F195" s="520" t="str">
        <f>IF(E195="","",VLOOKUP($B195,'F-1 Off Site River Baseline'!$C$9:$R$257,5,FALSE))</f>
        <v/>
      </c>
      <c r="G195" s="520" t="str">
        <f>IF(F195="","",VLOOKUP($B195,'F-1 Off Site River Baseline'!$C$9:$R$257,6,FALSE))</f>
        <v/>
      </c>
      <c r="H195" s="520" t="str">
        <f>IF(G195="","",VLOOKUP($B195,'F-1 Off Site River Baseline'!$C$9:$R$257,7,FALSE))</f>
        <v/>
      </c>
      <c r="I195" s="520" t="str">
        <f>IF(H195="","",VLOOKUP($B195,'F-1 Off Site River Baseline'!$C$9:$R$257,8,FALSE))</f>
        <v/>
      </c>
      <c r="J195" s="520" t="str">
        <f>IF(I195="","",VLOOKUP($B195,'F-1 Off Site River Baseline'!$C$9:$R$257,9,FALSE))</f>
        <v/>
      </c>
      <c r="K195" s="520" t="str">
        <f>IF(J195="","",VLOOKUP($B195,'F-1 Off Site River Baseline'!$C$9:$R$257,10,FALSE))</f>
        <v/>
      </c>
      <c r="L195" s="520" t="str">
        <f>IF(B195="","",VLOOKUP($B195,'C-1 Site River Baseline'!$C$9:$R$257,15,FALSE))</f>
        <v/>
      </c>
      <c r="M195" s="524" t="str">
        <f>IF(L195="","",VLOOKUP($B195,'F-1 Off Site River Baseline'!$C$9:$R$257,16,FALSE))</f>
        <v/>
      </c>
      <c r="N195" s="418" t="str">
        <f t="shared" si="20"/>
        <v/>
      </c>
      <c r="O195" s="498" t="str">
        <f t="shared" si="21"/>
        <v/>
      </c>
      <c r="P195" s="499"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5" t="str">
        <f>IF(N195="","",VLOOKUP(B195,'F-1 Off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20" t="str">
        <f>IF(V195="","",IF(VLOOKUP(V195,'G-7 Rivers Data'!$AG$4:$AI$9,2,FALSE)=0,"Spatial Data Missing ⚠",VLOOKUP(V195,'G-7 Rivers Data'!$AG$4:$AI$9,2,FALSE)))</f>
        <v/>
      </c>
      <c r="X195" s="524" t="str">
        <f>IF(V195="","",IF(VLOOKUP(V195,'G-7 Rivers Data'!$AG$4:$AI$9,3,FALSE)=0,"Spatial Data Missing ⚠",VLOOKUP(V195,'G-7 Rivers Data'!$AG$4:$AI$9,3,FALSE)))</f>
        <v/>
      </c>
      <c r="Y195" s="537" t="str">
        <f>IFERROR(IF(OR(LEFT(P195,5)="Error ▲",LEFT(O195,5)="Error ▲"),"Check Data ⚠",IF(F195&lt;S195,'G-7 Rivers Data'!$R$3,INDEX('G-7 Rivers Data'!$U$5:$Y$9,MATCH(G195,'G-7 Rivers Data'!$T$5:$T$9,0),MATCH(T195,'G-7 Rivers Data'!$U$4:$Y$4,0)))),"")</f>
        <v/>
      </c>
      <c r="Z195" s="203"/>
      <c r="AA195" s="203"/>
      <c r="AB195" s="534" t="str">
        <f t="shared" si="16"/>
        <v/>
      </c>
      <c r="AC195" s="521" t="str">
        <f t="shared" si="17"/>
        <v/>
      </c>
      <c r="AD195" s="564" t="str">
        <f>IFERROR(IF(AC195="Check Data ⚠","Check Data ⚠",VLOOKUP(AC195,'G-4 Temporal multipliers'!$A$4:$C$37,3,FALSE)),"")</f>
        <v/>
      </c>
      <c r="AE195" s="537" t="str">
        <f>IF(N195="","",VLOOKUP(N195,'G-7 Rivers Data'!$B$4:$G$8,5,FALSE))</f>
        <v/>
      </c>
      <c r="AF195" s="520" t="str">
        <f t="shared" si="18"/>
        <v/>
      </c>
      <c r="AG195" s="520" t="str">
        <f t="shared" si="22"/>
        <v/>
      </c>
      <c r="AH195" s="524" t="str">
        <f t="shared" si="19"/>
        <v/>
      </c>
      <c r="AI195" s="145"/>
      <c r="AJ195" s="499" t="str">
        <f>IF(AI195="","",IF(VLOOKUP(AI195,'G-7 Rivers Data'!$AA$4:$AB$7,2,FALSE)=0,"Spatial Data Missing ⚠",VLOOKUP(AI195,'G-7 Rivers Data'!$AA$4:$AB$7,2,FALSE)))</f>
        <v/>
      </c>
      <c r="AK195" s="155"/>
      <c r="AL195" s="536" t="str">
        <f>IF(AK195="","",IF(VLOOKUP(AK195,'G-7 Rivers Data'!$AD$4:$AE$8,2,FALSE)=0,"Spatial Data Missing ⚠",VLOOKUP(AK195,'G-7 Rivers Data'!$AD$4:$AE$8,2,FALSE)))</f>
        <v/>
      </c>
      <c r="AM195" s="154"/>
      <c r="AN195" s="524" t="str">
        <f>IF(AM195="","",VLOOKUP(AM195,'G-7 Rivers Data'!$AO$4:$AP$7,2,FALSE))</f>
        <v/>
      </c>
      <c r="AO195" s="545" t="str">
        <f t="shared" si="23"/>
        <v/>
      </c>
      <c r="AP195" s="149"/>
      <c r="AQ195" s="150"/>
      <c r="AX195" s="31" t="str">
        <f>IFERROR(INDEX('G-7 Rivers Data'!$AZ$3:$AZ$7,MATCH(N195,'G-7 Rivers Data'!$AY$3:$AY$7,0)),"")</f>
        <v/>
      </c>
    </row>
    <row r="196" spans="2:50" ht="13.8" x14ac:dyDescent="0.25">
      <c r="B196" s="531" t="str">
        <f>'F-1 Off Site River Baseline'!AN194</f>
        <v/>
      </c>
      <c r="C196" s="520" t="str">
        <f>IF(B196="","",VLOOKUP($B196,'F-1 Off Site River Baseline'!$C$9:$R$257,2,FALSE))</f>
        <v/>
      </c>
      <c r="D196" s="520" t="str">
        <f>IF(C196="","",VLOOKUP($B196,'F-1 Off Site River Baseline'!$C$9:$R$257,3,FALSE))</f>
        <v/>
      </c>
      <c r="E196" s="520" t="str">
        <f>IF(D196="","",VLOOKUP($B196,'F-1 Off Site River Baseline'!$C$9:$R$257,4,FALSE))</f>
        <v/>
      </c>
      <c r="F196" s="520" t="str">
        <f>IF(E196="","",VLOOKUP($B196,'F-1 Off Site River Baseline'!$C$9:$R$257,5,FALSE))</f>
        <v/>
      </c>
      <c r="G196" s="520" t="str">
        <f>IF(F196="","",VLOOKUP($B196,'F-1 Off Site River Baseline'!$C$9:$R$257,6,FALSE))</f>
        <v/>
      </c>
      <c r="H196" s="520" t="str">
        <f>IF(G196="","",VLOOKUP($B196,'F-1 Off Site River Baseline'!$C$9:$R$257,7,FALSE))</f>
        <v/>
      </c>
      <c r="I196" s="520" t="str">
        <f>IF(H196="","",VLOOKUP($B196,'F-1 Off Site River Baseline'!$C$9:$R$257,8,FALSE))</f>
        <v/>
      </c>
      <c r="J196" s="520" t="str">
        <f>IF(I196="","",VLOOKUP($B196,'F-1 Off Site River Baseline'!$C$9:$R$257,9,FALSE))</f>
        <v/>
      </c>
      <c r="K196" s="520" t="str">
        <f>IF(J196="","",VLOOKUP($B196,'F-1 Off Site River Baseline'!$C$9:$R$257,10,FALSE))</f>
        <v/>
      </c>
      <c r="L196" s="520" t="str">
        <f>IF(B196="","",VLOOKUP($B196,'C-1 Site River Baseline'!$C$9:$R$257,15,FALSE))</f>
        <v/>
      </c>
      <c r="M196" s="524" t="str">
        <f>IF(L196="","",VLOOKUP($B196,'F-1 Off Site River Baseline'!$C$9:$R$257,16,FALSE))</f>
        <v/>
      </c>
      <c r="N196" s="418" t="str">
        <f t="shared" si="20"/>
        <v/>
      </c>
      <c r="O196" s="498" t="str">
        <f t="shared" si="21"/>
        <v/>
      </c>
      <c r="P196" s="499"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5" t="str">
        <f>IF(N196="","",VLOOKUP(B196,'F-1 Off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20" t="str">
        <f>IF(V196="","",IF(VLOOKUP(V196,'G-7 Rivers Data'!$AG$4:$AI$9,2,FALSE)=0,"Spatial Data Missing ⚠",VLOOKUP(V196,'G-7 Rivers Data'!$AG$4:$AI$9,2,FALSE)))</f>
        <v/>
      </c>
      <c r="X196" s="524" t="str">
        <f>IF(V196="","",IF(VLOOKUP(V196,'G-7 Rivers Data'!$AG$4:$AI$9,3,FALSE)=0,"Spatial Data Missing ⚠",VLOOKUP(V196,'G-7 Rivers Data'!$AG$4:$AI$9,3,FALSE)))</f>
        <v/>
      </c>
      <c r="Y196" s="537" t="str">
        <f>IFERROR(IF(OR(LEFT(P196,5)="Error ▲",LEFT(O196,5)="Error ▲"),"Check Data ⚠",IF(F196&lt;S196,'G-7 Rivers Data'!$R$3,INDEX('G-7 Rivers Data'!$U$5:$Y$9,MATCH(G196,'G-7 Rivers Data'!$T$5:$T$9,0),MATCH(T196,'G-7 Rivers Data'!$U$4:$Y$4,0)))),"")</f>
        <v/>
      </c>
      <c r="Z196" s="203"/>
      <c r="AA196" s="203"/>
      <c r="AB196" s="534" t="str">
        <f t="shared" si="16"/>
        <v/>
      </c>
      <c r="AC196" s="521" t="str">
        <f t="shared" si="17"/>
        <v/>
      </c>
      <c r="AD196" s="564" t="str">
        <f>IFERROR(IF(AC196="Check Data ⚠","Check Data ⚠",VLOOKUP(AC196,'G-4 Temporal multipliers'!$A$4:$C$37,3,FALSE)),"")</f>
        <v/>
      </c>
      <c r="AE196" s="537" t="str">
        <f>IF(N196="","",VLOOKUP(N196,'G-7 Rivers Data'!$B$4:$G$8,5,FALSE))</f>
        <v/>
      </c>
      <c r="AF196" s="520" t="str">
        <f t="shared" si="18"/>
        <v/>
      </c>
      <c r="AG196" s="520" t="str">
        <f t="shared" si="22"/>
        <v/>
      </c>
      <c r="AH196" s="524" t="str">
        <f t="shared" si="19"/>
        <v/>
      </c>
      <c r="AI196" s="145"/>
      <c r="AJ196" s="499" t="str">
        <f>IF(AI196="","",IF(VLOOKUP(AI196,'G-7 Rivers Data'!$AA$4:$AB$7,2,FALSE)=0,"Spatial Data Missing ⚠",VLOOKUP(AI196,'G-7 Rivers Data'!$AA$4:$AB$7,2,FALSE)))</f>
        <v/>
      </c>
      <c r="AK196" s="155"/>
      <c r="AL196" s="536" t="str">
        <f>IF(AK196="","",IF(VLOOKUP(AK196,'G-7 Rivers Data'!$AD$4:$AE$8,2,FALSE)=0,"Spatial Data Missing ⚠",VLOOKUP(AK196,'G-7 Rivers Data'!$AD$4:$AE$8,2,FALSE)))</f>
        <v/>
      </c>
      <c r="AM196" s="154"/>
      <c r="AN196" s="524" t="str">
        <f>IF(AM196="","",VLOOKUP(AM196,'G-7 Rivers Data'!$AO$4:$AP$7,2,FALSE))</f>
        <v/>
      </c>
      <c r="AO196" s="545" t="str">
        <f t="shared" si="23"/>
        <v/>
      </c>
      <c r="AP196" s="149"/>
      <c r="AQ196" s="150"/>
      <c r="AX196" s="31" t="str">
        <f>IFERROR(INDEX('G-7 Rivers Data'!$AZ$3:$AZ$7,MATCH(N196,'G-7 Rivers Data'!$AY$3:$AY$7,0)),"")</f>
        <v/>
      </c>
    </row>
    <row r="197" spans="2:50" ht="13.8" x14ac:dyDescent="0.25">
      <c r="B197" s="531" t="str">
        <f>'F-1 Off Site River Baseline'!AN195</f>
        <v/>
      </c>
      <c r="C197" s="520" t="str">
        <f>IF(B197="","",VLOOKUP($B197,'F-1 Off Site River Baseline'!$C$9:$R$257,2,FALSE))</f>
        <v/>
      </c>
      <c r="D197" s="520" t="str">
        <f>IF(C197="","",VLOOKUP($B197,'F-1 Off Site River Baseline'!$C$9:$R$257,3,FALSE))</f>
        <v/>
      </c>
      <c r="E197" s="520" t="str">
        <f>IF(D197="","",VLOOKUP($B197,'F-1 Off Site River Baseline'!$C$9:$R$257,4,FALSE))</f>
        <v/>
      </c>
      <c r="F197" s="520" t="str">
        <f>IF(E197="","",VLOOKUP($B197,'F-1 Off Site River Baseline'!$C$9:$R$257,5,FALSE))</f>
        <v/>
      </c>
      <c r="G197" s="520" t="str">
        <f>IF(F197="","",VLOOKUP($B197,'F-1 Off Site River Baseline'!$C$9:$R$257,6,FALSE))</f>
        <v/>
      </c>
      <c r="H197" s="520" t="str">
        <f>IF(G197="","",VLOOKUP($B197,'F-1 Off Site River Baseline'!$C$9:$R$257,7,FALSE))</f>
        <v/>
      </c>
      <c r="I197" s="520" t="str">
        <f>IF(H197="","",VLOOKUP($B197,'F-1 Off Site River Baseline'!$C$9:$R$257,8,FALSE))</f>
        <v/>
      </c>
      <c r="J197" s="520" t="str">
        <f>IF(I197="","",VLOOKUP($B197,'F-1 Off Site River Baseline'!$C$9:$R$257,9,FALSE))</f>
        <v/>
      </c>
      <c r="K197" s="520" t="str">
        <f>IF(J197="","",VLOOKUP($B197,'F-1 Off Site River Baseline'!$C$9:$R$257,10,FALSE))</f>
        <v/>
      </c>
      <c r="L197" s="520" t="str">
        <f>IF(B197="","",VLOOKUP($B197,'C-1 Site River Baseline'!$C$9:$R$257,15,FALSE))</f>
        <v/>
      </c>
      <c r="M197" s="524" t="str">
        <f>IF(L197="","",VLOOKUP($B197,'F-1 Off Site River Baseline'!$C$9:$R$257,16,FALSE))</f>
        <v/>
      </c>
      <c r="N197" s="418" t="str">
        <f t="shared" si="20"/>
        <v/>
      </c>
      <c r="O197" s="498" t="str">
        <f t="shared" si="21"/>
        <v/>
      </c>
      <c r="P197" s="499"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5" t="str">
        <f>IF(N197="","",VLOOKUP(B197,'F-1 Off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20" t="str">
        <f>IF(V197="","",IF(VLOOKUP(V197,'G-7 Rivers Data'!$AG$4:$AI$9,2,FALSE)=0,"Spatial Data Missing ⚠",VLOOKUP(V197,'G-7 Rivers Data'!$AG$4:$AI$9,2,FALSE)))</f>
        <v/>
      </c>
      <c r="X197" s="524" t="str">
        <f>IF(V197="","",IF(VLOOKUP(V197,'G-7 Rivers Data'!$AG$4:$AI$9,3,FALSE)=0,"Spatial Data Missing ⚠",VLOOKUP(V197,'G-7 Rivers Data'!$AG$4:$AI$9,3,FALSE)))</f>
        <v/>
      </c>
      <c r="Y197" s="537" t="str">
        <f>IFERROR(IF(OR(LEFT(P197,5)="Error ▲",LEFT(O197,5)="Error ▲"),"Check Data ⚠",IF(F197&lt;S197,'G-7 Rivers Data'!$R$3,INDEX('G-7 Rivers Data'!$U$5:$Y$9,MATCH(G197,'G-7 Rivers Data'!$T$5:$T$9,0),MATCH(T197,'G-7 Rivers Data'!$U$4:$Y$4,0)))),"")</f>
        <v/>
      </c>
      <c r="Z197" s="203"/>
      <c r="AA197" s="203"/>
      <c r="AB197" s="534" t="str">
        <f t="shared" si="16"/>
        <v/>
      </c>
      <c r="AC197" s="521" t="str">
        <f t="shared" si="17"/>
        <v/>
      </c>
      <c r="AD197" s="564" t="str">
        <f>IFERROR(IF(AC197="Check Data ⚠","Check Data ⚠",VLOOKUP(AC197,'G-4 Temporal multipliers'!$A$4:$C$37,3,FALSE)),"")</f>
        <v/>
      </c>
      <c r="AE197" s="537" t="str">
        <f>IF(N197="","",VLOOKUP(N197,'G-7 Rivers Data'!$B$4:$G$8,5,FALSE))</f>
        <v/>
      </c>
      <c r="AF197" s="520" t="str">
        <f t="shared" si="18"/>
        <v/>
      </c>
      <c r="AG197" s="520" t="str">
        <f t="shared" si="22"/>
        <v/>
      </c>
      <c r="AH197" s="524" t="str">
        <f t="shared" si="19"/>
        <v/>
      </c>
      <c r="AI197" s="145"/>
      <c r="AJ197" s="499" t="str">
        <f>IF(AI197="","",IF(VLOOKUP(AI197,'G-7 Rivers Data'!$AA$4:$AB$7,2,FALSE)=0,"Spatial Data Missing ⚠",VLOOKUP(AI197,'G-7 Rivers Data'!$AA$4:$AB$7,2,FALSE)))</f>
        <v/>
      </c>
      <c r="AK197" s="155"/>
      <c r="AL197" s="536" t="str">
        <f>IF(AK197="","",IF(VLOOKUP(AK197,'G-7 Rivers Data'!$AD$4:$AE$8,2,FALSE)=0,"Spatial Data Missing ⚠",VLOOKUP(AK197,'G-7 Rivers Data'!$AD$4:$AE$8,2,FALSE)))</f>
        <v/>
      </c>
      <c r="AM197" s="154"/>
      <c r="AN197" s="524" t="str">
        <f>IF(AM197="","",VLOOKUP(AM197,'G-7 Rivers Data'!$AO$4:$AP$7,2,FALSE))</f>
        <v/>
      </c>
      <c r="AO197" s="545" t="str">
        <f t="shared" si="23"/>
        <v/>
      </c>
      <c r="AP197" s="149"/>
      <c r="AQ197" s="150"/>
      <c r="AX197" s="31" t="str">
        <f>IFERROR(INDEX('G-7 Rivers Data'!$AZ$3:$AZ$7,MATCH(N197,'G-7 Rivers Data'!$AY$3:$AY$7,0)),"")</f>
        <v/>
      </c>
    </row>
    <row r="198" spans="2:50" ht="13.8" x14ac:dyDescent="0.25">
      <c r="B198" s="531" t="str">
        <f>'F-1 Off Site River Baseline'!AN196</f>
        <v/>
      </c>
      <c r="C198" s="520" t="str">
        <f>IF(B198="","",VLOOKUP($B198,'F-1 Off Site River Baseline'!$C$9:$R$257,2,FALSE))</f>
        <v/>
      </c>
      <c r="D198" s="520" t="str">
        <f>IF(C198="","",VLOOKUP($B198,'F-1 Off Site River Baseline'!$C$9:$R$257,3,FALSE))</f>
        <v/>
      </c>
      <c r="E198" s="520" t="str">
        <f>IF(D198="","",VLOOKUP($B198,'F-1 Off Site River Baseline'!$C$9:$R$257,4,FALSE))</f>
        <v/>
      </c>
      <c r="F198" s="520" t="str">
        <f>IF(E198="","",VLOOKUP($B198,'F-1 Off Site River Baseline'!$C$9:$R$257,5,FALSE))</f>
        <v/>
      </c>
      <c r="G198" s="520" t="str">
        <f>IF(F198="","",VLOOKUP($B198,'F-1 Off Site River Baseline'!$C$9:$R$257,6,FALSE))</f>
        <v/>
      </c>
      <c r="H198" s="520" t="str">
        <f>IF(G198="","",VLOOKUP($B198,'F-1 Off Site River Baseline'!$C$9:$R$257,7,FALSE))</f>
        <v/>
      </c>
      <c r="I198" s="520" t="str">
        <f>IF(H198="","",VLOOKUP($B198,'F-1 Off Site River Baseline'!$C$9:$R$257,8,FALSE))</f>
        <v/>
      </c>
      <c r="J198" s="520" t="str">
        <f>IF(I198="","",VLOOKUP($B198,'F-1 Off Site River Baseline'!$C$9:$R$257,9,FALSE))</f>
        <v/>
      </c>
      <c r="K198" s="520" t="str">
        <f>IF(J198="","",VLOOKUP($B198,'F-1 Off Site River Baseline'!$C$9:$R$257,10,FALSE))</f>
        <v/>
      </c>
      <c r="L198" s="520" t="str">
        <f>IF(B198="","",VLOOKUP($B198,'C-1 Site River Baseline'!$C$9:$R$257,15,FALSE))</f>
        <v/>
      </c>
      <c r="M198" s="524" t="str">
        <f>IF(L198="","",VLOOKUP($B198,'F-1 Off Site River Baseline'!$C$9:$R$257,16,FALSE))</f>
        <v/>
      </c>
      <c r="N198" s="418" t="str">
        <f t="shared" si="20"/>
        <v/>
      </c>
      <c r="O198" s="498" t="str">
        <f t="shared" si="21"/>
        <v/>
      </c>
      <c r="P198" s="499"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5" t="str">
        <f>IF(N198="","",VLOOKUP(B198,'F-1 Off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20" t="str">
        <f>IF(V198="","",IF(VLOOKUP(V198,'G-7 Rivers Data'!$AG$4:$AI$9,2,FALSE)=0,"Spatial Data Missing ⚠",VLOOKUP(V198,'G-7 Rivers Data'!$AG$4:$AI$9,2,FALSE)))</f>
        <v/>
      </c>
      <c r="X198" s="524" t="str">
        <f>IF(V198="","",IF(VLOOKUP(V198,'G-7 Rivers Data'!$AG$4:$AI$9,3,FALSE)=0,"Spatial Data Missing ⚠",VLOOKUP(V198,'G-7 Rivers Data'!$AG$4:$AI$9,3,FALSE)))</f>
        <v/>
      </c>
      <c r="Y198" s="537" t="str">
        <f>IFERROR(IF(OR(LEFT(P198,5)="Error ▲",LEFT(O198,5)="Error ▲"),"Check Data ⚠",IF(F198&lt;S198,'G-7 Rivers Data'!$R$3,INDEX('G-7 Rivers Data'!$U$5:$Y$9,MATCH(G198,'G-7 Rivers Data'!$T$5:$T$9,0),MATCH(T198,'G-7 Rivers Data'!$U$4:$Y$4,0)))),"")</f>
        <v/>
      </c>
      <c r="Z198" s="203"/>
      <c r="AA198" s="203"/>
      <c r="AB198" s="534" t="str">
        <f t="shared" si="16"/>
        <v/>
      </c>
      <c r="AC198" s="521" t="str">
        <f t="shared" si="17"/>
        <v/>
      </c>
      <c r="AD198" s="564" t="str">
        <f>IFERROR(IF(AC198="Check Data ⚠","Check Data ⚠",VLOOKUP(AC198,'G-4 Temporal multipliers'!$A$4:$C$37,3,FALSE)),"")</f>
        <v/>
      </c>
      <c r="AE198" s="537" t="str">
        <f>IF(N198="","",VLOOKUP(N198,'G-7 Rivers Data'!$B$4:$G$8,5,FALSE))</f>
        <v/>
      </c>
      <c r="AF198" s="520" t="str">
        <f t="shared" si="18"/>
        <v/>
      </c>
      <c r="AG198" s="520" t="str">
        <f t="shared" si="22"/>
        <v/>
      </c>
      <c r="AH198" s="524" t="str">
        <f t="shared" si="19"/>
        <v/>
      </c>
      <c r="AI198" s="145"/>
      <c r="AJ198" s="499" t="str">
        <f>IF(AI198="","",IF(VLOOKUP(AI198,'G-7 Rivers Data'!$AA$4:$AB$7,2,FALSE)=0,"Spatial Data Missing ⚠",VLOOKUP(AI198,'G-7 Rivers Data'!$AA$4:$AB$7,2,FALSE)))</f>
        <v/>
      </c>
      <c r="AK198" s="155"/>
      <c r="AL198" s="536" t="str">
        <f>IF(AK198="","",IF(VLOOKUP(AK198,'G-7 Rivers Data'!$AD$4:$AE$8,2,FALSE)=0,"Spatial Data Missing ⚠",VLOOKUP(AK198,'G-7 Rivers Data'!$AD$4:$AE$8,2,FALSE)))</f>
        <v/>
      </c>
      <c r="AM198" s="154"/>
      <c r="AN198" s="524" t="str">
        <f>IF(AM198="","",VLOOKUP(AM198,'G-7 Rivers Data'!$AO$4:$AP$7,2,FALSE))</f>
        <v/>
      </c>
      <c r="AO198" s="545" t="str">
        <f t="shared" si="23"/>
        <v/>
      </c>
      <c r="AP198" s="149"/>
      <c r="AQ198" s="150"/>
      <c r="AX198" s="31" t="str">
        <f>IFERROR(INDEX('G-7 Rivers Data'!$AZ$3:$AZ$7,MATCH(N198,'G-7 Rivers Data'!$AY$3:$AY$7,0)),"")</f>
        <v/>
      </c>
    </row>
    <row r="199" spans="2:50" ht="13.8" x14ac:dyDescent="0.25">
      <c r="B199" s="531" t="str">
        <f>'F-1 Off Site River Baseline'!AN197</f>
        <v/>
      </c>
      <c r="C199" s="520" t="str">
        <f>IF(B199="","",VLOOKUP($B199,'F-1 Off Site River Baseline'!$C$9:$R$257,2,FALSE))</f>
        <v/>
      </c>
      <c r="D199" s="520" t="str">
        <f>IF(C199="","",VLOOKUP($B199,'F-1 Off Site River Baseline'!$C$9:$R$257,3,FALSE))</f>
        <v/>
      </c>
      <c r="E199" s="520" t="str">
        <f>IF(D199="","",VLOOKUP($B199,'F-1 Off Site River Baseline'!$C$9:$R$257,4,FALSE))</f>
        <v/>
      </c>
      <c r="F199" s="520" t="str">
        <f>IF(E199="","",VLOOKUP($B199,'F-1 Off Site River Baseline'!$C$9:$R$257,5,FALSE))</f>
        <v/>
      </c>
      <c r="G199" s="520" t="str">
        <f>IF(F199="","",VLOOKUP($B199,'F-1 Off Site River Baseline'!$C$9:$R$257,6,FALSE))</f>
        <v/>
      </c>
      <c r="H199" s="520" t="str">
        <f>IF(G199="","",VLOOKUP($B199,'F-1 Off Site River Baseline'!$C$9:$R$257,7,FALSE))</f>
        <v/>
      </c>
      <c r="I199" s="520" t="str">
        <f>IF(H199="","",VLOOKUP($B199,'F-1 Off Site River Baseline'!$C$9:$R$257,8,FALSE))</f>
        <v/>
      </c>
      <c r="J199" s="520" t="str">
        <f>IF(I199="","",VLOOKUP($B199,'F-1 Off Site River Baseline'!$C$9:$R$257,9,FALSE))</f>
        <v/>
      </c>
      <c r="K199" s="520" t="str">
        <f>IF(J199="","",VLOOKUP($B199,'F-1 Off Site River Baseline'!$C$9:$R$257,10,FALSE))</f>
        <v/>
      </c>
      <c r="L199" s="520" t="str">
        <f>IF(B199="","",VLOOKUP($B199,'C-1 Site River Baseline'!$C$9:$R$257,15,FALSE))</f>
        <v/>
      </c>
      <c r="M199" s="524" t="str">
        <f>IF(L199="","",VLOOKUP($B199,'F-1 Off Site River Baseline'!$C$9:$R$257,16,FALSE))</f>
        <v/>
      </c>
      <c r="N199" s="418" t="str">
        <f t="shared" si="20"/>
        <v/>
      </c>
      <c r="O199" s="498" t="str">
        <f t="shared" si="21"/>
        <v/>
      </c>
      <c r="P199" s="499"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5" t="str">
        <f>IF(N199="","",VLOOKUP(B199,'F-1 Off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20" t="str">
        <f>IF(V199="","",IF(VLOOKUP(V199,'G-7 Rivers Data'!$AG$4:$AI$9,2,FALSE)=0,"Spatial Data Missing ⚠",VLOOKUP(V199,'G-7 Rivers Data'!$AG$4:$AI$9,2,FALSE)))</f>
        <v/>
      </c>
      <c r="X199" s="524" t="str">
        <f>IF(V199="","",IF(VLOOKUP(V199,'G-7 Rivers Data'!$AG$4:$AI$9,3,FALSE)=0,"Spatial Data Missing ⚠",VLOOKUP(V199,'G-7 Rivers Data'!$AG$4:$AI$9,3,FALSE)))</f>
        <v/>
      </c>
      <c r="Y199" s="537" t="str">
        <f>IFERROR(IF(OR(LEFT(P199,5)="Error ▲",LEFT(O199,5)="Error ▲"),"Check Data ⚠",IF(F199&lt;S199,'G-7 Rivers Data'!$R$3,INDEX('G-7 Rivers Data'!$U$5:$Y$9,MATCH(G199,'G-7 Rivers Data'!$T$5:$T$9,0),MATCH(T199,'G-7 Rivers Data'!$U$4:$Y$4,0)))),"")</f>
        <v/>
      </c>
      <c r="Z199" s="203"/>
      <c r="AA199" s="203"/>
      <c r="AB199" s="534" t="str">
        <f t="shared" si="16"/>
        <v/>
      </c>
      <c r="AC199" s="521" t="str">
        <f t="shared" si="17"/>
        <v/>
      </c>
      <c r="AD199" s="564" t="str">
        <f>IFERROR(IF(AC199="Check Data ⚠","Check Data ⚠",VLOOKUP(AC199,'G-4 Temporal multipliers'!$A$4:$C$37,3,FALSE)),"")</f>
        <v/>
      </c>
      <c r="AE199" s="537" t="str">
        <f>IF(N199="","",VLOOKUP(N199,'G-7 Rivers Data'!$B$4:$G$8,5,FALSE))</f>
        <v/>
      </c>
      <c r="AF199" s="520" t="str">
        <f t="shared" si="18"/>
        <v/>
      </c>
      <c r="AG199" s="520" t="str">
        <f t="shared" si="22"/>
        <v/>
      </c>
      <c r="AH199" s="524" t="str">
        <f t="shared" si="19"/>
        <v/>
      </c>
      <c r="AI199" s="145"/>
      <c r="AJ199" s="499" t="str">
        <f>IF(AI199="","",IF(VLOOKUP(AI199,'G-7 Rivers Data'!$AA$4:$AB$7,2,FALSE)=0,"Spatial Data Missing ⚠",VLOOKUP(AI199,'G-7 Rivers Data'!$AA$4:$AB$7,2,FALSE)))</f>
        <v/>
      </c>
      <c r="AK199" s="155"/>
      <c r="AL199" s="536" t="str">
        <f>IF(AK199="","",IF(VLOOKUP(AK199,'G-7 Rivers Data'!$AD$4:$AE$8,2,FALSE)=0,"Spatial Data Missing ⚠",VLOOKUP(AK199,'G-7 Rivers Data'!$AD$4:$AE$8,2,FALSE)))</f>
        <v/>
      </c>
      <c r="AM199" s="154"/>
      <c r="AN199" s="524" t="str">
        <f>IF(AM199="","",VLOOKUP(AM199,'G-7 Rivers Data'!$AO$4:$AP$7,2,FALSE))</f>
        <v/>
      </c>
      <c r="AO199" s="545" t="str">
        <f t="shared" si="23"/>
        <v/>
      </c>
      <c r="AP199" s="149"/>
      <c r="AQ199" s="150"/>
      <c r="AX199" s="31" t="str">
        <f>IFERROR(INDEX('G-7 Rivers Data'!$AZ$3:$AZ$7,MATCH(N199,'G-7 Rivers Data'!$AY$3:$AY$7,0)),"")</f>
        <v/>
      </c>
    </row>
    <row r="200" spans="2:50" ht="13.8" x14ac:dyDescent="0.25">
      <c r="B200" s="531" t="str">
        <f>'F-1 Off Site River Baseline'!AN198</f>
        <v/>
      </c>
      <c r="C200" s="520" t="str">
        <f>IF(B200="","",VLOOKUP($B200,'F-1 Off Site River Baseline'!$C$9:$R$257,2,FALSE))</f>
        <v/>
      </c>
      <c r="D200" s="520" t="str">
        <f>IF(C200="","",VLOOKUP($B200,'F-1 Off Site River Baseline'!$C$9:$R$257,3,FALSE))</f>
        <v/>
      </c>
      <c r="E200" s="520" t="str">
        <f>IF(D200="","",VLOOKUP($B200,'F-1 Off Site River Baseline'!$C$9:$R$257,4,FALSE))</f>
        <v/>
      </c>
      <c r="F200" s="520" t="str">
        <f>IF(E200="","",VLOOKUP($B200,'F-1 Off Site River Baseline'!$C$9:$R$257,5,FALSE))</f>
        <v/>
      </c>
      <c r="G200" s="520" t="str">
        <f>IF(F200="","",VLOOKUP($B200,'F-1 Off Site River Baseline'!$C$9:$R$257,6,FALSE))</f>
        <v/>
      </c>
      <c r="H200" s="520" t="str">
        <f>IF(G200="","",VLOOKUP($B200,'F-1 Off Site River Baseline'!$C$9:$R$257,7,FALSE))</f>
        <v/>
      </c>
      <c r="I200" s="520" t="str">
        <f>IF(H200="","",VLOOKUP($B200,'F-1 Off Site River Baseline'!$C$9:$R$257,8,FALSE))</f>
        <v/>
      </c>
      <c r="J200" s="520" t="str">
        <f>IF(I200="","",VLOOKUP($B200,'F-1 Off Site River Baseline'!$C$9:$R$257,9,FALSE))</f>
        <v/>
      </c>
      <c r="K200" s="520" t="str">
        <f>IF(J200="","",VLOOKUP($B200,'F-1 Off Site River Baseline'!$C$9:$R$257,10,FALSE))</f>
        <v/>
      </c>
      <c r="L200" s="520" t="str">
        <f>IF(B200="","",VLOOKUP($B200,'C-1 Site River Baseline'!$C$9:$R$257,15,FALSE))</f>
        <v/>
      </c>
      <c r="M200" s="524" t="str">
        <f>IF(L200="","",VLOOKUP($B200,'F-1 Off Site River Baseline'!$C$9:$R$257,16,FALSE))</f>
        <v/>
      </c>
      <c r="N200" s="418" t="str">
        <f t="shared" si="20"/>
        <v/>
      </c>
      <c r="O200" s="498" t="str">
        <f t="shared" si="21"/>
        <v/>
      </c>
      <c r="P200" s="499"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5" t="str">
        <f>IF(N200="","",VLOOKUP(B200,'F-1 Off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20" t="str">
        <f>IF(V200="","",IF(VLOOKUP(V200,'G-7 Rivers Data'!$AG$4:$AI$9,2,FALSE)=0,"Spatial Data Missing ⚠",VLOOKUP(V200,'G-7 Rivers Data'!$AG$4:$AI$9,2,FALSE)))</f>
        <v/>
      </c>
      <c r="X200" s="524" t="str">
        <f>IF(V200="","",IF(VLOOKUP(V200,'G-7 Rivers Data'!$AG$4:$AI$9,3,FALSE)=0,"Spatial Data Missing ⚠",VLOOKUP(V200,'G-7 Rivers Data'!$AG$4:$AI$9,3,FALSE)))</f>
        <v/>
      </c>
      <c r="Y200" s="537" t="str">
        <f>IFERROR(IF(OR(LEFT(P200,5)="Error ▲",LEFT(O200,5)="Error ▲"),"Check Data ⚠",IF(F200&lt;S200,'G-7 Rivers Data'!$R$3,INDEX('G-7 Rivers Data'!$U$5:$Y$9,MATCH(G200,'G-7 Rivers Data'!$T$5:$T$9,0),MATCH(T200,'G-7 Rivers Data'!$U$4:$Y$4,0)))),"")</f>
        <v/>
      </c>
      <c r="Z200" s="203"/>
      <c r="AA200" s="203"/>
      <c r="AB200" s="534" t="str">
        <f t="shared" si="16"/>
        <v/>
      </c>
      <c r="AC200" s="521" t="str">
        <f t="shared" si="17"/>
        <v/>
      </c>
      <c r="AD200" s="564" t="str">
        <f>IFERROR(IF(AC200="Check Data ⚠","Check Data ⚠",VLOOKUP(AC200,'G-4 Temporal multipliers'!$A$4:$C$37,3,FALSE)),"")</f>
        <v/>
      </c>
      <c r="AE200" s="537" t="str">
        <f>IF(N200="","",VLOOKUP(N200,'G-7 Rivers Data'!$B$4:$G$8,5,FALSE))</f>
        <v/>
      </c>
      <c r="AF200" s="520" t="str">
        <f t="shared" si="18"/>
        <v/>
      </c>
      <c r="AG200" s="520" t="str">
        <f t="shared" si="22"/>
        <v/>
      </c>
      <c r="AH200" s="524" t="str">
        <f t="shared" si="19"/>
        <v/>
      </c>
      <c r="AI200" s="145"/>
      <c r="AJ200" s="499" t="str">
        <f>IF(AI200="","",IF(VLOOKUP(AI200,'G-7 Rivers Data'!$AA$4:$AB$7,2,FALSE)=0,"Spatial Data Missing ⚠",VLOOKUP(AI200,'G-7 Rivers Data'!$AA$4:$AB$7,2,FALSE)))</f>
        <v/>
      </c>
      <c r="AK200" s="155"/>
      <c r="AL200" s="536" t="str">
        <f>IF(AK200="","",IF(VLOOKUP(AK200,'G-7 Rivers Data'!$AD$4:$AE$8,2,FALSE)=0,"Spatial Data Missing ⚠",VLOOKUP(AK200,'G-7 Rivers Data'!$AD$4:$AE$8,2,FALSE)))</f>
        <v/>
      </c>
      <c r="AM200" s="154"/>
      <c r="AN200" s="524" t="str">
        <f>IF(AM200="","",VLOOKUP(AM200,'G-7 Rivers Data'!$AO$4:$AP$7,2,FALSE))</f>
        <v/>
      </c>
      <c r="AO200" s="545" t="str">
        <f t="shared" si="23"/>
        <v/>
      </c>
      <c r="AP200" s="149"/>
      <c r="AQ200" s="150"/>
      <c r="AX200" s="31" t="str">
        <f>IFERROR(INDEX('G-7 Rivers Data'!$AZ$3:$AZ$7,MATCH(N200,'G-7 Rivers Data'!$AY$3:$AY$7,0)),"")</f>
        <v/>
      </c>
    </row>
    <row r="201" spans="2:50" ht="13.8" x14ac:dyDescent="0.25">
      <c r="B201" s="531" t="str">
        <f>'F-1 Off Site River Baseline'!AN199</f>
        <v/>
      </c>
      <c r="C201" s="520" t="str">
        <f>IF(B201="","",VLOOKUP($B201,'F-1 Off Site River Baseline'!$C$9:$R$257,2,FALSE))</f>
        <v/>
      </c>
      <c r="D201" s="520" t="str">
        <f>IF(C201="","",VLOOKUP($B201,'F-1 Off Site River Baseline'!$C$9:$R$257,3,FALSE))</f>
        <v/>
      </c>
      <c r="E201" s="520" t="str">
        <f>IF(D201="","",VLOOKUP($B201,'F-1 Off Site River Baseline'!$C$9:$R$257,4,FALSE))</f>
        <v/>
      </c>
      <c r="F201" s="520" t="str">
        <f>IF(E201="","",VLOOKUP($B201,'F-1 Off Site River Baseline'!$C$9:$R$257,5,FALSE))</f>
        <v/>
      </c>
      <c r="G201" s="520" t="str">
        <f>IF(F201="","",VLOOKUP($B201,'F-1 Off Site River Baseline'!$C$9:$R$257,6,FALSE))</f>
        <v/>
      </c>
      <c r="H201" s="520" t="str">
        <f>IF(G201="","",VLOOKUP($B201,'F-1 Off Site River Baseline'!$C$9:$R$257,7,FALSE))</f>
        <v/>
      </c>
      <c r="I201" s="520" t="str">
        <f>IF(H201="","",VLOOKUP($B201,'F-1 Off Site River Baseline'!$C$9:$R$257,8,FALSE))</f>
        <v/>
      </c>
      <c r="J201" s="520" t="str">
        <f>IF(I201="","",VLOOKUP($B201,'F-1 Off Site River Baseline'!$C$9:$R$257,9,FALSE))</f>
        <v/>
      </c>
      <c r="K201" s="520" t="str">
        <f>IF(J201="","",VLOOKUP($B201,'F-1 Off Site River Baseline'!$C$9:$R$257,10,FALSE))</f>
        <v/>
      </c>
      <c r="L201" s="520" t="str">
        <f>IF(B201="","",VLOOKUP($B201,'C-1 Site River Baseline'!$C$9:$R$257,15,FALSE))</f>
        <v/>
      </c>
      <c r="M201" s="524" t="str">
        <f>IF(L201="","",VLOOKUP($B201,'F-1 Off Site River Baseline'!$C$9:$R$257,16,FALSE))</f>
        <v/>
      </c>
      <c r="N201" s="418" t="str">
        <f t="shared" si="20"/>
        <v/>
      </c>
      <c r="O201" s="498" t="str">
        <f t="shared" si="21"/>
        <v/>
      </c>
      <c r="P201" s="499"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5" t="str">
        <f>IF(N201="","",VLOOKUP(B201,'F-1 Off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20" t="str">
        <f>IF(V201="","",IF(VLOOKUP(V201,'G-7 Rivers Data'!$AG$4:$AI$9,2,FALSE)=0,"Spatial Data Missing ⚠",VLOOKUP(V201,'G-7 Rivers Data'!$AG$4:$AI$9,2,FALSE)))</f>
        <v/>
      </c>
      <c r="X201" s="524" t="str">
        <f>IF(V201="","",IF(VLOOKUP(V201,'G-7 Rivers Data'!$AG$4:$AI$9,3,FALSE)=0,"Spatial Data Missing ⚠",VLOOKUP(V201,'G-7 Rivers Data'!$AG$4:$AI$9,3,FALSE)))</f>
        <v/>
      </c>
      <c r="Y201" s="537" t="str">
        <f>IFERROR(IF(OR(LEFT(P201,5)="Error ▲",LEFT(O201,5)="Error ▲"),"Check Data ⚠",IF(F201&lt;S201,'G-7 Rivers Data'!$R$3,INDEX('G-7 Rivers Data'!$U$5:$Y$9,MATCH(G201,'G-7 Rivers Data'!$T$5:$T$9,0),MATCH(T201,'G-7 Rivers Data'!$U$4:$Y$4,0)))),"")</f>
        <v/>
      </c>
      <c r="Z201" s="203"/>
      <c r="AA201" s="203"/>
      <c r="AB201" s="534" t="str">
        <f t="shared" si="16"/>
        <v/>
      </c>
      <c r="AC201" s="521" t="str">
        <f t="shared" si="17"/>
        <v/>
      </c>
      <c r="AD201" s="564" t="str">
        <f>IFERROR(IF(AC201="Check Data ⚠","Check Data ⚠",VLOOKUP(AC201,'G-4 Temporal multipliers'!$A$4:$C$37,3,FALSE)),"")</f>
        <v/>
      </c>
      <c r="AE201" s="537" t="str">
        <f>IF(N201="","",VLOOKUP(N201,'G-7 Rivers Data'!$B$4:$G$8,5,FALSE))</f>
        <v/>
      </c>
      <c r="AF201" s="520" t="str">
        <f t="shared" si="18"/>
        <v/>
      </c>
      <c r="AG201" s="520" t="str">
        <f t="shared" si="22"/>
        <v/>
      </c>
      <c r="AH201" s="524" t="str">
        <f t="shared" si="19"/>
        <v/>
      </c>
      <c r="AI201" s="145"/>
      <c r="AJ201" s="499" t="str">
        <f>IF(AI201="","",IF(VLOOKUP(AI201,'G-7 Rivers Data'!$AA$4:$AB$7,2,FALSE)=0,"Spatial Data Missing ⚠",VLOOKUP(AI201,'G-7 Rivers Data'!$AA$4:$AB$7,2,FALSE)))</f>
        <v/>
      </c>
      <c r="AK201" s="155"/>
      <c r="AL201" s="536" t="str">
        <f>IF(AK201="","",IF(VLOOKUP(AK201,'G-7 Rivers Data'!$AD$4:$AE$8,2,FALSE)=0,"Spatial Data Missing ⚠",VLOOKUP(AK201,'G-7 Rivers Data'!$AD$4:$AE$8,2,FALSE)))</f>
        <v/>
      </c>
      <c r="AM201" s="154"/>
      <c r="AN201" s="524" t="str">
        <f>IF(AM201="","",VLOOKUP(AM201,'G-7 Rivers Data'!$AO$4:$AP$7,2,FALSE))</f>
        <v/>
      </c>
      <c r="AO201" s="545" t="str">
        <f t="shared" si="23"/>
        <v/>
      </c>
      <c r="AP201" s="149"/>
      <c r="AQ201" s="150"/>
      <c r="AX201" s="31" t="str">
        <f>IFERROR(INDEX('G-7 Rivers Data'!$AZ$3:$AZ$7,MATCH(N201,'G-7 Rivers Data'!$AY$3:$AY$7,0)),"")</f>
        <v/>
      </c>
    </row>
    <row r="202" spans="2:50" ht="13.8" x14ac:dyDescent="0.25">
      <c r="B202" s="531" t="str">
        <f>'F-1 Off Site River Baseline'!AN200</f>
        <v/>
      </c>
      <c r="C202" s="520" t="str">
        <f>IF(B202="","",VLOOKUP($B202,'F-1 Off Site River Baseline'!$C$9:$R$257,2,FALSE))</f>
        <v/>
      </c>
      <c r="D202" s="520" t="str">
        <f>IF(C202="","",VLOOKUP($B202,'F-1 Off Site River Baseline'!$C$9:$R$257,3,FALSE))</f>
        <v/>
      </c>
      <c r="E202" s="520" t="str">
        <f>IF(D202="","",VLOOKUP($B202,'F-1 Off Site River Baseline'!$C$9:$R$257,4,FALSE))</f>
        <v/>
      </c>
      <c r="F202" s="520" t="str">
        <f>IF(E202="","",VLOOKUP($B202,'F-1 Off Site River Baseline'!$C$9:$R$257,5,FALSE))</f>
        <v/>
      </c>
      <c r="G202" s="520" t="str">
        <f>IF(F202="","",VLOOKUP($B202,'F-1 Off Site River Baseline'!$C$9:$R$257,6,FALSE))</f>
        <v/>
      </c>
      <c r="H202" s="520" t="str">
        <f>IF(G202="","",VLOOKUP($B202,'F-1 Off Site River Baseline'!$C$9:$R$257,7,FALSE))</f>
        <v/>
      </c>
      <c r="I202" s="520" t="str">
        <f>IF(H202="","",VLOOKUP($B202,'F-1 Off Site River Baseline'!$C$9:$R$257,8,FALSE))</f>
        <v/>
      </c>
      <c r="J202" s="520" t="str">
        <f>IF(I202="","",VLOOKUP($B202,'F-1 Off Site River Baseline'!$C$9:$R$257,9,FALSE))</f>
        <v/>
      </c>
      <c r="K202" s="520" t="str">
        <f>IF(J202="","",VLOOKUP($B202,'F-1 Off Site River Baseline'!$C$9:$R$257,10,FALSE))</f>
        <v/>
      </c>
      <c r="L202" s="520" t="str">
        <f>IF(B202="","",VLOOKUP($B202,'C-1 Site River Baseline'!$C$9:$R$257,15,FALSE))</f>
        <v/>
      </c>
      <c r="M202" s="524" t="str">
        <f>IF(L202="","",VLOOKUP($B202,'F-1 Off Site River Baseline'!$C$9:$R$257,16,FALSE))</f>
        <v/>
      </c>
      <c r="N202" s="418" t="str">
        <f t="shared" si="20"/>
        <v/>
      </c>
      <c r="O202" s="498" t="str">
        <f t="shared" si="21"/>
        <v/>
      </c>
      <c r="P202" s="499"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5" t="str">
        <f>IF(N202="","",VLOOKUP(B202,'F-1 Off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20" t="str">
        <f>IF(V202="","",IF(VLOOKUP(V202,'G-7 Rivers Data'!$AG$4:$AI$9,2,FALSE)=0,"Spatial Data Missing ⚠",VLOOKUP(V202,'G-7 Rivers Data'!$AG$4:$AI$9,2,FALSE)))</f>
        <v/>
      </c>
      <c r="X202" s="524" t="str">
        <f>IF(V202="","",IF(VLOOKUP(V202,'G-7 Rivers Data'!$AG$4:$AI$9,3,FALSE)=0,"Spatial Data Missing ⚠",VLOOKUP(V202,'G-7 Rivers Data'!$AG$4:$AI$9,3,FALSE)))</f>
        <v/>
      </c>
      <c r="Y202" s="537" t="str">
        <f>IFERROR(IF(OR(LEFT(P202,5)="Error ▲",LEFT(O202,5)="Error ▲"),"Check Data ⚠",IF(F202&lt;S202,'G-7 Rivers Data'!$R$3,INDEX('G-7 Rivers Data'!$U$5:$Y$9,MATCH(G202,'G-7 Rivers Data'!$T$5:$T$9,0),MATCH(T202,'G-7 Rivers Data'!$U$4:$Y$4,0)))),"")</f>
        <v/>
      </c>
      <c r="Z202" s="203"/>
      <c r="AA202" s="203"/>
      <c r="AB202" s="534" t="str">
        <f t="shared" si="16"/>
        <v/>
      </c>
      <c r="AC202" s="521" t="str">
        <f t="shared" si="17"/>
        <v/>
      </c>
      <c r="AD202" s="564" t="str">
        <f>IFERROR(IF(AC202="Check Data ⚠","Check Data ⚠",VLOOKUP(AC202,'G-4 Temporal multipliers'!$A$4:$C$37,3,FALSE)),"")</f>
        <v/>
      </c>
      <c r="AE202" s="537" t="str">
        <f>IF(N202="","",VLOOKUP(N202,'G-7 Rivers Data'!$B$4:$G$8,5,FALSE))</f>
        <v/>
      </c>
      <c r="AF202" s="520" t="str">
        <f t="shared" si="18"/>
        <v/>
      </c>
      <c r="AG202" s="520" t="str">
        <f t="shared" si="22"/>
        <v/>
      </c>
      <c r="AH202" s="524" t="str">
        <f t="shared" si="19"/>
        <v/>
      </c>
      <c r="AI202" s="145"/>
      <c r="AJ202" s="499" t="str">
        <f>IF(AI202="","",IF(VLOOKUP(AI202,'G-7 Rivers Data'!$AA$4:$AB$7,2,FALSE)=0,"Spatial Data Missing ⚠",VLOOKUP(AI202,'G-7 Rivers Data'!$AA$4:$AB$7,2,FALSE)))</f>
        <v/>
      </c>
      <c r="AK202" s="155"/>
      <c r="AL202" s="536" t="str">
        <f>IF(AK202="","",IF(VLOOKUP(AK202,'G-7 Rivers Data'!$AD$4:$AE$8,2,FALSE)=0,"Spatial Data Missing ⚠",VLOOKUP(AK202,'G-7 Rivers Data'!$AD$4:$AE$8,2,FALSE)))</f>
        <v/>
      </c>
      <c r="AM202" s="154"/>
      <c r="AN202" s="524" t="str">
        <f>IF(AM202="","",VLOOKUP(AM202,'G-7 Rivers Data'!$AO$4:$AP$7,2,FALSE))</f>
        <v/>
      </c>
      <c r="AO202" s="545" t="str">
        <f t="shared" si="23"/>
        <v/>
      </c>
      <c r="AP202" s="149"/>
      <c r="AQ202" s="150"/>
      <c r="AX202" s="31" t="str">
        <f>IFERROR(INDEX('G-7 Rivers Data'!$AZ$3:$AZ$7,MATCH(N202,'G-7 Rivers Data'!$AY$3:$AY$7,0)),"")</f>
        <v/>
      </c>
    </row>
    <row r="203" spans="2:50" ht="13.8" x14ac:dyDescent="0.25">
      <c r="B203" s="531" t="str">
        <f>'F-1 Off Site River Baseline'!AN201</f>
        <v/>
      </c>
      <c r="C203" s="520" t="str">
        <f>IF(B203="","",VLOOKUP($B203,'F-1 Off Site River Baseline'!$C$9:$R$257,2,FALSE))</f>
        <v/>
      </c>
      <c r="D203" s="520" t="str">
        <f>IF(C203="","",VLOOKUP($B203,'F-1 Off Site River Baseline'!$C$9:$R$257,3,FALSE))</f>
        <v/>
      </c>
      <c r="E203" s="520" t="str">
        <f>IF(D203="","",VLOOKUP($B203,'F-1 Off Site River Baseline'!$C$9:$R$257,4,FALSE))</f>
        <v/>
      </c>
      <c r="F203" s="520" t="str">
        <f>IF(E203="","",VLOOKUP($B203,'F-1 Off Site River Baseline'!$C$9:$R$257,5,FALSE))</f>
        <v/>
      </c>
      <c r="G203" s="520" t="str">
        <f>IF(F203="","",VLOOKUP($B203,'F-1 Off Site River Baseline'!$C$9:$R$257,6,FALSE))</f>
        <v/>
      </c>
      <c r="H203" s="520" t="str">
        <f>IF(G203="","",VLOOKUP($B203,'F-1 Off Site River Baseline'!$C$9:$R$257,7,FALSE))</f>
        <v/>
      </c>
      <c r="I203" s="520" t="str">
        <f>IF(H203="","",VLOOKUP($B203,'F-1 Off Site River Baseline'!$C$9:$R$257,8,FALSE))</f>
        <v/>
      </c>
      <c r="J203" s="520" t="str">
        <f>IF(I203="","",VLOOKUP($B203,'F-1 Off Site River Baseline'!$C$9:$R$257,9,FALSE))</f>
        <v/>
      </c>
      <c r="K203" s="520" t="str">
        <f>IF(J203="","",VLOOKUP($B203,'F-1 Off Site River Baseline'!$C$9:$R$257,10,FALSE))</f>
        <v/>
      </c>
      <c r="L203" s="520" t="str">
        <f>IF(B203="","",VLOOKUP($B203,'C-1 Site River Baseline'!$C$9:$R$257,15,FALSE))</f>
        <v/>
      </c>
      <c r="M203" s="524" t="str">
        <f>IF(L203="","",VLOOKUP($B203,'F-1 Off Site River Baseline'!$C$9:$R$257,16,FALSE))</f>
        <v/>
      </c>
      <c r="N203" s="418" t="str">
        <f t="shared" si="20"/>
        <v/>
      </c>
      <c r="O203" s="498" t="str">
        <f t="shared" si="21"/>
        <v/>
      </c>
      <c r="P203" s="499"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5" t="str">
        <f>IF(N203="","",VLOOKUP(B203,'F-1 Off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20" t="str">
        <f>IF(V203="","",IF(VLOOKUP(V203,'G-7 Rivers Data'!$AG$4:$AI$9,2,FALSE)=0,"Spatial Data Missing ⚠",VLOOKUP(V203,'G-7 Rivers Data'!$AG$4:$AI$9,2,FALSE)))</f>
        <v/>
      </c>
      <c r="X203" s="524" t="str">
        <f>IF(V203="","",IF(VLOOKUP(V203,'G-7 Rivers Data'!$AG$4:$AI$9,3,FALSE)=0,"Spatial Data Missing ⚠",VLOOKUP(V203,'G-7 Rivers Data'!$AG$4:$AI$9,3,FALSE)))</f>
        <v/>
      </c>
      <c r="Y203" s="537" t="str">
        <f>IFERROR(IF(OR(LEFT(P203,5)="Error ▲",LEFT(O203,5)="Error ▲"),"Check Data ⚠",IF(F203&lt;S203,'G-7 Rivers Data'!$R$3,INDEX('G-7 Rivers Data'!$U$5:$Y$9,MATCH(G203,'G-7 Rivers Data'!$T$5:$T$9,0),MATCH(T203,'G-7 Rivers Data'!$U$4:$Y$4,0)))),"")</f>
        <v/>
      </c>
      <c r="Z203" s="203"/>
      <c r="AA203" s="203"/>
      <c r="AB203" s="534" t="str">
        <f t="shared" si="16"/>
        <v/>
      </c>
      <c r="AC203" s="521" t="str">
        <f t="shared" si="17"/>
        <v/>
      </c>
      <c r="AD203" s="564" t="str">
        <f>IFERROR(IF(AC203="Check Data ⚠","Check Data ⚠",VLOOKUP(AC203,'G-4 Temporal multipliers'!$A$4:$C$37,3,FALSE)),"")</f>
        <v/>
      </c>
      <c r="AE203" s="537" t="str">
        <f>IF(N203="","",VLOOKUP(N203,'G-7 Rivers Data'!$B$4:$G$8,5,FALSE))</f>
        <v/>
      </c>
      <c r="AF203" s="520" t="str">
        <f t="shared" si="18"/>
        <v/>
      </c>
      <c r="AG203" s="520" t="str">
        <f t="shared" si="22"/>
        <v/>
      </c>
      <c r="AH203" s="524" t="str">
        <f t="shared" si="19"/>
        <v/>
      </c>
      <c r="AI203" s="145"/>
      <c r="AJ203" s="499" t="str">
        <f>IF(AI203="","",IF(VLOOKUP(AI203,'G-7 Rivers Data'!$AA$4:$AB$7,2,FALSE)=0,"Spatial Data Missing ⚠",VLOOKUP(AI203,'G-7 Rivers Data'!$AA$4:$AB$7,2,FALSE)))</f>
        <v/>
      </c>
      <c r="AK203" s="155"/>
      <c r="AL203" s="536" t="str">
        <f>IF(AK203="","",IF(VLOOKUP(AK203,'G-7 Rivers Data'!$AD$4:$AE$8,2,FALSE)=0,"Spatial Data Missing ⚠",VLOOKUP(AK203,'G-7 Rivers Data'!$AD$4:$AE$8,2,FALSE)))</f>
        <v/>
      </c>
      <c r="AM203" s="154"/>
      <c r="AN203" s="524" t="str">
        <f>IF(AM203="","",VLOOKUP(AM203,'G-7 Rivers Data'!$AO$4:$AP$7,2,FALSE))</f>
        <v/>
      </c>
      <c r="AO203" s="545" t="str">
        <f t="shared" si="23"/>
        <v/>
      </c>
      <c r="AP203" s="149"/>
      <c r="AQ203" s="150"/>
      <c r="AX203" s="31" t="str">
        <f>IFERROR(INDEX('G-7 Rivers Data'!$AZ$3:$AZ$7,MATCH(N203,'G-7 Rivers Data'!$AY$3:$AY$7,0)),"")</f>
        <v/>
      </c>
    </row>
    <row r="204" spans="2:50" ht="13.8" x14ac:dyDescent="0.25">
      <c r="B204" s="531" t="str">
        <f>'F-1 Off Site River Baseline'!AN202</f>
        <v/>
      </c>
      <c r="C204" s="520" t="str">
        <f>IF(B204="","",VLOOKUP($B204,'F-1 Off Site River Baseline'!$C$9:$R$257,2,FALSE))</f>
        <v/>
      </c>
      <c r="D204" s="520" t="str">
        <f>IF(C204="","",VLOOKUP($B204,'F-1 Off Site River Baseline'!$C$9:$R$257,3,FALSE))</f>
        <v/>
      </c>
      <c r="E204" s="520" t="str">
        <f>IF(D204="","",VLOOKUP($B204,'F-1 Off Site River Baseline'!$C$9:$R$257,4,FALSE))</f>
        <v/>
      </c>
      <c r="F204" s="520" t="str">
        <f>IF(E204="","",VLOOKUP($B204,'F-1 Off Site River Baseline'!$C$9:$R$257,5,FALSE))</f>
        <v/>
      </c>
      <c r="G204" s="520" t="str">
        <f>IF(F204="","",VLOOKUP($B204,'F-1 Off Site River Baseline'!$C$9:$R$257,6,FALSE))</f>
        <v/>
      </c>
      <c r="H204" s="520" t="str">
        <f>IF(G204="","",VLOOKUP($B204,'F-1 Off Site River Baseline'!$C$9:$R$257,7,FALSE))</f>
        <v/>
      </c>
      <c r="I204" s="520" t="str">
        <f>IF(H204="","",VLOOKUP($B204,'F-1 Off Site River Baseline'!$C$9:$R$257,8,FALSE))</f>
        <v/>
      </c>
      <c r="J204" s="520" t="str">
        <f>IF(I204="","",VLOOKUP($B204,'F-1 Off Site River Baseline'!$C$9:$R$257,9,FALSE))</f>
        <v/>
      </c>
      <c r="K204" s="520" t="str">
        <f>IF(J204="","",VLOOKUP($B204,'F-1 Off Site River Baseline'!$C$9:$R$257,10,FALSE))</f>
        <v/>
      </c>
      <c r="L204" s="520" t="str">
        <f>IF(B204="","",VLOOKUP($B204,'C-1 Site River Baseline'!$C$9:$R$257,15,FALSE))</f>
        <v/>
      </c>
      <c r="M204" s="524" t="str">
        <f>IF(L204="","",VLOOKUP($B204,'F-1 Off Site River Baseline'!$C$9:$R$257,16,FALSE))</f>
        <v/>
      </c>
      <c r="N204" s="418" t="str">
        <f t="shared" si="20"/>
        <v/>
      </c>
      <c r="O204" s="498" t="str">
        <f t="shared" si="21"/>
        <v/>
      </c>
      <c r="P204" s="499"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5" t="str">
        <f>IF(N204="","",VLOOKUP(B204,'F-1 Off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20" t="str">
        <f>IF(V204="","",IF(VLOOKUP(V204,'G-7 Rivers Data'!$AG$4:$AI$9,2,FALSE)=0,"Spatial Data Missing ⚠",VLOOKUP(V204,'G-7 Rivers Data'!$AG$4:$AI$9,2,FALSE)))</f>
        <v/>
      </c>
      <c r="X204" s="524" t="str">
        <f>IF(V204="","",IF(VLOOKUP(V204,'G-7 Rivers Data'!$AG$4:$AI$9,3,FALSE)=0,"Spatial Data Missing ⚠",VLOOKUP(V204,'G-7 Rivers Data'!$AG$4:$AI$9,3,FALSE)))</f>
        <v/>
      </c>
      <c r="Y204" s="537" t="str">
        <f>IFERROR(IF(OR(LEFT(P204,5)="Error ▲",LEFT(O204,5)="Error ▲"),"Check Data ⚠",IF(F204&lt;S204,'G-7 Rivers Data'!$R$3,INDEX('G-7 Rivers Data'!$U$5:$Y$9,MATCH(G204,'G-7 Rivers Data'!$T$5:$T$9,0),MATCH(T204,'G-7 Rivers Data'!$U$4:$Y$4,0)))),"")</f>
        <v/>
      </c>
      <c r="Z204" s="203"/>
      <c r="AA204" s="203"/>
      <c r="AB204" s="534"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1" t="str">
        <f t="shared" ref="AC204:AC256" si="25">IF(LEFT(AB204,5)="Error ▲","Check Data ⚠",IF(AB204="Check Data ⚠","Check Data ⚠",IF(Y204="","",IF(Z204="30+",0,IF(AA204="30+","30+ ⚠",IF(Y204+AA204&gt;30,"30+ ⚠",IF(Y204+AA204-Z204&gt;0,Y204+AA204-Z204,IF(Y204-Z204&lt;0,0,Y204+AA204-Z204))))))))</f>
        <v/>
      </c>
      <c r="AD204" s="564" t="str">
        <f>IFERROR(IF(AC204="Check Data ⚠","Check Data ⚠",VLOOKUP(AC204,'G-4 Temporal multipliers'!$A$4:$C$37,3,FALSE)),"")</f>
        <v/>
      </c>
      <c r="AE204" s="537" t="str">
        <f>IF(N204="","",VLOOKUP(N204,'G-7 Rivers Data'!$B$4:$G$8,5,FALSE))</f>
        <v/>
      </c>
      <c r="AF204" s="520" t="str">
        <f t="shared" ref="AF204:AF256" si="26">IF(N204="","",IF(AC204="Check Data ⚠","Check Data ⚠",IF(T204="","",IF($AB204="Check details - Is there evidence that habitat has reached target condition? ⚠","Low Difficulty - only applicable if all habitat created before losses ⚠","Standard difficulty applied"))))</f>
        <v/>
      </c>
      <c r="AG204" s="520" t="str">
        <f t="shared" si="22"/>
        <v/>
      </c>
      <c r="AH204" s="524" t="str">
        <f t="shared" ref="AH204:AH257" si="27">IF(N204="","",VLOOKUP(AE204,Difficulty,2,FALSE))</f>
        <v/>
      </c>
      <c r="AI204" s="145"/>
      <c r="AJ204" s="499" t="str">
        <f>IF(AI204="","",IF(VLOOKUP(AI204,'G-7 Rivers Data'!$AA$4:$AB$7,2,FALSE)=0,"Spatial Data Missing ⚠",VLOOKUP(AI204,'G-7 Rivers Data'!$AA$4:$AB$7,2,FALSE)))</f>
        <v/>
      </c>
      <c r="AK204" s="155"/>
      <c r="AL204" s="536" t="str">
        <f>IF(AK204="","",IF(VLOOKUP(AK204,'G-7 Rivers Data'!$AD$4:$AE$8,2,FALSE)=0,"Spatial Data Missing ⚠",VLOOKUP(AK204,'G-7 Rivers Data'!$AD$4:$AE$8,2,FALSE)))</f>
        <v/>
      </c>
      <c r="AM204" s="154"/>
      <c r="AN204" s="524" t="str">
        <f>IF(AM204="","",VLOOKUP(AM204,'G-7 Rivers Data'!$AO$4:$AP$7,2,FALSE))</f>
        <v/>
      </c>
      <c r="AO204" s="545" t="str">
        <f t="shared" si="23"/>
        <v/>
      </c>
      <c r="AP204" s="149"/>
      <c r="AQ204" s="150"/>
      <c r="AX204" s="31" t="str">
        <f>IFERROR(INDEX('G-7 Rivers Data'!$AZ$3:$AZ$7,MATCH(N204,'G-7 Rivers Data'!$AY$3:$AY$7,0)),"")</f>
        <v/>
      </c>
    </row>
    <row r="205" spans="2:50" ht="13.8" x14ac:dyDescent="0.25">
      <c r="B205" s="531" t="str">
        <f>'F-1 Off Site River Baseline'!AN203</f>
        <v/>
      </c>
      <c r="C205" s="520" t="str">
        <f>IF(B205="","",VLOOKUP($B205,'F-1 Off Site River Baseline'!$C$9:$R$257,2,FALSE))</f>
        <v/>
      </c>
      <c r="D205" s="520" t="str">
        <f>IF(C205="","",VLOOKUP($B205,'F-1 Off Site River Baseline'!$C$9:$R$257,3,FALSE))</f>
        <v/>
      </c>
      <c r="E205" s="520" t="str">
        <f>IF(D205="","",VLOOKUP($B205,'F-1 Off Site River Baseline'!$C$9:$R$257,4,FALSE))</f>
        <v/>
      </c>
      <c r="F205" s="520" t="str">
        <f>IF(E205="","",VLOOKUP($B205,'F-1 Off Site River Baseline'!$C$9:$R$257,5,FALSE))</f>
        <v/>
      </c>
      <c r="G205" s="520" t="str">
        <f>IF(F205="","",VLOOKUP($B205,'F-1 Off Site River Baseline'!$C$9:$R$257,6,FALSE))</f>
        <v/>
      </c>
      <c r="H205" s="520" t="str">
        <f>IF(G205="","",VLOOKUP($B205,'F-1 Off Site River Baseline'!$C$9:$R$257,7,FALSE))</f>
        <v/>
      </c>
      <c r="I205" s="520" t="str">
        <f>IF(H205="","",VLOOKUP($B205,'F-1 Off Site River Baseline'!$C$9:$R$257,8,FALSE))</f>
        <v/>
      </c>
      <c r="J205" s="520" t="str">
        <f>IF(I205="","",VLOOKUP($B205,'F-1 Off Site River Baseline'!$C$9:$R$257,9,FALSE))</f>
        <v/>
      </c>
      <c r="K205" s="520" t="str">
        <f>IF(J205="","",VLOOKUP($B205,'F-1 Off Site River Baseline'!$C$9:$R$257,10,FALSE))</f>
        <v/>
      </c>
      <c r="L205" s="520" t="str">
        <f>IF(B205="","",VLOOKUP($B205,'C-1 Site River Baseline'!$C$9:$R$257,15,FALSE))</f>
        <v/>
      </c>
      <c r="M205" s="524" t="str">
        <f>IF(L205="","",VLOOKUP($B205,'F-1 Off Site River Baseline'!$C$9:$R$257,16,FALSE))</f>
        <v/>
      </c>
      <c r="N205" s="418" t="str">
        <f t="shared" ref="N205:N257" si="28">C205</f>
        <v/>
      </c>
      <c r="O205" s="498" t="str">
        <f t="shared" ref="O205:O257" si="29">IF(B205="","",IF(S205&lt;F205,"Error Trading Down ▲",E205&amp;" - "&amp;R205))</f>
        <v/>
      </c>
      <c r="P205" s="499"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5" t="str">
        <f>IF(N205="","",VLOOKUP(B205,'F-1 Off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20" t="str">
        <f>IF(V205="","",IF(VLOOKUP(V205,'G-7 Rivers Data'!$AG$4:$AI$9,2,FALSE)=0,"Spatial Data Missing ⚠",VLOOKUP(V205,'G-7 Rivers Data'!$AG$4:$AI$9,2,FALSE)))</f>
        <v/>
      </c>
      <c r="X205" s="524" t="str">
        <f>IF(V205="","",IF(VLOOKUP(V205,'G-7 Rivers Data'!$AG$4:$AI$9,3,FALSE)=0,"Spatial Data Missing ⚠",VLOOKUP(V205,'G-7 Rivers Data'!$AG$4:$AI$9,3,FALSE)))</f>
        <v/>
      </c>
      <c r="Y205" s="537" t="str">
        <f>IFERROR(IF(OR(LEFT(P205,5)="Error ▲",LEFT(O205,5)="Error ▲"),"Check Data ⚠",IF(F205&lt;S205,'G-7 Rivers Data'!$R$3,INDEX('G-7 Rivers Data'!$U$5:$Y$9,MATCH(G205,'G-7 Rivers Data'!$T$5:$T$9,0),MATCH(T205,'G-7 Rivers Data'!$U$4:$Y$4,0)))),"")</f>
        <v/>
      </c>
      <c r="Z205" s="203"/>
      <c r="AA205" s="203"/>
      <c r="AB205" s="534" t="str">
        <f t="shared" si="24"/>
        <v/>
      </c>
      <c r="AC205" s="521" t="str">
        <f t="shared" si="25"/>
        <v/>
      </c>
      <c r="AD205" s="564" t="str">
        <f>IFERROR(IF(AC205="Check Data ⚠","Check Data ⚠",VLOOKUP(AC205,'G-4 Temporal multipliers'!$A$4:$C$37,3,FALSE)),"")</f>
        <v/>
      </c>
      <c r="AE205" s="537" t="str">
        <f>IF(N205="","",VLOOKUP(N205,'G-7 Rivers Data'!$B$4:$G$8,5,FALSE))</f>
        <v/>
      </c>
      <c r="AF205" s="520" t="str">
        <f t="shared" si="26"/>
        <v/>
      </c>
      <c r="AG205" s="520" t="str">
        <f t="shared" ref="AG205:AG257" si="30">(IF(AND(AF205="Standard difficulty applied",Y205&gt;Z205),AE205,IF(AND(AF205="Low Difficulty - only applicable if all habitat created before losses ⚠",Z205&gt;=Y205),"Low",AE205)))</f>
        <v/>
      </c>
      <c r="AH205" s="524" t="str">
        <f t="shared" si="27"/>
        <v/>
      </c>
      <c r="AI205" s="145"/>
      <c r="AJ205" s="499" t="str">
        <f>IF(AI205="","",IF(VLOOKUP(AI205,'G-7 Rivers Data'!$AA$4:$AB$7,2,FALSE)=0,"Spatial Data Missing ⚠",VLOOKUP(AI205,'G-7 Rivers Data'!$AA$4:$AB$7,2,FALSE)))</f>
        <v/>
      </c>
      <c r="AK205" s="155"/>
      <c r="AL205" s="536" t="str">
        <f>IF(AK205="","",IF(VLOOKUP(AK205,'G-7 Rivers Data'!$AD$4:$AE$8,2,FALSE)=0,"Spatial Data Missing ⚠",VLOOKUP(AK205,'G-7 Rivers Data'!$AD$4:$AE$8,2,FALSE)))</f>
        <v/>
      </c>
      <c r="AM205" s="154"/>
      <c r="AN205" s="524" t="str">
        <f>IF(AM205="","",VLOOKUP(AM205,'G-7 Rivers Data'!$AO$4:$AP$7,2,FALSE))</f>
        <v/>
      </c>
      <c r="AO205" s="545"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8" x14ac:dyDescent="0.25">
      <c r="B206" s="531" t="str">
        <f>'F-1 Off Site River Baseline'!AN204</f>
        <v/>
      </c>
      <c r="C206" s="520" t="str">
        <f>IF(B206="","",VLOOKUP($B206,'F-1 Off Site River Baseline'!$C$9:$R$257,2,FALSE))</f>
        <v/>
      </c>
      <c r="D206" s="520" t="str">
        <f>IF(C206="","",VLOOKUP($B206,'F-1 Off Site River Baseline'!$C$9:$R$257,3,FALSE))</f>
        <v/>
      </c>
      <c r="E206" s="520" t="str">
        <f>IF(D206="","",VLOOKUP($B206,'F-1 Off Site River Baseline'!$C$9:$R$257,4,FALSE))</f>
        <v/>
      </c>
      <c r="F206" s="520" t="str">
        <f>IF(E206="","",VLOOKUP($B206,'F-1 Off Site River Baseline'!$C$9:$R$257,5,FALSE))</f>
        <v/>
      </c>
      <c r="G206" s="520" t="str">
        <f>IF(F206="","",VLOOKUP($B206,'F-1 Off Site River Baseline'!$C$9:$R$257,6,FALSE))</f>
        <v/>
      </c>
      <c r="H206" s="520" t="str">
        <f>IF(G206="","",VLOOKUP($B206,'F-1 Off Site River Baseline'!$C$9:$R$257,7,FALSE))</f>
        <v/>
      </c>
      <c r="I206" s="520" t="str">
        <f>IF(H206="","",VLOOKUP($B206,'F-1 Off Site River Baseline'!$C$9:$R$257,8,FALSE))</f>
        <v/>
      </c>
      <c r="J206" s="520" t="str">
        <f>IF(I206="","",VLOOKUP($B206,'F-1 Off Site River Baseline'!$C$9:$R$257,9,FALSE))</f>
        <v/>
      </c>
      <c r="K206" s="520" t="str">
        <f>IF(J206="","",VLOOKUP($B206,'F-1 Off Site River Baseline'!$C$9:$R$257,10,FALSE))</f>
        <v/>
      </c>
      <c r="L206" s="520" t="str">
        <f>IF(B206="","",VLOOKUP($B206,'C-1 Site River Baseline'!$C$9:$R$257,15,FALSE))</f>
        <v/>
      </c>
      <c r="M206" s="524" t="str">
        <f>IF(L206="","",VLOOKUP($B206,'F-1 Off Site River Baseline'!$C$9:$R$257,16,FALSE))</f>
        <v/>
      </c>
      <c r="N206" s="418" t="str">
        <f t="shared" si="28"/>
        <v/>
      </c>
      <c r="O206" s="498" t="str">
        <f t="shared" si="29"/>
        <v/>
      </c>
      <c r="P206" s="499"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5" t="str">
        <f>IF(N206="","",VLOOKUP(B206,'F-1 Off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20" t="str">
        <f>IF(V206="","",IF(VLOOKUP(V206,'G-7 Rivers Data'!$AG$4:$AI$9,2,FALSE)=0,"Spatial Data Missing ⚠",VLOOKUP(V206,'G-7 Rivers Data'!$AG$4:$AI$9,2,FALSE)))</f>
        <v/>
      </c>
      <c r="X206" s="524" t="str">
        <f>IF(V206="","",IF(VLOOKUP(V206,'G-7 Rivers Data'!$AG$4:$AI$9,3,FALSE)=0,"Spatial Data Missing ⚠",VLOOKUP(V206,'G-7 Rivers Data'!$AG$4:$AI$9,3,FALSE)))</f>
        <v/>
      </c>
      <c r="Y206" s="537" t="str">
        <f>IFERROR(IF(OR(LEFT(P206,5)="Error ▲",LEFT(O206,5)="Error ▲"),"Check Data ⚠",IF(F206&lt;S206,'G-7 Rivers Data'!$R$3,INDEX('G-7 Rivers Data'!$U$5:$Y$9,MATCH(G206,'G-7 Rivers Data'!$T$5:$T$9,0),MATCH(T206,'G-7 Rivers Data'!$U$4:$Y$4,0)))),"")</f>
        <v/>
      </c>
      <c r="Z206" s="203"/>
      <c r="AA206" s="203"/>
      <c r="AB206" s="534" t="str">
        <f t="shared" si="24"/>
        <v/>
      </c>
      <c r="AC206" s="521" t="str">
        <f t="shared" si="25"/>
        <v/>
      </c>
      <c r="AD206" s="564" t="str">
        <f>IFERROR(IF(AC206="Check Data ⚠","Check Data ⚠",VLOOKUP(AC206,'G-4 Temporal multipliers'!$A$4:$C$37,3,FALSE)),"")</f>
        <v/>
      </c>
      <c r="AE206" s="537" t="str">
        <f>IF(N206="","",VLOOKUP(N206,'G-7 Rivers Data'!$B$4:$G$8,5,FALSE))</f>
        <v/>
      </c>
      <c r="AF206" s="520" t="str">
        <f t="shared" si="26"/>
        <v/>
      </c>
      <c r="AG206" s="520" t="str">
        <f t="shared" si="30"/>
        <v/>
      </c>
      <c r="AH206" s="524" t="str">
        <f t="shared" si="27"/>
        <v/>
      </c>
      <c r="AI206" s="145"/>
      <c r="AJ206" s="499" t="str">
        <f>IF(AI206="","",IF(VLOOKUP(AI206,'G-7 Rivers Data'!$AA$4:$AB$7,2,FALSE)=0,"Spatial Data Missing ⚠",VLOOKUP(AI206,'G-7 Rivers Data'!$AA$4:$AB$7,2,FALSE)))</f>
        <v/>
      </c>
      <c r="AK206" s="155"/>
      <c r="AL206" s="536" t="str">
        <f>IF(AK206="","",IF(VLOOKUP(AK206,'G-7 Rivers Data'!$AD$4:$AE$8,2,FALSE)=0,"Spatial Data Missing ⚠",VLOOKUP(AK206,'G-7 Rivers Data'!$AD$4:$AE$8,2,FALSE)))</f>
        <v/>
      </c>
      <c r="AM206" s="154"/>
      <c r="AN206" s="524" t="str">
        <f>IF(AM206="","",VLOOKUP(AM206,'G-7 Rivers Data'!$AO$4:$AP$7,2,FALSE))</f>
        <v/>
      </c>
      <c r="AO206" s="545" t="str">
        <f t="shared" si="31"/>
        <v/>
      </c>
      <c r="AP206" s="149"/>
      <c r="AQ206" s="150"/>
      <c r="AX206" s="31" t="str">
        <f>IFERROR(INDEX('G-7 Rivers Data'!$AZ$3:$AZ$7,MATCH(N206,'G-7 Rivers Data'!$AY$3:$AY$7,0)),"")</f>
        <v/>
      </c>
    </row>
    <row r="207" spans="2:50" ht="13.8" x14ac:dyDescent="0.25">
      <c r="B207" s="531" t="str">
        <f>'F-1 Off Site River Baseline'!AN205</f>
        <v/>
      </c>
      <c r="C207" s="520" t="str">
        <f>IF(B207="","",VLOOKUP($B207,'F-1 Off Site River Baseline'!$C$9:$R$257,2,FALSE))</f>
        <v/>
      </c>
      <c r="D207" s="520" t="str">
        <f>IF(C207="","",VLOOKUP($B207,'F-1 Off Site River Baseline'!$C$9:$R$257,3,FALSE))</f>
        <v/>
      </c>
      <c r="E207" s="520" t="str">
        <f>IF(D207="","",VLOOKUP($B207,'F-1 Off Site River Baseline'!$C$9:$R$257,4,FALSE))</f>
        <v/>
      </c>
      <c r="F207" s="520" t="str">
        <f>IF(E207="","",VLOOKUP($B207,'F-1 Off Site River Baseline'!$C$9:$R$257,5,FALSE))</f>
        <v/>
      </c>
      <c r="G207" s="520" t="str">
        <f>IF(F207="","",VLOOKUP($B207,'F-1 Off Site River Baseline'!$C$9:$R$257,6,FALSE))</f>
        <v/>
      </c>
      <c r="H207" s="520" t="str">
        <f>IF(G207="","",VLOOKUP($B207,'F-1 Off Site River Baseline'!$C$9:$R$257,7,FALSE))</f>
        <v/>
      </c>
      <c r="I207" s="520" t="str">
        <f>IF(H207="","",VLOOKUP($B207,'F-1 Off Site River Baseline'!$C$9:$R$257,8,FALSE))</f>
        <v/>
      </c>
      <c r="J207" s="520" t="str">
        <f>IF(I207="","",VLOOKUP($B207,'F-1 Off Site River Baseline'!$C$9:$R$257,9,FALSE))</f>
        <v/>
      </c>
      <c r="K207" s="520" t="str">
        <f>IF(J207="","",VLOOKUP($B207,'F-1 Off Site River Baseline'!$C$9:$R$257,10,FALSE))</f>
        <v/>
      </c>
      <c r="L207" s="520" t="str">
        <f>IF(B207="","",VLOOKUP($B207,'C-1 Site River Baseline'!$C$9:$R$257,15,FALSE))</f>
        <v/>
      </c>
      <c r="M207" s="524" t="str">
        <f>IF(L207="","",VLOOKUP($B207,'F-1 Off Site River Baseline'!$C$9:$R$257,16,FALSE))</f>
        <v/>
      </c>
      <c r="N207" s="418" t="str">
        <f t="shared" si="28"/>
        <v/>
      </c>
      <c r="O207" s="498" t="str">
        <f t="shared" si="29"/>
        <v/>
      </c>
      <c r="P207" s="499"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5" t="str">
        <f>IF(N207="","",VLOOKUP(B207,'F-1 Off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20" t="str">
        <f>IF(V207="","",IF(VLOOKUP(V207,'G-7 Rivers Data'!$AG$4:$AI$9,2,FALSE)=0,"Spatial Data Missing ⚠",VLOOKUP(V207,'G-7 Rivers Data'!$AG$4:$AI$9,2,FALSE)))</f>
        <v/>
      </c>
      <c r="X207" s="524" t="str">
        <f>IF(V207="","",IF(VLOOKUP(V207,'G-7 Rivers Data'!$AG$4:$AI$9,3,FALSE)=0,"Spatial Data Missing ⚠",VLOOKUP(V207,'G-7 Rivers Data'!$AG$4:$AI$9,3,FALSE)))</f>
        <v/>
      </c>
      <c r="Y207" s="537" t="str">
        <f>IFERROR(IF(OR(LEFT(P207,5)="Error ▲",LEFT(O207,5)="Error ▲"),"Check Data ⚠",IF(F207&lt;S207,'G-7 Rivers Data'!$R$3,INDEX('G-7 Rivers Data'!$U$5:$Y$9,MATCH(G207,'G-7 Rivers Data'!$T$5:$T$9,0),MATCH(T207,'G-7 Rivers Data'!$U$4:$Y$4,0)))),"")</f>
        <v/>
      </c>
      <c r="Z207" s="203"/>
      <c r="AA207" s="203"/>
      <c r="AB207" s="534" t="str">
        <f t="shared" si="24"/>
        <v/>
      </c>
      <c r="AC207" s="521" t="str">
        <f t="shared" si="25"/>
        <v/>
      </c>
      <c r="AD207" s="564" t="str">
        <f>IFERROR(IF(AC207="Check Data ⚠","Check Data ⚠",VLOOKUP(AC207,'G-4 Temporal multipliers'!$A$4:$C$37,3,FALSE)),"")</f>
        <v/>
      </c>
      <c r="AE207" s="537" t="str">
        <f>IF(N207="","",VLOOKUP(N207,'G-7 Rivers Data'!$B$4:$G$8,5,FALSE))</f>
        <v/>
      </c>
      <c r="AF207" s="520" t="str">
        <f t="shared" si="26"/>
        <v/>
      </c>
      <c r="AG207" s="520" t="str">
        <f t="shared" si="30"/>
        <v/>
      </c>
      <c r="AH207" s="524" t="str">
        <f t="shared" si="27"/>
        <v/>
      </c>
      <c r="AI207" s="145"/>
      <c r="AJ207" s="499" t="str">
        <f>IF(AI207="","",IF(VLOOKUP(AI207,'G-7 Rivers Data'!$AA$4:$AB$7,2,FALSE)=0,"Spatial Data Missing ⚠",VLOOKUP(AI207,'G-7 Rivers Data'!$AA$4:$AB$7,2,FALSE)))</f>
        <v/>
      </c>
      <c r="AK207" s="155"/>
      <c r="AL207" s="536" t="str">
        <f>IF(AK207="","",IF(VLOOKUP(AK207,'G-7 Rivers Data'!$AD$4:$AE$8,2,FALSE)=0,"Spatial Data Missing ⚠",VLOOKUP(AK207,'G-7 Rivers Data'!$AD$4:$AE$8,2,FALSE)))</f>
        <v/>
      </c>
      <c r="AM207" s="154"/>
      <c r="AN207" s="524" t="str">
        <f>IF(AM207="","",VLOOKUP(AM207,'G-7 Rivers Data'!$AO$4:$AP$7,2,FALSE))</f>
        <v/>
      </c>
      <c r="AO207" s="545" t="str">
        <f t="shared" si="31"/>
        <v/>
      </c>
      <c r="AP207" s="149"/>
      <c r="AQ207" s="150"/>
      <c r="AX207" s="31" t="str">
        <f>IFERROR(INDEX('G-7 Rivers Data'!$AZ$3:$AZ$7,MATCH(N207,'G-7 Rivers Data'!$AY$3:$AY$7,0)),"")</f>
        <v/>
      </c>
    </row>
    <row r="208" spans="2:50" ht="13.8" x14ac:dyDescent="0.25">
      <c r="B208" s="531" t="str">
        <f>'F-1 Off Site River Baseline'!AN206</f>
        <v/>
      </c>
      <c r="C208" s="520" t="str">
        <f>IF(B208="","",VLOOKUP($B208,'F-1 Off Site River Baseline'!$C$9:$R$257,2,FALSE))</f>
        <v/>
      </c>
      <c r="D208" s="520" t="str">
        <f>IF(C208="","",VLOOKUP($B208,'F-1 Off Site River Baseline'!$C$9:$R$257,3,FALSE))</f>
        <v/>
      </c>
      <c r="E208" s="520" t="str">
        <f>IF(D208="","",VLOOKUP($B208,'F-1 Off Site River Baseline'!$C$9:$R$257,4,FALSE))</f>
        <v/>
      </c>
      <c r="F208" s="520" t="str">
        <f>IF(E208="","",VLOOKUP($B208,'F-1 Off Site River Baseline'!$C$9:$R$257,5,FALSE))</f>
        <v/>
      </c>
      <c r="G208" s="520" t="str">
        <f>IF(F208="","",VLOOKUP($B208,'F-1 Off Site River Baseline'!$C$9:$R$257,6,FALSE))</f>
        <v/>
      </c>
      <c r="H208" s="520" t="str">
        <f>IF(G208="","",VLOOKUP($B208,'F-1 Off Site River Baseline'!$C$9:$R$257,7,FALSE))</f>
        <v/>
      </c>
      <c r="I208" s="520" t="str">
        <f>IF(H208="","",VLOOKUP($B208,'F-1 Off Site River Baseline'!$C$9:$R$257,8,FALSE))</f>
        <v/>
      </c>
      <c r="J208" s="520" t="str">
        <f>IF(I208="","",VLOOKUP($B208,'F-1 Off Site River Baseline'!$C$9:$R$257,9,FALSE))</f>
        <v/>
      </c>
      <c r="K208" s="520" t="str">
        <f>IF(J208="","",VLOOKUP($B208,'F-1 Off Site River Baseline'!$C$9:$R$257,10,FALSE))</f>
        <v/>
      </c>
      <c r="L208" s="520" t="str">
        <f>IF(B208="","",VLOOKUP($B208,'C-1 Site River Baseline'!$C$9:$R$257,15,FALSE))</f>
        <v/>
      </c>
      <c r="M208" s="524" t="str">
        <f>IF(L208="","",VLOOKUP($B208,'F-1 Off Site River Baseline'!$C$9:$R$257,16,FALSE))</f>
        <v/>
      </c>
      <c r="N208" s="418" t="str">
        <f t="shared" si="28"/>
        <v/>
      </c>
      <c r="O208" s="498" t="str">
        <f t="shared" si="29"/>
        <v/>
      </c>
      <c r="P208" s="499"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5" t="str">
        <f>IF(N208="","",VLOOKUP(B208,'F-1 Off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20" t="str">
        <f>IF(V208="","",IF(VLOOKUP(V208,'G-7 Rivers Data'!$AG$4:$AI$9,2,FALSE)=0,"Spatial Data Missing ⚠",VLOOKUP(V208,'G-7 Rivers Data'!$AG$4:$AI$9,2,FALSE)))</f>
        <v/>
      </c>
      <c r="X208" s="524" t="str">
        <f>IF(V208="","",IF(VLOOKUP(V208,'G-7 Rivers Data'!$AG$4:$AI$9,3,FALSE)=0,"Spatial Data Missing ⚠",VLOOKUP(V208,'G-7 Rivers Data'!$AG$4:$AI$9,3,FALSE)))</f>
        <v/>
      </c>
      <c r="Y208" s="537" t="str">
        <f>IFERROR(IF(OR(LEFT(P208,5)="Error ▲",LEFT(O208,5)="Error ▲"),"Check Data ⚠",IF(F208&lt;S208,'G-7 Rivers Data'!$R$3,INDEX('G-7 Rivers Data'!$U$5:$Y$9,MATCH(G208,'G-7 Rivers Data'!$T$5:$T$9,0),MATCH(T208,'G-7 Rivers Data'!$U$4:$Y$4,0)))),"")</f>
        <v/>
      </c>
      <c r="Z208" s="203"/>
      <c r="AA208" s="203"/>
      <c r="AB208" s="534" t="str">
        <f t="shared" si="24"/>
        <v/>
      </c>
      <c r="AC208" s="521" t="str">
        <f t="shared" si="25"/>
        <v/>
      </c>
      <c r="AD208" s="564" t="str">
        <f>IFERROR(IF(AC208="Check Data ⚠","Check Data ⚠",VLOOKUP(AC208,'G-4 Temporal multipliers'!$A$4:$C$37,3,FALSE)),"")</f>
        <v/>
      </c>
      <c r="AE208" s="537" t="str">
        <f>IF(N208="","",VLOOKUP(N208,'G-7 Rivers Data'!$B$4:$G$8,5,FALSE))</f>
        <v/>
      </c>
      <c r="AF208" s="520" t="str">
        <f t="shared" si="26"/>
        <v/>
      </c>
      <c r="AG208" s="520" t="str">
        <f t="shared" si="30"/>
        <v/>
      </c>
      <c r="AH208" s="524" t="str">
        <f t="shared" si="27"/>
        <v/>
      </c>
      <c r="AI208" s="145"/>
      <c r="AJ208" s="499" t="str">
        <f>IF(AI208="","",IF(VLOOKUP(AI208,'G-7 Rivers Data'!$AA$4:$AB$7,2,FALSE)=0,"Spatial Data Missing ⚠",VLOOKUP(AI208,'G-7 Rivers Data'!$AA$4:$AB$7,2,FALSE)))</f>
        <v/>
      </c>
      <c r="AK208" s="155"/>
      <c r="AL208" s="536" t="str">
        <f>IF(AK208="","",IF(VLOOKUP(AK208,'G-7 Rivers Data'!$AD$4:$AE$8,2,FALSE)=0,"Spatial Data Missing ⚠",VLOOKUP(AK208,'G-7 Rivers Data'!$AD$4:$AE$8,2,FALSE)))</f>
        <v/>
      </c>
      <c r="AM208" s="154"/>
      <c r="AN208" s="524" t="str">
        <f>IF(AM208="","",VLOOKUP(AM208,'G-7 Rivers Data'!$AO$4:$AP$7,2,FALSE))</f>
        <v/>
      </c>
      <c r="AO208" s="545" t="str">
        <f t="shared" si="31"/>
        <v/>
      </c>
      <c r="AP208" s="149"/>
      <c r="AQ208" s="150"/>
      <c r="AX208" s="31" t="str">
        <f>IFERROR(INDEX('G-7 Rivers Data'!$AZ$3:$AZ$7,MATCH(N208,'G-7 Rivers Data'!$AY$3:$AY$7,0)),"")</f>
        <v/>
      </c>
    </row>
    <row r="209" spans="2:50" ht="13.8" x14ac:dyDescent="0.25">
      <c r="B209" s="531" t="str">
        <f>'F-1 Off Site River Baseline'!AN207</f>
        <v/>
      </c>
      <c r="C209" s="520" t="str">
        <f>IF(B209="","",VLOOKUP($B209,'F-1 Off Site River Baseline'!$C$9:$R$257,2,FALSE))</f>
        <v/>
      </c>
      <c r="D209" s="520" t="str">
        <f>IF(C209="","",VLOOKUP($B209,'F-1 Off Site River Baseline'!$C$9:$R$257,3,FALSE))</f>
        <v/>
      </c>
      <c r="E209" s="520" t="str">
        <f>IF(D209="","",VLOOKUP($B209,'F-1 Off Site River Baseline'!$C$9:$R$257,4,FALSE))</f>
        <v/>
      </c>
      <c r="F209" s="520" t="str">
        <f>IF(E209="","",VLOOKUP($B209,'F-1 Off Site River Baseline'!$C$9:$R$257,5,FALSE))</f>
        <v/>
      </c>
      <c r="G209" s="520" t="str">
        <f>IF(F209="","",VLOOKUP($B209,'F-1 Off Site River Baseline'!$C$9:$R$257,6,FALSE))</f>
        <v/>
      </c>
      <c r="H209" s="520" t="str">
        <f>IF(G209="","",VLOOKUP($B209,'F-1 Off Site River Baseline'!$C$9:$R$257,7,FALSE))</f>
        <v/>
      </c>
      <c r="I209" s="520" t="str">
        <f>IF(H209="","",VLOOKUP($B209,'F-1 Off Site River Baseline'!$C$9:$R$257,8,FALSE))</f>
        <v/>
      </c>
      <c r="J209" s="520" t="str">
        <f>IF(I209="","",VLOOKUP($B209,'F-1 Off Site River Baseline'!$C$9:$R$257,9,FALSE))</f>
        <v/>
      </c>
      <c r="K209" s="520" t="str">
        <f>IF(J209="","",VLOOKUP($B209,'F-1 Off Site River Baseline'!$C$9:$R$257,10,FALSE))</f>
        <v/>
      </c>
      <c r="L209" s="520" t="str">
        <f>IF(B209="","",VLOOKUP($B209,'C-1 Site River Baseline'!$C$9:$R$257,15,FALSE))</f>
        <v/>
      </c>
      <c r="M209" s="524" t="str">
        <f>IF(L209="","",VLOOKUP($B209,'F-1 Off Site River Baseline'!$C$9:$R$257,16,FALSE))</f>
        <v/>
      </c>
      <c r="N209" s="418" t="str">
        <f t="shared" si="28"/>
        <v/>
      </c>
      <c r="O209" s="498" t="str">
        <f t="shared" si="29"/>
        <v/>
      </c>
      <c r="P209" s="499"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5" t="str">
        <f>IF(N209="","",VLOOKUP(B209,'F-1 Off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20" t="str">
        <f>IF(V209="","",IF(VLOOKUP(V209,'G-7 Rivers Data'!$AG$4:$AI$9,2,FALSE)=0,"Spatial Data Missing ⚠",VLOOKUP(V209,'G-7 Rivers Data'!$AG$4:$AI$9,2,FALSE)))</f>
        <v/>
      </c>
      <c r="X209" s="524" t="str">
        <f>IF(V209="","",IF(VLOOKUP(V209,'G-7 Rivers Data'!$AG$4:$AI$9,3,FALSE)=0,"Spatial Data Missing ⚠",VLOOKUP(V209,'G-7 Rivers Data'!$AG$4:$AI$9,3,FALSE)))</f>
        <v/>
      </c>
      <c r="Y209" s="537" t="str">
        <f>IFERROR(IF(OR(LEFT(P209,5)="Error ▲",LEFT(O209,5)="Error ▲"),"Check Data ⚠",IF(F209&lt;S209,'G-7 Rivers Data'!$R$3,INDEX('G-7 Rivers Data'!$U$5:$Y$9,MATCH(G209,'G-7 Rivers Data'!$T$5:$T$9,0),MATCH(T209,'G-7 Rivers Data'!$U$4:$Y$4,0)))),"")</f>
        <v/>
      </c>
      <c r="Z209" s="203"/>
      <c r="AA209" s="203"/>
      <c r="AB209" s="534" t="str">
        <f t="shared" si="24"/>
        <v/>
      </c>
      <c r="AC209" s="521" t="str">
        <f t="shared" si="25"/>
        <v/>
      </c>
      <c r="AD209" s="564" t="str">
        <f>IFERROR(IF(AC209="Check Data ⚠","Check Data ⚠",VLOOKUP(AC209,'G-4 Temporal multipliers'!$A$4:$C$37,3,FALSE)),"")</f>
        <v/>
      </c>
      <c r="AE209" s="537" t="str">
        <f>IF(N209="","",VLOOKUP(N209,'G-7 Rivers Data'!$B$4:$G$8,5,FALSE))</f>
        <v/>
      </c>
      <c r="AF209" s="520" t="str">
        <f t="shared" si="26"/>
        <v/>
      </c>
      <c r="AG209" s="520" t="str">
        <f t="shared" si="30"/>
        <v/>
      </c>
      <c r="AH209" s="524" t="str">
        <f t="shared" si="27"/>
        <v/>
      </c>
      <c r="AI209" s="145"/>
      <c r="AJ209" s="499" t="str">
        <f>IF(AI209="","",IF(VLOOKUP(AI209,'G-7 Rivers Data'!$AA$4:$AB$7,2,FALSE)=0,"Spatial Data Missing ⚠",VLOOKUP(AI209,'G-7 Rivers Data'!$AA$4:$AB$7,2,FALSE)))</f>
        <v/>
      </c>
      <c r="AK209" s="155"/>
      <c r="AL209" s="536" t="str">
        <f>IF(AK209="","",IF(VLOOKUP(AK209,'G-7 Rivers Data'!$AD$4:$AE$8,2,FALSE)=0,"Spatial Data Missing ⚠",VLOOKUP(AK209,'G-7 Rivers Data'!$AD$4:$AE$8,2,FALSE)))</f>
        <v/>
      </c>
      <c r="AM209" s="154"/>
      <c r="AN209" s="524" t="str">
        <f>IF(AM209="","",VLOOKUP(AM209,'G-7 Rivers Data'!$AO$4:$AP$7,2,FALSE))</f>
        <v/>
      </c>
      <c r="AO209" s="545" t="str">
        <f t="shared" si="31"/>
        <v/>
      </c>
      <c r="AP209" s="149"/>
      <c r="AQ209" s="150"/>
      <c r="AX209" s="31" t="str">
        <f>IFERROR(INDEX('G-7 Rivers Data'!$AZ$3:$AZ$7,MATCH(N209,'G-7 Rivers Data'!$AY$3:$AY$7,0)),"")</f>
        <v/>
      </c>
    </row>
    <row r="210" spans="2:50" ht="13.8" x14ac:dyDescent="0.25">
      <c r="B210" s="531" t="str">
        <f>'F-1 Off Site River Baseline'!AN208</f>
        <v/>
      </c>
      <c r="C210" s="520" t="str">
        <f>IF(B210="","",VLOOKUP($B210,'F-1 Off Site River Baseline'!$C$9:$R$257,2,FALSE))</f>
        <v/>
      </c>
      <c r="D210" s="520" t="str">
        <f>IF(C210="","",VLOOKUP($B210,'F-1 Off Site River Baseline'!$C$9:$R$257,3,FALSE))</f>
        <v/>
      </c>
      <c r="E210" s="520" t="str">
        <f>IF(D210="","",VLOOKUP($B210,'F-1 Off Site River Baseline'!$C$9:$R$257,4,FALSE))</f>
        <v/>
      </c>
      <c r="F210" s="520" t="str">
        <f>IF(E210="","",VLOOKUP($B210,'F-1 Off Site River Baseline'!$C$9:$R$257,5,FALSE))</f>
        <v/>
      </c>
      <c r="G210" s="520" t="str">
        <f>IF(F210="","",VLOOKUP($B210,'F-1 Off Site River Baseline'!$C$9:$R$257,6,FALSE))</f>
        <v/>
      </c>
      <c r="H210" s="520" t="str">
        <f>IF(G210="","",VLOOKUP($B210,'F-1 Off Site River Baseline'!$C$9:$R$257,7,FALSE))</f>
        <v/>
      </c>
      <c r="I210" s="520" t="str">
        <f>IF(H210="","",VLOOKUP($B210,'F-1 Off Site River Baseline'!$C$9:$R$257,8,FALSE))</f>
        <v/>
      </c>
      <c r="J210" s="520" t="str">
        <f>IF(I210="","",VLOOKUP($B210,'F-1 Off Site River Baseline'!$C$9:$R$257,9,FALSE))</f>
        <v/>
      </c>
      <c r="K210" s="520" t="str">
        <f>IF(J210="","",VLOOKUP($B210,'F-1 Off Site River Baseline'!$C$9:$R$257,10,FALSE))</f>
        <v/>
      </c>
      <c r="L210" s="520" t="str">
        <f>IF(B210="","",VLOOKUP($B210,'C-1 Site River Baseline'!$C$9:$R$257,15,FALSE))</f>
        <v/>
      </c>
      <c r="M210" s="524" t="str">
        <f>IF(L210="","",VLOOKUP($B210,'F-1 Off Site River Baseline'!$C$9:$R$257,16,FALSE))</f>
        <v/>
      </c>
      <c r="N210" s="418" t="str">
        <f t="shared" si="28"/>
        <v/>
      </c>
      <c r="O210" s="498" t="str">
        <f t="shared" si="29"/>
        <v/>
      </c>
      <c r="P210" s="499"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5" t="str">
        <f>IF(N210="","",VLOOKUP(B210,'F-1 Off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20" t="str">
        <f>IF(V210="","",IF(VLOOKUP(V210,'G-7 Rivers Data'!$AG$4:$AI$9,2,FALSE)=0,"Spatial Data Missing ⚠",VLOOKUP(V210,'G-7 Rivers Data'!$AG$4:$AI$9,2,FALSE)))</f>
        <v/>
      </c>
      <c r="X210" s="524" t="str">
        <f>IF(V210="","",IF(VLOOKUP(V210,'G-7 Rivers Data'!$AG$4:$AI$9,3,FALSE)=0,"Spatial Data Missing ⚠",VLOOKUP(V210,'G-7 Rivers Data'!$AG$4:$AI$9,3,FALSE)))</f>
        <v/>
      </c>
      <c r="Y210" s="537" t="str">
        <f>IFERROR(IF(OR(LEFT(P210,5)="Error ▲",LEFT(O210,5)="Error ▲"),"Check Data ⚠",IF(F210&lt;S210,'G-7 Rivers Data'!$R$3,INDEX('G-7 Rivers Data'!$U$5:$Y$9,MATCH(G210,'G-7 Rivers Data'!$T$5:$T$9,0),MATCH(T210,'G-7 Rivers Data'!$U$4:$Y$4,0)))),"")</f>
        <v/>
      </c>
      <c r="Z210" s="203"/>
      <c r="AA210" s="203"/>
      <c r="AB210" s="534" t="str">
        <f t="shared" si="24"/>
        <v/>
      </c>
      <c r="AC210" s="521" t="str">
        <f t="shared" si="25"/>
        <v/>
      </c>
      <c r="AD210" s="564" t="str">
        <f>IFERROR(IF(AC210="Check Data ⚠","Check Data ⚠",VLOOKUP(AC210,'G-4 Temporal multipliers'!$A$4:$C$37,3,FALSE)),"")</f>
        <v/>
      </c>
      <c r="AE210" s="537" t="str">
        <f>IF(N210="","",VLOOKUP(N210,'G-7 Rivers Data'!$B$4:$G$8,5,FALSE))</f>
        <v/>
      </c>
      <c r="AF210" s="520" t="str">
        <f t="shared" si="26"/>
        <v/>
      </c>
      <c r="AG210" s="520" t="str">
        <f t="shared" si="30"/>
        <v/>
      </c>
      <c r="AH210" s="524" t="str">
        <f t="shared" si="27"/>
        <v/>
      </c>
      <c r="AI210" s="145"/>
      <c r="AJ210" s="499" t="str">
        <f>IF(AI210="","",IF(VLOOKUP(AI210,'G-7 Rivers Data'!$AA$4:$AB$7,2,FALSE)=0,"Spatial Data Missing ⚠",VLOOKUP(AI210,'G-7 Rivers Data'!$AA$4:$AB$7,2,FALSE)))</f>
        <v/>
      </c>
      <c r="AK210" s="155"/>
      <c r="AL210" s="536" t="str">
        <f>IF(AK210="","",IF(VLOOKUP(AK210,'G-7 Rivers Data'!$AD$4:$AE$8,2,FALSE)=0,"Spatial Data Missing ⚠",VLOOKUP(AK210,'G-7 Rivers Data'!$AD$4:$AE$8,2,FALSE)))</f>
        <v/>
      </c>
      <c r="AM210" s="154"/>
      <c r="AN210" s="524" t="str">
        <f>IF(AM210="","",VLOOKUP(AM210,'G-7 Rivers Data'!$AO$4:$AP$7,2,FALSE))</f>
        <v/>
      </c>
      <c r="AO210" s="545" t="str">
        <f t="shared" si="31"/>
        <v/>
      </c>
      <c r="AP210" s="149"/>
      <c r="AQ210" s="150"/>
      <c r="AX210" s="31" t="str">
        <f>IFERROR(INDEX('G-7 Rivers Data'!$AZ$3:$AZ$7,MATCH(N210,'G-7 Rivers Data'!$AY$3:$AY$7,0)),"")</f>
        <v/>
      </c>
    </row>
    <row r="211" spans="2:50" ht="13.8" x14ac:dyDescent="0.25">
      <c r="B211" s="531" t="str">
        <f>'F-1 Off Site River Baseline'!AN209</f>
        <v/>
      </c>
      <c r="C211" s="520" t="str">
        <f>IF(B211="","",VLOOKUP($B211,'F-1 Off Site River Baseline'!$C$9:$R$257,2,FALSE))</f>
        <v/>
      </c>
      <c r="D211" s="520" t="str">
        <f>IF(C211="","",VLOOKUP($B211,'F-1 Off Site River Baseline'!$C$9:$R$257,3,FALSE))</f>
        <v/>
      </c>
      <c r="E211" s="520" t="str">
        <f>IF(D211="","",VLOOKUP($B211,'F-1 Off Site River Baseline'!$C$9:$R$257,4,FALSE))</f>
        <v/>
      </c>
      <c r="F211" s="520" t="str">
        <f>IF(E211="","",VLOOKUP($B211,'F-1 Off Site River Baseline'!$C$9:$R$257,5,FALSE))</f>
        <v/>
      </c>
      <c r="G211" s="520" t="str">
        <f>IF(F211="","",VLOOKUP($B211,'F-1 Off Site River Baseline'!$C$9:$R$257,6,FALSE))</f>
        <v/>
      </c>
      <c r="H211" s="520" t="str">
        <f>IF(G211="","",VLOOKUP($B211,'F-1 Off Site River Baseline'!$C$9:$R$257,7,FALSE))</f>
        <v/>
      </c>
      <c r="I211" s="520" t="str">
        <f>IF(H211="","",VLOOKUP($B211,'F-1 Off Site River Baseline'!$C$9:$R$257,8,FALSE))</f>
        <v/>
      </c>
      <c r="J211" s="520" t="str">
        <f>IF(I211="","",VLOOKUP($B211,'F-1 Off Site River Baseline'!$C$9:$R$257,9,FALSE))</f>
        <v/>
      </c>
      <c r="K211" s="520" t="str">
        <f>IF(J211="","",VLOOKUP($B211,'F-1 Off Site River Baseline'!$C$9:$R$257,10,FALSE))</f>
        <v/>
      </c>
      <c r="L211" s="520" t="str">
        <f>IF(B211="","",VLOOKUP($B211,'C-1 Site River Baseline'!$C$9:$R$257,15,FALSE))</f>
        <v/>
      </c>
      <c r="M211" s="524" t="str">
        <f>IF(L211="","",VLOOKUP($B211,'F-1 Off Site River Baseline'!$C$9:$R$257,16,FALSE))</f>
        <v/>
      </c>
      <c r="N211" s="418" t="str">
        <f t="shared" si="28"/>
        <v/>
      </c>
      <c r="O211" s="498" t="str">
        <f t="shared" si="29"/>
        <v/>
      </c>
      <c r="P211" s="499"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5" t="str">
        <f>IF(N211="","",VLOOKUP(B211,'F-1 Off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20" t="str">
        <f>IF(V211="","",IF(VLOOKUP(V211,'G-7 Rivers Data'!$AG$4:$AI$9,2,FALSE)=0,"Spatial Data Missing ⚠",VLOOKUP(V211,'G-7 Rivers Data'!$AG$4:$AI$9,2,FALSE)))</f>
        <v/>
      </c>
      <c r="X211" s="524" t="str">
        <f>IF(V211="","",IF(VLOOKUP(V211,'G-7 Rivers Data'!$AG$4:$AI$9,3,FALSE)=0,"Spatial Data Missing ⚠",VLOOKUP(V211,'G-7 Rivers Data'!$AG$4:$AI$9,3,FALSE)))</f>
        <v/>
      </c>
      <c r="Y211" s="537" t="str">
        <f>IFERROR(IF(OR(LEFT(P211,5)="Error ▲",LEFT(O211,5)="Error ▲"),"Check Data ⚠",IF(F211&lt;S211,'G-7 Rivers Data'!$R$3,INDEX('G-7 Rivers Data'!$U$5:$Y$9,MATCH(G211,'G-7 Rivers Data'!$T$5:$T$9,0),MATCH(T211,'G-7 Rivers Data'!$U$4:$Y$4,0)))),"")</f>
        <v/>
      </c>
      <c r="Z211" s="203"/>
      <c r="AA211" s="203"/>
      <c r="AB211" s="534" t="str">
        <f t="shared" si="24"/>
        <v/>
      </c>
      <c r="AC211" s="521" t="str">
        <f t="shared" si="25"/>
        <v/>
      </c>
      <c r="AD211" s="564" t="str">
        <f>IFERROR(IF(AC211="Check Data ⚠","Check Data ⚠",VLOOKUP(AC211,'G-4 Temporal multipliers'!$A$4:$C$37,3,FALSE)),"")</f>
        <v/>
      </c>
      <c r="AE211" s="537" t="str">
        <f>IF(N211="","",VLOOKUP(N211,'G-7 Rivers Data'!$B$4:$G$8,5,FALSE))</f>
        <v/>
      </c>
      <c r="AF211" s="520" t="str">
        <f t="shared" si="26"/>
        <v/>
      </c>
      <c r="AG211" s="520" t="str">
        <f t="shared" si="30"/>
        <v/>
      </c>
      <c r="AH211" s="524" t="str">
        <f t="shared" si="27"/>
        <v/>
      </c>
      <c r="AI211" s="145"/>
      <c r="AJ211" s="499" t="str">
        <f>IF(AI211="","",IF(VLOOKUP(AI211,'G-7 Rivers Data'!$AA$4:$AB$7,2,FALSE)=0,"Spatial Data Missing ⚠",VLOOKUP(AI211,'G-7 Rivers Data'!$AA$4:$AB$7,2,FALSE)))</f>
        <v/>
      </c>
      <c r="AK211" s="155"/>
      <c r="AL211" s="536" t="str">
        <f>IF(AK211="","",IF(VLOOKUP(AK211,'G-7 Rivers Data'!$AD$4:$AE$8,2,FALSE)=0,"Spatial Data Missing ⚠",VLOOKUP(AK211,'G-7 Rivers Data'!$AD$4:$AE$8,2,FALSE)))</f>
        <v/>
      </c>
      <c r="AM211" s="154"/>
      <c r="AN211" s="524" t="str">
        <f>IF(AM211="","",VLOOKUP(AM211,'G-7 Rivers Data'!$AO$4:$AP$7,2,FALSE))</f>
        <v/>
      </c>
      <c r="AO211" s="545" t="str">
        <f t="shared" si="31"/>
        <v/>
      </c>
      <c r="AP211" s="149"/>
      <c r="AQ211" s="150"/>
      <c r="AX211" s="31" t="str">
        <f>IFERROR(INDEX('G-7 Rivers Data'!$AZ$3:$AZ$7,MATCH(N211,'G-7 Rivers Data'!$AY$3:$AY$7,0)),"")</f>
        <v/>
      </c>
    </row>
    <row r="212" spans="2:50" ht="13.8" x14ac:dyDescent="0.25">
      <c r="B212" s="531" t="str">
        <f>'F-1 Off Site River Baseline'!AN210</f>
        <v/>
      </c>
      <c r="C212" s="520" t="str">
        <f>IF(B212="","",VLOOKUP($B212,'F-1 Off Site River Baseline'!$C$9:$R$257,2,FALSE))</f>
        <v/>
      </c>
      <c r="D212" s="520" t="str">
        <f>IF(C212="","",VLOOKUP($B212,'F-1 Off Site River Baseline'!$C$9:$R$257,3,FALSE))</f>
        <v/>
      </c>
      <c r="E212" s="520" t="str">
        <f>IF(D212="","",VLOOKUP($B212,'F-1 Off Site River Baseline'!$C$9:$R$257,4,FALSE))</f>
        <v/>
      </c>
      <c r="F212" s="520" t="str">
        <f>IF(E212="","",VLOOKUP($B212,'F-1 Off Site River Baseline'!$C$9:$R$257,5,FALSE))</f>
        <v/>
      </c>
      <c r="G212" s="520" t="str">
        <f>IF(F212="","",VLOOKUP($B212,'F-1 Off Site River Baseline'!$C$9:$R$257,6,FALSE))</f>
        <v/>
      </c>
      <c r="H212" s="520" t="str">
        <f>IF(G212="","",VLOOKUP($B212,'F-1 Off Site River Baseline'!$C$9:$R$257,7,FALSE))</f>
        <v/>
      </c>
      <c r="I212" s="520" t="str">
        <f>IF(H212="","",VLOOKUP($B212,'F-1 Off Site River Baseline'!$C$9:$R$257,8,FALSE))</f>
        <v/>
      </c>
      <c r="J212" s="520" t="str">
        <f>IF(I212="","",VLOOKUP($B212,'F-1 Off Site River Baseline'!$C$9:$R$257,9,FALSE))</f>
        <v/>
      </c>
      <c r="K212" s="520" t="str">
        <f>IF(J212="","",VLOOKUP($B212,'F-1 Off Site River Baseline'!$C$9:$R$257,10,FALSE))</f>
        <v/>
      </c>
      <c r="L212" s="520" t="str">
        <f>IF(B212="","",VLOOKUP($B212,'C-1 Site River Baseline'!$C$9:$R$257,15,FALSE))</f>
        <v/>
      </c>
      <c r="M212" s="524" t="str">
        <f>IF(L212="","",VLOOKUP($B212,'F-1 Off Site River Baseline'!$C$9:$R$257,16,FALSE))</f>
        <v/>
      </c>
      <c r="N212" s="418" t="str">
        <f t="shared" si="28"/>
        <v/>
      </c>
      <c r="O212" s="498" t="str">
        <f t="shared" si="29"/>
        <v/>
      </c>
      <c r="P212" s="499"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5" t="str">
        <f>IF(N212="","",VLOOKUP(B212,'F-1 Off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20" t="str">
        <f>IF(V212="","",IF(VLOOKUP(V212,'G-7 Rivers Data'!$AG$4:$AI$9,2,FALSE)=0,"Spatial Data Missing ⚠",VLOOKUP(V212,'G-7 Rivers Data'!$AG$4:$AI$9,2,FALSE)))</f>
        <v/>
      </c>
      <c r="X212" s="524" t="str">
        <f>IF(V212="","",IF(VLOOKUP(V212,'G-7 Rivers Data'!$AG$4:$AI$9,3,FALSE)=0,"Spatial Data Missing ⚠",VLOOKUP(V212,'G-7 Rivers Data'!$AG$4:$AI$9,3,FALSE)))</f>
        <v/>
      </c>
      <c r="Y212" s="537" t="str">
        <f>IFERROR(IF(OR(LEFT(P212,5)="Error ▲",LEFT(O212,5)="Error ▲"),"Check Data ⚠",IF(F212&lt;S212,'G-7 Rivers Data'!$R$3,INDEX('G-7 Rivers Data'!$U$5:$Y$9,MATCH(G212,'G-7 Rivers Data'!$T$5:$T$9,0),MATCH(T212,'G-7 Rivers Data'!$U$4:$Y$4,0)))),"")</f>
        <v/>
      </c>
      <c r="Z212" s="203"/>
      <c r="AA212" s="203"/>
      <c r="AB212" s="534" t="str">
        <f t="shared" si="24"/>
        <v/>
      </c>
      <c r="AC212" s="521" t="str">
        <f t="shared" si="25"/>
        <v/>
      </c>
      <c r="AD212" s="564" t="str">
        <f>IFERROR(IF(AC212="Check Data ⚠","Check Data ⚠",VLOOKUP(AC212,'G-4 Temporal multipliers'!$A$4:$C$37,3,FALSE)),"")</f>
        <v/>
      </c>
      <c r="AE212" s="537" t="str">
        <f>IF(N212="","",VLOOKUP(N212,'G-7 Rivers Data'!$B$4:$G$8,5,FALSE))</f>
        <v/>
      </c>
      <c r="AF212" s="520" t="str">
        <f t="shared" si="26"/>
        <v/>
      </c>
      <c r="AG212" s="520" t="str">
        <f t="shared" si="30"/>
        <v/>
      </c>
      <c r="AH212" s="524" t="str">
        <f t="shared" si="27"/>
        <v/>
      </c>
      <c r="AI212" s="145"/>
      <c r="AJ212" s="499" t="str">
        <f>IF(AI212="","",IF(VLOOKUP(AI212,'G-7 Rivers Data'!$AA$4:$AB$7,2,FALSE)=0,"Spatial Data Missing ⚠",VLOOKUP(AI212,'G-7 Rivers Data'!$AA$4:$AB$7,2,FALSE)))</f>
        <v/>
      </c>
      <c r="AK212" s="155"/>
      <c r="AL212" s="536" t="str">
        <f>IF(AK212="","",IF(VLOOKUP(AK212,'G-7 Rivers Data'!$AD$4:$AE$8,2,FALSE)=0,"Spatial Data Missing ⚠",VLOOKUP(AK212,'G-7 Rivers Data'!$AD$4:$AE$8,2,FALSE)))</f>
        <v/>
      </c>
      <c r="AM212" s="154"/>
      <c r="AN212" s="524" t="str">
        <f>IF(AM212="","",VLOOKUP(AM212,'G-7 Rivers Data'!$AO$4:$AP$7,2,FALSE))</f>
        <v/>
      </c>
      <c r="AO212" s="545" t="str">
        <f t="shared" si="31"/>
        <v/>
      </c>
      <c r="AP212" s="149"/>
      <c r="AQ212" s="150"/>
      <c r="AX212" s="31" t="str">
        <f>IFERROR(INDEX('G-7 Rivers Data'!$AZ$3:$AZ$7,MATCH(N212,'G-7 Rivers Data'!$AY$3:$AY$7,0)),"")</f>
        <v/>
      </c>
    </row>
    <row r="213" spans="2:50" ht="13.8" x14ac:dyDescent="0.25">
      <c r="B213" s="531" t="str">
        <f>'F-1 Off Site River Baseline'!AN211</f>
        <v/>
      </c>
      <c r="C213" s="520" t="str">
        <f>IF(B213="","",VLOOKUP($B213,'F-1 Off Site River Baseline'!$C$9:$R$257,2,FALSE))</f>
        <v/>
      </c>
      <c r="D213" s="520" t="str">
        <f>IF(C213="","",VLOOKUP($B213,'F-1 Off Site River Baseline'!$C$9:$R$257,3,FALSE))</f>
        <v/>
      </c>
      <c r="E213" s="520" t="str">
        <f>IF(D213="","",VLOOKUP($B213,'F-1 Off Site River Baseline'!$C$9:$R$257,4,FALSE))</f>
        <v/>
      </c>
      <c r="F213" s="520" t="str">
        <f>IF(E213="","",VLOOKUP($B213,'F-1 Off Site River Baseline'!$C$9:$R$257,5,FALSE))</f>
        <v/>
      </c>
      <c r="G213" s="520" t="str">
        <f>IF(F213="","",VLOOKUP($B213,'F-1 Off Site River Baseline'!$C$9:$R$257,6,FALSE))</f>
        <v/>
      </c>
      <c r="H213" s="520" t="str">
        <f>IF(G213="","",VLOOKUP($B213,'F-1 Off Site River Baseline'!$C$9:$R$257,7,FALSE))</f>
        <v/>
      </c>
      <c r="I213" s="520" t="str">
        <f>IF(H213="","",VLOOKUP($B213,'F-1 Off Site River Baseline'!$C$9:$R$257,8,FALSE))</f>
        <v/>
      </c>
      <c r="J213" s="520" t="str">
        <f>IF(I213="","",VLOOKUP($B213,'F-1 Off Site River Baseline'!$C$9:$R$257,9,FALSE))</f>
        <v/>
      </c>
      <c r="K213" s="520" t="str">
        <f>IF(J213="","",VLOOKUP($B213,'F-1 Off Site River Baseline'!$C$9:$R$257,10,FALSE))</f>
        <v/>
      </c>
      <c r="L213" s="520" t="str">
        <f>IF(B213="","",VLOOKUP($B213,'C-1 Site River Baseline'!$C$9:$R$257,15,FALSE))</f>
        <v/>
      </c>
      <c r="M213" s="524" t="str">
        <f>IF(L213="","",VLOOKUP($B213,'F-1 Off Site River Baseline'!$C$9:$R$257,16,FALSE))</f>
        <v/>
      </c>
      <c r="N213" s="418" t="str">
        <f t="shared" si="28"/>
        <v/>
      </c>
      <c r="O213" s="498" t="str">
        <f t="shared" si="29"/>
        <v/>
      </c>
      <c r="P213" s="499"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5" t="str">
        <f>IF(N213="","",VLOOKUP(B213,'F-1 Off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20" t="str">
        <f>IF(V213="","",IF(VLOOKUP(V213,'G-7 Rivers Data'!$AG$4:$AI$9,2,FALSE)=0,"Spatial Data Missing ⚠",VLOOKUP(V213,'G-7 Rivers Data'!$AG$4:$AI$9,2,FALSE)))</f>
        <v/>
      </c>
      <c r="X213" s="524" t="str">
        <f>IF(V213="","",IF(VLOOKUP(V213,'G-7 Rivers Data'!$AG$4:$AI$9,3,FALSE)=0,"Spatial Data Missing ⚠",VLOOKUP(V213,'G-7 Rivers Data'!$AG$4:$AI$9,3,FALSE)))</f>
        <v/>
      </c>
      <c r="Y213" s="537" t="str">
        <f>IFERROR(IF(OR(LEFT(P213,5)="Error ▲",LEFT(O213,5)="Error ▲"),"Check Data ⚠",IF(F213&lt;S213,'G-7 Rivers Data'!$R$3,INDEX('G-7 Rivers Data'!$U$5:$Y$9,MATCH(G213,'G-7 Rivers Data'!$T$5:$T$9,0),MATCH(T213,'G-7 Rivers Data'!$U$4:$Y$4,0)))),"")</f>
        <v/>
      </c>
      <c r="Z213" s="203"/>
      <c r="AA213" s="203"/>
      <c r="AB213" s="534" t="str">
        <f t="shared" si="24"/>
        <v/>
      </c>
      <c r="AC213" s="521" t="str">
        <f t="shared" si="25"/>
        <v/>
      </c>
      <c r="AD213" s="564" t="str">
        <f>IFERROR(IF(AC213="Check Data ⚠","Check Data ⚠",VLOOKUP(AC213,'G-4 Temporal multipliers'!$A$4:$C$37,3,FALSE)),"")</f>
        <v/>
      </c>
      <c r="AE213" s="537" t="str">
        <f>IF(N213="","",VLOOKUP(N213,'G-7 Rivers Data'!$B$4:$G$8,5,FALSE))</f>
        <v/>
      </c>
      <c r="AF213" s="520" t="str">
        <f t="shared" si="26"/>
        <v/>
      </c>
      <c r="AG213" s="520" t="str">
        <f t="shared" si="30"/>
        <v/>
      </c>
      <c r="AH213" s="524" t="str">
        <f t="shared" si="27"/>
        <v/>
      </c>
      <c r="AI213" s="145"/>
      <c r="AJ213" s="499" t="str">
        <f>IF(AI213="","",IF(VLOOKUP(AI213,'G-7 Rivers Data'!$AA$4:$AB$7,2,FALSE)=0,"Spatial Data Missing ⚠",VLOOKUP(AI213,'G-7 Rivers Data'!$AA$4:$AB$7,2,FALSE)))</f>
        <v/>
      </c>
      <c r="AK213" s="155"/>
      <c r="AL213" s="536" t="str">
        <f>IF(AK213="","",IF(VLOOKUP(AK213,'G-7 Rivers Data'!$AD$4:$AE$8,2,FALSE)=0,"Spatial Data Missing ⚠",VLOOKUP(AK213,'G-7 Rivers Data'!$AD$4:$AE$8,2,FALSE)))</f>
        <v/>
      </c>
      <c r="AM213" s="154"/>
      <c r="AN213" s="524" t="str">
        <f>IF(AM213="","",VLOOKUP(AM213,'G-7 Rivers Data'!$AO$4:$AP$7,2,FALSE))</f>
        <v/>
      </c>
      <c r="AO213" s="545" t="str">
        <f t="shared" si="31"/>
        <v/>
      </c>
      <c r="AP213" s="149"/>
      <c r="AQ213" s="150"/>
      <c r="AX213" s="31" t="str">
        <f>IFERROR(INDEX('G-7 Rivers Data'!$AZ$3:$AZ$7,MATCH(N213,'G-7 Rivers Data'!$AY$3:$AY$7,0)),"")</f>
        <v/>
      </c>
    </row>
    <row r="214" spans="2:50" ht="13.8" x14ac:dyDescent="0.25">
      <c r="B214" s="531" t="str">
        <f>'F-1 Off Site River Baseline'!AN212</f>
        <v/>
      </c>
      <c r="C214" s="520" t="str">
        <f>IF(B214="","",VLOOKUP($B214,'F-1 Off Site River Baseline'!$C$9:$R$257,2,FALSE))</f>
        <v/>
      </c>
      <c r="D214" s="520" t="str">
        <f>IF(C214="","",VLOOKUP($B214,'F-1 Off Site River Baseline'!$C$9:$R$257,3,FALSE))</f>
        <v/>
      </c>
      <c r="E214" s="520" t="str">
        <f>IF(D214="","",VLOOKUP($B214,'F-1 Off Site River Baseline'!$C$9:$R$257,4,FALSE))</f>
        <v/>
      </c>
      <c r="F214" s="520" t="str">
        <f>IF(E214="","",VLOOKUP($B214,'F-1 Off Site River Baseline'!$C$9:$R$257,5,FALSE))</f>
        <v/>
      </c>
      <c r="G214" s="520" t="str">
        <f>IF(F214="","",VLOOKUP($B214,'F-1 Off Site River Baseline'!$C$9:$R$257,6,FALSE))</f>
        <v/>
      </c>
      <c r="H214" s="520" t="str">
        <f>IF(G214="","",VLOOKUP($B214,'F-1 Off Site River Baseline'!$C$9:$R$257,7,FALSE))</f>
        <v/>
      </c>
      <c r="I214" s="520" t="str">
        <f>IF(H214="","",VLOOKUP($B214,'F-1 Off Site River Baseline'!$C$9:$R$257,8,FALSE))</f>
        <v/>
      </c>
      <c r="J214" s="520" t="str">
        <f>IF(I214="","",VLOOKUP($B214,'F-1 Off Site River Baseline'!$C$9:$R$257,9,FALSE))</f>
        <v/>
      </c>
      <c r="K214" s="520" t="str">
        <f>IF(J214="","",VLOOKUP($B214,'F-1 Off Site River Baseline'!$C$9:$R$257,10,FALSE))</f>
        <v/>
      </c>
      <c r="L214" s="520" t="str">
        <f>IF(B214="","",VLOOKUP($B214,'C-1 Site River Baseline'!$C$9:$R$257,15,FALSE))</f>
        <v/>
      </c>
      <c r="M214" s="524" t="str">
        <f>IF(L214="","",VLOOKUP($B214,'F-1 Off Site River Baseline'!$C$9:$R$257,16,FALSE))</f>
        <v/>
      </c>
      <c r="N214" s="418" t="str">
        <f t="shared" si="28"/>
        <v/>
      </c>
      <c r="O214" s="498" t="str">
        <f t="shared" si="29"/>
        <v/>
      </c>
      <c r="P214" s="499"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5" t="str">
        <f>IF(N214="","",VLOOKUP(B214,'F-1 Off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20" t="str">
        <f>IF(V214="","",IF(VLOOKUP(V214,'G-7 Rivers Data'!$AG$4:$AI$9,2,FALSE)=0,"Spatial Data Missing ⚠",VLOOKUP(V214,'G-7 Rivers Data'!$AG$4:$AI$9,2,FALSE)))</f>
        <v/>
      </c>
      <c r="X214" s="524" t="str">
        <f>IF(V214="","",IF(VLOOKUP(V214,'G-7 Rivers Data'!$AG$4:$AI$9,3,FALSE)=0,"Spatial Data Missing ⚠",VLOOKUP(V214,'G-7 Rivers Data'!$AG$4:$AI$9,3,FALSE)))</f>
        <v/>
      </c>
      <c r="Y214" s="537" t="str">
        <f>IFERROR(IF(OR(LEFT(P214,5)="Error ▲",LEFT(O214,5)="Error ▲"),"Check Data ⚠",IF(F214&lt;S214,'G-7 Rivers Data'!$R$3,INDEX('G-7 Rivers Data'!$U$5:$Y$9,MATCH(G214,'G-7 Rivers Data'!$T$5:$T$9,0),MATCH(T214,'G-7 Rivers Data'!$U$4:$Y$4,0)))),"")</f>
        <v/>
      </c>
      <c r="Z214" s="203"/>
      <c r="AA214" s="203"/>
      <c r="AB214" s="534" t="str">
        <f t="shared" si="24"/>
        <v/>
      </c>
      <c r="AC214" s="521" t="str">
        <f t="shared" si="25"/>
        <v/>
      </c>
      <c r="AD214" s="564" t="str">
        <f>IFERROR(IF(AC214="Check Data ⚠","Check Data ⚠",VLOOKUP(AC214,'G-4 Temporal multipliers'!$A$4:$C$37,3,FALSE)),"")</f>
        <v/>
      </c>
      <c r="AE214" s="537" t="str">
        <f>IF(N214="","",VLOOKUP(N214,'G-7 Rivers Data'!$B$4:$G$8,5,FALSE))</f>
        <v/>
      </c>
      <c r="AF214" s="520" t="str">
        <f t="shared" si="26"/>
        <v/>
      </c>
      <c r="AG214" s="520" t="str">
        <f t="shared" si="30"/>
        <v/>
      </c>
      <c r="AH214" s="524" t="str">
        <f t="shared" si="27"/>
        <v/>
      </c>
      <c r="AI214" s="145"/>
      <c r="AJ214" s="499" t="str">
        <f>IF(AI214="","",IF(VLOOKUP(AI214,'G-7 Rivers Data'!$AA$4:$AB$7,2,FALSE)=0,"Spatial Data Missing ⚠",VLOOKUP(AI214,'G-7 Rivers Data'!$AA$4:$AB$7,2,FALSE)))</f>
        <v/>
      </c>
      <c r="AK214" s="155"/>
      <c r="AL214" s="536" t="str">
        <f>IF(AK214="","",IF(VLOOKUP(AK214,'G-7 Rivers Data'!$AD$4:$AE$8,2,FALSE)=0,"Spatial Data Missing ⚠",VLOOKUP(AK214,'G-7 Rivers Data'!$AD$4:$AE$8,2,FALSE)))</f>
        <v/>
      </c>
      <c r="AM214" s="154"/>
      <c r="AN214" s="524" t="str">
        <f>IF(AM214="","",VLOOKUP(AM214,'G-7 Rivers Data'!$AO$4:$AP$7,2,FALSE))</f>
        <v/>
      </c>
      <c r="AO214" s="545" t="str">
        <f t="shared" si="31"/>
        <v/>
      </c>
      <c r="AP214" s="149"/>
      <c r="AQ214" s="150"/>
      <c r="AX214" s="31" t="str">
        <f>IFERROR(INDEX('G-7 Rivers Data'!$AZ$3:$AZ$7,MATCH(N214,'G-7 Rivers Data'!$AY$3:$AY$7,0)),"")</f>
        <v/>
      </c>
    </row>
    <row r="215" spans="2:50" ht="13.8" x14ac:dyDescent="0.25">
      <c r="B215" s="531" t="str">
        <f>'F-1 Off Site River Baseline'!AN213</f>
        <v/>
      </c>
      <c r="C215" s="520" t="str">
        <f>IF(B215="","",VLOOKUP($B215,'F-1 Off Site River Baseline'!$C$9:$R$257,2,FALSE))</f>
        <v/>
      </c>
      <c r="D215" s="520" t="str">
        <f>IF(C215="","",VLOOKUP($B215,'F-1 Off Site River Baseline'!$C$9:$R$257,3,FALSE))</f>
        <v/>
      </c>
      <c r="E215" s="520" t="str">
        <f>IF(D215="","",VLOOKUP($B215,'F-1 Off Site River Baseline'!$C$9:$R$257,4,FALSE))</f>
        <v/>
      </c>
      <c r="F215" s="520" t="str">
        <f>IF(E215="","",VLOOKUP($B215,'F-1 Off Site River Baseline'!$C$9:$R$257,5,FALSE))</f>
        <v/>
      </c>
      <c r="G215" s="520" t="str">
        <f>IF(F215="","",VLOOKUP($B215,'F-1 Off Site River Baseline'!$C$9:$R$257,6,FALSE))</f>
        <v/>
      </c>
      <c r="H215" s="520" t="str">
        <f>IF(G215="","",VLOOKUP($B215,'F-1 Off Site River Baseline'!$C$9:$R$257,7,FALSE))</f>
        <v/>
      </c>
      <c r="I215" s="520" t="str">
        <f>IF(H215="","",VLOOKUP($B215,'F-1 Off Site River Baseline'!$C$9:$R$257,8,FALSE))</f>
        <v/>
      </c>
      <c r="J215" s="520" t="str">
        <f>IF(I215="","",VLOOKUP($B215,'F-1 Off Site River Baseline'!$C$9:$R$257,9,FALSE))</f>
        <v/>
      </c>
      <c r="K215" s="520" t="str">
        <f>IF(J215="","",VLOOKUP($B215,'F-1 Off Site River Baseline'!$C$9:$R$257,10,FALSE))</f>
        <v/>
      </c>
      <c r="L215" s="520" t="str">
        <f>IF(B215="","",VLOOKUP($B215,'C-1 Site River Baseline'!$C$9:$R$257,15,FALSE))</f>
        <v/>
      </c>
      <c r="M215" s="524" t="str">
        <f>IF(L215="","",VLOOKUP($B215,'F-1 Off Site River Baseline'!$C$9:$R$257,16,FALSE))</f>
        <v/>
      </c>
      <c r="N215" s="418" t="str">
        <f t="shared" si="28"/>
        <v/>
      </c>
      <c r="O215" s="498" t="str">
        <f t="shared" si="29"/>
        <v/>
      </c>
      <c r="P215" s="499"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5" t="str">
        <f>IF(N215="","",VLOOKUP(B215,'F-1 Off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20" t="str">
        <f>IF(V215="","",IF(VLOOKUP(V215,'G-7 Rivers Data'!$AG$4:$AI$9,2,FALSE)=0,"Spatial Data Missing ⚠",VLOOKUP(V215,'G-7 Rivers Data'!$AG$4:$AI$9,2,FALSE)))</f>
        <v/>
      </c>
      <c r="X215" s="524" t="str">
        <f>IF(V215="","",IF(VLOOKUP(V215,'G-7 Rivers Data'!$AG$4:$AI$9,3,FALSE)=0,"Spatial Data Missing ⚠",VLOOKUP(V215,'G-7 Rivers Data'!$AG$4:$AI$9,3,FALSE)))</f>
        <v/>
      </c>
      <c r="Y215" s="537" t="str">
        <f>IFERROR(IF(OR(LEFT(P215,5)="Error ▲",LEFT(O215,5)="Error ▲"),"Check Data ⚠",IF(F215&lt;S215,'G-7 Rivers Data'!$R$3,INDEX('G-7 Rivers Data'!$U$5:$Y$9,MATCH(G215,'G-7 Rivers Data'!$T$5:$T$9,0),MATCH(T215,'G-7 Rivers Data'!$U$4:$Y$4,0)))),"")</f>
        <v/>
      </c>
      <c r="Z215" s="203"/>
      <c r="AA215" s="203"/>
      <c r="AB215" s="534" t="str">
        <f t="shared" si="24"/>
        <v/>
      </c>
      <c r="AC215" s="521" t="str">
        <f t="shared" si="25"/>
        <v/>
      </c>
      <c r="AD215" s="564" t="str">
        <f>IFERROR(IF(AC215="Check Data ⚠","Check Data ⚠",VLOOKUP(AC215,'G-4 Temporal multipliers'!$A$4:$C$37,3,FALSE)),"")</f>
        <v/>
      </c>
      <c r="AE215" s="537" t="str">
        <f>IF(N215="","",VLOOKUP(N215,'G-7 Rivers Data'!$B$4:$G$8,5,FALSE))</f>
        <v/>
      </c>
      <c r="AF215" s="520" t="str">
        <f t="shared" si="26"/>
        <v/>
      </c>
      <c r="AG215" s="520" t="str">
        <f t="shared" si="30"/>
        <v/>
      </c>
      <c r="AH215" s="524" t="str">
        <f t="shared" si="27"/>
        <v/>
      </c>
      <c r="AI215" s="145"/>
      <c r="AJ215" s="499" t="str">
        <f>IF(AI215="","",IF(VLOOKUP(AI215,'G-7 Rivers Data'!$AA$4:$AB$7,2,FALSE)=0,"Spatial Data Missing ⚠",VLOOKUP(AI215,'G-7 Rivers Data'!$AA$4:$AB$7,2,FALSE)))</f>
        <v/>
      </c>
      <c r="AK215" s="155"/>
      <c r="AL215" s="536" t="str">
        <f>IF(AK215="","",IF(VLOOKUP(AK215,'G-7 Rivers Data'!$AD$4:$AE$8,2,FALSE)=0,"Spatial Data Missing ⚠",VLOOKUP(AK215,'G-7 Rivers Data'!$AD$4:$AE$8,2,FALSE)))</f>
        <v/>
      </c>
      <c r="AM215" s="154"/>
      <c r="AN215" s="524" t="str">
        <f>IF(AM215="","",VLOOKUP(AM215,'G-7 Rivers Data'!$AO$4:$AP$7,2,FALSE))</f>
        <v/>
      </c>
      <c r="AO215" s="545" t="str">
        <f t="shared" si="31"/>
        <v/>
      </c>
      <c r="AP215" s="149"/>
      <c r="AQ215" s="150"/>
      <c r="AX215" s="31" t="str">
        <f>IFERROR(INDEX('G-7 Rivers Data'!$AZ$3:$AZ$7,MATCH(N215,'G-7 Rivers Data'!$AY$3:$AY$7,0)),"")</f>
        <v/>
      </c>
    </row>
    <row r="216" spans="2:50" ht="13.8" x14ac:dyDescent="0.25">
      <c r="B216" s="531" t="str">
        <f>'F-1 Off Site River Baseline'!AN214</f>
        <v/>
      </c>
      <c r="C216" s="520" t="str">
        <f>IF(B216="","",VLOOKUP($B216,'F-1 Off Site River Baseline'!$C$9:$R$257,2,FALSE))</f>
        <v/>
      </c>
      <c r="D216" s="520" t="str">
        <f>IF(C216="","",VLOOKUP($B216,'F-1 Off Site River Baseline'!$C$9:$R$257,3,FALSE))</f>
        <v/>
      </c>
      <c r="E216" s="520" t="str">
        <f>IF(D216="","",VLOOKUP($B216,'F-1 Off Site River Baseline'!$C$9:$R$257,4,FALSE))</f>
        <v/>
      </c>
      <c r="F216" s="520" t="str">
        <f>IF(E216="","",VLOOKUP($B216,'F-1 Off Site River Baseline'!$C$9:$R$257,5,FALSE))</f>
        <v/>
      </c>
      <c r="G216" s="520" t="str">
        <f>IF(F216="","",VLOOKUP($B216,'F-1 Off Site River Baseline'!$C$9:$R$257,6,FALSE))</f>
        <v/>
      </c>
      <c r="H216" s="520" t="str">
        <f>IF(G216="","",VLOOKUP($B216,'F-1 Off Site River Baseline'!$C$9:$R$257,7,FALSE))</f>
        <v/>
      </c>
      <c r="I216" s="520" t="str">
        <f>IF(H216="","",VLOOKUP($B216,'F-1 Off Site River Baseline'!$C$9:$R$257,8,FALSE))</f>
        <v/>
      </c>
      <c r="J216" s="520" t="str">
        <f>IF(I216="","",VLOOKUP($B216,'F-1 Off Site River Baseline'!$C$9:$R$257,9,FALSE))</f>
        <v/>
      </c>
      <c r="K216" s="520" t="str">
        <f>IF(J216="","",VLOOKUP($B216,'F-1 Off Site River Baseline'!$C$9:$R$257,10,FALSE))</f>
        <v/>
      </c>
      <c r="L216" s="520" t="str">
        <f>IF(B216="","",VLOOKUP($B216,'C-1 Site River Baseline'!$C$9:$R$257,15,FALSE))</f>
        <v/>
      </c>
      <c r="M216" s="524" t="str">
        <f>IF(L216="","",VLOOKUP($B216,'F-1 Off Site River Baseline'!$C$9:$R$257,16,FALSE))</f>
        <v/>
      </c>
      <c r="N216" s="418" t="str">
        <f t="shared" si="28"/>
        <v/>
      </c>
      <c r="O216" s="498" t="str">
        <f t="shared" si="29"/>
        <v/>
      </c>
      <c r="P216" s="499"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5" t="str">
        <f>IF(N216="","",VLOOKUP(B216,'F-1 Off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20" t="str">
        <f>IF(V216="","",IF(VLOOKUP(V216,'G-7 Rivers Data'!$AG$4:$AI$9,2,FALSE)=0,"Spatial Data Missing ⚠",VLOOKUP(V216,'G-7 Rivers Data'!$AG$4:$AI$9,2,FALSE)))</f>
        <v/>
      </c>
      <c r="X216" s="524" t="str">
        <f>IF(V216="","",IF(VLOOKUP(V216,'G-7 Rivers Data'!$AG$4:$AI$9,3,FALSE)=0,"Spatial Data Missing ⚠",VLOOKUP(V216,'G-7 Rivers Data'!$AG$4:$AI$9,3,FALSE)))</f>
        <v/>
      </c>
      <c r="Y216" s="537" t="str">
        <f>IFERROR(IF(OR(LEFT(P216,5)="Error ▲",LEFT(O216,5)="Error ▲"),"Check Data ⚠",IF(F216&lt;S216,'G-7 Rivers Data'!$R$3,INDEX('G-7 Rivers Data'!$U$5:$Y$9,MATCH(G216,'G-7 Rivers Data'!$T$5:$T$9,0),MATCH(T216,'G-7 Rivers Data'!$U$4:$Y$4,0)))),"")</f>
        <v/>
      </c>
      <c r="Z216" s="203"/>
      <c r="AA216" s="203"/>
      <c r="AB216" s="534" t="str">
        <f t="shared" si="24"/>
        <v/>
      </c>
      <c r="AC216" s="521" t="str">
        <f t="shared" si="25"/>
        <v/>
      </c>
      <c r="AD216" s="564" t="str">
        <f>IFERROR(IF(AC216="Check Data ⚠","Check Data ⚠",VLOOKUP(AC216,'G-4 Temporal multipliers'!$A$4:$C$37,3,FALSE)),"")</f>
        <v/>
      </c>
      <c r="AE216" s="537" t="str">
        <f>IF(N216="","",VLOOKUP(N216,'G-7 Rivers Data'!$B$4:$G$8,5,FALSE))</f>
        <v/>
      </c>
      <c r="AF216" s="520" t="str">
        <f t="shared" si="26"/>
        <v/>
      </c>
      <c r="AG216" s="520" t="str">
        <f t="shared" si="30"/>
        <v/>
      </c>
      <c r="AH216" s="524" t="str">
        <f t="shared" si="27"/>
        <v/>
      </c>
      <c r="AI216" s="145"/>
      <c r="AJ216" s="499" t="str">
        <f>IF(AI216="","",IF(VLOOKUP(AI216,'G-7 Rivers Data'!$AA$4:$AB$7,2,FALSE)=0,"Spatial Data Missing ⚠",VLOOKUP(AI216,'G-7 Rivers Data'!$AA$4:$AB$7,2,FALSE)))</f>
        <v/>
      </c>
      <c r="AK216" s="155"/>
      <c r="AL216" s="536" t="str">
        <f>IF(AK216="","",IF(VLOOKUP(AK216,'G-7 Rivers Data'!$AD$4:$AE$8,2,FALSE)=0,"Spatial Data Missing ⚠",VLOOKUP(AK216,'G-7 Rivers Data'!$AD$4:$AE$8,2,FALSE)))</f>
        <v/>
      </c>
      <c r="AM216" s="154"/>
      <c r="AN216" s="524" t="str">
        <f>IF(AM216="","",VLOOKUP(AM216,'G-7 Rivers Data'!$AO$4:$AP$7,2,FALSE))</f>
        <v/>
      </c>
      <c r="AO216" s="545" t="str">
        <f t="shared" si="31"/>
        <v/>
      </c>
      <c r="AP216" s="149"/>
      <c r="AQ216" s="150"/>
      <c r="AX216" s="31" t="str">
        <f>IFERROR(INDEX('G-7 Rivers Data'!$AZ$3:$AZ$7,MATCH(N216,'G-7 Rivers Data'!$AY$3:$AY$7,0)),"")</f>
        <v/>
      </c>
    </row>
    <row r="217" spans="2:50" ht="13.8" x14ac:dyDescent="0.25">
      <c r="B217" s="531" t="str">
        <f>'F-1 Off Site River Baseline'!AN215</f>
        <v/>
      </c>
      <c r="C217" s="520" t="str">
        <f>IF(B217="","",VLOOKUP($B217,'F-1 Off Site River Baseline'!$C$9:$R$257,2,FALSE))</f>
        <v/>
      </c>
      <c r="D217" s="520" t="str">
        <f>IF(C217="","",VLOOKUP($B217,'F-1 Off Site River Baseline'!$C$9:$R$257,3,FALSE))</f>
        <v/>
      </c>
      <c r="E217" s="520" t="str">
        <f>IF(D217="","",VLOOKUP($B217,'F-1 Off Site River Baseline'!$C$9:$R$257,4,FALSE))</f>
        <v/>
      </c>
      <c r="F217" s="520" t="str">
        <f>IF(E217="","",VLOOKUP($B217,'F-1 Off Site River Baseline'!$C$9:$R$257,5,FALSE))</f>
        <v/>
      </c>
      <c r="G217" s="520" t="str">
        <f>IF(F217="","",VLOOKUP($B217,'F-1 Off Site River Baseline'!$C$9:$R$257,6,FALSE))</f>
        <v/>
      </c>
      <c r="H217" s="520" t="str">
        <f>IF(G217="","",VLOOKUP($B217,'F-1 Off Site River Baseline'!$C$9:$R$257,7,FALSE))</f>
        <v/>
      </c>
      <c r="I217" s="520" t="str">
        <f>IF(H217="","",VLOOKUP($B217,'F-1 Off Site River Baseline'!$C$9:$R$257,8,FALSE))</f>
        <v/>
      </c>
      <c r="J217" s="520" t="str">
        <f>IF(I217="","",VLOOKUP($B217,'F-1 Off Site River Baseline'!$C$9:$R$257,9,FALSE))</f>
        <v/>
      </c>
      <c r="K217" s="520" t="str">
        <f>IF(J217="","",VLOOKUP($B217,'F-1 Off Site River Baseline'!$C$9:$R$257,10,FALSE))</f>
        <v/>
      </c>
      <c r="L217" s="520" t="str">
        <f>IF(B217="","",VLOOKUP($B217,'C-1 Site River Baseline'!$C$9:$R$257,15,FALSE))</f>
        <v/>
      </c>
      <c r="M217" s="524" t="str">
        <f>IF(L217="","",VLOOKUP($B217,'F-1 Off Site River Baseline'!$C$9:$R$257,16,FALSE))</f>
        <v/>
      </c>
      <c r="N217" s="418" t="str">
        <f t="shared" si="28"/>
        <v/>
      </c>
      <c r="O217" s="498" t="str">
        <f t="shared" si="29"/>
        <v/>
      </c>
      <c r="P217" s="499"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5" t="str">
        <f>IF(N217="","",VLOOKUP(B217,'F-1 Off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20" t="str">
        <f>IF(V217="","",IF(VLOOKUP(V217,'G-7 Rivers Data'!$AG$4:$AI$9,2,FALSE)=0,"Spatial Data Missing ⚠",VLOOKUP(V217,'G-7 Rivers Data'!$AG$4:$AI$9,2,FALSE)))</f>
        <v/>
      </c>
      <c r="X217" s="524" t="str">
        <f>IF(V217="","",IF(VLOOKUP(V217,'G-7 Rivers Data'!$AG$4:$AI$9,3,FALSE)=0,"Spatial Data Missing ⚠",VLOOKUP(V217,'G-7 Rivers Data'!$AG$4:$AI$9,3,FALSE)))</f>
        <v/>
      </c>
      <c r="Y217" s="537" t="str">
        <f>IFERROR(IF(OR(LEFT(P217,5)="Error ▲",LEFT(O217,5)="Error ▲"),"Check Data ⚠",IF(F217&lt;S217,'G-7 Rivers Data'!$R$3,INDEX('G-7 Rivers Data'!$U$5:$Y$9,MATCH(G217,'G-7 Rivers Data'!$T$5:$T$9,0),MATCH(T217,'G-7 Rivers Data'!$U$4:$Y$4,0)))),"")</f>
        <v/>
      </c>
      <c r="Z217" s="203"/>
      <c r="AA217" s="203"/>
      <c r="AB217" s="534" t="str">
        <f t="shared" si="24"/>
        <v/>
      </c>
      <c r="AC217" s="521" t="str">
        <f t="shared" si="25"/>
        <v/>
      </c>
      <c r="AD217" s="564" t="str">
        <f>IFERROR(IF(AC217="Check Data ⚠","Check Data ⚠",VLOOKUP(AC217,'G-4 Temporal multipliers'!$A$4:$C$37,3,FALSE)),"")</f>
        <v/>
      </c>
      <c r="AE217" s="537" t="str">
        <f>IF(N217="","",VLOOKUP(N217,'G-7 Rivers Data'!$B$4:$G$8,5,FALSE))</f>
        <v/>
      </c>
      <c r="AF217" s="520" t="str">
        <f t="shared" si="26"/>
        <v/>
      </c>
      <c r="AG217" s="520" t="str">
        <f t="shared" si="30"/>
        <v/>
      </c>
      <c r="AH217" s="524" t="str">
        <f t="shared" si="27"/>
        <v/>
      </c>
      <c r="AI217" s="145"/>
      <c r="AJ217" s="499" t="str">
        <f>IF(AI217="","",IF(VLOOKUP(AI217,'G-7 Rivers Data'!$AA$4:$AB$7,2,FALSE)=0,"Spatial Data Missing ⚠",VLOOKUP(AI217,'G-7 Rivers Data'!$AA$4:$AB$7,2,FALSE)))</f>
        <v/>
      </c>
      <c r="AK217" s="155"/>
      <c r="AL217" s="536" t="str">
        <f>IF(AK217="","",IF(VLOOKUP(AK217,'G-7 Rivers Data'!$AD$4:$AE$8,2,FALSE)=0,"Spatial Data Missing ⚠",VLOOKUP(AK217,'G-7 Rivers Data'!$AD$4:$AE$8,2,FALSE)))</f>
        <v/>
      </c>
      <c r="AM217" s="154"/>
      <c r="AN217" s="524" t="str">
        <f>IF(AM217="","",VLOOKUP(AM217,'G-7 Rivers Data'!$AO$4:$AP$7,2,FALSE))</f>
        <v/>
      </c>
      <c r="AO217" s="545" t="str">
        <f t="shared" si="31"/>
        <v/>
      </c>
      <c r="AP217" s="149"/>
      <c r="AQ217" s="150"/>
      <c r="AX217" s="31" t="str">
        <f>IFERROR(INDEX('G-7 Rivers Data'!$AZ$3:$AZ$7,MATCH(N217,'G-7 Rivers Data'!$AY$3:$AY$7,0)),"")</f>
        <v/>
      </c>
    </row>
    <row r="218" spans="2:50" ht="13.8" x14ac:dyDescent="0.25">
      <c r="B218" s="531" t="str">
        <f>'F-1 Off Site River Baseline'!AN216</f>
        <v/>
      </c>
      <c r="C218" s="520" t="str">
        <f>IF(B218="","",VLOOKUP($B218,'F-1 Off Site River Baseline'!$C$9:$R$257,2,FALSE))</f>
        <v/>
      </c>
      <c r="D218" s="520" t="str">
        <f>IF(C218="","",VLOOKUP($B218,'F-1 Off Site River Baseline'!$C$9:$R$257,3,FALSE))</f>
        <v/>
      </c>
      <c r="E218" s="520" t="str">
        <f>IF(D218="","",VLOOKUP($B218,'F-1 Off Site River Baseline'!$C$9:$R$257,4,FALSE))</f>
        <v/>
      </c>
      <c r="F218" s="520" t="str">
        <f>IF(E218="","",VLOOKUP($B218,'F-1 Off Site River Baseline'!$C$9:$R$257,5,FALSE))</f>
        <v/>
      </c>
      <c r="G218" s="520" t="str">
        <f>IF(F218="","",VLOOKUP($B218,'F-1 Off Site River Baseline'!$C$9:$R$257,6,FALSE))</f>
        <v/>
      </c>
      <c r="H218" s="520" t="str">
        <f>IF(G218="","",VLOOKUP($B218,'F-1 Off Site River Baseline'!$C$9:$R$257,7,FALSE))</f>
        <v/>
      </c>
      <c r="I218" s="520" t="str">
        <f>IF(H218="","",VLOOKUP($B218,'F-1 Off Site River Baseline'!$C$9:$R$257,8,FALSE))</f>
        <v/>
      </c>
      <c r="J218" s="520" t="str">
        <f>IF(I218="","",VLOOKUP($B218,'F-1 Off Site River Baseline'!$C$9:$R$257,9,FALSE))</f>
        <v/>
      </c>
      <c r="K218" s="520" t="str">
        <f>IF(J218="","",VLOOKUP($B218,'F-1 Off Site River Baseline'!$C$9:$R$257,10,FALSE))</f>
        <v/>
      </c>
      <c r="L218" s="520" t="str">
        <f>IF(B218="","",VLOOKUP($B218,'C-1 Site River Baseline'!$C$9:$R$257,15,FALSE))</f>
        <v/>
      </c>
      <c r="M218" s="524" t="str">
        <f>IF(L218="","",VLOOKUP($B218,'F-1 Off Site River Baseline'!$C$9:$R$257,16,FALSE))</f>
        <v/>
      </c>
      <c r="N218" s="418" t="str">
        <f t="shared" si="28"/>
        <v/>
      </c>
      <c r="O218" s="498" t="str">
        <f t="shared" si="29"/>
        <v/>
      </c>
      <c r="P218" s="499"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5" t="str">
        <f>IF(N218="","",VLOOKUP(B218,'F-1 Off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20" t="str">
        <f>IF(V218="","",IF(VLOOKUP(V218,'G-7 Rivers Data'!$AG$4:$AI$9,2,FALSE)=0,"Spatial Data Missing ⚠",VLOOKUP(V218,'G-7 Rivers Data'!$AG$4:$AI$9,2,FALSE)))</f>
        <v/>
      </c>
      <c r="X218" s="524" t="str">
        <f>IF(V218="","",IF(VLOOKUP(V218,'G-7 Rivers Data'!$AG$4:$AI$9,3,FALSE)=0,"Spatial Data Missing ⚠",VLOOKUP(V218,'G-7 Rivers Data'!$AG$4:$AI$9,3,FALSE)))</f>
        <v/>
      </c>
      <c r="Y218" s="537" t="str">
        <f>IFERROR(IF(OR(LEFT(P218,5)="Error ▲",LEFT(O218,5)="Error ▲"),"Check Data ⚠",IF(F218&lt;S218,'G-7 Rivers Data'!$R$3,INDEX('G-7 Rivers Data'!$U$5:$Y$9,MATCH(G218,'G-7 Rivers Data'!$T$5:$T$9,0),MATCH(T218,'G-7 Rivers Data'!$U$4:$Y$4,0)))),"")</f>
        <v/>
      </c>
      <c r="Z218" s="203"/>
      <c r="AA218" s="203"/>
      <c r="AB218" s="534" t="str">
        <f t="shared" si="24"/>
        <v/>
      </c>
      <c r="AC218" s="521" t="str">
        <f t="shared" si="25"/>
        <v/>
      </c>
      <c r="AD218" s="564" t="str">
        <f>IFERROR(IF(AC218="Check Data ⚠","Check Data ⚠",VLOOKUP(AC218,'G-4 Temporal multipliers'!$A$4:$C$37,3,FALSE)),"")</f>
        <v/>
      </c>
      <c r="AE218" s="537" t="str">
        <f>IF(N218="","",VLOOKUP(N218,'G-7 Rivers Data'!$B$4:$G$8,5,FALSE))</f>
        <v/>
      </c>
      <c r="AF218" s="520" t="str">
        <f t="shared" si="26"/>
        <v/>
      </c>
      <c r="AG218" s="520" t="str">
        <f t="shared" si="30"/>
        <v/>
      </c>
      <c r="AH218" s="524" t="str">
        <f t="shared" si="27"/>
        <v/>
      </c>
      <c r="AI218" s="145"/>
      <c r="AJ218" s="499" t="str">
        <f>IF(AI218="","",IF(VLOOKUP(AI218,'G-7 Rivers Data'!$AA$4:$AB$7,2,FALSE)=0,"Spatial Data Missing ⚠",VLOOKUP(AI218,'G-7 Rivers Data'!$AA$4:$AB$7,2,FALSE)))</f>
        <v/>
      </c>
      <c r="AK218" s="155"/>
      <c r="AL218" s="536" t="str">
        <f>IF(AK218="","",IF(VLOOKUP(AK218,'G-7 Rivers Data'!$AD$4:$AE$8,2,FALSE)=0,"Spatial Data Missing ⚠",VLOOKUP(AK218,'G-7 Rivers Data'!$AD$4:$AE$8,2,FALSE)))</f>
        <v/>
      </c>
      <c r="AM218" s="154"/>
      <c r="AN218" s="524" t="str">
        <f>IF(AM218="","",VLOOKUP(AM218,'G-7 Rivers Data'!$AO$4:$AP$7,2,FALSE))</f>
        <v/>
      </c>
      <c r="AO218" s="545" t="str">
        <f t="shared" si="31"/>
        <v/>
      </c>
      <c r="AP218" s="149"/>
      <c r="AQ218" s="150"/>
      <c r="AX218" s="31" t="str">
        <f>IFERROR(INDEX('G-7 Rivers Data'!$AZ$3:$AZ$7,MATCH(N218,'G-7 Rivers Data'!$AY$3:$AY$7,0)),"")</f>
        <v/>
      </c>
    </row>
    <row r="219" spans="2:50" ht="13.8" x14ac:dyDescent="0.25">
      <c r="B219" s="531" t="str">
        <f>'F-1 Off Site River Baseline'!AN217</f>
        <v/>
      </c>
      <c r="C219" s="520" t="str">
        <f>IF(B219="","",VLOOKUP($B219,'F-1 Off Site River Baseline'!$C$9:$R$257,2,FALSE))</f>
        <v/>
      </c>
      <c r="D219" s="520" t="str">
        <f>IF(C219="","",VLOOKUP($B219,'F-1 Off Site River Baseline'!$C$9:$R$257,3,FALSE))</f>
        <v/>
      </c>
      <c r="E219" s="520" t="str">
        <f>IF(D219="","",VLOOKUP($B219,'F-1 Off Site River Baseline'!$C$9:$R$257,4,FALSE))</f>
        <v/>
      </c>
      <c r="F219" s="520" t="str">
        <f>IF(E219="","",VLOOKUP($B219,'F-1 Off Site River Baseline'!$C$9:$R$257,5,FALSE))</f>
        <v/>
      </c>
      <c r="G219" s="520" t="str">
        <f>IF(F219="","",VLOOKUP($B219,'F-1 Off Site River Baseline'!$C$9:$R$257,6,FALSE))</f>
        <v/>
      </c>
      <c r="H219" s="520" t="str">
        <f>IF(G219="","",VLOOKUP($B219,'F-1 Off Site River Baseline'!$C$9:$R$257,7,FALSE))</f>
        <v/>
      </c>
      <c r="I219" s="520" t="str">
        <f>IF(H219="","",VLOOKUP($B219,'F-1 Off Site River Baseline'!$C$9:$R$257,8,FALSE))</f>
        <v/>
      </c>
      <c r="J219" s="520" t="str">
        <f>IF(I219="","",VLOOKUP($B219,'F-1 Off Site River Baseline'!$C$9:$R$257,9,FALSE))</f>
        <v/>
      </c>
      <c r="K219" s="520" t="str">
        <f>IF(J219="","",VLOOKUP($B219,'F-1 Off Site River Baseline'!$C$9:$R$257,10,FALSE))</f>
        <v/>
      </c>
      <c r="L219" s="520" t="str">
        <f>IF(B219="","",VLOOKUP($B219,'C-1 Site River Baseline'!$C$9:$R$257,15,FALSE))</f>
        <v/>
      </c>
      <c r="M219" s="524" t="str">
        <f>IF(L219="","",VLOOKUP($B219,'F-1 Off Site River Baseline'!$C$9:$R$257,16,FALSE))</f>
        <v/>
      </c>
      <c r="N219" s="418" t="str">
        <f t="shared" si="28"/>
        <v/>
      </c>
      <c r="O219" s="498" t="str">
        <f t="shared" si="29"/>
        <v/>
      </c>
      <c r="P219" s="499"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5" t="str">
        <f>IF(N219="","",VLOOKUP(B219,'F-1 Off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20" t="str">
        <f>IF(V219="","",IF(VLOOKUP(V219,'G-7 Rivers Data'!$AG$4:$AI$9,2,FALSE)=0,"Spatial Data Missing ⚠",VLOOKUP(V219,'G-7 Rivers Data'!$AG$4:$AI$9,2,FALSE)))</f>
        <v/>
      </c>
      <c r="X219" s="524" t="str">
        <f>IF(V219="","",IF(VLOOKUP(V219,'G-7 Rivers Data'!$AG$4:$AI$9,3,FALSE)=0,"Spatial Data Missing ⚠",VLOOKUP(V219,'G-7 Rivers Data'!$AG$4:$AI$9,3,FALSE)))</f>
        <v/>
      </c>
      <c r="Y219" s="537" t="str">
        <f>IFERROR(IF(OR(LEFT(P219,5)="Error ▲",LEFT(O219,5)="Error ▲"),"Check Data ⚠",IF(F219&lt;S219,'G-7 Rivers Data'!$R$3,INDEX('G-7 Rivers Data'!$U$5:$Y$9,MATCH(G219,'G-7 Rivers Data'!$T$5:$T$9,0),MATCH(T219,'G-7 Rivers Data'!$U$4:$Y$4,0)))),"")</f>
        <v/>
      </c>
      <c r="Z219" s="203"/>
      <c r="AA219" s="203"/>
      <c r="AB219" s="534" t="str">
        <f t="shared" si="24"/>
        <v/>
      </c>
      <c r="AC219" s="521" t="str">
        <f t="shared" si="25"/>
        <v/>
      </c>
      <c r="AD219" s="564" t="str">
        <f>IFERROR(IF(AC219="Check Data ⚠","Check Data ⚠",VLOOKUP(AC219,'G-4 Temporal multipliers'!$A$4:$C$37,3,FALSE)),"")</f>
        <v/>
      </c>
      <c r="AE219" s="537" t="str">
        <f>IF(N219="","",VLOOKUP(N219,'G-7 Rivers Data'!$B$4:$G$8,5,FALSE))</f>
        <v/>
      </c>
      <c r="AF219" s="520" t="str">
        <f t="shared" si="26"/>
        <v/>
      </c>
      <c r="AG219" s="520" t="str">
        <f t="shared" si="30"/>
        <v/>
      </c>
      <c r="AH219" s="524" t="str">
        <f t="shared" si="27"/>
        <v/>
      </c>
      <c r="AI219" s="145"/>
      <c r="AJ219" s="499" t="str">
        <f>IF(AI219="","",IF(VLOOKUP(AI219,'G-7 Rivers Data'!$AA$4:$AB$7,2,FALSE)=0,"Spatial Data Missing ⚠",VLOOKUP(AI219,'G-7 Rivers Data'!$AA$4:$AB$7,2,FALSE)))</f>
        <v/>
      </c>
      <c r="AK219" s="155"/>
      <c r="AL219" s="536" t="str">
        <f>IF(AK219="","",IF(VLOOKUP(AK219,'G-7 Rivers Data'!$AD$4:$AE$8,2,FALSE)=0,"Spatial Data Missing ⚠",VLOOKUP(AK219,'G-7 Rivers Data'!$AD$4:$AE$8,2,FALSE)))</f>
        <v/>
      </c>
      <c r="AM219" s="154"/>
      <c r="AN219" s="524" t="str">
        <f>IF(AM219="","",VLOOKUP(AM219,'G-7 Rivers Data'!$AO$4:$AP$7,2,FALSE))</f>
        <v/>
      </c>
      <c r="AO219" s="545" t="str">
        <f t="shared" si="31"/>
        <v/>
      </c>
      <c r="AP219" s="149"/>
      <c r="AQ219" s="150"/>
      <c r="AX219" s="31" t="str">
        <f>IFERROR(INDEX('G-7 Rivers Data'!$AZ$3:$AZ$7,MATCH(N219,'G-7 Rivers Data'!$AY$3:$AY$7,0)),"")</f>
        <v/>
      </c>
    </row>
    <row r="220" spans="2:50" ht="13.8" x14ac:dyDescent="0.25">
      <c r="B220" s="531" t="str">
        <f>'F-1 Off Site River Baseline'!AN218</f>
        <v/>
      </c>
      <c r="C220" s="520" t="str">
        <f>IF(B220="","",VLOOKUP($B220,'F-1 Off Site River Baseline'!$C$9:$R$257,2,FALSE))</f>
        <v/>
      </c>
      <c r="D220" s="520" t="str">
        <f>IF(C220="","",VLOOKUP($B220,'F-1 Off Site River Baseline'!$C$9:$R$257,3,FALSE))</f>
        <v/>
      </c>
      <c r="E220" s="520" t="str">
        <f>IF(D220="","",VLOOKUP($B220,'F-1 Off Site River Baseline'!$C$9:$R$257,4,FALSE))</f>
        <v/>
      </c>
      <c r="F220" s="520" t="str">
        <f>IF(E220="","",VLOOKUP($B220,'F-1 Off Site River Baseline'!$C$9:$R$257,5,FALSE))</f>
        <v/>
      </c>
      <c r="G220" s="520" t="str">
        <f>IF(F220="","",VLOOKUP($B220,'F-1 Off Site River Baseline'!$C$9:$R$257,6,FALSE))</f>
        <v/>
      </c>
      <c r="H220" s="520" t="str">
        <f>IF(G220="","",VLOOKUP($B220,'F-1 Off Site River Baseline'!$C$9:$R$257,7,FALSE))</f>
        <v/>
      </c>
      <c r="I220" s="520" t="str">
        <f>IF(H220="","",VLOOKUP($B220,'F-1 Off Site River Baseline'!$C$9:$R$257,8,FALSE))</f>
        <v/>
      </c>
      <c r="J220" s="520" t="str">
        <f>IF(I220="","",VLOOKUP($B220,'F-1 Off Site River Baseline'!$C$9:$R$257,9,FALSE))</f>
        <v/>
      </c>
      <c r="K220" s="520" t="str">
        <f>IF(J220="","",VLOOKUP($B220,'F-1 Off Site River Baseline'!$C$9:$R$257,10,FALSE))</f>
        <v/>
      </c>
      <c r="L220" s="520" t="str">
        <f>IF(B220="","",VLOOKUP($B220,'C-1 Site River Baseline'!$C$9:$R$257,15,FALSE))</f>
        <v/>
      </c>
      <c r="M220" s="524" t="str">
        <f>IF(L220="","",VLOOKUP($B220,'F-1 Off Site River Baseline'!$C$9:$R$257,16,FALSE))</f>
        <v/>
      </c>
      <c r="N220" s="418" t="str">
        <f t="shared" si="28"/>
        <v/>
      </c>
      <c r="O220" s="498" t="str">
        <f t="shared" si="29"/>
        <v/>
      </c>
      <c r="P220" s="499"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5" t="str">
        <f>IF(N220="","",VLOOKUP(B220,'F-1 Off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20" t="str">
        <f>IF(V220="","",IF(VLOOKUP(V220,'G-7 Rivers Data'!$AG$4:$AI$9,2,FALSE)=0,"Spatial Data Missing ⚠",VLOOKUP(V220,'G-7 Rivers Data'!$AG$4:$AI$9,2,FALSE)))</f>
        <v/>
      </c>
      <c r="X220" s="524" t="str">
        <f>IF(V220="","",IF(VLOOKUP(V220,'G-7 Rivers Data'!$AG$4:$AI$9,3,FALSE)=0,"Spatial Data Missing ⚠",VLOOKUP(V220,'G-7 Rivers Data'!$AG$4:$AI$9,3,FALSE)))</f>
        <v/>
      </c>
      <c r="Y220" s="537" t="str">
        <f>IFERROR(IF(OR(LEFT(P220,5)="Error ▲",LEFT(O220,5)="Error ▲"),"Check Data ⚠",IF(F220&lt;S220,'G-7 Rivers Data'!$R$3,INDEX('G-7 Rivers Data'!$U$5:$Y$9,MATCH(G220,'G-7 Rivers Data'!$T$5:$T$9,0),MATCH(T220,'G-7 Rivers Data'!$U$4:$Y$4,0)))),"")</f>
        <v/>
      </c>
      <c r="Z220" s="203"/>
      <c r="AA220" s="203"/>
      <c r="AB220" s="534" t="str">
        <f t="shared" si="24"/>
        <v/>
      </c>
      <c r="AC220" s="521" t="str">
        <f t="shared" si="25"/>
        <v/>
      </c>
      <c r="AD220" s="564" t="str">
        <f>IFERROR(IF(AC220="Check Data ⚠","Check Data ⚠",VLOOKUP(AC220,'G-4 Temporal multipliers'!$A$4:$C$37,3,FALSE)),"")</f>
        <v/>
      </c>
      <c r="AE220" s="537" t="str">
        <f>IF(N220="","",VLOOKUP(N220,'G-7 Rivers Data'!$B$4:$G$8,5,FALSE))</f>
        <v/>
      </c>
      <c r="AF220" s="520" t="str">
        <f t="shared" si="26"/>
        <v/>
      </c>
      <c r="AG220" s="520" t="str">
        <f t="shared" si="30"/>
        <v/>
      </c>
      <c r="AH220" s="524" t="str">
        <f t="shared" si="27"/>
        <v/>
      </c>
      <c r="AI220" s="145"/>
      <c r="AJ220" s="499" t="str">
        <f>IF(AI220="","",IF(VLOOKUP(AI220,'G-7 Rivers Data'!$AA$4:$AB$7,2,FALSE)=0,"Spatial Data Missing ⚠",VLOOKUP(AI220,'G-7 Rivers Data'!$AA$4:$AB$7,2,FALSE)))</f>
        <v/>
      </c>
      <c r="AK220" s="155"/>
      <c r="AL220" s="536" t="str">
        <f>IF(AK220="","",IF(VLOOKUP(AK220,'G-7 Rivers Data'!$AD$4:$AE$8,2,FALSE)=0,"Spatial Data Missing ⚠",VLOOKUP(AK220,'G-7 Rivers Data'!$AD$4:$AE$8,2,FALSE)))</f>
        <v/>
      </c>
      <c r="AM220" s="154"/>
      <c r="AN220" s="524" t="str">
        <f>IF(AM220="","",VLOOKUP(AM220,'G-7 Rivers Data'!$AO$4:$AP$7,2,FALSE))</f>
        <v/>
      </c>
      <c r="AO220" s="545" t="str">
        <f t="shared" si="31"/>
        <v/>
      </c>
      <c r="AP220" s="149"/>
      <c r="AQ220" s="150"/>
      <c r="AX220" s="31" t="str">
        <f>IFERROR(INDEX('G-7 Rivers Data'!$AZ$3:$AZ$7,MATCH(N220,'G-7 Rivers Data'!$AY$3:$AY$7,0)),"")</f>
        <v/>
      </c>
    </row>
    <row r="221" spans="2:50" ht="13.8" x14ac:dyDescent="0.25">
      <c r="B221" s="531" t="str">
        <f>'F-1 Off Site River Baseline'!AN219</f>
        <v/>
      </c>
      <c r="C221" s="520" t="str">
        <f>IF(B221="","",VLOOKUP($B221,'F-1 Off Site River Baseline'!$C$9:$R$257,2,FALSE))</f>
        <v/>
      </c>
      <c r="D221" s="520" t="str">
        <f>IF(C221="","",VLOOKUP($B221,'F-1 Off Site River Baseline'!$C$9:$R$257,3,FALSE))</f>
        <v/>
      </c>
      <c r="E221" s="520" t="str">
        <f>IF(D221="","",VLOOKUP($B221,'F-1 Off Site River Baseline'!$C$9:$R$257,4,FALSE))</f>
        <v/>
      </c>
      <c r="F221" s="520" t="str">
        <f>IF(E221="","",VLOOKUP($B221,'F-1 Off Site River Baseline'!$C$9:$R$257,5,FALSE))</f>
        <v/>
      </c>
      <c r="G221" s="520" t="str">
        <f>IF(F221="","",VLOOKUP($B221,'F-1 Off Site River Baseline'!$C$9:$R$257,6,FALSE))</f>
        <v/>
      </c>
      <c r="H221" s="520" t="str">
        <f>IF(G221="","",VLOOKUP($B221,'F-1 Off Site River Baseline'!$C$9:$R$257,7,FALSE))</f>
        <v/>
      </c>
      <c r="I221" s="520" t="str">
        <f>IF(H221="","",VLOOKUP($B221,'F-1 Off Site River Baseline'!$C$9:$R$257,8,FALSE))</f>
        <v/>
      </c>
      <c r="J221" s="520" t="str">
        <f>IF(I221="","",VLOOKUP($B221,'F-1 Off Site River Baseline'!$C$9:$R$257,9,FALSE))</f>
        <v/>
      </c>
      <c r="K221" s="520" t="str">
        <f>IF(J221="","",VLOOKUP($B221,'F-1 Off Site River Baseline'!$C$9:$R$257,10,FALSE))</f>
        <v/>
      </c>
      <c r="L221" s="520" t="str">
        <f>IF(B221="","",VLOOKUP($B221,'C-1 Site River Baseline'!$C$9:$R$257,15,FALSE))</f>
        <v/>
      </c>
      <c r="M221" s="524" t="str">
        <f>IF(L221="","",VLOOKUP($B221,'F-1 Off Site River Baseline'!$C$9:$R$257,16,FALSE))</f>
        <v/>
      </c>
      <c r="N221" s="418" t="str">
        <f t="shared" si="28"/>
        <v/>
      </c>
      <c r="O221" s="498" t="str">
        <f t="shared" si="29"/>
        <v/>
      </c>
      <c r="P221" s="499"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5" t="str">
        <f>IF(N221="","",VLOOKUP(B221,'F-1 Off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20" t="str">
        <f>IF(V221="","",IF(VLOOKUP(V221,'G-7 Rivers Data'!$AG$4:$AI$9,2,FALSE)=0,"Spatial Data Missing ⚠",VLOOKUP(V221,'G-7 Rivers Data'!$AG$4:$AI$9,2,FALSE)))</f>
        <v/>
      </c>
      <c r="X221" s="524" t="str">
        <f>IF(V221="","",IF(VLOOKUP(V221,'G-7 Rivers Data'!$AG$4:$AI$9,3,FALSE)=0,"Spatial Data Missing ⚠",VLOOKUP(V221,'G-7 Rivers Data'!$AG$4:$AI$9,3,FALSE)))</f>
        <v/>
      </c>
      <c r="Y221" s="537" t="str">
        <f>IFERROR(IF(OR(LEFT(P221,5)="Error ▲",LEFT(O221,5)="Error ▲"),"Check Data ⚠",IF(F221&lt;S221,'G-7 Rivers Data'!$R$3,INDEX('G-7 Rivers Data'!$U$5:$Y$9,MATCH(G221,'G-7 Rivers Data'!$T$5:$T$9,0),MATCH(T221,'G-7 Rivers Data'!$U$4:$Y$4,0)))),"")</f>
        <v/>
      </c>
      <c r="Z221" s="203"/>
      <c r="AA221" s="203"/>
      <c r="AB221" s="534" t="str">
        <f t="shared" si="24"/>
        <v/>
      </c>
      <c r="AC221" s="521" t="str">
        <f t="shared" si="25"/>
        <v/>
      </c>
      <c r="AD221" s="564" t="str">
        <f>IFERROR(IF(AC221="Check Data ⚠","Check Data ⚠",VLOOKUP(AC221,'G-4 Temporal multipliers'!$A$4:$C$37,3,FALSE)),"")</f>
        <v/>
      </c>
      <c r="AE221" s="537" t="str">
        <f>IF(N221="","",VLOOKUP(N221,'G-7 Rivers Data'!$B$4:$G$8,5,FALSE))</f>
        <v/>
      </c>
      <c r="AF221" s="520" t="str">
        <f t="shared" si="26"/>
        <v/>
      </c>
      <c r="AG221" s="520" t="str">
        <f t="shared" si="30"/>
        <v/>
      </c>
      <c r="AH221" s="524" t="str">
        <f t="shared" si="27"/>
        <v/>
      </c>
      <c r="AI221" s="145"/>
      <c r="AJ221" s="499" t="str">
        <f>IF(AI221="","",IF(VLOOKUP(AI221,'G-7 Rivers Data'!$AA$4:$AB$7,2,FALSE)=0,"Spatial Data Missing ⚠",VLOOKUP(AI221,'G-7 Rivers Data'!$AA$4:$AB$7,2,FALSE)))</f>
        <v/>
      </c>
      <c r="AK221" s="155"/>
      <c r="AL221" s="536" t="str">
        <f>IF(AK221="","",IF(VLOOKUP(AK221,'G-7 Rivers Data'!$AD$4:$AE$8,2,FALSE)=0,"Spatial Data Missing ⚠",VLOOKUP(AK221,'G-7 Rivers Data'!$AD$4:$AE$8,2,FALSE)))</f>
        <v/>
      </c>
      <c r="AM221" s="154"/>
      <c r="AN221" s="524" t="str">
        <f>IF(AM221="","",VLOOKUP(AM221,'G-7 Rivers Data'!$AO$4:$AP$7,2,FALSE))</f>
        <v/>
      </c>
      <c r="AO221" s="545" t="str">
        <f t="shared" si="31"/>
        <v/>
      </c>
      <c r="AP221" s="149"/>
      <c r="AQ221" s="150"/>
      <c r="AX221" s="31" t="str">
        <f>IFERROR(INDEX('G-7 Rivers Data'!$AZ$3:$AZ$7,MATCH(N221,'G-7 Rivers Data'!$AY$3:$AY$7,0)),"")</f>
        <v/>
      </c>
    </row>
    <row r="222" spans="2:50" ht="13.8" x14ac:dyDescent="0.25">
      <c r="B222" s="531" t="str">
        <f>'F-1 Off Site River Baseline'!AN220</f>
        <v/>
      </c>
      <c r="C222" s="520" t="str">
        <f>IF(B222="","",VLOOKUP($B222,'F-1 Off Site River Baseline'!$C$9:$R$257,2,FALSE))</f>
        <v/>
      </c>
      <c r="D222" s="520" t="str">
        <f>IF(C222="","",VLOOKUP($B222,'F-1 Off Site River Baseline'!$C$9:$R$257,3,FALSE))</f>
        <v/>
      </c>
      <c r="E222" s="520" t="str">
        <f>IF(D222="","",VLOOKUP($B222,'F-1 Off Site River Baseline'!$C$9:$R$257,4,FALSE))</f>
        <v/>
      </c>
      <c r="F222" s="520" t="str">
        <f>IF(E222="","",VLOOKUP($B222,'F-1 Off Site River Baseline'!$C$9:$R$257,5,FALSE))</f>
        <v/>
      </c>
      <c r="G222" s="520" t="str">
        <f>IF(F222="","",VLOOKUP($B222,'F-1 Off Site River Baseline'!$C$9:$R$257,6,FALSE))</f>
        <v/>
      </c>
      <c r="H222" s="520" t="str">
        <f>IF(G222="","",VLOOKUP($B222,'F-1 Off Site River Baseline'!$C$9:$R$257,7,FALSE))</f>
        <v/>
      </c>
      <c r="I222" s="520" t="str">
        <f>IF(H222="","",VLOOKUP($B222,'F-1 Off Site River Baseline'!$C$9:$R$257,8,FALSE))</f>
        <v/>
      </c>
      <c r="J222" s="520" t="str">
        <f>IF(I222="","",VLOOKUP($B222,'F-1 Off Site River Baseline'!$C$9:$R$257,9,FALSE))</f>
        <v/>
      </c>
      <c r="K222" s="520" t="str">
        <f>IF(J222="","",VLOOKUP($B222,'F-1 Off Site River Baseline'!$C$9:$R$257,10,FALSE))</f>
        <v/>
      </c>
      <c r="L222" s="520" t="str">
        <f>IF(B222="","",VLOOKUP($B222,'C-1 Site River Baseline'!$C$9:$R$257,15,FALSE))</f>
        <v/>
      </c>
      <c r="M222" s="524" t="str">
        <f>IF(L222="","",VLOOKUP($B222,'F-1 Off Site River Baseline'!$C$9:$R$257,16,FALSE))</f>
        <v/>
      </c>
      <c r="N222" s="418" t="str">
        <f t="shared" si="28"/>
        <v/>
      </c>
      <c r="O222" s="498" t="str">
        <f t="shared" si="29"/>
        <v/>
      </c>
      <c r="P222" s="499"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5" t="str">
        <f>IF(N222="","",VLOOKUP(B222,'F-1 Off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20" t="str">
        <f>IF(V222="","",IF(VLOOKUP(V222,'G-7 Rivers Data'!$AG$4:$AI$9,2,FALSE)=0,"Spatial Data Missing ⚠",VLOOKUP(V222,'G-7 Rivers Data'!$AG$4:$AI$9,2,FALSE)))</f>
        <v/>
      </c>
      <c r="X222" s="524" t="str">
        <f>IF(V222="","",IF(VLOOKUP(V222,'G-7 Rivers Data'!$AG$4:$AI$9,3,FALSE)=0,"Spatial Data Missing ⚠",VLOOKUP(V222,'G-7 Rivers Data'!$AG$4:$AI$9,3,FALSE)))</f>
        <v/>
      </c>
      <c r="Y222" s="537" t="str">
        <f>IFERROR(IF(OR(LEFT(P222,5)="Error ▲",LEFT(O222,5)="Error ▲"),"Check Data ⚠",IF(F222&lt;S222,'G-7 Rivers Data'!$R$3,INDEX('G-7 Rivers Data'!$U$5:$Y$9,MATCH(G222,'G-7 Rivers Data'!$T$5:$T$9,0),MATCH(T222,'G-7 Rivers Data'!$U$4:$Y$4,0)))),"")</f>
        <v/>
      </c>
      <c r="Z222" s="203"/>
      <c r="AA222" s="203"/>
      <c r="AB222" s="534" t="str">
        <f t="shared" si="24"/>
        <v/>
      </c>
      <c r="AC222" s="521" t="str">
        <f t="shared" si="25"/>
        <v/>
      </c>
      <c r="AD222" s="564" t="str">
        <f>IFERROR(IF(AC222="Check Data ⚠","Check Data ⚠",VLOOKUP(AC222,'G-4 Temporal multipliers'!$A$4:$C$37,3,FALSE)),"")</f>
        <v/>
      </c>
      <c r="AE222" s="537" t="str">
        <f>IF(N222="","",VLOOKUP(N222,'G-7 Rivers Data'!$B$4:$G$8,5,FALSE))</f>
        <v/>
      </c>
      <c r="AF222" s="520" t="str">
        <f t="shared" si="26"/>
        <v/>
      </c>
      <c r="AG222" s="520" t="str">
        <f t="shared" si="30"/>
        <v/>
      </c>
      <c r="AH222" s="524" t="str">
        <f t="shared" si="27"/>
        <v/>
      </c>
      <c r="AI222" s="145"/>
      <c r="AJ222" s="499" t="str">
        <f>IF(AI222="","",IF(VLOOKUP(AI222,'G-7 Rivers Data'!$AA$4:$AB$7,2,FALSE)=0,"Spatial Data Missing ⚠",VLOOKUP(AI222,'G-7 Rivers Data'!$AA$4:$AB$7,2,FALSE)))</f>
        <v/>
      </c>
      <c r="AK222" s="155"/>
      <c r="AL222" s="536" t="str">
        <f>IF(AK222="","",IF(VLOOKUP(AK222,'G-7 Rivers Data'!$AD$4:$AE$8,2,FALSE)=0,"Spatial Data Missing ⚠",VLOOKUP(AK222,'G-7 Rivers Data'!$AD$4:$AE$8,2,FALSE)))</f>
        <v/>
      </c>
      <c r="AM222" s="154"/>
      <c r="AN222" s="524" t="str">
        <f>IF(AM222="","",VLOOKUP(AM222,'G-7 Rivers Data'!$AO$4:$AP$7,2,FALSE))</f>
        <v/>
      </c>
      <c r="AO222" s="545" t="str">
        <f t="shared" si="31"/>
        <v/>
      </c>
      <c r="AP222" s="149"/>
      <c r="AQ222" s="150"/>
      <c r="AX222" s="31" t="str">
        <f>IFERROR(INDEX('G-7 Rivers Data'!$AZ$3:$AZ$7,MATCH(N222,'G-7 Rivers Data'!$AY$3:$AY$7,0)),"")</f>
        <v/>
      </c>
    </row>
    <row r="223" spans="2:50" ht="13.8" x14ac:dyDescent="0.25">
      <c r="B223" s="531" t="str">
        <f>'F-1 Off Site River Baseline'!AN221</f>
        <v/>
      </c>
      <c r="C223" s="520" t="str">
        <f>IF(B223="","",VLOOKUP($B223,'F-1 Off Site River Baseline'!$C$9:$R$257,2,FALSE))</f>
        <v/>
      </c>
      <c r="D223" s="520" t="str">
        <f>IF(C223="","",VLOOKUP($B223,'F-1 Off Site River Baseline'!$C$9:$R$257,3,FALSE))</f>
        <v/>
      </c>
      <c r="E223" s="520" t="str">
        <f>IF(D223="","",VLOOKUP($B223,'F-1 Off Site River Baseline'!$C$9:$R$257,4,FALSE))</f>
        <v/>
      </c>
      <c r="F223" s="520" t="str">
        <f>IF(E223="","",VLOOKUP($B223,'F-1 Off Site River Baseline'!$C$9:$R$257,5,FALSE))</f>
        <v/>
      </c>
      <c r="G223" s="520" t="str">
        <f>IF(F223="","",VLOOKUP($B223,'F-1 Off Site River Baseline'!$C$9:$R$257,6,FALSE))</f>
        <v/>
      </c>
      <c r="H223" s="520" t="str">
        <f>IF(G223="","",VLOOKUP($B223,'F-1 Off Site River Baseline'!$C$9:$R$257,7,FALSE))</f>
        <v/>
      </c>
      <c r="I223" s="520" t="str">
        <f>IF(H223="","",VLOOKUP($B223,'F-1 Off Site River Baseline'!$C$9:$R$257,8,FALSE))</f>
        <v/>
      </c>
      <c r="J223" s="520" t="str">
        <f>IF(I223="","",VLOOKUP($B223,'F-1 Off Site River Baseline'!$C$9:$R$257,9,FALSE))</f>
        <v/>
      </c>
      <c r="K223" s="520" t="str">
        <f>IF(J223="","",VLOOKUP($B223,'F-1 Off Site River Baseline'!$C$9:$R$257,10,FALSE))</f>
        <v/>
      </c>
      <c r="L223" s="520" t="str">
        <f>IF(B223="","",VLOOKUP($B223,'C-1 Site River Baseline'!$C$9:$R$257,15,FALSE))</f>
        <v/>
      </c>
      <c r="M223" s="524" t="str">
        <f>IF(L223="","",VLOOKUP($B223,'F-1 Off Site River Baseline'!$C$9:$R$257,16,FALSE))</f>
        <v/>
      </c>
      <c r="N223" s="418" t="str">
        <f t="shared" si="28"/>
        <v/>
      </c>
      <c r="O223" s="498" t="str">
        <f t="shared" si="29"/>
        <v/>
      </c>
      <c r="P223" s="499"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5" t="str">
        <f>IF(N223="","",VLOOKUP(B223,'F-1 Off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20" t="str">
        <f>IF(V223="","",IF(VLOOKUP(V223,'G-7 Rivers Data'!$AG$4:$AI$9,2,FALSE)=0,"Spatial Data Missing ⚠",VLOOKUP(V223,'G-7 Rivers Data'!$AG$4:$AI$9,2,FALSE)))</f>
        <v/>
      </c>
      <c r="X223" s="524" t="str">
        <f>IF(V223="","",IF(VLOOKUP(V223,'G-7 Rivers Data'!$AG$4:$AI$9,3,FALSE)=0,"Spatial Data Missing ⚠",VLOOKUP(V223,'G-7 Rivers Data'!$AG$4:$AI$9,3,FALSE)))</f>
        <v/>
      </c>
      <c r="Y223" s="537" t="str">
        <f>IFERROR(IF(OR(LEFT(P223,5)="Error ▲",LEFT(O223,5)="Error ▲"),"Check Data ⚠",IF(F223&lt;S223,'G-7 Rivers Data'!$R$3,INDEX('G-7 Rivers Data'!$U$5:$Y$9,MATCH(G223,'G-7 Rivers Data'!$T$5:$T$9,0),MATCH(T223,'G-7 Rivers Data'!$U$4:$Y$4,0)))),"")</f>
        <v/>
      </c>
      <c r="Z223" s="203"/>
      <c r="AA223" s="203"/>
      <c r="AB223" s="534" t="str">
        <f t="shared" si="24"/>
        <v/>
      </c>
      <c r="AC223" s="521" t="str">
        <f t="shared" si="25"/>
        <v/>
      </c>
      <c r="AD223" s="564" t="str">
        <f>IFERROR(IF(AC223="Check Data ⚠","Check Data ⚠",VLOOKUP(AC223,'G-4 Temporal multipliers'!$A$4:$C$37,3,FALSE)),"")</f>
        <v/>
      </c>
      <c r="AE223" s="537" t="str">
        <f>IF(N223="","",VLOOKUP(N223,'G-7 Rivers Data'!$B$4:$G$8,5,FALSE))</f>
        <v/>
      </c>
      <c r="AF223" s="520" t="str">
        <f t="shared" si="26"/>
        <v/>
      </c>
      <c r="AG223" s="520" t="str">
        <f t="shared" si="30"/>
        <v/>
      </c>
      <c r="AH223" s="524" t="str">
        <f t="shared" si="27"/>
        <v/>
      </c>
      <c r="AI223" s="145"/>
      <c r="AJ223" s="499" t="str">
        <f>IF(AI223="","",IF(VLOOKUP(AI223,'G-7 Rivers Data'!$AA$4:$AB$7,2,FALSE)=0,"Spatial Data Missing ⚠",VLOOKUP(AI223,'G-7 Rivers Data'!$AA$4:$AB$7,2,FALSE)))</f>
        <v/>
      </c>
      <c r="AK223" s="155"/>
      <c r="AL223" s="536" t="str">
        <f>IF(AK223="","",IF(VLOOKUP(AK223,'G-7 Rivers Data'!$AD$4:$AE$8,2,FALSE)=0,"Spatial Data Missing ⚠",VLOOKUP(AK223,'G-7 Rivers Data'!$AD$4:$AE$8,2,FALSE)))</f>
        <v/>
      </c>
      <c r="AM223" s="154"/>
      <c r="AN223" s="524" t="str">
        <f>IF(AM223="","",VLOOKUP(AM223,'G-7 Rivers Data'!$AO$4:$AP$7,2,FALSE))</f>
        <v/>
      </c>
      <c r="AO223" s="545" t="str">
        <f t="shared" si="31"/>
        <v/>
      </c>
      <c r="AP223" s="149"/>
      <c r="AQ223" s="150"/>
      <c r="AX223" s="31" t="str">
        <f>IFERROR(INDEX('G-7 Rivers Data'!$AZ$3:$AZ$7,MATCH(N223,'G-7 Rivers Data'!$AY$3:$AY$7,0)),"")</f>
        <v/>
      </c>
    </row>
    <row r="224" spans="2:50" ht="13.8" x14ac:dyDescent="0.25">
      <c r="B224" s="531" t="str">
        <f>'F-1 Off Site River Baseline'!AN222</f>
        <v/>
      </c>
      <c r="C224" s="520" t="str">
        <f>IF(B224="","",VLOOKUP($B224,'F-1 Off Site River Baseline'!$C$9:$R$257,2,FALSE))</f>
        <v/>
      </c>
      <c r="D224" s="520" t="str">
        <f>IF(C224="","",VLOOKUP($B224,'F-1 Off Site River Baseline'!$C$9:$R$257,3,FALSE))</f>
        <v/>
      </c>
      <c r="E224" s="520" t="str">
        <f>IF(D224="","",VLOOKUP($B224,'F-1 Off Site River Baseline'!$C$9:$R$257,4,FALSE))</f>
        <v/>
      </c>
      <c r="F224" s="520" t="str">
        <f>IF(E224="","",VLOOKUP($B224,'F-1 Off Site River Baseline'!$C$9:$R$257,5,FALSE))</f>
        <v/>
      </c>
      <c r="G224" s="520" t="str">
        <f>IF(F224="","",VLOOKUP($B224,'F-1 Off Site River Baseline'!$C$9:$R$257,6,FALSE))</f>
        <v/>
      </c>
      <c r="H224" s="520" t="str">
        <f>IF(G224="","",VLOOKUP($B224,'F-1 Off Site River Baseline'!$C$9:$R$257,7,FALSE))</f>
        <v/>
      </c>
      <c r="I224" s="520" t="str">
        <f>IF(H224="","",VLOOKUP($B224,'F-1 Off Site River Baseline'!$C$9:$R$257,8,FALSE))</f>
        <v/>
      </c>
      <c r="J224" s="520" t="str">
        <f>IF(I224="","",VLOOKUP($B224,'F-1 Off Site River Baseline'!$C$9:$R$257,9,FALSE))</f>
        <v/>
      </c>
      <c r="K224" s="520" t="str">
        <f>IF(J224="","",VLOOKUP($B224,'F-1 Off Site River Baseline'!$C$9:$R$257,10,FALSE))</f>
        <v/>
      </c>
      <c r="L224" s="520" t="str">
        <f>IF(B224="","",VLOOKUP($B224,'C-1 Site River Baseline'!$C$9:$R$257,15,FALSE))</f>
        <v/>
      </c>
      <c r="M224" s="524" t="str">
        <f>IF(L224="","",VLOOKUP($B224,'F-1 Off Site River Baseline'!$C$9:$R$257,16,FALSE))</f>
        <v/>
      </c>
      <c r="N224" s="418" t="str">
        <f t="shared" si="28"/>
        <v/>
      </c>
      <c r="O224" s="498" t="str">
        <f t="shared" si="29"/>
        <v/>
      </c>
      <c r="P224" s="499"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5" t="str">
        <f>IF(N224="","",VLOOKUP(B224,'F-1 Off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20" t="str">
        <f>IF(V224="","",IF(VLOOKUP(V224,'G-7 Rivers Data'!$AG$4:$AI$9,2,FALSE)=0,"Spatial Data Missing ⚠",VLOOKUP(V224,'G-7 Rivers Data'!$AG$4:$AI$9,2,FALSE)))</f>
        <v/>
      </c>
      <c r="X224" s="524" t="str">
        <f>IF(V224="","",IF(VLOOKUP(V224,'G-7 Rivers Data'!$AG$4:$AI$9,3,FALSE)=0,"Spatial Data Missing ⚠",VLOOKUP(V224,'G-7 Rivers Data'!$AG$4:$AI$9,3,FALSE)))</f>
        <v/>
      </c>
      <c r="Y224" s="537" t="str">
        <f>IFERROR(IF(OR(LEFT(P224,5)="Error ▲",LEFT(O224,5)="Error ▲"),"Check Data ⚠",IF(F224&lt;S224,'G-7 Rivers Data'!$R$3,INDEX('G-7 Rivers Data'!$U$5:$Y$9,MATCH(G224,'G-7 Rivers Data'!$T$5:$T$9,0),MATCH(T224,'G-7 Rivers Data'!$U$4:$Y$4,0)))),"")</f>
        <v/>
      </c>
      <c r="Z224" s="203"/>
      <c r="AA224" s="203"/>
      <c r="AB224" s="534" t="str">
        <f t="shared" si="24"/>
        <v/>
      </c>
      <c r="AC224" s="521" t="str">
        <f t="shared" si="25"/>
        <v/>
      </c>
      <c r="AD224" s="564" t="str">
        <f>IFERROR(IF(AC224="Check Data ⚠","Check Data ⚠",VLOOKUP(AC224,'G-4 Temporal multipliers'!$A$4:$C$37,3,FALSE)),"")</f>
        <v/>
      </c>
      <c r="AE224" s="537" t="str">
        <f>IF(N224="","",VLOOKUP(N224,'G-7 Rivers Data'!$B$4:$G$8,5,FALSE))</f>
        <v/>
      </c>
      <c r="AF224" s="520" t="str">
        <f t="shared" si="26"/>
        <v/>
      </c>
      <c r="AG224" s="520" t="str">
        <f t="shared" si="30"/>
        <v/>
      </c>
      <c r="AH224" s="524" t="str">
        <f t="shared" si="27"/>
        <v/>
      </c>
      <c r="AI224" s="145"/>
      <c r="AJ224" s="499" t="str">
        <f>IF(AI224="","",IF(VLOOKUP(AI224,'G-7 Rivers Data'!$AA$4:$AB$7,2,FALSE)=0,"Spatial Data Missing ⚠",VLOOKUP(AI224,'G-7 Rivers Data'!$AA$4:$AB$7,2,FALSE)))</f>
        <v/>
      </c>
      <c r="AK224" s="155"/>
      <c r="AL224" s="536" t="str">
        <f>IF(AK224="","",IF(VLOOKUP(AK224,'G-7 Rivers Data'!$AD$4:$AE$8,2,FALSE)=0,"Spatial Data Missing ⚠",VLOOKUP(AK224,'G-7 Rivers Data'!$AD$4:$AE$8,2,FALSE)))</f>
        <v/>
      </c>
      <c r="AM224" s="154"/>
      <c r="AN224" s="524" t="str">
        <f>IF(AM224="","",VLOOKUP(AM224,'G-7 Rivers Data'!$AO$4:$AP$7,2,FALSE))</f>
        <v/>
      </c>
      <c r="AO224" s="545" t="str">
        <f t="shared" si="31"/>
        <v/>
      </c>
      <c r="AP224" s="149"/>
      <c r="AQ224" s="150"/>
      <c r="AX224" s="31" t="str">
        <f>IFERROR(INDEX('G-7 Rivers Data'!$AZ$3:$AZ$7,MATCH(N224,'G-7 Rivers Data'!$AY$3:$AY$7,0)),"")</f>
        <v/>
      </c>
    </row>
    <row r="225" spans="2:50" ht="13.8" x14ac:dyDescent="0.25">
      <c r="B225" s="531" t="str">
        <f>'F-1 Off Site River Baseline'!AN223</f>
        <v/>
      </c>
      <c r="C225" s="520" t="str">
        <f>IF(B225="","",VLOOKUP($B225,'F-1 Off Site River Baseline'!$C$9:$R$257,2,FALSE))</f>
        <v/>
      </c>
      <c r="D225" s="520" t="str">
        <f>IF(C225="","",VLOOKUP($B225,'F-1 Off Site River Baseline'!$C$9:$R$257,3,FALSE))</f>
        <v/>
      </c>
      <c r="E225" s="520" t="str">
        <f>IF(D225="","",VLOOKUP($B225,'F-1 Off Site River Baseline'!$C$9:$R$257,4,FALSE))</f>
        <v/>
      </c>
      <c r="F225" s="520" t="str">
        <f>IF(E225="","",VLOOKUP($B225,'F-1 Off Site River Baseline'!$C$9:$R$257,5,FALSE))</f>
        <v/>
      </c>
      <c r="G225" s="520" t="str">
        <f>IF(F225="","",VLOOKUP($B225,'F-1 Off Site River Baseline'!$C$9:$R$257,6,FALSE))</f>
        <v/>
      </c>
      <c r="H225" s="520" t="str">
        <f>IF(G225="","",VLOOKUP($B225,'F-1 Off Site River Baseline'!$C$9:$R$257,7,FALSE))</f>
        <v/>
      </c>
      <c r="I225" s="520" t="str">
        <f>IF(H225="","",VLOOKUP($B225,'F-1 Off Site River Baseline'!$C$9:$R$257,8,FALSE))</f>
        <v/>
      </c>
      <c r="J225" s="520" t="str">
        <f>IF(I225="","",VLOOKUP($B225,'F-1 Off Site River Baseline'!$C$9:$R$257,9,FALSE))</f>
        <v/>
      </c>
      <c r="K225" s="520" t="str">
        <f>IF(J225="","",VLOOKUP($B225,'F-1 Off Site River Baseline'!$C$9:$R$257,10,FALSE))</f>
        <v/>
      </c>
      <c r="L225" s="520" t="str">
        <f>IF(B225="","",VLOOKUP($B225,'C-1 Site River Baseline'!$C$9:$R$257,15,FALSE))</f>
        <v/>
      </c>
      <c r="M225" s="524" t="str">
        <f>IF(L225="","",VLOOKUP($B225,'F-1 Off Site River Baseline'!$C$9:$R$257,16,FALSE))</f>
        <v/>
      </c>
      <c r="N225" s="418" t="str">
        <f t="shared" si="28"/>
        <v/>
      </c>
      <c r="O225" s="498" t="str">
        <f t="shared" si="29"/>
        <v/>
      </c>
      <c r="P225" s="499"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5" t="str">
        <f>IF(N225="","",VLOOKUP(B225,'F-1 Off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20" t="str">
        <f>IF(V225="","",IF(VLOOKUP(V225,'G-7 Rivers Data'!$AG$4:$AI$9,2,FALSE)=0,"Spatial Data Missing ⚠",VLOOKUP(V225,'G-7 Rivers Data'!$AG$4:$AI$9,2,FALSE)))</f>
        <v/>
      </c>
      <c r="X225" s="524" t="str">
        <f>IF(V225="","",IF(VLOOKUP(V225,'G-7 Rivers Data'!$AG$4:$AI$9,3,FALSE)=0,"Spatial Data Missing ⚠",VLOOKUP(V225,'G-7 Rivers Data'!$AG$4:$AI$9,3,FALSE)))</f>
        <v/>
      </c>
      <c r="Y225" s="537" t="str">
        <f>IFERROR(IF(OR(LEFT(P225,5)="Error ▲",LEFT(O225,5)="Error ▲"),"Check Data ⚠",IF(F225&lt;S225,'G-7 Rivers Data'!$R$3,INDEX('G-7 Rivers Data'!$U$5:$Y$9,MATCH(G225,'G-7 Rivers Data'!$T$5:$T$9,0),MATCH(T225,'G-7 Rivers Data'!$U$4:$Y$4,0)))),"")</f>
        <v/>
      </c>
      <c r="Z225" s="203"/>
      <c r="AA225" s="203"/>
      <c r="AB225" s="534" t="str">
        <f t="shared" si="24"/>
        <v/>
      </c>
      <c r="AC225" s="521" t="str">
        <f t="shared" si="25"/>
        <v/>
      </c>
      <c r="AD225" s="564" t="str">
        <f>IFERROR(IF(AC225="Check Data ⚠","Check Data ⚠",VLOOKUP(AC225,'G-4 Temporal multipliers'!$A$4:$C$37,3,FALSE)),"")</f>
        <v/>
      </c>
      <c r="AE225" s="537" t="str">
        <f>IF(N225="","",VLOOKUP(N225,'G-7 Rivers Data'!$B$4:$G$8,5,FALSE))</f>
        <v/>
      </c>
      <c r="AF225" s="520" t="str">
        <f t="shared" si="26"/>
        <v/>
      </c>
      <c r="AG225" s="520" t="str">
        <f t="shared" si="30"/>
        <v/>
      </c>
      <c r="AH225" s="524" t="str">
        <f t="shared" si="27"/>
        <v/>
      </c>
      <c r="AI225" s="145"/>
      <c r="AJ225" s="499" t="str">
        <f>IF(AI225="","",IF(VLOOKUP(AI225,'G-7 Rivers Data'!$AA$4:$AB$7,2,FALSE)=0,"Spatial Data Missing ⚠",VLOOKUP(AI225,'G-7 Rivers Data'!$AA$4:$AB$7,2,FALSE)))</f>
        <v/>
      </c>
      <c r="AK225" s="155"/>
      <c r="AL225" s="536" t="str">
        <f>IF(AK225="","",IF(VLOOKUP(AK225,'G-7 Rivers Data'!$AD$4:$AE$8,2,FALSE)=0,"Spatial Data Missing ⚠",VLOOKUP(AK225,'G-7 Rivers Data'!$AD$4:$AE$8,2,FALSE)))</f>
        <v/>
      </c>
      <c r="AM225" s="154"/>
      <c r="AN225" s="524" t="str">
        <f>IF(AM225="","",VLOOKUP(AM225,'G-7 Rivers Data'!$AO$4:$AP$7,2,FALSE))</f>
        <v/>
      </c>
      <c r="AO225" s="545" t="str">
        <f t="shared" si="31"/>
        <v/>
      </c>
      <c r="AP225" s="149"/>
      <c r="AQ225" s="150"/>
      <c r="AX225" s="31" t="str">
        <f>IFERROR(INDEX('G-7 Rivers Data'!$AZ$3:$AZ$7,MATCH(N225,'G-7 Rivers Data'!$AY$3:$AY$7,0)),"")</f>
        <v/>
      </c>
    </row>
    <row r="226" spans="2:50" ht="13.8" x14ac:dyDescent="0.25">
      <c r="B226" s="531" t="str">
        <f>'F-1 Off Site River Baseline'!AN224</f>
        <v/>
      </c>
      <c r="C226" s="520" t="str">
        <f>IF(B226="","",VLOOKUP($B226,'F-1 Off Site River Baseline'!$C$9:$R$257,2,FALSE))</f>
        <v/>
      </c>
      <c r="D226" s="520" t="str">
        <f>IF(C226="","",VLOOKUP($B226,'F-1 Off Site River Baseline'!$C$9:$R$257,3,FALSE))</f>
        <v/>
      </c>
      <c r="E226" s="520" t="str">
        <f>IF(D226="","",VLOOKUP($B226,'F-1 Off Site River Baseline'!$C$9:$R$257,4,FALSE))</f>
        <v/>
      </c>
      <c r="F226" s="520" t="str">
        <f>IF(E226="","",VLOOKUP($B226,'F-1 Off Site River Baseline'!$C$9:$R$257,5,FALSE))</f>
        <v/>
      </c>
      <c r="G226" s="520" t="str">
        <f>IF(F226="","",VLOOKUP($B226,'F-1 Off Site River Baseline'!$C$9:$R$257,6,FALSE))</f>
        <v/>
      </c>
      <c r="H226" s="520" t="str">
        <f>IF(G226="","",VLOOKUP($B226,'F-1 Off Site River Baseline'!$C$9:$R$257,7,FALSE))</f>
        <v/>
      </c>
      <c r="I226" s="520" t="str">
        <f>IF(H226="","",VLOOKUP($B226,'F-1 Off Site River Baseline'!$C$9:$R$257,8,FALSE))</f>
        <v/>
      </c>
      <c r="J226" s="520" t="str">
        <f>IF(I226="","",VLOOKUP($B226,'F-1 Off Site River Baseline'!$C$9:$R$257,9,FALSE))</f>
        <v/>
      </c>
      <c r="K226" s="520" t="str">
        <f>IF(J226="","",VLOOKUP($B226,'F-1 Off Site River Baseline'!$C$9:$R$257,10,FALSE))</f>
        <v/>
      </c>
      <c r="L226" s="520" t="str">
        <f>IF(B226="","",VLOOKUP($B226,'C-1 Site River Baseline'!$C$9:$R$257,15,FALSE))</f>
        <v/>
      </c>
      <c r="M226" s="524" t="str">
        <f>IF(L226="","",VLOOKUP($B226,'F-1 Off Site River Baseline'!$C$9:$R$257,16,FALSE))</f>
        <v/>
      </c>
      <c r="N226" s="418" t="str">
        <f t="shared" si="28"/>
        <v/>
      </c>
      <c r="O226" s="498" t="str">
        <f t="shared" si="29"/>
        <v/>
      </c>
      <c r="P226" s="499"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5" t="str">
        <f>IF(N226="","",VLOOKUP(B226,'F-1 Off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20" t="str">
        <f>IF(V226="","",IF(VLOOKUP(V226,'G-7 Rivers Data'!$AG$4:$AI$9,2,FALSE)=0,"Spatial Data Missing ⚠",VLOOKUP(V226,'G-7 Rivers Data'!$AG$4:$AI$9,2,FALSE)))</f>
        <v/>
      </c>
      <c r="X226" s="524" t="str">
        <f>IF(V226="","",IF(VLOOKUP(V226,'G-7 Rivers Data'!$AG$4:$AI$9,3,FALSE)=0,"Spatial Data Missing ⚠",VLOOKUP(V226,'G-7 Rivers Data'!$AG$4:$AI$9,3,FALSE)))</f>
        <v/>
      </c>
      <c r="Y226" s="537" t="str">
        <f>IFERROR(IF(OR(LEFT(P226,5)="Error ▲",LEFT(O226,5)="Error ▲"),"Check Data ⚠",IF(F226&lt;S226,'G-7 Rivers Data'!$R$3,INDEX('G-7 Rivers Data'!$U$5:$Y$9,MATCH(G226,'G-7 Rivers Data'!$T$5:$T$9,0),MATCH(T226,'G-7 Rivers Data'!$U$4:$Y$4,0)))),"")</f>
        <v/>
      </c>
      <c r="Z226" s="203"/>
      <c r="AA226" s="203"/>
      <c r="AB226" s="534" t="str">
        <f t="shared" si="24"/>
        <v/>
      </c>
      <c r="AC226" s="521" t="str">
        <f t="shared" si="25"/>
        <v/>
      </c>
      <c r="AD226" s="564" t="str">
        <f>IFERROR(IF(AC226="Check Data ⚠","Check Data ⚠",VLOOKUP(AC226,'G-4 Temporal multipliers'!$A$4:$C$37,3,FALSE)),"")</f>
        <v/>
      </c>
      <c r="AE226" s="537" t="str">
        <f>IF(N226="","",VLOOKUP(N226,'G-7 Rivers Data'!$B$4:$G$8,5,FALSE))</f>
        <v/>
      </c>
      <c r="AF226" s="520" t="str">
        <f t="shared" si="26"/>
        <v/>
      </c>
      <c r="AG226" s="520" t="str">
        <f t="shared" si="30"/>
        <v/>
      </c>
      <c r="AH226" s="524" t="str">
        <f t="shared" si="27"/>
        <v/>
      </c>
      <c r="AI226" s="145"/>
      <c r="AJ226" s="499" t="str">
        <f>IF(AI226="","",IF(VLOOKUP(AI226,'G-7 Rivers Data'!$AA$4:$AB$7,2,FALSE)=0,"Spatial Data Missing ⚠",VLOOKUP(AI226,'G-7 Rivers Data'!$AA$4:$AB$7,2,FALSE)))</f>
        <v/>
      </c>
      <c r="AK226" s="155"/>
      <c r="AL226" s="536" t="str">
        <f>IF(AK226="","",IF(VLOOKUP(AK226,'G-7 Rivers Data'!$AD$4:$AE$8,2,FALSE)=0,"Spatial Data Missing ⚠",VLOOKUP(AK226,'G-7 Rivers Data'!$AD$4:$AE$8,2,FALSE)))</f>
        <v/>
      </c>
      <c r="AM226" s="154"/>
      <c r="AN226" s="524" t="str">
        <f>IF(AM226="","",VLOOKUP(AM226,'G-7 Rivers Data'!$AO$4:$AP$7,2,FALSE))</f>
        <v/>
      </c>
      <c r="AO226" s="545" t="str">
        <f t="shared" si="31"/>
        <v/>
      </c>
      <c r="AP226" s="149"/>
      <c r="AQ226" s="150"/>
      <c r="AX226" s="31" t="str">
        <f>IFERROR(INDEX('G-7 Rivers Data'!$AZ$3:$AZ$7,MATCH(N226,'G-7 Rivers Data'!$AY$3:$AY$7,0)),"")</f>
        <v/>
      </c>
    </row>
    <row r="227" spans="2:50" ht="13.8" x14ac:dyDescent="0.25">
      <c r="B227" s="531" t="str">
        <f>'F-1 Off Site River Baseline'!AN225</f>
        <v/>
      </c>
      <c r="C227" s="520" t="str">
        <f>IF(B227="","",VLOOKUP($B227,'F-1 Off Site River Baseline'!$C$9:$R$257,2,FALSE))</f>
        <v/>
      </c>
      <c r="D227" s="520" t="str">
        <f>IF(C227="","",VLOOKUP($B227,'F-1 Off Site River Baseline'!$C$9:$R$257,3,FALSE))</f>
        <v/>
      </c>
      <c r="E227" s="520" t="str">
        <f>IF(D227="","",VLOOKUP($B227,'F-1 Off Site River Baseline'!$C$9:$R$257,4,FALSE))</f>
        <v/>
      </c>
      <c r="F227" s="520" t="str">
        <f>IF(E227="","",VLOOKUP($B227,'F-1 Off Site River Baseline'!$C$9:$R$257,5,FALSE))</f>
        <v/>
      </c>
      <c r="G227" s="520" t="str">
        <f>IF(F227="","",VLOOKUP($B227,'F-1 Off Site River Baseline'!$C$9:$R$257,6,FALSE))</f>
        <v/>
      </c>
      <c r="H227" s="520" t="str">
        <f>IF(G227="","",VLOOKUP($B227,'F-1 Off Site River Baseline'!$C$9:$R$257,7,FALSE))</f>
        <v/>
      </c>
      <c r="I227" s="520" t="str">
        <f>IF(H227="","",VLOOKUP($B227,'F-1 Off Site River Baseline'!$C$9:$R$257,8,FALSE))</f>
        <v/>
      </c>
      <c r="J227" s="520" t="str">
        <f>IF(I227="","",VLOOKUP($B227,'F-1 Off Site River Baseline'!$C$9:$R$257,9,FALSE))</f>
        <v/>
      </c>
      <c r="K227" s="520" t="str">
        <f>IF(J227="","",VLOOKUP($B227,'F-1 Off Site River Baseline'!$C$9:$R$257,10,FALSE))</f>
        <v/>
      </c>
      <c r="L227" s="520" t="str">
        <f>IF(B227="","",VLOOKUP($B227,'C-1 Site River Baseline'!$C$9:$R$257,15,FALSE))</f>
        <v/>
      </c>
      <c r="M227" s="524" t="str">
        <f>IF(L227="","",VLOOKUP($B227,'F-1 Off Site River Baseline'!$C$9:$R$257,16,FALSE))</f>
        <v/>
      </c>
      <c r="N227" s="418" t="str">
        <f t="shared" si="28"/>
        <v/>
      </c>
      <c r="O227" s="498" t="str">
        <f t="shared" si="29"/>
        <v/>
      </c>
      <c r="P227" s="499"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5" t="str">
        <f>IF(N227="","",VLOOKUP(B227,'F-1 Off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20" t="str">
        <f>IF(V227="","",IF(VLOOKUP(V227,'G-7 Rivers Data'!$AG$4:$AI$9,2,FALSE)=0,"Spatial Data Missing ⚠",VLOOKUP(V227,'G-7 Rivers Data'!$AG$4:$AI$9,2,FALSE)))</f>
        <v/>
      </c>
      <c r="X227" s="524" t="str">
        <f>IF(V227="","",IF(VLOOKUP(V227,'G-7 Rivers Data'!$AG$4:$AI$9,3,FALSE)=0,"Spatial Data Missing ⚠",VLOOKUP(V227,'G-7 Rivers Data'!$AG$4:$AI$9,3,FALSE)))</f>
        <v/>
      </c>
      <c r="Y227" s="537" t="str">
        <f>IFERROR(IF(OR(LEFT(P227,5)="Error ▲",LEFT(O227,5)="Error ▲"),"Check Data ⚠",IF(F227&lt;S227,'G-7 Rivers Data'!$R$3,INDEX('G-7 Rivers Data'!$U$5:$Y$9,MATCH(G227,'G-7 Rivers Data'!$T$5:$T$9,0),MATCH(T227,'G-7 Rivers Data'!$U$4:$Y$4,0)))),"")</f>
        <v/>
      </c>
      <c r="Z227" s="203"/>
      <c r="AA227" s="203"/>
      <c r="AB227" s="534" t="str">
        <f t="shared" si="24"/>
        <v/>
      </c>
      <c r="AC227" s="521" t="str">
        <f t="shared" si="25"/>
        <v/>
      </c>
      <c r="AD227" s="564" t="str">
        <f>IFERROR(IF(AC227="Check Data ⚠","Check Data ⚠",VLOOKUP(AC227,'G-4 Temporal multipliers'!$A$4:$C$37,3,FALSE)),"")</f>
        <v/>
      </c>
      <c r="AE227" s="537" t="str">
        <f>IF(N227="","",VLOOKUP(N227,'G-7 Rivers Data'!$B$4:$G$8,5,FALSE))</f>
        <v/>
      </c>
      <c r="AF227" s="520" t="str">
        <f t="shared" si="26"/>
        <v/>
      </c>
      <c r="AG227" s="520" t="str">
        <f t="shared" si="30"/>
        <v/>
      </c>
      <c r="AH227" s="524" t="str">
        <f t="shared" si="27"/>
        <v/>
      </c>
      <c r="AI227" s="145"/>
      <c r="AJ227" s="499" t="str">
        <f>IF(AI227="","",IF(VLOOKUP(AI227,'G-7 Rivers Data'!$AA$4:$AB$7,2,FALSE)=0,"Spatial Data Missing ⚠",VLOOKUP(AI227,'G-7 Rivers Data'!$AA$4:$AB$7,2,FALSE)))</f>
        <v/>
      </c>
      <c r="AK227" s="155"/>
      <c r="AL227" s="536" t="str">
        <f>IF(AK227="","",IF(VLOOKUP(AK227,'G-7 Rivers Data'!$AD$4:$AE$8,2,FALSE)=0,"Spatial Data Missing ⚠",VLOOKUP(AK227,'G-7 Rivers Data'!$AD$4:$AE$8,2,FALSE)))</f>
        <v/>
      </c>
      <c r="AM227" s="154"/>
      <c r="AN227" s="524" t="str">
        <f>IF(AM227="","",VLOOKUP(AM227,'G-7 Rivers Data'!$AO$4:$AP$7,2,FALSE))</f>
        <v/>
      </c>
      <c r="AO227" s="545" t="str">
        <f t="shared" si="31"/>
        <v/>
      </c>
      <c r="AP227" s="149"/>
      <c r="AQ227" s="150"/>
      <c r="AX227" s="31" t="str">
        <f>IFERROR(INDEX('G-7 Rivers Data'!$AZ$3:$AZ$7,MATCH(N227,'G-7 Rivers Data'!$AY$3:$AY$7,0)),"")</f>
        <v/>
      </c>
    </row>
    <row r="228" spans="2:50" ht="13.8" x14ac:dyDescent="0.25">
      <c r="B228" s="531" t="str">
        <f>'F-1 Off Site River Baseline'!AN226</f>
        <v/>
      </c>
      <c r="C228" s="520" t="str">
        <f>IF(B228="","",VLOOKUP($B228,'F-1 Off Site River Baseline'!$C$9:$R$257,2,FALSE))</f>
        <v/>
      </c>
      <c r="D228" s="520" t="str">
        <f>IF(C228="","",VLOOKUP($B228,'F-1 Off Site River Baseline'!$C$9:$R$257,3,FALSE))</f>
        <v/>
      </c>
      <c r="E228" s="520" t="str">
        <f>IF(D228="","",VLOOKUP($B228,'F-1 Off Site River Baseline'!$C$9:$R$257,4,FALSE))</f>
        <v/>
      </c>
      <c r="F228" s="520" t="str">
        <f>IF(E228="","",VLOOKUP($B228,'F-1 Off Site River Baseline'!$C$9:$R$257,5,FALSE))</f>
        <v/>
      </c>
      <c r="G228" s="520" t="str">
        <f>IF(F228="","",VLOOKUP($B228,'F-1 Off Site River Baseline'!$C$9:$R$257,6,FALSE))</f>
        <v/>
      </c>
      <c r="H228" s="520" t="str">
        <f>IF(G228="","",VLOOKUP($B228,'F-1 Off Site River Baseline'!$C$9:$R$257,7,FALSE))</f>
        <v/>
      </c>
      <c r="I228" s="520" t="str">
        <f>IF(H228="","",VLOOKUP($B228,'F-1 Off Site River Baseline'!$C$9:$R$257,8,FALSE))</f>
        <v/>
      </c>
      <c r="J228" s="520" t="str">
        <f>IF(I228="","",VLOOKUP($B228,'F-1 Off Site River Baseline'!$C$9:$R$257,9,FALSE))</f>
        <v/>
      </c>
      <c r="K228" s="520" t="str">
        <f>IF(J228="","",VLOOKUP($B228,'F-1 Off Site River Baseline'!$C$9:$R$257,10,FALSE))</f>
        <v/>
      </c>
      <c r="L228" s="520" t="str">
        <f>IF(B228="","",VLOOKUP($B228,'C-1 Site River Baseline'!$C$9:$R$257,15,FALSE))</f>
        <v/>
      </c>
      <c r="M228" s="524" t="str">
        <f>IF(L228="","",VLOOKUP($B228,'F-1 Off Site River Baseline'!$C$9:$R$257,16,FALSE))</f>
        <v/>
      </c>
      <c r="N228" s="418" t="str">
        <f t="shared" si="28"/>
        <v/>
      </c>
      <c r="O228" s="498" t="str">
        <f t="shared" si="29"/>
        <v/>
      </c>
      <c r="P228" s="499"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5" t="str">
        <f>IF(N228="","",VLOOKUP(B228,'F-1 Off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20" t="str">
        <f>IF(V228="","",IF(VLOOKUP(V228,'G-7 Rivers Data'!$AG$4:$AI$9,2,FALSE)=0,"Spatial Data Missing ⚠",VLOOKUP(V228,'G-7 Rivers Data'!$AG$4:$AI$9,2,FALSE)))</f>
        <v/>
      </c>
      <c r="X228" s="524" t="str">
        <f>IF(V228="","",IF(VLOOKUP(V228,'G-7 Rivers Data'!$AG$4:$AI$9,3,FALSE)=0,"Spatial Data Missing ⚠",VLOOKUP(V228,'G-7 Rivers Data'!$AG$4:$AI$9,3,FALSE)))</f>
        <v/>
      </c>
      <c r="Y228" s="537" t="str">
        <f>IFERROR(IF(OR(LEFT(P228,5)="Error ▲",LEFT(O228,5)="Error ▲"),"Check Data ⚠",IF(F228&lt;S228,'G-7 Rivers Data'!$R$3,INDEX('G-7 Rivers Data'!$U$5:$Y$9,MATCH(G228,'G-7 Rivers Data'!$T$5:$T$9,0),MATCH(T228,'G-7 Rivers Data'!$U$4:$Y$4,0)))),"")</f>
        <v/>
      </c>
      <c r="Z228" s="203"/>
      <c r="AA228" s="203"/>
      <c r="AB228" s="534" t="str">
        <f t="shared" si="24"/>
        <v/>
      </c>
      <c r="AC228" s="521" t="str">
        <f t="shared" si="25"/>
        <v/>
      </c>
      <c r="AD228" s="564" t="str">
        <f>IFERROR(IF(AC228="Check Data ⚠","Check Data ⚠",VLOOKUP(AC228,'G-4 Temporal multipliers'!$A$4:$C$37,3,FALSE)),"")</f>
        <v/>
      </c>
      <c r="AE228" s="537" t="str">
        <f>IF(N228="","",VLOOKUP(N228,'G-7 Rivers Data'!$B$4:$G$8,5,FALSE))</f>
        <v/>
      </c>
      <c r="AF228" s="520" t="str">
        <f t="shared" si="26"/>
        <v/>
      </c>
      <c r="AG228" s="520" t="str">
        <f t="shared" si="30"/>
        <v/>
      </c>
      <c r="AH228" s="524" t="str">
        <f t="shared" si="27"/>
        <v/>
      </c>
      <c r="AI228" s="145"/>
      <c r="AJ228" s="499" t="str">
        <f>IF(AI228="","",IF(VLOOKUP(AI228,'G-7 Rivers Data'!$AA$4:$AB$7,2,FALSE)=0,"Spatial Data Missing ⚠",VLOOKUP(AI228,'G-7 Rivers Data'!$AA$4:$AB$7,2,FALSE)))</f>
        <v/>
      </c>
      <c r="AK228" s="155"/>
      <c r="AL228" s="536" t="str">
        <f>IF(AK228="","",IF(VLOOKUP(AK228,'G-7 Rivers Data'!$AD$4:$AE$8,2,FALSE)=0,"Spatial Data Missing ⚠",VLOOKUP(AK228,'G-7 Rivers Data'!$AD$4:$AE$8,2,FALSE)))</f>
        <v/>
      </c>
      <c r="AM228" s="154"/>
      <c r="AN228" s="524" t="str">
        <f>IF(AM228="","",VLOOKUP(AM228,'G-7 Rivers Data'!$AO$4:$AP$7,2,FALSE))</f>
        <v/>
      </c>
      <c r="AO228" s="545" t="str">
        <f t="shared" si="31"/>
        <v/>
      </c>
      <c r="AP228" s="149"/>
      <c r="AQ228" s="150"/>
      <c r="AX228" s="31" t="str">
        <f>IFERROR(INDEX('G-7 Rivers Data'!$AZ$3:$AZ$7,MATCH(N228,'G-7 Rivers Data'!$AY$3:$AY$7,0)),"")</f>
        <v/>
      </c>
    </row>
    <row r="229" spans="2:50" ht="13.8" x14ac:dyDescent="0.25">
      <c r="B229" s="531" t="str">
        <f>'F-1 Off Site River Baseline'!AN227</f>
        <v/>
      </c>
      <c r="C229" s="520" t="str">
        <f>IF(B229="","",VLOOKUP($B229,'F-1 Off Site River Baseline'!$C$9:$R$257,2,FALSE))</f>
        <v/>
      </c>
      <c r="D229" s="520" t="str">
        <f>IF(C229="","",VLOOKUP($B229,'F-1 Off Site River Baseline'!$C$9:$R$257,3,FALSE))</f>
        <v/>
      </c>
      <c r="E229" s="520" t="str">
        <f>IF(D229="","",VLOOKUP($B229,'F-1 Off Site River Baseline'!$C$9:$R$257,4,FALSE))</f>
        <v/>
      </c>
      <c r="F229" s="520" t="str">
        <f>IF(E229="","",VLOOKUP($B229,'F-1 Off Site River Baseline'!$C$9:$R$257,5,FALSE))</f>
        <v/>
      </c>
      <c r="G229" s="520" t="str">
        <f>IF(F229="","",VLOOKUP($B229,'F-1 Off Site River Baseline'!$C$9:$R$257,6,FALSE))</f>
        <v/>
      </c>
      <c r="H229" s="520" t="str">
        <f>IF(G229="","",VLOOKUP($B229,'F-1 Off Site River Baseline'!$C$9:$R$257,7,FALSE))</f>
        <v/>
      </c>
      <c r="I229" s="520" t="str">
        <f>IF(H229="","",VLOOKUP($B229,'F-1 Off Site River Baseline'!$C$9:$R$257,8,FALSE))</f>
        <v/>
      </c>
      <c r="J229" s="520" t="str">
        <f>IF(I229="","",VLOOKUP($B229,'F-1 Off Site River Baseline'!$C$9:$R$257,9,FALSE))</f>
        <v/>
      </c>
      <c r="K229" s="520" t="str">
        <f>IF(J229="","",VLOOKUP($B229,'F-1 Off Site River Baseline'!$C$9:$R$257,10,FALSE))</f>
        <v/>
      </c>
      <c r="L229" s="520" t="str">
        <f>IF(B229="","",VLOOKUP($B229,'C-1 Site River Baseline'!$C$9:$R$257,15,FALSE))</f>
        <v/>
      </c>
      <c r="M229" s="524" t="str">
        <f>IF(L229="","",VLOOKUP($B229,'F-1 Off Site River Baseline'!$C$9:$R$257,16,FALSE))</f>
        <v/>
      </c>
      <c r="N229" s="418" t="str">
        <f t="shared" si="28"/>
        <v/>
      </c>
      <c r="O229" s="498" t="str">
        <f t="shared" si="29"/>
        <v/>
      </c>
      <c r="P229" s="499"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5" t="str">
        <f>IF(N229="","",VLOOKUP(B229,'F-1 Off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20" t="str">
        <f>IF(V229="","",IF(VLOOKUP(V229,'G-7 Rivers Data'!$AG$4:$AI$9,2,FALSE)=0,"Spatial Data Missing ⚠",VLOOKUP(V229,'G-7 Rivers Data'!$AG$4:$AI$9,2,FALSE)))</f>
        <v/>
      </c>
      <c r="X229" s="524" t="str">
        <f>IF(V229="","",IF(VLOOKUP(V229,'G-7 Rivers Data'!$AG$4:$AI$9,3,FALSE)=0,"Spatial Data Missing ⚠",VLOOKUP(V229,'G-7 Rivers Data'!$AG$4:$AI$9,3,FALSE)))</f>
        <v/>
      </c>
      <c r="Y229" s="537" t="str">
        <f>IFERROR(IF(OR(LEFT(P229,5)="Error ▲",LEFT(O229,5)="Error ▲"),"Check Data ⚠",IF(F229&lt;S229,'G-7 Rivers Data'!$R$3,INDEX('G-7 Rivers Data'!$U$5:$Y$9,MATCH(G229,'G-7 Rivers Data'!$T$5:$T$9,0),MATCH(T229,'G-7 Rivers Data'!$U$4:$Y$4,0)))),"")</f>
        <v/>
      </c>
      <c r="Z229" s="203"/>
      <c r="AA229" s="203"/>
      <c r="AB229" s="534" t="str">
        <f t="shared" si="24"/>
        <v/>
      </c>
      <c r="AC229" s="521" t="str">
        <f t="shared" si="25"/>
        <v/>
      </c>
      <c r="AD229" s="564" t="str">
        <f>IFERROR(IF(AC229="Check Data ⚠","Check Data ⚠",VLOOKUP(AC229,'G-4 Temporal multipliers'!$A$4:$C$37,3,FALSE)),"")</f>
        <v/>
      </c>
      <c r="AE229" s="537" t="str">
        <f>IF(N229="","",VLOOKUP(N229,'G-7 Rivers Data'!$B$4:$G$8,5,FALSE))</f>
        <v/>
      </c>
      <c r="AF229" s="520" t="str">
        <f t="shared" si="26"/>
        <v/>
      </c>
      <c r="AG229" s="520" t="str">
        <f t="shared" si="30"/>
        <v/>
      </c>
      <c r="AH229" s="524" t="str">
        <f t="shared" si="27"/>
        <v/>
      </c>
      <c r="AI229" s="145"/>
      <c r="AJ229" s="499" t="str">
        <f>IF(AI229="","",IF(VLOOKUP(AI229,'G-7 Rivers Data'!$AA$4:$AB$7,2,FALSE)=0,"Spatial Data Missing ⚠",VLOOKUP(AI229,'G-7 Rivers Data'!$AA$4:$AB$7,2,FALSE)))</f>
        <v/>
      </c>
      <c r="AK229" s="155"/>
      <c r="AL229" s="536" t="str">
        <f>IF(AK229="","",IF(VLOOKUP(AK229,'G-7 Rivers Data'!$AD$4:$AE$8,2,FALSE)=0,"Spatial Data Missing ⚠",VLOOKUP(AK229,'G-7 Rivers Data'!$AD$4:$AE$8,2,FALSE)))</f>
        <v/>
      </c>
      <c r="AM229" s="154"/>
      <c r="AN229" s="524" t="str">
        <f>IF(AM229="","",VLOOKUP(AM229,'G-7 Rivers Data'!$AO$4:$AP$7,2,FALSE))</f>
        <v/>
      </c>
      <c r="AO229" s="545" t="str">
        <f t="shared" si="31"/>
        <v/>
      </c>
      <c r="AP229" s="149"/>
      <c r="AQ229" s="150"/>
      <c r="AX229" s="31" t="str">
        <f>IFERROR(INDEX('G-7 Rivers Data'!$AZ$3:$AZ$7,MATCH(N229,'G-7 Rivers Data'!$AY$3:$AY$7,0)),"")</f>
        <v/>
      </c>
    </row>
    <row r="230" spans="2:50" ht="13.8" x14ac:dyDescent="0.25">
      <c r="B230" s="531" t="str">
        <f>'F-1 Off Site River Baseline'!AN228</f>
        <v/>
      </c>
      <c r="C230" s="520" t="str">
        <f>IF(B230="","",VLOOKUP($B230,'F-1 Off Site River Baseline'!$C$9:$R$257,2,FALSE))</f>
        <v/>
      </c>
      <c r="D230" s="520" t="str">
        <f>IF(C230="","",VLOOKUP($B230,'F-1 Off Site River Baseline'!$C$9:$R$257,3,FALSE))</f>
        <v/>
      </c>
      <c r="E230" s="520" t="str">
        <f>IF(D230="","",VLOOKUP($B230,'F-1 Off Site River Baseline'!$C$9:$R$257,4,FALSE))</f>
        <v/>
      </c>
      <c r="F230" s="520" t="str">
        <f>IF(E230="","",VLOOKUP($B230,'F-1 Off Site River Baseline'!$C$9:$R$257,5,FALSE))</f>
        <v/>
      </c>
      <c r="G230" s="520" t="str">
        <f>IF(F230="","",VLOOKUP($B230,'F-1 Off Site River Baseline'!$C$9:$R$257,6,FALSE))</f>
        <v/>
      </c>
      <c r="H230" s="520" t="str">
        <f>IF(G230="","",VLOOKUP($B230,'F-1 Off Site River Baseline'!$C$9:$R$257,7,FALSE))</f>
        <v/>
      </c>
      <c r="I230" s="520" t="str">
        <f>IF(H230="","",VLOOKUP($B230,'F-1 Off Site River Baseline'!$C$9:$R$257,8,FALSE))</f>
        <v/>
      </c>
      <c r="J230" s="520" t="str">
        <f>IF(I230="","",VLOOKUP($B230,'F-1 Off Site River Baseline'!$C$9:$R$257,9,FALSE))</f>
        <v/>
      </c>
      <c r="K230" s="520" t="str">
        <f>IF(J230="","",VLOOKUP($B230,'F-1 Off Site River Baseline'!$C$9:$R$257,10,FALSE))</f>
        <v/>
      </c>
      <c r="L230" s="520" t="str">
        <f>IF(B230="","",VLOOKUP($B230,'C-1 Site River Baseline'!$C$9:$R$257,15,FALSE))</f>
        <v/>
      </c>
      <c r="M230" s="524" t="str">
        <f>IF(L230="","",VLOOKUP($B230,'F-1 Off Site River Baseline'!$C$9:$R$257,16,FALSE))</f>
        <v/>
      </c>
      <c r="N230" s="418" t="str">
        <f t="shared" si="28"/>
        <v/>
      </c>
      <c r="O230" s="498" t="str">
        <f t="shared" si="29"/>
        <v/>
      </c>
      <c r="P230" s="499"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5" t="str">
        <f>IF(N230="","",VLOOKUP(B230,'F-1 Off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20" t="str">
        <f>IF(V230="","",IF(VLOOKUP(V230,'G-7 Rivers Data'!$AG$4:$AI$9,2,FALSE)=0,"Spatial Data Missing ⚠",VLOOKUP(V230,'G-7 Rivers Data'!$AG$4:$AI$9,2,FALSE)))</f>
        <v/>
      </c>
      <c r="X230" s="524" t="str">
        <f>IF(V230="","",IF(VLOOKUP(V230,'G-7 Rivers Data'!$AG$4:$AI$9,3,FALSE)=0,"Spatial Data Missing ⚠",VLOOKUP(V230,'G-7 Rivers Data'!$AG$4:$AI$9,3,FALSE)))</f>
        <v/>
      </c>
      <c r="Y230" s="537" t="str">
        <f>IFERROR(IF(OR(LEFT(P230,5)="Error ▲",LEFT(O230,5)="Error ▲"),"Check Data ⚠",IF(F230&lt;S230,'G-7 Rivers Data'!$R$3,INDEX('G-7 Rivers Data'!$U$5:$Y$9,MATCH(G230,'G-7 Rivers Data'!$T$5:$T$9,0),MATCH(T230,'G-7 Rivers Data'!$U$4:$Y$4,0)))),"")</f>
        <v/>
      </c>
      <c r="Z230" s="203"/>
      <c r="AA230" s="203"/>
      <c r="AB230" s="534" t="str">
        <f t="shared" si="24"/>
        <v/>
      </c>
      <c r="AC230" s="521" t="str">
        <f t="shared" si="25"/>
        <v/>
      </c>
      <c r="AD230" s="564" t="str">
        <f>IFERROR(IF(AC230="Check Data ⚠","Check Data ⚠",VLOOKUP(AC230,'G-4 Temporal multipliers'!$A$4:$C$37,3,FALSE)),"")</f>
        <v/>
      </c>
      <c r="AE230" s="537" t="str">
        <f>IF(N230="","",VLOOKUP(N230,'G-7 Rivers Data'!$B$4:$G$8,5,FALSE))</f>
        <v/>
      </c>
      <c r="AF230" s="520" t="str">
        <f t="shared" si="26"/>
        <v/>
      </c>
      <c r="AG230" s="520" t="str">
        <f t="shared" si="30"/>
        <v/>
      </c>
      <c r="AH230" s="524" t="str">
        <f t="shared" si="27"/>
        <v/>
      </c>
      <c r="AI230" s="145"/>
      <c r="AJ230" s="499" t="str">
        <f>IF(AI230="","",IF(VLOOKUP(AI230,'G-7 Rivers Data'!$AA$4:$AB$7,2,FALSE)=0,"Spatial Data Missing ⚠",VLOOKUP(AI230,'G-7 Rivers Data'!$AA$4:$AB$7,2,FALSE)))</f>
        <v/>
      </c>
      <c r="AK230" s="155"/>
      <c r="AL230" s="536" t="str">
        <f>IF(AK230="","",IF(VLOOKUP(AK230,'G-7 Rivers Data'!$AD$4:$AE$8,2,FALSE)=0,"Spatial Data Missing ⚠",VLOOKUP(AK230,'G-7 Rivers Data'!$AD$4:$AE$8,2,FALSE)))</f>
        <v/>
      </c>
      <c r="AM230" s="154"/>
      <c r="AN230" s="524" t="str">
        <f>IF(AM230="","",VLOOKUP(AM230,'G-7 Rivers Data'!$AO$4:$AP$7,2,FALSE))</f>
        <v/>
      </c>
      <c r="AO230" s="545" t="str">
        <f t="shared" si="31"/>
        <v/>
      </c>
      <c r="AP230" s="149"/>
      <c r="AQ230" s="150"/>
      <c r="AX230" s="31" t="str">
        <f>IFERROR(INDEX('G-7 Rivers Data'!$AZ$3:$AZ$7,MATCH(N230,'G-7 Rivers Data'!$AY$3:$AY$7,0)),"")</f>
        <v/>
      </c>
    </row>
    <row r="231" spans="2:50" ht="13.8" x14ac:dyDescent="0.25">
      <c r="B231" s="531" t="str">
        <f>'F-1 Off Site River Baseline'!AN229</f>
        <v/>
      </c>
      <c r="C231" s="520" t="str">
        <f>IF(B231="","",VLOOKUP($B231,'F-1 Off Site River Baseline'!$C$9:$R$257,2,FALSE))</f>
        <v/>
      </c>
      <c r="D231" s="520" t="str">
        <f>IF(C231="","",VLOOKUP($B231,'F-1 Off Site River Baseline'!$C$9:$R$257,3,FALSE))</f>
        <v/>
      </c>
      <c r="E231" s="520" t="str">
        <f>IF(D231="","",VLOOKUP($B231,'F-1 Off Site River Baseline'!$C$9:$R$257,4,FALSE))</f>
        <v/>
      </c>
      <c r="F231" s="520" t="str">
        <f>IF(E231="","",VLOOKUP($B231,'F-1 Off Site River Baseline'!$C$9:$R$257,5,FALSE))</f>
        <v/>
      </c>
      <c r="G231" s="520" t="str">
        <f>IF(F231="","",VLOOKUP($B231,'F-1 Off Site River Baseline'!$C$9:$R$257,6,FALSE))</f>
        <v/>
      </c>
      <c r="H231" s="520" t="str">
        <f>IF(G231="","",VLOOKUP($B231,'F-1 Off Site River Baseline'!$C$9:$R$257,7,FALSE))</f>
        <v/>
      </c>
      <c r="I231" s="520" t="str">
        <f>IF(H231="","",VLOOKUP($B231,'F-1 Off Site River Baseline'!$C$9:$R$257,8,FALSE))</f>
        <v/>
      </c>
      <c r="J231" s="520" t="str">
        <f>IF(I231="","",VLOOKUP($B231,'F-1 Off Site River Baseline'!$C$9:$R$257,9,FALSE))</f>
        <v/>
      </c>
      <c r="K231" s="520" t="str">
        <f>IF(J231="","",VLOOKUP($B231,'F-1 Off Site River Baseline'!$C$9:$R$257,10,FALSE))</f>
        <v/>
      </c>
      <c r="L231" s="520" t="str">
        <f>IF(B231="","",VLOOKUP($B231,'C-1 Site River Baseline'!$C$9:$R$257,15,FALSE))</f>
        <v/>
      </c>
      <c r="M231" s="524" t="str">
        <f>IF(L231="","",VLOOKUP($B231,'F-1 Off Site River Baseline'!$C$9:$R$257,16,FALSE))</f>
        <v/>
      </c>
      <c r="N231" s="418" t="str">
        <f t="shared" si="28"/>
        <v/>
      </c>
      <c r="O231" s="498" t="str">
        <f t="shared" si="29"/>
        <v/>
      </c>
      <c r="P231" s="499"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5" t="str">
        <f>IF(N231="","",VLOOKUP(B231,'F-1 Off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20" t="str">
        <f>IF(V231="","",IF(VLOOKUP(V231,'G-7 Rivers Data'!$AG$4:$AI$9,2,FALSE)=0,"Spatial Data Missing ⚠",VLOOKUP(V231,'G-7 Rivers Data'!$AG$4:$AI$9,2,FALSE)))</f>
        <v/>
      </c>
      <c r="X231" s="524" t="str">
        <f>IF(V231="","",IF(VLOOKUP(V231,'G-7 Rivers Data'!$AG$4:$AI$9,3,FALSE)=0,"Spatial Data Missing ⚠",VLOOKUP(V231,'G-7 Rivers Data'!$AG$4:$AI$9,3,FALSE)))</f>
        <v/>
      </c>
      <c r="Y231" s="537" t="str">
        <f>IFERROR(IF(OR(LEFT(P231,5)="Error ▲",LEFT(O231,5)="Error ▲"),"Check Data ⚠",IF(F231&lt;S231,'G-7 Rivers Data'!$R$3,INDEX('G-7 Rivers Data'!$U$5:$Y$9,MATCH(G231,'G-7 Rivers Data'!$T$5:$T$9,0),MATCH(T231,'G-7 Rivers Data'!$U$4:$Y$4,0)))),"")</f>
        <v/>
      </c>
      <c r="Z231" s="203"/>
      <c r="AA231" s="203"/>
      <c r="AB231" s="534" t="str">
        <f t="shared" si="24"/>
        <v/>
      </c>
      <c r="AC231" s="521" t="str">
        <f t="shared" si="25"/>
        <v/>
      </c>
      <c r="AD231" s="564" t="str">
        <f>IFERROR(IF(AC231="Check Data ⚠","Check Data ⚠",VLOOKUP(AC231,'G-4 Temporal multipliers'!$A$4:$C$37,3,FALSE)),"")</f>
        <v/>
      </c>
      <c r="AE231" s="537" t="str">
        <f>IF(N231="","",VLOOKUP(N231,'G-7 Rivers Data'!$B$4:$G$8,5,FALSE))</f>
        <v/>
      </c>
      <c r="AF231" s="520" t="str">
        <f t="shared" si="26"/>
        <v/>
      </c>
      <c r="AG231" s="520" t="str">
        <f t="shared" si="30"/>
        <v/>
      </c>
      <c r="AH231" s="524" t="str">
        <f t="shared" si="27"/>
        <v/>
      </c>
      <c r="AI231" s="145"/>
      <c r="AJ231" s="499" t="str">
        <f>IF(AI231="","",IF(VLOOKUP(AI231,'G-7 Rivers Data'!$AA$4:$AB$7,2,FALSE)=0,"Spatial Data Missing ⚠",VLOOKUP(AI231,'G-7 Rivers Data'!$AA$4:$AB$7,2,FALSE)))</f>
        <v/>
      </c>
      <c r="AK231" s="155"/>
      <c r="AL231" s="536" t="str">
        <f>IF(AK231="","",IF(VLOOKUP(AK231,'G-7 Rivers Data'!$AD$4:$AE$8,2,FALSE)=0,"Spatial Data Missing ⚠",VLOOKUP(AK231,'G-7 Rivers Data'!$AD$4:$AE$8,2,FALSE)))</f>
        <v/>
      </c>
      <c r="AM231" s="154"/>
      <c r="AN231" s="524" t="str">
        <f>IF(AM231="","",VLOOKUP(AM231,'G-7 Rivers Data'!$AO$4:$AP$7,2,FALSE))</f>
        <v/>
      </c>
      <c r="AO231" s="545" t="str">
        <f t="shared" si="31"/>
        <v/>
      </c>
      <c r="AP231" s="149"/>
      <c r="AQ231" s="150"/>
      <c r="AX231" s="31" t="str">
        <f>IFERROR(INDEX('G-7 Rivers Data'!$AZ$3:$AZ$7,MATCH(N231,'G-7 Rivers Data'!$AY$3:$AY$7,0)),"")</f>
        <v/>
      </c>
    </row>
    <row r="232" spans="2:50" ht="13.8" x14ac:dyDescent="0.25">
      <c r="B232" s="531" t="str">
        <f>'F-1 Off Site River Baseline'!AN230</f>
        <v/>
      </c>
      <c r="C232" s="520" t="str">
        <f>IF(B232="","",VLOOKUP($B232,'F-1 Off Site River Baseline'!$C$9:$R$257,2,FALSE))</f>
        <v/>
      </c>
      <c r="D232" s="520" t="str">
        <f>IF(C232="","",VLOOKUP($B232,'F-1 Off Site River Baseline'!$C$9:$R$257,3,FALSE))</f>
        <v/>
      </c>
      <c r="E232" s="520" t="str">
        <f>IF(D232="","",VLOOKUP($B232,'F-1 Off Site River Baseline'!$C$9:$R$257,4,FALSE))</f>
        <v/>
      </c>
      <c r="F232" s="520" t="str">
        <f>IF(E232="","",VLOOKUP($B232,'F-1 Off Site River Baseline'!$C$9:$R$257,5,FALSE))</f>
        <v/>
      </c>
      <c r="G232" s="520" t="str">
        <f>IF(F232="","",VLOOKUP($B232,'F-1 Off Site River Baseline'!$C$9:$R$257,6,FALSE))</f>
        <v/>
      </c>
      <c r="H232" s="520" t="str">
        <f>IF(G232="","",VLOOKUP($B232,'F-1 Off Site River Baseline'!$C$9:$R$257,7,FALSE))</f>
        <v/>
      </c>
      <c r="I232" s="520" t="str">
        <f>IF(H232="","",VLOOKUP($B232,'F-1 Off Site River Baseline'!$C$9:$R$257,8,FALSE))</f>
        <v/>
      </c>
      <c r="J232" s="520" t="str">
        <f>IF(I232="","",VLOOKUP($B232,'F-1 Off Site River Baseline'!$C$9:$R$257,9,FALSE))</f>
        <v/>
      </c>
      <c r="K232" s="520" t="str">
        <f>IF(J232="","",VLOOKUP($B232,'F-1 Off Site River Baseline'!$C$9:$R$257,10,FALSE))</f>
        <v/>
      </c>
      <c r="L232" s="520" t="str">
        <f>IF(B232="","",VLOOKUP($B232,'C-1 Site River Baseline'!$C$9:$R$257,15,FALSE))</f>
        <v/>
      </c>
      <c r="M232" s="524" t="str">
        <f>IF(L232="","",VLOOKUP($B232,'F-1 Off Site River Baseline'!$C$9:$R$257,16,FALSE))</f>
        <v/>
      </c>
      <c r="N232" s="418" t="str">
        <f t="shared" si="28"/>
        <v/>
      </c>
      <c r="O232" s="498" t="str">
        <f t="shared" si="29"/>
        <v/>
      </c>
      <c r="P232" s="499"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5" t="str">
        <f>IF(N232="","",VLOOKUP(B232,'F-1 Off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20" t="str">
        <f>IF(V232="","",IF(VLOOKUP(V232,'G-7 Rivers Data'!$AG$4:$AI$9,2,FALSE)=0,"Spatial Data Missing ⚠",VLOOKUP(V232,'G-7 Rivers Data'!$AG$4:$AI$9,2,FALSE)))</f>
        <v/>
      </c>
      <c r="X232" s="524" t="str">
        <f>IF(V232="","",IF(VLOOKUP(V232,'G-7 Rivers Data'!$AG$4:$AI$9,3,FALSE)=0,"Spatial Data Missing ⚠",VLOOKUP(V232,'G-7 Rivers Data'!$AG$4:$AI$9,3,FALSE)))</f>
        <v/>
      </c>
      <c r="Y232" s="537" t="str">
        <f>IFERROR(IF(OR(LEFT(P232,5)="Error ▲",LEFT(O232,5)="Error ▲"),"Check Data ⚠",IF(F232&lt;S232,'G-7 Rivers Data'!$R$3,INDEX('G-7 Rivers Data'!$U$5:$Y$9,MATCH(G232,'G-7 Rivers Data'!$T$5:$T$9,0),MATCH(T232,'G-7 Rivers Data'!$U$4:$Y$4,0)))),"")</f>
        <v/>
      </c>
      <c r="Z232" s="203"/>
      <c r="AA232" s="203"/>
      <c r="AB232" s="534" t="str">
        <f t="shared" si="24"/>
        <v/>
      </c>
      <c r="AC232" s="521" t="str">
        <f t="shared" si="25"/>
        <v/>
      </c>
      <c r="AD232" s="564" t="str">
        <f>IFERROR(IF(AC232="Check Data ⚠","Check Data ⚠",VLOOKUP(AC232,'G-4 Temporal multipliers'!$A$4:$C$37,3,FALSE)),"")</f>
        <v/>
      </c>
      <c r="AE232" s="537" t="str">
        <f>IF(N232="","",VLOOKUP(N232,'G-7 Rivers Data'!$B$4:$G$8,5,FALSE))</f>
        <v/>
      </c>
      <c r="AF232" s="520" t="str">
        <f t="shared" si="26"/>
        <v/>
      </c>
      <c r="AG232" s="520" t="str">
        <f t="shared" si="30"/>
        <v/>
      </c>
      <c r="AH232" s="524" t="str">
        <f t="shared" si="27"/>
        <v/>
      </c>
      <c r="AI232" s="145"/>
      <c r="AJ232" s="499" t="str">
        <f>IF(AI232="","",IF(VLOOKUP(AI232,'G-7 Rivers Data'!$AA$4:$AB$7,2,FALSE)=0,"Spatial Data Missing ⚠",VLOOKUP(AI232,'G-7 Rivers Data'!$AA$4:$AB$7,2,FALSE)))</f>
        <v/>
      </c>
      <c r="AK232" s="155"/>
      <c r="AL232" s="536" t="str">
        <f>IF(AK232="","",IF(VLOOKUP(AK232,'G-7 Rivers Data'!$AD$4:$AE$8,2,FALSE)=0,"Spatial Data Missing ⚠",VLOOKUP(AK232,'G-7 Rivers Data'!$AD$4:$AE$8,2,FALSE)))</f>
        <v/>
      </c>
      <c r="AM232" s="154"/>
      <c r="AN232" s="524" t="str">
        <f>IF(AM232="","",VLOOKUP(AM232,'G-7 Rivers Data'!$AO$4:$AP$7,2,FALSE))</f>
        <v/>
      </c>
      <c r="AO232" s="545" t="str">
        <f t="shared" si="31"/>
        <v/>
      </c>
      <c r="AP232" s="149"/>
      <c r="AQ232" s="150"/>
      <c r="AX232" s="31" t="str">
        <f>IFERROR(INDEX('G-7 Rivers Data'!$AZ$3:$AZ$7,MATCH(N232,'G-7 Rivers Data'!$AY$3:$AY$7,0)),"")</f>
        <v/>
      </c>
    </row>
    <row r="233" spans="2:50" ht="13.8" x14ac:dyDescent="0.25">
      <c r="B233" s="531" t="str">
        <f>'F-1 Off Site River Baseline'!AN231</f>
        <v/>
      </c>
      <c r="C233" s="520" t="str">
        <f>IF(B233="","",VLOOKUP($B233,'F-1 Off Site River Baseline'!$C$9:$R$257,2,FALSE))</f>
        <v/>
      </c>
      <c r="D233" s="520" t="str">
        <f>IF(C233="","",VLOOKUP($B233,'F-1 Off Site River Baseline'!$C$9:$R$257,3,FALSE))</f>
        <v/>
      </c>
      <c r="E233" s="520" t="str">
        <f>IF(D233="","",VLOOKUP($B233,'F-1 Off Site River Baseline'!$C$9:$R$257,4,FALSE))</f>
        <v/>
      </c>
      <c r="F233" s="520" t="str">
        <f>IF(E233="","",VLOOKUP($B233,'F-1 Off Site River Baseline'!$C$9:$R$257,5,FALSE))</f>
        <v/>
      </c>
      <c r="G233" s="520" t="str">
        <f>IF(F233="","",VLOOKUP($B233,'F-1 Off Site River Baseline'!$C$9:$R$257,6,FALSE))</f>
        <v/>
      </c>
      <c r="H233" s="520" t="str">
        <f>IF(G233="","",VLOOKUP($B233,'F-1 Off Site River Baseline'!$C$9:$R$257,7,FALSE))</f>
        <v/>
      </c>
      <c r="I233" s="520" t="str">
        <f>IF(H233="","",VLOOKUP($B233,'F-1 Off Site River Baseline'!$C$9:$R$257,8,FALSE))</f>
        <v/>
      </c>
      <c r="J233" s="520" t="str">
        <f>IF(I233="","",VLOOKUP($B233,'F-1 Off Site River Baseline'!$C$9:$R$257,9,FALSE))</f>
        <v/>
      </c>
      <c r="K233" s="520" t="str">
        <f>IF(J233="","",VLOOKUP($B233,'F-1 Off Site River Baseline'!$C$9:$R$257,10,FALSE))</f>
        <v/>
      </c>
      <c r="L233" s="520" t="str">
        <f>IF(B233="","",VLOOKUP($B233,'C-1 Site River Baseline'!$C$9:$R$257,15,FALSE))</f>
        <v/>
      </c>
      <c r="M233" s="524" t="str">
        <f>IF(L233="","",VLOOKUP($B233,'F-1 Off Site River Baseline'!$C$9:$R$257,16,FALSE))</f>
        <v/>
      </c>
      <c r="N233" s="418" t="str">
        <f t="shared" si="28"/>
        <v/>
      </c>
      <c r="O233" s="498" t="str">
        <f t="shared" si="29"/>
        <v/>
      </c>
      <c r="P233" s="499"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5" t="str">
        <f>IF(N233="","",VLOOKUP(B233,'F-1 Off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20" t="str">
        <f>IF(V233="","",IF(VLOOKUP(V233,'G-7 Rivers Data'!$AG$4:$AI$9,2,FALSE)=0,"Spatial Data Missing ⚠",VLOOKUP(V233,'G-7 Rivers Data'!$AG$4:$AI$9,2,FALSE)))</f>
        <v/>
      </c>
      <c r="X233" s="524" t="str">
        <f>IF(V233="","",IF(VLOOKUP(V233,'G-7 Rivers Data'!$AG$4:$AI$9,3,FALSE)=0,"Spatial Data Missing ⚠",VLOOKUP(V233,'G-7 Rivers Data'!$AG$4:$AI$9,3,FALSE)))</f>
        <v/>
      </c>
      <c r="Y233" s="537" t="str">
        <f>IFERROR(IF(OR(LEFT(P233,5)="Error ▲",LEFT(O233,5)="Error ▲"),"Check Data ⚠",IF(F233&lt;S233,'G-7 Rivers Data'!$R$3,INDEX('G-7 Rivers Data'!$U$5:$Y$9,MATCH(G233,'G-7 Rivers Data'!$T$5:$T$9,0),MATCH(T233,'G-7 Rivers Data'!$U$4:$Y$4,0)))),"")</f>
        <v/>
      </c>
      <c r="Z233" s="203"/>
      <c r="AA233" s="203"/>
      <c r="AB233" s="534" t="str">
        <f t="shared" si="24"/>
        <v/>
      </c>
      <c r="AC233" s="521" t="str">
        <f t="shared" si="25"/>
        <v/>
      </c>
      <c r="AD233" s="564" t="str">
        <f>IFERROR(IF(AC233="Check Data ⚠","Check Data ⚠",VLOOKUP(AC233,'G-4 Temporal multipliers'!$A$4:$C$37,3,FALSE)),"")</f>
        <v/>
      </c>
      <c r="AE233" s="537" t="str">
        <f>IF(N233="","",VLOOKUP(N233,'G-7 Rivers Data'!$B$4:$G$8,5,FALSE))</f>
        <v/>
      </c>
      <c r="AF233" s="520" t="str">
        <f t="shared" si="26"/>
        <v/>
      </c>
      <c r="AG233" s="520" t="str">
        <f t="shared" si="30"/>
        <v/>
      </c>
      <c r="AH233" s="524" t="str">
        <f t="shared" si="27"/>
        <v/>
      </c>
      <c r="AI233" s="145"/>
      <c r="AJ233" s="499" t="str">
        <f>IF(AI233="","",IF(VLOOKUP(AI233,'G-7 Rivers Data'!$AA$4:$AB$7,2,FALSE)=0,"Spatial Data Missing ⚠",VLOOKUP(AI233,'G-7 Rivers Data'!$AA$4:$AB$7,2,FALSE)))</f>
        <v/>
      </c>
      <c r="AK233" s="155"/>
      <c r="AL233" s="536" t="str">
        <f>IF(AK233="","",IF(VLOOKUP(AK233,'G-7 Rivers Data'!$AD$4:$AE$8,2,FALSE)=0,"Spatial Data Missing ⚠",VLOOKUP(AK233,'G-7 Rivers Data'!$AD$4:$AE$8,2,FALSE)))</f>
        <v/>
      </c>
      <c r="AM233" s="154"/>
      <c r="AN233" s="524" t="str">
        <f>IF(AM233="","",VLOOKUP(AM233,'G-7 Rivers Data'!$AO$4:$AP$7,2,FALSE))</f>
        <v/>
      </c>
      <c r="AO233" s="545" t="str">
        <f t="shared" si="31"/>
        <v/>
      </c>
      <c r="AP233" s="149"/>
      <c r="AQ233" s="150"/>
      <c r="AX233" s="31" t="str">
        <f>IFERROR(INDEX('G-7 Rivers Data'!$AZ$3:$AZ$7,MATCH(N233,'G-7 Rivers Data'!$AY$3:$AY$7,0)),"")</f>
        <v/>
      </c>
    </row>
    <row r="234" spans="2:50" ht="13.8" x14ac:dyDescent="0.25">
      <c r="B234" s="531" t="str">
        <f>'F-1 Off Site River Baseline'!AN232</f>
        <v/>
      </c>
      <c r="C234" s="520" t="str">
        <f>IF(B234="","",VLOOKUP($B234,'F-1 Off Site River Baseline'!$C$9:$R$257,2,FALSE))</f>
        <v/>
      </c>
      <c r="D234" s="520" t="str">
        <f>IF(C234="","",VLOOKUP($B234,'F-1 Off Site River Baseline'!$C$9:$R$257,3,FALSE))</f>
        <v/>
      </c>
      <c r="E234" s="520" t="str">
        <f>IF(D234="","",VLOOKUP($B234,'F-1 Off Site River Baseline'!$C$9:$R$257,4,FALSE))</f>
        <v/>
      </c>
      <c r="F234" s="520" t="str">
        <f>IF(E234="","",VLOOKUP($B234,'F-1 Off Site River Baseline'!$C$9:$R$257,5,FALSE))</f>
        <v/>
      </c>
      <c r="G234" s="520" t="str">
        <f>IF(F234="","",VLOOKUP($B234,'F-1 Off Site River Baseline'!$C$9:$R$257,6,FALSE))</f>
        <v/>
      </c>
      <c r="H234" s="520" t="str">
        <f>IF(G234="","",VLOOKUP($B234,'F-1 Off Site River Baseline'!$C$9:$R$257,7,FALSE))</f>
        <v/>
      </c>
      <c r="I234" s="520" t="str">
        <f>IF(H234="","",VLOOKUP($B234,'F-1 Off Site River Baseline'!$C$9:$R$257,8,FALSE))</f>
        <v/>
      </c>
      <c r="J234" s="520" t="str">
        <f>IF(I234="","",VLOOKUP($B234,'F-1 Off Site River Baseline'!$C$9:$R$257,9,FALSE))</f>
        <v/>
      </c>
      <c r="K234" s="520" t="str">
        <f>IF(J234="","",VLOOKUP($B234,'F-1 Off Site River Baseline'!$C$9:$R$257,10,FALSE))</f>
        <v/>
      </c>
      <c r="L234" s="520" t="str">
        <f>IF(B234="","",VLOOKUP($B234,'C-1 Site River Baseline'!$C$9:$R$257,15,FALSE))</f>
        <v/>
      </c>
      <c r="M234" s="524" t="str">
        <f>IF(L234="","",VLOOKUP($B234,'F-1 Off Site River Baseline'!$C$9:$R$257,16,FALSE))</f>
        <v/>
      </c>
      <c r="N234" s="418" t="str">
        <f t="shared" si="28"/>
        <v/>
      </c>
      <c r="O234" s="498" t="str">
        <f t="shared" si="29"/>
        <v/>
      </c>
      <c r="P234" s="499"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5" t="str">
        <f>IF(N234="","",VLOOKUP(B234,'F-1 Off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20" t="str">
        <f>IF(V234="","",IF(VLOOKUP(V234,'G-7 Rivers Data'!$AG$4:$AI$9,2,FALSE)=0,"Spatial Data Missing ⚠",VLOOKUP(V234,'G-7 Rivers Data'!$AG$4:$AI$9,2,FALSE)))</f>
        <v/>
      </c>
      <c r="X234" s="524" t="str">
        <f>IF(V234="","",IF(VLOOKUP(V234,'G-7 Rivers Data'!$AG$4:$AI$9,3,FALSE)=0,"Spatial Data Missing ⚠",VLOOKUP(V234,'G-7 Rivers Data'!$AG$4:$AI$9,3,FALSE)))</f>
        <v/>
      </c>
      <c r="Y234" s="537" t="str">
        <f>IFERROR(IF(OR(LEFT(P234,5)="Error ▲",LEFT(O234,5)="Error ▲"),"Check Data ⚠",IF(F234&lt;S234,'G-7 Rivers Data'!$R$3,INDEX('G-7 Rivers Data'!$U$5:$Y$9,MATCH(G234,'G-7 Rivers Data'!$T$5:$T$9,0),MATCH(T234,'G-7 Rivers Data'!$U$4:$Y$4,0)))),"")</f>
        <v/>
      </c>
      <c r="Z234" s="203"/>
      <c r="AA234" s="203"/>
      <c r="AB234" s="534" t="str">
        <f t="shared" si="24"/>
        <v/>
      </c>
      <c r="AC234" s="521" t="str">
        <f t="shared" si="25"/>
        <v/>
      </c>
      <c r="AD234" s="564" t="str">
        <f>IFERROR(IF(AC234="Check Data ⚠","Check Data ⚠",VLOOKUP(AC234,'G-4 Temporal multipliers'!$A$4:$C$37,3,FALSE)),"")</f>
        <v/>
      </c>
      <c r="AE234" s="537" t="str">
        <f>IF(N234="","",VLOOKUP(N234,'G-7 Rivers Data'!$B$4:$G$8,5,FALSE))</f>
        <v/>
      </c>
      <c r="AF234" s="520" t="str">
        <f t="shared" si="26"/>
        <v/>
      </c>
      <c r="AG234" s="520" t="str">
        <f t="shared" si="30"/>
        <v/>
      </c>
      <c r="AH234" s="524" t="str">
        <f t="shared" si="27"/>
        <v/>
      </c>
      <c r="AI234" s="145"/>
      <c r="AJ234" s="499" t="str">
        <f>IF(AI234="","",IF(VLOOKUP(AI234,'G-7 Rivers Data'!$AA$4:$AB$7,2,FALSE)=0,"Spatial Data Missing ⚠",VLOOKUP(AI234,'G-7 Rivers Data'!$AA$4:$AB$7,2,FALSE)))</f>
        <v/>
      </c>
      <c r="AK234" s="155"/>
      <c r="AL234" s="536" t="str">
        <f>IF(AK234="","",IF(VLOOKUP(AK234,'G-7 Rivers Data'!$AD$4:$AE$8,2,FALSE)=0,"Spatial Data Missing ⚠",VLOOKUP(AK234,'G-7 Rivers Data'!$AD$4:$AE$8,2,FALSE)))</f>
        <v/>
      </c>
      <c r="AM234" s="154"/>
      <c r="AN234" s="524" t="str">
        <f>IF(AM234="","",VLOOKUP(AM234,'G-7 Rivers Data'!$AO$4:$AP$7,2,FALSE))</f>
        <v/>
      </c>
      <c r="AO234" s="545" t="str">
        <f t="shared" si="31"/>
        <v/>
      </c>
      <c r="AP234" s="149"/>
      <c r="AQ234" s="150"/>
      <c r="AX234" s="31" t="str">
        <f>IFERROR(INDEX('G-7 Rivers Data'!$AZ$3:$AZ$7,MATCH(N234,'G-7 Rivers Data'!$AY$3:$AY$7,0)),"")</f>
        <v/>
      </c>
    </row>
    <row r="235" spans="2:50" ht="13.8" x14ac:dyDescent="0.25">
      <c r="B235" s="531" t="str">
        <f>'F-1 Off Site River Baseline'!AN233</f>
        <v/>
      </c>
      <c r="C235" s="520" t="str">
        <f>IF(B235="","",VLOOKUP($B235,'F-1 Off Site River Baseline'!$C$9:$R$257,2,FALSE))</f>
        <v/>
      </c>
      <c r="D235" s="520" t="str">
        <f>IF(C235="","",VLOOKUP($B235,'F-1 Off Site River Baseline'!$C$9:$R$257,3,FALSE))</f>
        <v/>
      </c>
      <c r="E235" s="520" t="str">
        <f>IF(D235="","",VLOOKUP($B235,'F-1 Off Site River Baseline'!$C$9:$R$257,4,FALSE))</f>
        <v/>
      </c>
      <c r="F235" s="520" t="str">
        <f>IF(E235="","",VLOOKUP($B235,'F-1 Off Site River Baseline'!$C$9:$R$257,5,FALSE))</f>
        <v/>
      </c>
      <c r="G235" s="520" t="str">
        <f>IF(F235="","",VLOOKUP($B235,'F-1 Off Site River Baseline'!$C$9:$R$257,6,FALSE))</f>
        <v/>
      </c>
      <c r="H235" s="520" t="str">
        <f>IF(G235="","",VLOOKUP($B235,'F-1 Off Site River Baseline'!$C$9:$R$257,7,FALSE))</f>
        <v/>
      </c>
      <c r="I235" s="520" t="str">
        <f>IF(H235="","",VLOOKUP($B235,'F-1 Off Site River Baseline'!$C$9:$R$257,8,FALSE))</f>
        <v/>
      </c>
      <c r="J235" s="520" t="str">
        <f>IF(I235="","",VLOOKUP($B235,'F-1 Off Site River Baseline'!$C$9:$R$257,9,FALSE))</f>
        <v/>
      </c>
      <c r="K235" s="520" t="str">
        <f>IF(J235="","",VLOOKUP($B235,'F-1 Off Site River Baseline'!$C$9:$R$257,10,FALSE))</f>
        <v/>
      </c>
      <c r="L235" s="520" t="str">
        <f>IF(B235="","",VLOOKUP($B235,'C-1 Site River Baseline'!$C$9:$R$257,15,FALSE))</f>
        <v/>
      </c>
      <c r="M235" s="524" t="str">
        <f>IF(L235="","",VLOOKUP($B235,'F-1 Off Site River Baseline'!$C$9:$R$257,16,FALSE))</f>
        <v/>
      </c>
      <c r="N235" s="418" t="str">
        <f t="shared" si="28"/>
        <v/>
      </c>
      <c r="O235" s="498" t="str">
        <f t="shared" si="29"/>
        <v/>
      </c>
      <c r="P235" s="499"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5" t="str">
        <f>IF(N235="","",VLOOKUP(B235,'F-1 Off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20" t="str">
        <f>IF(V235="","",IF(VLOOKUP(V235,'G-7 Rivers Data'!$AG$4:$AI$9,2,FALSE)=0,"Spatial Data Missing ⚠",VLOOKUP(V235,'G-7 Rivers Data'!$AG$4:$AI$9,2,FALSE)))</f>
        <v/>
      </c>
      <c r="X235" s="524" t="str">
        <f>IF(V235="","",IF(VLOOKUP(V235,'G-7 Rivers Data'!$AG$4:$AI$9,3,FALSE)=0,"Spatial Data Missing ⚠",VLOOKUP(V235,'G-7 Rivers Data'!$AG$4:$AI$9,3,FALSE)))</f>
        <v/>
      </c>
      <c r="Y235" s="537" t="str">
        <f>IFERROR(IF(OR(LEFT(P235,5)="Error ▲",LEFT(O235,5)="Error ▲"),"Check Data ⚠",IF(F235&lt;S235,'G-7 Rivers Data'!$R$3,INDEX('G-7 Rivers Data'!$U$5:$Y$9,MATCH(G235,'G-7 Rivers Data'!$T$5:$T$9,0),MATCH(T235,'G-7 Rivers Data'!$U$4:$Y$4,0)))),"")</f>
        <v/>
      </c>
      <c r="Z235" s="203"/>
      <c r="AA235" s="203"/>
      <c r="AB235" s="534" t="str">
        <f t="shared" si="24"/>
        <v/>
      </c>
      <c r="AC235" s="521" t="str">
        <f t="shared" si="25"/>
        <v/>
      </c>
      <c r="AD235" s="564" t="str">
        <f>IFERROR(IF(AC235="Check Data ⚠","Check Data ⚠",VLOOKUP(AC235,'G-4 Temporal multipliers'!$A$4:$C$37,3,FALSE)),"")</f>
        <v/>
      </c>
      <c r="AE235" s="537" t="str">
        <f>IF(N235="","",VLOOKUP(N235,'G-7 Rivers Data'!$B$4:$G$8,5,FALSE))</f>
        <v/>
      </c>
      <c r="AF235" s="520" t="str">
        <f t="shared" si="26"/>
        <v/>
      </c>
      <c r="AG235" s="520" t="str">
        <f t="shared" si="30"/>
        <v/>
      </c>
      <c r="AH235" s="524" t="str">
        <f t="shared" si="27"/>
        <v/>
      </c>
      <c r="AI235" s="145"/>
      <c r="AJ235" s="499" t="str">
        <f>IF(AI235="","",IF(VLOOKUP(AI235,'G-7 Rivers Data'!$AA$4:$AB$7,2,FALSE)=0,"Spatial Data Missing ⚠",VLOOKUP(AI235,'G-7 Rivers Data'!$AA$4:$AB$7,2,FALSE)))</f>
        <v/>
      </c>
      <c r="AK235" s="155"/>
      <c r="AL235" s="536" t="str">
        <f>IF(AK235="","",IF(VLOOKUP(AK235,'G-7 Rivers Data'!$AD$4:$AE$8,2,FALSE)=0,"Spatial Data Missing ⚠",VLOOKUP(AK235,'G-7 Rivers Data'!$AD$4:$AE$8,2,FALSE)))</f>
        <v/>
      </c>
      <c r="AM235" s="154"/>
      <c r="AN235" s="524" t="str">
        <f>IF(AM235="","",VLOOKUP(AM235,'G-7 Rivers Data'!$AO$4:$AP$7,2,FALSE))</f>
        <v/>
      </c>
      <c r="AO235" s="545" t="str">
        <f t="shared" si="31"/>
        <v/>
      </c>
      <c r="AP235" s="149"/>
      <c r="AQ235" s="150"/>
      <c r="AX235" s="31" t="str">
        <f>IFERROR(INDEX('G-7 Rivers Data'!$AZ$3:$AZ$7,MATCH(N235,'G-7 Rivers Data'!$AY$3:$AY$7,0)),"")</f>
        <v/>
      </c>
    </row>
    <row r="236" spans="2:50" ht="13.8" x14ac:dyDescent="0.25">
      <c r="B236" s="531" t="str">
        <f>'F-1 Off Site River Baseline'!AN234</f>
        <v/>
      </c>
      <c r="C236" s="520" t="str">
        <f>IF(B236="","",VLOOKUP($B236,'F-1 Off Site River Baseline'!$C$9:$R$257,2,FALSE))</f>
        <v/>
      </c>
      <c r="D236" s="520" t="str">
        <f>IF(C236="","",VLOOKUP($B236,'F-1 Off Site River Baseline'!$C$9:$R$257,3,FALSE))</f>
        <v/>
      </c>
      <c r="E236" s="520" t="str">
        <f>IF(D236="","",VLOOKUP($B236,'F-1 Off Site River Baseline'!$C$9:$R$257,4,FALSE))</f>
        <v/>
      </c>
      <c r="F236" s="520" t="str">
        <f>IF(E236="","",VLOOKUP($B236,'F-1 Off Site River Baseline'!$C$9:$R$257,5,FALSE))</f>
        <v/>
      </c>
      <c r="G236" s="520" t="str">
        <f>IF(F236="","",VLOOKUP($B236,'F-1 Off Site River Baseline'!$C$9:$R$257,6,FALSE))</f>
        <v/>
      </c>
      <c r="H236" s="520" t="str">
        <f>IF(G236="","",VLOOKUP($B236,'F-1 Off Site River Baseline'!$C$9:$R$257,7,FALSE))</f>
        <v/>
      </c>
      <c r="I236" s="520" t="str">
        <f>IF(H236="","",VLOOKUP($B236,'F-1 Off Site River Baseline'!$C$9:$R$257,8,FALSE))</f>
        <v/>
      </c>
      <c r="J236" s="520" t="str">
        <f>IF(I236="","",VLOOKUP($B236,'F-1 Off Site River Baseline'!$C$9:$R$257,9,FALSE))</f>
        <v/>
      </c>
      <c r="K236" s="520" t="str">
        <f>IF(J236="","",VLOOKUP($B236,'F-1 Off Site River Baseline'!$C$9:$R$257,10,FALSE))</f>
        <v/>
      </c>
      <c r="L236" s="520" t="str">
        <f>IF(B236="","",VLOOKUP($B236,'C-1 Site River Baseline'!$C$9:$R$257,15,FALSE))</f>
        <v/>
      </c>
      <c r="M236" s="524" t="str">
        <f>IF(L236="","",VLOOKUP($B236,'F-1 Off Site River Baseline'!$C$9:$R$257,16,FALSE))</f>
        <v/>
      </c>
      <c r="N236" s="418" t="str">
        <f t="shared" si="28"/>
        <v/>
      </c>
      <c r="O236" s="498" t="str">
        <f t="shared" si="29"/>
        <v/>
      </c>
      <c r="P236" s="499"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5" t="str">
        <f>IF(N236="","",VLOOKUP(B236,'F-1 Off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20" t="str">
        <f>IF(V236="","",IF(VLOOKUP(V236,'G-7 Rivers Data'!$AG$4:$AI$9,2,FALSE)=0,"Spatial Data Missing ⚠",VLOOKUP(V236,'G-7 Rivers Data'!$AG$4:$AI$9,2,FALSE)))</f>
        <v/>
      </c>
      <c r="X236" s="524" t="str">
        <f>IF(V236="","",IF(VLOOKUP(V236,'G-7 Rivers Data'!$AG$4:$AI$9,3,FALSE)=0,"Spatial Data Missing ⚠",VLOOKUP(V236,'G-7 Rivers Data'!$AG$4:$AI$9,3,FALSE)))</f>
        <v/>
      </c>
      <c r="Y236" s="537" t="str">
        <f>IFERROR(IF(OR(LEFT(P236,5)="Error ▲",LEFT(O236,5)="Error ▲"),"Check Data ⚠",IF(F236&lt;S236,'G-7 Rivers Data'!$R$3,INDEX('G-7 Rivers Data'!$U$5:$Y$9,MATCH(G236,'G-7 Rivers Data'!$T$5:$T$9,0),MATCH(T236,'G-7 Rivers Data'!$U$4:$Y$4,0)))),"")</f>
        <v/>
      </c>
      <c r="Z236" s="203"/>
      <c r="AA236" s="203"/>
      <c r="AB236" s="534" t="str">
        <f t="shared" si="24"/>
        <v/>
      </c>
      <c r="AC236" s="521" t="str">
        <f t="shared" si="25"/>
        <v/>
      </c>
      <c r="AD236" s="564" t="str">
        <f>IFERROR(IF(AC236="Check Data ⚠","Check Data ⚠",VLOOKUP(AC236,'G-4 Temporal multipliers'!$A$4:$C$37,3,FALSE)),"")</f>
        <v/>
      </c>
      <c r="AE236" s="537" t="str">
        <f>IF(N236="","",VLOOKUP(N236,'G-7 Rivers Data'!$B$4:$G$8,5,FALSE))</f>
        <v/>
      </c>
      <c r="AF236" s="520" t="str">
        <f t="shared" si="26"/>
        <v/>
      </c>
      <c r="AG236" s="520" t="str">
        <f t="shared" si="30"/>
        <v/>
      </c>
      <c r="AH236" s="524" t="str">
        <f t="shared" si="27"/>
        <v/>
      </c>
      <c r="AI236" s="145"/>
      <c r="AJ236" s="499" t="str">
        <f>IF(AI236="","",IF(VLOOKUP(AI236,'G-7 Rivers Data'!$AA$4:$AB$7,2,FALSE)=0,"Spatial Data Missing ⚠",VLOOKUP(AI236,'G-7 Rivers Data'!$AA$4:$AB$7,2,FALSE)))</f>
        <v/>
      </c>
      <c r="AK236" s="155"/>
      <c r="AL236" s="536" t="str">
        <f>IF(AK236="","",IF(VLOOKUP(AK236,'G-7 Rivers Data'!$AD$4:$AE$8,2,FALSE)=0,"Spatial Data Missing ⚠",VLOOKUP(AK236,'G-7 Rivers Data'!$AD$4:$AE$8,2,FALSE)))</f>
        <v/>
      </c>
      <c r="AM236" s="154"/>
      <c r="AN236" s="524" t="str">
        <f>IF(AM236="","",VLOOKUP(AM236,'G-7 Rivers Data'!$AO$4:$AP$7,2,FALSE))</f>
        <v/>
      </c>
      <c r="AO236" s="545" t="str">
        <f t="shared" si="31"/>
        <v/>
      </c>
      <c r="AP236" s="149"/>
      <c r="AQ236" s="150"/>
      <c r="AX236" s="31" t="str">
        <f>IFERROR(INDEX('G-7 Rivers Data'!$AZ$3:$AZ$7,MATCH(N236,'G-7 Rivers Data'!$AY$3:$AY$7,0)),"")</f>
        <v/>
      </c>
    </row>
    <row r="237" spans="2:50" ht="13.8" x14ac:dyDescent="0.25">
      <c r="B237" s="531" t="str">
        <f>'F-1 Off Site River Baseline'!AN235</f>
        <v/>
      </c>
      <c r="C237" s="520" t="str">
        <f>IF(B237="","",VLOOKUP($B237,'F-1 Off Site River Baseline'!$C$9:$R$257,2,FALSE))</f>
        <v/>
      </c>
      <c r="D237" s="520" t="str">
        <f>IF(C237="","",VLOOKUP($B237,'F-1 Off Site River Baseline'!$C$9:$R$257,3,FALSE))</f>
        <v/>
      </c>
      <c r="E237" s="520" t="str">
        <f>IF(D237="","",VLOOKUP($B237,'F-1 Off Site River Baseline'!$C$9:$R$257,4,FALSE))</f>
        <v/>
      </c>
      <c r="F237" s="520" t="str">
        <f>IF(E237="","",VLOOKUP($B237,'F-1 Off Site River Baseline'!$C$9:$R$257,5,FALSE))</f>
        <v/>
      </c>
      <c r="G237" s="520" t="str">
        <f>IF(F237="","",VLOOKUP($B237,'F-1 Off Site River Baseline'!$C$9:$R$257,6,FALSE))</f>
        <v/>
      </c>
      <c r="H237" s="520" t="str">
        <f>IF(G237="","",VLOOKUP($B237,'F-1 Off Site River Baseline'!$C$9:$R$257,7,FALSE))</f>
        <v/>
      </c>
      <c r="I237" s="520" t="str">
        <f>IF(H237="","",VLOOKUP($B237,'F-1 Off Site River Baseline'!$C$9:$R$257,8,FALSE))</f>
        <v/>
      </c>
      <c r="J237" s="520" t="str">
        <f>IF(I237="","",VLOOKUP($B237,'F-1 Off Site River Baseline'!$C$9:$R$257,9,FALSE))</f>
        <v/>
      </c>
      <c r="K237" s="520" t="str">
        <f>IF(J237="","",VLOOKUP($B237,'F-1 Off Site River Baseline'!$C$9:$R$257,10,FALSE))</f>
        <v/>
      </c>
      <c r="L237" s="520" t="str">
        <f>IF(B237="","",VLOOKUP($B237,'C-1 Site River Baseline'!$C$9:$R$257,15,FALSE))</f>
        <v/>
      </c>
      <c r="M237" s="524" t="str">
        <f>IF(L237="","",VLOOKUP($B237,'F-1 Off Site River Baseline'!$C$9:$R$257,16,FALSE))</f>
        <v/>
      </c>
      <c r="N237" s="418" t="str">
        <f t="shared" si="28"/>
        <v/>
      </c>
      <c r="O237" s="498" t="str">
        <f t="shared" si="29"/>
        <v/>
      </c>
      <c r="P237" s="499"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5" t="str">
        <f>IF(N237="","",VLOOKUP(B237,'F-1 Off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20" t="str">
        <f>IF(V237="","",IF(VLOOKUP(V237,'G-7 Rivers Data'!$AG$4:$AI$9,2,FALSE)=0,"Spatial Data Missing ⚠",VLOOKUP(V237,'G-7 Rivers Data'!$AG$4:$AI$9,2,FALSE)))</f>
        <v/>
      </c>
      <c r="X237" s="524" t="str">
        <f>IF(V237="","",IF(VLOOKUP(V237,'G-7 Rivers Data'!$AG$4:$AI$9,3,FALSE)=0,"Spatial Data Missing ⚠",VLOOKUP(V237,'G-7 Rivers Data'!$AG$4:$AI$9,3,FALSE)))</f>
        <v/>
      </c>
      <c r="Y237" s="537" t="str">
        <f>IFERROR(IF(OR(LEFT(P237,5)="Error ▲",LEFT(O237,5)="Error ▲"),"Check Data ⚠",IF(F237&lt;S237,'G-7 Rivers Data'!$R$3,INDEX('G-7 Rivers Data'!$U$5:$Y$9,MATCH(G237,'G-7 Rivers Data'!$T$5:$T$9,0),MATCH(T237,'G-7 Rivers Data'!$U$4:$Y$4,0)))),"")</f>
        <v/>
      </c>
      <c r="Z237" s="203"/>
      <c r="AA237" s="203"/>
      <c r="AB237" s="534" t="str">
        <f t="shared" si="24"/>
        <v/>
      </c>
      <c r="AC237" s="521" t="str">
        <f t="shared" si="25"/>
        <v/>
      </c>
      <c r="AD237" s="564" t="str">
        <f>IFERROR(IF(AC237="Check Data ⚠","Check Data ⚠",VLOOKUP(AC237,'G-4 Temporal multipliers'!$A$4:$C$37,3,FALSE)),"")</f>
        <v/>
      </c>
      <c r="AE237" s="537" t="str">
        <f>IF(N237="","",VLOOKUP(N237,'G-7 Rivers Data'!$B$4:$G$8,5,FALSE))</f>
        <v/>
      </c>
      <c r="AF237" s="520" t="str">
        <f t="shared" si="26"/>
        <v/>
      </c>
      <c r="AG237" s="520" t="str">
        <f t="shared" si="30"/>
        <v/>
      </c>
      <c r="AH237" s="524" t="str">
        <f t="shared" si="27"/>
        <v/>
      </c>
      <c r="AI237" s="145"/>
      <c r="AJ237" s="499" t="str">
        <f>IF(AI237="","",IF(VLOOKUP(AI237,'G-7 Rivers Data'!$AA$4:$AB$7,2,FALSE)=0,"Spatial Data Missing ⚠",VLOOKUP(AI237,'G-7 Rivers Data'!$AA$4:$AB$7,2,FALSE)))</f>
        <v/>
      </c>
      <c r="AK237" s="155"/>
      <c r="AL237" s="536" t="str">
        <f>IF(AK237="","",IF(VLOOKUP(AK237,'G-7 Rivers Data'!$AD$4:$AE$8,2,FALSE)=0,"Spatial Data Missing ⚠",VLOOKUP(AK237,'G-7 Rivers Data'!$AD$4:$AE$8,2,FALSE)))</f>
        <v/>
      </c>
      <c r="AM237" s="154"/>
      <c r="AN237" s="524" t="str">
        <f>IF(AM237="","",VLOOKUP(AM237,'G-7 Rivers Data'!$AO$4:$AP$7,2,FALSE))</f>
        <v/>
      </c>
      <c r="AO237" s="545" t="str">
        <f t="shared" si="31"/>
        <v/>
      </c>
      <c r="AP237" s="149"/>
      <c r="AQ237" s="150"/>
      <c r="AX237" s="31" t="str">
        <f>IFERROR(INDEX('G-7 Rivers Data'!$AZ$3:$AZ$7,MATCH(N237,'G-7 Rivers Data'!$AY$3:$AY$7,0)),"")</f>
        <v/>
      </c>
    </row>
    <row r="238" spans="2:50" ht="13.8" x14ac:dyDescent="0.25">
      <c r="B238" s="531" t="str">
        <f>'F-1 Off Site River Baseline'!AN236</f>
        <v/>
      </c>
      <c r="C238" s="520" t="str">
        <f>IF(B238="","",VLOOKUP($B238,'F-1 Off Site River Baseline'!$C$9:$R$257,2,FALSE))</f>
        <v/>
      </c>
      <c r="D238" s="520" t="str">
        <f>IF(C238="","",VLOOKUP($B238,'F-1 Off Site River Baseline'!$C$9:$R$257,3,FALSE))</f>
        <v/>
      </c>
      <c r="E238" s="520" t="str">
        <f>IF(D238="","",VLOOKUP($B238,'F-1 Off Site River Baseline'!$C$9:$R$257,4,FALSE))</f>
        <v/>
      </c>
      <c r="F238" s="520" t="str">
        <f>IF(E238="","",VLOOKUP($B238,'F-1 Off Site River Baseline'!$C$9:$R$257,5,FALSE))</f>
        <v/>
      </c>
      <c r="G238" s="520" t="str">
        <f>IF(F238="","",VLOOKUP($B238,'F-1 Off Site River Baseline'!$C$9:$R$257,6,FALSE))</f>
        <v/>
      </c>
      <c r="H238" s="520" t="str">
        <f>IF(G238="","",VLOOKUP($B238,'F-1 Off Site River Baseline'!$C$9:$R$257,7,FALSE))</f>
        <v/>
      </c>
      <c r="I238" s="520" t="str">
        <f>IF(H238="","",VLOOKUP($B238,'F-1 Off Site River Baseline'!$C$9:$R$257,8,FALSE))</f>
        <v/>
      </c>
      <c r="J238" s="520" t="str">
        <f>IF(I238="","",VLOOKUP($B238,'F-1 Off Site River Baseline'!$C$9:$R$257,9,FALSE))</f>
        <v/>
      </c>
      <c r="K238" s="520" t="str">
        <f>IF(J238="","",VLOOKUP($B238,'F-1 Off Site River Baseline'!$C$9:$R$257,10,FALSE))</f>
        <v/>
      </c>
      <c r="L238" s="520" t="str">
        <f>IF(B238="","",VLOOKUP($B238,'C-1 Site River Baseline'!$C$9:$R$257,15,FALSE))</f>
        <v/>
      </c>
      <c r="M238" s="524" t="str">
        <f>IF(L238="","",VLOOKUP($B238,'F-1 Off Site River Baseline'!$C$9:$R$257,16,FALSE))</f>
        <v/>
      </c>
      <c r="N238" s="418" t="str">
        <f t="shared" si="28"/>
        <v/>
      </c>
      <c r="O238" s="498" t="str">
        <f t="shared" si="29"/>
        <v/>
      </c>
      <c r="P238" s="499"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5" t="str">
        <f>IF(N238="","",VLOOKUP(B238,'F-1 Off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20" t="str">
        <f>IF(V238="","",IF(VLOOKUP(V238,'G-7 Rivers Data'!$AG$4:$AI$9,2,FALSE)=0,"Spatial Data Missing ⚠",VLOOKUP(V238,'G-7 Rivers Data'!$AG$4:$AI$9,2,FALSE)))</f>
        <v/>
      </c>
      <c r="X238" s="524" t="str">
        <f>IF(V238="","",IF(VLOOKUP(V238,'G-7 Rivers Data'!$AG$4:$AI$9,3,FALSE)=0,"Spatial Data Missing ⚠",VLOOKUP(V238,'G-7 Rivers Data'!$AG$4:$AI$9,3,FALSE)))</f>
        <v/>
      </c>
      <c r="Y238" s="537" t="str">
        <f>IFERROR(IF(OR(LEFT(P238,5)="Error ▲",LEFT(O238,5)="Error ▲"),"Check Data ⚠",IF(F238&lt;S238,'G-7 Rivers Data'!$R$3,INDEX('G-7 Rivers Data'!$U$5:$Y$9,MATCH(G238,'G-7 Rivers Data'!$T$5:$T$9,0),MATCH(T238,'G-7 Rivers Data'!$U$4:$Y$4,0)))),"")</f>
        <v/>
      </c>
      <c r="Z238" s="203"/>
      <c r="AA238" s="203"/>
      <c r="AB238" s="534" t="str">
        <f t="shared" si="24"/>
        <v/>
      </c>
      <c r="AC238" s="521" t="str">
        <f t="shared" si="25"/>
        <v/>
      </c>
      <c r="AD238" s="564" t="str">
        <f>IFERROR(IF(AC238="Check Data ⚠","Check Data ⚠",VLOOKUP(AC238,'G-4 Temporal multipliers'!$A$4:$C$37,3,FALSE)),"")</f>
        <v/>
      </c>
      <c r="AE238" s="537" t="str">
        <f>IF(N238="","",VLOOKUP(N238,'G-7 Rivers Data'!$B$4:$G$8,5,FALSE))</f>
        <v/>
      </c>
      <c r="AF238" s="520" t="str">
        <f t="shared" si="26"/>
        <v/>
      </c>
      <c r="AG238" s="520" t="str">
        <f t="shared" si="30"/>
        <v/>
      </c>
      <c r="AH238" s="524" t="str">
        <f t="shared" si="27"/>
        <v/>
      </c>
      <c r="AI238" s="145"/>
      <c r="AJ238" s="499" t="str">
        <f>IF(AI238="","",IF(VLOOKUP(AI238,'G-7 Rivers Data'!$AA$4:$AB$7,2,FALSE)=0,"Spatial Data Missing ⚠",VLOOKUP(AI238,'G-7 Rivers Data'!$AA$4:$AB$7,2,FALSE)))</f>
        <v/>
      </c>
      <c r="AK238" s="155"/>
      <c r="AL238" s="536" t="str">
        <f>IF(AK238="","",IF(VLOOKUP(AK238,'G-7 Rivers Data'!$AD$4:$AE$8,2,FALSE)=0,"Spatial Data Missing ⚠",VLOOKUP(AK238,'G-7 Rivers Data'!$AD$4:$AE$8,2,FALSE)))</f>
        <v/>
      </c>
      <c r="AM238" s="154"/>
      <c r="AN238" s="524" t="str">
        <f>IF(AM238="","",VLOOKUP(AM238,'G-7 Rivers Data'!$AO$4:$AP$7,2,FALSE))</f>
        <v/>
      </c>
      <c r="AO238" s="545" t="str">
        <f t="shared" si="31"/>
        <v/>
      </c>
      <c r="AP238" s="149"/>
      <c r="AQ238" s="150"/>
      <c r="AX238" s="31" t="str">
        <f>IFERROR(INDEX('G-7 Rivers Data'!$AZ$3:$AZ$7,MATCH(N238,'G-7 Rivers Data'!$AY$3:$AY$7,0)),"")</f>
        <v/>
      </c>
    </row>
    <row r="239" spans="2:50" ht="13.8" x14ac:dyDescent="0.25">
      <c r="B239" s="531" t="str">
        <f>'F-1 Off Site River Baseline'!AN237</f>
        <v/>
      </c>
      <c r="C239" s="520" t="str">
        <f>IF(B239="","",VLOOKUP($B239,'F-1 Off Site River Baseline'!$C$9:$R$257,2,FALSE))</f>
        <v/>
      </c>
      <c r="D239" s="520" t="str">
        <f>IF(C239="","",VLOOKUP($B239,'F-1 Off Site River Baseline'!$C$9:$R$257,3,FALSE))</f>
        <v/>
      </c>
      <c r="E239" s="520" t="str">
        <f>IF(D239="","",VLOOKUP($B239,'F-1 Off Site River Baseline'!$C$9:$R$257,4,FALSE))</f>
        <v/>
      </c>
      <c r="F239" s="520" t="str">
        <f>IF(E239="","",VLOOKUP($B239,'F-1 Off Site River Baseline'!$C$9:$R$257,5,FALSE))</f>
        <v/>
      </c>
      <c r="G239" s="520" t="str">
        <f>IF(F239="","",VLOOKUP($B239,'F-1 Off Site River Baseline'!$C$9:$R$257,6,FALSE))</f>
        <v/>
      </c>
      <c r="H239" s="520" t="str">
        <f>IF(G239="","",VLOOKUP($B239,'F-1 Off Site River Baseline'!$C$9:$R$257,7,FALSE))</f>
        <v/>
      </c>
      <c r="I239" s="520" t="str">
        <f>IF(H239="","",VLOOKUP($B239,'F-1 Off Site River Baseline'!$C$9:$R$257,8,FALSE))</f>
        <v/>
      </c>
      <c r="J239" s="520" t="str">
        <f>IF(I239="","",VLOOKUP($B239,'F-1 Off Site River Baseline'!$C$9:$R$257,9,FALSE))</f>
        <v/>
      </c>
      <c r="K239" s="520" t="str">
        <f>IF(J239="","",VLOOKUP($B239,'F-1 Off Site River Baseline'!$C$9:$R$257,10,FALSE))</f>
        <v/>
      </c>
      <c r="L239" s="520" t="str">
        <f>IF(B239="","",VLOOKUP($B239,'C-1 Site River Baseline'!$C$9:$R$257,15,FALSE))</f>
        <v/>
      </c>
      <c r="M239" s="524" t="str">
        <f>IF(L239="","",VLOOKUP($B239,'F-1 Off Site River Baseline'!$C$9:$R$257,16,FALSE))</f>
        <v/>
      </c>
      <c r="N239" s="418" t="str">
        <f t="shared" si="28"/>
        <v/>
      </c>
      <c r="O239" s="498" t="str">
        <f t="shared" si="29"/>
        <v/>
      </c>
      <c r="P239" s="499"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5" t="str">
        <f>IF(N239="","",VLOOKUP(B239,'F-1 Off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20" t="str">
        <f>IF(V239="","",IF(VLOOKUP(V239,'G-7 Rivers Data'!$AG$4:$AI$9,2,FALSE)=0,"Spatial Data Missing ⚠",VLOOKUP(V239,'G-7 Rivers Data'!$AG$4:$AI$9,2,FALSE)))</f>
        <v/>
      </c>
      <c r="X239" s="524" t="str">
        <f>IF(V239="","",IF(VLOOKUP(V239,'G-7 Rivers Data'!$AG$4:$AI$9,3,FALSE)=0,"Spatial Data Missing ⚠",VLOOKUP(V239,'G-7 Rivers Data'!$AG$4:$AI$9,3,FALSE)))</f>
        <v/>
      </c>
      <c r="Y239" s="537" t="str">
        <f>IFERROR(IF(OR(LEFT(P239,5)="Error ▲",LEFT(O239,5)="Error ▲"),"Check Data ⚠",IF(F239&lt;S239,'G-7 Rivers Data'!$R$3,INDEX('G-7 Rivers Data'!$U$5:$Y$9,MATCH(G239,'G-7 Rivers Data'!$T$5:$T$9,0),MATCH(T239,'G-7 Rivers Data'!$U$4:$Y$4,0)))),"")</f>
        <v/>
      </c>
      <c r="Z239" s="203"/>
      <c r="AA239" s="203"/>
      <c r="AB239" s="534" t="str">
        <f t="shared" si="24"/>
        <v/>
      </c>
      <c r="AC239" s="521" t="str">
        <f t="shared" si="25"/>
        <v/>
      </c>
      <c r="AD239" s="564" t="str">
        <f>IFERROR(IF(AC239="Check Data ⚠","Check Data ⚠",VLOOKUP(AC239,'G-4 Temporal multipliers'!$A$4:$C$37,3,FALSE)),"")</f>
        <v/>
      </c>
      <c r="AE239" s="537" t="str">
        <f>IF(N239="","",VLOOKUP(N239,'G-7 Rivers Data'!$B$4:$G$8,5,FALSE))</f>
        <v/>
      </c>
      <c r="AF239" s="520" t="str">
        <f t="shared" si="26"/>
        <v/>
      </c>
      <c r="AG239" s="520" t="str">
        <f t="shared" si="30"/>
        <v/>
      </c>
      <c r="AH239" s="524" t="str">
        <f t="shared" si="27"/>
        <v/>
      </c>
      <c r="AI239" s="145"/>
      <c r="AJ239" s="499" t="str">
        <f>IF(AI239="","",IF(VLOOKUP(AI239,'G-7 Rivers Data'!$AA$4:$AB$7,2,FALSE)=0,"Spatial Data Missing ⚠",VLOOKUP(AI239,'G-7 Rivers Data'!$AA$4:$AB$7,2,FALSE)))</f>
        <v/>
      </c>
      <c r="AK239" s="155"/>
      <c r="AL239" s="536" t="str">
        <f>IF(AK239="","",IF(VLOOKUP(AK239,'G-7 Rivers Data'!$AD$4:$AE$8,2,FALSE)=0,"Spatial Data Missing ⚠",VLOOKUP(AK239,'G-7 Rivers Data'!$AD$4:$AE$8,2,FALSE)))</f>
        <v/>
      </c>
      <c r="AM239" s="154"/>
      <c r="AN239" s="524" t="str">
        <f>IF(AM239="","",VLOOKUP(AM239,'G-7 Rivers Data'!$AO$4:$AP$7,2,FALSE))</f>
        <v/>
      </c>
      <c r="AO239" s="545" t="str">
        <f t="shared" si="31"/>
        <v/>
      </c>
      <c r="AP239" s="149"/>
      <c r="AQ239" s="150"/>
      <c r="AX239" s="31" t="str">
        <f>IFERROR(INDEX('G-7 Rivers Data'!$AZ$3:$AZ$7,MATCH(N239,'G-7 Rivers Data'!$AY$3:$AY$7,0)),"")</f>
        <v/>
      </c>
    </row>
    <row r="240" spans="2:50" ht="13.8" x14ac:dyDescent="0.25">
      <c r="B240" s="531" t="str">
        <f>'F-1 Off Site River Baseline'!AN238</f>
        <v/>
      </c>
      <c r="C240" s="520" t="str">
        <f>IF(B240="","",VLOOKUP($B240,'F-1 Off Site River Baseline'!$C$9:$R$257,2,FALSE))</f>
        <v/>
      </c>
      <c r="D240" s="520" t="str">
        <f>IF(C240="","",VLOOKUP($B240,'F-1 Off Site River Baseline'!$C$9:$R$257,3,FALSE))</f>
        <v/>
      </c>
      <c r="E240" s="520" t="str">
        <f>IF(D240="","",VLOOKUP($B240,'F-1 Off Site River Baseline'!$C$9:$R$257,4,FALSE))</f>
        <v/>
      </c>
      <c r="F240" s="520" t="str">
        <f>IF(E240="","",VLOOKUP($B240,'F-1 Off Site River Baseline'!$C$9:$R$257,5,FALSE))</f>
        <v/>
      </c>
      <c r="G240" s="520" t="str">
        <f>IF(F240="","",VLOOKUP($B240,'F-1 Off Site River Baseline'!$C$9:$R$257,6,FALSE))</f>
        <v/>
      </c>
      <c r="H240" s="520" t="str">
        <f>IF(G240="","",VLOOKUP($B240,'F-1 Off Site River Baseline'!$C$9:$R$257,7,FALSE))</f>
        <v/>
      </c>
      <c r="I240" s="520" t="str">
        <f>IF(H240="","",VLOOKUP($B240,'F-1 Off Site River Baseline'!$C$9:$R$257,8,FALSE))</f>
        <v/>
      </c>
      <c r="J240" s="520" t="str">
        <f>IF(I240="","",VLOOKUP($B240,'F-1 Off Site River Baseline'!$C$9:$R$257,9,FALSE))</f>
        <v/>
      </c>
      <c r="K240" s="520" t="str">
        <f>IF(J240="","",VLOOKUP($B240,'F-1 Off Site River Baseline'!$C$9:$R$257,10,FALSE))</f>
        <v/>
      </c>
      <c r="L240" s="520" t="str">
        <f>IF(B240="","",VLOOKUP($B240,'C-1 Site River Baseline'!$C$9:$R$257,15,FALSE))</f>
        <v/>
      </c>
      <c r="M240" s="524" t="str">
        <f>IF(L240="","",VLOOKUP($B240,'F-1 Off Site River Baseline'!$C$9:$R$257,16,FALSE))</f>
        <v/>
      </c>
      <c r="N240" s="418" t="str">
        <f t="shared" si="28"/>
        <v/>
      </c>
      <c r="O240" s="498" t="str">
        <f t="shared" si="29"/>
        <v/>
      </c>
      <c r="P240" s="499"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5" t="str">
        <f>IF(N240="","",VLOOKUP(B240,'F-1 Off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20" t="str">
        <f>IF(V240="","",IF(VLOOKUP(V240,'G-7 Rivers Data'!$AG$4:$AI$9,2,FALSE)=0,"Spatial Data Missing ⚠",VLOOKUP(V240,'G-7 Rivers Data'!$AG$4:$AI$9,2,FALSE)))</f>
        <v/>
      </c>
      <c r="X240" s="524" t="str">
        <f>IF(V240="","",IF(VLOOKUP(V240,'G-7 Rivers Data'!$AG$4:$AI$9,3,FALSE)=0,"Spatial Data Missing ⚠",VLOOKUP(V240,'G-7 Rivers Data'!$AG$4:$AI$9,3,FALSE)))</f>
        <v/>
      </c>
      <c r="Y240" s="537" t="str">
        <f>IFERROR(IF(OR(LEFT(P240,5)="Error ▲",LEFT(O240,5)="Error ▲"),"Check Data ⚠",IF(F240&lt;S240,'G-7 Rivers Data'!$R$3,INDEX('G-7 Rivers Data'!$U$5:$Y$9,MATCH(G240,'G-7 Rivers Data'!$T$5:$T$9,0),MATCH(T240,'G-7 Rivers Data'!$U$4:$Y$4,0)))),"")</f>
        <v/>
      </c>
      <c r="Z240" s="203"/>
      <c r="AA240" s="203"/>
      <c r="AB240" s="534" t="str">
        <f t="shared" si="24"/>
        <v/>
      </c>
      <c r="AC240" s="521" t="str">
        <f t="shared" si="25"/>
        <v/>
      </c>
      <c r="AD240" s="564" t="str">
        <f>IFERROR(IF(AC240="Check Data ⚠","Check Data ⚠",VLOOKUP(AC240,'G-4 Temporal multipliers'!$A$4:$C$37,3,FALSE)),"")</f>
        <v/>
      </c>
      <c r="AE240" s="537" t="str">
        <f>IF(N240="","",VLOOKUP(N240,'G-7 Rivers Data'!$B$4:$G$8,5,FALSE))</f>
        <v/>
      </c>
      <c r="AF240" s="520" t="str">
        <f t="shared" si="26"/>
        <v/>
      </c>
      <c r="AG240" s="520" t="str">
        <f t="shared" si="30"/>
        <v/>
      </c>
      <c r="AH240" s="524" t="str">
        <f t="shared" si="27"/>
        <v/>
      </c>
      <c r="AI240" s="145"/>
      <c r="AJ240" s="499" t="str">
        <f>IF(AI240="","",IF(VLOOKUP(AI240,'G-7 Rivers Data'!$AA$4:$AB$7,2,FALSE)=0,"Spatial Data Missing ⚠",VLOOKUP(AI240,'G-7 Rivers Data'!$AA$4:$AB$7,2,FALSE)))</f>
        <v/>
      </c>
      <c r="AK240" s="155"/>
      <c r="AL240" s="536" t="str">
        <f>IF(AK240="","",IF(VLOOKUP(AK240,'G-7 Rivers Data'!$AD$4:$AE$8,2,FALSE)=0,"Spatial Data Missing ⚠",VLOOKUP(AK240,'G-7 Rivers Data'!$AD$4:$AE$8,2,FALSE)))</f>
        <v/>
      </c>
      <c r="AM240" s="154"/>
      <c r="AN240" s="524" t="str">
        <f>IF(AM240="","",VLOOKUP(AM240,'G-7 Rivers Data'!$AO$4:$AP$7,2,FALSE))</f>
        <v/>
      </c>
      <c r="AO240" s="545" t="str">
        <f t="shared" si="31"/>
        <v/>
      </c>
      <c r="AP240" s="149"/>
      <c r="AQ240" s="150"/>
      <c r="AX240" s="31" t="str">
        <f>IFERROR(INDEX('G-7 Rivers Data'!$AZ$3:$AZ$7,MATCH(N240,'G-7 Rivers Data'!$AY$3:$AY$7,0)),"")</f>
        <v/>
      </c>
    </row>
    <row r="241" spans="2:50" ht="13.8" x14ac:dyDescent="0.25">
      <c r="B241" s="531" t="str">
        <f>'F-1 Off Site River Baseline'!AN239</f>
        <v/>
      </c>
      <c r="C241" s="520" t="str">
        <f>IF(B241="","",VLOOKUP($B241,'F-1 Off Site River Baseline'!$C$9:$R$257,2,FALSE))</f>
        <v/>
      </c>
      <c r="D241" s="520" t="str">
        <f>IF(C241="","",VLOOKUP($B241,'F-1 Off Site River Baseline'!$C$9:$R$257,3,FALSE))</f>
        <v/>
      </c>
      <c r="E241" s="520" t="str">
        <f>IF(D241="","",VLOOKUP($B241,'F-1 Off Site River Baseline'!$C$9:$R$257,4,FALSE))</f>
        <v/>
      </c>
      <c r="F241" s="520" t="str">
        <f>IF(E241="","",VLOOKUP($B241,'F-1 Off Site River Baseline'!$C$9:$R$257,5,FALSE))</f>
        <v/>
      </c>
      <c r="G241" s="520" t="str">
        <f>IF(F241="","",VLOOKUP($B241,'F-1 Off Site River Baseline'!$C$9:$R$257,6,FALSE))</f>
        <v/>
      </c>
      <c r="H241" s="520" t="str">
        <f>IF(G241="","",VLOOKUP($B241,'F-1 Off Site River Baseline'!$C$9:$R$257,7,FALSE))</f>
        <v/>
      </c>
      <c r="I241" s="520" t="str">
        <f>IF(H241="","",VLOOKUP($B241,'F-1 Off Site River Baseline'!$C$9:$R$257,8,FALSE))</f>
        <v/>
      </c>
      <c r="J241" s="520" t="str">
        <f>IF(I241="","",VLOOKUP($B241,'F-1 Off Site River Baseline'!$C$9:$R$257,9,FALSE))</f>
        <v/>
      </c>
      <c r="K241" s="520" t="str">
        <f>IF(J241="","",VLOOKUP($B241,'F-1 Off Site River Baseline'!$C$9:$R$257,10,FALSE))</f>
        <v/>
      </c>
      <c r="L241" s="520" t="str">
        <f>IF(B241="","",VLOOKUP($B241,'C-1 Site River Baseline'!$C$9:$R$257,15,FALSE))</f>
        <v/>
      </c>
      <c r="M241" s="524" t="str">
        <f>IF(L241="","",VLOOKUP($B241,'F-1 Off Site River Baseline'!$C$9:$R$257,16,FALSE))</f>
        <v/>
      </c>
      <c r="N241" s="418" t="str">
        <f t="shared" si="28"/>
        <v/>
      </c>
      <c r="O241" s="498" t="str">
        <f t="shared" si="29"/>
        <v/>
      </c>
      <c r="P241" s="499"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5" t="str">
        <f>IF(N241="","",VLOOKUP(B241,'F-1 Off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20" t="str">
        <f>IF(V241="","",IF(VLOOKUP(V241,'G-7 Rivers Data'!$AG$4:$AI$9,2,FALSE)=0,"Spatial Data Missing ⚠",VLOOKUP(V241,'G-7 Rivers Data'!$AG$4:$AI$9,2,FALSE)))</f>
        <v/>
      </c>
      <c r="X241" s="524" t="str">
        <f>IF(V241="","",IF(VLOOKUP(V241,'G-7 Rivers Data'!$AG$4:$AI$9,3,FALSE)=0,"Spatial Data Missing ⚠",VLOOKUP(V241,'G-7 Rivers Data'!$AG$4:$AI$9,3,FALSE)))</f>
        <v/>
      </c>
      <c r="Y241" s="537" t="str">
        <f>IFERROR(IF(OR(LEFT(P241,5)="Error ▲",LEFT(O241,5)="Error ▲"),"Check Data ⚠",IF(F241&lt;S241,'G-7 Rivers Data'!$R$3,INDEX('G-7 Rivers Data'!$U$5:$Y$9,MATCH(G241,'G-7 Rivers Data'!$T$5:$T$9,0),MATCH(T241,'G-7 Rivers Data'!$U$4:$Y$4,0)))),"")</f>
        <v/>
      </c>
      <c r="Z241" s="203"/>
      <c r="AA241" s="203"/>
      <c r="AB241" s="534" t="str">
        <f t="shared" si="24"/>
        <v/>
      </c>
      <c r="AC241" s="521" t="str">
        <f t="shared" si="25"/>
        <v/>
      </c>
      <c r="AD241" s="564" t="str">
        <f>IFERROR(IF(AC241="Check Data ⚠","Check Data ⚠",VLOOKUP(AC241,'G-4 Temporal multipliers'!$A$4:$C$37,3,FALSE)),"")</f>
        <v/>
      </c>
      <c r="AE241" s="537" t="str">
        <f>IF(N241="","",VLOOKUP(N241,'G-7 Rivers Data'!$B$4:$G$8,5,FALSE))</f>
        <v/>
      </c>
      <c r="AF241" s="520" t="str">
        <f t="shared" si="26"/>
        <v/>
      </c>
      <c r="AG241" s="520" t="str">
        <f t="shared" si="30"/>
        <v/>
      </c>
      <c r="AH241" s="524" t="str">
        <f t="shared" si="27"/>
        <v/>
      </c>
      <c r="AI241" s="145"/>
      <c r="AJ241" s="499" t="str">
        <f>IF(AI241="","",IF(VLOOKUP(AI241,'G-7 Rivers Data'!$AA$4:$AB$7,2,FALSE)=0,"Spatial Data Missing ⚠",VLOOKUP(AI241,'G-7 Rivers Data'!$AA$4:$AB$7,2,FALSE)))</f>
        <v/>
      </c>
      <c r="AK241" s="155"/>
      <c r="AL241" s="536" t="str">
        <f>IF(AK241="","",IF(VLOOKUP(AK241,'G-7 Rivers Data'!$AD$4:$AE$8,2,FALSE)=0,"Spatial Data Missing ⚠",VLOOKUP(AK241,'G-7 Rivers Data'!$AD$4:$AE$8,2,FALSE)))</f>
        <v/>
      </c>
      <c r="AM241" s="154"/>
      <c r="AN241" s="524" t="str">
        <f>IF(AM241="","",VLOOKUP(AM241,'G-7 Rivers Data'!$AO$4:$AP$7,2,FALSE))</f>
        <v/>
      </c>
      <c r="AO241" s="545" t="str">
        <f t="shared" si="31"/>
        <v/>
      </c>
      <c r="AP241" s="149"/>
      <c r="AQ241" s="150"/>
      <c r="AX241" s="31" t="str">
        <f>IFERROR(INDEX('G-7 Rivers Data'!$AZ$3:$AZ$7,MATCH(N241,'G-7 Rivers Data'!$AY$3:$AY$7,0)),"")</f>
        <v/>
      </c>
    </row>
    <row r="242" spans="2:50" ht="13.8" x14ac:dyDescent="0.25">
      <c r="B242" s="531" t="str">
        <f>'F-1 Off Site River Baseline'!AN240</f>
        <v/>
      </c>
      <c r="C242" s="520" t="str">
        <f>IF(B242="","",VLOOKUP($B242,'F-1 Off Site River Baseline'!$C$9:$R$257,2,FALSE))</f>
        <v/>
      </c>
      <c r="D242" s="520" t="str">
        <f>IF(C242="","",VLOOKUP($B242,'F-1 Off Site River Baseline'!$C$9:$R$257,3,FALSE))</f>
        <v/>
      </c>
      <c r="E242" s="520" t="str">
        <f>IF(D242="","",VLOOKUP($B242,'F-1 Off Site River Baseline'!$C$9:$R$257,4,FALSE))</f>
        <v/>
      </c>
      <c r="F242" s="520" t="str">
        <f>IF(E242="","",VLOOKUP($B242,'F-1 Off Site River Baseline'!$C$9:$R$257,5,FALSE))</f>
        <v/>
      </c>
      <c r="G242" s="520" t="str">
        <f>IF(F242="","",VLOOKUP($B242,'F-1 Off Site River Baseline'!$C$9:$R$257,6,FALSE))</f>
        <v/>
      </c>
      <c r="H242" s="520" t="str">
        <f>IF(G242="","",VLOOKUP($B242,'F-1 Off Site River Baseline'!$C$9:$R$257,7,FALSE))</f>
        <v/>
      </c>
      <c r="I242" s="520" t="str">
        <f>IF(H242="","",VLOOKUP($B242,'F-1 Off Site River Baseline'!$C$9:$R$257,8,FALSE))</f>
        <v/>
      </c>
      <c r="J242" s="520" t="str">
        <f>IF(I242="","",VLOOKUP($B242,'F-1 Off Site River Baseline'!$C$9:$R$257,9,FALSE))</f>
        <v/>
      </c>
      <c r="K242" s="520" t="str">
        <f>IF(J242="","",VLOOKUP($B242,'F-1 Off Site River Baseline'!$C$9:$R$257,10,FALSE))</f>
        <v/>
      </c>
      <c r="L242" s="520" t="str">
        <f>IF(B242="","",VLOOKUP($B242,'C-1 Site River Baseline'!$C$9:$R$257,15,FALSE))</f>
        <v/>
      </c>
      <c r="M242" s="524" t="str">
        <f>IF(L242="","",VLOOKUP($B242,'F-1 Off Site River Baseline'!$C$9:$R$257,16,FALSE))</f>
        <v/>
      </c>
      <c r="N242" s="418" t="str">
        <f t="shared" si="28"/>
        <v/>
      </c>
      <c r="O242" s="498" t="str">
        <f t="shared" si="29"/>
        <v/>
      </c>
      <c r="P242" s="499"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5" t="str">
        <f>IF(N242="","",VLOOKUP(B242,'F-1 Off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20" t="str">
        <f>IF(V242="","",IF(VLOOKUP(V242,'G-7 Rivers Data'!$AG$4:$AI$9,2,FALSE)=0,"Spatial Data Missing ⚠",VLOOKUP(V242,'G-7 Rivers Data'!$AG$4:$AI$9,2,FALSE)))</f>
        <v/>
      </c>
      <c r="X242" s="524" t="str">
        <f>IF(V242="","",IF(VLOOKUP(V242,'G-7 Rivers Data'!$AG$4:$AI$9,3,FALSE)=0,"Spatial Data Missing ⚠",VLOOKUP(V242,'G-7 Rivers Data'!$AG$4:$AI$9,3,FALSE)))</f>
        <v/>
      </c>
      <c r="Y242" s="537" t="str">
        <f>IFERROR(IF(OR(LEFT(P242,5)="Error ▲",LEFT(O242,5)="Error ▲"),"Check Data ⚠",IF(F242&lt;S242,'G-7 Rivers Data'!$R$3,INDEX('G-7 Rivers Data'!$U$5:$Y$9,MATCH(G242,'G-7 Rivers Data'!$T$5:$T$9,0),MATCH(T242,'G-7 Rivers Data'!$U$4:$Y$4,0)))),"")</f>
        <v/>
      </c>
      <c r="Z242" s="203"/>
      <c r="AA242" s="203"/>
      <c r="AB242" s="534" t="str">
        <f t="shared" si="24"/>
        <v/>
      </c>
      <c r="AC242" s="521" t="str">
        <f t="shared" si="25"/>
        <v/>
      </c>
      <c r="AD242" s="564" t="str">
        <f>IFERROR(IF(AC242="Check Data ⚠","Check Data ⚠",VLOOKUP(AC242,'G-4 Temporal multipliers'!$A$4:$C$37,3,FALSE)),"")</f>
        <v/>
      </c>
      <c r="AE242" s="537" t="str">
        <f>IF(N242="","",VLOOKUP(N242,'G-7 Rivers Data'!$B$4:$G$8,5,FALSE))</f>
        <v/>
      </c>
      <c r="AF242" s="520" t="str">
        <f t="shared" si="26"/>
        <v/>
      </c>
      <c r="AG242" s="520" t="str">
        <f t="shared" si="30"/>
        <v/>
      </c>
      <c r="AH242" s="524" t="str">
        <f t="shared" si="27"/>
        <v/>
      </c>
      <c r="AI242" s="145"/>
      <c r="AJ242" s="499" t="str">
        <f>IF(AI242="","",IF(VLOOKUP(AI242,'G-7 Rivers Data'!$AA$4:$AB$7,2,FALSE)=0,"Spatial Data Missing ⚠",VLOOKUP(AI242,'G-7 Rivers Data'!$AA$4:$AB$7,2,FALSE)))</f>
        <v/>
      </c>
      <c r="AK242" s="155"/>
      <c r="AL242" s="536" t="str">
        <f>IF(AK242="","",IF(VLOOKUP(AK242,'G-7 Rivers Data'!$AD$4:$AE$8,2,FALSE)=0,"Spatial Data Missing ⚠",VLOOKUP(AK242,'G-7 Rivers Data'!$AD$4:$AE$8,2,FALSE)))</f>
        <v/>
      </c>
      <c r="AM242" s="154"/>
      <c r="AN242" s="524" t="str">
        <f>IF(AM242="","",VLOOKUP(AM242,'G-7 Rivers Data'!$AO$4:$AP$7,2,FALSE))</f>
        <v/>
      </c>
      <c r="AO242" s="545" t="str">
        <f t="shared" si="31"/>
        <v/>
      </c>
      <c r="AP242" s="149"/>
      <c r="AQ242" s="150"/>
      <c r="AX242" s="31" t="str">
        <f>IFERROR(INDEX('G-7 Rivers Data'!$AZ$3:$AZ$7,MATCH(N242,'G-7 Rivers Data'!$AY$3:$AY$7,0)),"")</f>
        <v/>
      </c>
    </row>
    <row r="243" spans="2:50" ht="13.8" x14ac:dyDescent="0.25">
      <c r="B243" s="531" t="str">
        <f>'F-1 Off Site River Baseline'!AN241</f>
        <v/>
      </c>
      <c r="C243" s="520" t="str">
        <f>IF(B243="","",VLOOKUP($B243,'F-1 Off Site River Baseline'!$C$9:$R$257,2,FALSE))</f>
        <v/>
      </c>
      <c r="D243" s="520" t="str">
        <f>IF(C243="","",VLOOKUP($B243,'F-1 Off Site River Baseline'!$C$9:$R$257,3,FALSE))</f>
        <v/>
      </c>
      <c r="E243" s="520" t="str">
        <f>IF(D243="","",VLOOKUP($B243,'F-1 Off Site River Baseline'!$C$9:$R$257,4,FALSE))</f>
        <v/>
      </c>
      <c r="F243" s="520" t="str">
        <f>IF(E243="","",VLOOKUP($B243,'F-1 Off Site River Baseline'!$C$9:$R$257,5,FALSE))</f>
        <v/>
      </c>
      <c r="G243" s="520" t="str">
        <f>IF(F243="","",VLOOKUP($B243,'F-1 Off Site River Baseline'!$C$9:$R$257,6,FALSE))</f>
        <v/>
      </c>
      <c r="H243" s="520" t="str">
        <f>IF(G243="","",VLOOKUP($B243,'F-1 Off Site River Baseline'!$C$9:$R$257,7,FALSE))</f>
        <v/>
      </c>
      <c r="I243" s="520" t="str">
        <f>IF(H243="","",VLOOKUP($B243,'F-1 Off Site River Baseline'!$C$9:$R$257,8,FALSE))</f>
        <v/>
      </c>
      <c r="J243" s="520" t="str">
        <f>IF(I243="","",VLOOKUP($B243,'F-1 Off Site River Baseline'!$C$9:$R$257,9,FALSE))</f>
        <v/>
      </c>
      <c r="K243" s="520" t="str">
        <f>IF(J243="","",VLOOKUP($B243,'F-1 Off Site River Baseline'!$C$9:$R$257,10,FALSE))</f>
        <v/>
      </c>
      <c r="L243" s="520" t="str">
        <f>IF(B243="","",VLOOKUP($B243,'C-1 Site River Baseline'!$C$9:$R$257,15,FALSE))</f>
        <v/>
      </c>
      <c r="M243" s="524" t="str">
        <f>IF(L243="","",VLOOKUP($B243,'F-1 Off Site River Baseline'!$C$9:$R$257,16,FALSE))</f>
        <v/>
      </c>
      <c r="N243" s="418" t="str">
        <f t="shared" si="28"/>
        <v/>
      </c>
      <c r="O243" s="498" t="str">
        <f t="shared" si="29"/>
        <v/>
      </c>
      <c r="P243" s="499"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5" t="str">
        <f>IF(N243="","",VLOOKUP(B243,'F-1 Off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20" t="str">
        <f>IF(V243="","",IF(VLOOKUP(V243,'G-7 Rivers Data'!$AG$4:$AI$9,2,FALSE)=0,"Spatial Data Missing ⚠",VLOOKUP(V243,'G-7 Rivers Data'!$AG$4:$AI$9,2,FALSE)))</f>
        <v/>
      </c>
      <c r="X243" s="524" t="str">
        <f>IF(V243="","",IF(VLOOKUP(V243,'G-7 Rivers Data'!$AG$4:$AI$9,3,FALSE)=0,"Spatial Data Missing ⚠",VLOOKUP(V243,'G-7 Rivers Data'!$AG$4:$AI$9,3,FALSE)))</f>
        <v/>
      </c>
      <c r="Y243" s="537" t="str">
        <f>IFERROR(IF(OR(LEFT(P243,5)="Error ▲",LEFT(O243,5)="Error ▲"),"Check Data ⚠",IF(F243&lt;S243,'G-7 Rivers Data'!$R$3,INDEX('G-7 Rivers Data'!$U$5:$Y$9,MATCH(G243,'G-7 Rivers Data'!$T$5:$T$9,0),MATCH(T243,'G-7 Rivers Data'!$U$4:$Y$4,0)))),"")</f>
        <v/>
      </c>
      <c r="Z243" s="203"/>
      <c r="AA243" s="203"/>
      <c r="AB243" s="534" t="str">
        <f t="shared" si="24"/>
        <v/>
      </c>
      <c r="AC243" s="521" t="str">
        <f t="shared" si="25"/>
        <v/>
      </c>
      <c r="AD243" s="564" t="str">
        <f>IFERROR(IF(AC243="Check Data ⚠","Check Data ⚠",VLOOKUP(AC243,'G-4 Temporal multipliers'!$A$4:$C$37,3,FALSE)),"")</f>
        <v/>
      </c>
      <c r="AE243" s="537" t="str">
        <f>IF(N243="","",VLOOKUP(N243,'G-7 Rivers Data'!$B$4:$G$8,5,FALSE))</f>
        <v/>
      </c>
      <c r="AF243" s="520" t="str">
        <f t="shared" si="26"/>
        <v/>
      </c>
      <c r="AG243" s="520" t="str">
        <f t="shared" si="30"/>
        <v/>
      </c>
      <c r="AH243" s="524" t="str">
        <f t="shared" si="27"/>
        <v/>
      </c>
      <c r="AI243" s="145"/>
      <c r="AJ243" s="499" t="str">
        <f>IF(AI243="","",IF(VLOOKUP(AI243,'G-7 Rivers Data'!$AA$4:$AB$7,2,FALSE)=0,"Spatial Data Missing ⚠",VLOOKUP(AI243,'G-7 Rivers Data'!$AA$4:$AB$7,2,FALSE)))</f>
        <v/>
      </c>
      <c r="AK243" s="155"/>
      <c r="AL243" s="536" t="str">
        <f>IF(AK243="","",IF(VLOOKUP(AK243,'G-7 Rivers Data'!$AD$4:$AE$8,2,FALSE)=0,"Spatial Data Missing ⚠",VLOOKUP(AK243,'G-7 Rivers Data'!$AD$4:$AE$8,2,FALSE)))</f>
        <v/>
      </c>
      <c r="AM243" s="154"/>
      <c r="AN243" s="524" t="str">
        <f>IF(AM243="","",VLOOKUP(AM243,'G-7 Rivers Data'!$AO$4:$AP$7,2,FALSE))</f>
        <v/>
      </c>
      <c r="AO243" s="545" t="str">
        <f t="shared" si="31"/>
        <v/>
      </c>
      <c r="AP243" s="239"/>
      <c r="AQ243" s="240"/>
      <c r="AX243" s="31" t="str">
        <f>IFERROR(INDEX('G-7 Rivers Data'!$AZ$3:$AZ$7,MATCH(N243,'G-7 Rivers Data'!$AY$3:$AY$7,0)),"")</f>
        <v/>
      </c>
    </row>
    <row r="244" spans="2:50" ht="13.8" x14ac:dyDescent="0.25">
      <c r="B244" s="531" t="str">
        <f>'F-1 Off Site River Baseline'!AN242</f>
        <v/>
      </c>
      <c r="C244" s="520" t="str">
        <f>IF(B244="","",VLOOKUP($B244,'F-1 Off Site River Baseline'!$C$9:$R$257,2,FALSE))</f>
        <v/>
      </c>
      <c r="D244" s="520" t="str">
        <f>IF(C244="","",VLOOKUP($B244,'F-1 Off Site River Baseline'!$C$9:$R$257,3,FALSE))</f>
        <v/>
      </c>
      <c r="E244" s="520" t="str">
        <f>IF(D244="","",VLOOKUP($B244,'F-1 Off Site River Baseline'!$C$9:$R$257,4,FALSE))</f>
        <v/>
      </c>
      <c r="F244" s="520" t="str">
        <f>IF(E244="","",VLOOKUP($B244,'F-1 Off Site River Baseline'!$C$9:$R$257,5,FALSE))</f>
        <v/>
      </c>
      <c r="G244" s="520" t="str">
        <f>IF(F244="","",VLOOKUP($B244,'F-1 Off Site River Baseline'!$C$9:$R$257,6,FALSE))</f>
        <v/>
      </c>
      <c r="H244" s="520" t="str">
        <f>IF(G244="","",VLOOKUP($B244,'F-1 Off Site River Baseline'!$C$9:$R$257,7,FALSE))</f>
        <v/>
      </c>
      <c r="I244" s="520" t="str">
        <f>IF(H244="","",VLOOKUP($B244,'F-1 Off Site River Baseline'!$C$9:$R$257,8,FALSE))</f>
        <v/>
      </c>
      <c r="J244" s="520" t="str">
        <f>IF(I244="","",VLOOKUP($B244,'F-1 Off Site River Baseline'!$C$9:$R$257,9,FALSE))</f>
        <v/>
      </c>
      <c r="K244" s="520" t="str">
        <f>IF(J244="","",VLOOKUP($B244,'F-1 Off Site River Baseline'!$C$9:$R$257,10,FALSE))</f>
        <v/>
      </c>
      <c r="L244" s="520" t="str">
        <f>IF(B244="","",VLOOKUP($B244,'C-1 Site River Baseline'!$C$9:$R$257,15,FALSE))</f>
        <v/>
      </c>
      <c r="M244" s="524" t="str">
        <f>IF(L244="","",VLOOKUP($B244,'F-1 Off Site River Baseline'!$C$9:$R$257,16,FALSE))</f>
        <v/>
      </c>
      <c r="N244" s="418" t="str">
        <f t="shared" si="28"/>
        <v/>
      </c>
      <c r="O244" s="498" t="str">
        <f t="shared" si="29"/>
        <v/>
      </c>
      <c r="P244" s="499"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5" t="str">
        <f>IF(N244="","",VLOOKUP(B244,'F-1 Off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20" t="str">
        <f>IF(V244="","",IF(VLOOKUP(V244,'G-7 Rivers Data'!$AG$4:$AI$9,2,FALSE)=0,"Spatial Data Missing ⚠",VLOOKUP(V244,'G-7 Rivers Data'!$AG$4:$AI$9,2,FALSE)))</f>
        <v/>
      </c>
      <c r="X244" s="524" t="str">
        <f>IF(V244="","",IF(VLOOKUP(V244,'G-7 Rivers Data'!$AG$4:$AI$9,3,FALSE)=0,"Spatial Data Missing ⚠",VLOOKUP(V244,'G-7 Rivers Data'!$AG$4:$AI$9,3,FALSE)))</f>
        <v/>
      </c>
      <c r="Y244" s="537" t="str">
        <f>IFERROR(IF(OR(LEFT(P244,5)="Error ▲",LEFT(O244,5)="Error ▲"),"Check Data ⚠",IF(F244&lt;S244,'G-7 Rivers Data'!$R$3,INDEX('G-7 Rivers Data'!$U$5:$Y$9,MATCH(G244,'G-7 Rivers Data'!$T$5:$T$9,0),MATCH(T244,'G-7 Rivers Data'!$U$4:$Y$4,0)))),"")</f>
        <v/>
      </c>
      <c r="Z244" s="203"/>
      <c r="AA244" s="203"/>
      <c r="AB244" s="534" t="str">
        <f t="shared" si="24"/>
        <v/>
      </c>
      <c r="AC244" s="521" t="str">
        <f t="shared" si="25"/>
        <v/>
      </c>
      <c r="AD244" s="564" t="str">
        <f>IFERROR(IF(AC244="Check Data ⚠","Check Data ⚠",VLOOKUP(AC244,'G-4 Temporal multipliers'!$A$4:$C$37,3,FALSE)),"")</f>
        <v/>
      </c>
      <c r="AE244" s="537" t="str">
        <f>IF(N244="","",VLOOKUP(N244,'G-7 Rivers Data'!$B$4:$G$8,5,FALSE))</f>
        <v/>
      </c>
      <c r="AF244" s="520" t="str">
        <f t="shared" si="26"/>
        <v/>
      </c>
      <c r="AG244" s="520" t="str">
        <f t="shared" si="30"/>
        <v/>
      </c>
      <c r="AH244" s="524" t="str">
        <f t="shared" si="27"/>
        <v/>
      </c>
      <c r="AI244" s="145"/>
      <c r="AJ244" s="499" t="str">
        <f>IF(AI244="","",IF(VLOOKUP(AI244,'G-7 Rivers Data'!$AA$4:$AB$7,2,FALSE)=0,"Spatial Data Missing ⚠",VLOOKUP(AI244,'G-7 Rivers Data'!$AA$4:$AB$7,2,FALSE)))</f>
        <v/>
      </c>
      <c r="AK244" s="155"/>
      <c r="AL244" s="536" t="str">
        <f>IF(AK244="","",IF(VLOOKUP(AK244,'G-7 Rivers Data'!$AD$4:$AE$8,2,FALSE)=0,"Spatial Data Missing ⚠",VLOOKUP(AK244,'G-7 Rivers Data'!$AD$4:$AE$8,2,FALSE)))</f>
        <v/>
      </c>
      <c r="AM244" s="154"/>
      <c r="AN244" s="524" t="str">
        <f>IF(AM244="","",VLOOKUP(AM244,'G-7 Rivers Data'!$AO$4:$AP$7,2,FALSE))</f>
        <v/>
      </c>
      <c r="AO244" s="545" t="str">
        <f t="shared" si="31"/>
        <v/>
      </c>
      <c r="AP244" s="239"/>
      <c r="AQ244" s="240"/>
      <c r="AX244" s="31" t="str">
        <f>IFERROR(INDEX('G-7 Rivers Data'!$AZ$3:$AZ$7,MATCH(N244,'G-7 Rivers Data'!$AY$3:$AY$7,0)),"")</f>
        <v/>
      </c>
    </row>
    <row r="245" spans="2:50" ht="13.8" x14ac:dyDescent="0.25">
      <c r="B245" s="531" t="str">
        <f>'F-1 Off Site River Baseline'!AN243</f>
        <v/>
      </c>
      <c r="C245" s="520" t="str">
        <f>IF(B245="","",VLOOKUP($B245,'F-1 Off Site River Baseline'!$C$9:$R$257,2,FALSE))</f>
        <v/>
      </c>
      <c r="D245" s="520" t="str">
        <f>IF(C245="","",VLOOKUP($B245,'F-1 Off Site River Baseline'!$C$9:$R$257,3,FALSE))</f>
        <v/>
      </c>
      <c r="E245" s="520" t="str">
        <f>IF(D245="","",VLOOKUP($B245,'F-1 Off Site River Baseline'!$C$9:$R$257,4,FALSE))</f>
        <v/>
      </c>
      <c r="F245" s="520" t="str">
        <f>IF(E245="","",VLOOKUP($B245,'F-1 Off Site River Baseline'!$C$9:$R$257,5,FALSE))</f>
        <v/>
      </c>
      <c r="G245" s="520" t="str">
        <f>IF(F245="","",VLOOKUP($B245,'F-1 Off Site River Baseline'!$C$9:$R$257,6,FALSE))</f>
        <v/>
      </c>
      <c r="H245" s="520" t="str">
        <f>IF(G245="","",VLOOKUP($B245,'F-1 Off Site River Baseline'!$C$9:$R$257,7,FALSE))</f>
        <v/>
      </c>
      <c r="I245" s="520" t="str">
        <f>IF(H245="","",VLOOKUP($B245,'F-1 Off Site River Baseline'!$C$9:$R$257,8,FALSE))</f>
        <v/>
      </c>
      <c r="J245" s="520" t="str">
        <f>IF(I245="","",VLOOKUP($B245,'F-1 Off Site River Baseline'!$C$9:$R$257,9,FALSE))</f>
        <v/>
      </c>
      <c r="K245" s="520" t="str">
        <f>IF(J245="","",VLOOKUP($B245,'F-1 Off Site River Baseline'!$C$9:$R$257,10,FALSE))</f>
        <v/>
      </c>
      <c r="L245" s="520" t="str">
        <f>IF(B245="","",VLOOKUP($B245,'C-1 Site River Baseline'!$C$9:$R$257,15,FALSE))</f>
        <v/>
      </c>
      <c r="M245" s="524" t="str">
        <f>IF(L245="","",VLOOKUP($B245,'F-1 Off Site River Baseline'!$C$9:$R$257,16,FALSE))</f>
        <v/>
      </c>
      <c r="N245" s="418" t="str">
        <f t="shared" si="28"/>
        <v/>
      </c>
      <c r="O245" s="498" t="str">
        <f t="shared" si="29"/>
        <v/>
      </c>
      <c r="P245" s="499"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5" t="str">
        <f>IF(N245="","",VLOOKUP(B245,'F-1 Off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20" t="str">
        <f>IF(V245="","",IF(VLOOKUP(V245,'G-7 Rivers Data'!$AG$4:$AI$9,2,FALSE)=0,"Spatial Data Missing ⚠",VLOOKUP(V245,'G-7 Rivers Data'!$AG$4:$AI$9,2,FALSE)))</f>
        <v/>
      </c>
      <c r="X245" s="524" t="str">
        <f>IF(V245="","",IF(VLOOKUP(V245,'G-7 Rivers Data'!$AG$4:$AI$9,3,FALSE)=0,"Spatial Data Missing ⚠",VLOOKUP(V245,'G-7 Rivers Data'!$AG$4:$AI$9,3,FALSE)))</f>
        <v/>
      </c>
      <c r="Y245" s="537" t="str">
        <f>IFERROR(IF(OR(LEFT(P245,5)="Error ▲",LEFT(O245,5)="Error ▲"),"Check Data ⚠",IF(F245&lt;S245,'G-7 Rivers Data'!$R$3,INDEX('G-7 Rivers Data'!$U$5:$Y$9,MATCH(G245,'G-7 Rivers Data'!$T$5:$T$9,0),MATCH(T245,'G-7 Rivers Data'!$U$4:$Y$4,0)))),"")</f>
        <v/>
      </c>
      <c r="Z245" s="203"/>
      <c r="AA245" s="203"/>
      <c r="AB245" s="534" t="str">
        <f t="shared" si="24"/>
        <v/>
      </c>
      <c r="AC245" s="521" t="str">
        <f t="shared" si="25"/>
        <v/>
      </c>
      <c r="AD245" s="564" t="str">
        <f>IFERROR(IF(AC245="Check Data ⚠","Check Data ⚠",VLOOKUP(AC245,'G-4 Temporal multipliers'!$A$4:$C$37,3,FALSE)),"")</f>
        <v/>
      </c>
      <c r="AE245" s="537" t="str">
        <f>IF(N245="","",VLOOKUP(N245,'G-7 Rivers Data'!$B$4:$G$8,5,FALSE))</f>
        <v/>
      </c>
      <c r="AF245" s="520" t="str">
        <f t="shared" si="26"/>
        <v/>
      </c>
      <c r="AG245" s="520" t="str">
        <f t="shared" si="30"/>
        <v/>
      </c>
      <c r="AH245" s="524" t="str">
        <f t="shared" si="27"/>
        <v/>
      </c>
      <c r="AI245" s="145"/>
      <c r="AJ245" s="499" t="str">
        <f>IF(AI245="","",IF(VLOOKUP(AI245,'G-7 Rivers Data'!$AA$4:$AB$7,2,FALSE)=0,"Spatial Data Missing ⚠",VLOOKUP(AI245,'G-7 Rivers Data'!$AA$4:$AB$7,2,FALSE)))</f>
        <v/>
      </c>
      <c r="AK245" s="155"/>
      <c r="AL245" s="536" t="str">
        <f>IF(AK245="","",IF(VLOOKUP(AK245,'G-7 Rivers Data'!$AD$4:$AE$8,2,FALSE)=0,"Spatial Data Missing ⚠",VLOOKUP(AK245,'G-7 Rivers Data'!$AD$4:$AE$8,2,FALSE)))</f>
        <v/>
      </c>
      <c r="AM245" s="154"/>
      <c r="AN245" s="524" t="str">
        <f>IF(AM245="","",VLOOKUP(AM245,'G-7 Rivers Data'!$AO$4:$AP$7,2,FALSE))</f>
        <v/>
      </c>
      <c r="AO245" s="545" t="str">
        <f t="shared" si="31"/>
        <v/>
      </c>
      <c r="AP245" s="239"/>
      <c r="AQ245" s="240"/>
      <c r="AX245" s="31" t="str">
        <f>IFERROR(INDEX('G-7 Rivers Data'!$AZ$3:$AZ$7,MATCH(N245,'G-7 Rivers Data'!$AY$3:$AY$7,0)),"")</f>
        <v/>
      </c>
    </row>
    <row r="246" spans="2:50" ht="13.8" x14ac:dyDescent="0.25">
      <c r="B246" s="531" t="str">
        <f>'F-1 Off Site River Baseline'!AN244</f>
        <v/>
      </c>
      <c r="C246" s="520" t="str">
        <f>IF(B246="","",VLOOKUP($B246,'F-1 Off Site River Baseline'!$C$9:$R$257,2,FALSE))</f>
        <v/>
      </c>
      <c r="D246" s="520" t="str">
        <f>IF(C246="","",VLOOKUP($B246,'F-1 Off Site River Baseline'!$C$9:$R$257,3,FALSE))</f>
        <v/>
      </c>
      <c r="E246" s="520" t="str">
        <f>IF(D246="","",VLOOKUP($B246,'F-1 Off Site River Baseline'!$C$9:$R$257,4,FALSE))</f>
        <v/>
      </c>
      <c r="F246" s="520" t="str">
        <f>IF(E246="","",VLOOKUP($B246,'F-1 Off Site River Baseline'!$C$9:$R$257,5,FALSE))</f>
        <v/>
      </c>
      <c r="G246" s="520" t="str">
        <f>IF(F246="","",VLOOKUP($B246,'F-1 Off Site River Baseline'!$C$9:$R$257,6,FALSE))</f>
        <v/>
      </c>
      <c r="H246" s="520" t="str">
        <f>IF(G246="","",VLOOKUP($B246,'F-1 Off Site River Baseline'!$C$9:$R$257,7,FALSE))</f>
        <v/>
      </c>
      <c r="I246" s="520" t="str">
        <f>IF(H246="","",VLOOKUP($B246,'F-1 Off Site River Baseline'!$C$9:$R$257,8,FALSE))</f>
        <v/>
      </c>
      <c r="J246" s="520" t="str">
        <f>IF(I246="","",VLOOKUP($B246,'F-1 Off Site River Baseline'!$C$9:$R$257,9,FALSE))</f>
        <v/>
      </c>
      <c r="K246" s="520" t="str">
        <f>IF(J246="","",VLOOKUP($B246,'F-1 Off Site River Baseline'!$C$9:$R$257,10,FALSE))</f>
        <v/>
      </c>
      <c r="L246" s="520" t="str">
        <f>IF(B246="","",VLOOKUP($B246,'C-1 Site River Baseline'!$C$9:$R$257,15,FALSE))</f>
        <v/>
      </c>
      <c r="M246" s="524" t="str">
        <f>IF(L246="","",VLOOKUP($B246,'F-1 Off Site River Baseline'!$C$9:$R$257,16,FALSE))</f>
        <v/>
      </c>
      <c r="N246" s="418" t="str">
        <f t="shared" si="28"/>
        <v/>
      </c>
      <c r="O246" s="498" t="str">
        <f t="shared" si="29"/>
        <v/>
      </c>
      <c r="P246" s="499"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5" t="str">
        <f>IF(N246="","",VLOOKUP(B246,'F-1 Off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20" t="str">
        <f>IF(V246="","",IF(VLOOKUP(V246,'G-7 Rivers Data'!$AG$4:$AI$9,2,FALSE)=0,"Spatial Data Missing ⚠",VLOOKUP(V246,'G-7 Rivers Data'!$AG$4:$AI$9,2,FALSE)))</f>
        <v/>
      </c>
      <c r="X246" s="524" t="str">
        <f>IF(V246="","",IF(VLOOKUP(V246,'G-7 Rivers Data'!$AG$4:$AI$9,3,FALSE)=0,"Spatial Data Missing ⚠",VLOOKUP(V246,'G-7 Rivers Data'!$AG$4:$AI$9,3,FALSE)))</f>
        <v/>
      </c>
      <c r="Y246" s="537" t="str">
        <f>IFERROR(IF(OR(LEFT(P246,5)="Error ▲",LEFT(O246,5)="Error ▲"),"Check Data ⚠",IF(F246&lt;S246,'G-7 Rivers Data'!$R$3,INDEX('G-7 Rivers Data'!$U$5:$Y$9,MATCH(G246,'G-7 Rivers Data'!$T$5:$T$9,0),MATCH(T246,'G-7 Rivers Data'!$U$4:$Y$4,0)))),"")</f>
        <v/>
      </c>
      <c r="Z246" s="203"/>
      <c r="AA246" s="203"/>
      <c r="AB246" s="534" t="str">
        <f t="shared" si="24"/>
        <v/>
      </c>
      <c r="AC246" s="521" t="str">
        <f t="shared" si="25"/>
        <v/>
      </c>
      <c r="AD246" s="564" t="str">
        <f>IFERROR(IF(AC246="Check Data ⚠","Check Data ⚠",VLOOKUP(AC246,'G-4 Temporal multipliers'!$A$4:$C$37,3,FALSE)),"")</f>
        <v/>
      </c>
      <c r="AE246" s="537" t="str">
        <f>IF(N246="","",VLOOKUP(N246,'G-7 Rivers Data'!$B$4:$G$8,5,FALSE))</f>
        <v/>
      </c>
      <c r="AF246" s="520" t="str">
        <f t="shared" si="26"/>
        <v/>
      </c>
      <c r="AG246" s="520" t="str">
        <f t="shared" si="30"/>
        <v/>
      </c>
      <c r="AH246" s="524" t="str">
        <f t="shared" si="27"/>
        <v/>
      </c>
      <c r="AI246" s="145"/>
      <c r="AJ246" s="499" t="str">
        <f>IF(AI246="","",IF(VLOOKUP(AI246,'G-7 Rivers Data'!$AA$4:$AB$7,2,FALSE)=0,"Spatial Data Missing ⚠",VLOOKUP(AI246,'G-7 Rivers Data'!$AA$4:$AB$7,2,FALSE)))</f>
        <v/>
      </c>
      <c r="AK246" s="155"/>
      <c r="AL246" s="536" t="str">
        <f>IF(AK246="","",IF(VLOOKUP(AK246,'G-7 Rivers Data'!$AD$4:$AE$8,2,FALSE)=0,"Spatial Data Missing ⚠",VLOOKUP(AK246,'G-7 Rivers Data'!$AD$4:$AE$8,2,FALSE)))</f>
        <v/>
      </c>
      <c r="AM246" s="154"/>
      <c r="AN246" s="524" t="str">
        <f>IF(AM246="","",VLOOKUP(AM246,'G-7 Rivers Data'!$AO$4:$AP$7,2,FALSE))</f>
        <v/>
      </c>
      <c r="AO246" s="545" t="str">
        <f t="shared" si="31"/>
        <v/>
      </c>
      <c r="AP246" s="239"/>
      <c r="AQ246" s="240"/>
      <c r="AX246" s="31" t="str">
        <f>IFERROR(INDEX('G-7 Rivers Data'!$AZ$3:$AZ$7,MATCH(N246,'G-7 Rivers Data'!$AY$3:$AY$7,0)),"")</f>
        <v/>
      </c>
    </row>
    <row r="247" spans="2:50" ht="13.8" x14ac:dyDescent="0.25">
      <c r="B247" s="531" t="str">
        <f>'F-1 Off Site River Baseline'!AN245</f>
        <v/>
      </c>
      <c r="C247" s="520" t="str">
        <f>IF(B247="","",VLOOKUP($B247,'F-1 Off Site River Baseline'!$C$9:$R$257,2,FALSE))</f>
        <v/>
      </c>
      <c r="D247" s="520" t="str">
        <f>IF(C247="","",VLOOKUP($B247,'F-1 Off Site River Baseline'!$C$9:$R$257,3,FALSE))</f>
        <v/>
      </c>
      <c r="E247" s="520" t="str">
        <f>IF(D247="","",VLOOKUP($B247,'F-1 Off Site River Baseline'!$C$9:$R$257,4,FALSE))</f>
        <v/>
      </c>
      <c r="F247" s="520" t="str">
        <f>IF(E247="","",VLOOKUP($B247,'F-1 Off Site River Baseline'!$C$9:$R$257,5,FALSE))</f>
        <v/>
      </c>
      <c r="G247" s="520" t="str">
        <f>IF(F247="","",VLOOKUP($B247,'F-1 Off Site River Baseline'!$C$9:$R$257,6,FALSE))</f>
        <v/>
      </c>
      <c r="H247" s="520" t="str">
        <f>IF(G247="","",VLOOKUP($B247,'F-1 Off Site River Baseline'!$C$9:$R$257,7,FALSE))</f>
        <v/>
      </c>
      <c r="I247" s="520" t="str">
        <f>IF(H247="","",VLOOKUP($B247,'F-1 Off Site River Baseline'!$C$9:$R$257,8,FALSE))</f>
        <v/>
      </c>
      <c r="J247" s="520" t="str">
        <f>IF(I247="","",VLOOKUP($B247,'F-1 Off Site River Baseline'!$C$9:$R$257,9,FALSE))</f>
        <v/>
      </c>
      <c r="K247" s="520" t="str">
        <f>IF(J247="","",VLOOKUP($B247,'F-1 Off Site River Baseline'!$C$9:$R$257,10,FALSE))</f>
        <v/>
      </c>
      <c r="L247" s="520" t="str">
        <f>IF(B247="","",VLOOKUP($B247,'C-1 Site River Baseline'!$C$9:$R$257,15,FALSE))</f>
        <v/>
      </c>
      <c r="M247" s="524" t="str">
        <f>IF(L247="","",VLOOKUP($B247,'F-1 Off Site River Baseline'!$C$9:$R$257,16,FALSE))</f>
        <v/>
      </c>
      <c r="N247" s="418" t="str">
        <f t="shared" si="28"/>
        <v/>
      </c>
      <c r="O247" s="498" t="str">
        <f t="shared" si="29"/>
        <v/>
      </c>
      <c r="P247" s="499"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5" t="str">
        <f>IF(N247="","",VLOOKUP(B247,'F-1 Off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20" t="str">
        <f>IF(V247="","",IF(VLOOKUP(V247,'G-7 Rivers Data'!$AG$4:$AI$9,2,FALSE)=0,"Spatial Data Missing ⚠",VLOOKUP(V247,'G-7 Rivers Data'!$AG$4:$AI$9,2,FALSE)))</f>
        <v/>
      </c>
      <c r="X247" s="524" t="str">
        <f>IF(V247="","",IF(VLOOKUP(V247,'G-7 Rivers Data'!$AG$4:$AI$9,3,FALSE)=0,"Spatial Data Missing ⚠",VLOOKUP(V247,'G-7 Rivers Data'!$AG$4:$AI$9,3,FALSE)))</f>
        <v/>
      </c>
      <c r="Y247" s="537" t="str">
        <f>IFERROR(IF(OR(LEFT(P247,5)="Error ▲",LEFT(O247,5)="Error ▲"),"Check Data ⚠",IF(F247&lt;S247,'G-7 Rivers Data'!$R$3,INDEX('G-7 Rivers Data'!$U$5:$Y$9,MATCH(G247,'G-7 Rivers Data'!$T$5:$T$9,0),MATCH(T247,'G-7 Rivers Data'!$U$4:$Y$4,0)))),"")</f>
        <v/>
      </c>
      <c r="Z247" s="203"/>
      <c r="AA247" s="203"/>
      <c r="AB247" s="534" t="str">
        <f t="shared" si="24"/>
        <v/>
      </c>
      <c r="AC247" s="521" t="str">
        <f t="shared" si="25"/>
        <v/>
      </c>
      <c r="AD247" s="564" t="str">
        <f>IFERROR(IF(AC247="Check Data ⚠","Check Data ⚠",VLOOKUP(AC247,'G-4 Temporal multipliers'!$A$4:$C$37,3,FALSE)),"")</f>
        <v/>
      </c>
      <c r="AE247" s="537" t="str">
        <f>IF(N247="","",VLOOKUP(N247,'G-7 Rivers Data'!$B$4:$G$8,5,FALSE))</f>
        <v/>
      </c>
      <c r="AF247" s="520" t="str">
        <f t="shared" si="26"/>
        <v/>
      </c>
      <c r="AG247" s="520" t="str">
        <f t="shared" si="30"/>
        <v/>
      </c>
      <c r="AH247" s="524" t="str">
        <f t="shared" si="27"/>
        <v/>
      </c>
      <c r="AI247" s="145"/>
      <c r="AJ247" s="499" t="str">
        <f>IF(AI247="","",IF(VLOOKUP(AI247,'G-7 Rivers Data'!$AA$4:$AB$7,2,FALSE)=0,"Spatial Data Missing ⚠",VLOOKUP(AI247,'G-7 Rivers Data'!$AA$4:$AB$7,2,FALSE)))</f>
        <v/>
      </c>
      <c r="AK247" s="155"/>
      <c r="AL247" s="536" t="str">
        <f>IF(AK247="","",IF(VLOOKUP(AK247,'G-7 Rivers Data'!$AD$4:$AE$8,2,FALSE)=0,"Spatial Data Missing ⚠",VLOOKUP(AK247,'G-7 Rivers Data'!$AD$4:$AE$8,2,FALSE)))</f>
        <v/>
      </c>
      <c r="AM247" s="154"/>
      <c r="AN247" s="524" t="str">
        <f>IF(AM247="","",VLOOKUP(AM247,'G-7 Rivers Data'!$AO$4:$AP$7,2,FALSE))</f>
        <v/>
      </c>
      <c r="AO247" s="545" t="str">
        <f t="shared" si="31"/>
        <v/>
      </c>
      <c r="AP247" s="239"/>
      <c r="AQ247" s="240"/>
      <c r="AX247" s="31" t="str">
        <f>IFERROR(INDEX('G-7 Rivers Data'!$AZ$3:$AZ$7,MATCH(N247,'G-7 Rivers Data'!$AY$3:$AY$7,0)),"")</f>
        <v/>
      </c>
    </row>
    <row r="248" spans="2:50" ht="13.8" x14ac:dyDescent="0.25">
      <c r="B248" s="531" t="str">
        <f>'F-1 Off Site River Baseline'!AN246</f>
        <v/>
      </c>
      <c r="C248" s="520" t="str">
        <f>IF(B248="","",VLOOKUP($B248,'F-1 Off Site River Baseline'!$C$9:$R$257,2,FALSE))</f>
        <v/>
      </c>
      <c r="D248" s="520" t="str">
        <f>IF(C248="","",VLOOKUP($B248,'F-1 Off Site River Baseline'!$C$9:$R$257,3,FALSE))</f>
        <v/>
      </c>
      <c r="E248" s="520" t="str">
        <f>IF(D248="","",VLOOKUP($B248,'F-1 Off Site River Baseline'!$C$9:$R$257,4,FALSE))</f>
        <v/>
      </c>
      <c r="F248" s="520" t="str">
        <f>IF(E248="","",VLOOKUP($B248,'F-1 Off Site River Baseline'!$C$9:$R$257,5,FALSE))</f>
        <v/>
      </c>
      <c r="G248" s="520" t="str">
        <f>IF(F248="","",VLOOKUP($B248,'F-1 Off Site River Baseline'!$C$9:$R$257,6,FALSE))</f>
        <v/>
      </c>
      <c r="H248" s="520" t="str">
        <f>IF(G248="","",VLOOKUP($B248,'F-1 Off Site River Baseline'!$C$9:$R$257,7,FALSE))</f>
        <v/>
      </c>
      <c r="I248" s="520" t="str">
        <f>IF(H248="","",VLOOKUP($B248,'F-1 Off Site River Baseline'!$C$9:$R$257,8,FALSE))</f>
        <v/>
      </c>
      <c r="J248" s="520" t="str">
        <f>IF(I248="","",VLOOKUP($B248,'F-1 Off Site River Baseline'!$C$9:$R$257,9,FALSE))</f>
        <v/>
      </c>
      <c r="K248" s="520" t="str">
        <f>IF(J248="","",VLOOKUP($B248,'F-1 Off Site River Baseline'!$C$9:$R$257,10,FALSE))</f>
        <v/>
      </c>
      <c r="L248" s="520" t="str">
        <f>IF(B248="","",VLOOKUP($B248,'C-1 Site River Baseline'!$C$9:$R$257,15,FALSE))</f>
        <v/>
      </c>
      <c r="M248" s="524" t="str">
        <f>IF(L248="","",VLOOKUP($B248,'F-1 Off Site River Baseline'!$C$9:$R$257,16,FALSE))</f>
        <v/>
      </c>
      <c r="N248" s="418" t="str">
        <f t="shared" si="28"/>
        <v/>
      </c>
      <c r="O248" s="498" t="str">
        <f t="shared" si="29"/>
        <v/>
      </c>
      <c r="P248" s="499"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5" t="str">
        <f>IF(N248="","",VLOOKUP(B248,'F-1 Off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20" t="str">
        <f>IF(V248="","",IF(VLOOKUP(V248,'G-7 Rivers Data'!$AG$4:$AI$9,2,FALSE)=0,"Spatial Data Missing ⚠",VLOOKUP(V248,'G-7 Rivers Data'!$AG$4:$AI$9,2,FALSE)))</f>
        <v/>
      </c>
      <c r="X248" s="524" t="str">
        <f>IF(V248="","",IF(VLOOKUP(V248,'G-7 Rivers Data'!$AG$4:$AI$9,3,FALSE)=0,"Spatial Data Missing ⚠",VLOOKUP(V248,'G-7 Rivers Data'!$AG$4:$AI$9,3,FALSE)))</f>
        <v/>
      </c>
      <c r="Y248" s="537" t="str">
        <f>IFERROR(IF(OR(LEFT(P248,5)="Error ▲",LEFT(O248,5)="Error ▲"),"Check Data ⚠",IF(F248&lt;S248,'G-7 Rivers Data'!$R$3,INDEX('G-7 Rivers Data'!$U$5:$Y$9,MATCH(G248,'G-7 Rivers Data'!$T$5:$T$9,0),MATCH(T248,'G-7 Rivers Data'!$U$4:$Y$4,0)))),"")</f>
        <v/>
      </c>
      <c r="Z248" s="203"/>
      <c r="AA248" s="203"/>
      <c r="AB248" s="534" t="str">
        <f t="shared" si="24"/>
        <v/>
      </c>
      <c r="AC248" s="521" t="str">
        <f t="shared" si="25"/>
        <v/>
      </c>
      <c r="AD248" s="564" t="str">
        <f>IFERROR(IF(AC248="Check Data ⚠","Check Data ⚠",VLOOKUP(AC248,'G-4 Temporal multipliers'!$A$4:$C$37,3,FALSE)),"")</f>
        <v/>
      </c>
      <c r="AE248" s="537" t="str">
        <f>IF(N248="","",VLOOKUP(N248,'G-7 Rivers Data'!$B$4:$G$8,5,FALSE))</f>
        <v/>
      </c>
      <c r="AF248" s="520" t="str">
        <f t="shared" si="26"/>
        <v/>
      </c>
      <c r="AG248" s="520" t="str">
        <f t="shared" si="30"/>
        <v/>
      </c>
      <c r="AH248" s="524" t="str">
        <f t="shared" si="27"/>
        <v/>
      </c>
      <c r="AI248" s="145"/>
      <c r="AJ248" s="499" t="str">
        <f>IF(AI248="","",IF(VLOOKUP(AI248,'G-7 Rivers Data'!$AA$4:$AB$7,2,FALSE)=0,"Spatial Data Missing ⚠",VLOOKUP(AI248,'G-7 Rivers Data'!$AA$4:$AB$7,2,FALSE)))</f>
        <v/>
      </c>
      <c r="AK248" s="155"/>
      <c r="AL248" s="536" t="str">
        <f>IF(AK248="","",IF(VLOOKUP(AK248,'G-7 Rivers Data'!$AD$4:$AE$8,2,FALSE)=0,"Spatial Data Missing ⚠",VLOOKUP(AK248,'G-7 Rivers Data'!$AD$4:$AE$8,2,FALSE)))</f>
        <v/>
      </c>
      <c r="AM248" s="154"/>
      <c r="AN248" s="524" t="str">
        <f>IF(AM248="","",VLOOKUP(AM248,'G-7 Rivers Data'!$AO$4:$AP$7,2,FALSE))</f>
        <v/>
      </c>
      <c r="AO248" s="545" t="str">
        <f t="shared" si="31"/>
        <v/>
      </c>
      <c r="AP248" s="239"/>
      <c r="AQ248" s="240"/>
      <c r="AX248" s="31" t="str">
        <f>IFERROR(INDEX('G-7 Rivers Data'!$AZ$3:$AZ$7,MATCH(N248,'G-7 Rivers Data'!$AY$3:$AY$7,0)),"")</f>
        <v/>
      </c>
    </row>
    <row r="249" spans="2:50" ht="13.8" x14ac:dyDescent="0.25">
      <c r="B249" s="531" t="str">
        <f>'F-1 Off Site River Baseline'!AN247</f>
        <v/>
      </c>
      <c r="C249" s="520" t="str">
        <f>IF(B249="","",VLOOKUP($B249,'F-1 Off Site River Baseline'!$C$9:$R$257,2,FALSE))</f>
        <v/>
      </c>
      <c r="D249" s="520" t="str">
        <f>IF(C249="","",VLOOKUP($B249,'F-1 Off Site River Baseline'!$C$9:$R$257,3,FALSE))</f>
        <v/>
      </c>
      <c r="E249" s="520" t="str">
        <f>IF(D249="","",VLOOKUP($B249,'F-1 Off Site River Baseline'!$C$9:$R$257,4,FALSE))</f>
        <v/>
      </c>
      <c r="F249" s="520" t="str">
        <f>IF(E249="","",VLOOKUP($B249,'F-1 Off Site River Baseline'!$C$9:$R$257,5,FALSE))</f>
        <v/>
      </c>
      <c r="G249" s="520" t="str">
        <f>IF(F249="","",VLOOKUP($B249,'F-1 Off Site River Baseline'!$C$9:$R$257,6,FALSE))</f>
        <v/>
      </c>
      <c r="H249" s="520" t="str">
        <f>IF(G249="","",VLOOKUP($B249,'F-1 Off Site River Baseline'!$C$9:$R$257,7,FALSE))</f>
        <v/>
      </c>
      <c r="I249" s="520" t="str">
        <f>IF(H249="","",VLOOKUP($B249,'F-1 Off Site River Baseline'!$C$9:$R$257,8,FALSE))</f>
        <v/>
      </c>
      <c r="J249" s="520" t="str">
        <f>IF(I249="","",VLOOKUP($B249,'F-1 Off Site River Baseline'!$C$9:$R$257,9,FALSE))</f>
        <v/>
      </c>
      <c r="K249" s="520" t="str">
        <f>IF(J249="","",VLOOKUP($B249,'F-1 Off Site River Baseline'!$C$9:$R$257,10,FALSE))</f>
        <v/>
      </c>
      <c r="L249" s="520" t="str">
        <f>IF(B249="","",VLOOKUP($B249,'C-1 Site River Baseline'!$C$9:$R$257,15,FALSE))</f>
        <v/>
      </c>
      <c r="M249" s="524" t="str">
        <f>IF(L249="","",VLOOKUP($B249,'F-1 Off Site River Baseline'!$C$9:$R$257,16,FALSE))</f>
        <v/>
      </c>
      <c r="N249" s="418" t="str">
        <f t="shared" si="28"/>
        <v/>
      </c>
      <c r="O249" s="498" t="str">
        <f t="shared" si="29"/>
        <v/>
      </c>
      <c r="P249" s="499"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5" t="str">
        <f>IF(N249="","",VLOOKUP(B249,'F-1 Off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20" t="str">
        <f>IF(V249="","",IF(VLOOKUP(V249,'G-7 Rivers Data'!$AG$4:$AI$9,2,FALSE)=0,"Spatial Data Missing ⚠",VLOOKUP(V249,'G-7 Rivers Data'!$AG$4:$AI$9,2,FALSE)))</f>
        <v/>
      </c>
      <c r="X249" s="524" t="str">
        <f>IF(V249="","",IF(VLOOKUP(V249,'G-7 Rivers Data'!$AG$4:$AI$9,3,FALSE)=0,"Spatial Data Missing ⚠",VLOOKUP(V249,'G-7 Rivers Data'!$AG$4:$AI$9,3,FALSE)))</f>
        <v/>
      </c>
      <c r="Y249" s="537" t="str">
        <f>IFERROR(IF(OR(LEFT(P249,5)="Error ▲",LEFT(O249,5)="Error ▲"),"Check Data ⚠",IF(F249&lt;S249,'G-7 Rivers Data'!$R$3,INDEX('G-7 Rivers Data'!$U$5:$Y$9,MATCH(G249,'G-7 Rivers Data'!$T$5:$T$9,0),MATCH(T249,'G-7 Rivers Data'!$U$4:$Y$4,0)))),"")</f>
        <v/>
      </c>
      <c r="Z249" s="203"/>
      <c r="AA249" s="203"/>
      <c r="AB249" s="534" t="str">
        <f t="shared" si="24"/>
        <v/>
      </c>
      <c r="AC249" s="521" t="str">
        <f t="shared" si="25"/>
        <v/>
      </c>
      <c r="AD249" s="564" t="str">
        <f>IFERROR(IF(AC249="Check Data ⚠","Check Data ⚠",VLOOKUP(AC249,'G-4 Temporal multipliers'!$A$4:$C$37,3,FALSE)),"")</f>
        <v/>
      </c>
      <c r="AE249" s="537" t="str">
        <f>IF(N249="","",VLOOKUP(N249,'G-7 Rivers Data'!$B$4:$G$8,5,FALSE))</f>
        <v/>
      </c>
      <c r="AF249" s="520" t="str">
        <f t="shared" si="26"/>
        <v/>
      </c>
      <c r="AG249" s="520" t="str">
        <f t="shared" si="30"/>
        <v/>
      </c>
      <c r="AH249" s="524" t="str">
        <f t="shared" si="27"/>
        <v/>
      </c>
      <c r="AI249" s="145"/>
      <c r="AJ249" s="499" t="str">
        <f>IF(AI249="","",IF(VLOOKUP(AI249,'G-7 Rivers Data'!$AA$4:$AB$7,2,FALSE)=0,"Spatial Data Missing ⚠",VLOOKUP(AI249,'G-7 Rivers Data'!$AA$4:$AB$7,2,FALSE)))</f>
        <v/>
      </c>
      <c r="AK249" s="155"/>
      <c r="AL249" s="536" t="str">
        <f>IF(AK249="","",IF(VLOOKUP(AK249,'G-7 Rivers Data'!$AD$4:$AE$8,2,FALSE)=0,"Spatial Data Missing ⚠",VLOOKUP(AK249,'G-7 Rivers Data'!$AD$4:$AE$8,2,FALSE)))</f>
        <v/>
      </c>
      <c r="AM249" s="154"/>
      <c r="AN249" s="524" t="str">
        <f>IF(AM249="","",VLOOKUP(AM249,'G-7 Rivers Data'!$AO$4:$AP$7,2,FALSE))</f>
        <v/>
      </c>
      <c r="AO249" s="545" t="str">
        <f t="shared" si="31"/>
        <v/>
      </c>
      <c r="AP249" s="239"/>
      <c r="AQ249" s="240"/>
      <c r="AX249" s="31" t="str">
        <f>IFERROR(INDEX('G-7 Rivers Data'!$AZ$3:$AZ$7,MATCH(N249,'G-7 Rivers Data'!$AY$3:$AY$7,0)),"")</f>
        <v/>
      </c>
    </row>
    <row r="250" spans="2:50" ht="13.8" x14ac:dyDescent="0.25">
      <c r="B250" s="531" t="str">
        <f>'F-1 Off Site River Baseline'!AN248</f>
        <v/>
      </c>
      <c r="C250" s="520" t="str">
        <f>IF(B250="","",VLOOKUP($B250,'F-1 Off Site River Baseline'!$C$9:$R$257,2,FALSE))</f>
        <v/>
      </c>
      <c r="D250" s="520" t="str">
        <f>IF(C250="","",VLOOKUP($B250,'F-1 Off Site River Baseline'!$C$9:$R$257,3,FALSE))</f>
        <v/>
      </c>
      <c r="E250" s="520" t="str">
        <f>IF(D250="","",VLOOKUP($B250,'F-1 Off Site River Baseline'!$C$9:$R$257,4,FALSE))</f>
        <v/>
      </c>
      <c r="F250" s="520" t="str">
        <f>IF(E250="","",VLOOKUP($B250,'F-1 Off Site River Baseline'!$C$9:$R$257,5,FALSE))</f>
        <v/>
      </c>
      <c r="G250" s="520" t="str">
        <f>IF(F250="","",VLOOKUP($B250,'F-1 Off Site River Baseline'!$C$9:$R$257,6,FALSE))</f>
        <v/>
      </c>
      <c r="H250" s="520" t="str">
        <f>IF(G250="","",VLOOKUP($B250,'F-1 Off Site River Baseline'!$C$9:$R$257,7,FALSE))</f>
        <v/>
      </c>
      <c r="I250" s="520" t="str">
        <f>IF(H250="","",VLOOKUP($B250,'F-1 Off Site River Baseline'!$C$9:$R$257,8,FALSE))</f>
        <v/>
      </c>
      <c r="J250" s="520" t="str">
        <f>IF(I250="","",VLOOKUP($B250,'F-1 Off Site River Baseline'!$C$9:$R$257,9,FALSE))</f>
        <v/>
      </c>
      <c r="K250" s="520" t="str">
        <f>IF(J250="","",VLOOKUP($B250,'F-1 Off Site River Baseline'!$C$9:$R$257,10,FALSE))</f>
        <v/>
      </c>
      <c r="L250" s="520" t="str">
        <f>IF(B250="","",VLOOKUP($B250,'C-1 Site River Baseline'!$C$9:$R$257,15,FALSE))</f>
        <v/>
      </c>
      <c r="M250" s="524" t="str">
        <f>IF(L250="","",VLOOKUP($B250,'F-1 Off Site River Baseline'!$C$9:$R$257,16,FALSE))</f>
        <v/>
      </c>
      <c r="N250" s="418" t="str">
        <f t="shared" si="28"/>
        <v/>
      </c>
      <c r="O250" s="498" t="str">
        <f t="shared" si="29"/>
        <v/>
      </c>
      <c r="P250" s="499"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5" t="str">
        <f>IF(N250="","",VLOOKUP(B250,'F-1 Off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20" t="str">
        <f>IF(V250="","",IF(VLOOKUP(V250,'G-7 Rivers Data'!$AG$4:$AI$9,2,FALSE)=0,"Spatial Data Missing ⚠",VLOOKUP(V250,'G-7 Rivers Data'!$AG$4:$AI$9,2,FALSE)))</f>
        <v/>
      </c>
      <c r="X250" s="524" t="str">
        <f>IF(V250="","",IF(VLOOKUP(V250,'G-7 Rivers Data'!$AG$4:$AI$9,3,FALSE)=0,"Spatial Data Missing ⚠",VLOOKUP(V250,'G-7 Rivers Data'!$AG$4:$AI$9,3,FALSE)))</f>
        <v/>
      </c>
      <c r="Y250" s="537" t="str">
        <f>IFERROR(IF(OR(LEFT(P250,5)="Error ▲",LEFT(O250,5)="Error ▲"),"Check Data ⚠",IF(F250&lt;S250,'G-7 Rivers Data'!$R$3,INDEX('G-7 Rivers Data'!$U$5:$Y$9,MATCH(G250,'G-7 Rivers Data'!$T$5:$T$9,0),MATCH(T250,'G-7 Rivers Data'!$U$4:$Y$4,0)))),"")</f>
        <v/>
      </c>
      <c r="Z250" s="203"/>
      <c r="AA250" s="203"/>
      <c r="AB250" s="534" t="str">
        <f t="shared" si="24"/>
        <v/>
      </c>
      <c r="AC250" s="521" t="str">
        <f t="shared" si="25"/>
        <v/>
      </c>
      <c r="AD250" s="564" t="str">
        <f>IFERROR(IF(AC250="Check Data ⚠","Check Data ⚠",VLOOKUP(AC250,'G-4 Temporal multipliers'!$A$4:$C$37,3,FALSE)),"")</f>
        <v/>
      </c>
      <c r="AE250" s="537" t="str">
        <f>IF(N250="","",VLOOKUP(N250,'G-7 Rivers Data'!$B$4:$G$8,5,FALSE))</f>
        <v/>
      </c>
      <c r="AF250" s="520" t="str">
        <f t="shared" si="26"/>
        <v/>
      </c>
      <c r="AG250" s="520" t="str">
        <f t="shared" si="30"/>
        <v/>
      </c>
      <c r="AH250" s="524" t="str">
        <f t="shared" si="27"/>
        <v/>
      </c>
      <c r="AI250" s="145"/>
      <c r="AJ250" s="499" t="str">
        <f>IF(AI250="","",IF(VLOOKUP(AI250,'G-7 Rivers Data'!$AA$4:$AB$7,2,FALSE)=0,"Spatial Data Missing ⚠",VLOOKUP(AI250,'G-7 Rivers Data'!$AA$4:$AB$7,2,FALSE)))</f>
        <v/>
      </c>
      <c r="AK250" s="155"/>
      <c r="AL250" s="536" t="str">
        <f>IF(AK250="","",IF(VLOOKUP(AK250,'G-7 Rivers Data'!$AD$4:$AE$8,2,FALSE)=0,"Spatial Data Missing ⚠",VLOOKUP(AK250,'G-7 Rivers Data'!$AD$4:$AE$8,2,FALSE)))</f>
        <v/>
      </c>
      <c r="AM250" s="154"/>
      <c r="AN250" s="524" t="str">
        <f>IF(AM250="","",VLOOKUP(AM250,'G-7 Rivers Data'!$AO$4:$AP$7,2,FALSE))</f>
        <v/>
      </c>
      <c r="AO250" s="545" t="str">
        <f t="shared" si="31"/>
        <v/>
      </c>
      <c r="AP250" s="239"/>
      <c r="AQ250" s="240"/>
      <c r="AX250" s="31" t="str">
        <f>IFERROR(INDEX('G-7 Rivers Data'!$AZ$3:$AZ$7,MATCH(N250,'G-7 Rivers Data'!$AY$3:$AY$7,0)),"")</f>
        <v/>
      </c>
    </row>
    <row r="251" spans="2:50" ht="13.8" x14ac:dyDescent="0.25">
      <c r="B251" s="531" t="str">
        <f>'F-1 Off Site River Baseline'!AN249</f>
        <v/>
      </c>
      <c r="C251" s="520" t="str">
        <f>IF(B251="","",VLOOKUP($B251,'F-1 Off Site River Baseline'!$C$9:$R$257,2,FALSE))</f>
        <v/>
      </c>
      <c r="D251" s="520" t="str">
        <f>IF(C251="","",VLOOKUP($B251,'F-1 Off Site River Baseline'!$C$9:$R$257,3,FALSE))</f>
        <v/>
      </c>
      <c r="E251" s="520" t="str">
        <f>IF(D251="","",VLOOKUP($B251,'F-1 Off Site River Baseline'!$C$9:$R$257,4,FALSE))</f>
        <v/>
      </c>
      <c r="F251" s="520" t="str">
        <f>IF(E251="","",VLOOKUP($B251,'F-1 Off Site River Baseline'!$C$9:$R$257,5,FALSE))</f>
        <v/>
      </c>
      <c r="G251" s="520" t="str">
        <f>IF(F251="","",VLOOKUP($B251,'F-1 Off Site River Baseline'!$C$9:$R$257,6,FALSE))</f>
        <v/>
      </c>
      <c r="H251" s="520" t="str">
        <f>IF(G251="","",VLOOKUP($B251,'F-1 Off Site River Baseline'!$C$9:$R$257,7,FALSE))</f>
        <v/>
      </c>
      <c r="I251" s="520" t="str">
        <f>IF(H251="","",VLOOKUP($B251,'F-1 Off Site River Baseline'!$C$9:$R$257,8,FALSE))</f>
        <v/>
      </c>
      <c r="J251" s="520" t="str">
        <f>IF(I251="","",VLOOKUP($B251,'F-1 Off Site River Baseline'!$C$9:$R$257,9,FALSE))</f>
        <v/>
      </c>
      <c r="K251" s="520" t="str">
        <f>IF(J251="","",VLOOKUP($B251,'F-1 Off Site River Baseline'!$C$9:$R$257,10,FALSE))</f>
        <v/>
      </c>
      <c r="L251" s="520" t="str">
        <f>IF(B251="","",VLOOKUP($B251,'C-1 Site River Baseline'!$C$9:$R$257,15,FALSE))</f>
        <v/>
      </c>
      <c r="M251" s="524" t="str">
        <f>IF(L251="","",VLOOKUP($B251,'F-1 Off Site River Baseline'!$C$9:$R$257,16,FALSE))</f>
        <v/>
      </c>
      <c r="N251" s="418" t="str">
        <f t="shared" si="28"/>
        <v/>
      </c>
      <c r="O251" s="498" t="str">
        <f t="shared" si="29"/>
        <v/>
      </c>
      <c r="P251" s="499"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5" t="str">
        <f>IF(N251="","",VLOOKUP(B251,'F-1 Off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20" t="str">
        <f>IF(V251="","",IF(VLOOKUP(V251,'G-7 Rivers Data'!$AG$4:$AI$9,2,FALSE)=0,"Spatial Data Missing ⚠",VLOOKUP(V251,'G-7 Rivers Data'!$AG$4:$AI$9,2,FALSE)))</f>
        <v/>
      </c>
      <c r="X251" s="524" t="str">
        <f>IF(V251="","",IF(VLOOKUP(V251,'G-7 Rivers Data'!$AG$4:$AI$9,3,FALSE)=0,"Spatial Data Missing ⚠",VLOOKUP(V251,'G-7 Rivers Data'!$AG$4:$AI$9,3,FALSE)))</f>
        <v/>
      </c>
      <c r="Y251" s="537" t="str">
        <f>IFERROR(IF(OR(LEFT(P251,5)="Error ▲",LEFT(O251,5)="Error ▲"),"Check Data ⚠",IF(F251&lt;S251,'G-7 Rivers Data'!$R$3,INDEX('G-7 Rivers Data'!$U$5:$Y$9,MATCH(G251,'G-7 Rivers Data'!$T$5:$T$9,0),MATCH(T251,'G-7 Rivers Data'!$U$4:$Y$4,0)))),"")</f>
        <v/>
      </c>
      <c r="Z251" s="203"/>
      <c r="AA251" s="203"/>
      <c r="AB251" s="534" t="str">
        <f t="shared" si="24"/>
        <v/>
      </c>
      <c r="AC251" s="521" t="str">
        <f t="shared" si="25"/>
        <v/>
      </c>
      <c r="AD251" s="564" t="str">
        <f>IFERROR(IF(AC251="Check Data ⚠","Check Data ⚠",VLOOKUP(AC251,'G-4 Temporal multipliers'!$A$4:$C$37,3,FALSE)),"")</f>
        <v/>
      </c>
      <c r="AE251" s="537" t="str">
        <f>IF(N251="","",VLOOKUP(N251,'G-7 Rivers Data'!$B$4:$G$8,5,FALSE))</f>
        <v/>
      </c>
      <c r="AF251" s="520" t="str">
        <f t="shared" si="26"/>
        <v/>
      </c>
      <c r="AG251" s="520" t="str">
        <f t="shared" si="30"/>
        <v/>
      </c>
      <c r="AH251" s="524" t="str">
        <f t="shared" si="27"/>
        <v/>
      </c>
      <c r="AI251" s="145"/>
      <c r="AJ251" s="499" t="str">
        <f>IF(AI251="","",IF(VLOOKUP(AI251,'G-7 Rivers Data'!$AA$4:$AB$7,2,FALSE)=0,"Spatial Data Missing ⚠",VLOOKUP(AI251,'G-7 Rivers Data'!$AA$4:$AB$7,2,FALSE)))</f>
        <v/>
      </c>
      <c r="AK251" s="155"/>
      <c r="AL251" s="536" t="str">
        <f>IF(AK251="","",IF(VLOOKUP(AK251,'G-7 Rivers Data'!$AD$4:$AE$8,2,FALSE)=0,"Spatial Data Missing ⚠",VLOOKUP(AK251,'G-7 Rivers Data'!$AD$4:$AE$8,2,FALSE)))</f>
        <v/>
      </c>
      <c r="AM251" s="154"/>
      <c r="AN251" s="524" t="str">
        <f>IF(AM251="","",VLOOKUP(AM251,'G-7 Rivers Data'!$AO$4:$AP$7,2,FALSE))</f>
        <v/>
      </c>
      <c r="AO251" s="545" t="str">
        <f t="shared" si="31"/>
        <v/>
      </c>
      <c r="AP251" s="239"/>
      <c r="AQ251" s="240"/>
      <c r="AX251" s="31" t="str">
        <f>IFERROR(INDEX('G-7 Rivers Data'!$AZ$3:$AZ$7,MATCH(N251,'G-7 Rivers Data'!$AY$3:$AY$7,0)),"")</f>
        <v/>
      </c>
    </row>
    <row r="252" spans="2:50" ht="13.8" x14ac:dyDescent="0.25">
      <c r="B252" s="531" t="str">
        <f>'F-1 Off Site River Baseline'!AN250</f>
        <v/>
      </c>
      <c r="C252" s="520" t="str">
        <f>IF(B252="","",VLOOKUP($B252,'F-1 Off Site River Baseline'!$C$9:$R$257,2,FALSE))</f>
        <v/>
      </c>
      <c r="D252" s="520" t="str">
        <f>IF(C252="","",VLOOKUP($B252,'F-1 Off Site River Baseline'!$C$9:$R$257,3,FALSE))</f>
        <v/>
      </c>
      <c r="E252" s="520" t="str">
        <f>IF(D252="","",VLOOKUP($B252,'F-1 Off Site River Baseline'!$C$9:$R$257,4,FALSE))</f>
        <v/>
      </c>
      <c r="F252" s="520" t="str">
        <f>IF(E252="","",VLOOKUP($B252,'F-1 Off Site River Baseline'!$C$9:$R$257,5,FALSE))</f>
        <v/>
      </c>
      <c r="G252" s="520" t="str">
        <f>IF(F252="","",VLOOKUP($B252,'F-1 Off Site River Baseline'!$C$9:$R$257,6,FALSE))</f>
        <v/>
      </c>
      <c r="H252" s="520" t="str">
        <f>IF(G252="","",VLOOKUP($B252,'F-1 Off Site River Baseline'!$C$9:$R$257,7,FALSE))</f>
        <v/>
      </c>
      <c r="I252" s="520" t="str">
        <f>IF(H252="","",VLOOKUP($B252,'F-1 Off Site River Baseline'!$C$9:$R$257,8,FALSE))</f>
        <v/>
      </c>
      <c r="J252" s="520" t="str">
        <f>IF(I252="","",VLOOKUP($B252,'F-1 Off Site River Baseline'!$C$9:$R$257,9,FALSE))</f>
        <v/>
      </c>
      <c r="K252" s="520" t="str">
        <f>IF(J252="","",VLOOKUP($B252,'F-1 Off Site River Baseline'!$C$9:$R$257,10,FALSE))</f>
        <v/>
      </c>
      <c r="L252" s="520" t="str">
        <f>IF(B252="","",VLOOKUP($B252,'C-1 Site River Baseline'!$C$9:$R$257,15,FALSE))</f>
        <v/>
      </c>
      <c r="M252" s="524" t="str">
        <f>IF(L252="","",VLOOKUP($B252,'F-1 Off Site River Baseline'!$C$9:$R$257,16,FALSE))</f>
        <v/>
      </c>
      <c r="N252" s="418" t="str">
        <f t="shared" si="28"/>
        <v/>
      </c>
      <c r="O252" s="498" t="str">
        <f t="shared" si="29"/>
        <v/>
      </c>
      <c r="P252" s="499"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5" t="str">
        <f>IF(N252="","",VLOOKUP(B252,'F-1 Off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20" t="str">
        <f>IF(V252="","",IF(VLOOKUP(V252,'G-7 Rivers Data'!$AG$4:$AI$9,2,FALSE)=0,"Spatial Data Missing ⚠",VLOOKUP(V252,'G-7 Rivers Data'!$AG$4:$AI$9,2,FALSE)))</f>
        <v/>
      </c>
      <c r="X252" s="524" t="str">
        <f>IF(V252="","",IF(VLOOKUP(V252,'G-7 Rivers Data'!$AG$4:$AI$9,3,FALSE)=0,"Spatial Data Missing ⚠",VLOOKUP(V252,'G-7 Rivers Data'!$AG$4:$AI$9,3,FALSE)))</f>
        <v/>
      </c>
      <c r="Y252" s="537" t="str">
        <f>IFERROR(IF(OR(LEFT(P252,5)="Error ▲",LEFT(O252,5)="Error ▲"),"Check Data ⚠",IF(F252&lt;S252,'G-7 Rivers Data'!$R$3,INDEX('G-7 Rivers Data'!$U$5:$Y$9,MATCH(G252,'G-7 Rivers Data'!$T$5:$T$9,0),MATCH(T252,'G-7 Rivers Data'!$U$4:$Y$4,0)))),"")</f>
        <v/>
      </c>
      <c r="Z252" s="203"/>
      <c r="AA252" s="203"/>
      <c r="AB252" s="534" t="str">
        <f t="shared" si="24"/>
        <v/>
      </c>
      <c r="AC252" s="521" t="str">
        <f t="shared" si="25"/>
        <v/>
      </c>
      <c r="AD252" s="564" t="str">
        <f>IFERROR(IF(AC252="Check Data ⚠","Check Data ⚠",VLOOKUP(AC252,'G-4 Temporal multipliers'!$A$4:$C$37,3,FALSE)),"")</f>
        <v/>
      </c>
      <c r="AE252" s="537" t="str">
        <f>IF(N252="","",VLOOKUP(N252,'G-7 Rivers Data'!$B$4:$G$8,5,FALSE))</f>
        <v/>
      </c>
      <c r="AF252" s="520" t="str">
        <f t="shared" si="26"/>
        <v/>
      </c>
      <c r="AG252" s="520" t="str">
        <f t="shared" si="30"/>
        <v/>
      </c>
      <c r="AH252" s="524" t="str">
        <f t="shared" si="27"/>
        <v/>
      </c>
      <c r="AI252" s="145"/>
      <c r="AJ252" s="499" t="str">
        <f>IF(AI252="","",IF(VLOOKUP(AI252,'G-7 Rivers Data'!$AA$4:$AB$7,2,FALSE)=0,"Spatial Data Missing ⚠",VLOOKUP(AI252,'G-7 Rivers Data'!$AA$4:$AB$7,2,FALSE)))</f>
        <v/>
      </c>
      <c r="AK252" s="155"/>
      <c r="AL252" s="536" t="str">
        <f>IF(AK252="","",IF(VLOOKUP(AK252,'G-7 Rivers Data'!$AD$4:$AE$8,2,FALSE)=0,"Spatial Data Missing ⚠",VLOOKUP(AK252,'G-7 Rivers Data'!$AD$4:$AE$8,2,FALSE)))</f>
        <v/>
      </c>
      <c r="AM252" s="154"/>
      <c r="AN252" s="524" t="str">
        <f>IF(AM252="","",VLOOKUP(AM252,'G-7 Rivers Data'!$AO$4:$AP$7,2,FALSE))</f>
        <v/>
      </c>
      <c r="AO252" s="545" t="str">
        <f t="shared" si="31"/>
        <v/>
      </c>
      <c r="AP252" s="239"/>
      <c r="AQ252" s="240"/>
      <c r="AX252" s="31" t="str">
        <f>IFERROR(INDEX('G-7 Rivers Data'!$AZ$3:$AZ$7,MATCH(N252,'G-7 Rivers Data'!$AY$3:$AY$7,0)),"")</f>
        <v/>
      </c>
    </row>
    <row r="253" spans="2:50" ht="13.8" x14ac:dyDescent="0.25">
      <c r="B253" s="531" t="str">
        <f>'F-1 Off Site River Baseline'!AN251</f>
        <v/>
      </c>
      <c r="C253" s="520" t="str">
        <f>IF(B253="","",VLOOKUP($B253,'F-1 Off Site River Baseline'!$C$9:$R$257,2,FALSE))</f>
        <v/>
      </c>
      <c r="D253" s="520" t="str">
        <f>IF(C253="","",VLOOKUP($B253,'F-1 Off Site River Baseline'!$C$9:$R$257,3,FALSE))</f>
        <v/>
      </c>
      <c r="E253" s="520" t="str">
        <f>IF(D253="","",VLOOKUP($B253,'F-1 Off Site River Baseline'!$C$9:$R$257,4,FALSE))</f>
        <v/>
      </c>
      <c r="F253" s="520" t="str">
        <f>IF(E253="","",VLOOKUP($B253,'F-1 Off Site River Baseline'!$C$9:$R$257,5,FALSE))</f>
        <v/>
      </c>
      <c r="G253" s="520" t="str">
        <f>IF(F253="","",VLOOKUP($B253,'F-1 Off Site River Baseline'!$C$9:$R$257,6,FALSE))</f>
        <v/>
      </c>
      <c r="H253" s="520" t="str">
        <f>IF(G253="","",VLOOKUP($B253,'F-1 Off Site River Baseline'!$C$9:$R$257,7,FALSE))</f>
        <v/>
      </c>
      <c r="I253" s="520" t="str">
        <f>IF(H253="","",VLOOKUP($B253,'F-1 Off Site River Baseline'!$C$9:$R$257,8,FALSE))</f>
        <v/>
      </c>
      <c r="J253" s="520" t="str">
        <f>IF(I253="","",VLOOKUP($B253,'F-1 Off Site River Baseline'!$C$9:$R$257,9,FALSE))</f>
        <v/>
      </c>
      <c r="K253" s="520" t="str">
        <f>IF(J253="","",VLOOKUP($B253,'F-1 Off Site River Baseline'!$C$9:$R$257,10,FALSE))</f>
        <v/>
      </c>
      <c r="L253" s="520" t="str">
        <f>IF(B253="","",VLOOKUP($B253,'C-1 Site River Baseline'!$C$9:$R$257,15,FALSE))</f>
        <v/>
      </c>
      <c r="M253" s="524" t="str">
        <f>IF(L253="","",VLOOKUP($B253,'F-1 Off Site River Baseline'!$C$9:$R$257,16,FALSE))</f>
        <v/>
      </c>
      <c r="N253" s="418" t="str">
        <f t="shared" si="28"/>
        <v/>
      </c>
      <c r="O253" s="498" t="str">
        <f t="shared" si="29"/>
        <v/>
      </c>
      <c r="P253" s="499"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5" t="str">
        <f>IF(N253="","",VLOOKUP(B253,'F-1 Off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20" t="str">
        <f>IF(V253="","",IF(VLOOKUP(V253,'G-7 Rivers Data'!$AG$4:$AI$9,2,FALSE)=0,"Spatial Data Missing ⚠",VLOOKUP(V253,'G-7 Rivers Data'!$AG$4:$AI$9,2,FALSE)))</f>
        <v/>
      </c>
      <c r="X253" s="524" t="str">
        <f>IF(V253="","",IF(VLOOKUP(V253,'G-7 Rivers Data'!$AG$4:$AI$9,3,FALSE)=0,"Spatial Data Missing ⚠",VLOOKUP(V253,'G-7 Rivers Data'!$AG$4:$AI$9,3,FALSE)))</f>
        <v/>
      </c>
      <c r="Y253" s="537" t="str">
        <f>IFERROR(IF(OR(LEFT(P253,5)="Error ▲",LEFT(O253,5)="Error ▲"),"Check Data ⚠",IF(F253&lt;S253,'G-7 Rivers Data'!$R$3,INDEX('G-7 Rivers Data'!$U$5:$Y$9,MATCH(G253,'G-7 Rivers Data'!$T$5:$T$9,0),MATCH(T253,'G-7 Rivers Data'!$U$4:$Y$4,0)))),"")</f>
        <v/>
      </c>
      <c r="Z253" s="203"/>
      <c r="AA253" s="203"/>
      <c r="AB253" s="534" t="str">
        <f t="shared" si="24"/>
        <v/>
      </c>
      <c r="AC253" s="521" t="str">
        <f t="shared" si="25"/>
        <v/>
      </c>
      <c r="AD253" s="564" t="str">
        <f>IFERROR(IF(AC253="Check Data ⚠","Check Data ⚠",VLOOKUP(AC253,'G-4 Temporal multipliers'!$A$4:$C$37,3,FALSE)),"")</f>
        <v/>
      </c>
      <c r="AE253" s="537" t="str">
        <f>IF(N253="","",VLOOKUP(N253,'G-7 Rivers Data'!$B$4:$G$8,5,FALSE))</f>
        <v/>
      </c>
      <c r="AF253" s="520" t="str">
        <f t="shared" si="26"/>
        <v/>
      </c>
      <c r="AG253" s="520" t="str">
        <f t="shared" si="30"/>
        <v/>
      </c>
      <c r="AH253" s="524" t="str">
        <f t="shared" si="27"/>
        <v/>
      </c>
      <c r="AI253" s="145"/>
      <c r="AJ253" s="499" t="str">
        <f>IF(AI253="","",IF(VLOOKUP(AI253,'G-7 Rivers Data'!$AA$4:$AB$7,2,FALSE)=0,"Spatial Data Missing ⚠",VLOOKUP(AI253,'G-7 Rivers Data'!$AA$4:$AB$7,2,FALSE)))</f>
        <v/>
      </c>
      <c r="AK253" s="155"/>
      <c r="AL253" s="536" t="str">
        <f>IF(AK253="","",IF(VLOOKUP(AK253,'G-7 Rivers Data'!$AD$4:$AE$8,2,FALSE)=0,"Spatial Data Missing ⚠",VLOOKUP(AK253,'G-7 Rivers Data'!$AD$4:$AE$8,2,FALSE)))</f>
        <v/>
      </c>
      <c r="AM253" s="154"/>
      <c r="AN253" s="524" t="str">
        <f>IF(AM253="","",VLOOKUP(AM253,'G-7 Rivers Data'!$AO$4:$AP$7,2,FALSE))</f>
        <v/>
      </c>
      <c r="AO253" s="545" t="str">
        <f t="shared" si="31"/>
        <v/>
      </c>
      <c r="AP253" s="239"/>
      <c r="AQ253" s="240"/>
      <c r="AX253" s="31" t="str">
        <f>IFERROR(INDEX('G-7 Rivers Data'!$AZ$3:$AZ$7,MATCH(N253,'G-7 Rivers Data'!$AY$3:$AY$7,0)),"")</f>
        <v/>
      </c>
    </row>
    <row r="254" spans="2:50" ht="13.8" x14ac:dyDescent="0.25">
      <c r="B254" s="531" t="str">
        <f>'F-1 Off Site River Baseline'!AN252</f>
        <v/>
      </c>
      <c r="C254" s="520" t="str">
        <f>IF(B254="","",VLOOKUP($B254,'F-1 Off Site River Baseline'!$C$9:$R$257,2,FALSE))</f>
        <v/>
      </c>
      <c r="D254" s="520" t="str">
        <f>IF(C254="","",VLOOKUP($B254,'F-1 Off Site River Baseline'!$C$9:$R$257,3,FALSE))</f>
        <v/>
      </c>
      <c r="E254" s="520" t="str">
        <f>IF(D254="","",VLOOKUP($B254,'F-1 Off Site River Baseline'!$C$9:$R$257,4,FALSE))</f>
        <v/>
      </c>
      <c r="F254" s="520" t="str">
        <f>IF(E254="","",VLOOKUP($B254,'F-1 Off Site River Baseline'!$C$9:$R$257,5,FALSE))</f>
        <v/>
      </c>
      <c r="G254" s="520" t="str">
        <f>IF(F254="","",VLOOKUP($B254,'F-1 Off Site River Baseline'!$C$9:$R$257,6,FALSE))</f>
        <v/>
      </c>
      <c r="H254" s="520" t="str">
        <f>IF(G254="","",VLOOKUP($B254,'F-1 Off Site River Baseline'!$C$9:$R$257,7,FALSE))</f>
        <v/>
      </c>
      <c r="I254" s="520" t="str">
        <f>IF(H254="","",VLOOKUP($B254,'F-1 Off Site River Baseline'!$C$9:$R$257,8,FALSE))</f>
        <v/>
      </c>
      <c r="J254" s="520" t="str">
        <f>IF(I254="","",VLOOKUP($B254,'F-1 Off Site River Baseline'!$C$9:$R$257,9,FALSE))</f>
        <v/>
      </c>
      <c r="K254" s="520" t="str">
        <f>IF(J254="","",VLOOKUP($B254,'F-1 Off Site River Baseline'!$C$9:$R$257,10,FALSE))</f>
        <v/>
      </c>
      <c r="L254" s="520" t="str">
        <f>IF(B254="","",VLOOKUP($B254,'C-1 Site River Baseline'!$C$9:$R$257,15,FALSE))</f>
        <v/>
      </c>
      <c r="M254" s="524" t="str">
        <f>IF(L254="","",VLOOKUP($B254,'F-1 Off Site River Baseline'!$C$9:$R$257,16,FALSE))</f>
        <v/>
      </c>
      <c r="N254" s="418" t="str">
        <f t="shared" si="28"/>
        <v/>
      </c>
      <c r="O254" s="498" t="str">
        <f t="shared" si="29"/>
        <v/>
      </c>
      <c r="P254" s="499"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5" t="str">
        <f>IF(N254="","",VLOOKUP(B254,'F-1 Off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20" t="str">
        <f>IF(V254="","",IF(VLOOKUP(V254,'G-7 Rivers Data'!$AG$4:$AI$9,2,FALSE)=0,"Spatial Data Missing ⚠",VLOOKUP(V254,'G-7 Rivers Data'!$AG$4:$AI$9,2,FALSE)))</f>
        <v/>
      </c>
      <c r="X254" s="524" t="str">
        <f>IF(V254="","",IF(VLOOKUP(V254,'G-7 Rivers Data'!$AG$4:$AI$9,3,FALSE)=0,"Spatial Data Missing ⚠",VLOOKUP(V254,'G-7 Rivers Data'!$AG$4:$AI$9,3,FALSE)))</f>
        <v/>
      </c>
      <c r="Y254" s="537" t="str">
        <f>IFERROR(IF(OR(LEFT(P254,5)="Error ▲",LEFT(O254,5)="Error ▲"),"Check Data ⚠",IF(F254&lt;S254,'G-7 Rivers Data'!$R$3,INDEX('G-7 Rivers Data'!$U$5:$Y$9,MATCH(G254,'G-7 Rivers Data'!$T$5:$T$9,0),MATCH(T254,'G-7 Rivers Data'!$U$4:$Y$4,0)))),"")</f>
        <v/>
      </c>
      <c r="Z254" s="203"/>
      <c r="AA254" s="203"/>
      <c r="AB254" s="534" t="str">
        <f t="shared" si="24"/>
        <v/>
      </c>
      <c r="AC254" s="521" t="str">
        <f t="shared" si="25"/>
        <v/>
      </c>
      <c r="AD254" s="564" t="str">
        <f>IFERROR(IF(AC254="Check Data ⚠","Check Data ⚠",VLOOKUP(AC254,'G-4 Temporal multipliers'!$A$4:$C$37,3,FALSE)),"")</f>
        <v/>
      </c>
      <c r="AE254" s="537" t="str">
        <f>IF(N254="","",VLOOKUP(N254,'G-7 Rivers Data'!$B$4:$G$8,5,FALSE))</f>
        <v/>
      </c>
      <c r="AF254" s="520" t="str">
        <f t="shared" si="26"/>
        <v/>
      </c>
      <c r="AG254" s="520" t="str">
        <f t="shared" si="30"/>
        <v/>
      </c>
      <c r="AH254" s="524" t="str">
        <f t="shared" si="27"/>
        <v/>
      </c>
      <c r="AI254" s="145"/>
      <c r="AJ254" s="499" t="str">
        <f>IF(AI254="","",IF(VLOOKUP(AI254,'G-7 Rivers Data'!$AA$4:$AB$7,2,FALSE)=0,"Spatial Data Missing ⚠",VLOOKUP(AI254,'G-7 Rivers Data'!$AA$4:$AB$7,2,FALSE)))</f>
        <v/>
      </c>
      <c r="AK254" s="155"/>
      <c r="AL254" s="536" t="str">
        <f>IF(AK254="","",IF(VLOOKUP(AK254,'G-7 Rivers Data'!$AD$4:$AE$8,2,FALSE)=0,"Spatial Data Missing ⚠",VLOOKUP(AK254,'G-7 Rivers Data'!$AD$4:$AE$8,2,FALSE)))</f>
        <v/>
      </c>
      <c r="AM254" s="154"/>
      <c r="AN254" s="524" t="str">
        <f>IF(AM254="","",VLOOKUP(AM254,'G-7 Rivers Data'!$AO$4:$AP$7,2,FALSE))</f>
        <v/>
      </c>
      <c r="AO254" s="545" t="str">
        <f t="shared" si="31"/>
        <v/>
      </c>
      <c r="AP254" s="239"/>
      <c r="AQ254" s="240"/>
      <c r="AX254" s="31" t="str">
        <f>IFERROR(INDEX('G-7 Rivers Data'!$AZ$3:$AZ$7,MATCH(N254,'G-7 Rivers Data'!$AY$3:$AY$7,0)),"")</f>
        <v/>
      </c>
    </row>
    <row r="255" spans="2:50" ht="13.8" x14ac:dyDescent="0.25">
      <c r="B255" s="531" t="str">
        <f>'F-1 Off Site River Baseline'!AN253</f>
        <v/>
      </c>
      <c r="C255" s="520" t="str">
        <f>IF(B255="","",VLOOKUP($B255,'F-1 Off Site River Baseline'!$C$9:$R$257,2,FALSE))</f>
        <v/>
      </c>
      <c r="D255" s="520" t="str">
        <f>IF(C255="","",VLOOKUP($B255,'F-1 Off Site River Baseline'!$C$9:$R$257,3,FALSE))</f>
        <v/>
      </c>
      <c r="E255" s="520" t="str">
        <f>IF(D255="","",VLOOKUP($B255,'F-1 Off Site River Baseline'!$C$9:$R$257,4,FALSE))</f>
        <v/>
      </c>
      <c r="F255" s="520" t="str">
        <f>IF(E255="","",VLOOKUP($B255,'F-1 Off Site River Baseline'!$C$9:$R$257,5,FALSE))</f>
        <v/>
      </c>
      <c r="G255" s="520" t="str">
        <f>IF(F255="","",VLOOKUP($B255,'F-1 Off Site River Baseline'!$C$9:$R$257,6,FALSE))</f>
        <v/>
      </c>
      <c r="H255" s="520" t="str">
        <f>IF(G255="","",VLOOKUP($B255,'F-1 Off Site River Baseline'!$C$9:$R$257,7,FALSE))</f>
        <v/>
      </c>
      <c r="I255" s="520" t="str">
        <f>IF(H255="","",VLOOKUP($B255,'F-1 Off Site River Baseline'!$C$9:$R$257,8,FALSE))</f>
        <v/>
      </c>
      <c r="J255" s="520" t="str">
        <f>IF(I255="","",VLOOKUP($B255,'F-1 Off Site River Baseline'!$C$9:$R$257,9,FALSE))</f>
        <v/>
      </c>
      <c r="K255" s="520" t="str">
        <f>IF(J255="","",VLOOKUP($B255,'F-1 Off Site River Baseline'!$C$9:$R$257,10,FALSE))</f>
        <v/>
      </c>
      <c r="L255" s="520" t="str">
        <f>IF(B255="","",VLOOKUP($B255,'C-1 Site River Baseline'!$C$9:$R$257,15,FALSE))</f>
        <v/>
      </c>
      <c r="M255" s="524" t="str">
        <f>IF(L255="","",VLOOKUP($B255,'F-1 Off Site River Baseline'!$C$9:$R$257,16,FALSE))</f>
        <v/>
      </c>
      <c r="N255" s="418" t="str">
        <f t="shared" si="28"/>
        <v/>
      </c>
      <c r="O255" s="498" t="str">
        <f t="shared" si="29"/>
        <v/>
      </c>
      <c r="P255" s="499"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5" t="str">
        <f>IF(N255="","",VLOOKUP(B255,'F-1 Off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20" t="str">
        <f>IF(V255="","",IF(VLOOKUP(V255,'G-7 Rivers Data'!$AG$4:$AI$9,2,FALSE)=0,"Spatial Data Missing ⚠",VLOOKUP(V255,'G-7 Rivers Data'!$AG$4:$AI$9,2,FALSE)))</f>
        <v/>
      </c>
      <c r="X255" s="524" t="str">
        <f>IF(V255="","",IF(VLOOKUP(V255,'G-7 Rivers Data'!$AG$4:$AI$9,3,FALSE)=0,"Spatial Data Missing ⚠",VLOOKUP(V255,'G-7 Rivers Data'!$AG$4:$AI$9,3,FALSE)))</f>
        <v/>
      </c>
      <c r="Y255" s="537" t="str">
        <f>IFERROR(IF(OR(LEFT(P255,5)="Error ▲",LEFT(O255,5)="Error ▲"),"Check Data ⚠",IF(F255&lt;S255,'G-7 Rivers Data'!$R$3,INDEX('G-7 Rivers Data'!$U$5:$Y$9,MATCH(G255,'G-7 Rivers Data'!$T$5:$T$9,0),MATCH(T255,'G-7 Rivers Data'!$U$4:$Y$4,0)))),"")</f>
        <v/>
      </c>
      <c r="Z255" s="203"/>
      <c r="AA255" s="203"/>
      <c r="AB255" s="534" t="str">
        <f t="shared" si="24"/>
        <v/>
      </c>
      <c r="AC255" s="521" t="str">
        <f t="shared" si="25"/>
        <v/>
      </c>
      <c r="AD255" s="564" t="str">
        <f>IFERROR(IF(AC255="Check Data ⚠","Check Data ⚠",VLOOKUP(AC255,'G-4 Temporal multipliers'!$A$4:$C$37,3,FALSE)),"")</f>
        <v/>
      </c>
      <c r="AE255" s="537" t="str">
        <f>IF(N255="","",VLOOKUP(N255,'G-7 Rivers Data'!$B$4:$G$8,5,FALSE))</f>
        <v/>
      </c>
      <c r="AF255" s="520" t="str">
        <f t="shared" si="26"/>
        <v/>
      </c>
      <c r="AG255" s="520" t="str">
        <f t="shared" si="30"/>
        <v/>
      </c>
      <c r="AH255" s="524" t="str">
        <f t="shared" si="27"/>
        <v/>
      </c>
      <c r="AI255" s="145"/>
      <c r="AJ255" s="499" t="str">
        <f>IF(AI255="","",IF(VLOOKUP(AI255,'G-7 Rivers Data'!$AA$4:$AB$7,2,FALSE)=0,"Spatial Data Missing ⚠",VLOOKUP(AI255,'G-7 Rivers Data'!$AA$4:$AB$7,2,FALSE)))</f>
        <v/>
      </c>
      <c r="AK255" s="155"/>
      <c r="AL255" s="536" t="str">
        <f>IF(AK255="","",IF(VLOOKUP(AK255,'G-7 Rivers Data'!$AD$4:$AE$8,2,FALSE)=0,"Spatial Data Missing ⚠",VLOOKUP(AK255,'G-7 Rivers Data'!$AD$4:$AE$8,2,FALSE)))</f>
        <v/>
      </c>
      <c r="AM255" s="154"/>
      <c r="AN255" s="524" t="str">
        <f>IF(AM255="","",VLOOKUP(AM255,'G-7 Rivers Data'!$AO$4:$AP$7,2,FALSE))</f>
        <v/>
      </c>
      <c r="AO255" s="545" t="str">
        <f t="shared" si="31"/>
        <v/>
      </c>
      <c r="AP255" s="239"/>
      <c r="AQ255" s="240"/>
      <c r="AX255" s="31" t="str">
        <f>IFERROR(INDEX('G-7 Rivers Data'!$AZ$3:$AZ$7,MATCH(N255,'G-7 Rivers Data'!$AY$3:$AY$7,0)),"")</f>
        <v/>
      </c>
    </row>
    <row r="256" spans="2:50" ht="13.8" x14ac:dyDescent="0.25">
      <c r="B256" s="531" t="str">
        <f>'F-1 Off Site River Baseline'!AN254</f>
        <v/>
      </c>
      <c r="C256" s="520" t="str">
        <f>IF(B256="","",VLOOKUP($B256,'F-1 Off Site River Baseline'!$C$9:$R$257,2,FALSE))</f>
        <v/>
      </c>
      <c r="D256" s="520" t="str">
        <f>IF(C256="","",VLOOKUP($B256,'F-1 Off Site River Baseline'!$C$9:$R$257,3,FALSE))</f>
        <v/>
      </c>
      <c r="E256" s="520" t="str">
        <f>IF(D256="","",VLOOKUP($B256,'F-1 Off Site River Baseline'!$C$9:$R$257,4,FALSE))</f>
        <v/>
      </c>
      <c r="F256" s="520" t="str">
        <f>IF(E256="","",VLOOKUP($B256,'F-1 Off Site River Baseline'!$C$9:$R$257,5,FALSE))</f>
        <v/>
      </c>
      <c r="G256" s="520" t="str">
        <f>IF(F256="","",VLOOKUP($B256,'F-1 Off Site River Baseline'!$C$9:$R$257,6,FALSE))</f>
        <v/>
      </c>
      <c r="H256" s="520" t="str">
        <f>IF(G256="","",VLOOKUP($B256,'F-1 Off Site River Baseline'!$C$9:$R$257,7,FALSE))</f>
        <v/>
      </c>
      <c r="I256" s="520" t="str">
        <f>IF(H256="","",VLOOKUP($B256,'F-1 Off Site River Baseline'!$C$9:$R$257,8,FALSE))</f>
        <v/>
      </c>
      <c r="J256" s="520" t="str">
        <f>IF(I256="","",VLOOKUP($B256,'F-1 Off Site River Baseline'!$C$9:$R$257,9,FALSE))</f>
        <v/>
      </c>
      <c r="K256" s="520" t="str">
        <f>IF(J256="","",VLOOKUP($B256,'F-1 Off Site River Baseline'!$C$9:$R$257,10,FALSE))</f>
        <v/>
      </c>
      <c r="L256" s="520" t="str">
        <f>IF(B256="","",VLOOKUP($B256,'C-1 Site River Baseline'!$C$9:$R$257,15,FALSE))</f>
        <v/>
      </c>
      <c r="M256" s="524" t="str">
        <f>IF(L256="","",VLOOKUP($B256,'F-1 Off Site River Baseline'!$C$9:$R$257,16,FALSE))</f>
        <v/>
      </c>
      <c r="N256" s="418" t="str">
        <f t="shared" si="28"/>
        <v/>
      </c>
      <c r="O256" s="498" t="str">
        <f t="shared" si="29"/>
        <v/>
      </c>
      <c r="P256" s="499"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5" t="str">
        <f>IF(N256="","",VLOOKUP(B256,'F-1 Off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20" t="str">
        <f>IF(V256="","",IF(VLOOKUP(V256,'G-7 Rivers Data'!$AG$4:$AI$9,2,FALSE)=0,"Spatial Data Missing ⚠",VLOOKUP(V256,'G-7 Rivers Data'!$AG$4:$AI$9,2,FALSE)))</f>
        <v/>
      </c>
      <c r="X256" s="524" t="str">
        <f>IF(V256="","",IF(VLOOKUP(V256,'G-7 Rivers Data'!$AG$4:$AI$9,3,FALSE)=0,"Spatial Data Missing ⚠",VLOOKUP(V256,'G-7 Rivers Data'!$AG$4:$AI$9,3,FALSE)))</f>
        <v/>
      </c>
      <c r="Y256" s="537" t="str">
        <f>IFERROR(IF(OR(LEFT(P256,5)="Error ▲",LEFT(O256,5)="Error ▲"),"Check Data ⚠",IF(F256&lt;S256,'G-7 Rivers Data'!$R$3,INDEX('G-7 Rivers Data'!$U$5:$Y$9,MATCH(G256,'G-7 Rivers Data'!$T$5:$T$9,0),MATCH(T256,'G-7 Rivers Data'!$U$4:$Y$4,0)))),"")</f>
        <v/>
      </c>
      <c r="Z256" s="203"/>
      <c r="AA256" s="203"/>
      <c r="AB256" s="534" t="str">
        <f t="shared" si="24"/>
        <v/>
      </c>
      <c r="AC256" s="521" t="str">
        <f t="shared" si="25"/>
        <v/>
      </c>
      <c r="AD256" s="564" t="str">
        <f>IFERROR(IF(AC256="Check Data ⚠","Check Data ⚠",VLOOKUP(AC256,'G-4 Temporal multipliers'!$A$4:$C$37,3,FALSE)),"")</f>
        <v/>
      </c>
      <c r="AE256" s="537" t="str">
        <f>IF(N256="","",VLOOKUP(N256,'G-7 Rivers Data'!$B$4:$G$8,5,FALSE))</f>
        <v/>
      </c>
      <c r="AF256" s="520" t="str">
        <f t="shared" si="26"/>
        <v/>
      </c>
      <c r="AG256" s="520" t="str">
        <f t="shared" si="30"/>
        <v/>
      </c>
      <c r="AH256" s="524" t="str">
        <f t="shared" si="27"/>
        <v/>
      </c>
      <c r="AI256" s="145"/>
      <c r="AJ256" s="499" t="str">
        <f>IF(AI256="","",IF(VLOOKUP(AI256,'G-7 Rivers Data'!$AA$4:$AB$7,2,FALSE)=0,"Spatial Data Missing ⚠",VLOOKUP(AI256,'G-7 Rivers Data'!$AA$4:$AB$7,2,FALSE)))</f>
        <v/>
      </c>
      <c r="AK256" s="155"/>
      <c r="AL256" s="536" t="str">
        <f>IF(AK256="","",IF(VLOOKUP(AK256,'G-7 Rivers Data'!$AD$4:$AE$8,2,FALSE)=0,"Spatial Data Missing ⚠",VLOOKUP(AK256,'G-7 Rivers Data'!$AD$4:$AE$8,2,FALSE)))</f>
        <v/>
      </c>
      <c r="AM256" s="154"/>
      <c r="AN256" s="524" t="str">
        <f>IF(AM256="","",VLOOKUP(AM256,'G-7 Rivers Data'!$AO$4:$AP$7,2,FALSE))</f>
        <v/>
      </c>
      <c r="AO256" s="545" t="str">
        <f t="shared" si="31"/>
        <v/>
      </c>
      <c r="AP256" s="239"/>
      <c r="AQ256" s="240"/>
      <c r="AX256" s="31" t="str">
        <f>IFERROR(INDEX('G-7 Rivers Data'!$AZ$3:$AZ$7,MATCH(N256,'G-7 Rivers Data'!$AY$3:$AY$7,0)),"")</f>
        <v/>
      </c>
    </row>
    <row r="257" spans="2:50" ht="14.4" thickBot="1" x14ac:dyDescent="0.3">
      <c r="B257" s="533" t="str">
        <f>'F-1 Off Site River Baseline'!AN255</f>
        <v/>
      </c>
      <c r="C257" s="534" t="str">
        <f>IF(B257="","",VLOOKUP($B257,'F-1 Off Site River Baseline'!$C$9:$R$257,2,FALSE))</f>
        <v/>
      </c>
      <c r="D257" s="534" t="str">
        <f>IF(C257="","",VLOOKUP($B257,'F-1 Off Site River Baseline'!$C$9:$R$257,3,FALSE))</f>
        <v/>
      </c>
      <c r="E257" s="534" t="str">
        <f>IF(D257="","",VLOOKUP($B257,'F-1 Off Site River Baseline'!$C$9:$R$257,4,FALSE))</f>
        <v/>
      </c>
      <c r="F257" s="534" t="str">
        <f>IF(E257="","",VLOOKUP($B257,'F-1 Off Site River Baseline'!$C$9:$R$257,5,FALSE))</f>
        <v/>
      </c>
      <c r="G257" s="534" t="str">
        <f>IF(F257="","",VLOOKUP($B257,'F-1 Off Site River Baseline'!$C$9:$R$257,6,FALSE))</f>
        <v/>
      </c>
      <c r="H257" s="534" t="str">
        <f>IF(G257="","",VLOOKUP($B257,'F-1 Off Site River Baseline'!$C$9:$R$257,7,FALSE))</f>
        <v/>
      </c>
      <c r="I257" s="534" t="str">
        <f>IF(H257="","",VLOOKUP($B257,'F-1 Off Site River Baseline'!$C$9:$R$257,8,FALSE))</f>
        <v/>
      </c>
      <c r="J257" s="534" t="str">
        <f>IF(I257="","",VLOOKUP($B257,'F-1 Off Site River Baseline'!$C$9:$R$257,9,FALSE))</f>
        <v/>
      </c>
      <c r="K257" s="534" t="str">
        <f>IF(J257="","",VLOOKUP($B257,'F-1 Off Site River Baseline'!$C$9:$R$257,10,FALSE))</f>
        <v/>
      </c>
      <c r="L257" s="534" t="str">
        <f>IF(B257="","",VLOOKUP($B257,'C-1 Site River Baseline'!$C$9:$R$257,15,FALSE))</f>
        <v/>
      </c>
      <c r="M257" s="536" t="str">
        <f>IF(L257="","",VLOOKUP($B257,'F-1 Off Site River Baseline'!$C$9:$R$257,16,FALSE))</f>
        <v/>
      </c>
      <c r="N257" s="425" t="str">
        <f t="shared" si="28"/>
        <v/>
      </c>
      <c r="O257" s="498" t="str">
        <f t="shared" si="29"/>
        <v/>
      </c>
      <c r="P257" s="499"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7" t="str">
        <f>IF(N257="","",VLOOKUP(B257,'F-1 Off Site River Baseline'!$C$10:$AA$257,19,FALSE))</f>
        <v/>
      </c>
      <c r="R257" s="538" t="str">
        <f>IF(N257="","",VLOOKUP(N257,'G-7 Rivers Data'!$B$2:$G$8,2,FALSE))</f>
        <v/>
      </c>
      <c r="S257" s="536" t="str">
        <f>IFERROR(VLOOKUP(R257,'G-7 Rivers Data'!$C$4:$D$8,2,FALSE),"")</f>
        <v/>
      </c>
      <c r="T257" s="210"/>
      <c r="U257" s="536" t="str">
        <f>IFERROR(INDEX('G-7 Rivers Data'!$H$4:$L$8,MATCH(N257,'G-7 Rivers Data'!$B$4:$B$8,0),MATCH(T257,'G-7 Rivers Data'!$H$3:$L$3,0)),"")</f>
        <v/>
      </c>
      <c r="V257" s="210"/>
      <c r="W257" s="520" t="str">
        <f>IF(V257="","",IF(VLOOKUP(V257,'G-7 Rivers Data'!$AG$4:$AI$9,2,FALSE)=0,"Spatial Data Missing ⚠",VLOOKUP(V257,'G-7 Rivers Data'!$AG$4:$AI$9,2,FALSE)))</f>
        <v/>
      </c>
      <c r="X257" s="524" t="str">
        <f>IF(V257="","",IF(VLOOKUP(V257,'G-7 Rivers Data'!$AG$4:$AI$9,3,FALSE)=0,"Spatial Data Missing ⚠",VLOOKUP(V257,'G-7 Rivers Data'!$AG$4:$AI$9,3,FALSE)))</f>
        <v/>
      </c>
      <c r="Y257" s="537" t="str">
        <f>IFERROR(IF(OR(LEFT(P257,5)="Error ▲",LEFT(O257,5)="Error ▲"),"Check Data ⚠",IF(F257&lt;S257,'G-7 Rivers Data'!$R$3,INDEX('G-7 Rivers Data'!$U$5:$Y$9,MATCH(G257,'G-7 Rivers Data'!$T$5:$T$9,0),MATCH(T257,'G-7 Rivers Data'!$U$4:$Y$4,0)))),"")</f>
        <v/>
      </c>
      <c r="Z257" s="203"/>
      <c r="AA257" s="211"/>
      <c r="AB257" s="534"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1" t="str">
        <f>IF(LEFT(AB257,5)="Error ▲","Check Data ⚠",IF(AB257="Check Data ⚠","Check Data ⚠",IF(Y257="","",IF(Z257="30+",0,IF(AA257="30+","30+ ⚠",IF(Y257+AA257&gt;30,"30+ ⚠",IF(Y257+AA257-Z257&gt;0,Y257+AA257-Z257,IF(Y257-Z257&lt;0,0,Y257+AA257-Z257))))))))</f>
        <v/>
      </c>
      <c r="AD257" s="564" t="str">
        <f>IFERROR(IF(AC257="Check Data ⚠","Check Data ⚠",VLOOKUP(AC257,'G-4 Temporal multipliers'!$A$4:$C$37,3,FALSE)),"")</f>
        <v/>
      </c>
      <c r="AE257" s="538" t="str">
        <f>IF(N257="","",VLOOKUP(N257,'G-7 Rivers Data'!$B$4:$G$8,5,FALSE))</f>
        <v/>
      </c>
      <c r="AF257" s="520" t="str">
        <f>IF(N257="","",IF(AC257="Check Data ⚠","Check Data ⚠",IF(T257="","",IF($AB257="Check details - Is there evidence that habitat has reached target condition? ⚠","Low Difficulty - only applicable if all habitat created before losses ⚠","Standard difficulty applied"))))</f>
        <v/>
      </c>
      <c r="AG257" s="520" t="str">
        <f t="shared" si="30"/>
        <v/>
      </c>
      <c r="AH257" s="536" t="str">
        <f t="shared" si="27"/>
        <v/>
      </c>
      <c r="AI257" s="449"/>
      <c r="AJ257" s="499" t="str">
        <f>IF(AI257="","",IF(VLOOKUP(AI257,'G-7 Rivers Data'!$AA$4:$AB$7,2,FALSE)=0,"Spatial Data Missing ⚠",VLOOKUP(AI257,'G-7 Rivers Data'!$AA$4:$AB$7,2,FALSE)))</f>
        <v/>
      </c>
      <c r="AK257" s="422"/>
      <c r="AL257" s="536" t="str">
        <f>IF(AK257="","",IF(VLOOKUP(AK257,'G-7 Rivers Data'!$AD$4:$AE$8,2,FALSE)=0,"Spatial Data Missing ⚠",VLOOKUP(AK257,'G-7 Rivers Data'!$AD$4:$AE$8,2,FALSE)))</f>
        <v/>
      </c>
      <c r="AM257" s="210"/>
      <c r="AN257" s="536" t="str">
        <f>IF(AM257="","",VLOOKUP(AM257,'G-7 Rivers Data'!$AO$4:$AP$7,2,FALSE))</f>
        <v/>
      </c>
      <c r="AO257" s="545" t="str">
        <f t="shared" si="31"/>
        <v/>
      </c>
      <c r="AP257" s="423"/>
      <c r="AQ257" s="424"/>
      <c r="AX257" s="31" t="str">
        <f>IFERROR(INDEX('G-7 Rivers Data'!$AZ$3:$AZ$7,MATCH(N257,'G-7 Rivers Data'!$AY$3:$AY$7,0)),"")</f>
        <v/>
      </c>
    </row>
    <row r="258" spans="2:50" ht="14.4" thickBot="1" x14ac:dyDescent="0.3">
      <c r="B258" s="46"/>
      <c r="C258" s="277"/>
      <c r="D258" s="503">
        <f>SUM(D12:D257)</f>
        <v>0</v>
      </c>
      <c r="E258" s="277"/>
      <c r="F258" s="277"/>
      <c r="G258" s="277"/>
      <c r="H258" s="277"/>
      <c r="I258" s="277"/>
      <c r="J258" s="277"/>
      <c r="K258" s="277"/>
      <c r="L258" s="277"/>
      <c r="M258" s="277"/>
      <c r="N258" s="277"/>
      <c r="O258" s="277"/>
      <c r="P258" s="277"/>
      <c r="Q258" s="503">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4"/>
      <c r="AN258" s="1014"/>
      <c r="AO258" s="569">
        <f>SUM(AO12:AO257)</f>
        <v>0</v>
      </c>
      <c r="AP258" s="46"/>
      <c r="AQ258" s="46"/>
    </row>
    <row r="259" spans="2:50" ht="13.8" x14ac:dyDescent="0.25">
      <c r="AJ259" s="31" t="str">
        <f>IF(AI259="","",IF(VLOOKUP(AI259,'[2]G-7 Rivers Data'!$AA$4:$AB$6,2,FALSE)=0,"Spatial Data Missing",VLOOKUP(AI259,'[2]G-7 Rivers Data'!$AA$4:$AB$6,2,FALSE)))</f>
        <v/>
      </c>
      <c r="AM259" s="40"/>
    </row>
    <row r="260" spans="2:50" ht="13.8" x14ac:dyDescent="0.25"/>
    <row r="261" spans="2:50" ht="13.8" x14ac:dyDescent="0.25"/>
    <row r="262" spans="2:50" ht="13.8" x14ac:dyDescent="0.25"/>
    <row r="263" spans="2:50" ht="13.8" x14ac:dyDescent="0.25"/>
    <row r="264" spans="2:50" ht="13.8" x14ac:dyDescent="0.25"/>
    <row r="265" spans="2:50" ht="13.8" x14ac:dyDescent="0.25"/>
    <row r="266" spans="2:50" ht="13.8"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Q10:Q11"/>
    <mergeCell ref="R10:S10"/>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K36" activePane="bottomRight" state="frozen"/>
      <selection pane="topRight" activeCell="S28" sqref="S28"/>
      <selection pane="bottomLeft" activeCell="S28" sqref="S28"/>
      <selection pane="bottomRight"/>
    </sheetView>
  </sheetViews>
  <sheetFormatPr defaultColWidth="4.109375" defaultRowHeight="13.8" zeroHeight="1" x14ac:dyDescent="0.25"/>
  <cols>
    <col min="1" max="1" width="30.44140625" style="31" customWidth="1"/>
    <col min="2" max="2" width="77" style="31" bestFit="1" customWidth="1"/>
    <col min="3" max="3" width="26.33203125" style="31" bestFit="1" customWidth="1"/>
    <col min="4" max="4" width="13.6640625" style="31" bestFit="1" customWidth="1"/>
    <col min="5" max="5" width="19.88671875" style="31" bestFit="1" customWidth="1"/>
    <col min="6" max="6" width="25.33203125" style="31" bestFit="1" customWidth="1"/>
    <col min="7" max="7" width="19.88671875" style="31" bestFit="1" customWidth="1"/>
    <col min="8" max="8" width="82.109375" style="31" bestFit="1" customWidth="1"/>
    <col min="9" max="9" width="26.109375" style="31" customWidth="1"/>
    <col min="10" max="10" width="60.5546875" style="31" bestFit="1" customWidth="1"/>
    <col min="11" max="11" width="21.109375" style="31" bestFit="1" customWidth="1"/>
    <col min="12" max="12" width="28.33203125" style="31" bestFit="1" customWidth="1"/>
    <col min="13" max="13" width="66" style="31" customWidth="1"/>
    <col min="14" max="14" width="27.44140625" style="31" bestFit="1" customWidth="1"/>
    <col min="15" max="15" width="16.44140625" style="31" bestFit="1" customWidth="1"/>
    <col min="16" max="16" width="27.44140625" style="31" bestFit="1" customWidth="1"/>
    <col min="17" max="17" width="16.44140625" style="31" bestFit="1" customWidth="1"/>
    <col min="18" max="18" width="28.44140625" style="42" bestFit="1" customWidth="1"/>
    <col min="19" max="19" width="30.109375" style="31" bestFit="1" customWidth="1"/>
    <col min="20" max="23" width="26.109375" style="31" customWidth="1"/>
    <col min="24" max="24" width="30.109375" style="31" customWidth="1"/>
    <col min="25" max="27" width="26.109375" style="31" customWidth="1"/>
    <col min="28" max="33" width="31.33203125" style="31" customWidth="1"/>
    <col min="34" max="16383" width="4.109375" style="31"/>
    <col min="16384" max="16384" width="2.33203125" style="31" hidden="1" customWidth="1"/>
  </cols>
  <sheetData>
    <row r="1" spans="1:33" ht="57.6" customHeight="1" x14ac:dyDescent="0.4">
      <c r="D1" s="1040" t="s">
        <v>342</v>
      </c>
      <c r="E1" s="1040"/>
      <c r="F1" s="1040"/>
      <c r="G1" s="212"/>
      <c r="H1" s="212"/>
      <c r="I1" s="212"/>
      <c r="J1" s="212"/>
      <c r="V1" s="954" t="s">
        <v>343</v>
      </c>
      <c r="W1" s="1037"/>
      <c r="X1" s="956"/>
      <c r="Z1" s="954" t="s">
        <v>344</v>
      </c>
      <c r="AA1" s="956"/>
      <c r="AF1" s="1038" t="s">
        <v>345</v>
      </c>
      <c r="AG1" s="1038" t="s">
        <v>346</v>
      </c>
    </row>
    <row r="2" spans="1:33" s="117" customFormat="1" ht="41.4" customHeight="1" x14ac:dyDescent="0.25">
      <c r="B2" s="103" t="s">
        <v>347</v>
      </c>
      <c r="C2" s="213" t="s">
        <v>348</v>
      </c>
      <c r="D2" s="213" t="s">
        <v>349</v>
      </c>
      <c r="E2" s="213" t="s">
        <v>350</v>
      </c>
      <c r="F2" s="213" t="s">
        <v>351</v>
      </c>
      <c r="G2" s="213" t="s">
        <v>352</v>
      </c>
      <c r="H2" s="213" t="s">
        <v>353</v>
      </c>
      <c r="I2" s="213" t="s">
        <v>354</v>
      </c>
      <c r="J2" s="213" t="s">
        <v>355</v>
      </c>
      <c r="K2" s="213" t="s">
        <v>356</v>
      </c>
      <c r="L2" s="213" t="s">
        <v>357</v>
      </c>
      <c r="M2" s="213" t="s">
        <v>358</v>
      </c>
      <c r="N2" s="214" t="s">
        <v>359</v>
      </c>
      <c r="O2" s="214" t="s">
        <v>323</v>
      </c>
      <c r="P2" s="214" t="s">
        <v>360</v>
      </c>
      <c r="Q2" s="214" t="s">
        <v>323</v>
      </c>
      <c r="R2" s="214" t="s">
        <v>361</v>
      </c>
      <c r="S2" s="214" t="s">
        <v>362</v>
      </c>
      <c r="T2" s="31"/>
      <c r="U2" s="31"/>
      <c r="V2" s="103" t="s">
        <v>363</v>
      </c>
      <c r="W2" s="103" t="s">
        <v>364</v>
      </c>
      <c r="X2" s="103" t="s">
        <v>365</v>
      </c>
      <c r="Y2" s="31"/>
      <c r="Z2" s="103" t="s">
        <v>366</v>
      </c>
      <c r="AA2" s="103" t="s">
        <v>367</v>
      </c>
      <c r="AB2" s="31"/>
      <c r="AC2" s="31"/>
      <c r="AD2" s="103" t="s">
        <v>368</v>
      </c>
      <c r="AE2" s="31"/>
      <c r="AF2" s="1039"/>
      <c r="AG2" s="1039"/>
    </row>
    <row r="3" spans="1:33" ht="27.6" x14ac:dyDescent="0.25">
      <c r="A3" s="216" t="s">
        <v>369</v>
      </c>
      <c r="B3" s="119" t="s">
        <v>370</v>
      </c>
      <c r="C3" s="571" t="s">
        <v>371</v>
      </c>
      <c r="D3" s="544" t="s">
        <v>372</v>
      </c>
      <c r="E3" s="544"/>
      <c r="F3" s="520" t="s">
        <v>69</v>
      </c>
      <c r="G3" s="544"/>
      <c r="H3" s="520" t="s">
        <v>373</v>
      </c>
      <c r="I3" s="544"/>
      <c r="J3" s="544" t="s">
        <v>374</v>
      </c>
      <c r="K3" s="544" t="s">
        <v>23</v>
      </c>
      <c r="L3" s="544">
        <f t="shared" ref="L3:L8" si="0">IF($K3=$V$3,$W$3,IF($K3=$V$3,$W$3,IF($K3=$V$4,$W$4,IF($K3=$V$5,$W$5,IF($K3=$V$6,$W$6,IF($K3=$V$7,$W$7))))))</f>
        <v>4</v>
      </c>
      <c r="M3" s="544" t="str">
        <f>IF($K3=$V$3,$X$3,IF($K3=$V$4,$X$4,IF($K3=$V$5,$X$5,IF($K3=$V$6,$X$6,IF($K3=$V$7,$X$7)))))</f>
        <v>Same broad habitat or a higher distinctiveness habitat required (≥)</v>
      </c>
      <c r="N3" s="544" t="s">
        <v>156</v>
      </c>
      <c r="O3" s="544">
        <f t="shared" ref="O3:O33" si="1">VLOOKUP(N3,Difficulty,2,FALSE)</f>
        <v>1</v>
      </c>
      <c r="P3" s="544" t="s">
        <v>156</v>
      </c>
      <c r="Q3" s="544">
        <f t="shared" ref="Q3:Q33" si="2">VLOOKUP(P3,Difficulty,2,FALSE)</f>
        <v>1</v>
      </c>
      <c r="R3" s="520"/>
      <c r="S3" s="544"/>
      <c r="V3" s="520" t="s">
        <v>375</v>
      </c>
      <c r="W3" s="544">
        <v>8</v>
      </c>
      <c r="X3" s="622" t="s">
        <v>376</v>
      </c>
      <c r="Z3" s="544" t="s">
        <v>21</v>
      </c>
      <c r="AA3" s="544">
        <v>3</v>
      </c>
      <c r="AD3" s="215" t="s">
        <v>377</v>
      </c>
      <c r="AF3" s="217" t="s">
        <v>69</v>
      </c>
      <c r="AG3" s="217" t="s">
        <v>69</v>
      </c>
    </row>
    <row r="4" spans="1:33" x14ac:dyDescent="0.25">
      <c r="A4" s="216" t="s">
        <v>378</v>
      </c>
      <c r="B4" s="119" t="s">
        <v>379</v>
      </c>
      <c r="C4" s="571" t="s">
        <v>380</v>
      </c>
      <c r="D4" s="544" t="s">
        <v>372</v>
      </c>
      <c r="E4" s="544"/>
      <c r="F4" s="520" t="s">
        <v>69</v>
      </c>
      <c r="G4" s="544"/>
      <c r="H4" s="520" t="s">
        <v>373</v>
      </c>
      <c r="I4" s="544"/>
      <c r="J4" s="544" t="s">
        <v>374</v>
      </c>
      <c r="K4" s="544" t="s">
        <v>23</v>
      </c>
      <c r="L4" s="544">
        <f t="shared" si="0"/>
        <v>4</v>
      </c>
      <c r="M4" s="544" t="str">
        <f t="shared" ref="M4:M71" si="3">IF($K4=$V$3,$X$3,IF($K4=$V$4,$X$4,IF($K4=$V$5,$X$5,IF($K4=$V$6,$X$6,IF($K4=$V$7,$X$7)))))</f>
        <v>Same broad habitat or a higher distinctiveness habitat required (≥)</v>
      </c>
      <c r="N4" s="544" t="s">
        <v>156</v>
      </c>
      <c r="O4" s="544">
        <f t="shared" si="1"/>
        <v>1</v>
      </c>
      <c r="P4" s="544" t="s">
        <v>156</v>
      </c>
      <c r="Q4" s="544">
        <f t="shared" si="2"/>
        <v>1</v>
      </c>
      <c r="R4" s="520"/>
      <c r="S4" s="544"/>
      <c r="V4" s="544" t="s">
        <v>153</v>
      </c>
      <c r="W4" s="544">
        <v>6</v>
      </c>
      <c r="X4" s="623" t="s">
        <v>381</v>
      </c>
      <c r="Z4" s="544" t="s">
        <v>382</v>
      </c>
      <c r="AA4" s="544">
        <v>2.5</v>
      </c>
      <c r="AD4" s="215" t="s">
        <v>383</v>
      </c>
      <c r="AF4" s="217" t="s">
        <v>70</v>
      </c>
      <c r="AG4" s="217" t="s">
        <v>70</v>
      </c>
    </row>
    <row r="5" spans="1:33" ht="41.4" x14ac:dyDescent="0.25">
      <c r="A5" s="216" t="s">
        <v>384</v>
      </c>
      <c r="B5" s="119" t="s">
        <v>385</v>
      </c>
      <c r="C5" s="571" t="s">
        <v>386</v>
      </c>
      <c r="D5" s="544" t="s">
        <v>372</v>
      </c>
      <c r="E5" s="544"/>
      <c r="F5" s="520" t="s">
        <v>69</v>
      </c>
      <c r="G5" s="544"/>
      <c r="H5" s="520" t="s">
        <v>373</v>
      </c>
      <c r="I5" s="544"/>
      <c r="J5" s="544" t="s">
        <v>374</v>
      </c>
      <c r="K5" s="544" t="s">
        <v>23</v>
      </c>
      <c r="L5" s="544">
        <f t="shared" si="0"/>
        <v>4</v>
      </c>
      <c r="M5" s="544" t="str">
        <f t="shared" si="3"/>
        <v>Same broad habitat or a higher distinctiveness habitat required (≥)</v>
      </c>
      <c r="N5" s="544" t="s">
        <v>156</v>
      </c>
      <c r="O5" s="544">
        <f t="shared" si="1"/>
        <v>1</v>
      </c>
      <c r="P5" s="544" t="s">
        <v>156</v>
      </c>
      <c r="Q5" s="544">
        <f t="shared" si="2"/>
        <v>1</v>
      </c>
      <c r="R5" s="520"/>
      <c r="S5" s="544"/>
      <c r="V5" s="544" t="s">
        <v>23</v>
      </c>
      <c r="W5" s="544">
        <v>4</v>
      </c>
      <c r="X5" s="624" t="s">
        <v>155</v>
      </c>
      <c r="Z5" s="544" t="s">
        <v>20</v>
      </c>
      <c r="AA5" s="544">
        <v>2</v>
      </c>
      <c r="AF5" s="217" t="s">
        <v>71</v>
      </c>
      <c r="AG5" s="217" t="s">
        <v>387</v>
      </c>
    </row>
    <row r="6" spans="1:33" ht="27.6" x14ac:dyDescent="0.25">
      <c r="A6" s="216" t="s">
        <v>388</v>
      </c>
      <c r="B6" s="119" t="s">
        <v>389</v>
      </c>
      <c r="C6" s="544" t="s">
        <v>390</v>
      </c>
      <c r="D6" s="544" t="s">
        <v>372</v>
      </c>
      <c r="E6" s="544" t="s">
        <v>391</v>
      </c>
      <c r="F6" s="520" t="s">
        <v>69</v>
      </c>
      <c r="G6" s="544" t="s">
        <v>392</v>
      </c>
      <c r="H6" s="520" t="s">
        <v>373</v>
      </c>
      <c r="I6" s="544" t="s">
        <v>390</v>
      </c>
      <c r="J6" s="544" t="s">
        <v>374</v>
      </c>
      <c r="K6" s="544" t="s">
        <v>23</v>
      </c>
      <c r="L6" s="544">
        <f t="shared" si="0"/>
        <v>4</v>
      </c>
      <c r="M6" s="544" t="str">
        <f t="shared" si="3"/>
        <v>Same broad habitat or a higher distinctiveness habitat required (≥)</v>
      </c>
      <c r="N6" s="544" t="s">
        <v>156</v>
      </c>
      <c r="O6" s="544">
        <f t="shared" si="1"/>
        <v>1</v>
      </c>
      <c r="P6" s="544" t="s">
        <v>156</v>
      </c>
      <c r="Q6" s="544">
        <f t="shared" si="2"/>
        <v>1</v>
      </c>
      <c r="R6" s="520"/>
      <c r="S6" s="544"/>
      <c r="V6" s="544" t="s">
        <v>156</v>
      </c>
      <c r="W6" s="544">
        <v>2</v>
      </c>
      <c r="X6" s="625" t="s">
        <v>157</v>
      </c>
      <c r="Z6" s="544" t="s">
        <v>393</v>
      </c>
      <c r="AA6" s="544">
        <v>1.5</v>
      </c>
      <c r="AF6" s="217" t="s">
        <v>72</v>
      </c>
      <c r="AG6" s="217" t="s">
        <v>72</v>
      </c>
    </row>
    <row r="7" spans="1:33" x14ac:dyDescent="0.25">
      <c r="A7" s="216" t="s">
        <v>394</v>
      </c>
      <c r="B7" s="119" t="s">
        <v>395</v>
      </c>
      <c r="C7" s="544" t="s">
        <v>396</v>
      </c>
      <c r="D7" s="544" t="s">
        <v>372</v>
      </c>
      <c r="E7" s="544"/>
      <c r="F7" s="520" t="s">
        <v>69</v>
      </c>
      <c r="G7" s="544"/>
      <c r="H7" s="520" t="s">
        <v>373</v>
      </c>
      <c r="I7" s="544" t="s">
        <v>396</v>
      </c>
      <c r="J7" s="544" t="s">
        <v>394</v>
      </c>
      <c r="K7" s="544" t="s">
        <v>156</v>
      </c>
      <c r="L7" s="544">
        <f t="shared" si="0"/>
        <v>2</v>
      </c>
      <c r="M7" s="544" t="str">
        <f t="shared" si="3"/>
        <v>Same distinctiveness or better habitat required ≥</v>
      </c>
      <c r="N7" s="544" t="s">
        <v>156</v>
      </c>
      <c r="O7" s="544">
        <f t="shared" si="1"/>
        <v>1</v>
      </c>
      <c r="P7" s="544" t="s">
        <v>156</v>
      </c>
      <c r="Q7" s="544">
        <f t="shared" si="2"/>
        <v>1</v>
      </c>
      <c r="R7" s="520"/>
      <c r="S7" s="544"/>
      <c r="V7" s="544" t="s">
        <v>397</v>
      </c>
      <c r="W7" s="544">
        <v>0</v>
      </c>
      <c r="X7" s="626" t="s">
        <v>398</v>
      </c>
      <c r="Z7" s="544" t="s">
        <v>242</v>
      </c>
      <c r="AA7" s="544">
        <v>1</v>
      </c>
      <c r="AF7" s="217" t="s">
        <v>73</v>
      </c>
      <c r="AG7" s="217" t="s">
        <v>399</v>
      </c>
    </row>
    <row r="8" spans="1:33" x14ac:dyDescent="0.25">
      <c r="A8" s="216" t="s">
        <v>400</v>
      </c>
      <c r="B8" s="119" t="s">
        <v>401</v>
      </c>
      <c r="C8" s="571" t="s">
        <v>402</v>
      </c>
      <c r="D8" s="544" t="s">
        <v>372</v>
      </c>
      <c r="E8" s="544"/>
      <c r="F8" s="520" t="s">
        <v>69</v>
      </c>
      <c r="G8" s="544"/>
      <c r="H8" s="520" t="s">
        <v>373</v>
      </c>
      <c r="I8" s="544"/>
      <c r="J8" s="544" t="s">
        <v>394</v>
      </c>
      <c r="K8" s="544" t="s">
        <v>156</v>
      </c>
      <c r="L8" s="544">
        <f t="shared" si="0"/>
        <v>2</v>
      </c>
      <c r="M8" s="544" t="str">
        <f t="shared" si="3"/>
        <v>Same distinctiveness or better habitat required ≥</v>
      </c>
      <c r="N8" s="544" t="s">
        <v>156</v>
      </c>
      <c r="O8" s="544">
        <f t="shared" si="1"/>
        <v>1</v>
      </c>
      <c r="P8" s="544" t="s">
        <v>156</v>
      </c>
      <c r="Q8" s="544">
        <f t="shared" si="2"/>
        <v>1</v>
      </c>
      <c r="R8" s="520"/>
      <c r="S8" s="544"/>
      <c r="Z8" s="544" t="s">
        <v>403</v>
      </c>
      <c r="AA8" s="544">
        <v>1</v>
      </c>
      <c r="AF8" s="654" t="s">
        <v>74</v>
      </c>
      <c r="AG8" s="654" t="s">
        <v>74</v>
      </c>
    </row>
    <row r="9" spans="1:33" x14ac:dyDescent="0.25">
      <c r="A9" s="216" t="s">
        <v>404</v>
      </c>
      <c r="B9" s="119" t="s">
        <v>405</v>
      </c>
      <c r="C9" s="544" t="s">
        <v>406</v>
      </c>
      <c r="D9" s="544" t="s">
        <v>372</v>
      </c>
      <c r="E9" s="544"/>
      <c r="F9" s="520" t="s">
        <v>69</v>
      </c>
      <c r="G9" s="544"/>
      <c r="H9" s="520" t="s">
        <v>373</v>
      </c>
      <c r="I9" s="544" t="s">
        <v>406</v>
      </c>
      <c r="J9" s="544" t="s">
        <v>404</v>
      </c>
      <c r="K9" s="544" t="s">
        <v>156</v>
      </c>
      <c r="L9" s="544">
        <f t="shared" ref="L9:L48" si="4">IF(K9=$V$3,$W$3,IF(K9=$V$3,$W$3,IF(K9=$V$4,$W$4,IF(K9=$V$5,$W$5,IF(K9=$V$6,$W$6,IF(K9=$V$7,$W$7))))))</f>
        <v>2</v>
      </c>
      <c r="M9" s="544" t="str">
        <f t="shared" si="3"/>
        <v>Same distinctiveness or better habitat required ≥</v>
      </c>
      <c r="N9" s="544" t="s">
        <v>156</v>
      </c>
      <c r="O9" s="544">
        <f t="shared" si="1"/>
        <v>1</v>
      </c>
      <c r="P9" s="544" t="s">
        <v>156</v>
      </c>
      <c r="Q9" s="544">
        <f t="shared" si="2"/>
        <v>1</v>
      </c>
      <c r="R9" s="520"/>
      <c r="S9" s="544"/>
      <c r="Z9" s="544" t="s">
        <v>407</v>
      </c>
      <c r="AA9" s="544">
        <v>0</v>
      </c>
      <c r="AF9" s="217" t="s">
        <v>75</v>
      </c>
      <c r="AG9" s="217" t="s">
        <v>75</v>
      </c>
    </row>
    <row r="10" spans="1:33" x14ac:dyDescent="0.25">
      <c r="A10" s="216" t="s">
        <v>408</v>
      </c>
      <c r="B10" s="119" t="s">
        <v>409</v>
      </c>
      <c r="C10" s="544" t="s">
        <v>410</v>
      </c>
      <c r="D10" s="544" t="s">
        <v>372</v>
      </c>
      <c r="E10" s="544"/>
      <c r="F10" s="520" t="s">
        <v>69</v>
      </c>
      <c r="G10" s="544"/>
      <c r="H10" s="520" t="s">
        <v>373</v>
      </c>
      <c r="I10" s="544" t="s">
        <v>410</v>
      </c>
      <c r="J10" s="544" t="s">
        <v>408</v>
      </c>
      <c r="K10" s="544" t="s">
        <v>156</v>
      </c>
      <c r="L10" s="544">
        <f t="shared" si="4"/>
        <v>2</v>
      </c>
      <c r="M10" s="544" t="str">
        <f t="shared" si="3"/>
        <v>Same distinctiveness or better habitat required ≥</v>
      </c>
      <c r="N10" s="544" t="s">
        <v>156</v>
      </c>
      <c r="O10" s="544">
        <f t="shared" si="1"/>
        <v>1</v>
      </c>
      <c r="P10" s="544" t="s">
        <v>156</v>
      </c>
      <c r="Q10" s="544">
        <f t="shared" si="2"/>
        <v>1</v>
      </c>
      <c r="R10" s="520"/>
      <c r="S10" s="544"/>
      <c r="AF10" s="217" t="s">
        <v>76</v>
      </c>
      <c r="AG10" s="217" t="s">
        <v>411</v>
      </c>
    </row>
    <row r="11" spans="1:33" x14ac:dyDescent="0.25">
      <c r="A11" s="216" t="s">
        <v>412</v>
      </c>
      <c r="B11" s="119" t="s">
        <v>413</v>
      </c>
      <c r="C11" s="544" t="s">
        <v>414</v>
      </c>
      <c r="D11" s="544" t="s">
        <v>372</v>
      </c>
      <c r="E11" s="544"/>
      <c r="F11" s="520" t="s">
        <v>69</v>
      </c>
      <c r="G11" s="544"/>
      <c r="H11" s="520" t="s">
        <v>373</v>
      </c>
      <c r="I11" s="544" t="s">
        <v>414</v>
      </c>
      <c r="J11" s="544" t="s">
        <v>412</v>
      </c>
      <c r="K11" s="544" t="s">
        <v>156</v>
      </c>
      <c r="L11" s="544">
        <f t="shared" si="4"/>
        <v>2</v>
      </c>
      <c r="M11" s="544" t="str">
        <f t="shared" si="3"/>
        <v>Same distinctiveness or better habitat required ≥</v>
      </c>
      <c r="N11" s="544" t="s">
        <v>156</v>
      </c>
      <c r="O11" s="544">
        <f t="shared" si="1"/>
        <v>1</v>
      </c>
      <c r="P11" s="544" t="s">
        <v>156</v>
      </c>
      <c r="Q11" s="544">
        <f t="shared" si="2"/>
        <v>1</v>
      </c>
      <c r="R11" s="520"/>
      <c r="S11" s="544"/>
      <c r="AF11" s="217" t="s">
        <v>80</v>
      </c>
      <c r="AG11" s="217" t="s">
        <v>415</v>
      </c>
    </row>
    <row r="12" spans="1:33" ht="14.4" thickBot="1" x14ac:dyDescent="0.3">
      <c r="A12" s="216" t="s">
        <v>416</v>
      </c>
      <c r="B12" s="218" t="s">
        <v>417</v>
      </c>
      <c r="C12" s="526" t="s">
        <v>418</v>
      </c>
      <c r="D12" s="526" t="s">
        <v>372</v>
      </c>
      <c r="E12" s="526"/>
      <c r="F12" s="508" t="s">
        <v>69</v>
      </c>
      <c r="G12" s="526"/>
      <c r="H12" s="508" t="s">
        <v>373</v>
      </c>
      <c r="I12" s="526" t="s">
        <v>418</v>
      </c>
      <c r="J12" s="526" t="s">
        <v>416</v>
      </c>
      <c r="K12" s="526" t="s">
        <v>156</v>
      </c>
      <c r="L12" s="526">
        <f t="shared" si="4"/>
        <v>2</v>
      </c>
      <c r="M12" s="526" t="str">
        <f t="shared" si="3"/>
        <v>Same distinctiveness or better habitat required ≥</v>
      </c>
      <c r="N12" s="526" t="s">
        <v>156</v>
      </c>
      <c r="O12" s="526">
        <f t="shared" si="1"/>
        <v>1</v>
      </c>
      <c r="P12" s="526" t="s">
        <v>156</v>
      </c>
      <c r="Q12" s="526">
        <f t="shared" si="2"/>
        <v>1</v>
      </c>
      <c r="R12" s="508"/>
      <c r="S12" s="526"/>
      <c r="AF12" s="217" t="s">
        <v>79</v>
      </c>
      <c r="AG12" s="217" t="s">
        <v>419</v>
      </c>
    </row>
    <row r="13" spans="1:33" x14ac:dyDescent="0.25">
      <c r="A13" s="216" t="s">
        <v>420</v>
      </c>
      <c r="B13" s="219" t="s">
        <v>421</v>
      </c>
      <c r="C13" s="521">
        <v>21</v>
      </c>
      <c r="D13" s="521" t="s">
        <v>372</v>
      </c>
      <c r="E13" s="521"/>
      <c r="F13" s="520" t="s">
        <v>70</v>
      </c>
      <c r="G13" s="521"/>
      <c r="H13" s="507" t="s">
        <v>420</v>
      </c>
      <c r="I13" s="521"/>
      <c r="J13" s="521" t="s">
        <v>420</v>
      </c>
      <c r="K13" s="521" t="s">
        <v>153</v>
      </c>
      <c r="L13" s="521">
        <f t="shared" si="4"/>
        <v>6</v>
      </c>
      <c r="M13" s="521" t="str">
        <f t="shared" si="3"/>
        <v>Same habitat required =</v>
      </c>
      <c r="N13" s="521" t="s">
        <v>156</v>
      </c>
      <c r="O13" s="521">
        <f t="shared" si="1"/>
        <v>1</v>
      </c>
      <c r="P13" s="521" t="s">
        <v>23</v>
      </c>
      <c r="Q13" s="521">
        <f t="shared" si="2"/>
        <v>0.67</v>
      </c>
      <c r="R13" s="507"/>
      <c r="S13" s="521"/>
      <c r="AF13" s="217" t="s">
        <v>78</v>
      </c>
      <c r="AG13" s="217" t="s">
        <v>422</v>
      </c>
    </row>
    <row r="14" spans="1:33" x14ac:dyDescent="0.25">
      <c r="A14" s="216" t="s">
        <v>423</v>
      </c>
      <c r="B14" s="119" t="s">
        <v>424</v>
      </c>
      <c r="C14" s="544" t="s">
        <v>425</v>
      </c>
      <c r="D14" s="544" t="s">
        <v>372</v>
      </c>
      <c r="E14" s="544"/>
      <c r="F14" s="520" t="s">
        <v>70</v>
      </c>
      <c r="G14" s="544"/>
      <c r="H14" s="520" t="s">
        <v>426</v>
      </c>
      <c r="I14" s="544" t="s">
        <v>425</v>
      </c>
      <c r="J14" s="544" t="s">
        <v>423</v>
      </c>
      <c r="K14" s="544" t="s">
        <v>156</v>
      </c>
      <c r="L14" s="544">
        <f t="shared" si="4"/>
        <v>2</v>
      </c>
      <c r="M14" s="544" t="str">
        <f t="shared" si="3"/>
        <v>Same distinctiveness or better habitat required ≥</v>
      </c>
      <c r="N14" s="544" t="s">
        <v>156</v>
      </c>
      <c r="O14" s="544">
        <f t="shared" si="1"/>
        <v>1</v>
      </c>
      <c r="P14" s="544" t="s">
        <v>156</v>
      </c>
      <c r="Q14" s="544">
        <f t="shared" si="2"/>
        <v>1</v>
      </c>
      <c r="R14" s="520"/>
      <c r="S14" s="544"/>
      <c r="AF14" s="217" t="s">
        <v>77</v>
      </c>
      <c r="AG14" s="217" t="s">
        <v>427</v>
      </c>
    </row>
    <row r="15" spans="1:33" x14ac:dyDescent="0.25">
      <c r="A15" s="216" t="s">
        <v>428</v>
      </c>
      <c r="B15" s="119" t="s">
        <v>429</v>
      </c>
      <c r="C15" s="544" t="s">
        <v>430</v>
      </c>
      <c r="D15" s="544" t="s">
        <v>372</v>
      </c>
      <c r="E15" s="544"/>
      <c r="F15" s="520" t="s">
        <v>70</v>
      </c>
      <c r="G15" s="544"/>
      <c r="H15" s="520" t="s">
        <v>431</v>
      </c>
      <c r="I15" s="544"/>
      <c r="J15" s="544" t="s">
        <v>431</v>
      </c>
      <c r="K15" s="544" t="s">
        <v>153</v>
      </c>
      <c r="L15" s="544">
        <f t="shared" si="4"/>
        <v>6</v>
      </c>
      <c r="M15" s="544" t="str">
        <f t="shared" si="3"/>
        <v>Same habitat required =</v>
      </c>
      <c r="N15" s="544" t="s">
        <v>153</v>
      </c>
      <c r="O15" s="544">
        <f t="shared" si="1"/>
        <v>0.33</v>
      </c>
      <c r="P15" s="544" t="s">
        <v>23</v>
      </c>
      <c r="Q15" s="544">
        <f t="shared" si="2"/>
        <v>0.67</v>
      </c>
      <c r="R15" s="520"/>
      <c r="S15" s="544"/>
      <c r="AF15" s="217" t="s">
        <v>81</v>
      </c>
      <c r="AG15" s="217" t="s">
        <v>432</v>
      </c>
    </row>
    <row r="16" spans="1:33" x14ac:dyDescent="0.25">
      <c r="A16" s="216" t="s">
        <v>433</v>
      </c>
      <c r="B16" s="119" t="s">
        <v>434</v>
      </c>
      <c r="C16" s="544" t="s">
        <v>435</v>
      </c>
      <c r="D16" s="544" t="s">
        <v>372</v>
      </c>
      <c r="E16" s="544"/>
      <c r="F16" s="520" t="s">
        <v>70</v>
      </c>
      <c r="G16" s="544" t="s">
        <v>436</v>
      </c>
      <c r="H16" s="520" t="s">
        <v>437</v>
      </c>
      <c r="I16" s="544" t="s">
        <v>435</v>
      </c>
      <c r="J16" s="572" t="s">
        <v>433</v>
      </c>
      <c r="K16" s="544" t="s">
        <v>153</v>
      </c>
      <c r="L16" s="544">
        <f t="shared" si="4"/>
        <v>6</v>
      </c>
      <c r="M16" s="544" t="str">
        <f t="shared" si="3"/>
        <v>Same habitat required =</v>
      </c>
      <c r="N16" s="544" t="s">
        <v>153</v>
      </c>
      <c r="O16" s="544">
        <f t="shared" si="1"/>
        <v>0.33</v>
      </c>
      <c r="P16" s="544" t="s">
        <v>153</v>
      </c>
      <c r="Q16" s="544">
        <f t="shared" si="2"/>
        <v>0.33</v>
      </c>
      <c r="R16" s="520"/>
      <c r="S16" s="544"/>
    </row>
    <row r="17" spans="1:19" x14ac:dyDescent="0.25">
      <c r="A17" s="216" t="s">
        <v>438</v>
      </c>
      <c r="B17" s="119" t="s">
        <v>439</v>
      </c>
      <c r="C17" s="544" t="s">
        <v>440</v>
      </c>
      <c r="D17" s="544" t="s">
        <v>372</v>
      </c>
      <c r="E17" s="544" t="s">
        <v>441</v>
      </c>
      <c r="F17" s="520" t="s">
        <v>70</v>
      </c>
      <c r="G17" s="544" t="s">
        <v>442</v>
      </c>
      <c r="H17" s="520" t="s">
        <v>426</v>
      </c>
      <c r="I17" s="544" t="s">
        <v>440</v>
      </c>
      <c r="J17" s="572" t="s">
        <v>438</v>
      </c>
      <c r="K17" s="544" t="s">
        <v>375</v>
      </c>
      <c r="L17" s="544">
        <f t="shared" si="4"/>
        <v>8</v>
      </c>
      <c r="M17" s="544" t="str">
        <f t="shared" si="3"/>
        <v>Bespoke compensation likely to be required 🛠</v>
      </c>
      <c r="N17" s="544" t="s">
        <v>153</v>
      </c>
      <c r="O17" s="544">
        <f t="shared" si="1"/>
        <v>0.33</v>
      </c>
      <c r="P17" s="544" t="s">
        <v>153</v>
      </c>
      <c r="Q17" s="544">
        <f t="shared" si="2"/>
        <v>0.33</v>
      </c>
      <c r="R17" s="520"/>
      <c r="S17" s="544"/>
    </row>
    <row r="18" spans="1:19" x14ac:dyDescent="0.25">
      <c r="A18" s="216" t="s">
        <v>443</v>
      </c>
      <c r="B18" s="119" t="s">
        <v>444</v>
      </c>
      <c r="C18" s="544" t="s">
        <v>445</v>
      </c>
      <c r="D18" s="544" t="s">
        <v>372</v>
      </c>
      <c r="E18" s="544"/>
      <c r="F18" s="520" t="s">
        <v>70</v>
      </c>
      <c r="G18" s="544" t="s">
        <v>446</v>
      </c>
      <c r="H18" s="520" t="s">
        <v>447</v>
      </c>
      <c r="I18" s="544" t="s">
        <v>445</v>
      </c>
      <c r="J18" s="572" t="s">
        <v>443</v>
      </c>
      <c r="K18" s="544" t="s">
        <v>375</v>
      </c>
      <c r="L18" s="544">
        <f t="shared" si="4"/>
        <v>8</v>
      </c>
      <c r="M18" s="544" t="str">
        <f t="shared" si="3"/>
        <v>Bespoke compensation likely to be required 🛠</v>
      </c>
      <c r="N18" s="544" t="s">
        <v>153</v>
      </c>
      <c r="O18" s="544">
        <f t="shared" si="1"/>
        <v>0.33</v>
      </c>
      <c r="P18" s="544" t="s">
        <v>23</v>
      </c>
      <c r="Q18" s="544">
        <f t="shared" si="2"/>
        <v>0.67</v>
      </c>
      <c r="R18" s="520"/>
      <c r="S18" s="544"/>
    </row>
    <row r="19" spans="1:19" x14ac:dyDescent="0.25">
      <c r="A19" s="216" t="s">
        <v>448</v>
      </c>
      <c r="B19" s="119" t="s">
        <v>449</v>
      </c>
      <c r="C19" s="544" t="s">
        <v>450</v>
      </c>
      <c r="D19" s="544" t="s">
        <v>372</v>
      </c>
      <c r="E19" s="544"/>
      <c r="F19" s="520" t="s">
        <v>70</v>
      </c>
      <c r="G19" s="544" t="s">
        <v>450</v>
      </c>
      <c r="H19" s="520" t="s">
        <v>448</v>
      </c>
      <c r="I19" s="520" t="s">
        <v>451</v>
      </c>
      <c r="J19" s="573" t="s">
        <v>448</v>
      </c>
      <c r="K19" s="544" t="s">
        <v>156</v>
      </c>
      <c r="L19" s="544">
        <f t="shared" si="4"/>
        <v>2</v>
      </c>
      <c r="M19" s="574" t="str">
        <f t="shared" si="3"/>
        <v>Same distinctiveness or better habitat required ≥</v>
      </c>
      <c r="N19" s="544" t="s">
        <v>156</v>
      </c>
      <c r="O19" s="544">
        <f t="shared" si="1"/>
        <v>1</v>
      </c>
      <c r="P19" s="544" t="s">
        <v>156</v>
      </c>
      <c r="Q19" s="544">
        <f t="shared" si="2"/>
        <v>1</v>
      </c>
      <c r="R19" s="520"/>
      <c r="S19" s="544"/>
    </row>
    <row r="20" spans="1:19" x14ac:dyDescent="0.25">
      <c r="A20" s="216" t="s">
        <v>452</v>
      </c>
      <c r="B20" s="119" t="s">
        <v>453</v>
      </c>
      <c r="C20" s="544" t="s">
        <v>454</v>
      </c>
      <c r="D20" s="544" t="s">
        <v>372</v>
      </c>
      <c r="E20" s="544"/>
      <c r="F20" s="520" t="s">
        <v>70</v>
      </c>
      <c r="G20" s="544"/>
      <c r="H20" s="520" t="s">
        <v>426</v>
      </c>
      <c r="I20" s="544" t="s">
        <v>454</v>
      </c>
      <c r="J20" s="544" t="s">
        <v>452</v>
      </c>
      <c r="K20" s="544" t="s">
        <v>23</v>
      </c>
      <c r="L20" s="544">
        <f t="shared" si="4"/>
        <v>4</v>
      </c>
      <c r="M20" s="544" t="str">
        <f t="shared" si="3"/>
        <v>Same broad habitat or a higher distinctiveness habitat required (≥)</v>
      </c>
      <c r="N20" s="544" t="s">
        <v>156</v>
      </c>
      <c r="O20" s="544">
        <f t="shared" si="1"/>
        <v>1</v>
      </c>
      <c r="P20" s="544" t="s">
        <v>156</v>
      </c>
      <c r="Q20" s="544">
        <f t="shared" si="2"/>
        <v>1</v>
      </c>
      <c r="R20" s="520"/>
      <c r="S20" s="544"/>
    </row>
    <row r="21" spans="1:19" x14ac:dyDescent="0.25">
      <c r="A21" s="216" t="s">
        <v>455</v>
      </c>
      <c r="B21" s="119" t="s">
        <v>456</v>
      </c>
      <c r="C21" s="544" t="s">
        <v>457</v>
      </c>
      <c r="D21" s="544" t="s">
        <v>372</v>
      </c>
      <c r="E21" s="544"/>
      <c r="F21" s="520" t="s">
        <v>70</v>
      </c>
      <c r="G21" s="544"/>
      <c r="H21" s="520" t="s">
        <v>447</v>
      </c>
      <c r="I21" s="544" t="s">
        <v>457</v>
      </c>
      <c r="J21" s="544" t="s">
        <v>455</v>
      </c>
      <c r="K21" s="544" t="s">
        <v>23</v>
      </c>
      <c r="L21" s="544">
        <f t="shared" si="4"/>
        <v>4</v>
      </c>
      <c r="M21" s="544" t="str">
        <f t="shared" si="3"/>
        <v>Same broad habitat or a higher distinctiveness habitat required (≥)</v>
      </c>
      <c r="N21" s="544" t="s">
        <v>156</v>
      </c>
      <c r="O21" s="544">
        <f t="shared" si="1"/>
        <v>1</v>
      </c>
      <c r="P21" s="544" t="s">
        <v>156</v>
      </c>
      <c r="Q21" s="544">
        <f t="shared" si="2"/>
        <v>1</v>
      </c>
      <c r="R21" s="520"/>
      <c r="S21" s="544"/>
    </row>
    <row r="22" spans="1:19" x14ac:dyDescent="0.25">
      <c r="A22" s="216" t="s">
        <v>458</v>
      </c>
      <c r="B22" s="119" t="s">
        <v>459</v>
      </c>
      <c r="C22" s="544" t="s">
        <v>460</v>
      </c>
      <c r="D22" s="544" t="s">
        <v>372</v>
      </c>
      <c r="E22" s="544"/>
      <c r="F22" s="520" t="s">
        <v>70</v>
      </c>
      <c r="G22" s="544" t="s">
        <v>461</v>
      </c>
      <c r="H22" s="520" t="s">
        <v>462</v>
      </c>
      <c r="I22" s="520"/>
      <c r="J22" s="544" t="s">
        <v>458</v>
      </c>
      <c r="K22" s="544" t="s">
        <v>153</v>
      </c>
      <c r="L22" s="544">
        <f t="shared" si="4"/>
        <v>6</v>
      </c>
      <c r="M22" s="544" t="str">
        <f t="shared" si="3"/>
        <v>Same habitat required =</v>
      </c>
      <c r="N22" s="544" t="s">
        <v>153</v>
      </c>
      <c r="O22" s="544">
        <f t="shared" si="1"/>
        <v>0.33</v>
      </c>
      <c r="P22" s="544" t="s">
        <v>153</v>
      </c>
      <c r="Q22" s="544">
        <f t="shared" si="2"/>
        <v>0.33</v>
      </c>
      <c r="R22" s="520"/>
      <c r="S22" s="544"/>
    </row>
    <row r="23" spans="1:19" x14ac:dyDescent="0.25">
      <c r="A23" s="216" t="s">
        <v>463</v>
      </c>
      <c r="B23" s="119" t="s">
        <v>464</v>
      </c>
      <c r="C23" s="544" t="s">
        <v>465</v>
      </c>
      <c r="D23" s="544" t="s">
        <v>372</v>
      </c>
      <c r="E23" s="544"/>
      <c r="F23" s="520" t="s">
        <v>70</v>
      </c>
      <c r="G23" s="544"/>
      <c r="H23" s="520" t="s">
        <v>426</v>
      </c>
      <c r="I23" s="544" t="s">
        <v>465</v>
      </c>
      <c r="J23" s="572" t="s">
        <v>463</v>
      </c>
      <c r="K23" s="544" t="s">
        <v>23</v>
      </c>
      <c r="L23" s="544">
        <f t="shared" si="4"/>
        <v>4</v>
      </c>
      <c r="M23" s="544" t="str">
        <f t="shared" si="3"/>
        <v>Same broad habitat or a higher distinctiveness habitat required (≥)</v>
      </c>
      <c r="N23" s="544" t="s">
        <v>156</v>
      </c>
      <c r="O23" s="544">
        <f t="shared" si="1"/>
        <v>1</v>
      </c>
      <c r="P23" s="544" t="s">
        <v>156</v>
      </c>
      <c r="Q23" s="544">
        <f t="shared" si="2"/>
        <v>1</v>
      </c>
      <c r="R23" s="520"/>
      <c r="S23" s="544"/>
    </row>
    <row r="24" spans="1:19" x14ac:dyDescent="0.25">
      <c r="A24" s="216" t="s">
        <v>466</v>
      </c>
      <c r="B24" s="119" t="s">
        <v>467</v>
      </c>
      <c r="C24" s="544" t="s">
        <v>468</v>
      </c>
      <c r="D24" s="544" t="s">
        <v>372</v>
      </c>
      <c r="E24" s="544"/>
      <c r="F24" s="520" t="s">
        <v>70</v>
      </c>
      <c r="G24" s="544"/>
      <c r="H24" s="520" t="s">
        <v>437</v>
      </c>
      <c r="I24" s="544" t="s">
        <v>468</v>
      </c>
      <c r="J24" s="572" t="s">
        <v>466</v>
      </c>
      <c r="K24" s="544" t="s">
        <v>153</v>
      </c>
      <c r="L24" s="544">
        <f t="shared" si="4"/>
        <v>6</v>
      </c>
      <c r="M24" s="544" t="str">
        <f t="shared" si="3"/>
        <v>Same habitat required =</v>
      </c>
      <c r="N24" s="544" t="s">
        <v>153</v>
      </c>
      <c r="O24" s="544">
        <f t="shared" si="1"/>
        <v>0.33</v>
      </c>
      <c r="P24" s="544" t="s">
        <v>153</v>
      </c>
      <c r="Q24" s="544">
        <f t="shared" si="2"/>
        <v>0.33</v>
      </c>
      <c r="R24" s="520"/>
      <c r="S24" s="544"/>
    </row>
    <row r="25" spans="1:19" ht="14.4" thickBot="1" x14ac:dyDescent="0.3">
      <c r="A25" s="216" t="s">
        <v>469</v>
      </c>
      <c r="B25" s="218" t="s">
        <v>470</v>
      </c>
      <c r="C25" s="526" t="s">
        <v>471</v>
      </c>
      <c r="D25" s="526" t="s">
        <v>372</v>
      </c>
      <c r="E25" s="526"/>
      <c r="F25" s="508" t="s">
        <v>70</v>
      </c>
      <c r="G25" s="526"/>
      <c r="H25" s="508" t="s">
        <v>447</v>
      </c>
      <c r="I25" s="526" t="s">
        <v>471</v>
      </c>
      <c r="J25" s="575" t="s">
        <v>469</v>
      </c>
      <c r="K25" s="526" t="s">
        <v>375</v>
      </c>
      <c r="L25" s="526">
        <f t="shared" si="4"/>
        <v>8</v>
      </c>
      <c r="M25" s="526" t="str">
        <f t="shared" si="3"/>
        <v>Bespoke compensation likely to be required 🛠</v>
      </c>
      <c r="N25" s="526" t="s">
        <v>153</v>
      </c>
      <c r="O25" s="526">
        <f t="shared" si="1"/>
        <v>0.33</v>
      </c>
      <c r="P25" s="526" t="s">
        <v>23</v>
      </c>
      <c r="Q25" s="526">
        <f t="shared" si="2"/>
        <v>0.67</v>
      </c>
      <c r="R25" s="508"/>
      <c r="S25" s="526"/>
    </row>
    <row r="26" spans="1:19" x14ac:dyDescent="0.25">
      <c r="A26" s="216" t="s">
        <v>472</v>
      </c>
      <c r="B26" s="219" t="s">
        <v>473</v>
      </c>
      <c r="C26" s="521" t="s">
        <v>474</v>
      </c>
      <c r="D26" s="521" t="s">
        <v>372</v>
      </c>
      <c r="E26" s="521"/>
      <c r="F26" s="507" t="s">
        <v>71</v>
      </c>
      <c r="G26" s="521" t="s">
        <v>475</v>
      </c>
      <c r="H26" s="507" t="s">
        <v>476</v>
      </c>
      <c r="I26" s="521" t="s">
        <v>474</v>
      </c>
      <c r="J26" s="521" t="s">
        <v>472</v>
      </c>
      <c r="K26" s="521" t="s">
        <v>23</v>
      </c>
      <c r="L26" s="521">
        <f t="shared" si="4"/>
        <v>4</v>
      </c>
      <c r="M26" s="521" t="str">
        <f t="shared" si="3"/>
        <v>Same broad habitat or a higher distinctiveness habitat required (≥)</v>
      </c>
      <c r="N26" s="521" t="s">
        <v>156</v>
      </c>
      <c r="O26" s="521">
        <f t="shared" si="1"/>
        <v>1</v>
      </c>
      <c r="P26" s="521" t="s">
        <v>156</v>
      </c>
      <c r="Q26" s="521">
        <f t="shared" si="2"/>
        <v>1</v>
      </c>
      <c r="R26" s="507"/>
      <c r="S26" s="521"/>
    </row>
    <row r="27" spans="1:19" x14ac:dyDescent="0.25">
      <c r="A27" s="216" t="s">
        <v>477</v>
      </c>
      <c r="B27" s="119" t="s">
        <v>478</v>
      </c>
      <c r="C27" s="544" t="s">
        <v>479</v>
      </c>
      <c r="D27" s="544" t="s">
        <v>372</v>
      </c>
      <c r="E27" s="544"/>
      <c r="F27" s="520" t="s">
        <v>71</v>
      </c>
      <c r="G27" s="544"/>
      <c r="H27" s="520" t="s">
        <v>476</v>
      </c>
      <c r="I27" s="544" t="s">
        <v>479</v>
      </c>
      <c r="J27" s="544" t="s">
        <v>477</v>
      </c>
      <c r="K27" s="544" t="s">
        <v>23</v>
      </c>
      <c r="L27" s="544">
        <f t="shared" si="4"/>
        <v>4</v>
      </c>
      <c r="M27" s="544" t="str">
        <f t="shared" si="3"/>
        <v>Same broad habitat or a higher distinctiveness habitat required (≥)</v>
      </c>
      <c r="N27" s="544" t="s">
        <v>156</v>
      </c>
      <c r="O27" s="544">
        <f t="shared" si="1"/>
        <v>1</v>
      </c>
      <c r="P27" s="544" t="s">
        <v>156</v>
      </c>
      <c r="Q27" s="544">
        <f t="shared" si="2"/>
        <v>1</v>
      </c>
      <c r="R27" s="520"/>
      <c r="S27" s="544"/>
    </row>
    <row r="28" spans="1:19" x14ac:dyDescent="0.25">
      <c r="A28" s="216" t="s">
        <v>480</v>
      </c>
      <c r="B28" s="119" t="s">
        <v>481</v>
      </c>
      <c r="C28" s="544" t="s">
        <v>482</v>
      </c>
      <c r="D28" s="544" t="s">
        <v>372</v>
      </c>
      <c r="E28" s="544"/>
      <c r="F28" s="520" t="s">
        <v>71</v>
      </c>
      <c r="G28" s="544"/>
      <c r="H28" s="520" t="s">
        <v>476</v>
      </c>
      <c r="I28" s="544" t="s">
        <v>482</v>
      </c>
      <c r="J28" s="544" t="s">
        <v>480</v>
      </c>
      <c r="K28" s="544" t="s">
        <v>23</v>
      </c>
      <c r="L28" s="544">
        <f t="shared" si="4"/>
        <v>4</v>
      </c>
      <c r="M28" s="544" t="str">
        <f t="shared" si="3"/>
        <v>Same broad habitat or a higher distinctiveness habitat required (≥)</v>
      </c>
      <c r="N28" s="544" t="s">
        <v>156</v>
      </c>
      <c r="O28" s="544">
        <f t="shared" si="1"/>
        <v>1</v>
      </c>
      <c r="P28" s="544" t="s">
        <v>156</v>
      </c>
      <c r="Q28" s="544">
        <f t="shared" si="2"/>
        <v>1</v>
      </c>
      <c r="R28" s="520"/>
      <c r="S28" s="544"/>
    </row>
    <row r="29" spans="1:19" x14ac:dyDescent="0.25">
      <c r="A29" s="216" t="s">
        <v>483</v>
      </c>
      <c r="B29" s="119" t="s">
        <v>484</v>
      </c>
      <c r="C29" s="544" t="s">
        <v>485</v>
      </c>
      <c r="D29" s="544" t="s">
        <v>372</v>
      </c>
      <c r="E29" s="544"/>
      <c r="F29" s="520" t="s">
        <v>71</v>
      </c>
      <c r="G29" s="544"/>
      <c r="H29" s="520" t="s">
        <v>476</v>
      </c>
      <c r="I29" s="544" t="s">
        <v>485</v>
      </c>
      <c r="J29" s="544" t="s">
        <v>483</v>
      </c>
      <c r="K29" s="544" t="s">
        <v>23</v>
      </c>
      <c r="L29" s="544">
        <f t="shared" si="4"/>
        <v>4</v>
      </c>
      <c r="M29" s="544" t="str">
        <f t="shared" si="3"/>
        <v>Same broad habitat or a higher distinctiveness habitat required (≥)</v>
      </c>
      <c r="N29" s="544" t="s">
        <v>156</v>
      </c>
      <c r="O29" s="544">
        <f t="shared" si="1"/>
        <v>1</v>
      </c>
      <c r="P29" s="544" t="s">
        <v>156</v>
      </c>
      <c r="Q29" s="544">
        <f t="shared" si="2"/>
        <v>1</v>
      </c>
      <c r="R29" s="520"/>
      <c r="S29" s="544"/>
    </row>
    <row r="30" spans="1:19" x14ac:dyDescent="0.25">
      <c r="A30" s="216" t="s">
        <v>486</v>
      </c>
      <c r="B30" s="119" t="s">
        <v>487</v>
      </c>
      <c r="C30" s="544" t="s">
        <v>488</v>
      </c>
      <c r="D30" s="544" t="s">
        <v>372</v>
      </c>
      <c r="E30" s="544"/>
      <c r="F30" s="520" t="s">
        <v>71</v>
      </c>
      <c r="G30" s="544"/>
      <c r="H30" s="520" t="s">
        <v>476</v>
      </c>
      <c r="I30" s="544" t="s">
        <v>488</v>
      </c>
      <c r="J30" s="544" t="s">
        <v>486</v>
      </c>
      <c r="K30" s="544" t="s">
        <v>23</v>
      </c>
      <c r="L30" s="544">
        <f t="shared" si="4"/>
        <v>4</v>
      </c>
      <c r="M30" s="544" t="str">
        <f t="shared" si="3"/>
        <v>Same broad habitat or a higher distinctiveness habitat required (≥)</v>
      </c>
      <c r="N30" s="544" t="s">
        <v>156</v>
      </c>
      <c r="O30" s="544">
        <f t="shared" si="1"/>
        <v>1</v>
      </c>
      <c r="P30" s="544" t="s">
        <v>156</v>
      </c>
      <c r="Q30" s="544">
        <f t="shared" si="2"/>
        <v>1</v>
      </c>
      <c r="R30" s="520"/>
      <c r="S30" s="544"/>
    </row>
    <row r="31" spans="1:19" x14ac:dyDescent="0.25">
      <c r="A31" s="216" t="s">
        <v>489</v>
      </c>
      <c r="B31" s="119" t="s">
        <v>490</v>
      </c>
      <c r="C31" s="544" t="s">
        <v>491</v>
      </c>
      <c r="D31" s="544" t="s">
        <v>372</v>
      </c>
      <c r="E31" s="544" t="s">
        <v>492</v>
      </c>
      <c r="F31" s="520" t="s">
        <v>71</v>
      </c>
      <c r="G31" s="544" t="s">
        <v>493</v>
      </c>
      <c r="H31" s="520" t="s">
        <v>494</v>
      </c>
      <c r="I31" s="544" t="s">
        <v>491</v>
      </c>
      <c r="J31" s="572" t="s">
        <v>489</v>
      </c>
      <c r="K31" s="544" t="s">
        <v>153</v>
      </c>
      <c r="L31" s="544">
        <f t="shared" si="4"/>
        <v>6</v>
      </c>
      <c r="M31" s="544" t="str">
        <f t="shared" si="3"/>
        <v>Same habitat required =</v>
      </c>
      <c r="N31" s="544" t="s">
        <v>153</v>
      </c>
      <c r="O31" s="544">
        <f t="shared" si="1"/>
        <v>0.33</v>
      </c>
      <c r="P31" s="544" t="s">
        <v>23</v>
      </c>
      <c r="Q31" s="544">
        <f t="shared" si="2"/>
        <v>0.67</v>
      </c>
      <c r="R31" s="520"/>
      <c r="S31" s="544"/>
    </row>
    <row r="32" spans="1:19" ht="27.6" x14ac:dyDescent="0.25">
      <c r="A32" s="216" t="s">
        <v>495</v>
      </c>
      <c r="B32" s="119" t="s">
        <v>496</v>
      </c>
      <c r="C32" s="544" t="s">
        <v>497</v>
      </c>
      <c r="D32" s="544" t="s">
        <v>372</v>
      </c>
      <c r="E32" s="544"/>
      <c r="F32" s="520" t="s">
        <v>71</v>
      </c>
      <c r="G32" s="544"/>
      <c r="H32" s="520" t="s">
        <v>476</v>
      </c>
      <c r="I32" s="544" t="s">
        <v>497</v>
      </c>
      <c r="J32" s="544" t="s">
        <v>495</v>
      </c>
      <c r="K32" s="544" t="s">
        <v>23</v>
      </c>
      <c r="L32" s="544">
        <f t="shared" si="4"/>
        <v>4</v>
      </c>
      <c r="M32" s="544" t="str">
        <f t="shared" si="3"/>
        <v>Same broad habitat or a higher distinctiveness habitat required (≥)</v>
      </c>
      <c r="N32" s="544" t="s">
        <v>156</v>
      </c>
      <c r="O32" s="544">
        <f t="shared" si="1"/>
        <v>1</v>
      </c>
      <c r="P32" s="544" t="s">
        <v>156</v>
      </c>
      <c r="Q32" s="544">
        <f t="shared" si="2"/>
        <v>1</v>
      </c>
      <c r="R32" s="520" t="s">
        <v>498</v>
      </c>
      <c r="S32" s="544"/>
    </row>
    <row r="33" spans="1:19" x14ac:dyDescent="0.25">
      <c r="A33" s="216" t="s">
        <v>499</v>
      </c>
      <c r="B33" s="119" t="s">
        <v>500</v>
      </c>
      <c r="C33" s="544" t="s">
        <v>501</v>
      </c>
      <c r="D33" s="544" t="s">
        <v>372</v>
      </c>
      <c r="E33" s="544"/>
      <c r="F33" s="520" t="s">
        <v>71</v>
      </c>
      <c r="G33" s="544"/>
      <c r="H33" s="520" t="s">
        <v>494</v>
      </c>
      <c r="I33" s="544" t="s">
        <v>501</v>
      </c>
      <c r="J33" s="572" t="s">
        <v>499</v>
      </c>
      <c r="K33" s="544" t="s">
        <v>375</v>
      </c>
      <c r="L33" s="544">
        <f t="shared" si="4"/>
        <v>8</v>
      </c>
      <c r="M33" s="544" t="str">
        <f t="shared" si="3"/>
        <v>Bespoke compensation likely to be required 🛠</v>
      </c>
      <c r="N33" s="544" t="s">
        <v>153</v>
      </c>
      <c r="O33" s="544">
        <f t="shared" si="1"/>
        <v>0.33</v>
      </c>
      <c r="P33" s="544" t="s">
        <v>153</v>
      </c>
      <c r="Q33" s="544">
        <f t="shared" si="2"/>
        <v>0.33</v>
      </c>
      <c r="R33" s="520"/>
      <c r="S33" s="544"/>
    </row>
    <row r="34" spans="1:19" x14ac:dyDescent="0.25">
      <c r="A34" s="216" t="s">
        <v>502</v>
      </c>
      <c r="B34" s="119" t="s">
        <v>503</v>
      </c>
      <c r="C34" s="544" t="s">
        <v>504</v>
      </c>
      <c r="D34" s="544" t="s">
        <v>372</v>
      </c>
      <c r="E34" s="544"/>
      <c r="F34" s="520" t="s">
        <v>71</v>
      </c>
      <c r="G34" s="544"/>
      <c r="H34" s="520" t="s">
        <v>476</v>
      </c>
      <c r="I34" s="544" t="s">
        <v>504</v>
      </c>
      <c r="J34" s="544" t="s">
        <v>502</v>
      </c>
      <c r="K34" s="544" t="s">
        <v>156</v>
      </c>
      <c r="L34" s="544">
        <f t="shared" si="4"/>
        <v>2</v>
      </c>
      <c r="M34" s="544" t="str">
        <f t="shared" si="3"/>
        <v>Same distinctiveness or better habitat required ≥</v>
      </c>
      <c r="N34" s="544" t="s">
        <v>156</v>
      </c>
      <c r="O34" s="544">
        <f t="shared" ref="O34:O64" si="5">VLOOKUP(N34,Difficulty,2,FALSE)</f>
        <v>1</v>
      </c>
      <c r="P34" s="544" t="s">
        <v>156</v>
      </c>
      <c r="Q34" s="544">
        <f t="shared" ref="Q34:Q64" si="6">VLOOKUP(P34,Difficulty,2,FALSE)</f>
        <v>1</v>
      </c>
      <c r="R34" s="520"/>
      <c r="S34" s="544"/>
    </row>
    <row r="35" spans="1:19" x14ac:dyDescent="0.25">
      <c r="A35" s="216" t="s">
        <v>505</v>
      </c>
      <c r="B35" s="119" t="s">
        <v>506</v>
      </c>
      <c r="C35" s="544" t="s">
        <v>507</v>
      </c>
      <c r="D35" s="544" t="s">
        <v>372</v>
      </c>
      <c r="E35" s="544"/>
      <c r="F35" s="520" t="s">
        <v>71</v>
      </c>
      <c r="G35" s="544"/>
      <c r="H35" s="520" t="s">
        <v>476</v>
      </c>
      <c r="I35" s="544" t="s">
        <v>508</v>
      </c>
      <c r="J35" s="544" t="s">
        <v>509</v>
      </c>
      <c r="K35" s="544" t="s">
        <v>153</v>
      </c>
      <c r="L35" s="544">
        <f t="shared" si="4"/>
        <v>6</v>
      </c>
      <c r="M35" s="544" t="str">
        <f t="shared" si="3"/>
        <v>Same habitat required =</v>
      </c>
      <c r="N35" s="544" t="s">
        <v>23</v>
      </c>
      <c r="O35" s="544">
        <f t="shared" si="5"/>
        <v>0.67</v>
      </c>
      <c r="P35" s="544" t="s">
        <v>156</v>
      </c>
      <c r="Q35" s="544">
        <f t="shared" si="6"/>
        <v>1</v>
      </c>
      <c r="R35" s="520"/>
      <c r="S35" s="544"/>
    </row>
    <row r="36" spans="1:19" x14ac:dyDescent="0.25">
      <c r="A36" s="216" t="s">
        <v>510</v>
      </c>
      <c r="B36" s="119" t="s">
        <v>511</v>
      </c>
      <c r="C36" s="544" t="s">
        <v>512</v>
      </c>
      <c r="D36" s="544" t="s">
        <v>372</v>
      </c>
      <c r="E36" s="544"/>
      <c r="F36" s="520" t="s">
        <v>71</v>
      </c>
      <c r="G36" s="544"/>
      <c r="H36" s="520" t="s">
        <v>476</v>
      </c>
      <c r="I36" s="544" t="s">
        <v>508</v>
      </c>
      <c r="J36" s="544" t="s">
        <v>513</v>
      </c>
      <c r="K36" s="544" t="s">
        <v>156</v>
      </c>
      <c r="L36" s="544">
        <f t="shared" ref="L36" si="7">IF(K36=$V$3,$W$3,IF(K36=$V$3,$W$3,IF(K36=$V$4,$W$4,IF(K36=$V$5,$W$5,IF(K36=$V$6,$W$6,IF(K36=$V$7,$W$7))))))</f>
        <v>2</v>
      </c>
      <c r="M36" s="544" t="str">
        <f t="shared" si="3"/>
        <v>Same distinctiveness or better habitat required ≥</v>
      </c>
      <c r="N36" s="544" t="s">
        <v>156</v>
      </c>
      <c r="O36" s="544">
        <f t="shared" si="5"/>
        <v>1</v>
      </c>
      <c r="P36" s="544" t="s">
        <v>156</v>
      </c>
      <c r="Q36" s="544">
        <f t="shared" si="6"/>
        <v>1</v>
      </c>
      <c r="R36" s="520"/>
      <c r="S36" s="544"/>
    </row>
    <row r="37" spans="1:19" ht="14.4" thickBot="1" x14ac:dyDescent="0.3">
      <c r="A37" s="216" t="s">
        <v>514</v>
      </c>
      <c r="B37" s="218" t="s">
        <v>515</v>
      </c>
      <c r="C37" s="526" t="s">
        <v>516</v>
      </c>
      <c r="D37" s="526" t="s">
        <v>372</v>
      </c>
      <c r="E37" s="526"/>
      <c r="F37" s="508" t="s">
        <v>71</v>
      </c>
      <c r="G37" s="526"/>
      <c r="H37" s="508" t="s">
        <v>494</v>
      </c>
      <c r="I37" s="526" t="s">
        <v>516</v>
      </c>
      <c r="J37" s="575" t="s">
        <v>514</v>
      </c>
      <c r="K37" s="526" t="s">
        <v>153</v>
      </c>
      <c r="L37" s="526">
        <f t="shared" si="4"/>
        <v>6</v>
      </c>
      <c r="M37" s="526" t="str">
        <f t="shared" si="3"/>
        <v>Same habitat required =</v>
      </c>
      <c r="N37" s="526" t="s">
        <v>23</v>
      </c>
      <c r="O37" s="526">
        <f t="shared" si="5"/>
        <v>0.67</v>
      </c>
      <c r="P37" s="526" t="s">
        <v>23</v>
      </c>
      <c r="Q37" s="526">
        <f t="shared" si="6"/>
        <v>0.67</v>
      </c>
      <c r="R37" s="508"/>
      <c r="S37" s="526"/>
    </row>
    <row r="38" spans="1:19" x14ac:dyDescent="0.25">
      <c r="A38" s="216" t="s">
        <v>517</v>
      </c>
      <c r="B38" s="219" t="s">
        <v>518</v>
      </c>
      <c r="C38" s="521" t="s">
        <v>519</v>
      </c>
      <c r="D38" s="521" t="s">
        <v>520</v>
      </c>
      <c r="E38" s="521"/>
      <c r="F38" s="507" t="s">
        <v>72</v>
      </c>
      <c r="G38" s="521"/>
      <c r="H38" s="507" t="s">
        <v>521</v>
      </c>
      <c r="I38" s="521" t="s">
        <v>519</v>
      </c>
      <c r="J38" s="576" t="s">
        <v>517</v>
      </c>
      <c r="K38" s="521" t="s">
        <v>375</v>
      </c>
      <c r="L38" s="521">
        <f t="shared" si="4"/>
        <v>8</v>
      </c>
      <c r="M38" s="521" t="str">
        <f t="shared" si="3"/>
        <v>Bespoke compensation likely to be required 🛠</v>
      </c>
      <c r="N38" s="521" t="s">
        <v>151</v>
      </c>
      <c r="O38" s="521">
        <f t="shared" si="5"/>
        <v>0.1</v>
      </c>
      <c r="P38" s="521" t="s">
        <v>153</v>
      </c>
      <c r="Q38" s="521">
        <f t="shared" si="6"/>
        <v>0.33</v>
      </c>
      <c r="R38" s="507"/>
      <c r="S38" s="521"/>
    </row>
    <row r="39" spans="1:19" x14ac:dyDescent="0.25">
      <c r="A39" s="216" t="s">
        <v>522</v>
      </c>
      <c r="B39" s="119" t="s">
        <v>523</v>
      </c>
      <c r="C39" s="544">
        <v>362</v>
      </c>
      <c r="D39" s="544" t="s">
        <v>372</v>
      </c>
      <c r="E39" s="544"/>
      <c r="F39" s="520" t="s">
        <v>74</v>
      </c>
      <c r="G39" s="544"/>
      <c r="H39" s="520" t="s">
        <v>524</v>
      </c>
      <c r="I39" s="544"/>
      <c r="J39" s="544" t="s">
        <v>522</v>
      </c>
      <c r="K39" s="544" t="s">
        <v>156</v>
      </c>
      <c r="L39" s="544">
        <f>IF(K39=$V$3,$W$3,IF(K39=$V$3,$W$3,IF(K39=$V$4,$W$4,IF(K39=$V$5,$W$5,IF(K39=$V$6,$W$6,IF(K39=$V$7,$W$7))))))</f>
        <v>2</v>
      </c>
      <c r="M39" s="544" t="str">
        <f>IF($K39=$V$3,$X$3,IF($K39=$V$4,$X$4,IF($K39=$V$5,$X$5,IF($K39=$V$6,$X$6,IF($K39=$V$7,$X$7)))))</f>
        <v>Same distinctiveness or better habitat required ≥</v>
      </c>
      <c r="N39" s="544" t="s">
        <v>156</v>
      </c>
      <c r="O39" s="544">
        <f>VLOOKUP(N39,Difficulty,2,FALSE)</f>
        <v>1</v>
      </c>
      <c r="P39" s="544" t="s">
        <v>153</v>
      </c>
      <c r="Q39" s="544">
        <f>VLOOKUP(P39,Difficulty,2,FALSE)</f>
        <v>0.33</v>
      </c>
      <c r="R39" s="520"/>
      <c r="S39" s="544"/>
    </row>
    <row r="40" spans="1:19" x14ac:dyDescent="0.25">
      <c r="A40" s="216" t="s">
        <v>525</v>
      </c>
      <c r="B40" s="119" t="s">
        <v>526</v>
      </c>
      <c r="C40" s="544" t="s">
        <v>527</v>
      </c>
      <c r="D40" s="544" t="s">
        <v>520</v>
      </c>
      <c r="E40" s="544"/>
      <c r="F40" s="520" t="s">
        <v>72</v>
      </c>
      <c r="G40" s="544"/>
      <c r="H40" s="520" t="s">
        <v>521</v>
      </c>
      <c r="I40" s="544"/>
      <c r="J40" s="572"/>
      <c r="K40" s="544" t="s">
        <v>153</v>
      </c>
      <c r="L40" s="544">
        <f t="shared" ref="L40:L45" si="8">IF(K40=$V$3,$W$3,IF(K40=$V$3,$W$3,IF(K40=$V$4,$W$4,IF(K40=$V$5,$W$5,IF(K40=$V$6,$W$6,IF(K40=$V$7,$W$7))))))</f>
        <v>6</v>
      </c>
      <c r="M40" s="544" t="str">
        <f t="shared" si="3"/>
        <v>Same habitat required =</v>
      </c>
      <c r="N40" s="544" t="s">
        <v>153</v>
      </c>
      <c r="O40" s="544">
        <f t="shared" si="5"/>
        <v>0.33</v>
      </c>
      <c r="P40" s="544" t="s">
        <v>153</v>
      </c>
      <c r="Q40" s="544">
        <f t="shared" si="6"/>
        <v>0.33</v>
      </c>
      <c r="R40" s="520"/>
      <c r="S40" s="544"/>
    </row>
    <row r="41" spans="1:19" x14ac:dyDescent="0.25">
      <c r="A41" s="216" t="s">
        <v>528</v>
      </c>
      <c r="B41" s="119" t="s">
        <v>529</v>
      </c>
      <c r="C41" s="544" t="s">
        <v>530</v>
      </c>
      <c r="D41" s="544" t="s">
        <v>520</v>
      </c>
      <c r="E41" s="544"/>
      <c r="F41" s="520" t="s">
        <v>72</v>
      </c>
      <c r="G41" s="544"/>
      <c r="H41" s="520" t="s">
        <v>521</v>
      </c>
      <c r="I41" s="544"/>
      <c r="J41" s="572"/>
      <c r="K41" s="544" t="s">
        <v>153</v>
      </c>
      <c r="L41" s="544">
        <f t="shared" si="8"/>
        <v>6</v>
      </c>
      <c r="M41" s="544" t="str">
        <f t="shared" si="3"/>
        <v>Same habitat required =</v>
      </c>
      <c r="N41" s="544" t="s">
        <v>153</v>
      </c>
      <c r="O41" s="544">
        <f t="shared" si="5"/>
        <v>0.33</v>
      </c>
      <c r="P41" s="544" t="s">
        <v>23</v>
      </c>
      <c r="Q41" s="544">
        <f t="shared" si="6"/>
        <v>0.67</v>
      </c>
      <c r="R41" s="520"/>
      <c r="S41" s="544"/>
    </row>
    <row r="42" spans="1:19" x14ac:dyDescent="0.25">
      <c r="A42" s="216" t="s">
        <v>531</v>
      </c>
      <c r="B42" s="119" t="s">
        <v>532</v>
      </c>
      <c r="C42" s="544" t="s">
        <v>533</v>
      </c>
      <c r="D42" s="544" t="s">
        <v>520</v>
      </c>
      <c r="E42" s="544"/>
      <c r="F42" s="520" t="s">
        <v>72</v>
      </c>
      <c r="G42" s="544"/>
      <c r="H42" s="520" t="s">
        <v>521</v>
      </c>
      <c r="I42" s="544"/>
      <c r="J42" s="572"/>
      <c r="K42" s="544" t="s">
        <v>153</v>
      </c>
      <c r="L42" s="544">
        <f t="shared" si="8"/>
        <v>6</v>
      </c>
      <c r="M42" s="544" t="str">
        <f t="shared" si="3"/>
        <v>Same habitat required =</v>
      </c>
      <c r="N42" s="544" t="s">
        <v>153</v>
      </c>
      <c r="O42" s="544">
        <f t="shared" si="5"/>
        <v>0.33</v>
      </c>
      <c r="P42" s="544" t="s">
        <v>153</v>
      </c>
      <c r="Q42" s="544">
        <f t="shared" si="6"/>
        <v>0.33</v>
      </c>
      <c r="R42" s="520"/>
      <c r="S42" s="544"/>
    </row>
    <row r="43" spans="1:19" x14ac:dyDescent="0.25">
      <c r="A43" s="216" t="s">
        <v>534</v>
      </c>
      <c r="B43" s="119" t="s">
        <v>535</v>
      </c>
      <c r="C43" s="544" t="s">
        <v>536</v>
      </c>
      <c r="D43" s="544" t="s">
        <v>520</v>
      </c>
      <c r="E43" s="544"/>
      <c r="F43" s="520" t="s">
        <v>72</v>
      </c>
      <c r="G43" s="544"/>
      <c r="H43" s="520" t="s">
        <v>521</v>
      </c>
      <c r="I43" s="544"/>
      <c r="J43" s="572"/>
      <c r="K43" s="544" t="s">
        <v>153</v>
      </c>
      <c r="L43" s="544">
        <f t="shared" si="8"/>
        <v>6</v>
      </c>
      <c r="M43" s="544" t="str">
        <f t="shared" si="3"/>
        <v>Same habitat required =</v>
      </c>
      <c r="N43" s="544" t="s">
        <v>153</v>
      </c>
      <c r="O43" s="544">
        <f t="shared" si="5"/>
        <v>0.33</v>
      </c>
      <c r="P43" s="544" t="s">
        <v>153</v>
      </c>
      <c r="Q43" s="544">
        <f t="shared" si="6"/>
        <v>0.33</v>
      </c>
      <c r="R43" s="520"/>
      <c r="S43" s="544"/>
    </row>
    <row r="44" spans="1:19" x14ac:dyDescent="0.25">
      <c r="A44" s="216" t="s">
        <v>537</v>
      </c>
      <c r="B44" s="119" t="s">
        <v>538</v>
      </c>
      <c r="C44" s="544" t="s">
        <v>539</v>
      </c>
      <c r="D44" s="544" t="s">
        <v>520</v>
      </c>
      <c r="E44" s="544"/>
      <c r="F44" s="520" t="s">
        <v>72</v>
      </c>
      <c r="G44" s="544"/>
      <c r="H44" s="520" t="s">
        <v>521</v>
      </c>
      <c r="I44" s="544"/>
      <c r="J44" s="572"/>
      <c r="K44" s="544" t="s">
        <v>153</v>
      </c>
      <c r="L44" s="544">
        <f t="shared" si="8"/>
        <v>6</v>
      </c>
      <c r="M44" s="544" t="str">
        <f t="shared" si="3"/>
        <v>Same habitat required =</v>
      </c>
      <c r="N44" s="544" t="s">
        <v>153</v>
      </c>
      <c r="O44" s="544">
        <f t="shared" si="5"/>
        <v>0.33</v>
      </c>
      <c r="P44" s="544" t="s">
        <v>153</v>
      </c>
      <c r="Q44" s="544">
        <f t="shared" si="6"/>
        <v>0.33</v>
      </c>
      <c r="R44" s="520"/>
      <c r="S44" s="544"/>
    </row>
    <row r="45" spans="1:19" x14ac:dyDescent="0.25">
      <c r="A45" s="216" t="s">
        <v>540</v>
      </c>
      <c r="B45" s="119" t="s">
        <v>541</v>
      </c>
      <c r="C45" s="544" t="s">
        <v>542</v>
      </c>
      <c r="D45" s="544" t="s">
        <v>520</v>
      </c>
      <c r="E45" s="544"/>
      <c r="F45" s="520" t="s">
        <v>72</v>
      </c>
      <c r="G45" s="544"/>
      <c r="H45" s="520" t="s">
        <v>521</v>
      </c>
      <c r="I45" s="544"/>
      <c r="J45" s="572"/>
      <c r="K45" s="544" t="s">
        <v>153</v>
      </c>
      <c r="L45" s="544">
        <f t="shared" si="8"/>
        <v>6</v>
      </c>
      <c r="M45" s="544" t="str">
        <f t="shared" si="3"/>
        <v>Same habitat required =</v>
      </c>
      <c r="N45" s="544" t="s">
        <v>23</v>
      </c>
      <c r="O45" s="544">
        <f t="shared" si="5"/>
        <v>0.67</v>
      </c>
      <c r="P45" s="544" t="s">
        <v>23</v>
      </c>
      <c r="Q45" s="544">
        <f t="shared" si="6"/>
        <v>0.67</v>
      </c>
      <c r="R45" s="520"/>
      <c r="S45" s="544"/>
    </row>
    <row r="46" spans="1:19" x14ac:dyDescent="0.25">
      <c r="A46" s="216" t="s">
        <v>543</v>
      </c>
      <c r="B46" s="119" t="s">
        <v>544</v>
      </c>
      <c r="C46" s="544" t="s">
        <v>545</v>
      </c>
      <c r="D46" s="544" t="s">
        <v>520</v>
      </c>
      <c r="E46" s="544"/>
      <c r="F46" s="520" t="s">
        <v>72</v>
      </c>
      <c r="G46" s="544"/>
      <c r="H46" s="520" t="s">
        <v>521</v>
      </c>
      <c r="I46" s="544" t="s">
        <v>546</v>
      </c>
      <c r="J46" s="572"/>
      <c r="K46" s="544" t="s">
        <v>23</v>
      </c>
      <c r="L46" s="544">
        <f t="shared" si="4"/>
        <v>4</v>
      </c>
      <c r="M46" s="544" t="str">
        <f t="shared" si="3"/>
        <v>Same broad habitat or a higher distinctiveness habitat required (≥)</v>
      </c>
      <c r="N46" s="544" t="s">
        <v>156</v>
      </c>
      <c r="O46" s="544">
        <f t="shared" si="5"/>
        <v>1</v>
      </c>
      <c r="P46" s="544" t="s">
        <v>23</v>
      </c>
      <c r="Q46" s="544">
        <f t="shared" si="6"/>
        <v>0.67</v>
      </c>
      <c r="R46" s="520"/>
      <c r="S46" s="544"/>
    </row>
    <row r="47" spans="1:19" x14ac:dyDescent="0.25">
      <c r="A47" s="216" t="s">
        <v>547</v>
      </c>
      <c r="B47" s="119" t="s">
        <v>548</v>
      </c>
      <c r="C47" s="544">
        <v>108</v>
      </c>
      <c r="D47" s="544" t="s">
        <v>520</v>
      </c>
      <c r="E47" s="544"/>
      <c r="F47" s="520" t="s">
        <v>72</v>
      </c>
      <c r="G47" s="544"/>
      <c r="H47" s="520" t="s">
        <v>521</v>
      </c>
      <c r="I47" s="544"/>
      <c r="J47" s="544"/>
      <c r="K47" s="544" t="s">
        <v>23</v>
      </c>
      <c r="L47" s="544">
        <f t="shared" si="4"/>
        <v>4</v>
      </c>
      <c r="M47" s="544" t="str">
        <f t="shared" si="3"/>
        <v>Same broad habitat or a higher distinctiveness habitat required (≥)</v>
      </c>
      <c r="N47" s="544" t="s">
        <v>23</v>
      </c>
      <c r="O47" s="544">
        <f t="shared" si="5"/>
        <v>0.67</v>
      </c>
      <c r="P47" s="544" t="s">
        <v>23</v>
      </c>
      <c r="Q47" s="544">
        <f t="shared" si="6"/>
        <v>0.67</v>
      </c>
      <c r="R47" s="520"/>
      <c r="S47" s="544"/>
    </row>
    <row r="48" spans="1:19" ht="14.4" thickBot="1" x14ac:dyDescent="0.3">
      <c r="A48" s="216" t="s">
        <v>549</v>
      </c>
      <c r="B48" s="218" t="s">
        <v>550</v>
      </c>
      <c r="C48" s="544" t="s">
        <v>551</v>
      </c>
      <c r="D48" s="526" t="s">
        <v>520</v>
      </c>
      <c r="E48" s="526"/>
      <c r="F48" s="508" t="s">
        <v>72</v>
      </c>
      <c r="G48" s="526"/>
      <c r="H48" s="508" t="s">
        <v>521</v>
      </c>
      <c r="I48" s="526" t="s">
        <v>552</v>
      </c>
      <c r="J48" s="575"/>
      <c r="K48" s="526" t="s">
        <v>153</v>
      </c>
      <c r="L48" s="526">
        <f t="shared" si="4"/>
        <v>6</v>
      </c>
      <c r="M48" s="526" t="str">
        <f t="shared" si="3"/>
        <v>Same habitat required =</v>
      </c>
      <c r="N48" s="526" t="s">
        <v>23</v>
      </c>
      <c r="O48" s="526">
        <f t="shared" si="5"/>
        <v>0.67</v>
      </c>
      <c r="P48" s="526" t="s">
        <v>23</v>
      </c>
      <c r="Q48" s="526">
        <f t="shared" si="6"/>
        <v>0.67</v>
      </c>
      <c r="R48" s="508"/>
      <c r="S48" s="526"/>
    </row>
    <row r="49" spans="1:19" x14ac:dyDescent="0.25">
      <c r="A49" s="216" t="s">
        <v>553</v>
      </c>
      <c r="B49" s="219" t="s">
        <v>554</v>
      </c>
      <c r="C49" s="521" t="s">
        <v>555</v>
      </c>
      <c r="D49" s="521" t="s">
        <v>520</v>
      </c>
      <c r="E49" s="521"/>
      <c r="F49" s="507" t="s">
        <v>73</v>
      </c>
      <c r="G49" s="521"/>
      <c r="H49" s="507" t="s">
        <v>556</v>
      </c>
      <c r="I49" s="521"/>
      <c r="J49" s="576" t="s">
        <v>553</v>
      </c>
      <c r="K49" s="521" t="s">
        <v>375</v>
      </c>
      <c r="L49" s="521">
        <f t="shared" ref="L49:L76" si="9">IF(K49=$V$3,$W$3,IF(K49=$V$3,$W$3,IF(K49=$V$4,$W$4,IF(K49=$V$5,$W$5,IF(K49=$V$6,$W$6,IF(K49=$V$7,$W$7))))))</f>
        <v>8</v>
      </c>
      <c r="M49" s="521" t="str">
        <f t="shared" si="3"/>
        <v>Bespoke compensation likely to be required 🛠</v>
      </c>
      <c r="N49" s="521" t="s">
        <v>151</v>
      </c>
      <c r="O49" s="521">
        <f t="shared" si="5"/>
        <v>0.1</v>
      </c>
      <c r="P49" s="521" t="s">
        <v>23</v>
      </c>
      <c r="Q49" s="521">
        <f t="shared" si="6"/>
        <v>0.67</v>
      </c>
      <c r="R49" s="507"/>
      <c r="S49" s="521"/>
    </row>
    <row r="50" spans="1:19" x14ac:dyDescent="0.25">
      <c r="A50" s="216" t="s">
        <v>557</v>
      </c>
      <c r="B50" s="119" t="s">
        <v>558</v>
      </c>
      <c r="C50" s="544" t="s">
        <v>559</v>
      </c>
      <c r="D50" s="544" t="s">
        <v>520</v>
      </c>
      <c r="E50" s="544"/>
      <c r="F50" s="520" t="s">
        <v>73</v>
      </c>
      <c r="G50" s="544"/>
      <c r="H50" s="520" t="s">
        <v>560</v>
      </c>
      <c r="I50" s="544"/>
      <c r="J50" s="544"/>
      <c r="K50" s="544" t="s">
        <v>153</v>
      </c>
      <c r="L50" s="544">
        <f t="shared" si="9"/>
        <v>6</v>
      </c>
      <c r="M50" s="544" t="str">
        <f t="shared" si="3"/>
        <v>Same habitat required =</v>
      </c>
      <c r="N50" s="544" t="s">
        <v>151</v>
      </c>
      <c r="O50" s="544">
        <f t="shared" si="5"/>
        <v>0.1</v>
      </c>
      <c r="P50" s="544" t="s">
        <v>23</v>
      </c>
      <c r="Q50" s="544">
        <f t="shared" si="6"/>
        <v>0.67</v>
      </c>
      <c r="R50" s="520"/>
      <c r="S50" s="544"/>
    </row>
    <row r="51" spans="1:19" x14ac:dyDescent="0.25">
      <c r="A51" s="216" t="s">
        <v>561</v>
      </c>
      <c r="B51" s="119" t="s">
        <v>562</v>
      </c>
      <c r="C51" s="544" t="s">
        <v>563</v>
      </c>
      <c r="D51" s="544" t="s">
        <v>372</v>
      </c>
      <c r="E51" s="544"/>
      <c r="F51" s="520" t="s">
        <v>73</v>
      </c>
      <c r="G51" s="544"/>
      <c r="H51" s="520" t="s">
        <v>560</v>
      </c>
      <c r="I51" s="544" t="s">
        <v>555</v>
      </c>
      <c r="J51" s="572"/>
      <c r="K51" s="544" t="s">
        <v>153</v>
      </c>
      <c r="L51" s="544">
        <f t="shared" si="9"/>
        <v>6</v>
      </c>
      <c r="M51" s="544" t="str">
        <f t="shared" si="3"/>
        <v>Same habitat required =</v>
      </c>
      <c r="N51" s="544" t="s">
        <v>151</v>
      </c>
      <c r="O51" s="544">
        <f t="shared" si="5"/>
        <v>0.1</v>
      </c>
      <c r="P51" s="544" t="s">
        <v>23</v>
      </c>
      <c r="Q51" s="544">
        <f t="shared" si="6"/>
        <v>0.67</v>
      </c>
      <c r="R51" s="520"/>
      <c r="S51" s="544"/>
    </row>
    <row r="52" spans="1:19" x14ac:dyDescent="0.25">
      <c r="A52" s="216" t="s">
        <v>564</v>
      </c>
      <c r="B52" s="119" t="s">
        <v>565</v>
      </c>
      <c r="C52" s="544">
        <v>17</v>
      </c>
      <c r="D52" s="544" t="s">
        <v>372</v>
      </c>
      <c r="E52" s="544"/>
      <c r="F52" s="520" t="s">
        <v>73</v>
      </c>
      <c r="G52" s="544"/>
      <c r="H52" s="520"/>
      <c r="I52" s="544"/>
      <c r="J52" s="544" t="s">
        <v>566</v>
      </c>
      <c r="K52" s="544" t="s">
        <v>156</v>
      </c>
      <c r="L52" s="544">
        <f t="shared" si="9"/>
        <v>2</v>
      </c>
      <c r="M52" s="544" t="str">
        <f t="shared" si="3"/>
        <v>Same distinctiveness or better habitat required ≥</v>
      </c>
      <c r="N52" s="544" t="s">
        <v>156</v>
      </c>
      <c r="O52" s="544">
        <f t="shared" si="5"/>
        <v>1</v>
      </c>
      <c r="P52" s="544" t="s">
        <v>23</v>
      </c>
      <c r="Q52" s="544">
        <f t="shared" si="6"/>
        <v>0.67</v>
      </c>
      <c r="R52" s="520" t="s">
        <v>567</v>
      </c>
      <c r="S52" s="544"/>
    </row>
    <row r="53" spans="1:19" x14ac:dyDescent="0.25">
      <c r="A53" s="216" t="s">
        <v>568</v>
      </c>
      <c r="B53" s="119" t="s">
        <v>569</v>
      </c>
      <c r="C53" s="544" t="s">
        <v>570</v>
      </c>
      <c r="D53" s="544" t="s">
        <v>372</v>
      </c>
      <c r="E53" s="544" t="s">
        <v>571</v>
      </c>
      <c r="F53" s="520" t="s">
        <v>73</v>
      </c>
      <c r="G53" s="544" t="s">
        <v>572</v>
      </c>
      <c r="H53" s="520" t="s">
        <v>556</v>
      </c>
      <c r="I53" s="544" t="s">
        <v>570</v>
      </c>
      <c r="J53" s="572" t="s">
        <v>568</v>
      </c>
      <c r="K53" s="544" t="s">
        <v>153</v>
      </c>
      <c r="L53" s="544">
        <f t="shared" si="9"/>
        <v>6</v>
      </c>
      <c r="M53" s="544" t="str">
        <f t="shared" si="3"/>
        <v>Same habitat required =</v>
      </c>
      <c r="N53" s="544" t="s">
        <v>153</v>
      </c>
      <c r="O53" s="544">
        <f t="shared" si="5"/>
        <v>0.33</v>
      </c>
      <c r="P53" s="544" t="s">
        <v>156</v>
      </c>
      <c r="Q53" s="544">
        <f t="shared" si="6"/>
        <v>1</v>
      </c>
      <c r="R53" s="520"/>
      <c r="S53" s="544"/>
    </row>
    <row r="54" spans="1:19" x14ac:dyDescent="0.25">
      <c r="A54" s="216" t="s">
        <v>573</v>
      </c>
      <c r="B54" s="119" t="s">
        <v>574</v>
      </c>
      <c r="C54" s="544" t="s">
        <v>575</v>
      </c>
      <c r="D54" s="544" t="s">
        <v>372</v>
      </c>
      <c r="E54" s="544"/>
      <c r="F54" s="520" t="s">
        <v>73</v>
      </c>
      <c r="G54" s="544"/>
      <c r="H54" s="520" t="s">
        <v>556</v>
      </c>
      <c r="I54" s="544" t="s">
        <v>575</v>
      </c>
      <c r="J54" s="572" t="s">
        <v>573</v>
      </c>
      <c r="K54" s="544" t="s">
        <v>375</v>
      </c>
      <c r="L54" s="544">
        <f t="shared" si="9"/>
        <v>8</v>
      </c>
      <c r="M54" s="544" t="str">
        <f t="shared" si="3"/>
        <v>Bespoke compensation likely to be required 🛠</v>
      </c>
      <c r="N54" s="544" t="s">
        <v>151</v>
      </c>
      <c r="O54" s="544">
        <f t="shared" si="5"/>
        <v>0.1</v>
      </c>
      <c r="P54" s="544" t="s">
        <v>23</v>
      </c>
      <c r="Q54" s="544">
        <f t="shared" si="6"/>
        <v>0.67</v>
      </c>
      <c r="R54" s="520"/>
      <c r="S54" s="544"/>
    </row>
    <row r="55" spans="1:19" x14ac:dyDescent="0.25">
      <c r="A55" s="216" t="s">
        <v>576</v>
      </c>
      <c r="B55" s="119" t="s">
        <v>577</v>
      </c>
      <c r="C55" s="544" t="s">
        <v>578</v>
      </c>
      <c r="D55" s="544" t="s">
        <v>372</v>
      </c>
      <c r="E55" s="544"/>
      <c r="F55" s="520" t="s">
        <v>73</v>
      </c>
      <c r="G55" s="544" t="s">
        <v>579</v>
      </c>
      <c r="H55" s="520" t="s">
        <v>580</v>
      </c>
      <c r="I55" s="544" t="s">
        <v>578</v>
      </c>
      <c r="J55" s="572" t="s">
        <v>576</v>
      </c>
      <c r="K55" s="544" t="s">
        <v>153</v>
      </c>
      <c r="L55" s="544">
        <f t="shared" si="9"/>
        <v>6</v>
      </c>
      <c r="M55" s="544" t="str">
        <f t="shared" si="3"/>
        <v>Same habitat required =</v>
      </c>
      <c r="N55" s="544" t="s">
        <v>153</v>
      </c>
      <c r="O55" s="544">
        <f t="shared" si="5"/>
        <v>0.33</v>
      </c>
      <c r="P55" s="544" t="s">
        <v>23</v>
      </c>
      <c r="Q55" s="544">
        <f t="shared" si="6"/>
        <v>0.67</v>
      </c>
      <c r="R55" s="520"/>
      <c r="S55" s="544"/>
    </row>
    <row r="56" spans="1:19" ht="14.4" thickBot="1" x14ac:dyDescent="0.3">
      <c r="A56" s="216" t="s">
        <v>581</v>
      </c>
      <c r="B56" s="218" t="s">
        <v>582</v>
      </c>
      <c r="C56" s="526" t="s">
        <v>583</v>
      </c>
      <c r="D56" s="526" t="s">
        <v>372</v>
      </c>
      <c r="E56" s="526"/>
      <c r="F56" s="508" t="s">
        <v>73</v>
      </c>
      <c r="G56" s="526"/>
      <c r="H56" s="508" t="s">
        <v>556</v>
      </c>
      <c r="I56" s="526" t="s">
        <v>583</v>
      </c>
      <c r="J56" s="526" t="s">
        <v>581</v>
      </c>
      <c r="K56" s="526" t="s">
        <v>23</v>
      </c>
      <c r="L56" s="526">
        <f t="shared" si="9"/>
        <v>4</v>
      </c>
      <c r="M56" s="526" t="str">
        <f t="shared" si="3"/>
        <v>Same broad habitat or a higher distinctiveness habitat required (≥)</v>
      </c>
      <c r="N56" s="526" t="s">
        <v>23</v>
      </c>
      <c r="O56" s="526">
        <f t="shared" si="5"/>
        <v>0.67</v>
      </c>
      <c r="P56" s="526" t="s">
        <v>23</v>
      </c>
      <c r="Q56" s="526">
        <f t="shared" si="6"/>
        <v>0.67</v>
      </c>
      <c r="R56" s="508"/>
      <c r="S56" s="526"/>
    </row>
    <row r="57" spans="1:19" x14ac:dyDescent="0.25">
      <c r="A57" s="216" t="s">
        <v>584</v>
      </c>
      <c r="B57" s="219" t="s">
        <v>585</v>
      </c>
      <c r="C57" s="521">
        <v>910</v>
      </c>
      <c r="D57" s="521" t="s">
        <v>372</v>
      </c>
      <c r="E57" s="521"/>
      <c r="F57" s="507" t="s">
        <v>74</v>
      </c>
      <c r="G57" s="521"/>
      <c r="H57" s="507" t="s">
        <v>524</v>
      </c>
      <c r="I57" s="521"/>
      <c r="J57" s="521" t="s">
        <v>584</v>
      </c>
      <c r="K57" s="521" t="s">
        <v>156</v>
      </c>
      <c r="L57" s="521">
        <f t="shared" si="9"/>
        <v>2</v>
      </c>
      <c r="M57" s="521" t="str">
        <f t="shared" si="3"/>
        <v>Same distinctiveness or better habitat required ≥</v>
      </c>
      <c r="N57" s="521" t="s">
        <v>156</v>
      </c>
      <c r="O57" s="521">
        <f t="shared" si="5"/>
        <v>1</v>
      </c>
      <c r="P57" s="521" t="s">
        <v>156</v>
      </c>
      <c r="Q57" s="521">
        <f t="shared" si="6"/>
        <v>1</v>
      </c>
      <c r="R57" s="507"/>
      <c r="S57" s="521"/>
    </row>
    <row r="58" spans="1:19" x14ac:dyDescent="0.25">
      <c r="A58" s="216" t="s">
        <v>586</v>
      </c>
      <c r="B58" s="119" t="s">
        <v>587</v>
      </c>
      <c r="C58" s="544" t="s">
        <v>588</v>
      </c>
      <c r="D58" s="544" t="s">
        <v>372</v>
      </c>
      <c r="E58" s="544"/>
      <c r="F58" s="520" t="s">
        <v>74</v>
      </c>
      <c r="G58" s="544"/>
      <c r="H58" s="520" t="s">
        <v>524</v>
      </c>
      <c r="I58" s="544" t="s">
        <v>588</v>
      </c>
      <c r="J58" s="544" t="s">
        <v>586</v>
      </c>
      <c r="K58" s="544" t="s">
        <v>397</v>
      </c>
      <c r="L58" s="544">
        <f t="shared" si="9"/>
        <v>0</v>
      </c>
      <c r="M58" s="544" t="str">
        <f t="shared" si="3"/>
        <v>Compensation Not Required</v>
      </c>
      <c r="N58" s="544" t="s">
        <v>156</v>
      </c>
      <c r="O58" s="544">
        <f t="shared" si="5"/>
        <v>1</v>
      </c>
      <c r="P58" s="544" t="s">
        <v>156</v>
      </c>
      <c r="Q58" s="544">
        <f t="shared" si="6"/>
        <v>1</v>
      </c>
      <c r="R58" s="520"/>
      <c r="S58" s="544"/>
    </row>
    <row r="59" spans="1:19" x14ac:dyDescent="0.25">
      <c r="A59" s="216" t="s">
        <v>589</v>
      </c>
      <c r="B59" s="119" t="s">
        <v>590</v>
      </c>
      <c r="C59" s="544">
        <v>1191</v>
      </c>
      <c r="D59" s="544" t="s">
        <v>372</v>
      </c>
      <c r="E59" s="544"/>
      <c r="F59" s="520" t="s">
        <v>74</v>
      </c>
      <c r="G59" s="544"/>
      <c r="H59" s="520" t="s">
        <v>524</v>
      </c>
      <c r="I59" s="544"/>
      <c r="J59" s="544" t="s">
        <v>589</v>
      </c>
      <c r="K59" s="544" t="s">
        <v>156</v>
      </c>
      <c r="L59" s="544">
        <f t="shared" si="9"/>
        <v>2</v>
      </c>
      <c r="M59" s="544" t="str">
        <f t="shared" si="3"/>
        <v>Same distinctiveness or better habitat required ≥</v>
      </c>
      <c r="N59" s="544" t="s">
        <v>23</v>
      </c>
      <c r="O59" s="544">
        <f t="shared" si="5"/>
        <v>0.67</v>
      </c>
      <c r="P59" s="544" t="s">
        <v>156</v>
      </c>
      <c r="Q59" s="544">
        <f t="shared" si="6"/>
        <v>1</v>
      </c>
      <c r="R59" s="520"/>
      <c r="S59" s="544"/>
    </row>
    <row r="60" spans="1:19" x14ac:dyDescent="0.25">
      <c r="A60" s="216" t="s">
        <v>591</v>
      </c>
      <c r="B60" s="119" t="s">
        <v>592</v>
      </c>
      <c r="C60" s="544" t="s">
        <v>593</v>
      </c>
      <c r="D60" s="544" t="s">
        <v>372</v>
      </c>
      <c r="E60" s="544"/>
      <c r="F60" s="520" t="s">
        <v>74</v>
      </c>
      <c r="G60" s="544"/>
      <c r="H60" s="520" t="s">
        <v>524</v>
      </c>
      <c r="I60" s="544"/>
      <c r="J60" s="544"/>
      <c r="K60" s="544" t="s">
        <v>156</v>
      </c>
      <c r="L60" s="544">
        <f t="shared" si="9"/>
        <v>2</v>
      </c>
      <c r="M60" s="544" t="str">
        <f t="shared" si="3"/>
        <v>Same distinctiveness or better habitat required ≥</v>
      </c>
      <c r="N60" s="544" t="s">
        <v>156</v>
      </c>
      <c r="O60" s="544">
        <f t="shared" si="5"/>
        <v>1</v>
      </c>
      <c r="P60" s="544" t="s">
        <v>156</v>
      </c>
      <c r="Q60" s="544">
        <f t="shared" si="6"/>
        <v>1</v>
      </c>
      <c r="R60" s="520"/>
      <c r="S60" s="544"/>
    </row>
    <row r="61" spans="1:19" x14ac:dyDescent="0.25">
      <c r="A61" s="216" t="s">
        <v>594</v>
      </c>
      <c r="B61" s="119" t="s">
        <v>595</v>
      </c>
      <c r="C61" s="544" t="s">
        <v>596</v>
      </c>
      <c r="D61" s="544" t="s">
        <v>372</v>
      </c>
      <c r="E61" s="544"/>
      <c r="F61" s="520" t="s">
        <v>74</v>
      </c>
      <c r="G61" s="544"/>
      <c r="H61" s="520" t="s">
        <v>524</v>
      </c>
      <c r="I61" s="544" t="s">
        <v>596</v>
      </c>
      <c r="J61" s="544" t="s">
        <v>594</v>
      </c>
      <c r="K61" s="544" t="s">
        <v>397</v>
      </c>
      <c r="L61" s="544">
        <f t="shared" si="9"/>
        <v>0</v>
      </c>
      <c r="M61" s="544" t="str">
        <f t="shared" si="3"/>
        <v>Compensation Not Required</v>
      </c>
      <c r="N61" s="544" t="s">
        <v>156</v>
      </c>
      <c r="O61" s="544">
        <f t="shared" si="5"/>
        <v>1</v>
      </c>
      <c r="P61" s="544" t="s">
        <v>156</v>
      </c>
      <c r="Q61" s="544">
        <f t="shared" si="6"/>
        <v>1</v>
      </c>
      <c r="R61" s="520"/>
      <c r="S61" s="544"/>
    </row>
    <row r="62" spans="1:19" x14ac:dyDescent="0.25">
      <c r="A62" s="216" t="s">
        <v>597</v>
      </c>
      <c r="B62" s="119" t="s">
        <v>598</v>
      </c>
      <c r="C62" s="544">
        <v>800</v>
      </c>
      <c r="D62" s="544" t="s">
        <v>372</v>
      </c>
      <c r="E62" s="544"/>
      <c r="F62" s="520" t="s">
        <v>74</v>
      </c>
      <c r="G62" s="544"/>
      <c r="H62" s="520" t="s">
        <v>524</v>
      </c>
      <c r="I62" s="544"/>
      <c r="J62" s="544" t="s">
        <v>597</v>
      </c>
      <c r="K62" s="544" t="s">
        <v>23</v>
      </c>
      <c r="L62" s="544">
        <f t="shared" si="9"/>
        <v>4</v>
      </c>
      <c r="M62" s="544" t="str">
        <f t="shared" si="3"/>
        <v>Same broad habitat or a higher distinctiveness habitat required (≥)</v>
      </c>
      <c r="N62" s="544" t="s">
        <v>23</v>
      </c>
      <c r="O62" s="544">
        <f t="shared" si="5"/>
        <v>0.67</v>
      </c>
      <c r="P62" s="544" t="s">
        <v>156</v>
      </c>
      <c r="Q62" s="544">
        <f t="shared" si="6"/>
        <v>1</v>
      </c>
      <c r="R62" s="520"/>
      <c r="S62" s="544"/>
    </row>
    <row r="63" spans="1:19" x14ac:dyDescent="0.25">
      <c r="A63" s="216" t="s">
        <v>599</v>
      </c>
      <c r="B63" s="119" t="s">
        <v>600</v>
      </c>
      <c r="C63" s="544" t="s">
        <v>601</v>
      </c>
      <c r="D63" s="544" t="s">
        <v>372</v>
      </c>
      <c r="E63" s="544"/>
      <c r="F63" s="520" t="s">
        <v>74</v>
      </c>
      <c r="G63" s="544"/>
      <c r="H63" s="520" t="s">
        <v>524</v>
      </c>
      <c r="I63" s="544" t="s">
        <v>601</v>
      </c>
      <c r="J63" s="544" t="s">
        <v>599</v>
      </c>
      <c r="K63" s="544" t="s">
        <v>397</v>
      </c>
      <c r="L63" s="544">
        <f t="shared" si="9"/>
        <v>0</v>
      </c>
      <c r="M63" s="544" t="str">
        <f t="shared" si="3"/>
        <v>Compensation Not Required</v>
      </c>
      <c r="N63" s="544" t="s">
        <v>156</v>
      </c>
      <c r="O63" s="544">
        <f t="shared" si="5"/>
        <v>1</v>
      </c>
      <c r="P63" s="544" t="s">
        <v>23</v>
      </c>
      <c r="Q63" s="544">
        <f t="shared" si="6"/>
        <v>0.67</v>
      </c>
      <c r="R63" s="520"/>
      <c r="S63" s="544"/>
    </row>
    <row r="64" spans="1:19" x14ac:dyDescent="0.25">
      <c r="A64" s="216" t="s">
        <v>602</v>
      </c>
      <c r="B64" s="119" t="s">
        <v>603</v>
      </c>
      <c r="C64" s="544" t="s">
        <v>604</v>
      </c>
      <c r="D64" s="544" t="s">
        <v>372</v>
      </c>
      <c r="E64" s="544"/>
      <c r="F64" s="520" t="s">
        <v>74</v>
      </c>
      <c r="G64" s="544"/>
      <c r="H64" s="520" t="s">
        <v>524</v>
      </c>
      <c r="I64" s="544"/>
      <c r="J64" s="544"/>
      <c r="K64" s="544" t="s">
        <v>156</v>
      </c>
      <c r="L64" s="544">
        <f t="shared" si="9"/>
        <v>2</v>
      </c>
      <c r="M64" s="544" t="str">
        <f t="shared" si="3"/>
        <v>Same distinctiveness or better habitat required ≥</v>
      </c>
      <c r="N64" s="544" t="s">
        <v>156</v>
      </c>
      <c r="O64" s="544">
        <f t="shared" si="5"/>
        <v>1</v>
      </c>
      <c r="P64" s="544" t="s">
        <v>156</v>
      </c>
      <c r="Q64" s="544">
        <f t="shared" si="6"/>
        <v>1</v>
      </c>
      <c r="R64" s="520"/>
      <c r="S64" s="544"/>
    </row>
    <row r="65" spans="1:19" x14ac:dyDescent="0.25">
      <c r="A65" s="216" t="s">
        <v>605</v>
      </c>
      <c r="B65" s="119" t="s">
        <v>606</v>
      </c>
      <c r="C65" s="544">
        <v>1122</v>
      </c>
      <c r="D65" s="544" t="s">
        <v>372</v>
      </c>
      <c r="E65" s="544"/>
      <c r="F65" s="520" t="s">
        <v>74</v>
      </c>
      <c r="G65" s="544"/>
      <c r="H65" s="520" t="s">
        <v>524</v>
      </c>
      <c r="I65" s="544"/>
      <c r="J65" s="544" t="s">
        <v>607</v>
      </c>
      <c r="K65" s="544" t="s">
        <v>156</v>
      </c>
      <c r="L65" s="544">
        <f t="shared" si="9"/>
        <v>2</v>
      </c>
      <c r="M65" s="544" t="str">
        <f t="shared" si="3"/>
        <v>Same distinctiveness or better habitat required ≥</v>
      </c>
      <c r="N65" s="544" t="s">
        <v>23</v>
      </c>
      <c r="O65" s="544">
        <f t="shared" ref="O65:O92" si="10">VLOOKUP(N65,Difficulty,2,FALSE)</f>
        <v>0.67</v>
      </c>
      <c r="P65" s="544" t="s">
        <v>23</v>
      </c>
      <c r="Q65" s="544">
        <f t="shared" ref="Q65:Q92" si="11">VLOOKUP(P65,Difficulty,2,FALSE)</f>
        <v>0.67</v>
      </c>
      <c r="R65" s="520"/>
      <c r="S65" s="544"/>
    </row>
    <row r="66" spans="1:19" x14ac:dyDescent="0.25">
      <c r="A66" s="216" t="s">
        <v>608</v>
      </c>
      <c r="B66" s="119" t="s">
        <v>609</v>
      </c>
      <c r="C66" s="544">
        <v>1121</v>
      </c>
      <c r="D66" s="544" t="s">
        <v>372</v>
      </c>
      <c r="E66" s="544"/>
      <c r="F66" s="520" t="s">
        <v>74</v>
      </c>
      <c r="G66" s="544"/>
      <c r="H66" s="520" t="s">
        <v>524</v>
      </c>
      <c r="I66" s="544"/>
      <c r="J66" s="544" t="s">
        <v>608</v>
      </c>
      <c r="K66" s="544" t="s">
        <v>156</v>
      </c>
      <c r="L66" s="544">
        <f t="shared" si="9"/>
        <v>2</v>
      </c>
      <c r="M66" s="544" t="str">
        <f t="shared" si="3"/>
        <v>Same distinctiveness or better habitat required ≥</v>
      </c>
      <c r="N66" s="544" t="s">
        <v>23</v>
      </c>
      <c r="O66" s="544">
        <f t="shared" si="10"/>
        <v>0.67</v>
      </c>
      <c r="P66" s="544" t="s">
        <v>23</v>
      </c>
      <c r="Q66" s="544">
        <f t="shared" si="11"/>
        <v>0.67</v>
      </c>
      <c r="R66" s="520"/>
      <c r="S66" s="544"/>
    </row>
    <row r="67" spans="1:19" x14ac:dyDescent="0.25">
      <c r="A67" s="216" t="s">
        <v>610</v>
      </c>
      <c r="B67" s="119" t="s">
        <v>611</v>
      </c>
      <c r="C67" s="544">
        <v>1140</v>
      </c>
      <c r="D67" s="544" t="s">
        <v>372</v>
      </c>
      <c r="E67" s="544"/>
      <c r="F67" s="520" t="s">
        <v>74</v>
      </c>
      <c r="G67" s="544"/>
      <c r="H67" s="520" t="s">
        <v>524</v>
      </c>
      <c r="I67" s="544"/>
      <c r="J67" s="544" t="s">
        <v>610</v>
      </c>
      <c r="K67" s="544" t="s">
        <v>156</v>
      </c>
      <c r="L67" s="544">
        <f t="shared" si="9"/>
        <v>2</v>
      </c>
      <c r="M67" s="544" t="str">
        <f t="shared" si="3"/>
        <v>Same distinctiveness or better habitat required ≥</v>
      </c>
      <c r="N67" s="544" t="s">
        <v>156</v>
      </c>
      <c r="O67" s="544">
        <f t="shared" si="10"/>
        <v>1</v>
      </c>
      <c r="P67" s="544" t="s">
        <v>156</v>
      </c>
      <c r="Q67" s="544">
        <f t="shared" si="11"/>
        <v>1</v>
      </c>
      <c r="R67" s="520"/>
      <c r="S67" s="544"/>
    </row>
    <row r="68" spans="1:19" x14ac:dyDescent="0.25">
      <c r="A68" s="216" t="s">
        <v>612</v>
      </c>
      <c r="B68" s="119" t="s">
        <v>613</v>
      </c>
      <c r="C68" s="544" t="s">
        <v>614</v>
      </c>
      <c r="D68" s="544" t="s">
        <v>372</v>
      </c>
      <c r="E68" s="544"/>
      <c r="F68" s="520" t="s">
        <v>74</v>
      </c>
      <c r="G68" s="544"/>
      <c r="H68" s="520" t="s">
        <v>524</v>
      </c>
      <c r="I68" s="544"/>
      <c r="J68" s="544" t="s">
        <v>591</v>
      </c>
      <c r="K68" s="544" t="s">
        <v>23</v>
      </c>
      <c r="L68" s="544">
        <f t="shared" si="9"/>
        <v>4</v>
      </c>
      <c r="M68" s="544" t="str">
        <f t="shared" si="3"/>
        <v>Same broad habitat or a higher distinctiveness habitat required (≥)</v>
      </c>
      <c r="N68" s="544" t="s">
        <v>23</v>
      </c>
      <c r="O68" s="544">
        <f t="shared" si="10"/>
        <v>0.67</v>
      </c>
      <c r="P68" s="544" t="s">
        <v>23</v>
      </c>
      <c r="Q68" s="544">
        <f t="shared" si="11"/>
        <v>0.67</v>
      </c>
      <c r="R68" s="520"/>
      <c r="S68" s="544"/>
    </row>
    <row r="69" spans="1:19" x14ac:dyDescent="0.25">
      <c r="A69" s="216" t="s">
        <v>615</v>
      </c>
      <c r="B69" s="119" t="s">
        <v>616</v>
      </c>
      <c r="C69" s="544">
        <v>1160</v>
      </c>
      <c r="D69" s="544" t="s">
        <v>372</v>
      </c>
      <c r="E69" s="544"/>
      <c r="F69" s="520" t="s">
        <v>74</v>
      </c>
      <c r="G69" s="544"/>
      <c r="H69" s="520" t="s">
        <v>524</v>
      </c>
      <c r="I69" s="544"/>
      <c r="J69" s="544" t="s">
        <v>615</v>
      </c>
      <c r="K69" s="544" t="s">
        <v>156</v>
      </c>
      <c r="L69" s="544">
        <f t="shared" si="9"/>
        <v>2</v>
      </c>
      <c r="M69" s="544" t="str">
        <f t="shared" si="3"/>
        <v>Same distinctiveness or better habitat required ≥</v>
      </c>
      <c r="N69" s="544" t="s">
        <v>156</v>
      </c>
      <c r="O69" s="544">
        <f t="shared" si="10"/>
        <v>1</v>
      </c>
      <c r="P69" s="544" t="s">
        <v>156</v>
      </c>
      <c r="Q69" s="544">
        <f t="shared" si="11"/>
        <v>1</v>
      </c>
      <c r="R69" s="520"/>
      <c r="S69" s="544"/>
    </row>
    <row r="70" spans="1:19" x14ac:dyDescent="0.25">
      <c r="A70" s="216" t="s">
        <v>617</v>
      </c>
      <c r="B70" s="119" t="s">
        <v>618</v>
      </c>
      <c r="C70" s="544" t="s">
        <v>619</v>
      </c>
      <c r="D70" s="544" t="s">
        <v>372</v>
      </c>
      <c r="E70" s="544" t="s">
        <v>620</v>
      </c>
      <c r="F70" s="520" t="s">
        <v>74</v>
      </c>
      <c r="G70" s="544" t="s">
        <v>621</v>
      </c>
      <c r="H70" s="520" t="s">
        <v>524</v>
      </c>
      <c r="I70" s="544" t="s">
        <v>619</v>
      </c>
      <c r="J70" s="572" t="s">
        <v>617</v>
      </c>
      <c r="K70" s="544" t="s">
        <v>153</v>
      </c>
      <c r="L70" s="544">
        <f t="shared" si="9"/>
        <v>6</v>
      </c>
      <c r="M70" s="544" t="str">
        <f t="shared" si="3"/>
        <v>Same habitat required =</v>
      </c>
      <c r="N70" s="544" t="s">
        <v>23</v>
      </c>
      <c r="O70" s="544">
        <f t="shared" si="10"/>
        <v>0.67</v>
      </c>
      <c r="P70" s="544" t="s">
        <v>23</v>
      </c>
      <c r="Q70" s="544">
        <f t="shared" si="11"/>
        <v>0.67</v>
      </c>
      <c r="R70" s="520"/>
      <c r="S70" s="544"/>
    </row>
    <row r="71" spans="1:19" x14ac:dyDescent="0.25">
      <c r="A71" s="216" t="s">
        <v>622</v>
      </c>
      <c r="B71" s="119" t="s">
        <v>623</v>
      </c>
      <c r="C71" s="544">
        <v>1192</v>
      </c>
      <c r="D71" s="544" t="s">
        <v>372</v>
      </c>
      <c r="E71" s="544"/>
      <c r="F71" s="520" t="s">
        <v>74</v>
      </c>
      <c r="G71" s="544"/>
      <c r="H71" s="520" t="s">
        <v>524</v>
      </c>
      <c r="I71" s="544"/>
      <c r="J71" s="544" t="s">
        <v>622</v>
      </c>
      <c r="K71" s="544" t="s">
        <v>156</v>
      </c>
      <c r="L71" s="544">
        <f t="shared" si="9"/>
        <v>2</v>
      </c>
      <c r="M71" s="544" t="str">
        <f t="shared" si="3"/>
        <v>Same distinctiveness or better habitat required ≥</v>
      </c>
      <c r="N71" s="544" t="s">
        <v>156</v>
      </c>
      <c r="O71" s="544">
        <f t="shared" si="10"/>
        <v>1</v>
      </c>
      <c r="P71" s="544" t="s">
        <v>156</v>
      </c>
      <c r="Q71" s="544">
        <f t="shared" si="11"/>
        <v>1</v>
      </c>
      <c r="R71" s="520"/>
      <c r="S71" s="544"/>
    </row>
    <row r="72" spans="1:19" x14ac:dyDescent="0.25">
      <c r="A72" s="216" t="s">
        <v>624</v>
      </c>
      <c r="B72" s="119" t="s">
        <v>625</v>
      </c>
      <c r="C72" s="544">
        <v>1030</v>
      </c>
      <c r="D72" s="544" t="s">
        <v>372</v>
      </c>
      <c r="E72" s="544"/>
      <c r="F72" s="520" t="s">
        <v>74</v>
      </c>
      <c r="G72" s="544"/>
      <c r="H72" s="520" t="s">
        <v>524</v>
      </c>
      <c r="I72" s="544"/>
      <c r="J72" s="544" t="s">
        <v>626</v>
      </c>
      <c r="K72" s="544" t="s">
        <v>156</v>
      </c>
      <c r="L72" s="544">
        <f t="shared" si="9"/>
        <v>2</v>
      </c>
      <c r="M72" s="544" t="str">
        <f t="shared" ref="M72:M126" si="12">IF($K72=$V$3,$X$3,IF($K72=$V$4,$X$4,IF($K72=$V$5,$X$5,IF($K72=$V$6,$X$6,IF($K72=$V$7,$X$7)))))</f>
        <v>Same distinctiveness or better habitat required ≥</v>
      </c>
      <c r="N72" s="544" t="s">
        <v>23</v>
      </c>
      <c r="O72" s="544">
        <f t="shared" si="10"/>
        <v>0.67</v>
      </c>
      <c r="P72" s="544" t="s">
        <v>23</v>
      </c>
      <c r="Q72" s="544">
        <f t="shared" si="11"/>
        <v>0.67</v>
      </c>
      <c r="R72" s="520"/>
      <c r="S72" s="544"/>
    </row>
    <row r="73" spans="1:19" x14ac:dyDescent="0.25">
      <c r="A73" s="216" t="s">
        <v>627</v>
      </c>
      <c r="B73" s="119" t="s">
        <v>628</v>
      </c>
      <c r="C73" s="544" t="s">
        <v>629</v>
      </c>
      <c r="D73" s="544" t="s">
        <v>372</v>
      </c>
      <c r="E73" s="544"/>
      <c r="F73" s="520" t="s">
        <v>74</v>
      </c>
      <c r="G73" s="544"/>
      <c r="H73" s="520" t="s">
        <v>524</v>
      </c>
      <c r="I73" s="544"/>
      <c r="J73" s="544" t="s">
        <v>630</v>
      </c>
      <c r="K73" s="544" t="s">
        <v>23</v>
      </c>
      <c r="L73" s="544">
        <f t="shared" si="9"/>
        <v>4</v>
      </c>
      <c r="M73" s="544" t="str">
        <f t="shared" si="12"/>
        <v>Same broad habitat or a higher distinctiveness habitat required (≥)</v>
      </c>
      <c r="N73" s="544" t="s">
        <v>156</v>
      </c>
      <c r="O73" s="544">
        <f t="shared" si="10"/>
        <v>1</v>
      </c>
      <c r="P73" s="544" t="s">
        <v>156</v>
      </c>
      <c r="Q73" s="544">
        <f t="shared" si="11"/>
        <v>1</v>
      </c>
      <c r="R73" s="520"/>
      <c r="S73" s="544"/>
    </row>
    <row r="74" spans="1:19" x14ac:dyDescent="0.25">
      <c r="A74" s="216" t="s">
        <v>631</v>
      </c>
      <c r="B74" s="119" t="s">
        <v>632</v>
      </c>
      <c r="C74" s="544">
        <v>1190</v>
      </c>
      <c r="D74" s="544" t="s">
        <v>372</v>
      </c>
      <c r="E74" s="544"/>
      <c r="F74" s="520" t="s">
        <v>74</v>
      </c>
      <c r="G74" s="544"/>
      <c r="H74" s="520" t="s">
        <v>524</v>
      </c>
      <c r="I74" s="544"/>
      <c r="J74" s="544" t="s">
        <v>631</v>
      </c>
      <c r="K74" s="544" t="s">
        <v>156</v>
      </c>
      <c r="L74" s="544">
        <f t="shared" si="9"/>
        <v>2</v>
      </c>
      <c r="M74" s="544" t="str">
        <f t="shared" si="12"/>
        <v>Same distinctiveness or better habitat required ≥</v>
      </c>
      <c r="N74" s="544" t="s">
        <v>23</v>
      </c>
      <c r="O74" s="544">
        <f t="shared" si="10"/>
        <v>0.67</v>
      </c>
      <c r="P74" s="544" t="s">
        <v>23</v>
      </c>
      <c r="Q74" s="544">
        <f t="shared" si="11"/>
        <v>0.67</v>
      </c>
      <c r="R74" s="520"/>
      <c r="S74" s="544"/>
    </row>
    <row r="75" spans="1:19" x14ac:dyDescent="0.25">
      <c r="A75" s="216" t="s">
        <v>633</v>
      </c>
      <c r="B75" s="119" t="s">
        <v>634</v>
      </c>
      <c r="C75" s="544">
        <v>232</v>
      </c>
      <c r="D75" s="544" t="s">
        <v>372</v>
      </c>
      <c r="E75" s="544"/>
      <c r="F75" s="520" t="s">
        <v>74</v>
      </c>
      <c r="G75" s="544"/>
      <c r="H75" s="520" t="s">
        <v>524</v>
      </c>
      <c r="I75" s="544"/>
      <c r="J75" s="544" t="s">
        <v>633</v>
      </c>
      <c r="K75" s="544" t="s">
        <v>397</v>
      </c>
      <c r="L75" s="544">
        <f t="shared" si="9"/>
        <v>0</v>
      </c>
      <c r="M75" s="544" t="str">
        <f t="shared" si="12"/>
        <v>Compensation Not Required</v>
      </c>
      <c r="N75" s="544" t="s">
        <v>156</v>
      </c>
      <c r="O75" s="544">
        <f t="shared" si="10"/>
        <v>1</v>
      </c>
      <c r="P75" s="544" t="s">
        <v>156</v>
      </c>
      <c r="Q75" s="544">
        <f t="shared" si="11"/>
        <v>1</v>
      </c>
      <c r="R75" s="520"/>
      <c r="S75" s="544"/>
    </row>
    <row r="76" spans="1:19" x14ac:dyDescent="0.25">
      <c r="A76" s="216" t="s">
        <v>635</v>
      </c>
      <c r="B76" s="119" t="s">
        <v>636</v>
      </c>
      <c r="C76" s="544">
        <v>350</v>
      </c>
      <c r="D76" s="544" t="s">
        <v>372</v>
      </c>
      <c r="E76" s="544"/>
      <c r="F76" s="520" t="s">
        <v>74</v>
      </c>
      <c r="G76" s="544"/>
      <c r="H76" s="520" t="s">
        <v>524</v>
      </c>
      <c r="I76" s="544"/>
      <c r="J76" s="544" t="s">
        <v>635</v>
      </c>
      <c r="K76" s="544" t="s">
        <v>156</v>
      </c>
      <c r="L76" s="544">
        <f t="shared" si="9"/>
        <v>2</v>
      </c>
      <c r="M76" s="544" t="str">
        <f t="shared" si="12"/>
        <v>Same distinctiveness or better habitat required ≥</v>
      </c>
      <c r="N76" s="544" t="s">
        <v>156</v>
      </c>
      <c r="O76" s="544">
        <f t="shared" si="10"/>
        <v>1</v>
      </c>
      <c r="P76" s="544" t="s">
        <v>156</v>
      </c>
      <c r="Q76" s="544">
        <f t="shared" si="11"/>
        <v>1</v>
      </c>
      <c r="R76" s="520" t="s">
        <v>637</v>
      </c>
      <c r="S76" s="544"/>
    </row>
    <row r="77" spans="1:19" ht="14.4" thickBot="1" x14ac:dyDescent="0.3">
      <c r="A77" s="216" t="s">
        <v>638</v>
      </c>
      <c r="B77" s="218" t="s">
        <v>639</v>
      </c>
      <c r="C77" s="526">
        <v>231</v>
      </c>
      <c r="D77" s="526" t="s">
        <v>372</v>
      </c>
      <c r="E77" s="526"/>
      <c r="F77" s="508" t="s">
        <v>74</v>
      </c>
      <c r="G77" s="526"/>
      <c r="H77" s="508" t="s">
        <v>524</v>
      </c>
      <c r="I77" s="526"/>
      <c r="J77" s="526" t="s">
        <v>638</v>
      </c>
      <c r="K77" s="526" t="s">
        <v>156</v>
      </c>
      <c r="L77" s="526">
        <f t="shared" ref="L77:L98" si="13">IF(K77=$V$3,$W$3,IF(K77=$V$3,$W$3,IF(K77=$V$4,$W$4,IF(K77=$V$5,$W$5,IF(K77=$V$6,$W$6,IF(K77=$V$7,$W$7))))))</f>
        <v>2</v>
      </c>
      <c r="M77" s="526" t="str">
        <f t="shared" si="12"/>
        <v>Same distinctiveness or better habitat required ≥</v>
      </c>
      <c r="N77" s="526" t="s">
        <v>156</v>
      </c>
      <c r="O77" s="526">
        <f t="shared" si="10"/>
        <v>1</v>
      </c>
      <c r="P77" s="526" t="s">
        <v>156</v>
      </c>
      <c r="Q77" s="526">
        <f t="shared" si="11"/>
        <v>1</v>
      </c>
      <c r="R77" s="508"/>
      <c r="S77" s="526"/>
    </row>
    <row r="78" spans="1:19" x14ac:dyDescent="0.25">
      <c r="A78" s="216" t="s">
        <v>640</v>
      </c>
      <c r="B78" s="219" t="s">
        <v>641</v>
      </c>
      <c r="C78" s="521" t="s">
        <v>642</v>
      </c>
      <c r="D78" s="521" t="s">
        <v>372</v>
      </c>
      <c r="E78" s="521"/>
      <c r="F78" s="507" t="s">
        <v>75</v>
      </c>
      <c r="G78" s="521"/>
      <c r="H78" s="507" t="s">
        <v>643</v>
      </c>
      <c r="I78" s="521" t="s">
        <v>642</v>
      </c>
      <c r="J78" s="576" t="s">
        <v>640</v>
      </c>
      <c r="K78" s="521" t="s">
        <v>375</v>
      </c>
      <c r="L78" s="521">
        <f t="shared" si="13"/>
        <v>8</v>
      </c>
      <c r="M78" s="521" t="str">
        <f t="shared" si="12"/>
        <v>Bespoke compensation likely to be required 🛠</v>
      </c>
      <c r="N78" s="521" t="s">
        <v>151</v>
      </c>
      <c r="O78" s="521">
        <f t="shared" si="10"/>
        <v>0.1</v>
      </c>
      <c r="P78" s="521" t="s">
        <v>153</v>
      </c>
      <c r="Q78" s="521">
        <f t="shared" si="11"/>
        <v>0.33</v>
      </c>
      <c r="R78" s="507"/>
      <c r="S78" s="521"/>
    </row>
    <row r="79" spans="1:19" x14ac:dyDescent="0.25">
      <c r="A79" s="216" t="s">
        <v>644</v>
      </c>
      <c r="B79" s="119" t="s">
        <v>645</v>
      </c>
      <c r="C79" s="544">
        <v>24</v>
      </c>
      <c r="D79" s="544" t="s">
        <v>372</v>
      </c>
      <c r="E79" s="544" t="s">
        <v>646</v>
      </c>
      <c r="F79" s="520" t="s">
        <v>75</v>
      </c>
      <c r="G79" s="544" t="s">
        <v>647</v>
      </c>
      <c r="H79" s="520" t="s">
        <v>643</v>
      </c>
      <c r="I79" s="544"/>
      <c r="J79" s="577" t="s">
        <v>644</v>
      </c>
      <c r="K79" s="544" t="s">
        <v>375</v>
      </c>
      <c r="L79" s="544">
        <f t="shared" si="13"/>
        <v>8</v>
      </c>
      <c r="M79" s="544" t="str">
        <f t="shared" si="12"/>
        <v>Bespoke compensation likely to be required 🛠</v>
      </c>
      <c r="N79" s="544" t="s">
        <v>151</v>
      </c>
      <c r="O79" s="544">
        <f t="shared" si="10"/>
        <v>0.1</v>
      </c>
      <c r="P79" s="544" t="s">
        <v>153</v>
      </c>
      <c r="Q79" s="544">
        <f t="shared" si="11"/>
        <v>0.33</v>
      </c>
      <c r="R79" s="520"/>
      <c r="S79" s="544"/>
    </row>
    <row r="80" spans="1:19" x14ac:dyDescent="0.25">
      <c r="A80" s="216" t="s">
        <v>648</v>
      </c>
      <c r="B80" s="119" t="s">
        <v>649</v>
      </c>
      <c r="C80" s="544" t="s">
        <v>650</v>
      </c>
      <c r="D80" s="544" t="s">
        <v>372</v>
      </c>
      <c r="E80" s="544"/>
      <c r="F80" s="520" t="s">
        <v>75</v>
      </c>
      <c r="G80" s="544" t="s">
        <v>651</v>
      </c>
      <c r="H80" s="520" t="s">
        <v>652</v>
      </c>
      <c r="I80" s="544" t="s">
        <v>650</v>
      </c>
      <c r="J80" s="572" t="s">
        <v>653</v>
      </c>
      <c r="K80" s="544" t="s">
        <v>375</v>
      </c>
      <c r="L80" s="544">
        <f t="shared" si="13"/>
        <v>8</v>
      </c>
      <c r="M80" s="544" t="str">
        <f t="shared" si="12"/>
        <v>Bespoke compensation likely to be required 🛠</v>
      </c>
      <c r="N80" s="544" t="s">
        <v>153</v>
      </c>
      <c r="O80" s="544">
        <f t="shared" si="10"/>
        <v>0.33</v>
      </c>
      <c r="P80" s="544" t="s">
        <v>153</v>
      </c>
      <c r="Q80" s="544">
        <f t="shared" si="11"/>
        <v>0.33</v>
      </c>
      <c r="R80" s="520"/>
      <c r="S80" s="544"/>
    </row>
    <row r="81" spans="1:19" x14ac:dyDescent="0.25">
      <c r="A81" s="216" t="s">
        <v>654</v>
      </c>
      <c r="B81" s="119" t="s">
        <v>655</v>
      </c>
      <c r="C81" s="544" t="s">
        <v>656</v>
      </c>
      <c r="D81" s="544" t="s">
        <v>372</v>
      </c>
      <c r="E81" s="544"/>
      <c r="F81" s="520" t="s">
        <v>75</v>
      </c>
      <c r="G81" s="544"/>
      <c r="H81" s="520" t="s">
        <v>643</v>
      </c>
      <c r="I81" s="544" t="s">
        <v>656</v>
      </c>
      <c r="J81" s="572" t="s">
        <v>654</v>
      </c>
      <c r="K81" s="544" t="s">
        <v>375</v>
      </c>
      <c r="L81" s="544">
        <f t="shared" si="13"/>
        <v>8</v>
      </c>
      <c r="M81" s="544" t="str">
        <f t="shared" si="12"/>
        <v>Bespoke compensation likely to be required 🛠</v>
      </c>
      <c r="N81" s="544" t="s">
        <v>151</v>
      </c>
      <c r="O81" s="544">
        <f t="shared" si="10"/>
        <v>0.1</v>
      </c>
      <c r="P81" s="544" t="s">
        <v>153</v>
      </c>
      <c r="Q81" s="544">
        <f t="shared" si="11"/>
        <v>0.33</v>
      </c>
      <c r="R81" s="520"/>
      <c r="S81" s="544"/>
    </row>
    <row r="82" spans="1:19" x14ac:dyDescent="0.25">
      <c r="A82" s="216" t="s">
        <v>657</v>
      </c>
      <c r="B82" s="119" t="s">
        <v>658</v>
      </c>
      <c r="C82" s="544" t="s">
        <v>659</v>
      </c>
      <c r="D82" s="544" t="s">
        <v>372</v>
      </c>
      <c r="E82" s="544"/>
      <c r="F82" s="520" t="s">
        <v>75</v>
      </c>
      <c r="G82" s="544"/>
      <c r="H82" s="520" t="s">
        <v>652</v>
      </c>
      <c r="I82" s="544" t="s">
        <v>660</v>
      </c>
      <c r="J82" s="544" t="s">
        <v>657</v>
      </c>
      <c r="K82" s="544" t="s">
        <v>375</v>
      </c>
      <c r="L82" s="544">
        <f t="shared" si="13"/>
        <v>8</v>
      </c>
      <c r="M82" s="544" t="str">
        <f t="shared" si="12"/>
        <v>Bespoke compensation likely to be required 🛠</v>
      </c>
      <c r="N82" s="544" t="s">
        <v>151</v>
      </c>
      <c r="O82" s="544">
        <f t="shared" si="10"/>
        <v>0.1</v>
      </c>
      <c r="P82" s="544" t="s">
        <v>153</v>
      </c>
      <c r="Q82" s="544">
        <f t="shared" si="11"/>
        <v>0.33</v>
      </c>
      <c r="R82" s="520"/>
      <c r="S82" s="544"/>
    </row>
    <row r="83" spans="1:19" x14ac:dyDescent="0.25">
      <c r="A83" s="216" t="s">
        <v>661</v>
      </c>
      <c r="B83" s="119" t="s">
        <v>662</v>
      </c>
      <c r="C83" s="544" t="s">
        <v>663</v>
      </c>
      <c r="D83" s="544" t="s">
        <v>372</v>
      </c>
      <c r="E83" s="544"/>
      <c r="F83" s="520" t="s">
        <v>75</v>
      </c>
      <c r="G83" s="544"/>
      <c r="H83" s="520" t="s">
        <v>652</v>
      </c>
      <c r="I83" s="544" t="s">
        <v>663</v>
      </c>
      <c r="J83" s="572" t="s">
        <v>661</v>
      </c>
      <c r="K83" s="544" t="s">
        <v>375</v>
      </c>
      <c r="L83" s="544">
        <f t="shared" si="13"/>
        <v>8</v>
      </c>
      <c r="M83" s="544" t="str">
        <f t="shared" si="12"/>
        <v>Bespoke compensation likely to be required 🛠</v>
      </c>
      <c r="N83" s="544" t="s">
        <v>153</v>
      </c>
      <c r="O83" s="544">
        <f t="shared" si="10"/>
        <v>0.33</v>
      </c>
      <c r="P83" s="544" t="s">
        <v>153</v>
      </c>
      <c r="Q83" s="544">
        <f t="shared" si="11"/>
        <v>0.33</v>
      </c>
      <c r="R83" s="520"/>
      <c r="S83" s="544"/>
    </row>
    <row r="84" spans="1:19" x14ac:dyDescent="0.25">
      <c r="A84" s="216" t="s">
        <v>664</v>
      </c>
      <c r="B84" s="119" t="s">
        <v>665</v>
      </c>
      <c r="C84" s="544" t="s">
        <v>666</v>
      </c>
      <c r="D84" s="544" t="s">
        <v>372</v>
      </c>
      <c r="E84" s="544"/>
      <c r="F84" s="520" t="s">
        <v>75</v>
      </c>
      <c r="G84" s="544"/>
      <c r="H84" s="520" t="s">
        <v>652</v>
      </c>
      <c r="I84" s="544" t="s">
        <v>666</v>
      </c>
      <c r="J84" s="572" t="s">
        <v>664</v>
      </c>
      <c r="K84" s="544" t="s">
        <v>153</v>
      </c>
      <c r="L84" s="544">
        <f t="shared" si="13"/>
        <v>6</v>
      </c>
      <c r="M84" s="544" t="str">
        <f t="shared" si="12"/>
        <v>Same habitat required =</v>
      </c>
      <c r="N84" s="544" t="s">
        <v>23</v>
      </c>
      <c r="O84" s="544">
        <f t="shared" si="10"/>
        <v>0.67</v>
      </c>
      <c r="P84" s="544" t="s">
        <v>23</v>
      </c>
      <c r="Q84" s="544">
        <f t="shared" si="11"/>
        <v>0.67</v>
      </c>
      <c r="R84" s="520"/>
      <c r="S84" s="544"/>
    </row>
    <row r="85" spans="1:19" ht="14.4" thickBot="1" x14ac:dyDescent="0.3">
      <c r="A85" s="216" t="s">
        <v>667</v>
      </c>
      <c r="B85" s="218" t="s">
        <v>668</v>
      </c>
      <c r="C85" s="578" t="s">
        <v>669</v>
      </c>
      <c r="D85" s="526" t="s">
        <v>372</v>
      </c>
      <c r="E85" s="526"/>
      <c r="F85" s="508" t="s">
        <v>75</v>
      </c>
      <c r="G85" s="526"/>
      <c r="H85" s="508" t="s">
        <v>652</v>
      </c>
      <c r="I85" s="526"/>
      <c r="J85" s="579" t="s">
        <v>668</v>
      </c>
      <c r="K85" s="526" t="s">
        <v>375</v>
      </c>
      <c r="L85" s="526">
        <f t="shared" si="13"/>
        <v>8</v>
      </c>
      <c r="M85" s="526" t="str">
        <f t="shared" si="12"/>
        <v>Bespoke compensation likely to be required 🛠</v>
      </c>
      <c r="N85" s="526" t="s">
        <v>151</v>
      </c>
      <c r="O85" s="526">
        <f t="shared" si="10"/>
        <v>0.1</v>
      </c>
      <c r="P85" s="526" t="s">
        <v>153</v>
      </c>
      <c r="Q85" s="526">
        <f t="shared" si="11"/>
        <v>0.33</v>
      </c>
      <c r="R85" s="508"/>
      <c r="S85" s="526"/>
    </row>
    <row r="86" spans="1:19" x14ac:dyDescent="0.25">
      <c r="A86" s="216" t="s">
        <v>670</v>
      </c>
      <c r="B86" s="219" t="s">
        <v>671</v>
      </c>
      <c r="C86" s="521">
        <v>53</v>
      </c>
      <c r="D86" s="521" t="s">
        <v>372</v>
      </c>
      <c r="E86" s="521"/>
      <c r="F86" s="507" t="s">
        <v>76</v>
      </c>
      <c r="G86" s="521"/>
      <c r="H86" s="507" t="s">
        <v>672</v>
      </c>
      <c r="I86" s="521"/>
      <c r="J86" s="521" t="s">
        <v>670</v>
      </c>
      <c r="K86" s="521" t="s">
        <v>153</v>
      </c>
      <c r="L86" s="521">
        <f t="shared" si="13"/>
        <v>6</v>
      </c>
      <c r="M86" s="521" t="str">
        <f t="shared" si="12"/>
        <v>Same habitat required =</v>
      </c>
      <c r="N86" s="521" t="s">
        <v>156</v>
      </c>
      <c r="O86" s="521">
        <f t="shared" si="10"/>
        <v>1</v>
      </c>
      <c r="P86" s="521" t="s">
        <v>156</v>
      </c>
      <c r="Q86" s="521">
        <f t="shared" si="11"/>
        <v>1</v>
      </c>
      <c r="R86" s="507"/>
      <c r="S86" s="521"/>
    </row>
    <row r="87" spans="1:19" x14ac:dyDescent="0.25">
      <c r="A87" s="216" t="s">
        <v>673</v>
      </c>
      <c r="B87" s="119" t="s">
        <v>674</v>
      </c>
      <c r="C87" s="544" t="s">
        <v>675</v>
      </c>
      <c r="D87" s="544" t="s">
        <v>372</v>
      </c>
      <c r="E87" s="544"/>
      <c r="F87" s="520" t="s">
        <v>76</v>
      </c>
      <c r="G87" s="544"/>
      <c r="H87" s="520" t="s">
        <v>676</v>
      </c>
      <c r="I87" s="544" t="s">
        <v>675</v>
      </c>
      <c r="J87" s="572" t="s">
        <v>673</v>
      </c>
      <c r="K87" s="544" t="s">
        <v>153</v>
      </c>
      <c r="L87" s="544">
        <f t="shared" si="13"/>
        <v>6</v>
      </c>
      <c r="M87" s="544" t="str">
        <f t="shared" si="12"/>
        <v>Same habitat required =</v>
      </c>
      <c r="N87" s="544" t="s">
        <v>153</v>
      </c>
      <c r="O87" s="544">
        <f t="shared" si="10"/>
        <v>0.33</v>
      </c>
      <c r="P87" s="544" t="s">
        <v>153</v>
      </c>
      <c r="Q87" s="544">
        <f t="shared" si="11"/>
        <v>0.33</v>
      </c>
      <c r="R87" s="520"/>
      <c r="S87" s="544"/>
    </row>
    <row r="88" spans="1:19" x14ac:dyDescent="0.25">
      <c r="A88" s="216" t="s">
        <v>677</v>
      </c>
      <c r="B88" s="119" t="s">
        <v>678</v>
      </c>
      <c r="C88" s="544" t="s">
        <v>679</v>
      </c>
      <c r="D88" s="544" t="s">
        <v>372</v>
      </c>
      <c r="E88" s="544"/>
      <c r="F88" s="520" t="s">
        <v>76</v>
      </c>
      <c r="G88" s="544"/>
      <c r="H88" s="520" t="s">
        <v>676</v>
      </c>
      <c r="I88" s="544" t="s">
        <v>679</v>
      </c>
      <c r="J88" s="572" t="s">
        <v>677</v>
      </c>
      <c r="K88" s="544" t="s">
        <v>153</v>
      </c>
      <c r="L88" s="544">
        <f t="shared" si="13"/>
        <v>6</v>
      </c>
      <c r="M88" s="544" t="str">
        <f t="shared" si="12"/>
        <v>Same habitat required =</v>
      </c>
      <c r="N88" s="544" t="s">
        <v>153</v>
      </c>
      <c r="O88" s="544">
        <f t="shared" si="10"/>
        <v>0.33</v>
      </c>
      <c r="P88" s="544" t="s">
        <v>153</v>
      </c>
      <c r="Q88" s="544">
        <f t="shared" si="11"/>
        <v>0.33</v>
      </c>
      <c r="R88" s="520"/>
      <c r="S88" s="544"/>
    </row>
    <row r="89" spans="1:19" x14ac:dyDescent="0.25">
      <c r="A89" s="216" t="s">
        <v>680</v>
      </c>
      <c r="B89" s="119" t="s">
        <v>681</v>
      </c>
      <c r="C89" s="544" t="s">
        <v>682</v>
      </c>
      <c r="D89" s="544" t="s">
        <v>372</v>
      </c>
      <c r="E89" s="544"/>
      <c r="F89" s="520" t="s">
        <v>76</v>
      </c>
      <c r="G89" s="544" t="s">
        <v>683</v>
      </c>
      <c r="H89" s="520" t="s">
        <v>684</v>
      </c>
      <c r="I89" s="544" t="s">
        <v>682</v>
      </c>
      <c r="J89" s="572" t="s">
        <v>680</v>
      </c>
      <c r="K89" s="544" t="s">
        <v>153</v>
      </c>
      <c r="L89" s="544">
        <f t="shared" si="13"/>
        <v>6</v>
      </c>
      <c r="M89" s="544" t="str">
        <f t="shared" si="12"/>
        <v>Same habitat required =</v>
      </c>
      <c r="N89" s="544" t="s">
        <v>153</v>
      </c>
      <c r="O89" s="544">
        <f t="shared" si="10"/>
        <v>0.33</v>
      </c>
      <c r="P89" s="544" t="s">
        <v>153</v>
      </c>
      <c r="Q89" s="544">
        <f t="shared" si="11"/>
        <v>0.33</v>
      </c>
      <c r="R89" s="520"/>
      <c r="S89" s="544"/>
    </row>
    <row r="90" spans="1:19" x14ac:dyDescent="0.25">
      <c r="A90" s="216" t="s">
        <v>685</v>
      </c>
      <c r="B90" s="119" t="s">
        <v>686</v>
      </c>
      <c r="C90" s="544" t="s">
        <v>687</v>
      </c>
      <c r="D90" s="544" t="s">
        <v>372</v>
      </c>
      <c r="E90" s="544"/>
      <c r="F90" s="520" t="s">
        <v>76</v>
      </c>
      <c r="G90" s="544"/>
      <c r="H90" s="520" t="s">
        <v>684</v>
      </c>
      <c r="I90" s="544" t="s">
        <v>687</v>
      </c>
      <c r="J90" s="544" t="s">
        <v>685</v>
      </c>
      <c r="K90" s="544" t="s">
        <v>156</v>
      </c>
      <c r="L90" s="544">
        <f t="shared" si="13"/>
        <v>2</v>
      </c>
      <c r="M90" s="544" t="str">
        <f t="shared" si="12"/>
        <v>Same distinctiveness or better habitat required ≥</v>
      </c>
      <c r="N90" s="544" t="s">
        <v>156</v>
      </c>
      <c r="O90" s="544">
        <f t="shared" si="10"/>
        <v>1</v>
      </c>
      <c r="P90" s="544" t="s">
        <v>156</v>
      </c>
      <c r="Q90" s="544">
        <f t="shared" si="11"/>
        <v>1</v>
      </c>
      <c r="R90" s="520"/>
      <c r="S90" s="544"/>
    </row>
    <row r="91" spans="1:19" x14ac:dyDescent="0.25">
      <c r="A91" s="216" t="s">
        <v>688</v>
      </c>
      <c r="B91" s="119" t="s">
        <v>689</v>
      </c>
      <c r="C91" s="544" t="s">
        <v>690</v>
      </c>
      <c r="D91" s="544" t="s">
        <v>372</v>
      </c>
      <c r="E91" s="544"/>
      <c r="F91" s="520" t="s">
        <v>76</v>
      </c>
      <c r="G91" s="544"/>
      <c r="H91" s="520" t="s">
        <v>684</v>
      </c>
      <c r="I91" s="544" t="s">
        <v>690</v>
      </c>
      <c r="J91" s="544" t="s">
        <v>688</v>
      </c>
      <c r="K91" s="544" t="s">
        <v>23</v>
      </c>
      <c r="L91" s="544">
        <f t="shared" si="13"/>
        <v>4</v>
      </c>
      <c r="M91" s="544" t="str">
        <f t="shared" si="12"/>
        <v>Same broad habitat or a higher distinctiveness habitat required (≥)</v>
      </c>
      <c r="N91" s="544" t="s">
        <v>23</v>
      </c>
      <c r="O91" s="544">
        <f t="shared" si="10"/>
        <v>0.67</v>
      </c>
      <c r="P91" s="544" t="s">
        <v>23</v>
      </c>
      <c r="Q91" s="544">
        <f t="shared" si="11"/>
        <v>0.67</v>
      </c>
      <c r="R91" s="520"/>
      <c r="S91" s="544"/>
    </row>
    <row r="92" spans="1:19" x14ac:dyDescent="0.25">
      <c r="A92" s="216" t="s">
        <v>691</v>
      </c>
      <c r="B92" s="119" t="s">
        <v>692</v>
      </c>
      <c r="C92" s="544" t="s">
        <v>693</v>
      </c>
      <c r="D92" s="544" t="s">
        <v>372</v>
      </c>
      <c r="E92" s="544"/>
      <c r="F92" s="520" t="s">
        <v>76</v>
      </c>
      <c r="G92" s="544"/>
      <c r="H92" s="520" t="s">
        <v>676</v>
      </c>
      <c r="I92" s="544" t="s">
        <v>693</v>
      </c>
      <c r="J92" s="544" t="s">
        <v>691</v>
      </c>
      <c r="K92" s="544" t="s">
        <v>23</v>
      </c>
      <c r="L92" s="544">
        <f t="shared" si="13"/>
        <v>4</v>
      </c>
      <c r="M92" s="544" t="str">
        <f t="shared" si="12"/>
        <v>Same broad habitat or a higher distinctiveness habitat required (≥)</v>
      </c>
      <c r="N92" s="544" t="s">
        <v>156</v>
      </c>
      <c r="O92" s="544">
        <f t="shared" si="10"/>
        <v>1</v>
      </c>
      <c r="P92" s="544" t="s">
        <v>156</v>
      </c>
      <c r="Q92" s="544">
        <f t="shared" si="11"/>
        <v>1</v>
      </c>
      <c r="R92" s="520"/>
      <c r="S92" s="544"/>
    </row>
    <row r="93" spans="1:19" x14ac:dyDescent="0.25">
      <c r="A93" s="216" t="s">
        <v>694</v>
      </c>
      <c r="B93" s="119" t="s">
        <v>695</v>
      </c>
      <c r="C93" s="544" t="s">
        <v>696</v>
      </c>
      <c r="D93" s="544" t="s">
        <v>372</v>
      </c>
      <c r="E93" s="544"/>
      <c r="F93" s="520" t="s">
        <v>76</v>
      </c>
      <c r="G93" s="544"/>
      <c r="H93" s="520" t="s">
        <v>676</v>
      </c>
      <c r="I93" s="544" t="s">
        <v>696</v>
      </c>
      <c r="J93" s="544" t="s">
        <v>694</v>
      </c>
      <c r="K93" s="544" t="s">
        <v>23</v>
      </c>
      <c r="L93" s="544">
        <f t="shared" si="13"/>
        <v>4</v>
      </c>
      <c r="M93" s="544" t="str">
        <f t="shared" si="12"/>
        <v>Same broad habitat or a higher distinctiveness habitat required (≥)</v>
      </c>
      <c r="N93" s="544" t="s">
        <v>156</v>
      </c>
      <c r="O93" s="544">
        <f t="shared" ref="O93:O98" si="14">VLOOKUP(N93,Difficulty,2,FALSE)</f>
        <v>1</v>
      </c>
      <c r="P93" s="544" t="s">
        <v>156</v>
      </c>
      <c r="Q93" s="544">
        <f t="shared" ref="Q93:Q98" si="15">VLOOKUP(P93,Difficulty,2,FALSE)</f>
        <v>1</v>
      </c>
      <c r="R93" s="520"/>
      <c r="S93" s="544"/>
    </row>
    <row r="94" spans="1:19" x14ac:dyDescent="0.25">
      <c r="A94" s="216" t="s">
        <v>697</v>
      </c>
      <c r="B94" s="119" t="s">
        <v>698</v>
      </c>
      <c r="C94" s="544" t="s">
        <v>699</v>
      </c>
      <c r="D94" s="544" t="s">
        <v>372</v>
      </c>
      <c r="E94" s="544"/>
      <c r="F94" s="520" t="s">
        <v>76</v>
      </c>
      <c r="G94" s="544"/>
      <c r="H94" s="520" t="s">
        <v>676</v>
      </c>
      <c r="I94" s="544" t="s">
        <v>699</v>
      </c>
      <c r="J94" s="572" t="s">
        <v>697</v>
      </c>
      <c r="K94" s="544" t="s">
        <v>153</v>
      </c>
      <c r="L94" s="544">
        <f t="shared" si="13"/>
        <v>6</v>
      </c>
      <c r="M94" s="544" t="str">
        <f t="shared" si="12"/>
        <v>Same habitat required =</v>
      </c>
      <c r="N94" s="544" t="s">
        <v>23</v>
      </c>
      <c r="O94" s="544">
        <f t="shared" si="14"/>
        <v>0.67</v>
      </c>
      <c r="P94" s="544" t="s">
        <v>23</v>
      </c>
      <c r="Q94" s="544">
        <f t="shared" si="15"/>
        <v>0.67</v>
      </c>
      <c r="R94" s="520"/>
      <c r="S94" s="544"/>
    </row>
    <row r="95" spans="1:19" x14ac:dyDescent="0.25">
      <c r="A95" s="216" t="s">
        <v>700</v>
      </c>
      <c r="B95" s="119" t="s">
        <v>701</v>
      </c>
      <c r="C95" s="544" t="s">
        <v>702</v>
      </c>
      <c r="D95" s="544" t="s">
        <v>372</v>
      </c>
      <c r="E95" s="544"/>
      <c r="F95" s="520" t="s">
        <v>76</v>
      </c>
      <c r="G95" s="544"/>
      <c r="H95" s="520" t="s">
        <v>676</v>
      </c>
      <c r="I95" s="544" t="s">
        <v>702</v>
      </c>
      <c r="J95" s="572" t="s">
        <v>700</v>
      </c>
      <c r="K95" s="544" t="s">
        <v>153</v>
      </c>
      <c r="L95" s="544">
        <f t="shared" si="13"/>
        <v>6</v>
      </c>
      <c r="M95" s="544" t="str">
        <f t="shared" si="12"/>
        <v>Same habitat required =</v>
      </c>
      <c r="N95" s="544" t="s">
        <v>153</v>
      </c>
      <c r="O95" s="544">
        <f t="shared" si="14"/>
        <v>0.33</v>
      </c>
      <c r="P95" s="544" t="s">
        <v>153</v>
      </c>
      <c r="Q95" s="544">
        <f t="shared" si="15"/>
        <v>0.33</v>
      </c>
      <c r="R95" s="520"/>
      <c r="S95" s="544"/>
    </row>
    <row r="96" spans="1:19" x14ac:dyDescent="0.25">
      <c r="A96" s="216" t="s">
        <v>703</v>
      </c>
      <c r="B96" s="119" t="s">
        <v>704</v>
      </c>
      <c r="C96" s="544" t="s">
        <v>705</v>
      </c>
      <c r="D96" s="544" t="s">
        <v>372</v>
      </c>
      <c r="E96" s="544" t="s">
        <v>706</v>
      </c>
      <c r="F96" s="520" t="s">
        <v>76</v>
      </c>
      <c r="G96" s="544" t="s">
        <v>707</v>
      </c>
      <c r="H96" s="520" t="s">
        <v>676</v>
      </c>
      <c r="I96" s="544" t="s">
        <v>705</v>
      </c>
      <c r="J96" s="572" t="s">
        <v>703</v>
      </c>
      <c r="K96" s="544" t="s">
        <v>153</v>
      </c>
      <c r="L96" s="544">
        <f t="shared" si="13"/>
        <v>6</v>
      </c>
      <c r="M96" s="544" t="str">
        <f t="shared" si="12"/>
        <v>Same habitat required =</v>
      </c>
      <c r="N96" s="544" t="s">
        <v>153</v>
      </c>
      <c r="O96" s="544">
        <f t="shared" si="14"/>
        <v>0.33</v>
      </c>
      <c r="P96" s="544" t="s">
        <v>153</v>
      </c>
      <c r="Q96" s="544">
        <f t="shared" si="15"/>
        <v>0.33</v>
      </c>
      <c r="R96" s="520"/>
      <c r="S96" s="544"/>
    </row>
    <row r="97" spans="1:19" x14ac:dyDescent="0.25">
      <c r="A97" s="216" t="s">
        <v>708</v>
      </c>
      <c r="B97" s="119" t="s">
        <v>709</v>
      </c>
      <c r="C97" s="544" t="s">
        <v>710</v>
      </c>
      <c r="D97" s="544" t="s">
        <v>372</v>
      </c>
      <c r="E97" s="544"/>
      <c r="F97" s="520" t="s">
        <v>76</v>
      </c>
      <c r="G97" s="544"/>
      <c r="H97" s="520" t="s">
        <v>676</v>
      </c>
      <c r="I97" s="544" t="s">
        <v>710</v>
      </c>
      <c r="J97" s="572" t="s">
        <v>708</v>
      </c>
      <c r="K97" s="544" t="s">
        <v>153</v>
      </c>
      <c r="L97" s="544">
        <f t="shared" si="13"/>
        <v>6</v>
      </c>
      <c r="M97" s="544" t="str">
        <f t="shared" si="12"/>
        <v>Same habitat required =</v>
      </c>
      <c r="N97" s="544" t="s">
        <v>23</v>
      </c>
      <c r="O97" s="544">
        <f t="shared" si="14"/>
        <v>0.67</v>
      </c>
      <c r="P97" s="544" t="s">
        <v>23</v>
      </c>
      <c r="Q97" s="544">
        <f t="shared" si="15"/>
        <v>0.67</v>
      </c>
      <c r="R97" s="520"/>
      <c r="S97" s="544"/>
    </row>
    <row r="98" spans="1:19" ht="14.4" thickBot="1" x14ac:dyDescent="0.3">
      <c r="A98" s="216" t="s">
        <v>711</v>
      </c>
      <c r="B98" s="218" t="s">
        <v>712</v>
      </c>
      <c r="C98" s="526">
        <v>20</v>
      </c>
      <c r="D98" s="526" t="s">
        <v>372</v>
      </c>
      <c r="E98" s="526"/>
      <c r="F98" s="508" t="s">
        <v>76</v>
      </c>
      <c r="G98" s="526"/>
      <c r="H98" s="508" t="s">
        <v>672</v>
      </c>
      <c r="I98" s="526"/>
      <c r="J98" s="526" t="s">
        <v>711</v>
      </c>
      <c r="K98" s="526" t="s">
        <v>375</v>
      </c>
      <c r="L98" s="526">
        <f t="shared" si="13"/>
        <v>8</v>
      </c>
      <c r="M98" s="526" t="str">
        <f t="shared" si="12"/>
        <v>Bespoke compensation likely to be required 🛠</v>
      </c>
      <c r="N98" s="526" t="s">
        <v>151</v>
      </c>
      <c r="O98" s="526">
        <f t="shared" si="14"/>
        <v>0.1</v>
      </c>
      <c r="P98" s="526" t="s">
        <v>153</v>
      </c>
      <c r="Q98" s="526">
        <f t="shared" si="15"/>
        <v>0.33</v>
      </c>
      <c r="R98" s="508"/>
      <c r="S98" s="526"/>
    </row>
    <row r="99" spans="1:19" ht="14.4" thickBot="1" x14ac:dyDescent="0.3">
      <c r="A99" s="216" t="s">
        <v>80</v>
      </c>
      <c r="B99" s="220" t="s">
        <v>713</v>
      </c>
      <c r="C99" s="580" t="s">
        <v>714</v>
      </c>
      <c r="D99" s="581" t="s">
        <v>715</v>
      </c>
      <c r="E99" s="581" t="s">
        <v>716</v>
      </c>
      <c r="F99" s="582" t="s">
        <v>80</v>
      </c>
      <c r="G99" s="581"/>
      <c r="H99" s="582" t="s">
        <v>80</v>
      </c>
      <c r="I99" s="582"/>
      <c r="J99" s="581"/>
      <c r="K99" s="582" t="s">
        <v>153</v>
      </c>
      <c r="L99" s="582">
        <f t="shared" ref="L99" si="16">IF(K99=$V$3,$W$3,IF(K99=$V$3,$W$3,IF(K99=$V$4,$W$4,IF(K99=$V$5,$W$5,IF(K99=$V$6,$W$6,IF(K99=$V$7,$W$7))))))</f>
        <v>6</v>
      </c>
      <c r="M99" s="582" t="str">
        <f t="shared" si="12"/>
        <v>Same habitat required =</v>
      </c>
      <c r="N99" s="582" t="s">
        <v>23</v>
      </c>
      <c r="O99" s="582">
        <f t="shared" ref="O99" si="17">VLOOKUP(N99,Difficulty,2,FALSE)</f>
        <v>0.67</v>
      </c>
      <c r="P99" s="582" t="s">
        <v>23</v>
      </c>
      <c r="Q99" s="582">
        <f t="shared" ref="Q99" si="18">VLOOKUP(P99,Difficulty,2,FALSE)</f>
        <v>0.67</v>
      </c>
      <c r="R99" s="583"/>
      <c r="S99" s="582"/>
    </row>
    <row r="100" spans="1:19" x14ac:dyDescent="0.25">
      <c r="A100" s="216" t="s">
        <v>717</v>
      </c>
      <c r="B100" s="219" t="s">
        <v>718</v>
      </c>
      <c r="C100" s="584" t="s">
        <v>719</v>
      </c>
      <c r="D100" s="585" t="s">
        <v>715</v>
      </c>
      <c r="E100" s="585" t="s">
        <v>720</v>
      </c>
      <c r="F100" s="521" t="s">
        <v>79</v>
      </c>
      <c r="G100" s="585"/>
      <c r="H100" s="521" t="s">
        <v>717</v>
      </c>
      <c r="I100" s="521"/>
      <c r="J100" s="585"/>
      <c r="K100" s="521" t="s">
        <v>153</v>
      </c>
      <c r="L100" s="521">
        <f t="shared" ref="L100:L124" si="19">IF(K100=$V$3,$W$3,IF(K100=$V$3,$W$3,IF(K100=$V$4,$W$4,IF(K100=$V$5,$W$5,IF(K100=$V$6,$W$6,IF(K100=$V$7,$W$7))))))</f>
        <v>6</v>
      </c>
      <c r="M100" s="521" t="str">
        <f t="shared" si="12"/>
        <v>Same habitat required =</v>
      </c>
      <c r="N100" s="521" t="s">
        <v>153</v>
      </c>
      <c r="O100" s="521">
        <f t="shared" ref="O100:O124" si="20">VLOOKUP(N100,Difficulty,2,FALSE)</f>
        <v>0.33</v>
      </c>
      <c r="P100" s="521" t="s">
        <v>23</v>
      </c>
      <c r="Q100" s="521">
        <f t="shared" ref="Q100:Q124" si="21">VLOOKUP(P100,Difficulty,2,FALSE)</f>
        <v>0.67</v>
      </c>
      <c r="R100" s="507"/>
      <c r="S100" s="521"/>
    </row>
    <row r="101" spans="1:19" x14ac:dyDescent="0.25">
      <c r="A101" s="221" t="s">
        <v>721</v>
      </c>
      <c r="B101" s="119" t="s">
        <v>722</v>
      </c>
      <c r="C101" s="584" t="s">
        <v>723</v>
      </c>
      <c r="D101" s="586" t="s">
        <v>715</v>
      </c>
      <c r="E101" s="586" t="s">
        <v>720</v>
      </c>
      <c r="F101" s="544" t="s">
        <v>79</v>
      </c>
      <c r="G101" s="586"/>
      <c r="H101" s="572" t="s">
        <v>724</v>
      </c>
      <c r="I101" s="544"/>
      <c r="J101" s="586"/>
      <c r="K101" s="544" t="s">
        <v>375</v>
      </c>
      <c r="L101" s="544">
        <f t="shared" si="19"/>
        <v>8</v>
      </c>
      <c r="M101" s="544" t="str">
        <f t="shared" si="12"/>
        <v>Bespoke compensation likely to be required 🛠</v>
      </c>
      <c r="N101" s="544" t="s">
        <v>151</v>
      </c>
      <c r="O101" s="544">
        <f t="shared" si="20"/>
        <v>0.1</v>
      </c>
      <c r="P101" s="544" t="s">
        <v>23</v>
      </c>
      <c r="Q101" s="544">
        <f t="shared" si="21"/>
        <v>0.67</v>
      </c>
      <c r="R101" s="520"/>
      <c r="S101" s="544"/>
    </row>
    <row r="102" spans="1:19" x14ac:dyDescent="0.25">
      <c r="A102" s="216" t="s">
        <v>725</v>
      </c>
      <c r="B102" s="119" t="s">
        <v>726</v>
      </c>
      <c r="C102" s="571" t="s">
        <v>727</v>
      </c>
      <c r="D102" s="586" t="s">
        <v>715</v>
      </c>
      <c r="E102" s="586" t="s">
        <v>720</v>
      </c>
      <c r="F102" s="544" t="s">
        <v>79</v>
      </c>
      <c r="G102" s="586"/>
      <c r="H102" s="544" t="s">
        <v>725</v>
      </c>
      <c r="I102" s="544"/>
      <c r="J102" s="586"/>
      <c r="K102" s="544" t="s">
        <v>153</v>
      </c>
      <c r="L102" s="544">
        <f t="shared" si="19"/>
        <v>6</v>
      </c>
      <c r="M102" s="544" t="str">
        <f t="shared" si="12"/>
        <v>Same habitat required =</v>
      </c>
      <c r="N102" s="544" t="s">
        <v>153</v>
      </c>
      <c r="O102" s="544">
        <f t="shared" si="20"/>
        <v>0.33</v>
      </c>
      <c r="P102" s="544" t="s">
        <v>23</v>
      </c>
      <c r="Q102" s="544">
        <f t="shared" si="21"/>
        <v>0.67</v>
      </c>
      <c r="R102" s="520"/>
      <c r="S102" s="544"/>
    </row>
    <row r="103" spans="1:19" x14ac:dyDescent="0.25">
      <c r="A103" s="221" t="s">
        <v>728</v>
      </c>
      <c r="B103" s="119" t="s">
        <v>729</v>
      </c>
      <c r="C103" s="571" t="s">
        <v>730</v>
      </c>
      <c r="D103" s="586" t="s">
        <v>715</v>
      </c>
      <c r="E103" s="586" t="s">
        <v>720</v>
      </c>
      <c r="F103" s="544" t="s">
        <v>79</v>
      </c>
      <c r="G103" s="586"/>
      <c r="H103" s="572" t="s">
        <v>731</v>
      </c>
      <c r="I103" s="544"/>
      <c r="J103" s="586"/>
      <c r="K103" s="544" t="s">
        <v>375</v>
      </c>
      <c r="L103" s="544">
        <f t="shared" si="19"/>
        <v>8</v>
      </c>
      <c r="M103" s="544" t="str">
        <f t="shared" si="12"/>
        <v>Bespoke compensation likely to be required 🛠</v>
      </c>
      <c r="N103" s="544" t="s">
        <v>151</v>
      </c>
      <c r="O103" s="544">
        <f t="shared" si="20"/>
        <v>0.1</v>
      </c>
      <c r="P103" s="544" t="s">
        <v>23</v>
      </c>
      <c r="Q103" s="544">
        <f t="shared" si="21"/>
        <v>0.67</v>
      </c>
      <c r="R103" s="520"/>
      <c r="S103" s="544"/>
    </row>
    <row r="104" spans="1:19" x14ac:dyDescent="0.25">
      <c r="A104" s="216" t="s">
        <v>732</v>
      </c>
      <c r="B104" s="119" t="s">
        <v>733</v>
      </c>
      <c r="C104" s="571" t="s">
        <v>734</v>
      </c>
      <c r="D104" s="586" t="s">
        <v>715</v>
      </c>
      <c r="E104" s="586" t="s">
        <v>720</v>
      </c>
      <c r="F104" s="544" t="s">
        <v>79</v>
      </c>
      <c r="G104" s="586"/>
      <c r="H104" s="544" t="s">
        <v>732</v>
      </c>
      <c r="I104" s="544"/>
      <c r="J104" s="586"/>
      <c r="K104" s="544" t="s">
        <v>153</v>
      </c>
      <c r="L104" s="544">
        <f t="shared" si="19"/>
        <v>6</v>
      </c>
      <c r="M104" s="544" t="str">
        <f t="shared" si="12"/>
        <v>Same habitat required =</v>
      </c>
      <c r="N104" s="544" t="s">
        <v>153</v>
      </c>
      <c r="O104" s="544">
        <f t="shared" si="20"/>
        <v>0.33</v>
      </c>
      <c r="P104" s="544" t="s">
        <v>23</v>
      </c>
      <c r="Q104" s="544">
        <f t="shared" si="21"/>
        <v>0.67</v>
      </c>
      <c r="R104" s="520"/>
      <c r="S104" s="544"/>
    </row>
    <row r="105" spans="1:19" x14ac:dyDescent="0.25">
      <c r="A105" s="221" t="s">
        <v>735</v>
      </c>
      <c r="B105" s="119" t="s">
        <v>736</v>
      </c>
      <c r="C105" s="571" t="s">
        <v>737</v>
      </c>
      <c r="D105" s="586" t="s">
        <v>715</v>
      </c>
      <c r="E105" s="586" t="s">
        <v>720</v>
      </c>
      <c r="F105" s="544" t="s">
        <v>79</v>
      </c>
      <c r="G105" s="586"/>
      <c r="H105" s="572" t="s">
        <v>738</v>
      </c>
      <c r="I105" s="544"/>
      <c r="J105" s="586"/>
      <c r="K105" s="544" t="s">
        <v>375</v>
      </c>
      <c r="L105" s="544">
        <f t="shared" si="19"/>
        <v>8</v>
      </c>
      <c r="M105" s="544" t="str">
        <f t="shared" si="12"/>
        <v>Bespoke compensation likely to be required 🛠</v>
      </c>
      <c r="N105" s="544" t="s">
        <v>151</v>
      </c>
      <c r="O105" s="544">
        <f t="shared" si="20"/>
        <v>0.1</v>
      </c>
      <c r="P105" s="544" t="s">
        <v>23</v>
      </c>
      <c r="Q105" s="544">
        <f t="shared" si="21"/>
        <v>0.67</v>
      </c>
      <c r="R105" s="520"/>
      <c r="S105" s="544"/>
    </row>
    <row r="106" spans="1:19" x14ac:dyDescent="0.25">
      <c r="A106" s="216" t="s">
        <v>739</v>
      </c>
      <c r="B106" s="119" t="s">
        <v>740</v>
      </c>
      <c r="C106" s="571" t="s">
        <v>741</v>
      </c>
      <c r="D106" s="586" t="s">
        <v>715</v>
      </c>
      <c r="E106" s="586" t="s">
        <v>720</v>
      </c>
      <c r="F106" s="544" t="s">
        <v>79</v>
      </c>
      <c r="G106" s="586"/>
      <c r="H106" s="544" t="s">
        <v>739</v>
      </c>
      <c r="I106" s="544"/>
      <c r="J106" s="586"/>
      <c r="K106" s="544" t="s">
        <v>153</v>
      </c>
      <c r="L106" s="544">
        <f t="shared" si="19"/>
        <v>6</v>
      </c>
      <c r="M106" s="544" t="str">
        <f t="shared" si="12"/>
        <v>Same habitat required =</v>
      </c>
      <c r="N106" s="544" t="s">
        <v>153</v>
      </c>
      <c r="O106" s="544">
        <f t="shared" si="20"/>
        <v>0.33</v>
      </c>
      <c r="P106" s="544" t="s">
        <v>23</v>
      </c>
      <c r="Q106" s="544">
        <f t="shared" si="21"/>
        <v>0.67</v>
      </c>
      <c r="R106" s="520"/>
      <c r="S106" s="544"/>
    </row>
    <row r="107" spans="1:19" ht="14.4" thickBot="1" x14ac:dyDescent="0.3">
      <c r="A107" s="221" t="s">
        <v>742</v>
      </c>
      <c r="B107" s="218" t="s">
        <v>743</v>
      </c>
      <c r="C107" s="578" t="s">
        <v>744</v>
      </c>
      <c r="D107" s="587" t="s">
        <v>715</v>
      </c>
      <c r="E107" s="587" t="s">
        <v>720</v>
      </c>
      <c r="F107" s="526" t="s">
        <v>79</v>
      </c>
      <c r="G107" s="587"/>
      <c r="H107" s="575" t="s">
        <v>745</v>
      </c>
      <c r="I107" s="526"/>
      <c r="J107" s="587"/>
      <c r="K107" s="526" t="s">
        <v>375</v>
      </c>
      <c r="L107" s="526">
        <f t="shared" si="19"/>
        <v>8</v>
      </c>
      <c r="M107" s="526" t="str">
        <f t="shared" si="12"/>
        <v>Bespoke compensation likely to be required 🛠</v>
      </c>
      <c r="N107" s="526" t="s">
        <v>151</v>
      </c>
      <c r="O107" s="526">
        <f t="shared" si="20"/>
        <v>0.1</v>
      </c>
      <c r="P107" s="526" t="s">
        <v>23</v>
      </c>
      <c r="Q107" s="526">
        <f t="shared" si="21"/>
        <v>0.67</v>
      </c>
      <c r="R107" s="508"/>
      <c r="S107" s="526"/>
    </row>
    <row r="108" spans="1:19" x14ac:dyDescent="0.25">
      <c r="A108" s="216" t="s">
        <v>746</v>
      </c>
      <c r="B108" s="219" t="s">
        <v>747</v>
      </c>
      <c r="C108" s="584" t="s">
        <v>748</v>
      </c>
      <c r="D108" s="585" t="s">
        <v>715</v>
      </c>
      <c r="E108" s="585" t="s">
        <v>749</v>
      </c>
      <c r="F108" s="521" t="s">
        <v>78</v>
      </c>
      <c r="G108" s="585"/>
      <c r="H108" s="521" t="s">
        <v>750</v>
      </c>
      <c r="I108" s="521"/>
      <c r="J108" s="585"/>
      <c r="K108" s="521" t="s">
        <v>153</v>
      </c>
      <c r="L108" s="521">
        <f>IF(K108=$V$3,$W$3,IF(K108=$V$3,$W$3,IF(K108=$V$4,$W$4,IF(K108=$V$5,$W$5,IF(K108=$V$6,$W$6,IF(K108=$V$7,$W$7))))))</f>
        <v>6</v>
      </c>
      <c r="M108" s="521" t="str">
        <f>IF($K108=$V$3,$X$3,IF($K108=$V$4,$X$4,IF($K108=$V$5,$X$5,IF($K108=$V$6,$X$6,IF($K108=$V$7,$X$7)))))</f>
        <v>Same habitat required =</v>
      </c>
      <c r="N108" s="521" t="s">
        <v>153</v>
      </c>
      <c r="O108" s="521">
        <f>VLOOKUP(N108,Difficulty,2,FALSE)</f>
        <v>0.33</v>
      </c>
      <c r="P108" s="521" t="s">
        <v>23</v>
      </c>
      <c r="Q108" s="521">
        <f>VLOOKUP(P108,Difficulty,2,FALSE)</f>
        <v>0.67</v>
      </c>
      <c r="R108" s="507"/>
      <c r="S108" s="521"/>
    </row>
    <row r="109" spans="1:19" ht="14.4" thickBot="1" x14ac:dyDescent="0.3">
      <c r="A109" s="216" t="s">
        <v>751</v>
      </c>
      <c r="B109" s="218" t="s">
        <v>752</v>
      </c>
      <c r="C109" s="578" t="s">
        <v>753</v>
      </c>
      <c r="D109" s="587"/>
      <c r="E109" s="587"/>
      <c r="F109" s="526" t="s">
        <v>78</v>
      </c>
      <c r="G109" s="587"/>
      <c r="H109" s="526" t="s">
        <v>751</v>
      </c>
      <c r="I109" s="526"/>
      <c r="J109" s="587"/>
      <c r="K109" s="526" t="s">
        <v>156</v>
      </c>
      <c r="L109" s="526">
        <f>IF(K109=$V$3,$W$3,IF(K109=$V$3,$W$3,IF(K109=$V$4,$W$4,IF(K109=$V$5,$W$5,IF(K109=$V$6,$W$6,IF(K109=$V$7,$W$7))))))</f>
        <v>2</v>
      </c>
      <c r="M109" s="526" t="str">
        <f>IF($K109=$V$3,$X$3,IF($K109=$V$4,$X$4,IF($K109=$V$5,$X$5,IF($K109=$V$6,$X$6,IF($K109=$V$7,$X$7)))))</f>
        <v>Same distinctiveness or better habitat required ≥</v>
      </c>
      <c r="N109" s="526" t="s">
        <v>153</v>
      </c>
      <c r="O109" s="526">
        <f>VLOOKUP(N109,Difficulty,2,FALSE)</f>
        <v>0.33</v>
      </c>
      <c r="P109" s="526" t="s">
        <v>23</v>
      </c>
      <c r="Q109" s="526">
        <f t="shared" ref="Q109" si="22">VLOOKUP(P109,Difficulty,2,FALSE)</f>
        <v>0.67</v>
      </c>
      <c r="R109" s="508"/>
      <c r="S109" s="526"/>
    </row>
    <row r="110" spans="1:19" x14ac:dyDescent="0.25">
      <c r="A110" s="216" t="s">
        <v>754</v>
      </c>
      <c r="B110" s="219" t="s">
        <v>755</v>
      </c>
      <c r="C110" s="584" t="s">
        <v>756</v>
      </c>
      <c r="D110" s="585" t="s">
        <v>715</v>
      </c>
      <c r="E110" s="585" t="s">
        <v>749</v>
      </c>
      <c r="F110" s="521" t="s">
        <v>77</v>
      </c>
      <c r="G110" s="585"/>
      <c r="H110" s="521" t="s">
        <v>754</v>
      </c>
      <c r="I110" s="521"/>
      <c r="J110" s="585"/>
      <c r="K110" s="521" t="s">
        <v>23</v>
      </c>
      <c r="L110" s="521">
        <f t="shared" si="19"/>
        <v>4</v>
      </c>
      <c r="M110" s="521" t="str">
        <f t="shared" si="12"/>
        <v>Same broad habitat or a higher distinctiveness habitat required (≥)</v>
      </c>
      <c r="N110" s="521" t="s">
        <v>23</v>
      </c>
      <c r="O110" s="521">
        <f t="shared" si="20"/>
        <v>0.67</v>
      </c>
      <c r="P110" s="521" t="s">
        <v>23</v>
      </c>
      <c r="Q110" s="521">
        <f t="shared" si="21"/>
        <v>0.67</v>
      </c>
      <c r="R110" s="507"/>
      <c r="S110" s="521"/>
    </row>
    <row r="111" spans="1:19" x14ac:dyDescent="0.25">
      <c r="A111" s="216" t="s">
        <v>757</v>
      </c>
      <c r="B111" s="119" t="s">
        <v>758</v>
      </c>
      <c r="C111" s="571" t="s">
        <v>759</v>
      </c>
      <c r="D111" s="586" t="s">
        <v>715</v>
      </c>
      <c r="E111" s="586" t="s">
        <v>749</v>
      </c>
      <c r="F111" s="544" t="s">
        <v>77</v>
      </c>
      <c r="G111" s="586"/>
      <c r="H111" s="544" t="s">
        <v>757</v>
      </c>
      <c r="I111" s="544"/>
      <c r="J111" s="586"/>
      <c r="K111" s="544" t="s">
        <v>153</v>
      </c>
      <c r="L111" s="544">
        <f t="shared" si="19"/>
        <v>6</v>
      </c>
      <c r="M111" s="544" t="str">
        <f t="shared" si="12"/>
        <v>Same habitat required =</v>
      </c>
      <c r="N111" s="544" t="s">
        <v>153</v>
      </c>
      <c r="O111" s="544">
        <f t="shared" si="20"/>
        <v>0.33</v>
      </c>
      <c r="P111" s="544" t="s">
        <v>23</v>
      </c>
      <c r="Q111" s="544">
        <f t="shared" si="21"/>
        <v>0.67</v>
      </c>
      <c r="R111" s="520"/>
      <c r="S111" s="544"/>
    </row>
    <row r="112" spans="1:19" x14ac:dyDescent="0.25">
      <c r="A112" s="216" t="s">
        <v>760</v>
      </c>
      <c r="B112" s="119" t="s">
        <v>761</v>
      </c>
      <c r="C112" s="571" t="s">
        <v>762</v>
      </c>
      <c r="D112" s="586" t="s">
        <v>715</v>
      </c>
      <c r="E112" s="586" t="s">
        <v>749</v>
      </c>
      <c r="F112" s="544" t="s">
        <v>77</v>
      </c>
      <c r="G112" s="586"/>
      <c r="H112" s="544" t="s">
        <v>760</v>
      </c>
      <c r="I112" s="544"/>
      <c r="J112" s="586"/>
      <c r="K112" s="544" t="s">
        <v>153</v>
      </c>
      <c r="L112" s="544">
        <f t="shared" si="19"/>
        <v>6</v>
      </c>
      <c r="M112" s="544" t="str">
        <f t="shared" si="12"/>
        <v>Same habitat required =</v>
      </c>
      <c r="N112" s="544" t="s">
        <v>153</v>
      </c>
      <c r="O112" s="544">
        <f t="shared" si="20"/>
        <v>0.33</v>
      </c>
      <c r="P112" s="544" t="s">
        <v>23</v>
      </c>
      <c r="Q112" s="544">
        <f t="shared" si="21"/>
        <v>0.67</v>
      </c>
      <c r="R112" s="520"/>
      <c r="S112" s="544"/>
    </row>
    <row r="113" spans="1:19" x14ac:dyDescent="0.25">
      <c r="A113" s="216" t="s">
        <v>763</v>
      </c>
      <c r="B113" s="119" t="s">
        <v>764</v>
      </c>
      <c r="C113" s="571" t="s">
        <v>765</v>
      </c>
      <c r="D113" s="586" t="s">
        <v>715</v>
      </c>
      <c r="E113" s="586" t="s">
        <v>749</v>
      </c>
      <c r="F113" s="544" t="s">
        <v>77</v>
      </c>
      <c r="G113" s="586"/>
      <c r="H113" s="544" t="s">
        <v>766</v>
      </c>
      <c r="I113" s="544"/>
      <c r="J113" s="586"/>
      <c r="K113" s="544" t="s">
        <v>153</v>
      </c>
      <c r="L113" s="544">
        <f t="shared" si="19"/>
        <v>6</v>
      </c>
      <c r="M113" s="544" t="str">
        <f t="shared" si="12"/>
        <v>Same habitat required =</v>
      </c>
      <c r="N113" s="544" t="s">
        <v>153</v>
      </c>
      <c r="O113" s="544">
        <f t="shared" si="20"/>
        <v>0.33</v>
      </c>
      <c r="P113" s="544" t="s">
        <v>153</v>
      </c>
      <c r="Q113" s="544">
        <f t="shared" si="21"/>
        <v>0.33</v>
      </c>
      <c r="R113" s="520"/>
      <c r="S113" s="544"/>
    </row>
    <row r="114" spans="1:19" x14ac:dyDescent="0.25">
      <c r="A114" s="221" t="s">
        <v>767</v>
      </c>
      <c r="B114" s="119" t="s">
        <v>768</v>
      </c>
      <c r="C114" s="571" t="s">
        <v>769</v>
      </c>
      <c r="D114" s="586" t="s">
        <v>715</v>
      </c>
      <c r="E114" s="586" t="s">
        <v>749</v>
      </c>
      <c r="F114" s="544" t="s">
        <v>77</v>
      </c>
      <c r="G114" s="586"/>
      <c r="H114" s="572" t="s">
        <v>770</v>
      </c>
      <c r="I114" s="544"/>
      <c r="J114" s="586"/>
      <c r="K114" s="544" t="s">
        <v>375</v>
      </c>
      <c r="L114" s="544">
        <f t="shared" si="19"/>
        <v>8</v>
      </c>
      <c r="M114" s="544" t="str">
        <f t="shared" si="12"/>
        <v>Bespoke compensation likely to be required 🛠</v>
      </c>
      <c r="N114" s="544" t="s">
        <v>151</v>
      </c>
      <c r="O114" s="544">
        <f t="shared" si="20"/>
        <v>0.1</v>
      </c>
      <c r="P114" s="544" t="s">
        <v>153</v>
      </c>
      <c r="Q114" s="544">
        <f t="shared" si="21"/>
        <v>0.33</v>
      </c>
      <c r="R114" s="520"/>
      <c r="S114" s="544"/>
    </row>
    <row r="115" spans="1:19" x14ac:dyDescent="0.25">
      <c r="A115" s="216" t="s">
        <v>771</v>
      </c>
      <c r="B115" s="119" t="s">
        <v>772</v>
      </c>
      <c r="C115" s="571" t="s">
        <v>773</v>
      </c>
      <c r="D115" s="586"/>
      <c r="E115" s="586"/>
      <c r="F115" s="544" t="s">
        <v>77</v>
      </c>
      <c r="G115" s="586"/>
      <c r="H115" s="544" t="s">
        <v>774</v>
      </c>
      <c r="I115" s="544"/>
      <c r="J115" s="586"/>
      <c r="K115" s="544" t="s">
        <v>153</v>
      </c>
      <c r="L115" s="544">
        <f t="shared" si="19"/>
        <v>6</v>
      </c>
      <c r="M115" s="544" t="str">
        <f t="shared" si="12"/>
        <v>Same habitat required =</v>
      </c>
      <c r="N115" s="544" t="s">
        <v>153</v>
      </c>
      <c r="O115" s="544">
        <f t="shared" si="20"/>
        <v>0.33</v>
      </c>
      <c r="P115" s="544" t="s">
        <v>23</v>
      </c>
      <c r="Q115" s="544">
        <f t="shared" si="21"/>
        <v>0.67</v>
      </c>
      <c r="R115" s="520"/>
      <c r="S115" s="544"/>
    </row>
    <row r="116" spans="1:19" x14ac:dyDescent="0.25">
      <c r="A116" s="216" t="s">
        <v>775</v>
      </c>
      <c r="B116" s="119" t="s">
        <v>776</v>
      </c>
      <c r="C116" s="571" t="s">
        <v>777</v>
      </c>
      <c r="D116" s="586" t="s">
        <v>715</v>
      </c>
      <c r="E116" s="586" t="s">
        <v>749</v>
      </c>
      <c r="F116" s="544" t="s">
        <v>77</v>
      </c>
      <c r="G116" s="586"/>
      <c r="H116" s="544" t="s">
        <v>775</v>
      </c>
      <c r="I116" s="544"/>
      <c r="J116" s="586"/>
      <c r="K116" s="544" t="s">
        <v>153</v>
      </c>
      <c r="L116" s="544">
        <f t="shared" si="19"/>
        <v>6</v>
      </c>
      <c r="M116" s="544" t="str">
        <f t="shared" si="12"/>
        <v>Same habitat required =</v>
      </c>
      <c r="N116" s="544" t="s">
        <v>153</v>
      </c>
      <c r="O116" s="544">
        <f t="shared" si="20"/>
        <v>0.33</v>
      </c>
      <c r="P116" s="544" t="s">
        <v>23</v>
      </c>
      <c r="Q116" s="544">
        <f t="shared" si="21"/>
        <v>0.67</v>
      </c>
      <c r="R116" s="520"/>
      <c r="S116" s="544"/>
    </row>
    <row r="117" spans="1:19" x14ac:dyDescent="0.25">
      <c r="A117" s="216" t="s">
        <v>778</v>
      </c>
      <c r="B117" s="119" t="s">
        <v>779</v>
      </c>
      <c r="C117" s="571" t="s">
        <v>780</v>
      </c>
      <c r="D117" s="586" t="s">
        <v>715</v>
      </c>
      <c r="E117" s="586" t="s">
        <v>749</v>
      </c>
      <c r="F117" s="544" t="s">
        <v>77</v>
      </c>
      <c r="G117" s="586"/>
      <c r="H117" s="544" t="s">
        <v>778</v>
      </c>
      <c r="I117" s="544"/>
      <c r="J117" s="586"/>
      <c r="K117" s="544" t="s">
        <v>153</v>
      </c>
      <c r="L117" s="544">
        <f t="shared" si="19"/>
        <v>6</v>
      </c>
      <c r="M117" s="544" t="str">
        <f t="shared" si="12"/>
        <v>Same habitat required =</v>
      </c>
      <c r="N117" s="544" t="s">
        <v>153</v>
      </c>
      <c r="O117" s="544">
        <f t="shared" si="20"/>
        <v>0.33</v>
      </c>
      <c r="P117" s="544" t="s">
        <v>23</v>
      </c>
      <c r="Q117" s="544">
        <f t="shared" si="21"/>
        <v>0.67</v>
      </c>
      <c r="R117" s="520"/>
      <c r="S117" s="544"/>
    </row>
    <row r="118" spans="1:19" x14ac:dyDescent="0.25">
      <c r="A118" s="216" t="s">
        <v>781</v>
      </c>
      <c r="B118" s="119" t="s">
        <v>782</v>
      </c>
      <c r="C118" s="571" t="s">
        <v>783</v>
      </c>
      <c r="D118" s="586" t="s">
        <v>715</v>
      </c>
      <c r="E118" s="586" t="s">
        <v>749</v>
      </c>
      <c r="F118" s="544" t="s">
        <v>77</v>
      </c>
      <c r="G118" s="586"/>
      <c r="H118" s="544" t="s">
        <v>781</v>
      </c>
      <c r="I118" s="544"/>
      <c r="J118" s="586"/>
      <c r="K118" s="544" t="s">
        <v>156</v>
      </c>
      <c r="L118" s="544">
        <f t="shared" si="19"/>
        <v>2</v>
      </c>
      <c r="M118" s="544" t="str">
        <f t="shared" si="12"/>
        <v>Same distinctiveness or better habitat required ≥</v>
      </c>
      <c r="N118" s="544" t="s">
        <v>23</v>
      </c>
      <c r="O118" s="544">
        <f t="shared" si="20"/>
        <v>0.67</v>
      </c>
      <c r="P118" s="544" t="s">
        <v>23</v>
      </c>
      <c r="Q118" s="544">
        <f t="shared" si="21"/>
        <v>0.67</v>
      </c>
      <c r="R118" s="520"/>
      <c r="S118" s="544"/>
    </row>
    <row r="119" spans="1:19" x14ac:dyDescent="0.25">
      <c r="A119" s="216" t="s">
        <v>784</v>
      </c>
      <c r="B119" s="119" t="s">
        <v>785</v>
      </c>
      <c r="C119" s="571" t="s">
        <v>786</v>
      </c>
      <c r="D119" s="586"/>
      <c r="E119" s="586"/>
      <c r="F119" s="544" t="s">
        <v>77</v>
      </c>
      <c r="G119" s="586"/>
      <c r="H119" s="544" t="s">
        <v>784</v>
      </c>
      <c r="I119" s="544"/>
      <c r="J119" s="586"/>
      <c r="K119" s="544" t="s">
        <v>156</v>
      </c>
      <c r="L119" s="544">
        <f t="shared" si="19"/>
        <v>2</v>
      </c>
      <c r="M119" s="544" t="str">
        <f t="shared" si="12"/>
        <v>Same distinctiveness or better habitat required ≥</v>
      </c>
      <c r="N119" s="544" t="s">
        <v>153</v>
      </c>
      <c r="O119" s="544">
        <f t="shared" si="20"/>
        <v>0.33</v>
      </c>
      <c r="P119" s="544" t="s">
        <v>23</v>
      </c>
      <c r="Q119" s="544">
        <f t="shared" si="21"/>
        <v>0.67</v>
      </c>
      <c r="R119" s="520"/>
      <c r="S119" s="544"/>
    </row>
    <row r="120" spans="1:19" x14ac:dyDescent="0.25">
      <c r="A120" s="216" t="s">
        <v>787</v>
      </c>
      <c r="B120" s="119" t="s">
        <v>788</v>
      </c>
      <c r="C120" s="571" t="s">
        <v>789</v>
      </c>
      <c r="D120" s="586"/>
      <c r="E120" s="586"/>
      <c r="F120" s="544" t="s">
        <v>77</v>
      </c>
      <c r="G120" s="586"/>
      <c r="H120" s="574" t="s">
        <v>787</v>
      </c>
      <c r="I120" s="544"/>
      <c r="J120" s="586"/>
      <c r="K120" s="544" t="s">
        <v>156</v>
      </c>
      <c r="L120" s="544">
        <f t="shared" si="19"/>
        <v>2</v>
      </c>
      <c r="M120" s="544" t="str">
        <f t="shared" si="12"/>
        <v>Same distinctiveness or better habitat required ≥</v>
      </c>
      <c r="N120" s="544" t="s">
        <v>23</v>
      </c>
      <c r="O120" s="544">
        <f t="shared" si="20"/>
        <v>0.67</v>
      </c>
      <c r="P120" s="544" t="s">
        <v>23</v>
      </c>
      <c r="Q120" s="544">
        <f t="shared" si="21"/>
        <v>0.67</v>
      </c>
      <c r="R120" s="520"/>
      <c r="S120" s="544"/>
    </row>
    <row r="121" spans="1:19" x14ac:dyDescent="0.25">
      <c r="A121" s="216" t="s">
        <v>790</v>
      </c>
      <c r="B121" s="119" t="s">
        <v>791</v>
      </c>
      <c r="C121" s="571" t="s">
        <v>792</v>
      </c>
      <c r="D121" s="586" t="s">
        <v>715</v>
      </c>
      <c r="E121" s="586" t="s">
        <v>749</v>
      </c>
      <c r="F121" s="544" t="s">
        <v>77</v>
      </c>
      <c r="G121" s="586"/>
      <c r="H121" s="544" t="s">
        <v>784</v>
      </c>
      <c r="I121" s="544"/>
      <c r="J121" s="586"/>
      <c r="K121" s="544" t="s">
        <v>156</v>
      </c>
      <c r="L121" s="544">
        <f t="shared" si="19"/>
        <v>2</v>
      </c>
      <c r="M121" s="544" t="str">
        <f t="shared" si="12"/>
        <v>Same distinctiveness or better habitat required ≥</v>
      </c>
      <c r="N121" s="544" t="s">
        <v>153</v>
      </c>
      <c r="O121" s="544">
        <f t="shared" si="20"/>
        <v>0.33</v>
      </c>
      <c r="P121" s="544" t="s">
        <v>23</v>
      </c>
      <c r="Q121" s="544">
        <f t="shared" si="21"/>
        <v>0.67</v>
      </c>
      <c r="R121" s="520"/>
      <c r="S121" s="544"/>
    </row>
    <row r="122" spans="1:19" x14ac:dyDescent="0.25">
      <c r="A122" s="216" t="s">
        <v>793</v>
      </c>
      <c r="B122" s="119" t="s">
        <v>794</v>
      </c>
      <c r="C122" s="571" t="s">
        <v>795</v>
      </c>
      <c r="D122" s="586" t="s">
        <v>715</v>
      </c>
      <c r="E122" s="586" t="s">
        <v>749</v>
      </c>
      <c r="F122" s="544" t="s">
        <v>77</v>
      </c>
      <c r="G122" s="586"/>
      <c r="H122" s="544" t="s">
        <v>793</v>
      </c>
      <c r="I122" s="544"/>
      <c r="J122" s="586"/>
      <c r="K122" s="544" t="s">
        <v>156</v>
      </c>
      <c r="L122" s="544">
        <f t="shared" si="19"/>
        <v>2</v>
      </c>
      <c r="M122" s="544" t="str">
        <f t="shared" si="12"/>
        <v>Same distinctiveness or better habitat required ≥</v>
      </c>
      <c r="N122" s="544" t="s">
        <v>153</v>
      </c>
      <c r="O122" s="544">
        <f t="shared" si="20"/>
        <v>0.33</v>
      </c>
      <c r="P122" s="544" t="s">
        <v>23</v>
      </c>
      <c r="Q122" s="544">
        <f t="shared" si="21"/>
        <v>0.67</v>
      </c>
      <c r="R122" s="520"/>
      <c r="S122" s="544"/>
    </row>
    <row r="123" spans="1:19" x14ac:dyDescent="0.25">
      <c r="A123" s="216" t="s">
        <v>796</v>
      </c>
      <c r="B123" s="119" t="s">
        <v>797</v>
      </c>
      <c r="C123" s="571" t="s">
        <v>798</v>
      </c>
      <c r="D123" s="586" t="s">
        <v>715</v>
      </c>
      <c r="E123" s="586" t="s">
        <v>749</v>
      </c>
      <c r="F123" s="544" t="s">
        <v>77</v>
      </c>
      <c r="G123" s="586"/>
      <c r="H123" s="544" t="s">
        <v>796</v>
      </c>
      <c r="I123" s="544"/>
      <c r="J123" s="586"/>
      <c r="K123" s="544" t="s">
        <v>156</v>
      </c>
      <c r="L123" s="544">
        <f t="shared" si="19"/>
        <v>2</v>
      </c>
      <c r="M123" s="544" t="str">
        <f t="shared" si="12"/>
        <v>Same distinctiveness or better habitat required ≥</v>
      </c>
      <c r="N123" s="544" t="s">
        <v>153</v>
      </c>
      <c r="O123" s="544">
        <f t="shared" si="20"/>
        <v>0.33</v>
      </c>
      <c r="P123" s="544" t="s">
        <v>153</v>
      </c>
      <c r="Q123" s="544">
        <f t="shared" si="21"/>
        <v>0.33</v>
      </c>
      <c r="R123" s="520"/>
      <c r="S123" s="544"/>
    </row>
    <row r="124" spans="1:19" x14ac:dyDescent="0.25">
      <c r="A124" s="216" t="s">
        <v>799</v>
      </c>
      <c r="B124" s="119" t="s">
        <v>800</v>
      </c>
      <c r="C124" s="571" t="s">
        <v>801</v>
      </c>
      <c r="D124" s="586" t="s">
        <v>715</v>
      </c>
      <c r="E124" s="586" t="s">
        <v>749</v>
      </c>
      <c r="F124" s="544" t="s">
        <v>77</v>
      </c>
      <c r="G124" s="586"/>
      <c r="H124" s="544" t="s">
        <v>799</v>
      </c>
      <c r="I124" s="544"/>
      <c r="J124" s="586"/>
      <c r="K124" s="544" t="s">
        <v>156</v>
      </c>
      <c r="L124" s="544">
        <f t="shared" si="19"/>
        <v>2</v>
      </c>
      <c r="M124" s="544" t="str">
        <f t="shared" si="12"/>
        <v>Same distinctiveness or better habitat required ≥</v>
      </c>
      <c r="N124" s="544" t="s">
        <v>153</v>
      </c>
      <c r="O124" s="544">
        <f t="shared" si="20"/>
        <v>0.33</v>
      </c>
      <c r="P124" s="544" t="s">
        <v>23</v>
      </c>
      <c r="Q124" s="544">
        <f t="shared" si="21"/>
        <v>0.67</v>
      </c>
      <c r="R124" s="520"/>
      <c r="S124" s="544"/>
    </row>
    <row r="125" spans="1:19" x14ac:dyDescent="0.25">
      <c r="A125" s="156" t="s">
        <v>802</v>
      </c>
      <c r="B125" s="105" t="s">
        <v>803</v>
      </c>
      <c r="C125" s="571" t="s">
        <v>804</v>
      </c>
      <c r="D125" s="586" t="s">
        <v>715</v>
      </c>
      <c r="E125" s="586"/>
      <c r="F125" s="544" t="s">
        <v>77</v>
      </c>
      <c r="G125" s="586"/>
      <c r="H125" s="588" t="s">
        <v>802</v>
      </c>
      <c r="I125" s="544"/>
      <c r="J125" s="586"/>
      <c r="K125" s="544" t="s">
        <v>23</v>
      </c>
      <c r="L125" s="544">
        <f t="shared" ref="L125" si="23">IF(K125=$V$3,$W$3,IF(K125=$V$3,$W$3,IF(K125=$V$4,$W$4,IF(K125=$V$5,$W$5,IF(K125=$V$6,$W$6,IF(K125=$V$7,$W$7))))))</f>
        <v>4</v>
      </c>
      <c r="M125" s="544" t="str">
        <f t="shared" si="12"/>
        <v>Same broad habitat or a higher distinctiveness habitat required (≥)</v>
      </c>
      <c r="N125" s="544" t="s">
        <v>23</v>
      </c>
      <c r="O125" s="544">
        <f t="shared" ref="O125" si="24">VLOOKUP(N125,Difficulty,2,FALSE)</f>
        <v>0.67</v>
      </c>
      <c r="P125" s="544" t="s">
        <v>23</v>
      </c>
      <c r="Q125" s="544">
        <f t="shared" ref="Q125" si="25">VLOOKUP(P125,Difficulty,2,FALSE)</f>
        <v>0.67</v>
      </c>
      <c r="R125" s="520"/>
      <c r="S125" s="544"/>
    </row>
    <row r="126" spans="1:19" ht="14.4" thickBot="1" x14ac:dyDescent="0.3">
      <c r="A126" s="156" t="s">
        <v>805</v>
      </c>
      <c r="B126" s="222" t="s">
        <v>806</v>
      </c>
      <c r="C126" s="578" t="s">
        <v>807</v>
      </c>
      <c r="D126" s="587" t="s">
        <v>715</v>
      </c>
      <c r="E126" s="587"/>
      <c r="F126" s="526" t="s">
        <v>77</v>
      </c>
      <c r="G126" s="587"/>
      <c r="H126" s="589" t="s">
        <v>805</v>
      </c>
      <c r="I126" s="526"/>
      <c r="J126" s="587"/>
      <c r="K126" s="526" t="s">
        <v>153</v>
      </c>
      <c r="L126" s="526">
        <f t="shared" ref="L126" si="26">IF(K126=$V$3,$W$3,IF(K126=$V$3,$W$3,IF(K126=$V$4,$W$4,IF(K126=$V$5,$W$5,IF(K126=$V$6,$W$6,IF(K126=$V$7,$W$7))))))</f>
        <v>6</v>
      </c>
      <c r="M126" s="526" t="str">
        <f t="shared" si="12"/>
        <v>Same habitat required =</v>
      </c>
      <c r="N126" s="526" t="s">
        <v>153</v>
      </c>
      <c r="O126" s="526">
        <f t="shared" ref="O126" si="27">VLOOKUP(N126,Difficulty,2,FALSE)</f>
        <v>0.33</v>
      </c>
      <c r="P126" s="526" t="s">
        <v>23</v>
      </c>
      <c r="Q126" s="526">
        <f t="shared" ref="Q126" si="28">VLOOKUP(P126,Difficulty,2,FALSE)</f>
        <v>0.67</v>
      </c>
      <c r="R126" s="508"/>
      <c r="S126" s="526"/>
    </row>
    <row r="127" spans="1:19" ht="14.25" customHeight="1" x14ac:dyDescent="0.25">
      <c r="A127" s="156" t="s">
        <v>808</v>
      </c>
      <c r="B127" s="223" t="s">
        <v>809</v>
      </c>
      <c r="C127" s="584" t="s">
        <v>810</v>
      </c>
      <c r="D127" s="585" t="s">
        <v>715</v>
      </c>
      <c r="E127" s="585"/>
      <c r="F127" s="521" t="s">
        <v>81</v>
      </c>
      <c r="G127" s="585"/>
      <c r="H127" s="590" t="s">
        <v>808</v>
      </c>
      <c r="I127" s="521"/>
      <c r="J127" s="585"/>
      <c r="K127" s="521" t="s">
        <v>156</v>
      </c>
      <c r="L127" s="521">
        <f t="shared" ref="L127" si="29">IF(K127=$V$3,$W$3,IF(K127=$V$3,$W$3,IF(K127=$V$4,$W$4,IF(K127=$V$5,$W$5,IF(K127=$V$6,$W$6,IF(K127=$V$7,$W$7))))))</f>
        <v>2</v>
      </c>
      <c r="M127" s="521" t="str">
        <f t="shared" ref="M127:M128" si="30">IF($K127=$V$3,$X$3,IF($K127=$V$4,$X$4,IF($K127=$V$5,$X$5,IF($K127=$V$6,$X$6,IF($K127=$V$7,$X$7)))))</f>
        <v>Same distinctiveness or better habitat required ≥</v>
      </c>
      <c r="N127" s="521" t="s">
        <v>23</v>
      </c>
      <c r="O127" s="521">
        <f t="shared" ref="O127:O129" si="31">VLOOKUP(N127,Difficulty,2,FALSE)</f>
        <v>0.67</v>
      </c>
      <c r="P127" s="521" t="s">
        <v>23</v>
      </c>
      <c r="Q127" s="521">
        <f t="shared" ref="Q127:Q129" si="32">VLOOKUP(P127,Difficulty,2,FALSE)</f>
        <v>0.67</v>
      </c>
      <c r="R127" s="507"/>
      <c r="S127" s="521"/>
    </row>
    <row r="128" spans="1:19" x14ac:dyDescent="0.25">
      <c r="A128" s="156" t="s">
        <v>811</v>
      </c>
      <c r="B128" s="105" t="s">
        <v>812</v>
      </c>
      <c r="C128" s="571" t="s">
        <v>813</v>
      </c>
      <c r="D128" s="586" t="s">
        <v>715</v>
      </c>
      <c r="E128" s="586"/>
      <c r="F128" s="521" t="s">
        <v>81</v>
      </c>
      <c r="G128" s="586"/>
      <c r="H128" s="588" t="s">
        <v>811</v>
      </c>
      <c r="I128" s="544"/>
      <c r="J128" s="586"/>
      <c r="K128" s="521" t="s">
        <v>156</v>
      </c>
      <c r="L128" s="544">
        <f t="shared" ref="L128" si="33">IF(K128=$V$3,$W$3,IF(K128=$V$3,$W$3,IF(K128=$V$4,$W$4,IF(K128=$V$5,$W$5,IF(K128=$V$6,$W$6,IF(K128=$V$7,$W$7))))))</f>
        <v>2</v>
      </c>
      <c r="M128" s="544" t="str">
        <f t="shared" si="30"/>
        <v>Same distinctiveness or better habitat required ≥</v>
      </c>
      <c r="N128" s="544" t="s">
        <v>23</v>
      </c>
      <c r="O128" s="544">
        <f t="shared" si="31"/>
        <v>0.67</v>
      </c>
      <c r="P128" s="544" t="s">
        <v>23</v>
      </c>
      <c r="Q128" s="544">
        <f t="shared" si="32"/>
        <v>0.67</v>
      </c>
      <c r="R128" s="520"/>
      <c r="S128" s="544"/>
    </row>
    <row r="129" spans="1:19" ht="27.6" x14ac:dyDescent="0.25">
      <c r="A129" s="156" t="s">
        <v>814</v>
      </c>
      <c r="B129" s="105" t="s">
        <v>815</v>
      </c>
      <c r="C129" s="571" t="s">
        <v>816</v>
      </c>
      <c r="D129" s="586" t="s">
        <v>715</v>
      </c>
      <c r="E129" s="586"/>
      <c r="F129" s="521" t="s">
        <v>81</v>
      </c>
      <c r="G129" s="586"/>
      <c r="H129" s="588" t="s">
        <v>814</v>
      </c>
      <c r="I129" s="544"/>
      <c r="J129" s="586"/>
      <c r="K129" s="544" t="s">
        <v>23</v>
      </c>
      <c r="L129" s="544">
        <f t="shared" ref="L129" si="34">IF(K129=$V$3,$W$3,IF(K129=$V$3,$W$3,IF(K129=$V$4,$W$4,IF(K129=$V$5,$W$5,IF(K129=$V$6,$W$6,IF(K129=$V$7,$W$7))))))</f>
        <v>4</v>
      </c>
      <c r="M129" s="544" t="str">
        <f t="shared" ref="M129" si="35">IF($K129=$V$3,$X$3,IF($K129=$V$4,$X$4,IF($K129=$V$5,$X$5,IF($K129=$V$6,$X$6,IF($K129=$V$7,$X$7)))))</f>
        <v>Same broad habitat or a higher distinctiveness habitat required (≥)</v>
      </c>
      <c r="N129" s="544" t="s">
        <v>23</v>
      </c>
      <c r="O129" s="544">
        <f t="shared" si="31"/>
        <v>0.67</v>
      </c>
      <c r="P129" s="544" t="s">
        <v>23</v>
      </c>
      <c r="Q129" s="544">
        <f t="shared" si="32"/>
        <v>0.67</v>
      </c>
      <c r="R129" s="520"/>
      <c r="S129" s="544"/>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activeCell="S28" sqref="S28"/>
    </sheetView>
  </sheetViews>
  <sheetFormatPr defaultColWidth="16.44140625" defaultRowHeight="13.8" x14ac:dyDescent="0.25"/>
  <cols>
    <col min="1" max="1" width="88.88671875" style="31" bestFit="1" customWidth="1"/>
    <col min="2" max="2" width="27.6640625" style="31" customWidth="1"/>
    <col min="3" max="3" width="18.5546875" style="31" customWidth="1"/>
    <col min="4" max="4" width="62.88671875" style="31" bestFit="1" customWidth="1"/>
    <col min="5" max="35" width="16.44140625" style="31"/>
    <col min="36" max="36" width="23.6640625" style="31" customWidth="1"/>
    <col min="37" max="38" width="16.44140625" style="31"/>
    <col min="39" max="39" width="23" style="31" customWidth="1"/>
    <col min="40" max="40" width="23.44140625" style="31" customWidth="1"/>
    <col min="41" max="41" width="21.6640625" style="31" customWidth="1"/>
    <col min="42" max="42" width="23.5546875" style="31" customWidth="1"/>
    <col min="43" max="46" width="16.44140625" style="31"/>
    <col min="47" max="47" width="78.44140625" style="31" customWidth="1"/>
    <col min="48" max="48" width="24.44140625" style="31" bestFit="1" customWidth="1"/>
    <col min="49" max="49" width="16.88671875" style="31" bestFit="1" customWidth="1"/>
    <col min="50" max="50" width="23.5546875" style="31" bestFit="1" customWidth="1"/>
    <col min="51" max="51" width="28.109375" style="31" customWidth="1"/>
    <col min="52" max="52" width="29.33203125" style="31" bestFit="1" customWidth="1"/>
    <col min="53" max="53" width="26.109375" style="31" bestFit="1" customWidth="1"/>
    <col min="54" max="54" width="25.88671875" style="31" bestFit="1" customWidth="1"/>
    <col min="55" max="55" width="28.109375" style="31" bestFit="1" customWidth="1"/>
    <col min="56" max="57" width="34.6640625" style="31" bestFit="1" customWidth="1"/>
    <col min="58" max="58" width="27.109375" style="31" bestFit="1" customWidth="1"/>
    <col min="59" max="59" width="9.109375" style="31" bestFit="1" customWidth="1"/>
    <col min="60" max="16384" width="16.44140625" style="31"/>
  </cols>
  <sheetData>
    <row r="1" spans="1:59" ht="51.6" customHeight="1" x14ac:dyDescent="0.6">
      <c r="A1" s="1045" t="s">
        <v>817</v>
      </c>
      <c r="B1" s="1045"/>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26"/>
      <c r="AJ1" s="1042" t="s">
        <v>818</v>
      </c>
      <c r="AK1" s="1043"/>
      <c r="AL1" s="1043"/>
      <c r="AM1" s="1043"/>
      <c r="AN1" s="1043"/>
      <c r="AO1" s="1043"/>
      <c r="AP1" s="1044"/>
      <c r="AU1" s="1042" t="s">
        <v>819</v>
      </c>
      <c r="AV1" s="1043"/>
      <c r="AW1" s="1043"/>
      <c r="AX1" s="1043"/>
      <c r="AY1" s="1043"/>
      <c r="AZ1" s="1043"/>
      <c r="BA1" s="1043"/>
      <c r="BB1" s="1043"/>
      <c r="BC1" s="1043"/>
      <c r="BD1" s="1043"/>
      <c r="BE1" s="1043"/>
      <c r="BF1" s="1043"/>
      <c r="BG1" s="1044"/>
    </row>
    <row r="2" spans="1:59" ht="22.8" x14ac:dyDescent="0.4">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 customHeight="1" x14ac:dyDescent="0.6">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2"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4">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4">
        <f>SUMIF('A-1 Site Habitat Baseline'!$G$11:$G$258,'G-2 Habitat groups'!A4,'A-1 Site Habitat Baseline'!$Q$11:$Q$258)</f>
        <v>0</v>
      </c>
      <c r="G4" s="494">
        <f>SUMIF('A-1 Site Habitat Baseline'!$G$11:$G$258,'G-2 Habitat groups'!A4,'A-1 Site Habitat Baseline'!$S$11:$S$258)</f>
        <v>0</v>
      </c>
      <c r="H4" s="494">
        <f>SUMIF('A-1 Site Habitat Baseline'!$G$11:$G$258,'G-2 Habitat groups'!A4,'A-1 Site Habitat Baseline'!$U$11:$U$258)</f>
        <v>0</v>
      </c>
      <c r="I4" s="494">
        <f>SUMIF('A-1 Site Habitat Baseline'!$G$11:$G$258,'G-2 Habitat groups'!A4,'A-1 Site Habitat Baseline'!$W$11:$W$258)</f>
        <v>0</v>
      </c>
      <c r="J4" s="494">
        <f>SUMIF('A-1 Site Habitat Baseline'!$G$11:$G$258,'G-2 Habitat groups'!A4,'A-1 Site Habitat Baseline'!$X$11:$X$258)</f>
        <v>0</v>
      </c>
      <c r="K4" s="494">
        <f>SUMIF('A-2 Site Habitat Creation'!$F$11:$F$256,'G-2 Habitat groups'!A4,'A-2 Site Habitat Creation'!$G$11:$G$256)</f>
        <v>0</v>
      </c>
      <c r="L4" s="494">
        <f>SUMIF('A-2 Site Habitat Creation'!$F$11:$F$256,'G-2 Habitat groups'!A4,'A-2 Site Habitat Creation'!$Y$11:$Y$256)</f>
        <v>0</v>
      </c>
      <c r="M4" s="494">
        <f>SUMIF('A-3 Site Habitat Enhancement'!$S$12:$S$257,'G-2 Habitat groups'!A4,'A-3 Site Habitat Enhancement'!$V$12:$V$257)</f>
        <v>0</v>
      </c>
      <c r="N4" s="494">
        <f>SUMIF('A-3 Site Habitat Enhancement'!$S$12:$S$257,'G-2 Habitat groups'!A4,'A-3 Site Habitat Enhancement'!$AN$12:$AN$257)</f>
        <v>0</v>
      </c>
      <c r="O4" s="494">
        <f t="shared" ref="O4:O34" si="0">G4+K4+M4</f>
        <v>0</v>
      </c>
      <c r="P4" s="494">
        <f t="shared" ref="P4:P34" si="1">H4+L4+N4</f>
        <v>0</v>
      </c>
      <c r="Q4" s="494">
        <f t="shared" ref="Q4:Q34" si="2">O4-E4</f>
        <v>0</v>
      </c>
      <c r="R4" s="494">
        <f t="shared" ref="R4:R34" si="3">P4-F4</f>
        <v>0</v>
      </c>
      <c r="S4" s="494">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4">
        <f>SUMIF('D-1 Off Site Habitat Baseline'!$G$11:$G$258,'G-2 Habitat groups'!A4,'D-1 Off Site Habitat Baseline'!$Q$11:$Q$258)</f>
        <v>0</v>
      </c>
      <c r="U4" s="652">
        <f>SUMIF('D-1 Off Site Habitat Baseline'!$G$11:$G$258,'G-2 Habitat groups'!A4,'D-1 Off Site Habitat Baseline'!$S$11:$S$258)</f>
        <v>0</v>
      </c>
      <c r="V4" s="494">
        <f>SUMIF('D-1 Off Site Habitat Baseline'!$G$11:$G$258,'G-2 Habitat groups'!A4,'D-1 Off Site Habitat Baseline'!$U$11:$U$258)</f>
        <v>0</v>
      </c>
      <c r="W4" s="494">
        <f>SUMIF('D-2 Off Site Habitat Creation'!$F$9:$F$255,'G-2 Habitat groups'!A4,'D-2 Off Site Habitat Creation'!$G$9:$G$255)</f>
        <v>0</v>
      </c>
      <c r="X4" s="494">
        <f>SUMIF('D-2 Off Site Habitat Creation'!$F$9:$F$255,'G-2 Habitat groups'!A4,'D-2 Off Site Habitat Creation'!$AA$9:$AA$255)</f>
        <v>0</v>
      </c>
      <c r="Y4" s="494">
        <f>SUMIF('D-3 Off Site Habitat Enhancment'!$S$12:$S$491,'G-2 Habitat groups'!A4,'D-3 Off Site Habitat Enhancment'!$V$12:$V$491)</f>
        <v>0</v>
      </c>
      <c r="Z4" s="494">
        <f>SUMIF('D-3 Off Site Habitat Enhancment'!$S$12:$S$491,'G-2 Habitat groups'!A4,'D-3 Off Site Habitat Enhancment'!$AP$12:$AP$491)</f>
        <v>0</v>
      </c>
      <c r="AA4" s="494">
        <f t="shared" ref="AA4:AA34" si="4">U4+W4+Y4</f>
        <v>0</v>
      </c>
      <c r="AB4" s="494">
        <f t="shared" ref="AB4:AB34" si="5">V4+X4+Z4</f>
        <v>0</v>
      </c>
      <c r="AC4" s="494">
        <f t="shared" ref="AC4:AC34" si="6">AA4-S4</f>
        <v>0</v>
      </c>
      <c r="AD4" s="494">
        <f t="shared" ref="AD4:AD34" si="7">AB4-T4</f>
        <v>0</v>
      </c>
      <c r="AE4" s="494">
        <f t="shared" ref="AE4:AE34" si="8">Q4+AC4</f>
        <v>0</v>
      </c>
      <c r="AF4" s="494">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4">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4">
        <f>SUMIF('A-1 Site Habitat Baseline'!$G$11:$G$258,'G-2 Habitat groups'!A5,'A-1 Site Habitat Baseline'!$Q$11:$Q$258)</f>
        <v>0</v>
      </c>
      <c r="G5" s="494">
        <f>SUMIF('A-1 Site Habitat Baseline'!$G$11:$G$258,'G-2 Habitat groups'!A5,'A-1 Site Habitat Baseline'!$S$11:$S$258)</f>
        <v>0</v>
      </c>
      <c r="H5" s="494">
        <f>SUMIF('A-1 Site Habitat Baseline'!$G$11:$G$258,'G-2 Habitat groups'!A5,'A-1 Site Habitat Baseline'!$U$11:$U$258)</f>
        <v>0</v>
      </c>
      <c r="I5" s="494">
        <f>SUMIF('A-1 Site Habitat Baseline'!$G$11:$G$258,'G-2 Habitat groups'!A5,'A-1 Site Habitat Baseline'!$W$11:$W$258)</f>
        <v>0</v>
      </c>
      <c r="J5" s="494">
        <f>SUMIF('A-1 Site Habitat Baseline'!$G$11:$G$258,'G-2 Habitat groups'!A5,'A-1 Site Habitat Baseline'!$X$11:$X$258)</f>
        <v>0</v>
      </c>
      <c r="K5" s="494">
        <f>SUMIF('A-2 Site Habitat Creation'!$F$11:$F$256,'G-2 Habitat groups'!A5,'A-2 Site Habitat Creation'!$G$11:$G$256)</f>
        <v>0</v>
      </c>
      <c r="L5" s="494">
        <f>SUMIF('A-2 Site Habitat Creation'!$F$11:$F$256,'G-2 Habitat groups'!A5,'A-2 Site Habitat Creation'!$Y$11:$Y$256)</f>
        <v>0</v>
      </c>
      <c r="M5" s="494">
        <f>SUMIF('A-3 Site Habitat Enhancement'!$S$12:$S$257,'G-2 Habitat groups'!A5,'A-3 Site Habitat Enhancement'!$V$12:$V$257)</f>
        <v>0</v>
      </c>
      <c r="N5" s="494">
        <f>SUMIF('A-3 Site Habitat Enhancement'!$S$12:$S$257,'G-2 Habitat groups'!A5,'A-3 Site Habitat Enhancement'!$AN$12:$AN$257)</f>
        <v>0</v>
      </c>
      <c r="O5" s="494">
        <f t="shared" si="0"/>
        <v>0</v>
      </c>
      <c r="P5" s="494">
        <f t="shared" si="1"/>
        <v>0</v>
      </c>
      <c r="Q5" s="494">
        <f t="shared" si="2"/>
        <v>0</v>
      </c>
      <c r="R5" s="494">
        <f t="shared" si="3"/>
        <v>0</v>
      </c>
      <c r="S5" s="494">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4">
        <f>SUMIF('D-1 Off Site Habitat Baseline'!$G$11:$G$258,'G-2 Habitat groups'!A5,'D-1 Off Site Habitat Baseline'!$Q$11:$Q$258)</f>
        <v>0</v>
      </c>
      <c r="U5" s="591">
        <f>SUMIF('D-1 Off Site Habitat Baseline'!$G$11:$G$258,'G-2 Habitat groups'!A5,'D-1 Off Site Habitat Baseline'!$S$11:$S$258)</f>
        <v>0</v>
      </c>
      <c r="V5" s="494">
        <f>SUMIF('D-1 Off Site Habitat Baseline'!$G$11:$G$258,'G-2 Habitat groups'!A5,'D-1 Off Site Habitat Baseline'!$U$11:$U$258)</f>
        <v>0</v>
      </c>
      <c r="W5" s="494">
        <f>SUMIF('D-2 Off Site Habitat Creation'!$F$9:$F$255,'G-2 Habitat groups'!A5,'D-2 Off Site Habitat Creation'!$G$9:$G$255)</f>
        <v>0</v>
      </c>
      <c r="X5" s="494">
        <f>SUMIF('D-2 Off Site Habitat Creation'!$F$9:$F$255,'G-2 Habitat groups'!A5,'D-2 Off Site Habitat Creation'!$AA$9:$AA$255)</f>
        <v>0</v>
      </c>
      <c r="Y5" s="494">
        <f>SUMIF('D-3 Off Site Habitat Enhancment'!$S$12:$S$491,'G-2 Habitat groups'!A5,'D-3 Off Site Habitat Enhancment'!$V$12:$V$491)</f>
        <v>0</v>
      </c>
      <c r="Z5" s="494">
        <f>SUMIF('D-3 Off Site Habitat Enhancment'!$S$12:$S$491,'G-2 Habitat groups'!A5,'D-3 Off Site Habitat Enhancment'!$AP$12:$AP$491)</f>
        <v>0</v>
      </c>
      <c r="AA5" s="494">
        <f t="shared" si="4"/>
        <v>0</v>
      </c>
      <c r="AB5" s="494">
        <f t="shared" si="5"/>
        <v>0</v>
      </c>
      <c r="AC5" s="494">
        <f t="shared" si="6"/>
        <v>0</v>
      </c>
      <c r="AD5" s="494">
        <f t="shared" si="7"/>
        <v>0</v>
      </c>
      <c r="AE5" s="494">
        <f t="shared" si="8"/>
        <v>0</v>
      </c>
      <c r="AF5" s="494">
        <f t="shared" si="9"/>
        <v>0</v>
      </c>
      <c r="AJ5" s="107" t="s">
        <v>70</v>
      </c>
      <c r="AK5" s="100">
        <f t="shared" si="10"/>
        <v>7.3499999999999996E-2</v>
      </c>
      <c r="AL5" s="100">
        <f t="shared" si="11"/>
        <v>0.16904999999999998</v>
      </c>
      <c r="AM5" s="100">
        <f t="shared" si="12"/>
        <v>9.7100000000000006E-2</v>
      </c>
      <c r="AN5" s="100">
        <f t="shared" si="13"/>
        <v>0.747555814819992</v>
      </c>
      <c r="AO5" s="111">
        <f t="shared" si="14"/>
        <v>2.360000000000001E-2</v>
      </c>
      <c r="AP5" s="111">
        <f t="shared" si="15"/>
        <v>0.57850581481999197</v>
      </c>
      <c r="AU5" s="119" t="s">
        <v>439</v>
      </c>
      <c r="AV5" s="88" t="s">
        <v>70</v>
      </c>
      <c r="AW5" s="494">
        <f t="shared" ref="AW5:AW8" si="16">VLOOKUP($AU5,AllHabsSummaryData,5,FALSE)</f>
        <v>0</v>
      </c>
      <c r="AX5" s="494">
        <f t="shared" ref="AX5:AX8" si="17">VLOOKUP($AU5,AllHabsSummaryData,10,FALSE)</f>
        <v>0</v>
      </c>
      <c r="AY5" s="494">
        <f t="shared" ref="AY5:AY8" si="18">VLOOKUP($AU5,AllHabsSummaryData,15,FALSE)</f>
        <v>0</v>
      </c>
      <c r="AZ5" s="494">
        <f t="shared" ref="AZ5:AZ8" si="19">VLOOKUP($AU5,AllHabsSummaryData,16,FALSE)</f>
        <v>0</v>
      </c>
      <c r="BA5" s="494">
        <f t="shared" ref="BA5:BA8" si="20">VLOOKUP($AU5,AllHabsSummaryData,17,FALSE)</f>
        <v>0</v>
      </c>
      <c r="BB5" s="494">
        <f t="shared" ref="BB5:BB8" si="21">VLOOKUP($AU5,AllHabsSummaryData,18,FALSE)</f>
        <v>0</v>
      </c>
      <c r="BC5" s="494">
        <f t="shared" ref="BC5:BC8" si="22">VLOOKUP($AU5,AllHabsSummaryData,27,FALSE)</f>
        <v>0</v>
      </c>
      <c r="BD5" s="494">
        <f t="shared" ref="BD5:BD8" si="23">VLOOKUP($AU5,AllHabsSummaryData,30,FALSE)</f>
        <v>0</v>
      </c>
      <c r="BE5" s="494">
        <f t="shared" ref="BE5:BE8" si="24">BB5+BD5</f>
        <v>0</v>
      </c>
      <c r="BF5" s="494" t="str">
        <f t="shared" ref="BF5:BF8" si="25">IF(BE5&lt;0,BE5,"")</f>
        <v/>
      </c>
      <c r="BG5" s="494">
        <f>VLOOKUP($AU5,AllHabsSummaryData,9,FALSE)</f>
        <v>0</v>
      </c>
    </row>
    <row r="6" spans="1:59" ht="14.4"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4">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4">
        <f>SUMIF('A-1 Site Habitat Baseline'!$G$11:$G$258,'G-2 Habitat groups'!A6,'A-1 Site Habitat Baseline'!$Q$11:$Q$258)</f>
        <v>0</v>
      </c>
      <c r="G6" s="494">
        <f>SUMIF('A-1 Site Habitat Baseline'!$G$11:$G$258,'G-2 Habitat groups'!A6,'A-1 Site Habitat Baseline'!$S$11:$S$258)</f>
        <v>0</v>
      </c>
      <c r="H6" s="494">
        <f>SUMIF('A-1 Site Habitat Baseline'!$G$11:$G$258,'G-2 Habitat groups'!A6,'A-1 Site Habitat Baseline'!$U$11:$U$258)</f>
        <v>0</v>
      </c>
      <c r="I6" s="494">
        <f>SUMIF('A-1 Site Habitat Baseline'!$G$11:$G$258,'G-2 Habitat groups'!A6,'A-1 Site Habitat Baseline'!$W$11:$W$258)</f>
        <v>0</v>
      </c>
      <c r="J6" s="494">
        <f>SUMIF('A-1 Site Habitat Baseline'!$G$11:$G$258,'G-2 Habitat groups'!A6,'A-1 Site Habitat Baseline'!$X$11:$X$258)</f>
        <v>0</v>
      </c>
      <c r="K6" s="494">
        <f>SUMIF('A-2 Site Habitat Creation'!$F$11:$F$256,'G-2 Habitat groups'!A6,'A-2 Site Habitat Creation'!$G$11:$G$256)</f>
        <v>0</v>
      </c>
      <c r="L6" s="494">
        <f>SUMIF('A-2 Site Habitat Creation'!$F$11:$F$256,'G-2 Habitat groups'!A6,'A-2 Site Habitat Creation'!$Y$11:$Y$256)</f>
        <v>0</v>
      </c>
      <c r="M6" s="494">
        <f>SUMIF('A-3 Site Habitat Enhancement'!$S$12:$S$257,'G-2 Habitat groups'!A6,'A-3 Site Habitat Enhancement'!$V$12:$V$257)</f>
        <v>0</v>
      </c>
      <c r="N6" s="494">
        <f>SUMIF('A-3 Site Habitat Enhancement'!$S$12:$S$257,'G-2 Habitat groups'!A6,'A-3 Site Habitat Enhancement'!$AN$12:$AN$257)</f>
        <v>0</v>
      </c>
      <c r="O6" s="494">
        <f t="shared" si="0"/>
        <v>0</v>
      </c>
      <c r="P6" s="494">
        <f t="shared" si="1"/>
        <v>0</v>
      </c>
      <c r="Q6" s="494">
        <f t="shared" si="2"/>
        <v>0</v>
      </c>
      <c r="R6" s="494">
        <f t="shared" si="3"/>
        <v>0</v>
      </c>
      <c r="S6" s="494">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4">
        <f>SUMIF('D-1 Off Site Habitat Baseline'!$G$11:$G$258,'G-2 Habitat groups'!A6,'D-1 Off Site Habitat Baseline'!$Q$11:$Q$258)</f>
        <v>0</v>
      </c>
      <c r="U6" s="591">
        <f>SUMIF('D-1 Off Site Habitat Baseline'!$G$11:$G$258,'G-2 Habitat groups'!A6,'D-1 Off Site Habitat Baseline'!$S$11:$S$258)</f>
        <v>0</v>
      </c>
      <c r="V6" s="494">
        <f>SUMIF('D-1 Off Site Habitat Baseline'!$G$11:$G$258,'G-2 Habitat groups'!A6,'D-1 Off Site Habitat Baseline'!$U$11:$U$258)</f>
        <v>0</v>
      </c>
      <c r="W6" s="494">
        <f>SUMIF('D-2 Off Site Habitat Creation'!$F$9:$F$255,'G-2 Habitat groups'!A6,'D-2 Off Site Habitat Creation'!$G$9:$G$255)</f>
        <v>0</v>
      </c>
      <c r="X6" s="494">
        <f>SUMIF('D-2 Off Site Habitat Creation'!$F$9:$F$255,'G-2 Habitat groups'!A6,'D-2 Off Site Habitat Creation'!$AA$9:$AA$255)</f>
        <v>0</v>
      </c>
      <c r="Y6" s="494">
        <f>SUMIF('D-3 Off Site Habitat Enhancment'!$S$12:$S$491,'G-2 Habitat groups'!A6,'D-3 Off Site Habitat Enhancment'!$V$12:$V$491)</f>
        <v>0</v>
      </c>
      <c r="Z6" s="494">
        <f>SUMIF('D-3 Off Site Habitat Enhancment'!$S$12:$S$491,'G-2 Habitat groups'!A6,'D-3 Off Site Habitat Enhancment'!$AP$12:$AP$491)</f>
        <v>0</v>
      </c>
      <c r="AA6" s="494">
        <f t="shared" si="4"/>
        <v>0</v>
      </c>
      <c r="AB6" s="494">
        <f t="shared" si="5"/>
        <v>0</v>
      </c>
      <c r="AC6" s="494">
        <f t="shared" si="6"/>
        <v>0</v>
      </c>
      <c r="AD6" s="494">
        <f t="shared" si="7"/>
        <v>0</v>
      </c>
      <c r="AE6" s="494">
        <f t="shared" si="8"/>
        <v>0</v>
      </c>
      <c r="AF6" s="494">
        <f t="shared" si="9"/>
        <v>0</v>
      </c>
      <c r="AJ6" s="107" t="s">
        <v>71</v>
      </c>
      <c r="AK6" s="100">
        <f t="shared" si="10"/>
        <v>0.2011</v>
      </c>
      <c r="AL6" s="100">
        <f t="shared" si="11"/>
        <v>0.92505999999999988</v>
      </c>
      <c r="AM6" s="100">
        <f t="shared" si="12"/>
        <v>9.4899999999999998E-2</v>
      </c>
      <c r="AN6" s="100">
        <f t="shared" si="13"/>
        <v>0.73061840191984795</v>
      </c>
      <c r="AO6" s="111">
        <f t="shared" si="14"/>
        <v>-0.1062</v>
      </c>
      <c r="AP6" s="111">
        <f t="shared" si="15"/>
        <v>-0.19444159808015193</v>
      </c>
      <c r="AU6" s="119" t="s">
        <v>444</v>
      </c>
      <c r="AV6" s="88" t="s">
        <v>70</v>
      </c>
      <c r="AW6" s="494">
        <f t="shared" si="16"/>
        <v>0</v>
      </c>
      <c r="AX6" s="494">
        <f t="shared" si="17"/>
        <v>0</v>
      </c>
      <c r="AY6" s="494">
        <f t="shared" si="18"/>
        <v>0</v>
      </c>
      <c r="AZ6" s="494">
        <f t="shared" si="19"/>
        <v>0</v>
      </c>
      <c r="BA6" s="494">
        <f t="shared" si="20"/>
        <v>0</v>
      </c>
      <c r="BB6" s="494">
        <f t="shared" si="21"/>
        <v>0</v>
      </c>
      <c r="BC6" s="494">
        <f t="shared" si="22"/>
        <v>0</v>
      </c>
      <c r="BD6" s="494">
        <f t="shared" si="23"/>
        <v>0</v>
      </c>
      <c r="BE6" s="494">
        <f t="shared" si="24"/>
        <v>0</v>
      </c>
      <c r="BF6" s="494" t="str">
        <f t="shared" si="25"/>
        <v/>
      </c>
      <c r="BG6" s="586">
        <f t="shared" ref="BG6:BG24" si="26">SUMIF($A$4:$A$103,AU6,$I$4:$I$103)</f>
        <v>0</v>
      </c>
    </row>
    <row r="7" spans="1:59" ht="14.4"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4">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4">
        <f>SUMIF('A-1 Site Habitat Baseline'!$G$11:$G$258,'G-2 Habitat groups'!A7,'A-1 Site Habitat Baseline'!$Q$11:$Q$258)</f>
        <v>0</v>
      </c>
      <c r="G7" s="494">
        <f>SUMIF('A-1 Site Habitat Baseline'!$G$11:$G$258,'G-2 Habitat groups'!A7,'A-1 Site Habitat Baseline'!$S$11:$S$258)</f>
        <v>0</v>
      </c>
      <c r="H7" s="494">
        <f>SUMIF('A-1 Site Habitat Baseline'!$G$11:$G$258,'G-2 Habitat groups'!A7,'A-1 Site Habitat Baseline'!$U$11:$U$258)</f>
        <v>0</v>
      </c>
      <c r="I7" s="494">
        <f>SUMIF('A-1 Site Habitat Baseline'!$G$11:$G$258,'G-2 Habitat groups'!A7,'A-1 Site Habitat Baseline'!$W$11:$W$258)</f>
        <v>0</v>
      </c>
      <c r="J7" s="494">
        <f>SUMIF('A-1 Site Habitat Baseline'!$G$11:$G$258,'G-2 Habitat groups'!A7,'A-1 Site Habitat Baseline'!$X$11:$X$258)</f>
        <v>0</v>
      </c>
      <c r="K7" s="494">
        <f>SUMIF('A-2 Site Habitat Creation'!$F$11:$F$256,'G-2 Habitat groups'!A7,'A-2 Site Habitat Creation'!$G$11:$G$256)</f>
        <v>0</v>
      </c>
      <c r="L7" s="494">
        <f>SUMIF('A-2 Site Habitat Creation'!$F$11:$F$256,'G-2 Habitat groups'!A7,'A-2 Site Habitat Creation'!$Y$11:$Y$256)</f>
        <v>0</v>
      </c>
      <c r="M7" s="494">
        <f>SUMIF('A-3 Site Habitat Enhancement'!$S$12:$S$257,'G-2 Habitat groups'!A7,'A-3 Site Habitat Enhancement'!$V$12:$V$257)</f>
        <v>0</v>
      </c>
      <c r="N7" s="494">
        <f>SUMIF('A-3 Site Habitat Enhancement'!$S$12:$S$257,'G-2 Habitat groups'!A7,'A-3 Site Habitat Enhancement'!$AN$12:$AN$257)</f>
        <v>0</v>
      </c>
      <c r="O7" s="494">
        <f t="shared" si="0"/>
        <v>0</v>
      </c>
      <c r="P7" s="494">
        <f t="shared" si="1"/>
        <v>0</v>
      </c>
      <c r="Q7" s="494">
        <f t="shared" si="2"/>
        <v>0</v>
      </c>
      <c r="R7" s="494">
        <f t="shared" si="3"/>
        <v>0</v>
      </c>
      <c r="S7" s="494">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4">
        <f>SUMIF('D-1 Off Site Habitat Baseline'!$G$11:$G$258,'G-2 Habitat groups'!A7,'D-1 Off Site Habitat Baseline'!$Q$11:$Q$258)</f>
        <v>0</v>
      </c>
      <c r="U7" s="591">
        <f>SUMIF('D-1 Off Site Habitat Baseline'!$G$11:$G$258,'G-2 Habitat groups'!A7,'D-1 Off Site Habitat Baseline'!$S$11:$S$258)</f>
        <v>0</v>
      </c>
      <c r="V7" s="494">
        <f>SUMIF('D-1 Off Site Habitat Baseline'!$G$11:$G$258,'G-2 Habitat groups'!A7,'D-1 Off Site Habitat Baseline'!$U$11:$U$258)</f>
        <v>0</v>
      </c>
      <c r="W7" s="494">
        <f>SUMIF('D-2 Off Site Habitat Creation'!$F$9:$F$255,'G-2 Habitat groups'!A7,'D-2 Off Site Habitat Creation'!$G$9:$G$255)</f>
        <v>0</v>
      </c>
      <c r="X7" s="494">
        <f>SUMIF('D-2 Off Site Habitat Creation'!$F$9:$F$255,'G-2 Habitat groups'!A7,'D-2 Off Site Habitat Creation'!$AA$9:$AA$255)</f>
        <v>0</v>
      </c>
      <c r="Y7" s="494">
        <f>SUMIF('D-3 Off Site Habitat Enhancment'!$S$12:$S$491,'G-2 Habitat groups'!A7,'D-3 Off Site Habitat Enhancment'!$V$12:$V$491)</f>
        <v>0</v>
      </c>
      <c r="Z7" s="494">
        <f>SUMIF('D-3 Off Site Habitat Enhancment'!$S$12:$S$491,'G-2 Habitat groups'!A7,'D-3 Off Site Habitat Enhancment'!$AP$12:$AP$491)</f>
        <v>0</v>
      </c>
      <c r="AA7" s="494">
        <f t="shared" si="4"/>
        <v>0</v>
      </c>
      <c r="AB7" s="494">
        <f t="shared" si="5"/>
        <v>0</v>
      </c>
      <c r="AC7" s="494">
        <f t="shared" si="6"/>
        <v>0</v>
      </c>
      <c r="AD7" s="494">
        <f t="shared" si="7"/>
        <v>0</v>
      </c>
      <c r="AE7" s="494">
        <f t="shared" si="8"/>
        <v>0</v>
      </c>
      <c r="AF7" s="494">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4">
        <f t="shared" si="16"/>
        <v>0</v>
      </c>
      <c r="AX7" s="494">
        <f t="shared" si="17"/>
        <v>0</v>
      </c>
      <c r="AY7" s="494">
        <f t="shared" si="18"/>
        <v>0</v>
      </c>
      <c r="AZ7" s="494">
        <f t="shared" si="19"/>
        <v>0</v>
      </c>
      <c r="BA7" s="494">
        <f t="shared" si="20"/>
        <v>0</v>
      </c>
      <c r="BB7" s="494">
        <f t="shared" si="21"/>
        <v>0</v>
      </c>
      <c r="BC7" s="494">
        <f t="shared" si="22"/>
        <v>0</v>
      </c>
      <c r="BD7" s="494">
        <f t="shared" si="23"/>
        <v>0</v>
      </c>
      <c r="BE7" s="494">
        <f t="shared" si="24"/>
        <v>0</v>
      </c>
      <c r="BF7" s="494" t="str">
        <f t="shared" si="25"/>
        <v/>
      </c>
      <c r="BG7" s="586">
        <f t="shared" si="26"/>
        <v>0</v>
      </c>
    </row>
    <row r="8" spans="1:59" ht="14.4"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4">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4">
        <f>SUMIF('A-1 Site Habitat Baseline'!$G$11:$G$258,'G-2 Habitat groups'!A8,'A-1 Site Habitat Baseline'!$Q$11:$Q$258)</f>
        <v>0</v>
      </c>
      <c r="G8" s="494">
        <f>SUMIF('A-1 Site Habitat Baseline'!$G$11:$G$258,'G-2 Habitat groups'!A8,'A-1 Site Habitat Baseline'!$S$11:$S$258)</f>
        <v>0</v>
      </c>
      <c r="H8" s="494">
        <f>SUMIF('A-1 Site Habitat Baseline'!$G$11:$G$258,'G-2 Habitat groups'!A8,'A-1 Site Habitat Baseline'!$U$11:$U$258)</f>
        <v>0</v>
      </c>
      <c r="I8" s="494">
        <f>SUMIF('A-1 Site Habitat Baseline'!$G$11:$G$258,'G-2 Habitat groups'!A8,'A-1 Site Habitat Baseline'!$W$11:$W$258)</f>
        <v>0</v>
      </c>
      <c r="J8" s="494">
        <f>SUMIF('A-1 Site Habitat Baseline'!$G$11:$G$258,'G-2 Habitat groups'!A8,'A-1 Site Habitat Baseline'!$X$11:$X$258)</f>
        <v>0</v>
      </c>
      <c r="K8" s="494">
        <f>SUMIF('A-2 Site Habitat Creation'!$F$11:$F$256,'G-2 Habitat groups'!A8,'A-2 Site Habitat Creation'!$G$11:$G$256)</f>
        <v>0</v>
      </c>
      <c r="L8" s="494">
        <f>SUMIF('A-2 Site Habitat Creation'!$F$11:$F$256,'G-2 Habitat groups'!A8,'A-2 Site Habitat Creation'!$Y$11:$Y$256)</f>
        <v>0</v>
      </c>
      <c r="M8" s="494">
        <f>SUMIF('A-3 Site Habitat Enhancement'!$S$12:$S$257,'G-2 Habitat groups'!A8,'A-3 Site Habitat Enhancement'!$V$12:$V$257)</f>
        <v>0</v>
      </c>
      <c r="N8" s="494">
        <f>SUMIF('A-3 Site Habitat Enhancement'!$S$12:$S$257,'G-2 Habitat groups'!A8,'A-3 Site Habitat Enhancement'!$AN$12:$AN$257)</f>
        <v>0</v>
      </c>
      <c r="O8" s="494">
        <f t="shared" si="0"/>
        <v>0</v>
      </c>
      <c r="P8" s="494">
        <f t="shared" si="1"/>
        <v>0</v>
      </c>
      <c r="Q8" s="494">
        <f t="shared" si="2"/>
        <v>0</v>
      </c>
      <c r="R8" s="494">
        <f t="shared" si="3"/>
        <v>0</v>
      </c>
      <c r="S8" s="494">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4">
        <f>SUMIF('D-1 Off Site Habitat Baseline'!$G$11:$G$258,'G-2 Habitat groups'!A8,'D-1 Off Site Habitat Baseline'!$Q$11:$Q$258)</f>
        <v>0</v>
      </c>
      <c r="U8" s="591">
        <f>SUMIF('D-1 Off Site Habitat Baseline'!$G$11:$G$258,'G-2 Habitat groups'!A8,'D-1 Off Site Habitat Baseline'!$S$11:$S$258)</f>
        <v>0</v>
      </c>
      <c r="V8" s="494">
        <f>SUMIF('D-1 Off Site Habitat Baseline'!$G$11:$G$258,'G-2 Habitat groups'!A8,'D-1 Off Site Habitat Baseline'!$U$11:$U$258)</f>
        <v>0</v>
      </c>
      <c r="W8" s="494">
        <f>SUMIF('D-2 Off Site Habitat Creation'!$F$9:$F$255,'G-2 Habitat groups'!A8,'D-2 Off Site Habitat Creation'!$G$9:$G$255)</f>
        <v>0</v>
      </c>
      <c r="X8" s="494">
        <f>SUMIF('D-2 Off Site Habitat Creation'!$F$9:$F$255,'G-2 Habitat groups'!A8,'D-2 Off Site Habitat Creation'!$AA$9:$AA$255)</f>
        <v>0</v>
      </c>
      <c r="Y8" s="494">
        <f>SUMIF('D-3 Off Site Habitat Enhancment'!$S$12:$S$491,'G-2 Habitat groups'!A8,'D-3 Off Site Habitat Enhancment'!$V$12:$V$491)</f>
        <v>0</v>
      </c>
      <c r="Z8" s="494">
        <f>SUMIF('D-3 Off Site Habitat Enhancment'!$S$12:$S$491,'G-2 Habitat groups'!A8,'D-3 Off Site Habitat Enhancment'!$AP$12:$AP$491)</f>
        <v>0</v>
      </c>
      <c r="AA8" s="494">
        <f t="shared" si="4"/>
        <v>0</v>
      </c>
      <c r="AB8" s="494">
        <f t="shared" si="5"/>
        <v>0</v>
      </c>
      <c r="AC8" s="494">
        <f t="shared" si="6"/>
        <v>0</v>
      </c>
      <c r="AD8" s="494">
        <f t="shared" si="7"/>
        <v>0</v>
      </c>
      <c r="AE8" s="494">
        <f t="shared" si="8"/>
        <v>0</v>
      </c>
      <c r="AF8" s="494">
        <f t="shared" si="9"/>
        <v>0</v>
      </c>
      <c r="AJ8" s="108" t="s">
        <v>73</v>
      </c>
      <c r="AK8" s="100">
        <f t="shared" si="10"/>
        <v>0.3614</v>
      </c>
      <c r="AL8" s="100">
        <f t="shared" si="11"/>
        <v>0.83121999999999996</v>
      </c>
      <c r="AM8" s="100">
        <f t="shared" si="12"/>
        <v>0</v>
      </c>
      <c r="AN8" s="100">
        <f t="shared" si="13"/>
        <v>0</v>
      </c>
      <c r="AO8" s="111">
        <f t="shared" si="14"/>
        <v>-0.3614</v>
      </c>
      <c r="AP8" s="111">
        <f t="shared" si="15"/>
        <v>-0.83121999999999996</v>
      </c>
      <c r="AU8" s="119" t="s">
        <v>500</v>
      </c>
      <c r="AV8" s="88" t="s">
        <v>71</v>
      </c>
      <c r="AW8" s="494">
        <f t="shared" si="16"/>
        <v>0</v>
      </c>
      <c r="AX8" s="494">
        <f t="shared" si="17"/>
        <v>0</v>
      </c>
      <c r="AY8" s="494">
        <f t="shared" si="18"/>
        <v>0</v>
      </c>
      <c r="AZ8" s="494">
        <f t="shared" si="19"/>
        <v>0</v>
      </c>
      <c r="BA8" s="494">
        <f t="shared" si="20"/>
        <v>0</v>
      </c>
      <c r="BB8" s="494">
        <f t="shared" si="21"/>
        <v>0</v>
      </c>
      <c r="BC8" s="494">
        <f t="shared" si="22"/>
        <v>0</v>
      </c>
      <c r="BD8" s="494">
        <f t="shared" si="23"/>
        <v>0</v>
      </c>
      <c r="BE8" s="494">
        <f t="shared" si="24"/>
        <v>0</v>
      </c>
      <c r="BF8" s="494" t="str">
        <f t="shared" si="25"/>
        <v/>
      </c>
      <c r="BG8" s="586">
        <f t="shared" si="26"/>
        <v>0</v>
      </c>
    </row>
    <row r="9" spans="1:59" ht="14.4"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4">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4">
        <f>SUMIF('A-1 Site Habitat Baseline'!$G$11:$G$258,'G-2 Habitat groups'!A9,'A-1 Site Habitat Baseline'!$Q$11:$Q$258)</f>
        <v>0</v>
      </c>
      <c r="G9" s="494">
        <f>SUMIF('A-1 Site Habitat Baseline'!$G$11:$G$258,'G-2 Habitat groups'!A9,'A-1 Site Habitat Baseline'!$S$11:$S$258)</f>
        <v>0</v>
      </c>
      <c r="H9" s="494">
        <f>SUMIF('A-1 Site Habitat Baseline'!$G$11:$G$258,'G-2 Habitat groups'!A9,'A-1 Site Habitat Baseline'!$U$11:$U$258)</f>
        <v>0</v>
      </c>
      <c r="I9" s="494">
        <f>SUMIF('A-1 Site Habitat Baseline'!$G$11:$G$258,'G-2 Habitat groups'!A9,'A-1 Site Habitat Baseline'!$W$11:$W$258)</f>
        <v>0</v>
      </c>
      <c r="J9" s="494">
        <f>SUMIF('A-1 Site Habitat Baseline'!$G$11:$G$258,'G-2 Habitat groups'!A9,'A-1 Site Habitat Baseline'!$X$11:$X$258)</f>
        <v>0</v>
      </c>
      <c r="K9" s="494">
        <f>SUMIF('A-2 Site Habitat Creation'!$F$11:$F$256,'G-2 Habitat groups'!A9,'A-2 Site Habitat Creation'!$G$11:$G$256)</f>
        <v>0</v>
      </c>
      <c r="L9" s="494">
        <f>SUMIF('A-2 Site Habitat Creation'!$F$11:$F$256,'G-2 Habitat groups'!A9,'A-2 Site Habitat Creation'!$Y$11:$Y$256)</f>
        <v>0</v>
      </c>
      <c r="M9" s="494">
        <f>SUMIF('A-3 Site Habitat Enhancement'!$S$12:$S$257,'G-2 Habitat groups'!A9,'A-3 Site Habitat Enhancement'!$V$12:$V$257)</f>
        <v>0</v>
      </c>
      <c r="N9" s="494">
        <f>SUMIF('A-3 Site Habitat Enhancement'!$S$12:$S$257,'G-2 Habitat groups'!A9,'A-3 Site Habitat Enhancement'!$AN$12:$AN$257)</f>
        <v>0</v>
      </c>
      <c r="O9" s="494">
        <f t="shared" si="0"/>
        <v>0</v>
      </c>
      <c r="P9" s="494">
        <f t="shared" si="1"/>
        <v>0</v>
      </c>
      <c r="Q9" s="494">
        <f t="shared" si="2"/>
        <v>0</v>
      </c>
      <c r="R9" s="494">
        <f t="shared" si="3"/>
        <v>0</v>
      </c>
      <c r="S9" s="494">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4">
        <f>SUMIF('D-1 Off Site Habitat Baseline'!$G$11:$G$258,'G-2 Habitat groups'!A9,'D-1 Off Site Habitat Baseline'!$Q$11:$Q$258)</f>
        <v>0</v>
      </c>
      <c r="U9" s="591">
        <f>SUMIF('D-1 Off Site Habitat Baseline'!$G$11:$G$258,'G-2 Habitat groups'!A9,'D-1 Off Site Habitat Baseline'!$S$11:$S$258)</f>
        <v>0</v>
      </c>
      <c r="V9" s="494">
        <f>SUMIF('D-1 Off Site Habitat Baseline'!$G$11:$G$258,'G-2 Habitat groups'!A9,'D-1 Off Site Habitat Baseline'!$U$11:$U$258)</f>
        <v>0</v>
      </c>
      <c r="W9" s="494">
        <f>SUMIF('D-2 Off Site Habitat Creation'!$F$9:$F$255,'G-2 Habitat groups'!A9,'D-2 Off Site Habitat Creation'!$G$9:$G$255)</f>
        <v>0</v>
      </c>
      <c r="X9" s="494">
        <f>SUMIF('D-2 Off Site Habitat Creation'!$F$9:$F$255,'G-2 Habitat groups'!A9,'D-2 Off Site Habitat Creation'!$AA$9:$AA$255)</f>
        <v>0</v>
      </c>
      <c r="Y9" s="494">
        <f>SUMIF('D-3 Off Site Habitat Enhancment'!$S$12:$S$491,'G-2 Habitat groups'!A9,'D-3 Off Site Habitat Enhancment'!$V$12:$V$491)</f>
        <v>0</v>
      </c>
      <c r="Z9" s="494">
        <f>SUMIF('D-3 Off Site Habitat Enhancment'!$S$12:$S$491,'G-2 Habitat groups'!A9,'D-3 Off Site Habitat Enhancment'!$AP$12:$AP$491)</f>
        <v>0</v>
      </c>
      <c r="AA9" s="494">
        <f t="shared" si="4"/>
        <v>0</v>
      </c>
      <c r="AB9" s="494">
        <f t="shared" si="5"/>
        <v>0</v>
      </c>
      <c r="AC9" s="494">
        <f t="shared" si="6"/>
        <v>0</v>
      </c>
      <c r="AD9" s="494">
        <f t="shared" si="7"/>
        <v>0</v>
      </c>
      <c r="AE9" s="494">
        <f t="shared" si="8"/>
        <v>0</v>
      </c>
      <c r="AF9" s="494">
        <f t="shared" si="9"/>
        <v>0</v>
      </c>
      <c r="AJ9" s="107" t="s">
        <v>74</v>
      </c>
      <c r="AK9" s="100">
        <f t="shared" si="10"/>
        <v>0.45450000000000002</v>
      </c>
      <c r="AL9" s="100">
        <f t="shared" si="11"/>
        <v>1.03592</v>
      </c>
      <c r="AM9" s="100">
        <f t="shared" si="12"/>
        <v>1.0186999999999999</v>
      </c>
      <c r="AN9" s="100">
        <f t="shared" si="13"/>
        <v>1.2362744994343997</v>
      </c>
      <c r="AO9" s="111">
        <f t="shared" si="14"/>
        <v>0.56420000000000003</v>
      </c>
      <c r="AP9" s="111">
        <f t="shared" si="15"/>
        <v>0.20035449943439981</v>
      </c>
      <c r="AU9" s="119" t="s">
        <v>518</v>
      </c>
      <c r="AV9" s="88" t="s">
        <v>72</v>
      </c>
      <c r="AW9" s="494">
        <f t="shared" ref="AW9:AW24" si="27">VLOOKUP($AU9,AllHabsSummaryData,5,FALSE)</f>
        <v>0</v>
      </c>
      <c r="AX9" s="494">
        <f t="shared" ref="AX9:AX24" si="28">VLOOKUP($AU9,AllHabsSummaryData,10,FALSE)</f>
        <v>0</v>
      </c>
      <c r="AY9" s="494">
        <f t="shared" ref="AY9:AY24" si="29">VLOOKUP($AU9,AllHabsSummaryData,15,FALSE)</f>
        <v>0</v>
      </c>
      <c r="AZ9" s="494">
        <f t="shared" ref="AZ9:AZ24" si="30">VLOOKUP($AU9,AllHabsSummaryData,16,FALSE)</f>
        <v>0</v>
      </c>
      <c r="BA9" s="494">
        <f t="shared" ref="BA9:BA24" si="31">VLOOKUP($AU9,AllHabsSummaryData,17,FALSE)</f>
        <v>0</v>
      </c>
      <c r="BB9" s="494">
        <f t="shared" ref="BB9:BB24" si="32">VLOOKUP($AU9,AllHabsSummaryData,18,FALSE)</f>
        <v>0</v>
      </c>
      <c r="BC9" s="494">
        <f t="shared" ref="BC9:BC24" si="33">VLOOKUP($AU9,AllHabsSummaryData,27,FALSE)</f>
        <v>0</v>
      </c>
      <c r="BD9" s="494">
        <f t="shared" ref="BD9:BD24" si="34">VLOOKUP($AU9,AllHabsSummaryData,30,FALSE)</f>
        <v>0</v>
      </c>
      <c r="BE9" s="494">
        <f t="shared" ref="BE9:BE24" si="35">BB9+BD9</f>
        <v>0</v>
      </c>
      <c r="BF9" s="494" t="str">
        <f t="shared" ref="BF9:BF24" si="36">IF(BE9&lt;0,BE9,"")</f>
        <v/>
      </c>
      <c r="BG9" s="586">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4">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4">
        <f>SUMIF('A-1 Site Habitat Baseline'!$G$11:$G$258,'G-2 Habitat groups'!A10,'A-1 Site Habitat Baseline'!$Q$11:$Q$258)</f>
        <v>0</v>
      </c>
      <c r="G10" s="494">
        <f>SUMIF('A-1 Site Habitat Baseline'!$G$11:$G$258,'G-2 Habitat groups'!A10,'A-1 Site Habitat Baseline'!$S$11:$S$258)</f>
        <v>0</v>
      </c>
      <c r="H10" s="494">
        <f>SUMIF('A-1 Site Habitat Baseline'!$G$11:$G$258,'G-2 Habitat groups'!A10,'A-1 Site Habitat Baseline'!$U$11:$U$258)</f>
        <v>0</v>
      </c>
      <c r="I10" s="494">
        <f>SUMIF('A-1 Site Habitat Baseline'!$G$11:$G$258,'G-2 Habitat groups'!A10,'A-1 Site Habitat Baseline'!$W$11:$W$258)</f>
        <v>0</v>
      </c>
      <c r="J10" s="494">
        <f>SUMIF('A-1 Site Habitat Baseline'!$G$11:$G$258,'G-2 Habitat groups'!A10,'A-1 Site Habitat Baseline'!$X$11:$X$258)</f>
        <v>0</v>
      </c>
      <c r="K10" s="494">
        <f>SUMIF('A-2 Site Habitat Creation'!$F$11:$F$256,'G-2 Habitat groups'!A10,'A-2 Site Habitat Creation'!$G$11:$G$256)</f>
        <v>0</v>
      </c>
      <c r="L10" s="494">
        <f>SUMIF('A-2 Site Habitat Creation'!$F$11:$F$256,'G-2 Habitat groups'!A10,'A-2 Site Habitat Creation'!$Y$11:$Y$256)</f>
        <v>0</v>
      </c>
      <c r="M10" s="494">
        <f>SUMIF('A-3 Site Habitat Enhancement'!$S$12:$S$257,'G-2 Habitat groups'!A10,'A-3 Site Habitat Enhancement'!$V$12:$V$257)</f>
        <v>0</v>
      </c>
      <c r="N10" s="494">
        <f>SUMIF('A-3 Site Habitat Enhancement'!$S$12:$S$257,'G-2 Habitat groups'!A10,'A-3 Site Habitat Enhancement'!$AN$12:$AN$257)</f>
        <v>0</v>
      </c>
      <c r="O10" s="494">
        <f t="shared" si="0"/>
        <v>0</v>
      </c>
      <c r="P10" s="494">
        <f t="shared" si="1"/>
        <v>0</v>
      </c>
      <c r="Q10" s="494">
        <f t="shared" si="2"/>
        <v>0</v>
      </c>
      <c r="R10" s="494">
        <f t="shared" si="3"/>
        <v>0</v>
      </c>
      <c r="S10" s="494">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4">
        <f>SUMIF('D-1 Off Site Habitat Baseline'!$G$11:$G$258,'G-2 Habitat groups'!A10,'D-1 Off Site Habitat Baseline'!$Q$11:$Q$258)</f>
        <v>0</v>
      </c>
      <c r="U10" s="591">
        <f>SUMIF('D-1 Off Site Habitat Baseline'!$G$11:$G$258,'G-2 Habitat groups'!A10,'D-1 Off Site Habitat Baseline'!$S$11:$S$258)</f>
        <v>0</v>
      </c>
      <c r="V10" s="494">
        <f>SUMIF('D-1 Off Site Habitat Baseline'!$G$11:$G$258,'G-2 Habitat groups'!A10,'D-1 Off Site Habitat Baseline'!$U$11:$U$258)</f>
        <v>0</v>
      </c>
      <c r="W10" s="494">
        <f>SUMIF('D-2 Off Site Habitat Creation'!$F$9:$F$255,'G-2 Habitat groups'!A10,'D-2 Off Site Habitat Creation'!$G$9:$G$255)</f>
        <v>0</v>
      </c>
      <c r="X10" s="494">
        <f>SUMIF('D-2 Off Site Habitat Creation'!$F$9:$F$255,'G-2 Habitat groups'!A10,'D-2 Off Site Habitat Creation'!$AA$9:$AA$255)</f>
        <v>0</v>
      </c>
      <c r="Y10" s="494">
        <f>SUMIF('D-3 Off Site Habitat Enhancment'!$S$12:$S$491,'G-2 Habitat groups'!A10,'D-3 Off Site Habitat Enhancment'!$V$12:$V$491)</f>
        <v>0</v>
      </c>
      <c r="Z10" s="494">
        <f>SUMIF('D-3 Off Site Habitat Enhancment'!$S$12:$S$491,'G-2 Habitat groups'!A10,'D-3 Off Site Habitat Enhancment'!$AP$12:$AP$491)</f>
        <v>0</v>
      </c>
      <c r="AA10" s="494">
        <f t="shared" si="4"/>
        <v>0</v>
      </c>
      <c r="AB10" s="494">
        <f t="shared" si="5"/>
        <v>0</v>
      </c>
      <c r="AC10" s="494">
        <f t="shared" si="6"/>
        <v>0</v>
      </c>
      <c r="AD10" s="494">
        <f t="shared" si="7"/>
        <v>0</v>
      </c>
      <c r="AE10" s="494">
        <f t="shared" si="8"/>
        <v>0</v>
      </c>
      <c r="AF10" s="494">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4">
        <f t="shared" si="27"/>
        <v>0</v>
      </c>
      <c r="AX10" s="494">
        <f t="shared" si="28"/>
        <v>0</v>
      </c>
      <c r="AY10" s="494">
        <f t="shared" si="29"/>
        <v>0</v>
      </c>
      <c r="AZ10" s="494">
        <f t="shared" si="30"/>
        <v>0</v>
      </c>
      <c r="BA10" s="494">
        <f t="shared" si="31"/>
        <v>0</v>
      </c>
      <c r="BB10" s="494">
        <f t="shared" si="32"/>
        <v>0</v>
      </c>
      <c r="BC10" s="494">
        <f t="shared" si="33"/>
        <v>0</v>
      </c>
      <c r="BD10" s="494">
        <f t="shared" si="34"/>
        <v>0</v>
      </c>
      <c r="BE10" s="494">
        <f t="shared" si="35"/>
        <v>0</v>
      </c>
      <c r="BF10" s="494" t="str">
        <f t="shared" si="36"/>
        <v/>
      </c>
      <c r="BG10" s="586">
        <f t="shared" si="26"/>
        <v>0</v>
      </c>
    </row>
    <row r="11" spans="1:59" ht="14.4"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4">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4">
        <f>SUMIF('A-1 Site Habitat Baseline'!$G$11:$G$258,'G-2 Habitat groups'!A11,'A-1 Site Habitat Baseline'!$Q$11:$Q$258)</f>
        <v>0</v>
      </c>
      <c r="G11" s="494">
        <f>SUMIF('A-1 Site Habitat Baseline'!$G$11:$G$258,'G-2 Habitat groups'!A11,'A-1 Site Habitat Baseline'!$S$11:$S$258)</f>
        <v>0</v>
      </c>
      <c r="H11" s="494">
        <f>SUMIF('A-1 Site Habitat Baseline'!$G$11:$G$258,'G-2 Habitat groups'!A11,'A-1 Site Habitat Baseline'!$U$11:$U$258)</f>
        <v>0</v>
      </c>
      <c r="I11" s="494">
        <f>SUMIF('A-1 Site Habitat Baseline'!$G$11:$G$258,'G-2 Habitat groups'!A11,'A-1 Site Habitat Baseline'!$W$11:$W$258)</f>
        <v>0</v>
      </c>
      <c r="J11" s="494">
        <f>SUMIF('A-1 Site Habitat Baseline'!$G$11:$G$258,'G-2 Habitat groups'!A11,'A-1 Site Habitat Baseline'!$X$11:$X$258)</f>
        <v>0</v>
      </c>
      <c r="K11" s="494">
        <f>SUMIF('A-2 Site Habitat Creation'!$F$11:$F$256,'G-2 Habitat groups'!A11,'A-2 Site Habitat Creation'!$G$11:$G$256)</f>
        <v>0</v>
      </c>
      <c r="L11" s="494">
        <f>SUMIF('A-2 Site Habitat Creation'!$F$11:$F$256,'G-2 Habitat groups'!A11,'A-2 Site Habitat Creation'!$Y$11:$Y$256)</f>
        <v>0</v>
      </c>
      <c r="M11" s="494">
        <f>SUMIF('A-3 Site Habitat Enhancement'!$S$12:$S$257,'G-2 Habitat groups'!A11,'A-3 Site Habitat Enhancement'!$V$12:$V$257)</f>
        <v>0</v>
      </c>
      <c r="N11" s="494">
        <f>SUMIF('A-3 Site Habitat Enhancement'!$S$12:$S$257,'G-2 Habitat groups'!A11,'A-3 Site Habitat Enhancement'!$AN$12:$AN$257)</f>
        <v>0</v>
      </c>
      <c r="O11" s="494">
        <f t="shared" si="0"/>
        <v>0</v>
      </c>
      <c r="P11" s="494">
        <f t="shared" si="1"/>
        <v>0</v>
      </c>
      <c r="Q11" s="494">
        <f t="shared" si="2"/>
        <v>0</v>
      </c>
      <c r="R11" s="494">
        <f t="shared" si="3"/>
        <v>0</v>
      </c>
      <c r="S11" s="494">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4">
        <f>SUMIF('D-1 Off Site Habitat Baseline'!$G$11:$G$258,'G-2 Habitat groups'!A11,'D-1 Off Site Habitat Baseline'!$Q$11:$Q$258)</f>
        <v>0</v>
      </c>
      <c r="U11" s="591">
        <f>SUMIF('D-1 Off Site Habitat Baseline'!$G$11:$G$258,'G-2 Habitat groups'!A11,'D-1 Off Site Habitat Baseline'!$S$11:$S$258)</f>
        <v>0</v>
      </c>
      <c r="V11" s="494">
        <f>SUMIF('D-1 Off Site Habitat Baseline'!$G$11:$G$258,'G-2 Habitat groups'!A11,'D-1 Off Site Habitat Baseline'!$U$11:$U$258)</f>
        <v>0</v>
      </c>
      <c r="W11" s="494">
        <f>SUMIF('D-2 Off Site Habitat Creation'!$F$9:$F$255,'G-2 Habitat groups'!A11,'D-2 Off Site Habitat Creation'!$G$9:$G$255)</f>
        <v>0</v>
      </c>
      <c r="X11" s="494">
        <f>SUMIF('D-2 Off Site Habitat Creation'!$F$9:$F$255,'G-2 Habitat groups'!A11,'D-2 Off Site Habitat Creation'!$AA$9:$AA$255)</f>
        <v>0</v>
      </c>
      <c r="Y11" s="494">
        <f>SUMIF('D-3 Off Site Habitat Enhancment'!$S$12:$S$491,'G-2 Habitat groups'!A11,'D-3 Off Site Habitat Enhancment'!$V$12:$V$491)</f>
        <v>0</v>
      </c>
      <c r="Z11" s="494">
        <f>SUMIF('D-3 Off Site Habitat Enhancment'!$S$12:$S$491,'G-2 Habitat groups'!A11,'D-3 Off Site Habitat Enhancment'!$AP$12:$AP$491)</f>
        <v>0</v>
      </c>
      <c r="AA11" s="494">
        <f t="shared" si="4"/>
        <v>0</v>
      </c>
      <c r="AB11" s="494">
        <f t="shared" si="5"/>
        <v>0</v>
      </c>
      <c r="AC11" s="494">
        <f t="shared" si="6"/>
        <v>0</v>
      </c>
      <c r="AD11" s="494">
        <f t="shared" si="7"/>
        <v>0</v>
      </c>
      <c r="AE11" s="494">
        <f t="shared" si="8"/>
        <v>0</v>
      </c>
      <c r="AF11" s="494">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4">
        <f t="shared" si="27"/>
        <v>0</v>
      </c>
      <c r="AX11" s="494">
        <f t="shared" si="28"/>
        <v>0</v>
      </c>
      <c r="AY11" s="494">
        <f t="shared" si="29"/>
        <v>0</v>
      </c>
      <c r="AZ11" s="494">
        <f t="shared" si="30"/>
        <v>0</v>
      </c>
      <c r="BA11" s="494">
        <f t="shared" si="31"/>
        <v>0</v>
      </c>
      <c r="BB11" s="494">
        <f t="shared" si="32"/>
        <v>0</v>
      </c>
      <c r="BC11" s="494">
        <f t="shared" si="33"/>
        <v>0</v>
      </c>
      <c r="BD11" s="494">
        <f t="shared" si="34"/>
        <v>0</v>
      </c>
      <c r="BE11" s="494">
        <f t="shared" si="35"/>
        <v>0</v>
      </c>
      <c r="BF11" s="494" t="str">
        <f t="shared" si="36"/>
        <v/>
      </c>
      <c r="BG11" s="586">
        <f t="shared" si="26"/>
        <v>0</v>
      </c>
    </row>
    <row r="12" spans="1:59" ht="14.4"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4">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4">
        <f>SUMIF('A-1 Site Habitat Baseline'!$G$11:$G$258,'G-2 Habitat groups'!A12,'A-1 Site Habitat Baseline'!$Q$11:$Q$258)</f>
        <v>0</v>
      </c>
      <c r="G12" s="494">
        <f>SUMIF('A-1 Site Habitat Baseline'!$G$11:$G$258,'G-2 Habitat groups'!A12,'A-1 Site Habitat Baseline'!$S$11:$S$258)</f>
        <v>0</v>
      </c>
      <c r="H12" s="494">
        <f>SUMIF('A-1 Site Habitat Baseline'!$G$11:$G$258,'G-2 Habitat groups'!A12,'A-1 Site Habitat Baseline'!$U$11:$U$258)</f>
        <v>0</v>
      </c>
      <c r="I12" s="494">
        <f>SUMIF('A-1 Site Habitat Baseline'!$G$11:$G$258,'G-2 Habitat groups'!A12,'A-1 Site Habitat Baseline'!$W$11:$W$258)</f>
        <v>0</v>
      </c>
      <c r="J12" s="494">
        <f>SUMIF('A-1 Site Habitat Baseline'!$G$11:$G$258,'G-2 Habitat groups'!A12,'A-1 Site Habitat Baseline'!$X$11:$X$258)</f>
        <v>0</v>
      </c>
      <c r="K12" s="494">
        <f>SUMIF('A-2 Site Habitat Creation'!$F$11:$F$256,'G-2 Habitat groups'!A12,'A-2 Site Habitat Creation'!$G$11:$G$256)</f>
        <v>0</v>
      </c>
      <c r="L12" s="494">
        <f>SUMIF('A-2 Site Habitat Creation'!$F$11:$F$256,'G-2 Habitat groups'!A12,'A-2 Site Habitat Creation'!$Y$11:$Y$256)</f>
        <v>0</v>
      </c>
      <c r="M12" s="494">
        <f>SUMIF('A-3 Site Habitat Enhancement'!$S$12:$S$257,'G-2 Habitat groups'!A12,'A-3 Site Habitat Enhancement'!$V$12:$V$257)</f>
        <v>0</v>
      </c>
      <c r="N12" s="494">
        <f>SUMIF('A-3 Site Habitat Enhancement'!$S$12:$S$257,'G-2 Habitat groups'!A12,'A-3 Site Habitat Enhancement'!$AN$12:$AN$257)</f>
        <v>0</v>
      </c>
      <c r="O12" s="494">
        <f t="shared" si="0"/>
        <v>0</v>
      </c>
      <c r="P12" s="494">
        <f t="shared" si="1"/>
        <v>0</v>
      </c>
      <c r="Q12" s="494">
        <f t="shared" si="2"/>
        <v>0</v>
      </c>
      <c r="R12" s="494">
        <f t="shared" si="3"/>
        <v>0</v>
      </c>
      <c r="S12" s="494">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4">
        <f>SUMIF('D-1 Off Site Habitat Baseline'!$G$11:$G$258,'G-2 Habitat groups'!A12,'D-1 Off Site Habitat Baseline'!$Q$11:$Q$258)</f>
        <v>0</v>
      </c>
      <c r="U12" s="591">
        <f>SUMIF('D-1 Off Site Habitat Baseline'!$G$11:$G$258,'G-2 Habitat groups'!A12,'D-1 Off Site Habitat Baseline'!$S$11:$S$258)</f>
        <v>0</v>
      </c>
      <c r="V12" s="494">
        <f>SUMIF('D-1 Off Site Habitat Baseline'!$G$11:$G$258,'G-2 Habitat groups'!A12,'D-1 Off Site Habitat Baseline'!$U$11:$U$258)</f>
        <v>0</v>
      </c>
      <c r="W12" s="494">
        <f>SUMIF('D-2 Off Site Habitat Creation'!$F$9:$F$255,'G-2 Habitat groups'!A12,'D-2 Off Site Habitat Creation'!$G$9:$G$255)</f>
        <v>0</v>
      </c>
      <c r="X12" s="494">
        <f>SUMIF('D-2 Off Site Habitat Creation'!$F$9:$F$255,'G-2 Habitat groups'!A12,'D-2 Off Site Habitat Creation'!$AA$9:$AA$255)</f>
        <v>0</v>
      </c>
      <c r="Y12" s="494">
        <f>SUMIF('D-3 Off Site Habitat Enhancment'!$S$12:$S$491,'G-2 Habitat groups'!A12,'D-3 Off Site Habitat Enhancment'!$V$12:$V$491)</f>
        <v>0</v>
      </c>
      <c r="Z12" s="494">
        <f>SUMIF('D-3 Off Site Habitat Enhancment'!$S$12:$S$491,'G-2 Habitat groups'!A12,'D-3 Off Site Habitat Enhancment'!$AP$12:$AP$491)</f>
        <v>0</v>
      </c>
      <c r="AA12" s="494">
        <f t="shared" si="4"/>
        <v>0</v>
      </c>
      <c r="AB12" s="494">
        <f t="shared" si="5"/>
        <v>0</v>
      </c>
      <c r="AC12" s="494">
        <f t="shared" si="6"/>
        <v>0</v>
      </c>
      <c r="AD12" s="494">
        <f t="shared" si="7"/>
        <v>0</v>
      </c>
      <c r="AE12" s="494">
        <f t="shared" si="8"/>
        <v>0</v>
      </c>
      <c r="AF12" s="494">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4">
        <f t="shared" si="27"/>
        <v>0</v>
      </c>
      <c r="AX12" s="494">
        <f t="shared" si="28"/>
        <v>0</v>
      </c>
      <c r="AY12" s="494">
        <f t="shared" si="29"/>
        <v>0</v>
      </c>
      <c r="AZ12" s="494">
        <f t="shared" si="30"/>
        <v>0</v>
      </c>
      <c r="BA12" s="494">
        <f t="shared" si="31"/>
        <v>0</v>
      </c>
      <c r="BB12" s="494">
        <f t="shared" si="32"/>
        <v>0</v>
      </c>
      <c r="BC12" s="494">
        <f t="shared" si="33"/>
        <v>0</v>
      </c>
      <c r="BD12" s="494">
        <f t="shared" si="34"/>
        <v>0</v>
      </c>
      <c r="BE12" s="494">
        <f t="shared" si="35"/>
        <v>0</v>
      </c>
      <c r="BF12" s="494" t="str">
        <f t="shared" si="36"/>
        <v/>
      </c>
      <c r="BG12" s="586">
        <f t="shared" si="26"/>
        <v>0</v>
      </c>
    </row>
    <row r="13" spans="1:59" ht="14.4"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4">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4">
        <f>SUMIF('A-1 Site Habitat Baseline'!$G$11:$G$258,'G-2 Habitat groups'!A13,'A-1 Site Habitat Baseline'!$Q$11:$Q$258)</f>
        <v>0</v>
      </c>
      <c r="G13" s="494">
        <f>SUMIF('A-1 Site Habitat Baseline'!$G$11:$G$258,'G-2 Habitat groups'!A13,'A-1 Site Habitat Baseline'!$S$11:$S$258)</f>
        <v>0</v>
      </c>
      <c r="H13" s="494">
        <f>SUMIF('A-1 Site Habitat Baseline'!$G$11:$G$258,'G-2 Habitat groups'!A13,'A-1 Site Habitat Baseline'!$U$11:$U$258)</f>
        <v>0</v>
      </c>
      <c r="I13" s="494">
        <f>SUMIF('A-1 Site Habitat Baseline'!$G$11:$G$258,'G-2 Habitat groups'!A13,'A-1 Site Habitat Baseline'!$W$11:$W$258)</f>
        <v>0</v>
      </c>
      <c r="J13" s="494">
        <f>SUMIF('A-1 Site Habitat Baseline'!$G$11:$G$258,'G-2 Habitat groups'!A13,'A-1 Site Habitat Baseline'!$X$11:$X$258)</f>
        <v>0</v>
      </c>
      <c r="K13" s="494">
        <f>SUMIF('A-2 Site Habitat Creation'!$F$11:$F$256,'G-2 Habitat groups'!A13,'A-2 Site Habitat Creation'!$G$11:$G$256)</f>
        <v>0</v>
      </c>
      <c r="L13" s="494">
        <f>SUMIF('A-2 Site Habitat Creation'!$F$11:$F$256,'G-2 Habitat groups'!A13,'A-2 Site Habitat Creation'!$Y$11:$Y$256)</f>
        <v>0</v>
      </c>
      <c r="M13" s="494">
        <f>SUMIF('A-3 Site Habitat Enhancement'!$S$12:$S$257,'G-2 Habitat groups'!A13,'A-3 Site Habitat Enhancement'!$V$12:$V$257)</f>
        <v>0</v>
      </c>
      <c r="N13" s="494">
        <f>SUMIF('A-3 Site Habitat Enhancement'!$S$12:$S$257,'G-2 Habitat groups'!A13,'A-3 Site Habitat Enhancement'!$AN$12:$AN$257)</f>
        <v>0</v>
      </c>
      <c r="O13" s="494">
        <f t="shared" si="0"/>
        <v>0</v>
      </c>
      <c r="P13" s="494">
        <f t="shared" si="1"/>
        <v>0</v>
      </c>
      <c r="Q13" s="494">
        <f t="shared" si="2"/>
        <v>0</v>
      </c>
      <c r="R13" s="494">
        <f t="shared" si="3"/>
        <v>0</v>
      </c>
      <c r="S13" s="494">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4">
        <f>SUMIF('D-1 Off Site Habitat Baseline'!$G$11:$G$258,'G-2 Habitat groups'!A13,'D-1 Off Site Habitat Baseline'!$Q$11:$Q$258)</f>
        <v>0</v>
      </c>
      <c r="U13" s="591">
        <f>SUMIF('D-1 Off Site Habitat Baseline'!$G$11:$G$258,'G-2 Habitat groups'!A13,'D-1 Off Site Habitat Baseline'!$S$11:$S$258)</f>
        <v>0</v>
      </c>
      <c r="V13" s="494">
        <f>SUMIF('D-1 Off Site Habitat Baseline'!$G$11:$G$258,'G-2 Habitat groups'!A13,'D-1 Off Site Habitat Baseline'!$U$11:$U$258)</f>
        <v>0</v>
      </c>
      <c r="W13" s="494">
        <f>SUMIF('D-2 Off Site Habitat Creation'!$F$9:$F$255,'G-2 Habitat groups'!A13,'D-2 Off Site Habitat Creation'!$G$9:$G$255)</f>
        <v>0</v>
      </c>
      <c r="X13" s="494">
        <f>SUMIF('D-2 Off Site Habitat Creation'!$F$9:$F$255,'G-2 Habitat groups'!A13,'D-2 Off Site Habitat Creation'!$AA$9:$AA$255)</f>
        <v>0</v>
      </c>
      <c r="Y13" s="494">
        <f>SUMIF('D-3 Off Site Habitat Enhancment'!$S$12:$S$491,'G-2 Habitat groups'!A13,'D-3 Off Site Habitat Enhancment'!$V$12:$V$491)</f>
        <v>0</v>
      </c>
      <c r="Z13" s="494">
        <f>SUMIF('D-3 Off Site Habitat Enhancment'!$S$12:$S$491,'G-2 Habitat groups'!A13,'D-3 Off Site Habitat Enhancment'!$AP$12:$AP$491)</f>
        <v>0</v>
      </c>
      <c r="AA13" s="494">
        <f t="shared" si="4"/>
        <v>0</v>
      </c>
      <c r="AB13" s="494">
        <f t="shared" si="5"/>
        <v>0</v>
      </c>
      <c r="AC13" s="494">
        <f t="shared" si="6"/>
        <v>0</v>
      </c>
      <c r="AD13" s="494">
        <f t="shared" si="7"/>
        <v>0</v>
      </c>
      <c r="AE13" s="494">
        <f t="shared" si="8"/>
        <v>0</v>
      </c>
      <c r="AF13" s="494">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4">
        <f t="shared" si="27"/>
        <v>0</v>
      </c>
      <c r="AX13" s="494">
        <f t="shared" si="28"/>
        <v>0</v>
      </c>
      <c r="AY13" s="494">
        <f t="shared" si="29"/>
        <v>0</v>
      </c>
      <c r="AZ13" s="494">
        <f t="shared" si="30"/>
        <v>0</v>
      </c>
      <c r="BA13" s="494">
        <f t="shared" si="31"/>
        <v>0</v>
      </c>
      <c r="BB13" s="494">
        <f t="shared" si="32"/>
        <v>0</v>
      </c>
      <c r="BC13" s="494">
        <f t="shared" si="33"/>
        <v>0</v>
      </c>
      <c r="BD13" s="494">
        <f t="shared" si="34"/>
        <v>0</v>
      </c>
      <c r="BE13" s="494">
        <f t="shared" si="35"/>
        <v>0</v>
      </c>
      <c r="BF13" s="494" t="str">
        <f t="shared" si="36"/>
        <v/>
      </c>
      <c r="BG13" s="586">
        <f t="shared" si="26"/>
        <v>0</v>
      </c>
    </row>
    <row r="14" spans="1:59" ht="14.4" customHeight="1" x14ac:dyDescent="0.25">
      <c r="A14" s="104" t="str">
        <f>'G-1 All Habitats'!B13</f>
        <v>Grassland - Traditional orchards</v>
      </c>
      <c r="B14" s="88" t="str">
        <f>'G-1 All Habitats'!F13</f>
        <v>Grassland</v>
      </c>
      <c r="C14" s="88" t="str">
        <f>'G-1 All Habitats'!K13</f>
        <v>High</v>
      </c>
      <c r="D14" s="88" t="str">
        <f>'G-1 All Habitats'!M13</f>
        <v>Same habitat required =</v>
      </c>
      <c r="E14" s="494">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4">
        <f>SUMIF('A-1 Site Habitat Baseline'!$G$11:$G$258,'G-2 Habitat groups'!A14,'A-1 Site Habitat Baseline'!$Q$11:$Q$258)</f>
        <v>0</v>
      </c>
      <c r="G14" s="494">
        <f>SUMIF('A-1 Site Habitat Baseline'!$G$11:$G$258,'G-2 Habitat groups'!A14,'A-1 Site Habitat Baseline'!$S$11:$S$258)</f>
        <v>0</v>
      </c>
      <c r="H14" s="494">
        <f>SUMIF('A-1 Site Habitat Baseline'!$G$11:$G$258,'G-2 Habitat groups'!A14,'A-1 Site Habitat Baseline'!$U$11:$U$258)</f>
        <v>0</v>
      </c>
      <c r="I14" s="494">
        <f>SUMIF('A-1 Site Habitat Baseline'!$G$11:$G$258,'G-2 Habitat groups'!A14,'A-1 Site Habitat Baseline'!$W$11:$W$258)</f>
        <v>0</v>
      </c>
      <c r="J14" s="494">
        <f>SUMIF('A-1 Site Habitat Baseline'!$G$11:$G$258,'G-2 Habitat groups'!A14,'A-1 Site Habitat Baseline'!$X$11:$X$258)</f>
        <v>0</v>
      </c>
      <c r="K14" s="494">
        <f>SUMIF('A-2 Site Habitat Creation'!$F$11:$F$256,'G-2 Habitat groups'!A14,'A-2 Site Habitat Creation'!$G$11:$G$256)</f>
        <v>0</v>
      </c>
      <c r="L14" s="494">
        <f>SUMIF('A-2 Site Habitat Creation'!$F$11:$F$256,'G-2 Habitat groups'!A14,'A-2 Site Habitat Creation'!$Y$11:$Y$256)</f>
        <v>0</v>
      </c>
      <c r="M14" s="494">
        <f>SUMIF('A-3 Site Habitat Enhancement'!$S$12:$S$257,'G-2 Habitat groups'!A14,'A-3 Site Habitat Enhancement'!$V$12:$V$257)</f>
        <v>0</v>
      </c>
      <c r="N14" s="494">
        <f>SUMIF('A-3 Site Habitat Enhancement'!$S$12:$S$257,'G-2 Habitat groups'!A14,'A-3 Site Habitat Enhancement'!$AN$12:$AN$257)</f>
        <v>0</v>
      </c>
      <c r="O14" s="494">
        <f t="shared" si="0"/>
        <v>0</v>
      </c>
      <c r="P14" s="494">
        <f t="shared" si="1"/>
        <v>0</v>
      </c>
      <c r="Q14" s="494">
        <f t="shared" si="2"/>
        <v>0</v>
      </c>
      <c r="R14" s="494">
        <f t="shared" si="3"/>
        <v>0</v>
      </c>
      <c r="S14" s="494">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4">
        <f>SUMIF('D-1 Off Site Habitat Baseline'!$G$11:$G$258,'G-2 Habitat groups'!A14,'D-1 Off Site Habitat Baseline'!$Q$11:$Q$258)</f>
        <v>0</v>
      </c>
      <c r="U14" s="591">
        <f>SUMIF('D-1 Off Site Habitat Baseline'!$G$11:$G$258,'G-2 Habitat groups'!A14,'D-1 Off Site Habitat Baseline'!$S$11:$S$258)</f>
        <v>0</v>
      </c>
      <c r="V14" s="494">
        <f>SUMIF('D-1 Off Site Habitat Baseline'!$G$11:$G$258,'G-2 Habitat groups'!A14,'D-1 Off Site Habitat Baseline'!$U$11:$U$258)</f>
        <v>0</v>
      </c>
      <c r="W14" s="494">
        <f>SUMIF('D-2 Off Site Habitat Creation'!$F$9:$F$255,'G-2 Habitat groups'!A14,'D-2 Off Site Habitat Creation'!$G$9:$G$255)</f>
        <v>0</v>
      </c>
      <c r="X14" s="494">
        <f>SUMIF('D-2 Off Site Habitat Creation'!$F$9:$F$255,'G-2 Habitat groups'!A14,'D-2 Off Site Habitat Creation'!$AA$9:$AA$255)</f>
        <v>0</v>
      </c>
      <c r="Y14" s="494">
        <f>SUMIF('D-3 Off Site Habitat Enhancment'!$S$12:$S$491,'G-2 Habitat groups'!A14,'D-3 Off Site Habitat Enhancment'!$V$12:$V$491)</f>
        <v>0</v>
      </c>
      <c r="Z14" s="494">
        <f>SUMIF('D-3 Off Site Habitat Enhancment'!$S$12:$S$491,'G-2 Habitat groups'!A14,'D-3 Off Site Habitat Enhancment'!$AP$12:$AP$491)</f>
        <v>0</v>
      </c>
      <c r="AA14" s="494">
        <f t="shared" si="4"/>
        <v>0</v>
      </c>
      <c r="AB14" s="494">
        <f t="shared" si="5"/>
        <v>0</v>
      </c>
      <c r="AC14" s="494">
        <f t="shared" si="6"/>
        <v>0</v>
      </c>
      <c r="AD14" s="494">
        <f t="shared" si="7"/>
        <v>0</v>
      </c>
      <c r="AE14" s="494">
        <f t="shared" si="8"/>
        <v>0</v>
      </c>
      <c r="AF14" s="494">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4">
        <f t="shared" si="27"/>
        <v>0</v>
      </c>
      <c r="AX14" s="494">
        <f t="shared" si="28"/>
        <v>0</v>
      </c>
      <c r="AY14" s="494">
        <f t="shared" si="29"/>
        <v>0</v>
      </c>
      <c r="AZ14" s="494">
        <f t="shared" si="30"/>
        <v>0</v>
      </c>
      <c r="BA14" s="494">
        <f t="shared" si="31"/>
        <v>0</v>
      </c>
      <c r="BB14" s="494">
        <f t="shared" si="32"/>
        <v>0</v>
      </c>
      <c r="BC14" s="494">
        <f t="shared" si="33"/>
        <v>0</v>
      </c>
      <c r="BD14" s="494">
        <f t="shared" si="34"/>
        <v>0</v>
      </c>
      <c r="BE14" s="494">
        <f t="shared" si="35"/>
        <v>0</v>
      </c>
      <c r="BF14" s="494" t="str">
        <f t="shared" si="36"/>
        <v/>
      </c>
      <c r="BG14" s="586">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4">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4">
        <f>SUMIF('A-1 Site Habitat Baseline'!$G$11:$G$258,'G-2 Habitat groups'!A15,'A-1 Site Habitat Baseline'!$Q$11:$Q$258)</f>
        <v>0</v>
      </c>
      <c r="G15" s="494">
        <f>SUMIF('A-1 Site Habitat Baseline'!$G$11:$G$258,'G-2 Habitat groups'!A15,'A-1 Site Habitat Baseline'!$S$11:$S$258)</f>
        <v>0</v>
      </c>
      <c r="H15" s="494">
        <f>SUMIF('A-1 Site Habitat Baseline'!$G$11:$G$258,'G-2 Habitat groups'!A15,'A-1 Site Habitat Baseline'!$U$11:$U$258)</f>
        <v>0</v>
      </c>
      <c r="I15" s="494">
        <f>SUMIF('A-1 Site Habitat Baseline'!$G$11:$G$258,'G-2 Habitat groups'!A15,'A-1 Site Habitat Baseline'!$W$11:$W$258)</f>
        <v>0</v>
      </c>
      <c r="J15" s="494">
        <f>SUMIF('A-1 Site Habitat Baseline'!$G$11:$G$258,'G-2 Habitat groups'!A15,'A-1 Site Habitat Baseline'!$X$11:$X$258)</f>
        <v>0</v>
      </c>
      <c r="K15" s="494">
        <f>SUMIF('A-2 Site Habitat Creation'!$F$11:$F$256,'G-2 Habitat groups'!A15,'A-2 Site Habitat Creation'!$G$11:$G$256)</f>
        <v>0</v>
      </c>
      <c r="L15" s="494">
        <f>SUMIF('A-2 Site Habitat Creation'!$F$11:$F$256,'G-2 Habitat groups'!A15,'A-2 Site Habitat Creation'!$Y$11:$Y$256)</f>
        <v>0</v>
      </c>
      <c r="M15" s="494">
        <f>SUMIF('A-3 Site Habitat Enhancement'!$S$12:$S$257,'G-2 Habitat groups'!A15,'A-3 Site Habitat Enhancement'!$V$12:$V$257)</f>
        <v>0</v>
      </c>
      <c r="N15" s="494">
        <f>SUMIF('A-3 Site Habitat Enhancement'!$S$12:$S$257,'G-2 Habitat groups'!A15,'A-3 Site Habitat Enhancement'!$AN$12:$AN$257)</f>
        <v>0</v>
      </c>
      <c r="O15" s="494">
        <f t="shared" si="0"/>
        <v>0</v>
      </c>
      <c r="P15" s="494">
        <f t="shared" si="1"/>
        <v>0</v>
      </c>
      <c r="Q15" s="494">
        <f t="shared" si="2"/>
        <v>0</v>
      </c>
      <c r="R15" s="494">
        <f t="shared" si="3"/>
        <v>0</v>
      </c>
      <c r="S15" s="494">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4">
        <f>SUMIF('D-1 Off Site Habitat Baseline'!$G$11:$G$258,'G-2 Habitat groups'!A15,'D-1 Off Site Habitat Baseline'!$Q$11:$Q$258)</f>
        <v>0</v>
      </c>
      <c r="U15" s="591">
        <f>SUMIF('D-1 Off Site Habitat Baseline'!$G$11:$G$258,'G-2 Habitat groups'!A15,'D-1 Off Site Habitat Baseline'!$S$11:$S$258)</f>
        <v>0</v>
      </c>
      <c r="V15" s="494">
        <f>SUMIF('D-1 Off Site Habitat Baseline'!$G$11:$G$258,'G-2 Habitat groups'!A15,'D-1 Off Site Habitat Baseline'!$U$11:$U$258)</f>
        <v>0</v>
      </c>
      <c r="W15" s="494">
        <f>SUMIF('D-2 Off Site Habitat Creation'!$F$9:$F$255,'G-2 Habitat groups'!A15,'D-2 Off Site Habitat Creation'!$G$9:$G$255)</f>
        <v>0</v>
      </c>
      <c r="X15" s="494">
        <f>SUMIF('D-2 Off Site Habitat Creation'!$F$9:$F$255,'G-2 Habitat groups'!A15,'D-2 Off Site Habitat Creation'!$AA$9:$AA$255)</f>
        <v>0</v>
      </c>
      <c r="Y15" s="494">
        <f>SUMIF('D-3 Off Site Habitat Enhancment'!$S$12:$S$491,'G-2 Habitat groups'!A15,'D-3 Off Site Habitat Enhancment'!$V$12:$V$491)</f>
        <v>0</v>
      </c>
      <c r="Z15" s="494">
        <f>SUMIF('D-3 Off Site Habitat Enhancment'!$S$12:$S$491,'G-2 Habitat groups'!A15,'D-3 Off Site Habitat Enhancment'!$AP$12:$AP$491)</f>
        <v>0</v>
      </c>
      <c r="AA15" s="494">
        <f t="shared" si="4"/>
        <v>0</v>
      </c>
      <c r="AB15" s="494">
        <f t="shared" si="5"/>
        <v>0</v>
      </c>
      <c r="AC15" s="494">
        <f t="shared" si="6"/>
        <v>0</v>
      </c>
      <c r="AD15" s="494">
        <f t="shared" si="7"/>
        <v>0</v>
      </c>
      <c r="AE15" s="494">
        <f t="shared" si="8"/>
        <v>0</v>
      </c>
      <c r="AF15" s="494">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4">
        <f t="shared" si="27"/>
        <v>0</v>
      </c>
      <c r="AX15" s="494">
        <f t="shared" si="28"/>
        <v>0</v>
      </c>
      <c r="AY15" s="494">
        <f t="shared" si="29"/>
        <v>0</v>
      </c>
      <c r="AZ15" s="494">
        <f t="shared" si="30"/>
        <v>0</v>
      </c>
      <c r="BA15" s="494">
        <f t="shared" si="31"/>
        <v>0</v>
      </c>
      <c r="BB15" s="494">
        <f t="shared" si="32"/>
        <v>0</v>
      </c>
      <c r="BC15" s="494">
        <f t="shared" si="33"/>
        <v>0</v>
      </c>
      <c r="BD15" s="494">
        <f t="shared" si="34"/>
        <v>0</v>
      </c>
      <c r="BE15" s="494">
        <f t="shared" si="35"/>
        <v>0</v>
      </c>
      <c r="BF15" s="494" t="str">
        <f t="shared" si="36"/>
        <v/>
      </c>
      <c r="BG15" s="586">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4">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4">
        <f>SUMIF('A-1 Site Habitat Baseline'!$G$11:$G$258,'G-2 Habitat groups'!A16,'A-1 Site Habitat Baseline'!$Q$11:$Q$258)</f>
        <v>0</v>
      </c>
      <c r="G16" s="494">
        <f>SUMIF('A-1 Site Habitat Baseline'!$G$11:$G$258,'G-2 Habitat groups'!A16,'A-1 Site Habitat Baseline'!$S$11:$S$258)</f>
        <v>0</v>
      </c>
      <c r="H16" s="494">
        <f>SUMIF('A-1 Site Habitat Baseline'!$G$11:$G$258,'G-2 Habitat groups'!A16,'A-1 Site Habitat Baseline'!$U$11:$U$258)</f>
        <v>0</v>
      </c>
      <c r="I16" s="494">
        <f>SUMIF('A-1 Site Habitat Baseline'!$G$11:$G$258,'G-2 Habitat groups'!A16,'A-1 Site Habitat Baseline'!$W$11:$W$258)</f>
        <v>0</v>
      </c>
      <c r="J16" s="494">
        <f>SUMIF('A-1 Site Habitat Baseline'!$G$11:$G$258,'G-2 Habitat groups'!A16,'A-1 Site Habitat Baseline'!$X$11:$X$258)</f>
        <v>0</v>
      </c>
      <c r="K16" s="494">
        <f>SUMIF('A-2 Site Habitat Creation'!$F$11:$F$256,'G-2 Habitat groups'!A16,'A-2 Site Habitat Creation'!$G$11:$G$256)</f>
        <v>0</v>
      </c>
      <c r="L16" s="494">
        <f>SUMIF('A-2 Site Habitat Creation'!$F$11:$F$256,'G-2 Habitat groups'!A16,'A-2 Site Habitat Creation'!$Y$11:$Y$256)</f>
        <v>0</v>
      </c>
      <c r="M16" s="494">
        <f>SUMIF('A-3 Site Habitat Enhancement'!$S$12:$S$257,'G-2 Habitat groups'!A16,'A-3 Site Habitat Enhancement'!$V$12:$V$257)</f>
        <v>0</v>
      </c>
      <c r="N16" s="494">
        <f>SUMIF('A-3 Site Habitat Enhancement'!$S$12:$S$257,'G-2 Habitat groups'!A16,'A-3 Site Habitat Enhancement'!$AN$12:$AN$257)</f>
        <v>0</v>
      </c>
      <c r="O16" s="494">
        <f t="shared" si="0"/>
        <v>0</v>
      </c>
      <c r="P16" s="494">
        <f t="shared" si="1"/>
        <v>0</v>
      </c>
      <c r="Q16" s="494">
        <f t="shared" si="2"/>
        <v>0</v>
      </c>
      <c r="R16" s="494">
        <f t="shared" si="3"/>
        <v>0</v>
      </c>
      <c r="S16" s="494">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4">
        <f>SUMIF('D-1 Off Site Habitat Baseline'!$G$11:$G$258,'G-2 Habitat groups'!A16,'D-1 Off Site Habitat Baseline'!$Q$11:$Q$258)</f>
        <v>0</v>
      </c>
      <c r="U16" s="591">
        <f>SUMIF('D-1 Off Site Habitat Baseline'!$G$11:$G$258,'G-2 Habitat groups'!A16,'D-1 Off Site Habitat Baseline'!$S$11:$S$258)</f>
        <v>0</v>
      </c>
      <c r="V16" s="494">
        <f>SUMIF('D-1 Off Site Habitat Baseline'!$G$11:$G$258,'G-2 Habitat groups'!A16,'D-1 Off Site Habitat Baseline'!$U$11:$U$258)</f>
        <v>0</v>
      </c>
      <c r="W16" s="494">
        <f>SUMIF('D-2 Off Site Habitat Creation'!$F$9:$F$255,'G-2 Habitat groups'!A16,'D-2 Off Site Habitat Creation'!$G$9:$G$255)</f>
        <v>0</v>
      </c>
      <c r="X16" s="494">
        <f>SUMIF('D-2 Off Site Habitat Creation'!$F$9:$F$255,'G-2 Habitat groups'!A16,'D-2 Off Site Habitat Creation'!$AA$9:$AA$255)</f>
        <v>0</v>
      </c>
      <c r="Y16" s="494">
        <f>SUMIF('D-3 Off Site Habitat Enhancment'!$S$12:$S$491,'G-2 Habitat groups'!A16,'D-3 Off Site Habitat Enhancment'!$V$12:$V$491)</f>
        <v>0</v>
      </c>
      <c r="Z16" s="494">
        <f>SUMIF('D-3 Off Site Habitat Enhancment'!$S$12:$S$491,'G-2 Habitat groups'!A16,'D-3 Off Site Habitat Enhancment'!$AP$12:$AP$491)</f>
        <v>0</v>
      </c>
      <c r="AA16" s="494">
        <f t="shared" si="4"/>
        <v>0</v>
      </c>
      <c r="AB16" s="494">
        <f t="shared" si="5"/>
        <v>0</v>
      </c>
      <c r="AC16" s="494">
        <f t="shared" si="6"/>
        <v>0</v>
      </c>
      <c r="AD16" s="494">
        <f t="shared" si="7"/>
        <v>0</v>
      </c>
      <c r="AE16" s="494">
        <f t="shared" si="8"/>
        <v>0</v>
      </c>
      <c r="AF16" s="494">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4">
        <f t="shared" si="27"/>
        <v>0</v>
      </c>
      <c r="AX16" s="494">
        <f t="shared" si="28"/>
        <v>0</v>
      </c>
      <c r="AY16" s="494">
        <f t="shared" si="29"/>
        <v>0</v>
      </c>
      <c r="AZ16" s="494">
        <f t="shared" si="30"/>
        <v>0</v>
      </c>
      <c r="BA16" s="494">
        <f t="shared" si="31"/>
        <v>0</v>
      </c>
      <c r="BB16" s="494">
        <f t="shared" si="32"/>
        <v>0</v>
      </c>
      <c r="BC16" s="494">
        <f t="shared" si="33"/>
        <v>0</v>
      </c>
      <c r="BD16" s="494">
        <f t="shared" si="34"/>
        <v>0</v>
      </c>
      <c r="BE16" s="494">
        <f t="shared" si="35"/>
        <v>0</v>
      </c>
      <c r="BF16" s="494" t="str">
        <f t="shared" si="36"/>
        <v/>
      </c>
      <c r="BG16" s="586">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4">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4">
        <f>SUMIF('A-1 Site Habitat Baseline'!$G$11:$G$258,'G-2 Habitat groups'!A17,'A-1 Site Habitat Baseline'!$Q$11:$Q$258)</f>
        <v>0</v>
      </c>
      <c r="G17" s="494">
        <f>SUMIF('A-1 Site Habitat Baseline'!$G$11:$G$258,'G-2 Habitat groups'!A17,'A-1 Site Habitat Baseline'!$S$11:$S$258)</f>
        <v>0</v>
      </c>
      <c r="H17" s="494">
        <f>SUMIF('A-1 Site Habitat Baseline'!$G$11:$G$258,'G-2 Habitat groups'!A17,'A-1 Site Habitat Baseline'!$U$11:$U$258)</f>
        <v>0</v>
      </c>
      <c r="I17" s="494">
        <f>SUMIF('A-1 Site Habitat Baseline'!$G$11:$G$258,'G-2 Habitat groups'!A17,'A-1 Site Habitat Baseline'!$W$11:$W$258)</f>
        <v>0</v>
      </c>
      <c r="J17" s="494">
        <f>SUMIF('A-1 Site Habitat Baseline'!$G$11:$G$258,'G-2 Habitat groups'!A17,'A-1 Site Habitat Baseline'!$X$11:$X$258)</f>
        <v>0</v>
      </c>
      <c r="K17" s="494">
        <f>SUMIF('A-2 Site Habitat Creation'!$F$11:$F$256,'G-2 Habitat groups'!A17,'A-2 Site Habitat Creation'!$G$11:$G$256)</f>
        <v>0</v>
      </c>
      <c r="L17" s="494">
        <f>SUMIF('A-2 Site Habitat Creation'!$F$11:$F$256,'G-2 Habitat groups'!A17,'A-2 Site Habitat Creation'!$Y$11:$Y$256)</f>
        <v>0</v>
      </c>
      <c r="M17" s="494">
        <f>SUMIF('A-3 Site Habitat Enhancement'!$S$12:$S$257,'G-2 Habitat groups'!A17,'A-3 Site Habitat Enhancement'!$V$12:$V$257)</f>
        <v>0</v>
      </c>
      <c r="N17" s="494">
        <f>SUMIF('A-3 Site Habitat Enhancement'!$S$12:$S$257,'G-2 Habitat groups'!A17,'A-3 Site Habitat Enhancement'!$AN$12:$AN$257)</f>
        <v>0</v>
      </c>
      <c r="O17" s="494">
        <f t="shared" si="0"/>
        <v>0</v>
      </c>
      <c r="P17" s="494">
        <f t="shared" si="1"/>
        <v>0</v>
      </c>
      <c r="Q17" s="494">
        <f t="shared" si="2"/>
        <v>0</v>
      </c>
      <c r="R17" s="494">
        <f t="shared" si="3"/>
        <v>0</v>
      </c>
      <c r="S17" s="494">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4">
        <f>SUMIF('D-1 Off Site Habitat Baseline'!$G$11:$G$258,'G-2 Habitat groups'!A17,'D-1 Off Site Habitat Baseline'!$Q$11:$Q$258)</f>
        <v>0</v>
      </c>
      <c r="U17" s="591">
        <f>SUMIF('D-1 Off Site Habitat Baseline'!$G$11:$G$258,'G-2 Habitat groups'!A17,'D-1 Off Site Habitat Baseline'!$S$11:$S$258)</f>
        <v>0</v>
      </c>
      <c r="V17" s="494">
        <f>SUMIF('D-1 Off Site Habitat Baseline'!$G$11:$G$258,'G-2 Habitat groups'!A17,'D-1 Off Site Habitat Baseline'!$U$11:$U$258)</f>
        <v>0</v>
      </c>
      <c r="W17" s="494">
        <f>SUMIF('D-2 Off Site Habitat Creation'!$F$9:$F$255,'G-2 Habitat groups'!A17,'D-2 Off Site Habitat Creation'!$G$9:$G$255)</f>
        <v>0</v>
      </c>
      <c r="X17" s="494">
        <f>SUMIF('D-2 Off Site Habitat Creation'!$F$9:$F$255,'G-2 Habitat groups'!A17,'D-2 Off Site Habitat Creation'!$AA$9:$AA$255)</f>
        <v>0</v>
      </c>
      <c r="Y17" s="494">
        <f>SUMIF('D-3 Off Site Habitat Enhancment'!$S$12:$S$491,'G-2 Habitat groups'!A17,'D-3 Off Site Habitat Enhancment'!$V$12:$V$491)</f>
        <v>0</v>
      </c>
      <c r="Z17" s="494">
        <f>SUMIF('D-3 Off Site Habitat Enhancment'!$S$12:$S$491,'G-2 Habitat groups'!A17,'D-3 Off Site Habitat Enhancment'!$AP$12:$AP$491)</f>
        <v>0</v>
      </c>
      <c r="AA17" s="494">
        <f t="shared" si="4"/>
        <v>0</v>
      </c>
      <c r="AB17" s="494">
        <f t="shared" si="5"/>
        <v>0</v>
      </c>
      <c r="AC17" s="494">
        <f t="shared" si="6"/>
        <v>0</v>
      </c>
      <c r="AD17" s="494">
        <f t="shared" si="7"/>
        <v>0</v>
      </c>
      <c r="AE17" s="494">
        <f t="shared" si="8"/>
        <v>0</v>
      </c>
      <c r="AF17" s="494">
        <f t="shared" si="9"/>
        <v>0</v>
      </c>
      <c r="AU17" s="119" t="s">
        <v>662</v>
      </c>
      <c r="AV17" s="88" t="s">
        <v>75</v>
      </c>
      <c r="AW17" s="494">
        <f t="shared" si="27"/>
        <v>0</v>
      </c>
      <c r="AX17" s="494">
        <f t="shared" si="28"/>
        <v>0</v>
      </c>
      <c r="AY17" s="494">
        <f t="shared" si="29"/>
        <v>0</v>
      </c>
      <c r="AZ17" s="494">
        <f t="shared" si="30"/>
        <v>0</v>
      </c>
      <c r="BA17" s="494">
        <f t="shared" si="31"/>
        <v>0</v>
      </c>
      <c r="BB17" s="494">
        <f t="shared" si="32"/>
        <v>0</v>
      </c>
      <c r="BC17" s="494">
        <f t="shared" si="33"/>
        <v>0</v>
      </c>
      <c r="BD17" s="494">
        <f t="shared" si="34"/>
        <v>0</v>
      </c>
      <c r="BE17" s="494">
        <f t="shared" si="35"/>
        <v>0</v>
      </c>
      <c r="BF17" s="494" t="str">
        <f t="shared" si="36"/>
        <v/>
      </c>
      <c r="BG17" s="586">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4">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4">
        <f>SUMIF('A-1 Site Habitat Baseline'!$G$11:$G$258,'G-2 Habitat groups'!A18,'A-1 Site Habitat Baseline'!$Q$11:$Q$258)</f>
        <v>0</v>
      </c>
      <c r="G18" s="494">
        <f>SUMIF('A-1 Site Habitat Baseline'!$G$11:$G$258,'G-2 Habitat groups'!A18,'A-1 Site Habitat Baseline'!$S$11:$S$258)</f>
        <v>0</v>
      </c>
      <c r="H18" s="494">
        <f>SUMIF('A-1 Site Habitat Baseline'!$G$11:$G$258,'G-2 Habitat groups'!A18,'A-1 Site Habitat Baseline'!$U$11:$U$258)</f>
        <v>0</v>
      </c>
      <c r="I18" s="494">
        <f>SUMIF('A-1 Site Habitat Baseline'!$G$11:$G$258,'G-2 Habitat groups'!A18,'A-1 Site Habitat Baseline'!$W$11:$W$258)</f>
        <v>0</v>
      </c>
      <c r="J18" s="494">
        <f>SUMIF('A-1 Site Habitat Baseline'!$G$11:$G$258,'G-2 Habitat groups'!A18,'A-1 Site Habitat Baseline'!$X$11:$X$258)</f>
        <v>0</v>
      </c>
      <c r="K18" s="494">
        <f>SUMIF('A-2 Site Habitat Creation'!$F$11:$F$256,'G-2 Habitat groups'!A18,'A-2 Site Habitat Creation'!$G$11:$G$256)</f>
        <v>0</v>
      </c>
      <c r="L18" s="494">
        <f>SUMIF('A-2 Site Habitat Creation'!$F$11:$F$256,'G-2 Habitat groups'!A18,'A-2 Site Habitat Creation'!$Y$11:$Y$256)</f>
        <v>0</v>
      </c>
      <c r="M18" s="494">
        <f>SUMIF('A-3 Site Habitat Enhancement'!$S$12:$S$257,'G-2 Habitat groups'!A18,'A-3 Site Habitat Enhancement'!$V$12:$V$257)</f>
        <v>0</v>
      </c>
      <c r="N18" s="494">
        <f>SUMIF('A-3 Site Habitat Enhancement'!$S$12:$S$257,'G-2 Habitat groups'!A18,'A-3 Site Habitat Enhancement'!$AN$12:$AN$257)</f>
        <v>0</v>
      </c>
      <c r="O18" s="494">
        <f t="shared" si="0"/>
        <v>0</v>
      </c>
      <c r="P18" s="494">
        <f t="shared" si="1"/>
        <v>0</v>
      </c>
      <c r="Q18" s="494">
        <f t="shared" si="2"/>
        <v>0</v>
      </c>
      <c r="R18" s="494">
        <f t="shared" si="3"/>
        <v>0</v>
      </c>
      <c r="S18" s="494">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4">
        <f>SUMIF('D-1 Off Site Habitat Baseline'!$G$11:$G$258,'G-2 Habitat groups'!A18,'D-1 Off Site Habitat Baseline'!$Q$11:$Q$258)</f>
        <v>0</v>
      </c>
      <c r="U18" s="591">
        <f>SUMIF('D-1 Off Site Habitat Baseline'!$G$11:$G$258,'G-2 Habitat groups'!A18,'D-1 Off Site Habitat Baseline'!$S$11:$S$258)</f>
        <v>0</v>
      </c>
      <c r="V18" s="494">
        <f>SUMIF('D-1 Off Site Habitat Baseline'!$G$11:$G$258,'G-2 Habitat groups'!A18,'D-1 Off Site Habitat Baseline'!$U$11:$U$258)</f>
        <v>0</v>
      </c>
      <c r="W18" s="494">
        <f>SUMIF('D-2 Off Site Habitat Creation'!$F$9:$F$255,'G-2 Habitat groups'!A18,'D-2 Off Site Habitat Creation'!$G$9:$G$255)</f>
        <v>0</v>
      </c>
      <c r="X18" s="494">
        <f>SUMIF('D-2 Off Site Habitat Creation'!$F$9:$F$255,'G-2 Habitat groups'!A18,'D-2 Off Site Habitat Creation'!$AA$9:$AA$255)</f>
        <v>0</v>
      </c>
      <c r="Y18" s="494">
        <f>SUMIF('D-3 Off Site Habitat Enhancment'!$S$12:$S$491,'G-2 Habitat groups'!A18,'D-3 Off Site Habitat Enhancment'!$V$12:$V$491)</f>
        <v>0</v>
      </c>
      <c r="Z18" s="494">
        <f>SUMIF('D-3 Off Site Habitat Enhancment'!$S$12:$S$491,'G-2 Habitat groups'!A18,'D-3 Off Site Habitat Enhancment'!$AP$12:$AP$491)</f>
        <v>0</v>
      </c>
      <c r="AA18" s="494">
        <f t="shared" si="4"/>
        <v>0</v>
      </c>
      <c r="AB18" s="494">
        <f t="shared" si="5"/>
        <v>0</v>
      </c>
      <c r="AC18" s="494">
        <f t="shared" si="6"/>
        <v>0</v>
      </c>
      <c r="AD18" s="494">
        <f t="shared" si="7"/>
        <v>0</v>
      </c>
      <c r="AE18" s="494">
        <f t="shared" si="8"/>
        <v>0</v>
      </c>
      <c r="AF18" s="494">
        <f t="shared" si="9"/>
        <v>0</v>
      </c>
      <c r="AU18" s="119" t="s">
        <v>668</v>
      </c>
      <c r="AV18" s="88" t="s">
        <v>75</v>
      </c>
      <c r="AW18" s="494">
        <f t="shared" si="27"/>
        <v>0</v>
      </c>
      <c r="AX18" s="494">
        <f t="shared" si="28"/>
        <v>0</v>
      </c>
      <c r="AY18" s="494">
        <f t="shared" si="29"/>
        <v>0</v>
      </c>
      <c r="AZ18" s="494">
        <f t="shared" si="30"/>
        <v>0</v>
      </c>
      <c r="BA18" s="494">
        <f t="shared" si="31"/>
        <v>0</v>
      </c>
      <c r="BB18" s="494">
        <f t="shared" si="32"/>
        <v>0</v>
      </c>
      <c r="BC18" s="494">
        <f t="shared" si="33"/>
        <v>0</v>
      </c>
      <c r="BD18" s="494">
        <f t="shared" si="34"/>
        <v>0</v>
      </c>
      <c r="BE18" s="494">
        <f t="shared" si="35"/>
        <v>0</v>
      </c>
      <c r="BF18" s="494" t="str">
        <f t="shared" si="36"/>
        <v/>
      </c>
      <c r="BG18" s="586">
        <f t="shared" si="26"/>
        <v>0</v>
      </c>
    </row>
    <row r="19" spans="1:59" ht="31.2"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4">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4">
        <f>SUMIF('A-1 Site Habitat Baseline'!$G$11:$G$258,'G-2 Habitat groups'!A19,'A-1 Site Habitat Baseline'!$Q$11:$Q$258)</f>
        <v>0</v>
      </c>
      <c r="G19" s="494">
        <f>SUMIF('A-1 Site Habitat Baseline'!$G$11:$G$258,'G-2 Habitat groups'!A19,'A-1 Site Habitat Baseline'!$S$11:$S$258)</f>
        <v>0</v>
      </c>
      <c r="H19" s="494">
        <f>SUMIF('A-1 Site Habitat Baseline'!$G$11:$G$258,'G-2 Habitat groups'!A19,'A-1 Site Habitat Baseline'!$U$11:$U$258)</f>
        <v>0</v>
      </c>
      <c r="I19" s="494">
        <f>SUMIF('A-1 Site Habitat Baseline'!$G$11:$G$258,'G-2 Habitat groups'!A19,'A-1 Site Habitat Baseline'!$W$11:$W$258)</f>
        <v>0</v>
      </c>
      <c r="J19" s="494">
        <f>SUMIF('A-1 Site Habitat Baseline'!$G$11:$G$258,'G-2 Habitat groups'!A19,'A-1 Site Habitat Baseline'!$X$11:$X$258)</f>
        <v>0</v>
      </c>
      <c r="K19" s="494">
        <f>SUMIF('A-2 Site Habitat Creation'!$F$11:$F$256,'G-2 Habitat groups'!A19,'A-2 Site Habitat Creation'!$G$11:$G$256)</f>
        <v>0</v>
      </c>
      <c r="L19" s="494">
        <f>SUMIF('A-2 Site Habitat Creation'!$F$11:$F$256,'G-2 Habitat groups'!A19,'A-2 Site Habitat Creation'!$Y$11:$Y$256)</f>
        <v>0</v>
      </c>
      <c r="M19" s="494">
        <f>SUMIF('A-3 Site Habitat Enhancement'!$S$12:$S$257,'G-2 Habitat groups'!A19,'A-3 Site Habitat Enhancement'!$V$12:$V$257)</f>
        <v>0</v>
      </c>
      <c r="N19" s="494">
        <f>SUMIF('A-3 Site Habitat Enhancement'!$S$12:$S$257,'G-2 Habitat groups'!A19,'A-3 Site Habitat Enhancement'!$AN$12:$AN$257)</f>
        <v>0</v>
      </c>
      <c r="O19" s="494">
        <f t="shared" si="0"/>
        <v>0</v>
      </c>
      <c r="P19" s="494">
        <f t="shared" si="1"/>
        <v>0</v>
      </c>
      <c r="Q19" s="494">
        <f t="shared" si="2"/>
        <v>0</v>
      </c>
      <c r="R19" s="494">
        <f t="shared" si="3"/>
        <v>0</v>
      </c>
      <c r="S19" s="494">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4">
        <f>SUMIF('D-1 Off Site Habitat Baseline'!$G$11:$G$258,'G-2 Habitat groups'!A19,'D-1 Off Site Habitat Baseline'!$Q$11:$Q$258)</f>
        <v>0</v>
      </c>
      <c r="U19" s="591">
        <f>SUMIF('D-1 Off Site Habitat Baseline'!$G$11:$G$258,'G-2 Habitat groups'!A19,'D-1 Off Site Habitat Baseline'!$S$11:$S$258)</f>
        <v>0</v>
      </c>
      <c r="V19" s="494">
        <f>SUMIF('D-1 Off Site Habitat Baseline'!$G$11:$G$258,'G-2 Habitat groups'!A19,'D-1 Off Site Habitat Baseline'!$U$11:$U$258)</f>
        <v>0</v>
      </c>
      <c r="W19" s="494">
        <f>SUMIF('D-2 Off Site Habitat Creation'!$F$9:$F$255,'G-2 Habitat groups'!A19,'D-2 Off Site Habitat Creation'!$G$9:$G$255)</f>
        <v>0</v>
      </c>
      <c r="X19" s="494">
        <f>SUMIF('D-2 Off Site Habitat Creation'!$F$9:$F$255,'G-2 Habitat groups'!A19,'D-2 Off Site Habitat Creation'!$AA$9:$AA$255)</f>
        <v>0</v>
      </c>
      <c r="Y19" s="494">
        <f>SUMIF('D-3 Off Site Habitat Enhancment'!$S$12:$S$491,'G-2 Habitat groups'!A19,'D-3 Off Site Habitat Enhancment'!$V$12:$V$491)</f>
        <v>0</v>
      </c>
      <c r="Z19" s="494">
        <f>SUMIF('D-3 Off Site Habitat Enhancment'!$S$12:$S$491,'G-2 Habitat groups'!A19,'D-3 Off Site Habitat Enhancment'!$AP$12:$AP$491)</f>
        <v>0</v>
      </c>
      <c r="AA19" s="494">
        <f t="shared" si="4"/>
        <v>0</v>
      </c>
      <c r="AB19" s="494">
        <f t="shared" si="5"/>
        <v>0</v>
      </c>
      <c r="AC19" s="494">
        <f t="shared" si="6"/>
        <v>0</v>
      </c>
      <c r="AD19" s="494">
        <f t="shared" si="7"/>
        <v>0</v>
      </c>
      <c r="AE19" s="494">
        <f t="shared" si="8"/>
        <v>0</v>
      </c>
      <c r="AF19" s="494">
        <f t="shared" si="9"/>
        <v>0</v>
      </c>
      <c r="AJ19" s="127" t="s">
        <v>862</v>
      </c>
      <c r="AK19" s="127" t="s">
        <v>851</v>
      </c>
      <c r="AL19" s="127" t="s">
        <v>852</v>
      </c>
      <c r="AM19" s="127" t="s">
        <v>857</v>
      </c>
      <c r="AN19" s="127" t="s">
        <v>863</v>
      </c>
      <c r="AO19" s="127" t="s">
        <v>864</v>
      </c>
      <c r="AP19" s="127" t="s">
        <v>865</v>
      </c>
      <c r="AU19" s="119" t="s">
        <v>712</v>
      </c>
      <c r="AV19" s="119" t="s">
        <v>76</v>
      </c>
      <c r="AW19" s="592">
        <f t="shared" si="27"/>
        <v>0</v>
      </c>
      <c r="AX19" s="592">
        <f t="shared" si="28"/>
        <v>0</v>
      </c>
      <c r="AY19" s="592">
        <f t="shared" si="29"/>
        <v>0</v>
      </c>
      <c r="AZ19" s="592">
        <f t="shared" si="30"/>
        <v>0</v>
      </c>
      <c r="BA19" s="592">
        <f t="shared" si="31"/>
        <v>0</v>
      </c>
      <c r="BB19" s="592">
        <f t="shared" si="32"/>
        <v>0</v>
      </c>
      <c r="BC19" s="592">
        <f t="shared" si="33"/>
        <v>0</v>
      </c>
      <c r="BD19" s="592">
        <f t="shared" si="34"/>
        <v>0</v>
      </c>
      <c r="BE19" s="592">
        <f t="shared" si="35"/>
        <v>0</v>
      </c>
      <c r="BF19" s="592" t="str">
        <f t="shared" si="36"/>
        <v/>
      </c>
      <c r="BG19" s="657">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4">
        <f>IF(C20="V.High",SUMIF('A-1 Site Habitat Baseline'!$G$11:$G$258,'G-2 Habitat groups'!A20,'A-1 Site Habitat Baseline'!$S$11:$S$258)+SUMIF('A-1 Site Habitat Baseline'!$G$11:$G$258,'G-2 Habitat groups'!A20,'A-1 Site Habitat Baseline'!$T$11:$T$258),SUMIF('A-1 Site Habitat Baseline'!$G$11:$G$258,'G-2 Habitat groups'!A20,'A-1 Site Habitat Baseline'!$H$11:$H$258))</f>
        <v>7.3499999999999996E-2</v>
      </c>
      <c r="F20" s="494">
        <f>SUMIF('A-1 Site Habitat Baseline'!$G$11:$G$258,'G-2 Habitat groups'!A20,'A-1 Site Habitat Baseline'!$Q$11:$Q$258)</f>
        <v>0.16904999999999998</v>
      </c>
      <c r="G20" s="494">
        <f>SUMIF('A-1 Site Habitat Baseline'!$G$11:$G$258,'G-2 Habitat groups'!A20,'A-1 Site Habitat Baseline'!$S$11:$S$258)</f>
        <v>0</v>
      </c>
      <c r="H20" s="494">
        <f>SUMIF('A-1 Site Habitat Baseline'!$G$11:$G$258,'G-2 Habitat groups'!A20,'A-1 Site Habitat Baseline'!$U$11:$U$258)</f>
        <v>0</v>
      </c>
      <c r="I20" s="494">
        <f>SUMIF('A-1 Site Habitat Baseline'!$G$11:$G$258,'G-2 Habitat groups'!A20,'A-1 Site Habitat Baseline'!$W$11:$W$258)</f>
        <v>7.3499999999999996E-2</v>
      </c>
      <c r="J20" s="494">
        <f>SUMIF('A-1 Site Habitat Baseline'!$G$11:$G$258,'G-2 Habitat groups'!A20,'A-1 Site Habitat Baseline'!$X$11:$X$258)</f>
        <v>0.16904999999999998</v>
      </c>
      <c r="K20" s="494">
        <f>SUMIF('A-2 Site Habitat Creation'!$F$11:$F$256,'G-2 Habitat groups'!A20,'A-2 Site Habitat Creation'!$G$11:$G$256)</f>
        <v>0</v>
      </c>
      <c r="L20" s="494">
        <f>SUMIF('A-2 Site Habitat Creation'!$F$11:$F$256,'G-2 Habitat groups'!A20,'A-2 Site Habitat Creation'!$Y$11:$Y$256)</f>
        <v>0</v>
      </c>
      <c r="M20" s="494">
        <f>SUMIF('A-3 Site Habitat Enhancement'!$S$12:$S$257,'G-2 Habitat groups'!A20,'A-3 Site Habitat Enhancement'!$V$12:$V$257)</f>
        <v>0</v>
      </c>
      <c r="N20" s="494">
        <f>SUMIF('A-3 Site Habitat Enhancement'!$S$12:$S$257,'G-2 Habitat groups'!A20,'A-3 Site Habitat Enhancement'!$AN$12:$AN$257)</f>
        <v>0</v>
      </c>
      <c r="O20" s="494">
        <f t="shared" si="0"/>
        <v>0</v>
      </c>
      <c r="P20" s="494">
        <f t="shared" si="1"/>
        <v>0</v>
      </c>
      <c r="Q20" s="494">
        <f t="shared" si="2"/>
        <v>-7.3499999999999996E-2</v>
      </c>
      <c r="R20" s="494">
        <f t="shared" si="3"/>
        <v>-0.16904999999999998</v>
      </c>
      <c r="S20" s="494">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4">
        <f>SUMIF('D-1 Off Site Habitat Baseline'!$G$11:$G$258,'G-2 Habitat groups'!A20,'D-1 Off Site Habitat Baseline'!$Q$11:$Q$258)</f>
        <v>0</v>
      </c>
      <c r="U20" s="591">
        <f>SUMIF('D-1 Off Site Habitat Baseline'!$G$11:$G$258,'G-2 Habitat groups'!A20,'D-1 Off Site Habitat Baseline'!$S$11:$S$258)</f>
        <v>0</v>
      </c>
      <c r="V20" s="494">
        <f>SUMIF('D-1 Off Site Habitat Baseline'!$G$11:$G$258,'G-2 Habitat groups'!A20,'D-1 Off Site Habitat Baseline'!$U$11:$U$258)</f>
        <v>0</v>
      </c>
      <c r="W20" s="494">
        <f>SUMIF('D-2 Off Site Habitat Creation'!$F$9:$F$255,'G-2 Habitat groups'!A20,'D-2 Off Site Habitat Creation'!$G$9:$G$255)</f>
        <v>0</v>
      </c>
      <c r="X20" s="494">
        <f>SUMIF('D-2 Off Site Habitat Creation'!$F$9:$F$255,'G-2 Habitat groups'!A20,'D-2 Off Site Habitat Creation'!$AA$9:$AA$255)</f>
        <v>0</v>
      </c>
      <c r="Y20" s="494">
        <f>SUMIF('D-3 Off Site Habitat Enhancment'!$S$12:$S$491,'G-2 Habitat groups'!A20,'D-3 Off Site Habitat Enhancment'!$V$12:$V$491)</f>
        <v>0</v>
      </c>
      <c r="Z20" s="494">
        <f>SUMIF('D-3 Off Site Habitat Enhancment'!$S$12:$S$491,'G-2 Habitat groups'!A20,'D-3 Off Site Habitat Enhancment'!$AP$12:$AP$491)</f>
        <v>0</v>
      </c>
      <c r="AA20" s="494">
        <f t="shared" si="4"/>
        <v>0</v>
      </c>
      <c r="AB20" s="494">
        <f t="shared" si="5"/>
        <v>0</v>
      </c>
      <c r="AC20" s="494">
        <f t="shared" si="6"/>
        <v>0</v>
      </c>
      <c r="AD20" s="494">
        <f t="shared" si="7"/>
        <v>0</v>
      </c>
      <c r="AE20" s="494">
        <f t="shared" si="8"/>
        <v>-7.3499999999999996E-2</v>
      </c>
      <c r="AF20" s="494">
        <f t="shared" si="9"/>
        <v>-0.16904999999999998</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4">
        <f t="shared" si="27"/>
        <v>0</v>
      </c>
      <c r="AX20" s="494">
        <f t="shared" si="28"/>
        <v>0</v>
      </c>
      <c r="AY20" s="494">
        <f t="shared" si="29"/>
        <v>0</v>
      </c>
      <c r="AZ20" s="494">
        <f t="shared" si="30"/>
        <v>0</v>
      </c>
      <c r="BA20" s="494">
        <f t="shared" si="31"/>
        <v>0</v>
      </c>
      <c r="BB20" s="494">
        <f t="shared" si="32"/>
        <v>0</v>
      </c>
      <c r="BC20" s="494">
        <f t="shared" si="33"/>
        <v>0</v>
      </c>
      <c r="BD20" s="494">
        <f t="shared" si="34"/>
        <v>0</v>
      </c>
      <c r="BE20" s="494">
        <f t="shared" si="35"/>
        <v>0</v>
      </c>
      <c r="BF20" s="494" t="str">
        <f t="shared" si="36"/>
        <v/>
      </c>
      <c r="BG20" s="586">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4">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4">
        <f>SUMIF('A-1 Site Habitat Baseline'!$G$11:$G$258,'G-2 Habitat groups'!A21,'A-1 Site Habitat Baseline'!$Q$11:$Q$258)</f>
        <v>0</v>
      </c>
      <c r="G21" s="494">
        <f>SUMIF('A-1 Site Habitat Baseline'!$G$11:$G$258,'G-2 Habitat groups'!A21,'A-1 Site Habitat Baseline'!$S$11:$S$258)</f>
        <v>0</v>
      </c>
      <c r="H21" s="494">
        <f>SUMIF('A-1 Site Habitat Baseline'!$G$11:$G$258,'G-2 Habitat groups'!A21,'A-1 Site Habitat Baseline'!$U$11:$U$258)</f>
        <v>0</v>
      </c>
      <c r="I21" s="494">
        <f>SUMIF('A-1 Site Habitat Baseline'!$G$11:$G$258,'G-2 Habitat groups'!A21,'A-1 Site Habitat Baseline'!$W$11:$W$258)</f>
        <v>0</v>
      </c>
      <c r="J21" s="494">
        <f>SUMIF('A-1 Site Habitat Baseline'!$G$11:$G$258,'G-2 Habitat groups'!A21,'A-1 Site Habitat Baseline'!$X$11:$X$258)</f>
        <v>0</v>
      </c>
      <c r="K21" s="494">
        <f>SUMIF('A-2 Site Habitat Creation'!$F$11:$F$256,'G-2 Habitat groups'!A21,'A-2 Site Habitat Creation'!$G$11:$G$256)</f>
        <v>0</v>
      </c>
      <c r="L21" s="494">
        <f>SUMIF('A-2 Site Habitat Creation'!$F$11:$F$256,'G-2 Habitat groups'!A21,'A-2 Site Habitat Creation'!$Y$11:$Y$256)</f>
        <v>0</v>
      </c>
      <c r="M21" s="494">
        <f>SUMIF('A-3 Site Habitat Enhancement'!$S$12:$S$257,'G-2 Habitat groups'!A21,'A-3 Site Habitat Enhancement'!$V$12:$V$257)</f>
        <v>0</v>
      </c>
      <c r="N21" s="494">
        <f>SUMIF('A-3 Site Habitat Enhancement'!$S$12:$S$257,'G-2 Habitat groups'!A21,'A-3 Site Habitat Enhancement'!$AN$12:$AN$257)</f>
        <v>0</v>
      </c>
      <c r="O21" s="494">
        <f t="shared" si="0"/>
        <v>0</v>
      </c>
      <c r="P21" s="494">
        <f t="shared" si="1"/>
        <v>0</v>
      </c>
      <c r="Q21" s="494">
        <f t="shared" si="2"/>
        <v>0</v>
      </c>
      <c r="R21" s="494">
        <f t="shared" si="3"/>
        <v>0</v>
      </c>
      <c r="S21" s="494">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4">
        <f>SUMIF('D-1 Off Site Habitat Baseline'!$G$11:$G$258,'G-2 Habitat groups'!A21,'D-1 Off Site Habitat Baseline'!$Q$11:$Q$258)</f>
        <v>0</v>
      </c>
      <c r="U21" s="591">
        <f>SUMIF('D-1 Off Site Habitat Baseline'!$G$11:$G$258,'G-2 Habitat groups'!A21,'D-1 Off Site Habitat Baseline'!$S$11:$S$258)</f>
        <v>0</v>
      </c>
      <c r="V21" s="494">
        <f>SUMIF('D-1 Off Site Habitat Baseline'!$G$11:$G$258,'G-2 Habitat groups'!A21,'D-1 Off Site Habitat Baseline'!$U$11:$U$258)</f>
        <v>0</v>
      </c>
      <c r="W21" s="494">
        <f>SUMIF('D-2 Off Site Habitat Creation'!$F$9:$F$255,'G-2 Habitat groups'!A21,'D-2 Off Site Habitat Creation'!$G$9:$G$255)</f>
        <v>0</v>
      </c>
      <c r="X21" s="494">
        <f>SUMIF('D-2 Off Site Habitat Creation'!$F$9:$F$255,'G-2 Habitat groups'!A21,'D-2 Off Site Habitat Creation'!$AA$9:$AA$255)</f>
        <v>0</v>
      </c>
      <c r="Y21" s="494">
        <f>SUMIF('D-3 Off Site Habitat Enhancment'!$S$12:$S$491,'G-2 Habitat groups'!A21,'D-3 Off Site Habitat Enhancment'!$V$12:$V$491)</f>
        <v>0</v>
      </c>
      <c r="Z21" s="494">
        <f>SUMIF('D-3 Off Site Habitat Enhancment'!$S$12:$S$491,'G-2 Habitat groups'!A21,'D-3 Off Site Habitat Enhancment'!$AP$12:$AP$491)</f>
        <v>0</v>
      </c>
      <c r="AA21" s="494">
        <f t="shared" si="4"/>
        <v>0</v>
      </c>
      <c r="AB21" s="494">
        <f t="shared" si="5"/>
        <v>0</v>
      </c>
      <c r="AC21" s="494">
        <f t="shared" si="6"/>
        <v>0</v>
      </c>
      <c r="AD21" s="494">
        <f t="shared" si="7"/>
        <v>0</v>
      </c>
      <c r="AE21" s="494">
        <f t="shared" si="8"/>
        <v>0</v>
      </c>
      <c r="AF21" s="494">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4">
        <f t="shared" si="27"/>
        <v>0</v>
      </c>
      <c r="AX21" s="494">
        <f t="shared" si="28"/>
        <v>0</v>
      </c>
      <c r="AY21" s="494">
        <f t="shared" si="29"/>
        <v>0</v>
      </c>
      <c r="AZ21" s="494">
        <f t="shared" si="30"/>
        <v>0</v>
      </c>
      <c r="BA21" s="494">
        <f t="shared" si="31"/>
        <v>0</v>
      </c>
      <c r="BB21" s="494">
        <f t="shared" si="32"/>
        <v>0</v>
      </c>
      <c r="BC21" s="494">
        <f t="shared" si="33"/>
        <v>0</v>
      </c>
      <c r="BD21" s="494">
        <f t="shared" si="34"/>
        <v>0</v>
      </c>
      <c r="BE21" s="494">
        <f t="shared" si="35"/>
        <v>0</v>
      </c>
      <c r="BF21" s="494" t="str">
        <f t="shared" si="36"/>
        <v/>
      </c>
      <c r="BG21" s="586">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4">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4">
        <f>SUMIF('A-1 Site Habitat Baseline'!$G$11:$G$258,'G-2 Habitat groups'!A22,'A-1 Site Habitat Baseline'!$Q$11:$Q$258)</f>
        <v>0</v>
      </c>
      <c r="G22" s="494">
        <f>SUMIF('A-1 Site Habitat Baseline'!$G$11:$G$258,'G-2 Habitat groups'!A22,'A-1 Site Habitat Baseline'!$S$11:$S$258)</f>
        <v>0</v>
      </c>
      <c r="H22" s="494">
        <f>SUMIF('A-1 Site Habitat Baseline'!$G$11:$G$258,'G-2 Habitat groups'!A22,'A-1 Site Habitat Baseline'!$U$11:$U$258)</f>
        <v>0</v>
      </c>
      <c r="I22" s="494">
        <f>SUMIF('A-1 Site Habitat Baseline'!$G$11:$G$258,'G-2 Habitat groups'!A22,'A-1 Site Habitat Baseline'!$W$11:$W$258)</f>
        <v>0</v>
      </c>
      <c r="J22" s="494">
        <f>SUMIF('A-1 Site Habitat Baseline'!$G$11:$G$258,'G-2 Habitat groups'!A22,'A-1 Site Habitat Baseline'!$X$11:$X$258)</f>
        <v>0</v>
      </c>
      <c r="K22" s="494">
        <f>SUMIF('A-2 Site Habitat Creation'!$F$11:$F$256,'G-2 Habitat groups'!A22,'A-2 Site Habitat Creation'!$G$11:$G$256)</f>
        <v>9.7100000000000006E-2</v>
      </c>
      <c r="L22" s="494">
        <f>SUMIF('A-2 Site Habitat Creation'!$F$11:$F$256,'G-2 Habitat groups'!A22,'A-2 Site Habitat Creation'!$Y$11:$Y$256)</f>
        <v>0.747555814819992</v>
      </c>
      <c r="M22" s="494">
        <f>SUMIF('A-3 Site Habitat Enhancement'!$S$12:$S$257,'G-2 Habitat groups'!A22,'A-3 Site Habitat Enhancement'!$V$12:$V$257)</f>
        <v>0</v>
      </c>
      <c r="N22" s="494">
        <f>SUMIF('A-3 Site Habitat Enhancement'!$S$12:$S$257,'G-2 Habitat groups'!A22,'A-3 Site Habitat Enhancement'!$AN$12:$AN$257)</f>
        <v>0</v>
      </c>
      <c r="O22" s="494">
        <f t="shared" si="0"/>
        <v>9.7100000000000006E-2</v>
      </c>
      <c r="P22" s="494">
        <f t="shared" si="1"/>
        <v>0.747555814819992</v>
      </c>
      <c r="Q22" s="494">
        <f t="shared" si="2"/>
        <v>9.7100000000000006E-2</v>
      </c>
      <c r="R22" s="494">
        <f t="shared" si="3"/>
        <v>0.747555814819992</v>
      </c>
      <c r="S22" s="494">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4">
        <f>SUMIF('D-1 Off Site Habitat Baseline'!$G$11:$G$258,'G-2 Habitat groups'!A22,'D-1 Off Site Habitat Baseline'!$Q$11:$Q$258)</f>
        <v>0</v>
      </c>
      <c r="U22" s="591">
        <f>SUMIF('D-1 Off Site Habitat Baseline'!$G$11:$G$258,'G-2 Habitat groups'!A22,'D-1 Off Site Habitat Baseline'!$S$11:$S$258)</f>
        <v>0</v>
      </c>
      <c r="V22" s="494">
        <f>SUMIF('D-1 Off Site Habitat Baseline'!$G$11:$G$258,'G-2 Habitat groups'!A22,'D-1 Off Site Habitat Baseline'!$U$11:$U$258)</f>
        <v>0</v>
      </c>
      <c r="W22" s="494">
        <f>SUMIF('D-2 Off Site Habitat Creation'!$F$9:$F$255,'G-2 Habitat groups'!A22,'D-2 Off Site Habitat Creation'!$G$9:$G$255)</f>
        <v>0</v>
      </c>
      <c r="X22" s="494">
        <f>SUMIF('D-2 Off Site Habitat Creation'!$F$9:$F$255,'G-2 Habitat groups'!A22,'D-2 Off Site Habitat Creation'!$AA$9:$AA$255)</f>
        <v>0</v>
      </c>
      <c r="Y22" s="494">
        <f>SUMIF('D-3 Off Site Habitat Enhancment'!$S$12:$S$491,'G-2 Habitat groups'!A22,'D-3 Off Site Habitat Enhancment'!$V$12:$V$491)</f>
        <v>0</v>
      </c>
      <c r="Z22" s="494">
        <f>SUMIF('D-3 Off Site Habitat Enhancment'!$S$12:$S$491,'G-2 Habitat groups'!A22,'D-3 Off Site Habitat Enhancment'!$AP$12:$AP$491)</f>
        <v>0</v>
      </c>
      <c r="AA22" s="494">
        <f t="shared" si="4"/>
        <v>0</v>
      </c>
      <c r="AB22" s="494">
        <f t="shared" si="5"/>
        <v>0</v>
      </c>
      <c r="AC22" s="494">
        <f t="shared" si="6"/>
        <v>0</v>
      </c>
      <c r="AD22" s="494">
        <f t="shared" si="7"/>
        <v>0</v>
      </c>
      <c r="AE22" s="494">
        <f t="shared" si="8"/>
        <v>9.7100000000000006E-2</v>
      </c>
      <c r="AF22" s="494">
        <f t="shared" si="9"/>
        <v>0.747555814819992</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4">
        <f t="shared" si="27"/>
        <v>0</v>
      </c>
      <c r="AX22" s="494">
        <f t="shared" si="28"/>
        <v>0</v>
      </c>
      <c r="AY22" s="494">
        <f t="shared" si="29"/>
        <v>0</v>
      </c>
      <c r="AZ22" s="494">
        <f t="shared" si="30"/>
        <v>0</v>
      </c>
      <c r="BA22" s="494">
        <f t="shared" si="31"/>
        <v>0</v>
      </c>
      <c r="BB22" s="494">
        <f t="shared" si="32"/>
        <v>0</v>
      </c>
      <c r="BC22" s="494">
        <f t="shared" si="33"/>
        <v>0</v>
      </c>
      <c r="BD22" s="494">
        <f t="shared" si="34"/>
        <v>0</v>
      </c>
      <c r="BE22" s="494">
        <f t="shared" si="35"/>
        <v>0</v>
      </c>
      <c r="BF22" s="494" t="str">
        <f t="shared" si="36"/>
        <v/>
      </c>
      <c r="BG22" s="586">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4">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4">
        <f>SUMIF('A-1 Site Habitat Baseline'!$G$11:$G$258,'G-2 Habitat groups'!A23,'A-1 Site Habitat Baseline'!$Q$11:$Q$258)</f>
        <v>0</v>
      </c>
      <c r="G23" s="494">
        <f>SUMIF('A-1 Site Habitat Baseline'!$G$11:$G$258,'G-2 Habitat groups'!A23,'A-1 Site Habitat Baseline'!$S$11:$S$258)</f>
        <v>0</v>
      </c>
      <c r="H23" s="494">
        <f>SUMIF('A-1 Site Habitat Baseline'!$G$11:$G$258,'G-2 Habitat groups'!A23,'A-1 Site Habitat Baseline'!$U$11:$U$258)</f>
        <v>0</v>
      </c>
      <c r="I23" s="494">
        <f>SUMIF('A-1 Site Habitat Baseline'!$G$11:$G$258,'G-2 Habitat groups'!A23,'A-1 Site Habitat Baseline'!$W$11:$W$258)</f>
        <v>0</v>
      </c>
      <c r="J23" s="494">
        <f>SUMIF('A-1 Site Habitat Baseline'!$G$11:$G$258,'G-2 Habitat groups'!A23,'A-1 Site Habitat Baseline'!$X$11:$X$258)</f>
        <v>0</v>
      </c>
      <c r="K23" s="494">
        <f>SUMIF('A-2 Site Habitat Creation'!$F$11:$F$256,'G-2 Habitat groups'!A23,'A-2 Site Habitat Creation'!$G$11:$G$256)</f>
        <v>0</v>
      </c>
      <c r="L23" s="494">
        <f>SUMIF('A-2 Site Habitat Creation'!$F$11:$F$256,'G-2 Habitat groups'!A23,'A-2 Site Habitat Creation'!$Y$11:$Y$256)</f>
        <v>0</v>
      </c>
      <c r="M23" s="494">
        <f>SUMIF('A-3 Site Habitat Enhancement'!$S$12:$S$257,'G-2 Habitat groups'!A23,'A-3 Site Habitat Enhancement'!$V$12:$V$257)</f>
        <v>0</v>
      </c>
      <c r="N23" s="494">
        <f>SUMIF('A-3 Site Habitat Enhancement'!$S$12:$S$257,'G-2 Habitat groups'!A23,'A-3 Site Habitat Enhancement'!$AN$12:$AN$257)</f>
        <v>0</v>
      </c>
      <c r="O23" s="494">
        <f t="shared" si="0"/>
        <v>0</v>
      </c>
      <c r="P23" s="494">
        <f t="shared" si="1"/>
        <v>0</v>
      </c>
      <c r="Q23" s="494">
        <f t="shared" si="2"/>
        <v>0</v>
      </c>
      <c r="R23" s="494">
        <f t="shared" si="3"/>
        <v>0</v>
      </c>
      <c r="S23" s="494">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4">
        <f>SUMIF('D-1 Off Site Habitat Baseline'!$G$11:$G$258,'G-2 Habitat groups'!A23,'D-1 Off Site Habitat Baseline'!$Q$11:$Q$258)</f>
        <v>0</v>
      </c>
      <c r="U23" s="591">
        <f>SUMIF('D-1 Off Site Habitat Baseline'!$G$11:$G$258,'G-2 Habitat groups'!A23,'D-1 Off Site Habitat Baseline'!$S$11:$S$258)</f>
        <v>0</v>
      </c>
      <c r="V23" s="494">
        <f>SUMIF('D-1 Off Site Habitat Baseline'!$G$11:$G$258,'G-2 Habitat groups'!A23,'D-1 Off Site Habitat Baseline'!$U$11:$U$258)</f>
        <v>0</v>
      </c>
      <c r="W23" s="494">
        <f>SUMIF('D-2 Off Site Habitat Creation'!$F$9:$F$255,'G-2 Habitat groups'!A23,'D-2 Off Site Habitat Creation'!$G$9:$G$255)</f>
        <v>0</v>
      </c>
      <c r="X23" s="494">
        <f>SUMIF('D-2 Off Site Habitat Creation'!$F$9:$F$255,'G-2 Habitat groups'!A23,'D-2 Off Site Habitat Creation'!$AA$9:$AA$255)</f>
        <v>0</v>
      </c>
      <c r="Y23" s="494">
        <f>SUMIF('D-3 Off Site Habitat Enhancment'!$S$12:$S$491,'G-2 Habitat groups'!A23,'D-3 Off Site Habitat Enhancment'!$V$12:$V$491)</f>
        <v>0</v>
      </c>
      <c r="Z23" s="494">
        <f>SUMIF('D-3 Off Site Habitat Enhancment'!$S$12:$S$491,'G-2 Habitat groups'!A23,'D-3 Off Site Habitat Enhancment'!$AP$12:$AP$491)</f>
        <v>0</v>
      </c>
      <c r="AA23" s="494">
        <f t="shared" si="4"/>
        <v>0</v>
      </c>
      <c r="AB23" s="494">
        <f t="shared" si="5"/>
        <v>0</v>
      </c>
      <c r="AC23" s="494">
        <f t="shared" si="6"/>
        <v>0</v>
      </c>
      <c r="AD23" s="494">
        <f t="shared" si="7"/>
        <v>0</v>
      </c>
      <c r="AE23" s="494">
        <f t="shared" si="8"/>
        <v>0</v>
      </c>
      <c r="AF23" s="494">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4">
        <f t="shared" si="27"/>
        <v>0</v>
      </c>
      <c r="AX23" s="494">
        <f t="shared" si="28"/>
        <v>0</v>
      </c>
      <c r="AY23" s="494">
        <f t="shared" si="29"/>
        <v>0</v>
      </c>
      <c r="AZ23" s="494">
        <f t="shared" si="30"/>
        <v>0</v>
      </c>
      <c r="BA23" s="494">
        <f t="shared" si="31"/>
        <v>0</v>
      </c>
      <c r="BB23" s="494">
        <f t="shared" si="32"/>
        <v>0</v>
      </c>
      <c r="BC23" s="494">
        <f t="shared" si="33"/>
        <v>0</v>
      </c>
      <c r="BD23" s="494">
        <f t="shared" si="34"/>
        <v>0</v>
      </c>
      <c r="BE23" s="494">
        <f t="shared" si="35"/>
        <v>0</v>
      </c>
      <c r="BF23" s="494" t="str">
        <f t="shared" si="36"/>
        <v/>
      </c>
      <c r="BG23" s="586">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4">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4">
        <f>SUMIF('A-1 Site Habitat Baseline'!$G$11:$G$258,'G-2 Habitat groups'!A24,'A-1 Site Habitat Baseline'!$Q$11:$Q$258)</f>
        <v>0</v>
      </c>
      <c r="G24" s="494">
        <f>SUMIF('A-1 Site Habitat Baseline'!$G$11:$G$258,'G-2 Habitat groups'!A24,'A-1 Site Habitat Baseline'!$S$11:$S$258)</f>
        <v>0</v>
      </c>
      <c r="H24" s="494">
        <f>SUMIF('A-1 Site Habitat Baseline'!$G$11:$G$258,'G-2 Habitat groups'!A24,'A-1 Site Habitat Baseline'!$U$11:$U$258)</f>
        <v>0</v>
      </c>
      <c r="I24" s="494">
        <f>SUMIF('A-1 Site Habitat Baseline'!$G$11:$G$258,'G-2 Habitat groups'!A24,'A-1 Site Habitat Baseline'!$W$11:$W$258)</f>
        <v>0</v>
      </c>
      <c r="J24" s="494">
        <f>SUMIF('A-1 Site Habitat Baseline'!$G$11:$G$258,'G-2 Habitat groups'!A24,'A-1 Site Habitat Baseline'!$X$11:$X$258)</f>
        <v>0</v>
      </c>
      <c r="K24" s="494">
        <f>SUMIF('A-2 Site Habitat Creation'!$F$11:$F$256,'G-2 Habitat groups'!A24,'A-2 Site Habitat Creation'!$G$11:$G$256)</f>
        <v>0</v>
      </c>
      <c r="L24" s="494">
        <f>SUMIF('A-2 Site Habitat Creation'!$F$11:$F$256,'G-2 Habitat groups'!A24,'A-2 Site Habitat Creation'!$Y$11:$Y$256)</f>
        <v>0</v>
      </c>
      <c r="M24" s="494">
        <f>SUMIF('A-3 Site Habitat Enhancement'!$S$12:$S$257,'G-2 Habitat groups'!A24,'A-3 Site Habitat Enhancement'!$V$12:$V$257)</f>
        <v>0</v>
      </c>
      <c r="N24" s="494">
        <f>SUMIF('A-3 Site Habitat Enhancement'!$S$12:$S$257,'G-2 Habitat groups'!A24,'A-3 Site Habitat Enhancement'!$AN$12:$AN$257)</f>
        <v>0</v>
      </c>
      <c r="O24" s="494">
        <f t="shared" si="0"/>
        <v>0</v>
      </c>
      <c r="P24" s="494">
        <f t="shared" si="1"/>
        <v>0</v>
      </c>
      <c r="Q24" s="494">
        <f t="shared" si="2"/>
        <v>0</v>
      </c>
      <c r="R24" s="494">
        <f t="shared" si="3"/>
        <v>0</v>
      </c>
      <c r="S24" s="494">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4">
        <f>SUMIF('D-1 Off Site Habitat Baseline'!$G$11:$G$258,'G-2 Habitat groups'!A24,'D-1 Off Site Habitat Baseline'!$Q$11:$Q$258)</f>
        <v>0</v>
      </c>
      <c r="U24" s="591">
        <f>SUMIF('D-1 Off Site Habitat Baseline'!$G$11:$G$258,'G-2 Habitat groups'!A24,'D-1 Off Site Habitat Baseline'!$S$11:$S$258)</f>
        <v>0</v>
      </c>
      <c r="V24" s="494">
        <f>SUMIF('D-1 Off Site Habitat Baseline'!$G$11:$G$258,'G-2 Habitat groups'!A24,'D-1 Off Site Habitat Baseline'!$U$11:$U$258)</f>
        <v>0</v>
      </c>
      <c r="W24" s="494">
        <f>SUMIF('D-2 Off Site Habitat Creation'!$F$9:$F$255,'G-2 Habitat groups'!A24,'D-2 Off Site Habitat Creation'!$G$9:$G$255)</f>
        <v>0</v>
      </c>
      <c r="X24" s="494">
        <f>SUMIF('D-2 Off Site Habitat Creation'!$F$9:$F$255,'G-2 Habitat groups'!A24,'D-2 Off Site Habitat Creation'!$AA$9:$AA$255)</f>
        <v>0</v>
      </c>
      <c r="Y24" s="494">
        <f>SUMIF('D-3 Off Site Habitat Enhancment'!$S$12:$S$491,'G-2 Habitat groups'!A24,'D-3 Off Site Habitat Enhancment'!$V$12:$V$491)</f>
        <v>0</v>
      </c>
      <c r="Z24" s="494">
        <f>SUMIF('D-3 Off Site Habitat Enhancment'!$S$12:$S$491,'G-2 Habitat groups'!A24,'D-3 Off Site Habitat Enhancment'!$AP$12:$AP$491)</f>
        <v>0</v>
      </c>
      <c r="AA24" s="494">
        <f t="shared" si="4"/>
        <v>0</v>
      </c>
      <c r="AB24" s="494">
        <f t="shared" si="5"/>
        <v>0</v>
      </c>
      <c r="AC24" s="494">
        <f t="shared" si="6"/>
        <v>0</v>
      </c>
      <c r="AD24" s="494">
        <f t="shared" si="7"/>
        <v>0</v>
      </c>
      <c r="AE24" s="494">
        <f t="shared" si="8"/>
        <v>0</v>
      </c>
      <c r="AF24" s="494">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4">
        <f t="shared" si="27"/>
        <v>0</v>
      </c>
      <c r="AX24" s="494">
        <f t="shared" si="28"/>
        <v>0</v>
      </c>
      <c r="AY24" s="494">
        <f t="shared" si="29"/>
        <v>0</v>
      </c>
      <c r="AZ24" s="494">
        <f t="shared" si="30"/>
        <v>0</v>
      </c>
      <c r="BA24" s="494">
        <f t="shared" si="31"/>
        <v>0</v>
      </c>
      <c r="BB24" s="494">
        <f t="shared" si="32"/>
        <v>0</v>
      </c>
      <c r="BC24" s="494">
        <f t="shared" si="33"/>
        <v>0</v>
      </c>
      <c r="BD24" s="494">
        <f t="shared" si="34"/>
        <v>0</v>
      </c>
      <c r="BE24" s="494">
        <f t="shared" si="35"/>
        <v>0</v>
      </c>
      <c r="BF24" s="494" t="str">
        <f t="shared" si="36"/>
        <v/>
      </c>
      <c r="BG24" s="586">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4">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4">
        <f>SUMIF('A-1 Site Habitat Baseline'!$G$11:$G$258,'G-2 Habitat groups'!A25,'A-1 Site Habitat Baseline'!$Q$11:$Q$258)</f>
        <v>0</v>
      </c>
      <c r="G25" s="494">
        <f>SUMIF('A-1 Site Habitat Baseline'!$G$11:$G$258,'G-2 Habitat groups'!A25,'A-1 Site Habitat Baseline'!$S$11:$S$258)</f>
        <v>0</v>
      </c>
      <c r="H25" s="494">
        <f>SUMIF('A-1 Site Habitat Baseline'!$G$11:$G$258,'G-2 Habitat groups'!A25,'A-1 Site Habitat Baseline'!$U$11:$U$258)</f>
        <v>0</v>
      </c>
      <c r="I25" s="494">
        <f>SUMIF('A-1 Site Habitat Baseline'!$G$11:$G$258,'G-2 Habitat groups'!A25,'A-1 Site Habitat Baseline'!$W$11:$W$258)</f>
        <v>0</v>
      </c>
      <c r="J25" s="494">
        <f>SUMIF('A-1 Site Habitat Baseline'!$G$11:$G$258,'G-2 Habitat groups'!A25,'A-1 Site Habitat Baseline'!$X$11:$X$258)</f>
        <v>0</v>
      </c>
      <c r="K25" s="494">
        <f>SUMIF('A-2 Site Habitat Creation'!$F$11:$F$256,'G-2 Habitat groups'!A25,'A-2 Site Habitat Creation'!$G$11:$G$256)</f>
        <v>0</v>
      </c>
      <c r="L25" s="494">
        <f>SUMIF('A-2 Site Habitat Creation'!$F$11:$F$256,'G-2 Habitat groups'!A25,'A-2 Site Habitat Creation'!$Y$11:$Y$256)</f>
        <v>0</v>
      </c>
      <c r="M25" s="494">
        <f>SUMIF('A-3 Site Habitat Enhancement'!$S$12:$S$257,'G-2 Habitat groups'!A25,'A-3 Site Habitat Enhancement'!$V$12:$V$257)</f>
        <v>0</v>
      </c>
      <c r="N25" s="494">
        <f>SUMIF('A-3 Site Habitat Enhancement'!$S$12:$S$257,'G-2 Habitat groups'!A25,'A-3 Site Habitat Enhancement'!$AN$12:$AN$257)</f>
        <v>0</v>
      </c>
      <c r="O25" s="494">
        <f t="shared" si="0"/>
        <v>0</v>
      </c>
      <c r="P25" s="494">
        <f t="shared" si="1"/>
        <v>0</v>
      </c>
      <c r="Q25" s="494">
        <f t="shared" si="2"/>
        <v>0</v>
      </c>
      <c r="R25" s="494">
        <f t="shared" si="3"/>
        <v>0</v>
      </c>
      <c r="S25" s="494">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4">
        <f>SUMIF('D-1 Off Site Habitat Baseline'!$G$11:$G$258,'G-2 Habitat groups'!A25,'D-1 Off Site Habitat Baseline'!$Q$11:$Q$258)</f>
        <v>0</v>
      </c>
      <c r="U25" s="591">
        <f>SUMIF('D-1 Off Site Habitat Baseline'!$G$11:$G$258,'G-2 Habitat groups'!A25,'D-1 Off Site Habitat Baseline'!$S$11:$S$258)</f>
        <v>0</v>
      </c>
      <c r="V25" s="494">
        <f>SUMIF('D-1 Off Site Habitat Baseline'!$G$11:$G$258,'G-2 Habitat groups'!A25,'D-1 Off Site Habitat Baseline'!$U$11:$U$258)</f>
        <v>0</v>
      </c>
      <c r="W25" s="494">
        <f>SUMIF('D-2 Off Site Habitat Creation'!$F$9:$F$255,'G-2 Habitat groups'!A25,'D-2 Off Site Habitat Creation'!$G$9:$G$255)</f>
        <v>0</v>
      </c>
      <c r="X25" s="494">
        <f>SUMIF('D-2 Off Site Habitat Creation'!$F$9:$F$255,'G-2 Habitat groups'!A25,'D-2 Off Site Habitat Creation'!$AA$9:$AA$255)</f>
        <v>0</v>
      </c>
      <c r="Y25" s="494">
        <f>SUMIF('D-3 Off Site Habitat Enhancment'!$S$12:$S$491,'G-2 Habitat groups'!A25,'D-3 Off Site Habitat Enhancment'!$V$12:$V$491)</f>
        <v>0</v>
      </c>
      <c r="Z25" s="494">
        <f>SUMIF('D-3 Off Site Habitat Enhancment'!$S$12:$S$491,'G-2 Habitat groups'!A25,'D-3 Off Site Habitat Enhancment'!$AP$12:$AP$491)</f>
        <v>0</v>
      </c>
      <c r="AA25" s="494">
        <f t="shared" si="4"/>
        <v>0</v>
      </c>
      <c r="AB25" s="494">
        <f t="shared" si="5"/>
        <v>0</v>
      </c>
      <c r="AC25" s="494">
        <f t="shared" si="6"/>
        <v>0</v>
      </c>
      <c r="AD25" s="494">
        <f t="shared" si="7"/>
        <v>0</v>
      </c>
      <c r="AE25" s="494">
        <f t="shared" si="8"/>
        <v>0</v>
      </c>
      <c r="AF25" s="494">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4">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4">
        <f>SUMIF('A-1 Site Habitat Baseline'!$G$11:$G$258,'G-2 Habitat groups'!A26,'A-1 Site Habitat Baseline'!$Q$11:$Q$258)</f>
        <v>0</v>
      </c>
      <c r="G26" s="494">
        <f>SUMIF('A-1 Site Habitat Baseline'!$G$11:$G$258,'G-2 Habitat groups'!A26,'A-1 Site Habitat Baseline'!$S$11:$S$258)</f>
        <v>0</v>
      </c>
      <c r="H26" s="494">
        <f>SUMIF('A-1 Site Habitat Baseline'!$G$11:$G$258,'G-2 Habitat groups'!A26,'A-1 Site Habitat Baseline'!$U$11:$U$258)</f>
        <v>0</v>
      </c>
      <c r="I26" s="494">
        <f>SUMIF('A-1 Site Habitat Baseline'!$G$11:$G$258,'G-2 Habitat groups'!A26,'A-1 Site Habitat Baseline'!$W$11:$W$258)</f>
        <v>0</v>
      </c>
      <c r="J26" s="494">
        <f>SUMIF('A-1 Site Habitat Baseline'!$G$11:$G$258,'G-2 Habitat groups'!A26,'A-1 Site Habitat Baseline'!$X$11:$X$258)</f>
        <v>0</v>
      </c>
      <c r="K26" s="494">
        <f>SUMIF('A-2 Site Habitat Creation'!$F$11:$F$256,'G-2 Habitat groups'!A26,'A-2 Site Habitat Creation'!$G$11:$G$256)</f>
        <v>0</v>
      </c>
      <c r="L26" s="494">
        <f>SUMIF('A-2 Site Habitat Creation'!$F$11:$F$256,'G-2 Habitat groups'!A26,'A-2 Site Habitat Creation'!$Y$11:$Y$256)</f>
        <v>0</v>
      </c>
      <c r="M26" s="494">
        <f>SUMIF('A-3 Site Habitat Enhancement'!$S$12:$S$257,'G-2 Habitat groups'!A26,'A-3 Site Habitat Enhancement'!$V$12:$V$257)</f>
        <v>0</v>
      </c>
      <c r="N26" s="494">
        <f>SUMIF('A-3 Site Habitat Enhancement'!$S$12:$S$257,'G-2 Habitat groups'!A26,'A-3 Site Habitat Enhancement'!$AN$12:$AN$257)</f>
        <v>0</v>
      </c>
      <c r="O26" s="494">
        <f t="shared" si="0"/>
        <v>0</v>
      </c>
      <c r="P26" s="494">
        <f t="shared" si="1"/>
        <v>0</v>
      </c>
      <c r="Q26" s="494">
        <f t="shared" si="2"/>
        <v>0</v>
      </c>
      <c r="R26" s="494">
        <f t="shared" si="3"/>
        <v>0</v>
      </c>
      <c r="S26" s="494">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4">
        <f>SUMIF('D-1 Off Site Habitat Baseline'!$G$11:$G$258,'G-2 Habitat groups'!A26,'D-1 Off Site Habitat Baseline'!$Q$11:$Q$258)</f>
        <v>0</v>
      </c>
      <c r="U26" s="591">
        <f>SUMIF('D-1 Off Site Habitat Baseline'!$G$11:$G$258,'G-2 Habitat groups'!A26,'D-1 Off Site Habitat Baseline'!$S$11:$S$258)</f>
        <v>0</v>
      </c>
      <c r="V26" s="494">
        <f>SUMIF('D-1 Off Site Habitat Baseline'!$G$11:$G$258,'G-2 Habitat groups'!A26,'D-1 Off Site Habitat Baseline'!$U$11:$U$258)</f>
        <v>0</v>
      </c>
      <c r="W26" s="494">
        <f>SUMIF('D-2 Off Site Habitat Creation'!$F$9:$F$255,'G-2 Habitat groups'!A26,'D-2 Off Site Habitat Creation'!$G$9:$G$255)</f>
        <v>0</v>
      </c>
      <c r="X26" s="494">
        <f>SUMIF('D-2 Off Site Habitat Creation'!$F$9:$F$255,'G-2 Habitat groups'!A26,'D-2 Off Site Habitat Creation'!$AA$9:$AA$255)</f>
        <v>0</v>
      </c>
      <c r="Y26" s="494">
        <f>SUMIF('D-3 Off Site Habitat Enhancment'!$S$12:$S$491,'G-2 Habitat groups'!A26,'D-3 Off Site Habitat Enhancment'!$V$12:$V$491)</f>
        <v>0</v>
      </c>
      <c r="Z26" s="494">
        <f>SUMIF('D-3 Off Site Habitat Enhancment'!$S$12:$S$491,'G-2 Habitat groups'!A26,'D-3 Off Site Habitat Enhancment'!$AP$12:$AP$491)</f>
        <v>0</v>
      </c>
      <c r="AA26" s="494">
        <f t="shared" si="4"/>
        <v>0</v>
      </c>
      <c r="AB26" s="494">
        <f t="shared" si="5"/>
        <v>0</v>
      </c>
      <c r="AC26" s="494">
        <f t="shared" si="6"/>
        <v>0</v>
      </c>
      <c r="AD26" s="494">
        <f t="shared" si="7"/>
        <v>0</v>
      </c>
      <c r="AE26" s="494">
        <f t="shared" si="8"/>
        <v>0</v>
      </c>
      <c r="AF26" s="494">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4">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4">
        <f>SUMIF('A-1 Site Habitat Baseline'!$G$11:$G$258,'G-2 Habitat groups'!A27,'A-1 Site Habitat Baseline'!$Q$11:$Q$258)</f>
        <v>0</v>
      </c>
      <c r="G27" s="494">
        <f>SUMIF('A-1 Site Habitat Baseline'!$G$11:$G$258,'G-2 Habitat groups'!A27,'A-1 Site Habitat Baseline'!$S$11:$S$258)</f>
        <v>0</v>
      </c>
      <c r="H27" s="494">
        <f>SUMIF('A-1 Site Habitat Baseline'!$G$11:$G$258,'G-2 Habitat groups'!A27,'A-1 Site Habitat Baseline'!$U$11:$U$258)</f>
        <v>0</v>
      </c>
      <c r="I27" s="494">
        <f>SUMIF('A-1 Site Habitat Baseline'!$G$11:$G$258,'G-2 Habitat groups'!A27,'A-1 Site Habitat Baseline'!$W$11:$W$258)</f>
        <v>0</v>
      </c>
      <c r="J27" s="494">
        <f>SUMIF('A-1 Site Habitat Baseline'!$G$11:$G$258,'G-2 Habitat groups'!A27,'A-1 Site Habitat Baseline'!$X$11:$X$258)</f>
        <v>0</v>
      </c>
      <c r="K27" s="494">
        <f>SUMIF('A-2 Site Habitat Creation'!$F$11:$F$256,'G-2 Habitat groups'!A27,'A-2 Site Habitat Creation'!$G$11:$G$256)</f>
        <v>0</v>
      </c>
      <c r="L27" s="494">
        <f>SUMIF('A-2 Site Habitat Creation'!$F$11:$F$256,'G-2 Habitat groups'!A27,'A-2 Site Habitat Creation'!$Y$11:$Y$256)</f>
        <v>0</v>
      </c>
      <c r="M27" s="494">
        <f>SUMIF('A-3 Site Habitat Enhancement'!$S$12:$S$257,'G-2 Habitat groups'!A27,'A-3 Site Habitat Enhancement'!$V$12:$V$257)</f>
        <v>0</v>
      </c>
      <c r="N27" s="494">
        <f>SUMIF('A-3 Site Habitat Enhancement'!$S$12:$S$257,'G-2 Habitat groups'!A27,'A-3 Site Habitat Enhancement'!$AN$12:$AN$257)</f>
        <v>0</v>
      </c>
      <c r="O27" s="494">
        <f t="shared" si="0"/>
        <v>0</v>
      </c>
      <c r="P27" s="494">
        <f t="shared" si="1"/>
        <v>0</v>
      </c>
      <c r="Q27" s="494">
        <f t="shared" si="2"/>
        <v>0</v>
      </c>
      <c r="R27" s="494">
        <f t="shared" si="3"/>
        <v>0</v>
      </c>
      <c r="S27" s="494">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4">
        <f>SUMIF('D-1 Off Site Habitat Baseline'!$G$11:$G$258,'G-2 Habitat groups'!A27,'D-1 Off Site Habitat Baseline'!$Q$11:$Q$258)</f>
        <v>0</v>
      </c>
      <c r="U27" s="591">
        <f>SUMIF('D-1 Off Site Habitat Baseline'!$G$11:$G$258,'G-2 Habitat groups'!A27,'D-1 Off Site Habitat Baseline'!$S$11:$S$258)</f>
        <v>0</v>
      </c>
      <c r="V27" s="494">
        <f>SUMIF('D-1 Off Site Habitat Baseline'!$G$11:$G$258,'G-2 Habitat groups'!A27,'D-1 Off Site Habitat Baseline'!$U$11:$U$258)</f>
        <v>0</v>
      </c>
      <c r="W27" s="494">
        <f>SUMIF('D-2 Off Site Habitat Creation'!$F$9:$F$255,'G-2 Habitat groups'!A27,'D-2 Off Site Habitat Creation'!$G$9:$G$255)</f>
        <v>0</v>
      </c>
      <c r="X27" s="494">
        <f>SUMIF('D-2 Off Site Habitat Creation'!$F$9:$F$255,'G-2 Habitat groups'!A27,'D-2 Off Site Habitat Creation'!$AA$9:$AA$255)</f>
        <v>0</v>
      </c>
      <c r="Y27" s="494">
        <f>SUMIF('D-3 Off Site Habitat Enhancment'!$S$12:$S$491,'G-2 Habitat groups'!A27,'D-3 Off Site Habitat Enhancment'!$V$12:$V$491)</f>
        <v>0</v>
      </c>
      <c r="Z27" s="494">
        <f>SUMIF('D-3 Off Site Habitat Enhancment'!$S$12:$S$491,'G-2 Habitat groups'!A27,'D-3 Off Site Habitat Enhancment'!$AP$12:$AP$491)</f>
        <v>0</v>
      </c>
      <c r="AA27" s="494">
        <f t="shared" si="4"/>
        <v>0</v>
      </c>
      <c r="AB27" s="494">
        <f t="shared" si="5"/>
        <v>0</v>
      </c>
      <c r="AC27" s="494">
        <f t="shared" si="6"/>
        <v>0</v>
      </c>
      <c r="AD27" s="494">
        <f t="shared" si="7"/>
        <v>0</v>
      </c>
      <c r="AE27" s="494">
        <f t="shared" si="8"/>
        <v>0</v>
      </c>
      <c r="AF27" s="494">
        <f t="shared" si="9"/>
        <v>0</v>
      </c>
      <c r="AJ27" s="109" t="s">
        <v>76</v>
      </c>
      <c r="AK27" s="100">
        <f t="shared" si="37"/>
        <v>0</v>
      </c>
      <c r="AL27" s="100">
        <f t="shared" si="38"/>
        <v>0</v>
      </c>
      <c r="AM27" s="100">
        <f t="shared" si="39"/>
        <v>0</v>
      </c>
      <c r="AN27" s="100">
        <f t="shared" si="40"/>
        <v>0</v>
      </c>
      <c r="AO27" s="111">
        <f t="shared" si="41"/>
        <v>0</v>
      </c>
      <c r="AP27" s="111">
        <f t="shared" si="42"/>
        <v>0</v>
      </c>
      <c r="AU27" s="1041"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4">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4">
        <f>SUMIF('A-1 Site Habitat Baseline'!$G$11:$G$258,'G-2 Habitat groups'!A28,'A-1 Site Habitat Baseline'!$Q$11:$Q$258)</f>
        <v>0</v>
      </c>
      <c r="G28" s="494">
        <f>SUMIF('A-1 Site Habitat Baseline'!$G$11:$G$258,'G-2 Habitat groups'!A28,'A-1 Site Habitat Baseline'!$S$11:$S$258)</f>
        <v>0</v>
      </c>
      <c r="H28" s="494">
        <f>SUMIF('A-1 Site Habitat Baseline'!$G$11:$G$258,'G-2 Habitat groups'!A28,'A-1 Site Habitat Baseline'!$U$11:$U$258)</f>
        <v>0</v>
      </c>
      <c r="I28" s="494">
        <f>SUMIF('A-1 Site Habitat Baseline'!$G$11:$G$258,'G-2 Habitat groups'!A28,'A-1 Site Habitat Baseline'!$W$11:$W$258)</f>
        <v>0</v>
      </c>
      <c r="J28" s="494">
        <f>SUMIF('A-1 Site Habitat Baseline'!$G$11:$G$258,'G-2 Habitat groups'!A28,'A-1 Site Habitat Baseline'!$X$11:$X$258)</f>
        <v>0</v>
      </c>
      <c r="K28" s="494">
        <f>SUMIF('A-2 Site Habitat Creation'!$F$11:$F$256,'G-2 Habitat groups'!A28,'A-2 Site Habitat Creation'!$G$11:$G$256)</f>
        <v>0</v>
      </c>
      <c r="L28" s="494">
        <f>SUMIF('A-2 Site Habitat Creation'!$F$11:$F$256,'G-2 Habitat groups'!A28,'A-2 Site Habitat Creation'!$Y$11:$Y$256)</f>
        <v>0</v>
      </c>
      <c r="M28" s="494">
        <f>SUMIF('A-3 Site Habitat Enhancement'!$S$12:$S$257,'G-2 Habitat groups'!A28,'A-3 Site Habitat Enhancement'!$V$12:$V$257)</f>
        <v>0</v>
      </c>
      <c r="N28" s="494">
        <f>SUMIF('A-3 Site Habitat Enhancement'!$S$12:$S$257,'G-2 Habitat groups'!A28,'A-3 Site Habitat Enhancement'!$AN$12:$AN$257)</f>
        <v>0</v>
      </c>
      <c r="O28" s="494">
        <f t="shared" si="0"/>
        <v>0</v>
      </c>
      <c r="P28" s="494">
        <f t="shared" si="1"/>
        <v>0</v>
      </c>
      <c r="Q28" s="494">
        <f t="shared" si="2"/>
        <v>0</v>
      </c>
      <c r="R28" s="494">
        <f t="shared" si="3"/>
        <v>0</v>
      </c>
      <c r="S28" s="494">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4">
        <f>SUMIF('D-1 Off Site Habitat Baseline'!$G$11:$G$258,'G-2 Habitat groups'!A28,'D-1 Off Site Habitat Baseline'!$Q$11:$Q$258)</f>
        <v>0</v>
      </c>
      <c r="U28" s="591">
        <f>SUMIF('D-1 Off Site Habitat Baseline'!$G$11:$G$258,'G-2 Habitat groups'!A28,'D-1 Off Site Habitat Baseline'!$S$11:$S$258)</f>
        <v>0</v>
      </c>
      <c r="V28" s="494">
        <f>SUMIF('D-1 Off Site Habitat Baseline'!$G$11:$G$258,'G-2 Habitat groups'!A28,'D-1 Off Site Habitat Baseline'!$U$11:$U$258)</f>
        <v>0</v>
      </c>
      <c r="W28" s="494">
        <f>SUMIF('D-2 Off Site Habitat Creation'!$F$9:$F$255,'G-2 Habitat groups'!A28,'D-2 Off Site Habitat Creation'!$G$9:$G$255)</f>
        <v>0</v>
      </c>
      <c r="X28" s="494">
        <f>SUMIF('D-2 Off Site Habitat Creation'!$F$9:$F$255,'G-2 Habitat groups'!A28,'D-2 Off Site Habitat Creation'!$AA$9:$AA$255)</f>
        <v>0</v>
      </c>
      <c r="Y28" s="494">
        <f>SUMIF('D-3 Off Site Habitat Enhancment'!$S$12:$S$491,'G-2 Habitat groups'!A28,'D-3 Off Site Habitat Enhancment'!$V$12:$V$491)</f>
        <v>0</v>
      </c>
      <c r="Z28" s="494">
        <f>SUMIF('D-3 Off Site Habitat Enhancment'!$S$12:$S$491,'G-2 Habitat groups'!A28,'D-3 Off Site Habitat Enhancment'!$AP$12:$AP$491)</f>
        <v>0</v>
      </c>
      <c r="AA28" s="494">
        <f t="shared" si="4"/>
        <v>0</v>
      </c>
      <c r="AB28" s="494">
        <f t="shared" si="5"/>
        <v>0</v>
      </c>
      <c r="AC28" s="494">
        <f t="shared" si="6"/>
        <v>0</v>
      </c>
      <c r="AD28" s="494">
        <f t="shared" si="7"/>
        <v>0</v>
      </c>
      <c r="AE28" s="494">
        <f t="shared" si="8"/>
        <v>0</v>
      </c>
      <c r="AF28" s="494">
        <f t="shared" si="9"/>
        <v>0</v>
      </c>
      <c r="AJ28" s="109" t="s">
        <v>77</v>
      </c>
      <c r="AK28" s="100">
        <f t="shared" si="37"/>
        <v>0</v>
      </c>
      <c r="AL28" s="100">
        <f t="shared" si="38"/>
        <v>0</v>
      </c>
      <c r="AM28" s="100">
        <f t="shared" si="39"/>
        <v>0</v>
      </c>
      <c r="AN28" s="100">
        <f t="shared" si="40"/>
        <v>0</v>
      </c>
      <c r="AO28" s="111">
        <f t="shared" si="41"/>
        <v>0</v>
      </c>
      <c r="AP28" s="111">
        <f t="shared" si="42"/>
        <v>0</v>
      </c>
      <c r="AU28" s="1041"/>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4">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4">
        <f>SUMIF('A-1 Site Habitat Baseline'!$G$11:$G$258,'G-2 Habitat groups'!A29,'A-1 Site Habitat Baseline'!$Q$11:$Q$258)</f>
        <v>0</v>
      </c>
      <c r="G29" s="494">
        <f>SUMIF('A-1 Site Habitat Baseline'!$G$11:$G$258,'G-2 Habitat groups'!A29,'A-1 Site Habitat Baseline'!$S$11:$S$258)</f>
        <v>0</v>
      </c>
      <c r="H29" s="494">
        <f>SUMIF('A-1 Site Habitat Baseline'!$G$11:$G$258,'G-2 Habitat groups'!A29,'A-1 Site Habitat Baseline'!$U$11:$U$258)</f>
        <v>0</v>
      </c>
      <c r="I29" s="494">
        <f>SUMIF('A-1 Site Habitat Baseline'!$G$11:$G$258,'G-2 Habitat groups'!A29,'A-1 Site Habitat Baseline'!$W$11:$W$258)</f>
        <v>0</v>
      </c>
      <c r="J29" s="494">
        <f>SUMIF('A-1 Site Habitat Baseline'!$G$11:$G$258,'G-2 Habitat groups'!A29,'A-1 Site Habitat Baseline'!$X$11:$X$258)</f>
        <v>0</v>
      </c>
      <c r="K29" s="494">
        <f>SUMIF('A-2 Site Habitat Creation'!$F$11:$F$256,'G-2 Habitat groups'!A29,'A-2 Site Habitat Creation'!$G$11:$G$256)</f>
        <v>0</v>
      </c>
      <c r="L29" s="494">
        <f>SUMIF('A-2 Site Habitat Creation'!$F$11:$F$256,'G-2 Habitat groups'!A29,'A-2 Site Habitat Creation'!$Y$11:$Y$256)</f>
        <v>0</v>
      </c>
      <c r="M29" s="494">
        <f>SUMIF('A-3 Site Habitat Enhancement'!$S$12:$S$257,'G-2 Habitat groups'!A29,'A-3 Site Habitat Enhancement'!$V$12:$V$257)</f>
        <v>0</v>
      </c>
      <c r="N29" s="494">
        <f>SUMIF('A-3 Site Habitat Enhancement'!$S$12:$S$257,'G-2 Habitat groups'!A29,'A-3 Site Habitat Enhancement'!$AN$12:$AN$257)</f>
        <v>0</v>
      </c>
      <c r="O29" s="494">
        <f t="shared" si="0"/>
        <v>0</v>
      </c>
      <c r="P29" s="494">
        <f t="shared" si="1"/>
        <v>0</v>
      </c>
      <c r="Q29" s="494">
        <f t="shared" si="2"/>
        <v>0</v>
      </c>
      <c r="R29" s="494">
        <f t="shared" si="3"/>
        <v>0</v>
      </c>
      <c r="S29" s="494">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4">
        <f>SUMIF('D-1 Off Site Habitat Baseline'!$G$11:$G$258,'G-2 Habitat groups'!A29,'D-1 Off Site Habitat Baseline'!$Q$11:$Q$258)</f>
        <v>0</v>
      </c>
      <c r="U29" s="591">
        <f>SUMIF('D-1 Off Site Habitat Baseline'!$G$11:$G$258,'G-2 Habitat groups'!A29,'D-1 Off Site Habitat Baseline'!$S$11:$S$258)</f>
        <v>0</v>
      </c>
      <c r="V29" s="494">
        <f>SUMIF('D-1 Off Site Habitat Baseline'!$G$11:$G$258,'G-2 Habitat groups'!A29,'D-1 Off Site Habitat Baseline'!$U$11:$U$258)</f>
        <v>0</v>
      </c>
      <c r="W29" s="494">
        <f>SUMIF('D-2 Off Site Habitat Creation'!$F$9:$F$255,'G-2 Habitat groups'!A29,'D-2 Off Site Habitat Creation'!$G$9:$G$255)</f>
        <v>0</v>
      </c>
      <c r="X29" s="494">
        <f>SUMIF('D-2 Off Site Habitat Creation'!$F$9:$F$255,'G-2 Habitat groups'!A29,'D-2 Off Site Habitat Creation'!$AA$9:$AA$255)</f>
        <v>0</v>
      </c>
      <c r="Y29" s="494">
        <f>SUMIF('D-3 Off Site Habitat Enhancment'!$S$12:$S$491,'G-2 Habitat groups'!A29,'D-3 Off Site Habitat Enhancment'!$V$12:$V$491)</f>
        <v>0</v>
      </c>
      <c r="Z29" s="494">
        <f>SUMIF('D-3 Off Site Habitat Enhancment'!$S$12:$S$491,'G-2 Habitat groups'!A29,'D-3 Off Site Habitat Enhancment'!$AP$12:$AP$491)</f>
        <v>0</v>
      </c>
      <c r="AA29" s="494">
        <f t="shared" si="4"/>
        <v>0</v>
      </c>
      <c r="AB29" s="494">
        <f t="shared" si="5"/>
        <v>0</v>
      </c>
      <c r="AC29" s="494">
        <f t="shared" si="6"/>
        <v>0</v>
      </c>
      <c r="AD29" s="494">
        <f t="shared" si="7"/>
        <v>0</v>
      </c>
      <c r="AE29" s="494">
        <f t="shared" si="8"/>
        <v>0</v>
      </c>
      <c r="AF29" s="494">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4">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4">
        <f>SUMIF('A-1 Site Habitat Baseline'!$G$11:$G$258,'G-2 Habitat groups'!A30,'A-1 Site Habitat Baseline'!$Q$11:$Q$258)</f>
        <v>0</v>
      </c>
      <c r="G30" s="494">
        <f>SUMIF('A-1 Site Habitat Baseline'!$G$11:$G$258,'G-2 Habitat groups'!A30,'A-1 Site Habitat Baseline'!$S$11:$S$258)</f>
        <v>0</v>
      </c>
      <c r="H30" s="494">
        <f>SUMIF('A-1 Site Habitat Baseline'!$G$11:$G$258,'G-2 Habitat groups'!A30,'A-1 Site Habitat Baseline'!$U$11:$U$258)</f>
        <v>0</v>
      </c>
      <c r="I30" s="494">
        <f>SUMIF('A-1 Site Habitat Baseline'!$G$11:$G$258,'G-2 Habitat groups'!A30,'A-1 Site Habitat Baseline'!$W$11:$W$258)</f>
        <v>0</v>
      </c>
      <c r="J30" s="494">
        <f>SUMIF('A-1 Site Habitat Baseline'!$G$11:$G$258,'G-2 Habitat groups'!A30,'A-1 Site Habitat Baseline'!$X$11:$X$258)</f>
        <v>0</v>
      </c>
      <c r="K30" s="494">
        <f>SUMIF('A-2 Site Habitat Creation'!$F$11:$F$256,'G-2 Habitat groups'!A30,'A-2 Site Habitat Creation'!$G$11:$G$256)</f>
        <v>0</v>
      </c>
      <c r="L30" s="494">
        <f>SUMIF('A-2 Site Habitat Creation'!$F$11:$F$256,'G-2 Habitat groups'!A30,'A-2 Site Habitat Creation'!$Y$11:$Y$256)</f>
        <v>0</v>
      </c>
      <c r="M30" s="494">
        <f>SUMIF('A-3 Site Habitat Enhancement'!$S$12:$S$257,'G-2 Habitat groups'!A30,'A-3 Site Habitat Enhancement'!$V$12:$V$257)</f>
        <v>0</v>
      </c>
      <c r="N30" s="494">
        <f>SUMIF('A-3 Site Habitat Enhancement'!$S$12:$S$257,'G-2 Habitat groups'!A30,'A-3 Site Habitat Enhancement'!$AN$12:$AN$257)</f>
        <v>0</v>
      </c>
      <c r="O30" s="494">
        <f t="shared" si="0"/>
        <v>0</v>
      </c>
      <c r="P30" s="494">
        <f t="shared" si="1"/>
        <v>0</v>
      </c>
      <c r="Q30" s="494">
        <f t="shared" si="2"/>
        <v>0</v>
      </c>
      <c r="R30" s="494">
        <f t="shared" si="3"/>
        <v>0</v>
      </c>
      <c r="S30" s="494">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4">
        <f>SUMIF('D-1 Off Site Habitat Baseline'!$G$11:$G$258,'G-2 Habitat groups'!A30,'D-1 Off Site Habitat Baseline'!$Q$11:$Q$258)</f>
        <v>0</v>
      </c>
      <c r="U30" s="591">
        <f>SUMIF('D-1 Off Site Habitat Baseline'!$G$11:$G$258,'G-2 Habitat groups'!A30,'D-1 Off Site Habitat Baseline'!$S$11:$S$258)</f>
        <v>0</v>
      </c>
      <c r="V30" s="494">
        <f>SUMIF('D-1 Off Site Habitat Baseline'!$G$11:$G$258,'G-2 Habitat groups'!A30,'D-1 Off Site Habitat Baseline'!$U$11:$U$258)</f>
        <v>0</v>
      </c>
      <c r="W30" s="494">
        <f>SUMIF('D-2 Off Site Habitat Creation'!$F$9:$F$255,'G-2 Habitat groups'!A30,'D-2 Off Site Habitat Creation'!$G$9:$G$255)</f>
        <v>0</v>
      </c>
      <c r="X30" s="494">
        <f>SUMIF('D-2 Off Site Habitat Creation'!$F$9:$F$255,'G-2 Habitat groups'!A30,'D-2 Off Site Habitat Creation'!$AA$9:$AA$255)</f>
        <v>0</v>
      </c>
      <c r="Y30" s="494">
        <f>SUMIF('D-3 Off Site Habitat Enhancment'!$S$12:$S$491,'G-2 Habitat groups'!A30,'D-3 Off Site Habitat Enhancment'!$V$12:$V$491)</f>
        <v>0</v>
      </c>
      <c r="Z30" s="494">
        <f>SUMIF('D-3 Off Site Habitat Enhancment'!$S$12:$S$491,'G-2 Habitat groups'!A30,'D-3 Off Site Habitat Enhancment'!$AP$12:$AP$491)</f>
        <v>0</v>
      </c>
      <c r="AA30" s="494">
        <f t="shared" si="4"/>
        <v>0</v>
      </c>
      <c r="AB30" s="494">
        <f t="shared" si="5"/>
        <v>0</v>
      </c>
      <c r="AC30" s="494">
        <f t="shared" si="6"/>
        <v>0</v>
      </c>
      <c r="AD30" s="494">
        <f t="shared" si="7"/>
        <v>0</v>
      </c>
      <c r="AE30" s="494">
        <f t="shared" si="8"/>
        <v>0</v>
      </c>
      <c r="AF30" s="494">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4">
        <f t="shared" ref="AW30:AW70" si="43">VLOOKUP($AU30,AllHabsSummaryData,5,FALSE)</f>
        <v>0</v>
      </c>
      <c r="AX30" s="494">
        <f t="shared" ref="AX30:AX70" si="44">VLOOKUP($AU30,AllHabsSummaryData,10,FALSE)</f>
        <v>0</v>
      </c>
      <c r="AY30" s="494">
        <f t="shared" ref="AY30:AY70" si="45">VLOOKUP($AU30,AllHabsSummaryData,15,FALSE)</f>
        <v>0</v>
      </c>
      <c r="AZ30" s="494">
        <f t="shared" ref="AZ30:AZ70" si="46">VLOOKUP($AU30,AllHabsSummaryData,16,FALSE)</f>
        <v>0</v>
      </c>
      <c r="BA30" s="494">
        <f t="shared" ref="BA30:BA70" si="47">VLOOKUP($AU30,AllHabsSummaryData,17,FALSE)</f>
        <v>0</v>
      </c>
      <c r="BB30" s="494">
        <f t="shared" ref="BB30:BB70" si="48">VLOOKUP($AU30,AllHabsSummaryData,18,FALSE)</f>
        <v>0</v>
      </c>
      <c r="BC30" s="494">
        <f t="shared" ref="BC30:BC70" si="49">VLOOKUP($AU30,AllHabsSummaryData,27,FALSE)</f>
        <v>0</v>
      </c>
      <c r="BD30" s="494">
        <f t="shared" ref="BD30:BD70" si="50">VLOOKUP($AU30,AllHabsSummaryData,30,FALSE)</f>
        <v>0</v>
      </c>
      <c r="BE30" s="494">
        <f t="shared" ref="BE30:BE70" si="51">BB30+BD30</f>
        <v>0</v>
      </c>
      <c r="BF30" s="494"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4">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4">
        <f>SUMIF('A-1 Site Habitat Baseline'!$G$11:$G$258,'G-2 Habitat groups'!A31,'A-1 Site Habitat Baseline'!$Q$11:$Q$258)</f>
        <v>0</v>
      </c>
      <c r="G31" s="494">
        <f>SUMIF('A-1 Site Habitat Baseline'!$G$11:$G$258,'G-2 Habitat groups'!A31,'A-1 Site Habitat Baseline'!$S$11:$S$258)</f>
        <v>0</v>
      </c>
      <c r="H31" s="494">
        <f>SUMIF('A-1 Site Habitat Baseline'!$G$11:$G$258,'G-2 Habitat groups'!A31,'A-1 Site Habitat Baseline'!$U$11:$U$258)</f>
        <v>0</v>
      </c>
      <c r="I31" s="494">
        <f>SUMIF('A-1 Site Habitat Baseline'!$G$11:$G$258,'G-2 Habitat groups'!A31,'A-1 Site Habitat Baseline'!$W$11:$W$258)</f>
        <v>0</v>
      </c>
      <c r="J31" s="494">
        <f>SUMIF('A-1 Site Habitat Baseline'!$G$11:$G$258,'G-2 Habitat groups'!A31,'A-1 Site Habitat Baseline'!$X$11:$X$258)</f>
        <v>0</v>
      </c>
      <c r="K31" s="494">
        <f>SUMIF('A-2 Site Habitat Creation'!$F$11:$F$256,'G-2 Habitat groups'!A31,'A-2 Site Habitat Creation'!$G$11:$G$256)</f>
        <v>0</v>
      </c>
      <c r="L31" s="494">
        <f>SUMIF('A-2 Site Habitat Creation'!$F$11:$F$256,'G-2 Habitat groups'!A31,'A-2 Site Habitat Creation'!$Y$11:$Y$256)</f>
        <v>0</v>
      </c>
      <c r="M31" s="494">
        <f>SUMIF('A-3 Site Habitat Enhancement'!$S$12:$S$257,'G-2 Habitat groups'!A31,'A-3 Site Habitat Enhancement'!$V$12:$V$257)</f>
        <v>0</v>
      </c>
      <c r="N31" s="494">
        <f>SUMIF('A-3 Site Habitat Enhancement'!$S$12:$S$257,'G-2 Habitat groups'!A31,'A-3 Site Habitat Enhancement'!$AN$12:$AN$257)</f>
        <v>0</v>
      </c>
      <c r="O31" s="494">
        <f t="shared" si="0"/>
        <v>0</v>
      </c>
      <c r="P31" s="494">
        <f t="shared" si="1"/>
        <v>0</v>
      </c>
      <c r="Q31" s="494">
        <f t="shared" si="2"/>
        <v>0</v>
      </c>
      <c r="R31" s="494">
        <f t="shared" si="3"/>
        <v>0</v>
      </c>
      <c r="S31" s="494">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4">
        <f>SUMIF('D-1 Off Site Habitat Baseline'!$G$11:$G$258,'G-2 Habitat groups'!A31,'D-1 Off Site Habitat Baseline'!$Q$11:$Q$258)</f>
        <v>0</v>
      </c>
      <c r="U31" s="591">
        <f>SUMIF('D-1 Off Site Habitat Baseline'!$G$11:$G$258,'G-2 Habitat groups'!A31,'D-1 Off Site Habitat Baseline'!$S$11:$S$258)</f>
        <v>0</v>
      </c>
      <c r="V31" s="494">
        <f>SUMIF('D-1 Off Site Habitat Baseline'!$G$11:$G$258,'G-2 Habitat groups'!A31,'D-1 Off Site Habitat Baseline'!$U$11:$U$258)</f>
        <v>0</v>
      </c>
      <c r="W31" s="494">
        <f>SUMIF('D-2 Off Site Habitat Creation'!$F$9:$F$255,'G-2 Habitat groups'!A31,'D-2 Off Site Habitat Creation'!$G$9:$G$255)</f>
        <v>0</v>
      </c>
      <c r="X31" s="494">
        <f>SUMIF('D-2 Off Site Habitat Creation'!$F$9:$F$255,'G-2 Habitat groups'!A31,'D-2 Off Site Habitat Creation'!$AA$9:$AA$255)</f>
        <v>0</v>
      </c>
      <c r="Y31" s="494">
        <f>SUMIF('D-3 Off Site Habitat Enhancment'!$S$12:$S$491,'G-2 Habitat groups'!A31,'D-3 Off Site Habitat Enhancment'!$V$12:$V$491)</f>
        <v>0</v>
      </c>
      <c r="Z31" s="494">
        <f>SUMIF('D-3 Off Site Habitat Enhancment'!$S$12:$S$491,'G-2 Habitat groups'!A31,'D-3 Off Site Habitat Enhancment'!$AP$12:$AP$491)</f>
        <v>0</v>
      </c>
      <c r="AA31" s="494">
        <f t="shared" si="4"/>
        <v>0</v>
      </c>
      <c r="AB31" s="494">
        <f t="shared" si="5"/>
        <v>0</v>
      </c>
      <c r="AC31" s="494">
        <f t="shared" si="6"/>
        <v>0</v>
      </c>
      <c r="AD31" s="494">
        <f t="shared" si="7"/>
        <v>0</v>
      </c>
      <c r="AE31" s="494">
        <f t="shared" si="8"/>
        <v>0</v>
      </c>
      <c r="AF31" s="494">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4">
        <f t="shared" si="43"/>
        <v>0</v>
      </c>
      <c r="AX31" s="494">
        <f t="shared" si="44"/>
        <v>0</v>
      </c>
      <c r="AY31" s="494">
        <f t="shared" si="45"/>
        <v>0</v>
      </c>
      <c r="AZ31" s="494">
        <f t="shared" si="46"/>
        <v>0</v>
      </c>
      <c r="BA31" s="494">
        <f t="shared" si="47"/>
        <v>0</v>
      </c>
      <c r="BB31" s="494">
        <f t="shared" si="48"/>
        <v>0</v>
      </c>
      <c r="BC31" s="494">
        <f t="shared" si="49"/>
        <v>0</v>
      </c>
      <c r="BD31" s="494">
        <f t="shared" si="50"/>
        <v>0</v>
      </c>
      <c r="BE31" s="494">
        <f t="shared" si="51"/>
        <v>0</v>
      </c>
      <c r="BF31" s="494"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4">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4">
        <f>SUMIF('A-1 Site Habitat Baseline'!$G$11:$G$258,'G-2 Habitat groups'!A32,'A-1 Site Habitat Baseline'!$Q$11:$Q$258)</f>
        <v>0</v>
      </c>
      <c r="G32" s="494">
        <f>SUMIF('A-1 Site Habitat Baseline'!$G$11:$G$258,'G-2 Habitat groups'!A32,'A-1 Site Habitat Baseline'!$S$11:$S$258)</f>
        <v>0</v>
      </c>
      <c r="H32" s="494">
        <f>SUMIF('A-1 Site Habitat Baseline'!$G$11:$G$258,'G-2 Habitat groups'!A32,'A-1 Site Habitat Baseline'!$U$11:$U$258)</f>
        <v>0</v>
      </c>
      <c r="I32" s="494">
        <f>SUMIF('A-1 Site Habitat Baseline'!$G$11:$G$258,'G-2 Habitat groups'!A32,'A-1 Site Habitat Baseline'!$W$11:$W$258)</f>
        <v>0</v>
      </c>
      <c r="J32" s="494">
        <f>SUMIF('A-1 Site Habitat Baseline'!$G$11:$G$258,'G-2 Habitat groups'!A32,'A-1 Site Habitat Baseline'!$X$11:$X$258)</f>
        <v>0</v>
      </c>
      <c r="K32" s="494">
        <f>SUMIF('A-2 Site Habitat Creation'!$F$11:$F$256,'G-2 Habitat groups'!A32,'A-2 Site Habitat Creation'!$G$11:$G$256)</f>
        <v>0</v>
      </c>
      <c r="L32" s="494">
        <f>SUMIF('A-2 Site Habitat Creation'!$F$11:$F$256,'G-2 Habitat groups'!A32,'A-2 Site Habitat Creation'!$Y$11:$Y$256)</f>
        <v>0</v>
      </c>
      <c r="M32" s="494">
        <f>SUMIF('A-3 Site Habitat Enhancement'!$S$12:$S$257,'G-2 Habitat groups'!A32,'A-3 Site Habitat Enhancement'!$V$12:$V$257)</f>
        <v>0</v>
      </c>
      <c r="N32" s="494">
        <f>SUMIF('A-3 Site Habitat Enhancement'!$S$12:$S$257,'G-2 Habitat groups'!A32,'A-3 Site Habitat Enhancement'!$AN$12:$AN$257)</f>
        <v>0</v>
      </c>
      <c r="O32" s="494">
        <f t="shared" si="0"/>
        <v>0</v>
      </c>
      <c r="P32" s="494">
        <f t="shared" si="1"/>
        <v>0</v>
      </c>
      <c r="Q32" s="494">
        <f t="shared" si="2"/>
        <v>0</v>
      </c>
      <c r="R32" s="494">
        <f t="shared" si="3"/>
        <v>0</v>
      </c>
      <c r="S32" s="494">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4">
        <f>SUMIF('D-1 Off Site Habitat Baseline'!$G$11:$G$258,'G-2 Habitat groups'!A32,'D-1 Off Site Habitat Baseline'!$Q$11:$Q$258)</f>
        <v>0</v>
      </c>
      <c r="U32" s="591">
        <f>SUMIF('D-1 Off Site Habitat Baseline'!$G$11:$G$258,'G-2 Habitat groups'!A32,'D-1 Off Site Habitat Baseline'!$S$11:$S$258)</f>
        <v>0</v>
      </c>
      <c r="V32" s="494">
        <f>SUMIF('D-1 Off Site Habitat Baseline'!$G$11:$G$258,'G-2 Habitat groups'!A32,'D-1 Off Site Habitat Baseline'!$U$11:$U$258)</f>
        <v>0</v>
      </c>
      <c r="W32" s="494">
        <f>SUMIF('D-2 Off Site Habitat Creation'!$F$9:$F$255,'G-2 Habitat groups'!A32,'D-2 Off Site Habitat Creation'!$G$9:$G$255)</f>
        <v>0</v>
      </c>
      <c r="X32" s="494">
        <f>SUMIF('D-2 Off Site Habitat Creation'!$F$9:$F$255,'G-2 Habitat groups'!A32,'D-2 Off Site Habitat Creation'!$AA$9:$AA$255)</f>
        <v>0</v>
      </c>
      <c r="Y32" s="494">
        <f>SUMIF('D-3 Off Site Habitat Enhancment'!$S$12:$S$491,'G-2 Habitat groups'!A32,'D-3 Off Site Habitat Enhancment'!$V$12:$V$491)</f>
        <v>0</v>
      </c>
      <c r="Z32" s="494">
        <f>SUMIF('D-3 Off Site Habitat Enhancment'!$S$12:$S$491,'G-2 Habitat groups'!A32,'D-3 Off Site Habitat Enhancment'!$AP$12:$AP$491)</f>
        <v>0</v>
      </c>
      <c r="AA32" s="494">
        <f t="shared" si="4"/>
        <v>0</v>
      </c>
      <c r="AB32" s="494">
        <f t="shared" si="5"/>
        <v>0</v>
      </c>
      <c r="AC32" s="494">
        <f t="shared" si="6"/>
        <v>0</v>
      </c>
      <c r="AD32" s="494">
        <f t="shared" si="7"/>
        <v>0</v>
      </c>
      <c r="AE32" s="494">
        <f t="shared" si="8"/>
        <v>0</v>
      </c>
      <c r="AF32" s="494">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4">
        <f t="shared" si="43"/>
        <v>0</v>
      </c>
      <c r="AX32" s="494">
        <f t="shared" si="44"/>
        <v>0</v>
      </c>
      <c r="AY32" s="494">
        <f t="shared" si="45"/>
        <v>0</v>
      </c>
      <c r="AZ32" s="494">
        <f t="shared" si="46"/>
        <v>0</v>
      </c>
      <c r="BA32" s="494">
        <f t="shared" si="47"/>
        <v>0</v>
      </c>
      <c r="BB32" s="494">
        <f t="shared" si="48"/>
        <v>0</v>
      </c>
      <c r="BC32" s="494">
        <f t="shared" si="49"/>
        <v>0</v>
      </c>
      <c r="BD32" s="494">
        <f t="shared" si="50"/>
        <v>0</v>
      </c>
      <c r="BE32" s="494">
        <f t="shared" si="51"/>
        <v>0</v>
      </c>
      <c r="BF32" s="494"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4">
        <f>IF(C33="V.High",SUMIF('A-1 Site Habitat Baseline'!$G$11:$G$258,'G-2 Habitat groups'!A33,'A-1 Site Habitat Baseline'!$S$11:$S$258)+SUMIF('A-1 Site Habitat Baseline'!$G$11:$G$258,'G-2 Habitat groups'!A33,'A-1 Site Habitat Baseline'!$T$11:$T$258),SUMIF('A-1 Site Habitat Baseline'!$G$11:$G$258,'G-2 Habitat groups'!A33,'A-1 Site Habitat Baseline'!$H$11:$H$258))</f>
        <v>0.2011</v>
      </c>
      <c r="F33" s="494">
        <f>SUMIF('A-1 Site Habitat Baseline'!$G$11:$G$258,'G-2 Habitat groups'!A33,'A-1 Site Habitat Baseline'!$Q$11:$Q$258)</f>
        <v>0.92505999999999988</v>
      </c>
      <c r="G33" s="494">
        <f>SUMIF('A-1 Site Habitat Baseline'!$G$11:$G$258,'G-2 Habitat groups'!A33,'A-1 Site Habitat Baseline'!$S$11:$S$258)</f>
        <v>0</v>
      </c>
      <c r="H33" s="494">
        <f>SUMIF('A-1 Site Habitat Baseline'!$G$11:$G$258,'G-2 Habitat groups'!A33,'A-1 Site Habitat Baseline'!$U$11:$U$258)</f>
        <v>0</v>
      </c>
      <c r="I33" s="494">
        <f>SUMIF('A-1 Site Habitat Baseline'!$G$11:$G$258,'G-2 Habitat groups'!A33,'A-1 Site Habitat Baseline'!$W$11:$W$258)</f>
        <v>0.2011</v>
      </c>
      <c r="J33" s="494">
        <f>SUMIF('A-1 Site Habitat Baseline'!$G$11:$G$258,'G-2 Habitat groups'!A33,'A-1 Site Habitat Baseline'!$X$11:$X$258)</f>
        <v>0.92505999999999988</v>
      </c>
      <c r="K33" s="494">
        <f>SUMIF('A-2 Site Habitat Creation'!$F$11:$F$256,'G-2 Habitat groups'!A33,'A-2 Site Habitat Creation'!$G$11:$G$256)</f>
        <v>9.4899999999999998E-2</v>
      </c>
      <c r="L33" s="494">
        <f>SUMIF('A-2 Site Habitat Creation'!$F$11:$F$256,'G-2 Habitat groups'!A33,'A-2 Site Habitat Creation'!$Y$11:$Y$256)</f>
        <v>0.73061840191984795</v>
      </c>
      <c r="M33" s="494">
        <f>SUMIF('A-3 Site Habitat Enhancement'!$S$12:$S$257,'G-2 Habitat groups'!A33,'A-3 Site Habitat Enhancement'!$V$12:$V$257)</f>
        <v>0</v>
      </c>
      <c r="N33" s="494">
        <f>SUMIF('A-3 Site Habitat Enhancement'!$S$12:$S$257,'G-2 Habitat groups'!A33,'A-3 Site Habitat Enhancement'!$AN$12:$AN$257)</f>
        <v>0</v>
      </c>
      <c r="O33" s="494">
        <f t="shared" si="0"/>
        <v>9.4899999999999998E-2</v>
      </c>
      <c r="P33" s="494">
        <f t="shared" si="1"/>
        <v>0.73061840191984795</v>
      </c>
      <c r="Q33" s="494">
        <f t="shared" si="2"/>
        <v>-0.1062</v>
      </c>
      <c r="R33" s="494">
        <f t="shared" si="3"/>
        <v>-0.19444159808015193</v>
      </c>
      <c r="S33" s="494">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4">
        <f>SUMIF('D-1 Off Site Habitat Baseline'!$G$11:$G$258,'G-2 Habitat groups'!A33,'D-1 Off Site Habitat Baseline'!$Q$11:$Q$258)</f>
        <v>0</v>
      </c>
      <c r="U33" s="591">
        <f>SUMIF('D-1 Off Site Habitat Baseline'!$G$11:$G$258,'G-2 Habitat groups'!A33,'D-1 Off Site Habitat Baseline'!$S$11:$S$258)</f>
        <v>0</v>
      </c>
      <c r="V33" s="494">
        <f>SUMIF('D-1 Off Site Habitat Baseline'!$G$11:$G$258,'G-2 Habitat groups'!A33,'D-1 Off Site Habitat Baseline'!$U$11:$U$258)</f>
        <v>0</v>
      </c>
      <c r="W33" s="494">
        <f>SUMIF('D-2 Off Site Habitat Creation'!$F$9:$F$255,'G-2 Habitat groups'!A33,'D-2 Off Site Habitat Creation'!$G$9:$G$255)</f>
        <v>0</v>
      </c>
      <c r="X33" s="494">
        <f>SUMIF('D-2 Off Site Habitat Creation'!$F$9:$F$255,'G-2 Habitat groups'!A33,'D-2 Off Site Habitat Creation'!$AA$9:$AA$255)</f>
        <v>0</v>
      </c>
      <c r="Y33" s="494">
        <f>SUMIF('D-3 Off Site Habitat Enhancment'!$S$12:$S$491,'G-2 Habitat groups'!A33,'D-3 Off Site Habitat Enhancment'!$V$12:$V$491)</f>
        <v>0</v>
      </c>
      <c r="Z33" s="494">
        <f>SUMIF('D-3 Off Site Habitat Enhancment'!$S$12:$S$491,'G-2 Habitat groups'!A33,'D-3 Off Site Habitat Enhancment'!$AP$12:$AP$491)</f>
        <v>0</v>
      </c>
      <c r="AA33" s="494">
        <f t="shared" si="4"/>
        <v>0</v>
      </c>
      <c r="AB33" s="494">
        <f t="shared" si="5"/>
        <v>0</v>
      </c>
      <c r="AC33" s="494">
        <f t="shared" si="6"/>
        <v>0</v>
      </c>
      <c r="AD33" s="494">
        <f t="shared" si="7"/>
        <v>0</v>
      </c>
      <c r="AE33" s="494">
        <f t="shared" si="8"/>
        <v>-0.1062</v>
      </c>
      <c r="AF33" s="494">
        <f t="shared" si="9"/>
        <v>-0.19444159808015193</v>
      </c>
      <c r="AU33" s="113" t="s">
        <v>459</v>
      </c>
      <c r="AV33" s="88" t="s">
        <v>70</v>
      </c>
      <c r="AW33" s="494">
        <f t="shared" si="43"/>
        <v>0</v>
      </c>
      <c r="AX33" s="494">
        <f t="shared" si="44"/>
        <v>0</v>
      </c>
      <c r="AY33" s="494">
        <f t="shared" si="45"/>
        <v>0</v>
      </c>
      <c r="AZ33" s="494">
        <f t="shared" si="46"/>
        <v>0</v>
      </c>
      <c r="BA33" s="494">
        <f t="shared" si="47"/>
        <v>0</v>
      </c>
      <c r="BB33" s="494">
        <f t="shared" si="48"/>
        <v>0</v>
      </c>
      <c r="BC33" s="494">
        <f t="shared" si="49"/>
        <v>0</v>
      </c>
      <c r="BD33" s="494">
        <f t="shared" si="50"/>
        <v>0</v>
      </c>
      <c r="BE33" s="494">
        <f t="shared" si="51"/>
        <v>0</v>
      </c>
      <c r="BF33" s="494"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4">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4">
        <f>SUMIF('A-1 Site Habitat Baseline'!$G$11:$G$258,'G-2 Habitat groups'!A34,'A-1 Site Habitat Baseline'!$Q$11:$Q$258)</f>
        <v>0</v>
      </c>
      <c r="G34" s="494">
        <f>SUMIF('A-1 Site Habitat Baseline'!$G$11:$G$258,'G-2 Habitat groups'!A34,'A-1 Site Habitat Baseline'!$S$11:$S$258)</f>
        <v>0</v>
      </c>
      <c r="H34" s="494">
        <f>SUMIF('A-1 Site Habitat Baseline'!$G$11:$G$258,'G-2 Habitat groups'!A34,'A-1 Site Habitat Baseline'!$U$11:$U$258)</f>
        <v>0</v>
      </c>
      <c r="I34" s="494">
        <f>SUMIF('A-1 Site Habitat Baseline'!$G$11:$G$258,'G-2 Habitat groups'!A34,'A-1 Site Habitat Baseline'!$W$11:$W$258)</f>
        <v>0</v>
      </c>
      <c r="J34" s="494">
        <f>SUMIF('A-1 Site Habitat Baseline'!$G$11:$G$258,'G-2 Habitat groups'!A34,'A-1 Site Habitat Baseline'!$X$11:$X$258)</f>
        <v>0</v>
      </c>
      <c r="K34" s="494">
        <f>SUMIF('A-2 Site Habitat Creation'!$F$11:$F$256,'G-2 Habitat groups'!A34,'A-2 Site Habitat Creation'!$G$11:$G$256)</f>
        <v>0</v>
      </c>
      <c r="L34" s="494">
        <f>SUMIF('A-2 Site Habitat Creation'!$F$11:$F$256,'G-2 Habitat groups'!A34,'A-2 Site Habitat Creation'!$Y$11:$Y$256)</f>
        <v>0</v>
      </c>
      <c r="M34" s="494">
        <f>SUMIF('A-3 Site Habitat Enhancement'!$S$12:$S$257,'G-2 Habitat groups'!A34,'A-3 Site Habitat Enhancement'!$V$12:$V$257)</f>
        <v>0</v>
      </c>
      <c r="N34" s="494">
        <f>SUMIF('A-3 Site Habitat Enhancement'!$S$12:$S$257,'G-2 Habitat groups'!A34,'A-3 Site Habitat Enhancement'!$AN$12:$AN$257)</f>
        <v>0</v>
      </c>
      <c r="O34" s="494">
        <f t="shared" si="0"/>
        <v>0</v>
      </c>
      <c r="P34" s="494">
        <f t="shared" si="1"/>
        <v>0</v>
      </c>
      <c r="Q34" s="494">
        <f t="shared" si="2"/>
        <v>0</v>
      </c>
      <c r="R34" s="494">
        <f t="shared" si="3"/>
        <v>0</v>
      </c>
      <c r="S34" s="494">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4">
        <f>SUMIF('D-1 Off Site Habitat Baseline'!$G$11:$G$258,'G-2 Habitat groups'!A34,'D-1 Off Site Habitat Baseline'!$Q$11:$Q$258)</f>
        <v>0</v>
      </c>
      <c r="U34" s="591">
        <f>SUMIF('D-1 Off Site Habitat Baseline'!$G$11:$G$258,'G-2 Habitat groups'!A34,'D-1 Off Site Habitat Baseline'!$S$11:$S$258)</f>
        <v>0</v>
      </c>
      <c r="V34" s="494">
        <f>SUMIF('D-1 Off Site Habitat Baseline'!$G$11:$G$258,'G-2 Habitat groups'!A34,'D-1 Off Site Habitat Baseline'!$U$11:$U$258)</f>
        <v>0</v>
      </c>
      <c r="W34" s="494">
        <f>SUMIF('D-2 Off Site Habitat Creation'!$F$9:$F$255,'G-2 Habitat groups'!A34,'D-2 Off Site Habitat Creation'!$G$9:$G$255)</f>
        <v>0</v>
      </c>
      <c r="X34" s="494">
        <f>SUMIF('D-2 Off Site Habitat Creation'!$F$9:$F$255,'G-2 Habitat groups'!A34,'D-2 Off Site Habitat Creation'!$AA$9:$AA$255)</f>
        <v>0</v>
      </c>
      <c r="Y34" s="494">
        <f>SUMIF('D-3 Off Site Habitat Enhancment'!$S$12:$S$491,'G-2 Habitat groups'!A34,'D-3 Off Site Habitat Enhancment'!$V$12:$V$491)</f>
        <v>0</v>
      </c>
      <c r="Z34" s="494">
        <f>SUMIF('D-3 Off Site Habitat Enhancment'!$S$12:$S$491,'G-2 Habitat groups'!A34,'D-3 Off Site Habitat Enhancment'!$AP$12:$AP$491)</f>
        <v>0</v>
      </c>
      <c r="AA34" s="494">
        <f t="shared" si="4"/>
        <v>0</v>
      </c>
      <c r="AB34" s="494">
        <f t="shared" si="5"/>
        <v>0</v>
      </c>
      <c r="AC34" s="494">
        <f t="shared" si="6"/>
        <v>0</v>
      </c>
      <c r="AD34" s="494">
        <f t="shared" si="7"/>
        <v>0</v>
      </c>
      <c r="AE34" s="494">
        <f t="shared" si="8"/>
        <v>0</v>
      </c>
      <c r="AF34" s="494">
        <f t="shared" si="9"/>
        <v>0</v>
      </c>
      <c r="AU34" s="113" t="s">
        <v>467</v>
      </c>
      <c r="AV34" s="88" t="s">
        <v>70</v>
      </c>
      <c r="AW34" s="494">
        <f t="shared" si="43"/>
        <v>0</v>
      </c>
      <c r="AX34" s="494">
        <f t="shared" si="44"/>
        <v>0</v>
      </c>
      <c r="AY34" s="494">
        <f t="shared" si="45"/>
        <v>0</v>
      </c>
      <c r="AZ34" s="494">
        <f t="shared" si="46"/>
        <v>0</v>
      </c>
      <c r="BA34" s="494">
        <f t="shared" si="47"/>
        <v>0</v>
      </c>
      <c r="BB34" s="494">
        <f t="shared" si="48"/>
        <v>0</v>
      </c>
      <c r="BC34" s="494">
        <f t="shared" si="49"/>
        <v>0</v>
      </c>
      <c r="BD34" s="494">
        <f t="shared" si="50"/>
        <v>0</v>
      </c>
      <c r="BE34" s="494">
        <f t="shared" si="51"/>
        <v>0</v>
      </c>
      <c r="BF34" s="494"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4">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4">
        <f>SUMIF('A-1 Site Habitat Baseline'!$G$11:$G$258,'G-2 Habitat groups'!A35,'A-1 Site Habitat Baseline'!$Q$11:$Q$258)</f>
        <v>0</v>
      </c>
      <c r="G35" s="494">
        <f>SUMIF('A-1 Site Habitat Baseline'!$G$11:$G$258,'G-2 Habitat groups'!A35,'A-1 Site Habitat Baseline'!$S$11:$S$258)</f>
        <v>0</v>
      </c>
      <c r="H35" s="494">
        <f>SUMIF('A-1 Site Habitat Baseline'!$G$11:$G$258,'G-2 Habitat groups'!A35,'A-1 Site Habitat Baseline'!$U$11:$U$258)</f>
        <v>0</v>
      </c>
      <c r="I35" s="494">
        <f>SUMIF('A-1 Site Habitat Baseline'!$G$11:$G$258,'G-2 Habitat groups'!A35,'A-1 Site Habitat Baseline'!$W$11:$W$258)</f>
        <v>0</v>
      </c>
      <c r="J35" s="494">
        <f>SUMIF('A-1 Site Habitat Baseline'!$G$11:$G$258,'G-2 Habitat groups'!A35,'A-1 Site Habitat Baseline'!$X$11:$X$258)</f>
        <v>0</v>
      </c>
      <c r="K35" s="494">
        <f>SUMIF('A-2 Site Habitat Creation'!$F$11:$F$256,'G-2 Habitat groups'!A35,'A-2 Site Habitat Creation'!$G$11:$G$256)</f>
        <v>0</v>
      </c>
      <c r="L35" s="494">
        <f>SUMIF('A-2 Site Habitat Creation'!$F$11:$F$256,'G-2 Habitat groups'!A35,'A-2 Site Habitat Creation'!$Y$11:$Y$256)</f>
        <v>0</v>
      </c>
      <c r="M35" s="494">
        <f>SUMIF('A-3 Site Habitat Enhancement'!$S$12:$S$257,'G-2 Habitat groups'!A35,'A-3 Site Habitat Enhancement'!$V$12:$V$257)</f>
        <v>0</v>
      </c>
      <c r="N35" s="494">
        <f>SUMIF('A-3 Site Habitat Enhancement'!$S$12:$S$257,'G-2 Habitat groups'!A35,'A-3 Site Habitat Enhancement'!$AN$12:$AN$257)</f>
        <v>0</v>
      </c>
      <c r="O35" s="494">
        <f t="shared" ref="O35:O66" si="53">G35+K35+M35</f>
        <v>0</v>
      </c>
      <c r="P35" s="494">
        <f t="shared" ref="P35:P66" si="54">H35+L35+N35</f>
        <v>0</v>
      </c>
      <c r="Q35" s="494">
        <f t="shared" ref="Q35:Q66" si="55">O35-E35</f>
        <v>0</v>
      </c>
      <c r="R35" s="494">
        <f t="shared" ref="R35:R66" si="56">P35-F35</f>
        <v>0</v>
      </c>
      <c r="S35" s="494">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4">
        <f>SUMIF('D-1 Off Site Habitat Baseline'!$G$11:$G$258,'G-2 Habitat groups'!A35,'D-1 Off Site Habitat Baseline'!$Q$11:$Q$258)</f>
        <v>0</v>
      </c>
      <c r="U35" s="591">
        <f>SUMIF('D-1 Off Site Habitat Baseline'!$G$11:$G$258,'G-2 Habitat groups'!A35,'D-1 Off Site Habitat Baseline'!$S$11:$S$258)</f>
        <v>0</v>
      </c>
      <c r="V35" s="494">
        <f>SUMIF('D-1 Off Site Habitat Baseline'!$G$11:$G$258,'G-2 Habitat groups'!A35,'D-1 Off Site Habitat Baseline'!$U$11:$U$258)</f>
        <v>0</v>
      </c>
      <c r="W35" s="494">
        <f>SUMIF('D-2 Off Site Habitat Creation'!$F$9:$F$255,'G-2 Habitat groups'!A35,'D-2 Off Site Habitat Creation'!$G$9:$G$255)</f>
        <v>0</v>
      </c>
      <c r="X35" s="494">
        <f>SUMIF('D-2 Off Site Habitat Creation'!$F$9:$F$255,'G-2 Habitat groups'!A35,'D-2 Off Site Habitat Creation'!$AA$9:$AA$255)</f>
        <v>0</v>
      </c>
      <c r="Y35" s="494">
        <f>SUMIF('D-3 Off Site Habitat Enhancment'!$S$12:$S$491,'G-2 Habitat groups'!A35,'D-3 Off Site Habitat Enhancment'!$V$12:$V$491)</f>
        <v>0</v>
      </c>
      <c r="Z35" s="494">
        <f>SUMIF('D-3 Off Site Habitat Enhancment'!$S$12:$S$491,'G-2 Habitat groups'!A35,'D-3 Off Site Habitat Enhancment'!$AP$12:$AP$491)</f>
        <v>0</v>
      </c>
      <c r="AA35" s="494">
        <f t="shared" ref="AA35:AA66" si="57">U35+W35+Y35</f>
        <v>0</v>
      </c>
      <c r="AB35" s="494">
        <f t="shared" ref="AB35:AB66" si="58">V35+X35+Z35</f>
        <v>0</v>
      </c>
      <c r="AC35" s="494">
        <f t="shared" ref="AC35:AC66" si="59">AA35-S35</f>
        <v>0</v>
      </c>
      <c r="AD35" s="494">
        <f t="shared" ref="AD35:AD66" si="60">AB35-T35</f>
        <v>0</v>
      </c>
      <c r="AE35" s="494">
        <f t="shared" ref="AE35:AE66" si="61">Q35+AC35</f>
        <v>0</v>
      </c>
      <c r="AF35" s="494">
        <f t="shared" ref="AF35:AF66" si="62">R35+AD35</f>
        <v>0</v>
      </c>
      <c r="AU35" s="113" t="s">
        <v>490</v>
      </c>
      <c r="AV35" s="88" t="s">
        <v>71</v>
      </c>
      <c r="AW35" s="494">
        <f t="shared" si="43"/>
        <v>0</v>
      </c>
      <c r="AX35" s="494">
        <f t="shared" si="44"/>
        <v>0</v>
      </c>
      <c r="AY35" s="494">
        <f t="shared" si="45"/>
        <v>0</v>
      </c>
      <c r="AZ35" s="494">
        <f t="shared" si="46"/>
        <v>0</v>
      </c>
      <c r="BA35" s="494">
        <f t="shared" si="47"/>
        <v>0</v>
      </c>
      <c r="BB35" s="494">
        <f t="shared" si="48"/>
        <v>0</v>
      </c>
      <c r="BC35" s="494">
        <f t="shared" si="49"/>
        <v>0</v>
      </c>
      <c r="BD35" s="494">
        <f t="shared" si="50"/>
        <v>0</v>
      </c>
      <c r="BE35" s="494">
        <f t="shared" si="51"/>
        <v>0</v>
      </c>
      <c r="BF35" s="494"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4">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4">
        <f>SUMIF('A-1 Site Habitat Baseline'!$G$11:$G$258,'G-2 Habitat groups'!A36,'A-1 Site Habitat Baseline'!$Q$11:$Q$258)</f>
        <v>0</v>
      </c>
      <c r="G36" s="494">
        <f>SUMIF('A-1 Site Habitat Baseline'!$G$11:$G$258,'G-2 Habitat groups'!A36,'A-1 Site Habitat Baseline'!$S$11:$S$258)</f>
        <v>0</v>
      </c>
      <c r="H36" s="494">
        <f>SUMIF('A-1 Site Habitat Baseline'!$G$11:$G$258,'G-2 Habitat groups'!A36,'A-1 Site Habitat Baseline'!$U$11:$U$258)</f>
        <v>0</v>
      </c>
      <c r="I36" s="494">
        <f>SUMIF('A-1 Site Habitat Baseline'!$G$11:$G$258,'G-2 Habitat groups'!A36,'A-1 Site Habitat Baseline'!$W$11:$W$258)</f>
        <v>0</v>
      </c>
      <c r="J36" s="494">
        <f>SUMIF('A-1 Site Habitat Baseline'!$G$11:$G$258,'G-2 Habitat groups'!A36,'A-1 Site Habitat Baseline'!$X$11:$X$258)</f>
        <v>0</v>
      </c>
      <c r="K36" s="494">
        <f>SUMIF('A-2 Site Habitat Creation'!$F$11:$F$256,'G-2 Habitat groups'!A36,'A-2 Site Habitat Creation'!$G$11:$G$256)</f>
        <v>0</v>
      </c>
      <c r="L36" s="494">
        <f>SUMIF('A-2 Site Habitat Creation'!$F$11:$F$256,'G-2 Habitat groups'!A36,'A-2 Site Habitat Creation'!$Y$11:$Y$256)</f>
        <v>0</v>
      </c>
      <c r="M36" s="494">
        <f>SUMIF('A-3 Site Habitat Enhancement'!$S$12:$S$257,'G-2 Habitat groups'!A36,'A-3 Site Habitat Enhancement'!$V$12:$V$257)</f>
        <v>0</v>
      </c>
      <c r="N36" s="494">
        <f>SUMIF('A-3 Site Habitat Enhancement'!$S$12:$S$257,'G-2 Habitat groups'!A36,'A-3 Site Habitat Enhancement'!$AN$12:$AN$257)</f>
        <v>0</v>
      </c>
      <c r="O36" s="494">
        <f t="shared" si="53"/>
        <v>0</v>
      </c>
      <c r="P36" s="494">
        <f t="shared" si="54"/>
        <v>0</v>
      </c>
      <c r="Q36" s="494">
        <f t="shared" si="55"/>
        <v>0</v>
      </c>
      <c r="R36" s="494">
        <f t="shared" si="56"/>
        <v>0</v>
      </c>
      <c r="S36" s="494">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4">
        <f>SUMIF('D-1 Off Site Habitat Baseline'!$G$11:$G$258,'G-2 Habitat groups'!A36,'D-1 Off Site Habitat Baseline'!$Q$11:$Q$258)</f>
        <v>0</v>
      </c>
      <c r="U36" s="591">
        <f>SUMIF('D-1 Off Site Habitat Baseline'!$G$11:$G$258,'G-2 Habitat groups'!A36,'D-1 Off Site Habitat Baseline'!$S$11:$S$258)</f>
        <v>0</v>
      </c>
      <c r="V36" s="494">
        <f>SUMIF('D-1 Off Site Habitat Baseline'!$G$11:$G$258,'G-2 Habitat groups'!A36,'D-1 Off Site Habitat Baseline'!$U$11:$U$258)</f>
        <v>0</v>
      </c>
      <c r="W36" s="494">
        <f>SUMIF('D-2 Off Site Habitat Creation'!$F$9:$F$255,'G-2 Habitat groups'!A36,'D-2 Off Site Habitat Creation'!$G$9:$G$255)</f>
        <v>0</v>
      </c>
      <c r="X36" s="494">
        <f>SUMIF('D-2 Off Site Habitat Creation'!$F$9:$F$255,'G-2 Habitat groups'!A36,'D-2 Off Site Habitat Creation'!$AA$9:$AA$255)</f>
        <v>0</v>
      </c>
      <c r="Y36" s="494">
        <f>SUMIF('D-3 Off Site Habitat Enhancment'!$S$12:$S$491,'G-2 Habitat groups'!A36,'D-3 Off Site Habitat Enhancment'!$V$12:$V$491)</f>
        <v>0</v>
      </c>
      <c r="Z36" s="494">
        <f>SUMIF('D-3 Off Site Habitat Enhancment'!$S$12:$S$491,'G-2 Habitat groups'!A36,'D-3 Off Site Habitat Enhancment'!$AP$12:$AP$491)</f>
        <v>0</v>
      </c>
      <c r="AA36" s="494">
        <f t="shared" si="57"/>
        <v>0</v>
      </c>
      <c r="AB36" s="494">
        <f t="shared" si="58"/>
        <v>0</v>
      </c>
      <c r="AC36" s="494">
        <f t="shared" si="59"/>
        <v>0</v>
      </c>
      <c r="AD36" s="494">
        <f t="shared" si="60"/>
        <v>0</v>
      </c>
      <c r="AE36" s="494">
        <f t="shared" si="61"/>
        <v>0</v>
      </c>
      <c r="AF36" s="494">
        <f t="shared" si="62"/>
        <v>0</v>
      </c>
      <c r="AU36" s="113" t="s">
        <v>506</v>
      </c>
      <c r="AV36" s="88" t="s">
        <v>71</v>
      </c>
      <c r="AW36" s="494">
        <f t="shared" si="43"/>
        <v>0</v>
      </c>
      <c r="AX36" s="494">
        <f t="shared" si="44"/>
        <v>0</v>
      </c>
      <c r="AY36" s="494">
        <f t="shared" si="45"/>
        <v>0</v>
      </c>
      <c r="AZ36" s="494">
        <f t="shared" si="46"/>
        <v>0</v>
      </c>
      <c r="BA36" s="494">
        <f t="shared" si="47"/>
        <v>0</v>
      </c>
      <c r="BB36" s="494">
        <f t="shared" si="48"/>
        <v>0</v>
      </c>
      <c r="BC36" s="494">
        <f t="shared" si="49"/>
        <v>0</v>
      </c>
      <c r="BD36" s="494">
        <f t="shared" si="50"/>
        <v>0</v>
      </c>
      <c r="BE36" s="494">
        <f t="shared" si="51"/>
        <v>0</v>
      </c>
      <c r="BF36" s="494"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4">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4">
        <f>SUMIF('A-1 Site Habitat Baseline'!$G$11:$G$258,'G-2 Habitat groups'!A37,'A-1 Site Habitat Baseline'!$Q$11:$Q$258)</f>
        <v>0</v>
      </c>
      <c r="G37" s="494">
        <f>SUMIF('A-1 Site Habitat Baseline'!$G$11:$G$258,'G-2 Habitat groups'!A37,'A-1 Site Habitat Baseline'!$S$11:$S$258)</f>
        <v>0</v>
      </c>
      <c r="H37" s="494">
        <f>SUMIF('A-1 Site Habitat Baseline'!$G$11:$G$258,'G-2 Habitat groups'!A37,'A-1 Site Habitat Baseline'!$U$11:$U$258)</f>
        <v>0</v>
      </c>
      <c r="I37" s="494">
        <f>SUMIF('A-1 Site Habitat Baseline'!$G$11:$G$258,'G-2 Habitat groups'!A37,'A-1 Site Habitat Baseline'!$W$11:$W$258)</f>
        <v>0</v>
      </c>
      <c r="J37" s="494">
        <f>SUMIF('A-1 Site Habitat Baseline'!$G$11:$G$258,'G-2 Habitat groups'!A37,'A-1 Site Habitat Baseline'!$X$11:$X$258)</f>
        <v>0</v>
      </c>
      <c r="K37" s="494">
        <f>SUMIF('A-2 Site Habitat Creation'!$F$11:$F$256,'G-2 Habitat groups'!A37,'A-2 Site Habitat Creation'!$G$11:$G$256)</f>
        <v>0</v>
      </c>
      <c r="L37" s="494">
        <f>SUMIF('A-2 Site Habitat Creation'!$F$11:$F$256,'G-2 Habitat groups'!A37,'A-2 Site Habitat Creation'!$Y$11:$Y$256)</f>
        <v>0</v>
      </c>
      <c r="M37" s="494">
        <f>SUMIF('A-3 Site Habitat Enhancement'!$S$12:$S$257,'G-2 Habitat groups'!A37,'A-3 Site Habitat Enhancement'!$V$12:$V$257)</f>
        <v>0</v>
      </c>
      <c r="N37" s="494">
        <f>SUMIF('A-3 Site Habitat Enhancement'!$S$12:$S$257,'G-2 Habitat groups'!A37,'A-3 Site Habitat Enhancement'!$AN$12:$AN$257)</f>
        <v>0</v>
      </c>
      <c r="O37" s="494">
        <f t="shared" si="53"/>
        <v>0</v>
      </c>
      <c r="P37" s="494">
        <f t="shared" si="54"/>
        <v>0</v>
      </c>
      <c r="Q37" s="494">
        <f t="shared" si="55"/>
        <v>0</v>
      </c>
      <c r="R37" s="494">
        <f t="shared" si="56"/>
        <v>0</v>
      </c>
      <c r="S37" s="494">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4">
        <f>SUMIF('D-1 Off Site Habitat Baseline'!$G$11:$G$258,'G-2 Habitat groups'!A37,'D-1 Off Site Habitat Baseline'!$Q$11:$Q$258)</f>
        <v>0</v>
      </c>
      <c r="U37" s="591">
        <f>SUMIF('D-1 Off Site Habitat Baseline'!$G$11:$G$258,'G-2 Habitat groups'!A37,'D-1 Off Site Habitat Baseline'!$S$11:$S$258)</f>
        <v>0</v>
      </c>
      <c r="V37" s="494">
        <f>SUMIF('D-1 Off Site Habitat Baseline'!$G$11:$G$258,'G-2 Habitat groups'!A37,'D-1 Off Site Habitat Baseline'!$U$11:$U$258)</f>
        <v>0</v>
      </c>
      <c r="W37" s="494">
        <f>SUMIF('D-2 Off Site Habitat Creation'!$F$9:$F$255,'G-2 Habitat groups'!A37,'D-2 Off Site Habitat Creation'!$G$9:$G$255)</f>
        <v>0</v>
      </c>
      <c r="X37" s="494">
        <f>SUMIF('D-2 Off Site Habitat Creation'!$F$9:$F$255,'G-2 Habitat groups'!A37,'D-2 Off Site Habitat Creation'!$AA$9:$AA$255)</f>
        <v>0</v>
      </c>
      <c r="Y37" s="494">
        <f>SUMIF('D-3 Off Site Habitat Enhancment'!$S$12:$S$491,'G-2 Habitat groups'!A37,'D-3 Off Site Habitat Enhancment'!$V$12:$V$491)</f>
        <v>0</v>
      </c>
      <c r="Z37" s="494">
        <f>SUMIF('D-3 Off Site Habitat Enhancment'!$S$12:$S$491,'G-2 Habitat groups'!A37,'D-3 Off Site Habitat Enhancment'!$AP$12:$AP$491)</f>
        <v>0</v>
      </c>
      <c r="AA37" s="494">
        <f t="shared" si="57"/>
        <v>0</v>
      </c>
      <c r="AB37" s="494">
        <f t="shared" si="58"/>
        <v>0</v>
      </c>
      <c r="AC37" s="494">
        <f t="shared" si="59"/>
        <v>0</v>
      </c>
      <c r="AD37" s="494">
        <f t="shared" si="60"/>
        <v>0</v>
      </c>
      <c r="AE37" s="494">
        <f t="shared" si="61"/>
        <v>0</v>
      </c>
      <c r="AF37" s="494">
        <f t="shared" si="62"/>
        <v>0</v>
      </c>
      <c r="AU37" s="113" t="s">
        <v>515</v>
      </c>
      <c r="AV37" s="88" t="s">
        <v>71</v>
      </c>
      <c r="AW37" s="494">
        <f t="shared" si="43"/>
        <v>0</v>
      </c>
      <c r="AX37" s="494">
        <f t="shared" si="44"/>
        <v>0</v>
      </c>
      <c r="AY37" s="494">
        <f t="shared" si="45"/>
        <v>0</v>
      </c>
      <c r="AZ37" s="494">
        <f t="shared" si="46"/>
        <v>0</v>
      </c>
      <c r="BA37" s="494">
        <f t="shared" si="47"/>
        <v>0</v>
      </c>
      <c r="BB37" s="494">
        <f t="shared" si="48"/>
        <v>0</v>
      </c>
      <c r="BC37" s="494">
        <f t="shared" si="49"/>
        <v>0</v>
      </c>
      <c r="BD37" s="494">
        <f t="shared" si="50"/>
        <v>0</v>
      </c>
      <c r="BE37" s="494">
        <f t="shared" si="51"/>
        <v>0</v>
      </c>
      <c r="BF37" s="494"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4">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4">
        <f>SUMIF('A-1 Site Habitat Baseline'!$G$11:$G$258,'G-2 Habitat groups'!A38,'A-1 Site Habitat Baseline'!$Q$11:$Q$258)</f>
        <v>0</v>
      </c>
      <c r="G38" s="494">
        <f>SUMIF('A-1 Site Habitat Baseline'!$G$11:$G$258,'G-2 Habitat groups'!A38,'A-1 Site Habitat Baseline'!$S$11:$S$258)</f>
        <v>0</v>
      </c>
      <c r="H38" s="494">
        <f>SUMIF('A-1 Site Habitat Baseline'!$G$11:$G$258,'G-2 Habitat groups'!A38,'A-1 Site Habitat Baseline'!$U$11:$U$258)</f>
        <v>0</v>
      </c>
      <c r="I38" s="494">
        <f>SUMIF('A-1 Site Habitat Baseline'!$G$11:$G$258,'G-2 Habitat groups'!A38,'A-1 Site Habitat Baseline'!$W$11:$W$258)</f>
        <v>0</v>
      </c>
      <c r="J38" s="494">
        <f>SUMIF('A-1 Site Habitat Baseline'!$G$11:$G$258,'G-2 Habitat groups'!A38,'A-1 Site Habitat Baseline'!$X$11:$X$258)</f>
        <v>0</v>
      </c>
      <c r="K38" s="494">
        <f>SUMIF('A-2 Site Habitat Creation'!$F$11:$F$256,'G-2 Habitat groups'!A38,'A-2 Site Habitat Creation'!$G$11:$G$256)</f>
        <v>0</v>
      </c>
      <c r="L38" s="494">
        <f>SUMIF('A-2 Site Habitat Creation'!$F$11:$F$256,'G-2 Habitat groups'!A38,'A-2 Site Habitat Creation'!$Y$11:$Y$256)</f>
        <v>0</v>
      </c>
      <c r="M38" s="494">
        <f>SUMIF('A-3 Site Habitat Enhancement'!$S$12:$S$257,'G-2 Habitat groups'!A38,'A-3 Site Habitat Enhancement'!$V$12:$V$257)</f>
        <v>0</v>
      </c>
      <c r="N38" s="494">
        <f>SUMIF('A-3 Site Habitat Enhancement'!$S$12:$S$257,'G-2 Habitat groups'!A38,'A-3 Site Habitat Enhancement'!$AN$12:$AN$257)</f>
        <v>0</v>
      </c>
      <c r="O38" s="494">
        <f t="shared" si="53"/>
        <v>0</v>
      </c>
      <c r="P38" s="494">
        <f t="shared" si="54"/>
        <v>0</v>
      </c>
      <c r="Q38" s="494">
        <f t="shared" si="55"/>
        <v>0</v>
      </c>
      <c r="R38" s="494">
        <f t="shared" si="56"/>
        <v>0</v>
      </c>
      <c r="S38" s="494">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4">
        <f>SUMIF('D-1 Off Site Habitat Baseline'!$G$11:$G$258,'G-2 Habitat groups'!A38,'D-1 Off Site Habitat Baseline'!$Q$11:$Q$258)</f>
        <v>0</v>
      </c>
      <c r="U38" s="591">
        <f>SUMIF('D-1 Off Site Habitat Baseline'!$G$11:$G$258,'G-2 Habitat groups'!A38,'D-1 Off Site Habitat Baseline'!$S$11:$S$258)</f>
        <v>0</v>
      </c>
      <c r="V38" s="494">
        <f>SUMIF('D-1 Off Site Habitat Baseline'!$G$11:$G$258,'G-2 Habitat groups'!A38,'D-1 Off Site Habitat Baseline'!$U$11:$U$258)</f>
        <v>0</v>
      </c>
      <c r="W38" s="494">
        <f>SUMIF('D-2 Off Site Habitat Creation'!$F$9:$F$255,'G-2 Habitat groups'!A38,'D-2 Off Site Habitat Creation'!$G$9:$G$255)</f>
        <v>0</v>
      </c>
      <c r="X38" s="494">
        <f>SUMIF('D-2 Off Site Habitat Creation'!$F$9:$F$255,'G-2 Habitat groups'!A38,'D-2 Off Site Habitat Creation'!$AA$9:$AA$255)</f>
        <v>0</v>
      </c>
      <c r="Y38" s="494">
        <f>SUMIF('D-3 Off Site Habitat Enhancment'!$S$12:$S$491,'G-2 Habitat groups'!A38,'D-3 Off Site Habitat Enhancment'!$V$12:$V$491)</f>
        <v>0</v>
      </c>
      <c r="Z38" s="494">
        <f>SUMIF('D-3 Off Site Habitat Enhancment'!$S$12:$S$491,'G-2 Habitat groups'!A38,'D-3 Off Site Habitat Enhancment'!$AP$12:$AP$491)</f>
        <v>0</v>
      </c>
      <c r="AA38" s="494">
        <f t="shared" si="57"/>
        <v>0</v>
      </c>
      <c r="AB38" s="494">
        <f t="shared" si="58"/>
        <v>0</v>
      </c>
      <c r="AC38" s="494">
        <f t="shared" si="59"/>
        <v>0</v>
      </c>
      <c r="AD38" s="494">
        <f t="shared" si="60"/>
        <v>0</v>
      </c>
      <c r="AE38" s="494">
        <f t="shared" si="61"/>
        <v>0</v>
      </c>
      <c r="AF38" s="494">
        <f t="shared" si="62"/>
        <v>0</v>
      </c>
      <c r="AU38" s="113" t="s">
        <v>526</v>
      </c>
      <c r="AV38" s="88" t="s">
        <v>72</v>
      </c>
      <c r="AW38" s="494">
        <f t="shared" si="43"/>
        <v>0</v>
      </c>
      <c r="AX38" s="494">
        <f t="shared" si="44"/>
        <v>0</v>
      </c>
      <c r="AY38" s="494">
        <f t="shared" si="45"/>
        <v>0</v>
      </c>
      <c r="AZ38" s="494">
        <f t="shared" si="46"/>
        <v>0</v>
      </c>
      <c r="BA38" s="494">
        <f t="shared" si="47"/>
        <v>0</v>
      </c>
      <c r="BB38" s="494">
        <f t="shared" si="48"/>
        <v>0</v>
      </c>
      <c r="BC38" s="494">
        <f t="shared" si="49"/>
        <v>0</v>
      </c>
      <c r="BD38" s="494">
        <f t="shared" si="50"/>
        <v>0</v>
      </c>
      <c r="BE38" s="494">
        <f t="shared" si="51"/>
        <v>0</v>
      </c>
      <c r="BF38" s="494"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4">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4">
        <f>SUMIF('A-1 Site Habitat Baseline'!$G$11:$G$258,'G-2 Habitat groups'!A39,'A-1 Site Habitat Baseline'!$Q$11:$Q$258)</f>
        <v>0</v>
      </c>
      <c r="G39" s="494">
        <f>SUMIF('A-1 Site Habitat Baseline'!$G$11:$G$258,'G-2 Habitat groups'!A39,'A-1 Site Habitat Baseline'!$S$11:$S$258)</f>
        <v>0</v>
      </c>
      <c r="H39" s="494">
        <f>SUMIF('A-1 Site Habitat Baseline'!$G$11:$G$258,'G-2 Habitat groups'!A39,'A-1 Site Habitat Baseline'!$U$11:$U$258)</f>
        <v>0</v>
      </c>
      <c r="I39" s="494">
        <f>SUMIF('A-1 Site Habitat Baseline'!$G$11:$G$258,'G-2 Habitat groups'!A39,'A-1 Site Habitat Baseline'!$W$11:$W$258)</f>
        <v>0</v>
      </c>
      <c r="J39" s="494">
        <f>SUMIF('A-1 Site Habitat Baseline'!$G$11:$G$258,'G-2 Habitat groups'!A39,'A-1 Site Habitat Baseline'!$X$11:$X$258)</f>
        <v>0</v>
      </c>
      <c r="K39" s="494">
        <f>SUMIF('A-2 Site Habitat Creation'!$F$11:$F$256,'G-2 Habitat groups'!A39,'A-2 Site Habitat Creation'!$G$11:$G$256)</f>
        <v>0</v>
      </c>
      <c r="L39" s="494">
        <f>SUMIF('A-2 Site Habitat Creation'!$F$11:$F$256,'G-2 Habitat groups'!A39,'A-2 Site Habitat Creation'!$Y$11:$Y$256)</f>
        <v>0</v>
      </c>
      <c r="M39" s="494">
        <f>SUMIF('A-3 Site Habitat Enhancement'!$S$12:$S$257,'G-2 Habitat groups'!A39,'A-3 Site Habitat Enhancement'!$V$12:$V$257)</f>
        <v>0</v>
      </c>
      <c r="N39" s="494">
        <f>SUMIF('A-3 Site Habitat Enhancement'!$S$12:$S$257,'G-2 Habitat groups'!A39,'A-3 Site Habitat Enhancement'!$AN$12:$AN$257)</f>
        <v>0</v>
      </c>
      <c r="O39" s="494">
        <f t="shared" si="53"/>
        <v>0</v>
      </c>
      <c r="P39" s="494">
        <f t="shared" si="54"/>
        <v>0</v>
      </c>
      <c r="Q39" s="494">
        <f t="shared" si="55"/>
        <v>0</v>
      </c>
      <c r="R39" s="494">
        <f t="shared" si="56"/>
        <v>0</v>
      </c>
      <c r="S39" s="494">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4">
        <f>SUMIF('D-1 Off Site Habitat Baseline'!$G$11:$G$258,'G-2 Habitat groups'!A39,'D-1 Off Site Habitat Baseline'!$Q$11:$Q$258)</f>
        <v>0</v>
      </c>
      <c r="U39" s="591">
        <f>SUMIF('D-1 Off Site Habitat Baseline'!$G$11:$G$258,'G-2 Habitat groups'!A39,'D-1 Off Site Habitat Baseline'!$S$11:$S$258)</f>
        <v>0</v>
      </c>
      <c r="V39" s="494">
        <f>SUMIF('D-1 Off Site Habitat Baseline'!$G$11:$G$258,'G-2 Habitat groups'!A39,'D-1 Off Site Habitat Baseline'!$U$11:$U$258)</f>
        <v>0</v>
      </c>
      <c r="W39" s="494">
        <f>SUMIF('D-2 Off Site Habitat Creation'!$F$9:$F$255,'G-2 Habitat groups'!A39,'D-2 Off Site Habitat Creation'!$G$9:$G$255)</f>
        <v>0</v>
      </c>
      <c r="X39" s="494">
        <f>SUMIF('D-2 Off Site Habitat Creation'!$F$9:$F$255,'G-2 Habitat groups'!A39,'D-2 Off Site Habitat Creation'!$AA$9:$AA$255)</f>
        <v>0</v>
      </c>
      <c r="Y39" s="494">
        <f>SUMIF('D-3 Off Site Habitat Enhancment'!$S$12:$S$491,'G-2 Habitat groups'!A39,'D-3 Off Site Habitat Enhancment'!$V$12:$V$491)</f>
        <v>0</v>
      </c>
      <c r="Z39" s="494">
        <f>SUMIF('D-3 Off Site Habitat Enhancment'!$S$12:$S$491,'G-2 Habitat groups'!A39,'D-3 Off Site Habitat Enhancment'!$AP$12:$AP$491)</f>
        <v>0</v>
      </c>
      <c r="AA39" s="494">
        <f t="shared" si="57"/>
        <v>0</v>
      </c>
      <c r="AB39" s="494">
        <f t="shared" si="58"/>
        <v>0</v>
      </c>
      <c r="AC39" s="494">
        <f t="shared" si="59"/>
        <v>0</v>
      </c>
      <c r="AD39" s="494">
        <f t="shared" si="60"/>
        <v>0</v>
      </c>
      <c r="AE39" s="494">
        <f t="shared" si="61"/>
        <v>0</v>
      </c>
      <c r="AF39" s="494">
        <f t="shared" si="62"/>
        <v>0</v>
      </c>
      <c r="AU39" s="113" t="s">
        <v>529</v>
      </c>
      <c r="AV39" s="88" t="s">
        <v>72</v>
      </c>
      <c r="AW39" s="494">
        <f t="shared" si="43"/>
        <v>0</v>
      </c>
      <c r="AX39" s="494">
        <f t="shared" si="44"/>
        <v>0</v>
      </c>
      <c r="AY39" s="494">
        <f t="shared" si="45"/>
        <v>0</v>
      </c>
      <c r="AZ39" s="494">
        <f t="shared" si="46"/>
        <v>0</v>
      </c>
      <c r="BA39" s="494">
        <f t="shared" si="47"/>
        <v>0</v>
      </c>
      <c r="BB39" s="494">
        <f t="shared" si="48"/>
        <v>0</v>
      </c>
      <c r="BC39" s="494">
        <f t="shared" si="49"/>
        <v>0</v>
      </c>
      <c r="BD39" s="494">
        <f t="shared" si="50"/>
        <v>0</v>
      </c>
      <c r="BE39" s="494">
        <f t="shared" si="51"/>
        <v>0</v>
      </c>
      <c r="BF39" s="494"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4">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4">
        <f>SUMIF('A-1 Site Habitat Baseline'!$G$11:$G$258,'G-2 Habitat groups'!A40,'A-1 Site Habitat Baseline'!$Q$11:$Q$258)</f>
        <v>0</v>
      </c>
      <c r="G40" s="494">
        <f>SUMIF('A-1 Site Habitat Baseline'!$G$11:$G$258,'G-2 Habitat groups'!A40,'A-1 Site Habitat Baseline'!$S$11:$S$258)</f>
        <v>0</v>
      </c>
      <c r="H40" s="494">
        <f>SUMIF('A-1 Site Habitat Baseline'!$G$11:$G$258,'G-2 Habitat groups'!A40,'A-1 Site Habitat Baseline'!$U$11:$U$258)</f>
        <v>0</v>
      </c>
      <c r="I40" s="494">
        <f>SUMIF('A-1 Site Habitat Baseline'!$G$11:$G$258,'G-2 Habitat groups'!A40,'A-1 Site Habitat Baseline'!$W$11:$W$258)</f>
        <v>0</v>
      </c>
      <c r="J40" s="494">
        <f>SUMIF('A-1 Site Habitat Baseline'!$G$11:$G$258,'G-2 Habitat groups'!A40,'A-1 Site Habitat Baseline'!$X$11:$X$258)</f>
        <v>0</v>
      </c>
      <c r="K40" s="494">
        <f>SUMIF('A-2 Site Habitat Creation'!$F$11:$F$256,'G-2 Habitat groups'!A40,'A-2 Site Habitat Creation'!$G$11:$G$256)</f>
        <v>0</v>
      </c>
      <c r="L40" s="494">
        <f>SUMIF('A-2 Site Habitat Creation'!$F$11:$F$256,'G-2 Habitat groups'!A40,'A-2 Site Habitat Creation'!$Y$11:$Y$256)</f>
        <v>0</v>
      </c>
      <c r="M40" s="494">
        <f>SUMIF('A-3 Site Habitat Enhancement'!$S$12:$S$257,'G-2 Habitat groups'!A40,'A-3 Site Habitat Enhancement'!$V$12:$V$257)</f>
        <v>0</v>
      </c>
      <c r="N40" s="494">
        <f>SUMIF('A-3 Site Habitat Enhancement'!$S$12:$S$257,'G-2 Habitat groups'!A40,'A-3 Site Habitat Enhancement'!$AN$12:$AN$257)</f>
        <v>0</v>
      </c>
      <c r="O40" s="494">
        <f t="shared" si="53"/>
        <v>0</v>
      </c>
      <c r="P40" s="494">
        <f t="shared" si="54"/>
        <v>0</v>
      </c>
      <c r="Q40" s="494">
        <f t="shared" si="55"/>
        <v>0</v>
      </c>
      <c r="R40" s="494">
        <f t="shared" si="56"/>
        <v>0</v>
      </c>
      <c r="S40" s="494">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4">
        <f>SUMIF('D-1 Off Site Habitat Baseline'!$G$11:$G$258,'G-2 Habitat groups'!A40,'D-1 Off Site Habitat Baseline'!$Q$11:$Q$258)</f>
        <v>0</v>
      </c>
      <c r="U40" s="591">
        <f>SUMIF('D-1 Off Site Habitat Baseline'!$G$11:$G$258,'G-2 Habitat groups'!A40,'D-1 Off Site Habitat Baseline'!$S$11:$S$258)</f>
        <v>0</v>
      </c>
      <c r="V40" s="494">
        <f>SUMIF('D-1 Off Site Habitat Baseline'!$G$11:$G$258,'G-2 Habitat groups'!A40,'D-1 Off Site Habitat Baseline'!$U$11:$U$258)</f>
        <v>0</v>
      </c>
      <c r="W40" s="494">
        <f>SUMIF('D-2 Off Site Habitat Creation'!$F$9:$F$255,'G-2 Habitat groups'!A40,'D-2 Off Site Habitat Creation'!$G$9:$G$255)</f>
        <v>0</v>
      </c>
      <c r="X40" s="494">
        <f>SUMIF('D-2 Off Site Habitat Creation'!$F$9:$F$255,'G-2 Habitat groups'!A40,'D-2 Off Site Habitat Creation'!$AA$9:$AA$255)</f>
        <v>0</v>
      </c>
      <c r="Y40" s="494">
        <f>SUMIF('D-3 Off Site Habitat Enhancment'!$S$12:$S$491,'G-2 Habitat groups'!A40,'D-3 Off Site Habitat Enhancment'!$V$12:$V$491)</f>
        <v>0</v>
      </c>
      <c r="Z40" s="494">
        <f>SUMIF('D-3 Off Site Habitat Enhancment'!$S$12:$S$491,'G-2 Habitat groups'!A40,'D-3 Off Site Habitat Enhancment'!$AP$12:$AP$491)</f>
        <v>0</v>
      </c>
      <c r="AA40" s="494">
        <f t="shared" si="57"/>
        <v>0</v>
      </c>
      <c r="AB40" s="494">
        <f t="shared" si="58"/>
        <v>0</v>
      </c>
      <c r="AC40" s="494">
        <f t="shared" si="59"/>
        <v>0</v>
      </c>
      <c r="AD40" s="494">
        <f t="shared" si="60"/>
        <v>0</v>
      </c>
      <c r="AE40" s="494">
        <f t="shared" si="61"/>
        <v>0</v>
      </c>
      <c r="AF40" s="494">
        <f t="shared" si="62"/>
        <v>0</v>
      </c>
      <c r="AU40" s="113" t="s">
        <v>532</v>
      </c>
      <c r="AV40" s="88" t="s">
        <v>72</v>
      </c>
      <c r="AW40" s="494">
        <f t="shared" si="43"/>
        <v>0</v>
      </c>
      <c r="AX40" s="494">
        <f t="shared" si="44"/>
        <v>0</v>
      </c>
      <c r="AY40" s="494">
        <f t="shared" si="45"/>
        <v>0</v>
      </c>
      <c r="AZ40" s="494">
        <f t="shared" si="46"/>
        <v>0</v>
      </c>
      <c r="BA40" s="494">
        <f t="shared" si="47"/>
        <v>0</v>
      </c>
      <c r="BB40" s="494">
        <f t="shared" si="48"/>
        <v>0</v>
      </c>
      <c r="BC40" s="494">
        <f t="shared" si="49"/>
        <v>0</v>
      </c>
      <c r="BD40" s="494">
        <f t="shared" si="50"/>
        <v>0</v>
      </c>
      <c r="BE40" s="494">
        <f t="shared" si="51"/>
        <v>0</v>
      </c>
      <c r="BF40" s="494"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4">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4">
        <f>SUMIF('A-1 Site Habitat Baseline'!$G$11:$G$258,'G-2 Habitat groups'!A41,'A-1 Site Habitat Baseline'!$Q$11:$Q$258)</f>
        <v>0</v>
      </c>
      <c r="G41" s="494">
        <f>SUMIF('A-1 Site Habitat Baseline'!$G$11:$G$258,'G-2 Habitat groups'!A41,'A-1 Site Habitat Baseline'!$S$11:$S$258)</f>
        <v>0</v>
      </c>
      <c r="H41" s="494">
        <f>SUMIF('A-1 Site Habitat Baseline'!$G$11:$G$258,'G-2 Habitat groups'!A41,'A-1 Site Habitat Baseline'!$U$11:$U$258)</f>
        <v>0</v>
      </c>
      <c r="I41" s="494">
        <f>SUMIF('A-1 Site Habitat Baseline'!$G$11:$G$258,'G-2 Habitat groups'!A41,'A-1 Site Habitat Baseline'!$W$11:$W$258)</f>
        <v>0</v>
      </c>
      <c r="J41" s="494">
        <f>SUMIF('A-1 Site Habitat Baseline'!$G$11:$G$258,'G-2 Habitat groups'!A41,'A-1 Site Habitat Baseline'!$X$11:$X$258)</f>
        <v>0</v>
      </c>
      <c r="K41" s="494">
        <f>SUMIF('A-2 Site Habitat Creation'!$F$11:$F$256,'G-2 Habitat groups'!A41,'A-2 Site Habitat Creation'!$G$11:$G$256)</f>
        <v>0</v>
      </c>
      <c r="L41" s="494">
        <f>SUMIF('A-2 Site Habitat Creation'!$F$11:$F$256,'G-2 Habitat groups'!A41,'A-2 Site Habitat Creation'!$Y$11:$Y$256)</f>
        <v>0</v>
      </c>
      <c r="M41" s="494">
        <f>SUMIF('A-3 Site Habitat Enhancement'!$S$12:$S$257,'G-2 Habitat groups'!A41,'A-3 Site Habitat Enhancement'!$V$12:$V$257)</f>
        <v>0</v>
      </c>
      <c r="N41" s="494">
        <f>SUMIF('A-3 Site Habitat Enhancement'!$S$12:$S$257,'G-2 Habitat groups'!A41,'A-3 Site Habitat Enhancement'!$AN$12:$AN$257)</f>
        <v>0</v>
      </c>
      <c r="O41" s="494">
        <f t="shared" si="53"/>
        <v>0</v>
      </c>
      <c r="P41" s="494">
        <f t="shared" si="54"/>
        <v>0</v>
      </c>
      <c r="Q41" s="494">
        <f t="shared" si="55"/>
        <v>0</v>
      </c>
      <c r="R41" s="494">
        <f t="shared" si="56"/>
        <v>0</v>
      </c>
      <c r="S41" s="494">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4">
        <f>SUMIF('D-1 Off Site Habitat Baseline'!$G$11:$G$258,'G-2 Habitat groups'!A41,'D-1 Off Site Habitat Baseline'!$Q$11:$Q$258)</f>
        <v>0</v>
      </c>
      <c r="U41" s="591">
        <f>SUMIF('D-1 Off Site Habitat Baseline'!$G$11:$G$258,'G-2 Habitat groups'!A41,'D-1 Off Site Habitat Baseline'!$S$11:$S$258)</f>
        <v>0</v>
      </c>
      <c r="V41" s="494">
        <f>SUMIF('D-1 Off Site Habitat Baseline'!$G$11:$G$258,'G-2 Habitat groups'!A41,'D-1 Off Site Habitat Baseline'!$U$11:$U$258)</f>
        <v>0</v>
      </c>
      <c r="W41" s="494">
        <f>SUMIF('D-2 Off Site Habitat Creation'!$F$9:$F$255,'G-2 Habitat groups'!A41,'D-2 Off Site Habitat Creation'!$G$9:$G$255)</f>
        <v>0</v>
      </c>
      <c r="X41" s="494">
        <f>SUMIF('D-2 Off Site Habitat Creation'!$F$9:$F$255,'G-2 Habitat groups'!A41,'D-2 Off Site Habitat Creation'!$AA$9:$AA$255)</f>
        <v>0</v>
      </c>
      <c r="Y41" s="494">
        <f>SUMIF('D-3 Off Site Habitat Enhancment'!$S$12:$S$491,'G-2 Habitat groups'!A41,'D-3 Off Site Habitat Enhancment'!$V$12:$V$491)</f>
        <v>0</v>
      </c>
      <c r="Z41" s="494">
        <f>SUMIF('D-3 Off Site Habitat Enhancment'!$S$12:$S$491,'G-2 Habitat groups'!A41,'D-3 Off Site Habitat Enhancment'!$AP$12:$AP$491)</f>
        <v>0</v>
      </c>
      <c r="AA41" s="494">
        <f t="shared" si="57"/>
        <v>0</v>
      </c>
      <c r="AB41" s="494">
        <f t="shared" si="58"/>
        <v>0</v>
      </c>
      <c r="AC41" s="494">
        <f t="shared" si="59"/>
        <v>0</v>
      </c>
      <c r="AD41" s="494">
        <f t="shared" si="60"/>
        <v>0</v>
      </c>
      <c r="AE41" s="494">
        <f t="shared" si="61"/>
        <v>0</v>
      </c>
      <c r="AF41" s="494">
        <f t="shared" si="62"/>
        <v>0</v>
      </c>
      <c r="AU41" s="113" t="s">
        <v>535</v>
      </c>
      <c r="AV41" s="88" t="s">
        <v>72</v>
      </c>
      <c r="AW41" s="494">
        <f t="shared" si="43"/>
        <v>0</v>
      </c>
      <c r="AX41" s="494">
        <f t="shared" si="44"/>
        <v>0</v>
      </c>
      <c r="AY41" s="494">
        <f t="shared" si="45"/>
        <v>0</v>
      </c>
      <c r="AZ41" s="494">
        <f t="shared" si="46"/>
        <v>0</v>
      </c>
      <c r="BA41" s="494">
        <f t="shared" si="47"/>
        <v>0</v>
      </c>
      <c r="BB41" s="494">
        <f t="shared" si="48"/>
        <v>0</v>
      </c>
      <c r="BC41" s="494">
        <f t="shared" si="49"/>
        <v>0</v>
      </c>
      <c r="BD41" s="494">
        <f t="shared" si="50"/>
        <v>0</v>
      </c>
      <c r="BE41" s="494">
        <f t="shared" si="51"/>
        <v>0</v>
      </c>
      <c r="BF41" s="494"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4">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4">
        <f>SUMIF('A-1 Site Habitat Baseline'!$G$11:$G$258,'G-2 Habitat groups'!A42,'A-1 Site Habitat Baseline'!$Q$11:$Q$258)</f>
        <v>0</v>
      </c>
      <c r="G42" s="494">
        <f>SUMIF('A-1 Site Habitat Baseline'!$G$11:$G$258,'G-2 Habitat groups'!A42,'A-1 Site Habitat Baseline'!$S$11:$S$258)</f>
        <v>0</v>
      </c>
      <c r="H42" s="494">
        <f>SUMIF('A-1 Site Habitat Baseline'!$G$11:$G$258,'G-2 Habitat groups'!A42,'A-1 Site Habitat Baseline'!$U$11:$U$258)</f>
        <v>0</v>
      </c>
      <c r="I42" s="494">
        <f>SUMIF('A-1 Site Habitat Baseline'!$G$11:$G$258,'G-2 Habitat groups'!A42,'A-1 Site Habitat Baseline'!$W$11:$W$258)</f>
        <v>0</v>
      </c>
      <c r="J42" s="494">
        <f>SUMIF('A-1 Site Habitat Baseline'!$G$11:$G$258,'G-2 Habitat groups'!A42,'A-1 Site Habitat Baseline'!$X$11:$X$258)</f>
        <v>0</v>
      </c>
      <c r="K42" s="494">
        <f>SUMIF('A-2 Site Habitat Creation'!$F$11:$F$256,'G-2 Habitat groups'!A42,'A-2 Site Habitat Creation'!$G$11:$G$256)</f>
        <v>0</v>
      </c>
      <c r="L42" s="494">
        <f>SUMIF('A-2 Site Habitat Creation'!$F$11:$F$256,'G-2 Habitat groups'!A42,'A-2 Site Habitat Creation'!$Y$11:$Y$256)</f>
        <v>0</v>
      </c>
      <c r="M42" s="494">
        <f>SUMIF('A-3 Site Habitat Enhancement'!$S$12:$S$257,'G-2 Habitat groups'!A42,'A-3 Site Habitat Enhancement'!$V$12:$V$257)</f>
        <v>0</v>
      </c>
      <c r="N42" s="494">
        <f>SUMIF('A-3 Site Habitat Enhancement'!$S$12:$S$257,'G-2 Habitat groups'!A42,'A-3 Site Habitat Enhancement'!$AN$12:$AN$257)</f>
        <v>0</v>
      </c>
      <c r="O42" s="494">
        <f t="shared" si="53"/>
        <v>0</v>
      </c>
      <c r="P42" s="494">
        <f t="shared" si="54"/>
        <v>0</v>
      </c>
      <c r="Q42" s="494">
        <f t="shared" si="55"/>
        <v>0</v>
      </c>
      <c r="R42" s="494">
        <f t="shared" si="56"/>
        <v>0</v>
      </c>
      <c r="S42" s="494">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4">
        <f>SUMIF('D-1 Off Site Habitat Baseline'!$G$11:$G$258,'G-2 Habitat groups'!A42,'D-1 Off Site Habitat Baseline'!$Q$11:$Q$258)</f>
        <v>0</v>
      </c>
      <c r="U42" s="591">
        <f>SUMIF('D-1 Off Site Habitat Baseline'!$G$11:$G$258,'G-2 Habitat groups'!A42,'D-1 Off Site Habitat Baseline'!$S$11:$S$258)</f>
        <v>0</v>
      </c>
      <c r="V42" s="494">
        <f>SUMIF('D-1 Off Site Habitat Baseline'!$G$11:$G$258,'G-2 Habitat groups'!A42,'D-1 Off Site Habitat Baseline'!$U$11:$U$258)</f>
        <v>0</v>
      </c>
      <c r="W42" s="494">
        <f>SUMIF('D-2 Off Site Habitat Creation'!$F$9:$F$255,'G-2 Habitat groups'!A42,'D-2 Off Site Habitat Creation'!$G$9:$G$255)</f>
        <v>0</v>
      </c>
      <c r="X42" s="494">
        <f>SUMIF('D-2 Off Site Habitat Creation'!$F$9:$F$255,'G-2 Habitat groups'!A42,'D-2 Off Site Habitat Creation'!$AA$9:$AA$255)</f>
        <v>0</v>
      </c>
      <c r="Y42" s="494">
        <f>SUMIF('D-3 Off Site Habitat Enhancment'!$S$12:$S$491,'G-2 Habitat groups'!A42,'D-3 Off Site Habitat Enhancment'!$V$12:$V$491)</f>
        <v>0</v>
      </c>
      <c r="Z42" s="494">
        <f>SUMIF('D-3 Off Site Habitat Enhancment'!$S$12:$S$491,'G-2 Habitat groups'!A42,'D-3 Off Site Habitat Enhancment'!$AP$12:$AP$491)</f>
        <v>0</v>
      </c>
      <c r="AA42" s="494">
        <f t="shared" si="57"/>
        <v>0</v>
      </c>
      <c r="AB42" s="494">
        <f t="shared" si="58"/>
        <v>0</v>
      </c>
      <c r="AC42" s="494">
        <f t="shared" si="59"/>
        <v>0</v>
      </c>
      <c r="AD42" s="494">
        <f t="shared" si="60"/>
        <v>0</v>
      </c>
      <c r="AE42" s="494">
        <f t="shared" si="61"/>
        <v>0</v>
      </c>
      <c r="AF42" s="494">
        <f t="shared" si="62"/>
        <v>0</v>
      </c>
      <c r="AU42" s="113" t="s">
        <v>538</v>
      </c>
      <c r="AV42" s="88" t="s">
        <v>72</v>
      </c>
      <c r="AW42" s="494">
        <f t="shared" si="43"/>
        <v>0</v>
      </c>
      <c r="AX42" s="494">
        <f t="shared" si="44"/>
        <v>0</v>
      </c>
      <c r="AY42" s="494">
        <f t="shared" si="45"/>
        <v>0</v>
      </c>
      <c r="AZ42" s="494">
        <f t="shared" si="46"/>
        <v>0</v>
      </c>
      <c r="BA42" s="494">
        <f t="shared" si="47"/>
        <v>0</v>
      </c>
      <c r="BB42" s="494">
        <f t="shared" si="48"/>
        <v>0</v>
      </c>
      <c r="BC42" s="494">
        <f t="shared" si="49"/>
        <v>0</v>
      </c>
      <c r="BD42" s="494">
        <f t="shared" si="50"/>
        <v>0</v>
      </c>
      <c r="BE42" s="494">
        <f t="shared" si="51"/>
        <v>0</v>
      </c>
      <c r="BF42" s="494"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4">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4">
        <f>SUMIF('A-1 Site Habitat Baseline'!$G$11:$G$258,'G-2 Habitat groups'!A43,'A-1 Site Habitat Baseline'!$Q$11:$Q$258)</f>
        <v>0</v>
      </c>
      <c r="G43" s="494">
        <f>SUMIF('A-1 Site Habitat Baseline'!$G$11:$G$258,'G-2 Habitat groups'!A43,'A-1 Site Habitat Baseline'!$S$11:$S$258)</f>
        <v>0</v>
      </c>
      <c r="H43" s="494">
        <f>SUMIF('A-1 Site Habitat Baseline'!$G$11:$G$258,'G-2 Habitat groups'!A43,'A-1 Site Habitat Baseline'!$U$11:$U$258)</f>
        <v>0</v>
      </c>
      <c r="I43" s="494">
        <f>SUMIF('A-1 Site Habitat Baseline'!$G$11:$G$258,'G-2 Habitat groups'!A43,'A-1 Site Habitat Baseline'!$W$11:$W$258)</f>
        <v>0</v>
      </c>
      <c r="J43" s="494">
        <f>SUMIF('A-1 Site Habitat Baseline'!$G$11:$G$258,'G-2 Habitat groups'!A43,'A-1 Site Habitat Baseline'!$X$11:$X$258)</f>
        <v>0</v>
      </c>
      <c r="K43" s="494">
        <f>SUMIF('A-2 Site Habitat Creation'!$F$11:$F$256,'G-2 Habitat groups'!A43,'A-2 Site Habitat Creation'!$G$11:$G$256)</f>
        <v>0</v>
      </c>
      <c r="L43" s="494">
        <f>SUMIF('A-2 Site Habitat Creation'!$F$11:$F$256,'G-2 Habitat groups'!A43,'A-2 Site Habitat Creation'!$Y$11:$Y$256)</f>
        <v>0</v>
      </c>
      <c r="M43" s="494">
        <f>SUMIF('A-3 Site Habitat Enhancement'!$S$12:$S$257,'G-2 Habitat groups'!A43,'A-3 Site Habitat Enhancement'!$V$12:$V$257)</f>
        <v>0</v>
      </c>
      <c r="N43" s="494">
        <f>SUMIF('A-3 Site Habitat Enhancement'!$S$12:$S$257,'G-2 Habitat groups'!A43,'A-3 Site Habitat Enhancement'!$AN$12:$AN$257)</f>
        <v>0</v>
      </c>
      <c r="O43" s="494">
        <f t="shared" si="53"/>
        <v>0</v>
      </c>
      <c r="P43" s="494">
        <f t="shared" si="54"/>
        <v>0</v>
      </c>
      <c r="Q43" s="494">
        <f t="shared" si="55"/>
        <v>0</v>
      </c>
      <c r="R43" s="494">
        <f t="shared" si="56"/>
        <v>0</v>
      </c>
      <c r="S43" s="494">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4">
        <f>SUMIF('D-1 Off Site Habitat Baseline'!$G$11:$G$258,'G-2 Habitat groups'!A43,'D-1 Off Site Habitat Baseline'!$Q$11:$Q$258)</f>
        <v>0</v>
      </c>
      <c r="U43" s="591">
        <f>SUMIF('D-1 Off Site Habitat Baseline'!$G$11:$G$258,'G-2 Habitat groups'!A43,'D-1 Off Site Habitat Baseline'!$S$11:$S$258)</f>
        <v>0</v>
      </c>
      <c r="V43" s="494">
        <f>SUMIF('D-1 Off Site Habitat Baseline'!$G$11:$G$258,'G-2 Habitat groups'!A43,'D-1 Off Site Habitat Baseline'!$U$11:$U$258)</f>
        <v>0</v>
      </c>
      <c r="W43" s="494">
        <f>SUMIF('D-2 Off Site Habitat Creation'!$F$9:$F$255,'G-2 Habitat groups'!A43,'D-2 Off Site Habitat Creation'!$G$9:$G$255)</f>
        <v>0</v>
      </c>
      <c r="X43" s="494">
        <f>SUMIF('D-2 Off Site Habitat Creation'!$F$9:$F$255,'G-2 Habitat groups'!A43,'D-2 Off Site Habitat Creation'!$AA$9:$AA$255)</f>
        <v>0</v>
      </c>
      <c r="Y43" s="494">
        <f>SUMIF('D-3 Off Site Habitat Enhancment'!$S$12:$S$491,'G-2 Habitat groups'!A43,'D-3 Off Site Habitat Enhancment'!$V$12:$V$491)</f>
        <v>0</v>
      </c>
      <c r="Z43" s="494">
        <f>SUMIF('D-3 Off Site Habitat Enhancment'!$S$12:$S$491,'G-2 Habitat groups'!A43,'D-3 Off Site Habitat Enhancment'!$AP$12:$AP$491)</f>
        <v>0</v>
      </c>
      <c r="AA43" s="494">
        <f t="shared" si="57"/>
        <v>0</v>
      </c>
      <c r="AB43" s="494">
        <f t="shared" si="58"/>
        <v>0</v>
      </c>
      <c r="AC43" s="494">
        <f t="shared" si="59"/>
        <v>0</v>
      </c>
      <c r="AD43" s="494">
        <f t="shared" si="60"/>
        <v>0</v>
      </c>
      <c r="AE43" s="494">
        <f t="shared" si="61"/>
        <v>0</v>
      </c>
      <c r="AF43" s="494">
        <f t="shared" si="62"/>
        <v>0</v>
      </c>
      <c r="AU43" s="110" t="s">
        <v>541</v>
      </c>
      <c r="AV43" s="88" t="s">
        <v>72</v>
      </c>
      <c r="AW43" s="494">
        <f t="shared" si="43"/>
        <v>0</v>
      </c>
      <c r="AX43" s="494">
        <f t="shared" si="44"/>
        <v>0</v>
      </c>
      <c r="AY43" s="494">
        <f t="shared" si="45"/>
        <v>0</v>
      </c>
      <c r="AZ43" s="494">
        <f t="shared" si="46"/>
        <v>0</v>
      </c>
      <c r="BA43" s="494">
        <f t="shared" si="47"/>
        <v>0</v>
      </c>
      <c r="BB43" s="494">
        <f t="shared" si="48"/>
        <v>0</v>
      </c>
      <c r="BC43" s="494">
        <f t="shared" si="49"/>
        <v>0</v>
      </c>
      <c r="BD43" s="494">
        <f t="shared" si="50"/>
        <v>0</v>
      </c>
      <c r="BE43" s="494">
        <f t="shared" si="51"/>
        <v>0</v>
      </c>
      <c r="BF43" s="494"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4">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4">
        <f>SUMIF('A-1 Site Habitat Baseline'!$G$11:$G$258,'G-2 Habitat groups'!A44,'A-1 Site Habitat Baseline'!$Q$11:$Q$258)</f>
        <v>0</v>
      </c>
      <c r="G44" s="494">
        <f>SUMIF('A-1 Site Habitat Baseline'!$G$11:$G$258,'G-2 Habitat groups'!A44,'A-1 Site Habitat Baseline'!$S$11:$S$258)</f>
        <v>0</v>
      </c>
      <c r="H44" s="494">
        <f>SUMIF('A-1 Site Habitat Baseline'!$G$11:$G$258,'G-2 Habitat groups'!A44,'A-1 Site Habitat Baseline'!$U$11:$U$258)</f>
        <v>0</v>
      </c>
      <c r="I44" s="494">
        <f>SUMIF('A-1 Site Habitat Baseline'!$G$11:$G$258,'G-2 Habitat groups'!A44,'A-1 Site Habitat Baseline'!$W$11:$W$258)</f>
        <v>0</v>
      </c>
      <c r="J44" s="494">
        <f>SUMIF('A-1 Site Habitat Baseline'!$G$11:$G$258,'G-2 Habitat groups'!A44,'A-1 Site Habitat Baseline'!$X$11:$X$258)</f>
        <v>0</v>
      </c>
      <c r="K44" s="494">
        <f>SUMIF('A-2 Site Habitat Creation'!$F$11:$F$256,'G-2 Habitat groups'!A44,'A-2 Site Habitat Creation'!$G$11:$G$256)</f>
        <v>0</v>
      </c>
      <c r="L44" s="494">
        <f>SUMIF('A-2 Site Habitat Creation'!$F$11:$F$256,'G-2 Habitat groups'!A44,'A-2 Site Habitat Creation'!$Y$11:$Y$256)</f>
        <v>0</v>
      </c>
      <c r="M44" s="494">
        <f>SUMIF('A-3 Site Habitat Enhancement'!$S$12:$S$257,'G-2 Habitat groups'!A44,'A-3 Site Habitat Enhancement'!$V$12:$V$257)</f>
        <v>0</v>
      </c>
      <c r="N44" s="494">
        <f>SUMIF('A-3 Site Habitat Enhancement'!$S$12:$S$257,'G-2 Habitat groups'!A44,'A-3 Site Habitat Enhancement'!$AN$12:$AN$257)</f>
        <v>0</v>
      </c>
      <c r="O44" s="494">
        <f t="shared" si="53"/>
        <v>0</v>
      </c>
      <c r="P44" s="494">
        <f t="shared" si="54"/>
        <v>0</v>
      </c>
      <c r="Q44" s="494">
        <f t="shared" si="55"/>
        <v>0</v>
      </c>
      <c r="R44" s="494">
        <f t="shared" si="56"/>
        <v>0</v>
      </c>
      <c r="S44" s="494">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4">
        <f>SUMIF('D-1 Off Site Habitat Baseline'!$G$11:$G$258,'G-2 Habitat groups'!A44,'D-1 Off Site Habitat Baseline'!$Q$11:$Q$258)</f>
        <v>0</v>
      </c>
      <c r="U44" s="591">
        <f>SUMIF('D-1 Off Site Habitat Baseline'!$G$11:$G$258,'G-2 Habitat groups'!A44,'D-1 Off Site Habitat Baseline'!$S$11:$S$258)</f>
        <v>0</v>
      </c>
      <c r="V44" s="494">
        <f>SUMIF('D-1 Off Site Habitat Baseline'!$G$11:$G$258,'G-2 Habitat groups'!A44,'D-1 Off Site Habitat Baseline'!$U$11:$U$258)</f>
        <v>0</v>
      </c>
      <c r="W44" s="494">
        <f>SUMIF('D-2 Off Site Habitat Creation'!$F$9:$F$255,'G-2 Habitat groups'!A44,'D-2 Off Site Habitat Creation'!$G$9:$G$255)</f>
        <v>0</v>
      </c>
      <c r="X44" s="494">
        <f>SUMIF('D-2 Off Site Habitat Creation'!$F$9:$F$255,'G-2 Habitat groups'!A44,'D-2 Off Site Habitat Creation'!$AA$9:$AA$255)</f>
        <v>0</v>
      </c>
      <c r="Y44" s="494">
        <f>SUMIF('D-3 Off Site Habitat Enhancment'!$S$12:$S$491,'G-2 Habitat groups'!A44,'D-3 Off Site Habitat Enhancment'!$V$12:$V$491)</f>
        <v>0</v>
      </c>
      <c r="Z44" s="494">
        <f>SUMIF('D-3 Off Site Habitat Enhancment'!$S$12:$S$491,'G-2 Habitat groups'!A44,'D-3 Off Site Habitat Enhancment'!$AP$12:$AP$491)</f>
        <v>0</v>
      </c>
      <c r="AA44" s="494">
        <f t="shared" si="57"/>
        <v>0</v>
      </c>
      <c r="AB44" s="494">
        <f t="shared" si="58"/>
        <v>0</v>
      </c>
      <c r="AC44" s="494">
        <f t="shared" si="59"/>
        <v>0</v>
      </c>
      <c r="AD44" s="494">
        <f t="shared" si="60"/>
        <v>0</v>
      </c>
      <c r="AE44" s="494">
        <f t="shared" si="61"/>
        <v>0</v>
      </c>
      <c r="AF44" s="494">
        <f t="shared" si="62"/>
        <v>0</v>
      </c>
      <c r="AU44" s="113" t="s">
        <v>550</v>
      </c>
      <c r="AV44" s="88" t="s">
        <v>72</v>
      </c>
      <c r="AW44" s="494">
        <f t="shared" si="43"/>
        <v>0</v>
      </c>
      <c r="AX44" s="494">
        <f t="shared" si="44"/>
        <v>0</v>
      </c>
      <c r="AY44" s="494">
        <f t="shared" si="45"/>
        <v>0</v>
      </c>
      <c r="AZ44" s="494">
        <f t="shared" si="46"/>
        <v>0</v>
      </c>
      <c r="BA44" s="494">
        <f t="shared" si="47"/>
        <v>0</v>
      </c>
      <c r="BB44" s="494">
        <f t="shared" si="48"/>
        <v>0</v>
      </c>
      <c r="BC44" s="494">
        <f t="shared" si="49"/>
        <v>0</v>
      </c>
      <c r="BD44" s="494">
        <f t="shared" si="50"/>
        <v>0</v>
      </c>
      <c r="BE44" s="494">
        <f t="shared" si="51"/>
        <v>0</v>
      </c>
      <c r="BF44" s="494"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4">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4">
        <f>SUMIF('A-1 Site Habitat Baseline'!$G$11:$G$258,'G-2 Habitat groups'!A45,'A-1 Site Habitat Baseline'!$Q$11:$Q$258)</f>
        <v>0</v>
      </c>
      <c r="G45" s="494">
        <f>SUMIF('A-1 Site Habitat Baseline'!$G$11:$G$258,'G-2 Habitat groups'!A45,'A-1 Site Habitat Baseline'!$S$11:$S$258)</f>
        <v>0</v>
      </c>
      <c r="H45" s="494">
        <f>SUMIF('A-1 Site Habitat Baseline'!$G$11:$G$258,'G-2 Habitat groups'!A45,'A-1 Site Habitat Baseline'!$U$11:$U$258)</f>
        <v>0</v>
      </c>
      <c r="I45" s="494">
        <f>SUMIF('A-1 Site Habitat Baseline'!$G$11:$G$258,'G-2 Habitat groups'!A45,'A-1 Site Habitat Baseline'!$W$11:$W$258)</f>
        <v>0</v>
      </c>
      <c r="J45" s="494">
        <f>SUMIF('A-1 Site Habitat Baseline'!$G$11:$G$258,'G-2 Habitat groups'!A45,'A-1 Site Habitat Baseline'!$X$11:$X$258)</f>
        <v>0</v>
      </c>
      <c r="K45" s="494">
        <f>SUMIF('A-2 Site Habitat Creation'!$F$11:$F$256,'G-2 Habitat groups'!A45,'A-2 Site Habitat Creation'!$G$11:$G$256)</f>
        <v>0</v>
      </c>
      <c r="L45" s="494">
        <f>SUMIF('A-2 Site Habitat Creation'!$F$11:$F$256,'G-2 Habitat groups'!A45,'A-2 Site Habitat Creation'!$Y$11:$Y$256)</f>
        <v>0</v>
      </c>
      <c r="M45" s="494">
        <f>SUMIF('A-3 Site Habitat Enhancement'!$S$12:$S$257,'G-2 Habitat groups'!A45,'A-3 Site Habitat Enhancement'!$V$12:$V$257)</f>
        <v>0</v>
      </c>
      <c r="N45" s="494">
        <f>SUMIF('A-3 Site Habitat Enhancement'!$S$12:$S$257,'G-2 Habitat groups'!A45,'A-3 Site Habitat Enhancement'!$AN$12:$AN$257)</f>
        <v>0</v>
      </c>
      <c r="O45" s="494">
        <f t="shared" si="53"/>
        <v>0</v>
      </c>
      <c r="P45" s="494">
        <f t="shared" si="54"/>
        <v>0</v>
      </c>
      <c r="Q45" s="494">
        <f t="shared" si="55"/>
        <v>0</v>
      </c>
      <c r="R45" s="494">
        <f t="shared" si="56"/>
        <v>0</v>
      </c>
      <c r="S45" s="494">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4">
        <f>SUMIF('D-1 Off Site Habitat Baseline'!$G$11:$G$258,'G-2 Habitat groups'!A45,'D-1 Off Site Habitat Baseline'!$Q$11:$Q$258)</f>
        <v>0</v>
      </c>
      <c r="U45" s="591">
        <f>SUMIF('D-1 Off Site Habitat Baseline'!$G$11:$G$258,'G-2 Habitat groups'!A45,'D-1 Off Site Habitat Baseline'!$S$11:$S$258)</f>
        <v>0</v>
      </c>
      <c r="V45" s="494">
        <f>SUMIF('D-1 Off Site Habitat Baseline'!$G$11:$G$258,'G-2 Habitat groups'!A45,'D-1 Off Site Habitat Baseline'!$U$11:$U$258)</f>
        <v>0</v>
      </c>
      <c r="W45" s="494">
        <f>SUMIF('D-2 Off Site Habitat Creation'!$F$9:$F$255,'G-2 Habitat groups'!A45,'D-2 Off Site Habitat Creation'!$G$9:$G$255)</f>
        <v>0</v>
      </c>
      <c r="X45" s="494">
        <f>SUMIF('D-2 Off Site Habitat Creation'!$F$9:$F$255,'G-2 Habitat groups'!A45,'D-2 Off Site Habitat Creation'!$AA$9:$AA$255)</f>
        <v>0</v>
      </c>
      <c r="Y45" s="494">
        <f>SUMIF('D-3 Off Site Habitat Enhancment'!$S$12:$S$491,'G-2 Habitat groups'!A45,'D-3 Off Site Habitat Enhancment'!$V$12:$V$491)</f>
        <v>0</v>
      </c>
      <c r="Z45" s="494">
        <f>SUMIF('D-3 Off Site Habitat Enhancment'!$S$12:$S$491,'G-2 Habitat groups'!A45,'D-3 Off Site Habitat Enhancment'!$AP$12:$AP$491)</f>
        <v>0</v>
      </c>
      <c r="AA45" s="494">
        <f t="shared" si="57"/>
        <v>0</v>
      </c>
      <c r="AB45" s="494">
        <f t="shared" si="58"/>
        <v>0</v>
      </c>
      <c r="AC45" s="494">
        <f t="shared" si="59"/>
        <v>0</v>
      </c>
      <c r="AD45" s="494">
        <f t="shared" si="60"/>
        <v>0</v>
      </c>
      <c r="AE45" s="494">
        <f t="shared" si="61"/>
        <v>0</v>
      </c>
      <c r="AF45" s="494">
        <f t="shared" si="62"/>
        <v>0</v>
      </c>
      <c r="AU45" s="113" t="s">
        <v>558</v>
      </c>
      <c r="AV45" s="88" t="s">
        <v>73</v>
      </c>
      <c r="AW45" s="494">
        <f t="shared" si="43"/>
        <v>0</v>
      </c>
      <c r="AX45" s="494">
        <f t="shared" si="44"/>
        <v>0</v>
      </c>
      <c r="AY45" s="494">
        <f t="shared" si="45"/>
        <v>0</v>
      </c>
      <c r="AZ45" s="494">
        <f t="shared" si="46"/>
        <v>0</v>
      </c>
      <c r="BA45" s="494">
        <f t="shared" si="47"/>
        <v>0</v>
      </c>
      <c r="BB45" s="494">
        <f t="shared" si="48"/>
        <v>0</v>
      </c>
      <c r="BC45" s="494">
        <f t="shared" si="49"/>
        <v>0</v>
      </c>
      <c r="BD45" s="494">
        <f t="shared" si="50"/>
        <v>0</v>
      </c>
      <c r="BE45" s="494">
        <f t="shared" si="51"/>
        <v>0</v>
      </c>
      <c r="BF45" s="494"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4">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4">
        <f>SUMIF('A-1 Site Habitat Baseline'!$G$11:$G$258,'G-2 Habitat groups'!A46,'A-1 Site Habitat Baseline'!$Q$11:$Q$258)</f>
        <v>0</v>
      </c>
      <c r="G46" s="494">
        <f>SUMIF('A-1 Site Habitat Baseline'!$G$11:$G$258,'G-2 Habitat groups'!A46,'A-1 Site Habitat Baseline'!$S$11:$S$258)</f>
        <v>0</v>
      </c>
      <c r="H46" s="494">
        <f>SUMIF('A-1 Site Habitat Baseline'!$G$11:$G$258,'G-2 Habitat groups'!A46,'A-1 Site Habitat Baseline'!$U$11:$U$258)</f>
        <v>0</v>
      </c>
      <c r="I46" s="494">
        <f>SUMIF('A-1 Site Habitat Baseline'!$G$11:$G$258,'G-2 Habitat groups'!A46,'A-1 Site Habitat Baseline'!$W$11:$W$258)</f>
        <v>0</v>
      </c>
      <c r="J46" s="494">
        <f>SUMIF('A-1 Site Habitat Baseline'!$G$11:$G$258,'G-2 Habitat groups'!A46,'A-1 Site Habitat Baseline'!$X$11:$X$258)</f>
        <v>0</v>
      </c>
      <c r="K46" s="494">
        <f>SUMIF('A-2 Site Habitat Creation'!$F$11:$F$256,'G-2 Habitat groups'!A46,'A-2 Site Habitat Creation'!$G$11:$G$256)</f>
        <v>0</v>
      </c>
      <c r="L46" s="494">
        <f>SUMIF('A-2 Site Habitat Creation'!$F$11:$F$256,'G-2 Habitat groups'!A46,'A-2 Site Habitat Creation'!$Y$11:$Y$256)</f>
        <v>0</v>
      </c>
      <c r="M46" s="494">
        <f>SUMIF('A-3 Site Habitat Enhancement'!$S$12:$S$257,'G-2 Habitat groups'!A46,'A-3 Site Habitat Enhancement'!$V$12:$V$257)</f>
        <v>0</v>
      </c>
      <c r="N46" s="494">
        <f>SUMIF('A-3 Site Habitat Enhancement'!$S$12:$S$257,'G-2 Habitat groups'!A46,'A-3 Site Habitat Enhancement'!$AN$12:$AN$257)</f>
        <v>0</v>
      </c>
      <c r="O46" s="494">
        <f t="shared" si="53"/>
        <v>0</v>
      </c>
      <c r="P46" s="494">
        <f t="shared" si="54"/>
        <v>0</v>
      </c>
      <c r="Q46" s="494">
        <f t="shared" si="55"/>
        <v>0</v>
      </c>
      <c r="R46" s="494">
        <f t="shared" si="56"/>
        <v>0</v>
      </c>
      <c r="S46" s="494">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4">
        <f>SUMIF('D-1 Off Site Habitat Baseline'!$G$11:$G$258,'G-2 Habitat groups'!A46,'D-1 Off Site Habitat Baseline'!$Q$11:$Q$258)</f>
        <v>0</v>
      </c>
      <c r="U46" s="591">
        <f>SUMIF('D-1 Off Site Habitat Baseline'!$G$11:$G$258,'G-2 Habitat groups'!A46,'D-1 Off Site Habitat Baseline'!$S$11:$S$258)</f>
        <v>0</v>
      </c>
      <c r="V46" s="494">
        <f>SUMIF('D-1 Off Site Habitat Baseline'!$G$11:$G$258,'G-2 Habitat groups'!A46,'D-1 Off Site Habitat Baseline'!$U$11:$U$258)</f>
        <v>0</v>
      </c>
      <c r="W46" s="494">
        <f>SUMIF('D-2 Off Site Habitat Creation'!$F$9:$F$255,'G-2 Habitat groups'!A46,'D-2 Off Site Habitat Creation'!$G$9:$G$255)</f>
        <v>0</v>
      </c>
      <c r="X46" s="494">
        <f>SUMIF('D-2 Off Site Habitat Creation'!$F$9:$F$255,'G-2 Habitat groups'!A46,'D-2 Off Site Habitat Creation'!$AA$9:$AA$255)</f>
        <v>0</v>
      </c>
      <c r="Y46" s="494">
        <f>SUMIF('D-3 Off Site Habitat Enhancment'!$S$12:$S$491,'G-2 Habitat groups'!A46,'D-3 Off Site Habitat Enhancment'!$V$12:$V$491)</f>
        <v>0</v>
      </c>
      <c r="Z46" s="494">
        <f>SUMIF('D-3 Off Site Habitat Enhancment'!$S$12:$S$491,'G-2 Habitat groups'!A46,'D-3 Off Site Habitat Enhancment'!$AP$12:$AP$491)</f>
        <v>0</v>
      </c>
      <c r="AA46" s="494">
        <f t="shared" si="57"/>
        <v>0</v>
      </c>
      <c r="AB46" s="494">
        <f t="shared" si="58"/>
        <v>0</v>
      </c>
      <c r="AC46" s="494">
        <f t="shared" si="59"/>
        <v>0</v>
      </c>
      <c r="AD46" s="494">
        <f t="shared" si="60"/>
        <v>0</v>
      </c>
      <c r="AE46" s="494">
        <f t="shared" si="61"/>
        <v>0</v>
      </c>
      <c r="AF46" s="494">
        <f t="shared" si="62"/>
        <v>0</v>
      </c>
      <c r="AU46" s="113" t="s">
        <v>562</v>
      </c>
      <c r="AV46" s="88" t="s">
        <v>73</v>
      </c>
      <c r="AW46" s="494">
        <f t="shared" si="43"/>
        <v>0</v>
      </c>
      <c r="AX46" s="494">
        <f t="shared" si="44"/>
        <v>0</v>
      </c>
      <c r="AY46" s="494">
        <f t="shared" si="45"/>
        <v>0</v>
      </c>
      <c r="AZ46" s="494">
        <f t="shared" si="46"/>
        <v>0</v>
      </c>
      <c r="BA46" s="494">
        <f t="shared" si="47"/>
        <v>0</v>
      </c>
      <c r="BB46" s="494">
        <f t="shared" si="48"/>
        <v>0</v>
      </c>
      <c r="BC46" s="494">
        <f t="shared" si="49"/>
        <v>0</v>
      </c>
      <c r="BD46" s="494">
        <f t="shared" si="50"/>
        <v>0</v>
      </c>
      <c r="BE46" s="494">
        <f t="shared" si="51"/>
        <v>0</v>
      </c>
      <c r="BF46" s="494"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4">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4">
        <f>SUMIF('A-1 Site Habitat Baseline'!$G$11:$G$258,'G-2 Habitat groups'!A47,'A-1 Site Habitat Baseline'!$Q$11:$Q$258)</f>
        <v>0</v>
      </c>
      <c r="G47" s="494">
        <f>SUMIF('A-1 Site Habitat Baseline'!$G$11:$G$258,'G-2 Habitat groups'!A47,'A-1 Site Habitat Baseline'!$S$11:$S$258)</f>
        <v>0</v>
      </c>
      <c r="H47" s="494">
        <f>SUMIF('A-1 Site Habitat Baseline'!$G$11:$G$258,'G-2 Habitat groups'!A47,'A-1 Site Habitat Baseline'!$U$11:$U$258)</f>
        <v>0</v>
      </c>
      <c r="I47" s="494">
        <f>SUMIF('A-1 Site Habitat Baseline'!$G$11:$G$258,'G-2 Habitat groups'!A47,'A-1 Site Habitat Baseline'!$W$11:$W$258)</f>
        <v>0</v>
      </c>
      <c r="J47" s="494">
        <f>SUMIF('A-1 Site Habitat Baseline'!$G$11:$G$258,'G-2 Habitat groups'!A47,'A-1 Site Habitat Baseline'!$X$11:$X$258)</f>
        <v>0</v>
      </c>
      <c r="K47" s="494">
        <f>SUMIF('A-2 Site Habitat Creation'!$F$11:$F$256,'G-2 Habitat groups'!A47,'A-2 Site Habitat Creation'!$G$11:$G$256)</f>
        <v>0</v>
      </c>
      <c r="L47" s="494">
        <f>SUMIF('A-2 Site Habitat Creation'!$F$11:$F$256,'G-2 Habitat groups'!A47,'A-2 Site Habitat Creation'!$Y$11:$Y$256)</f>
        <v>0</v>
      </c>
      <c r="M47" s="494">
        <f>SUMIF('A-3 Site Habitat Enhancement'!$S$12:$S$257,'G-2 Habitat groups'!A47,'A-3 Site Habitat Enhancement'!$V$12:$V$257)</f>
        <v>0</v>
      </c>
      <c r="N47" s="494">
        <f>SUMIF('A-3 Site Habitat Enhancement'!$S$12:$S$257,'G-2 Habitat groups'!A47,'A-3 Site Habitat Enhancement'!$AN$12:$AN$257)</f>
        <v>0</v>
      </c>
      <c r="O47" s="494">
        <f t="shared" si="53"/>
        <v>0</v>
      </c>
      <c r="P47" s="494">
        <f t="shared" si="54"/>
        <v>0</v>
      </c>
      <c r="Q47" s="494">
        <f t="shared" si="55"/>
        <v>0</v>
      </c>
      <c r="R47" s="494">
        <f t="shared" si="56"/>
        <v>0</v>
      </c>
      <c r="S47" s="494">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4">
        <f>SUMIF('D-1 Off Site Habitat Baseline'!$G$11:$G$258,'G-2 Habitat groups'!A47,'D-1 Off Site Habitat Baseline'!$Q$11:$Q$258)</f>
        <v>0</v>
      </c>
      <c r="U47" s="591">
        <f>SUMIF('D-1 Off Site Habitat Baseline'!$G$11:$G$258,'G-2 Habitat groups'!A47,'D-1 Off Site Habitat Baseline'!$S$11:$S$258)</f>
        <v>0</v>
      </c>
      <c r="V47" s="494">
        <f>SUMIF('D-1 Off Site Habitat Baseline'!$G$11:$G$258,'G-2 Habitat groups'!A47,'D-1 Off Site Habitat Baseline'!$U$11:$U$258)</f>
        <v>0</v>
      </c>
      <c r="W47" s="494">
        <f>SUMIF('D-2 Off Site Habitat Creation'!$F$9:$F$255,'G-2 Habitat groups'!A47,'D-2 Off Site Habitat Creation'!$G$9:$G$255)</f>
        <v>0</v>
      </c>
      <c r="X47" s="494">
        <f>SUMIF('D-2 Off Site Habitat Creation'!$F$9:$F$255,'G-2 Habitat groups'!A47,'D-2 Off Site Habitat Creation'!$AA$9:$AA$255)</f>
        <v>0</v>
      </c>
      <c r="Y47" s="494">
        <f>SUMIF('D-3 Off Site Habitat Enhancment'!$S$12:$S$491,'G-2 Habitat groups'!A47,'D-3 Off Site Habitat Enhancment'!$V$12:$V$491)</f>
        <v>0</v>
      </c>
      <c r="Z47" s="494">
        <f>SUMIF('D-3 Off Site Habitat Enhancment'!$S$12:$S$491,'G-2 Habitat groups'!A47,'D-3 Off Site Habitat Enhancment'!$AP$12:$AP$491)</f>
        <v>0</v>
      </c>
      <c r="AA47" s="494">
        <f t="shared" si="57"/>
        <v>0</v>
      </c>
      <c r="AB47" s="494">
        <f t="shared" si="58"/>
        <v>0</v>
      </c>
      <c r="AC47" s="494">
        <f t="shared" si="59"/>
        <v>0</v>
      </c>
      <c r="AD47" s="494">
        <f t="shared" si="60"/>
        <v>0</v>
      </c>
      <c r="AE47" s="494">
        <f t="shared" si="61"/>
        <v>0</v>
      </c>
      <c r="AF47" s="494">
        <f t="shared" si="62"/>
        <v>0</v>
      </c>
      <c r="AU47" s="113" t="s">
        <v>569</v>
      </c>
      <c r="AV47" s="88" t="s">
        <v>73</v>
      </c>
      <c r="AW47" s="494">
        <f t="shared" si="43"/>
        <v>0</v>
      </c>
      <c r="AX47" s="494">
        <f t="shared" si="44"/>
        <v>0</v>
      </c>
      <c r="AY47" s="494">
        <f t="shared" si="45"/>
        <v>0</v>
      </c>
      <c r="AZ47" s="494">
        <f t="shared" si="46"/>
        <v>0</v>
      </c>
      <c r="BA47" s="494">
        <f t="shared" si="47"/>
        <v>0</v>
      </c>
      <c r="BB47" s="494">
        <f t="shared" si="48"/>
        <v>0</v>
      </c>
      <c r="BC47" s="494">
        <f t="shared" si="49"/>
        <v>0</v>
      </c>
      <c r="BD47" s="494">
        <f t="shared" si="50"/>
        <v>0</v>
      </c>
      <c r="BE47" s="494">
        <f t="shared" si="51"/>
        <v>0</v>
      </c>
      <c r="BF47" s="494"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4">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4">
        <f>SUMIF('A-1 Site Habitat Baseline'!$G$11:$G$258,'G-2 Habitat groups'!A48,'A-1 Site Habitat Baseline'!$Q$11:$Q$258)</f>
        <v>0</v>
      </c>
      <c r="G48" s="494">
        <f>SUMIF('A-1 Site Habitat Baseline'!$G$11:$G$258,'G-2 Habitat groups'!A48,'A-1 Site Habitat Baseline'!$S$11:$S$258)</f>
        <v>0</v>
      </c>
      <c r="H48" s="494">
        <f>SUMIF('A-1 Site Habitat Baseline'!$G$11:$G$258,'G-2 Habitat groups'!A48,'A-1 Site Habitat Baseline'!$U$11:$U$258)</f>
        <v>0</v>
      </c>
      <c r="I48" s="494">
        <f>SUMIF('A-1 Site Habitat Baseline'!$G$11:$G$258,'G-2 Habitat groups'!A48,'A-1 Site Habitat Baseline'!$W$11:$W$258)</f>
        <v>0</v>
      </c>
      <c r="J48" s="494">
        <f>SUMIF('A-1 Site Habitat Baseline'!$G$11:$G$258,'G-2 Habitat groups'!A48,'A-1 Site Habitat Baseline'!$X$11:$X$258)</f>
        <v>0</v>
      </c>
      <c r="K48" s="494">
        <f>SUMIF('A-2 Site Habitat Creation'!$F$11:$F$256,'G-2 Habitat groups'!A48,'A-2 Site Habitat Creation'!$G$11:$G$256)</f>
        <v>0</v>
      </c>
      <c r="L48" s="494">
        <f>SUMIF('A-2 Site Habitat Creation'!$F$11:$F$256,'G-2 Habitat groups'!A48,'A-2 Site Habitat Creation'!$Y$11:$Y$256)</f>
        <v>0</v>
      </c>
      <c r="M48" s="494">
        <f>SUMIF('A-3 Site Habitat Enhancement'!$S$12:$S$257,'G-2 Habitat groups'!A48,'A-3 Site Habitat Enhancement'!$V$12:$V$257)</f>
        <v>0</v>
      </c>
      <c r="N48" s="494">
        <f>SUMIF('A-3 Site Habitat Enhancement'!$S$12:$S$257,'G-2 Habitat groups'!A48,'A-3 Site Habitat Enhancement'!$AN$12:$AN$257)</f>
        <v>0</v>
      </c>
      <c r="O48" s="494">
        <f t="shared" si="53"/>
        <v>0</v>
      </c>
      <c r="P48" s="494">
        <f t="shared" si="54"/>
        <v>0</v>
      </c>
      <c r="Q48" s="494">
        <f t="shared" si="55"/>
        <v>0</v>
      </c>
      <c r="R48" s="494">
        <f t="shared" si="56"/>
        <v>0</v>
      </c>
      <c r="S48" s="494">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4">
        <f>SUMIF('D-1 Off Site Habitat Baseline'!$G$11:$G$258,'G-2 Habitat groups'!A48,'D-1 Off Site Habitat Baseline'!$Q$11:$Q$258)</f>
        <v>0</v>
      </c>
      <c r="U48" s="591">
        <f>SUMIF('D-1 Off Site Habitat Baseline'!$G$11:$G$258,'G-2 Habitat groups'!A48,'D-1 Off Site Habitat Baseline'!$S$11:$S$258)</f>
        <v>0</v>
      </c>
      <c r="V48" s="494">
        <f>SUMIF('D-1 Off Site Habitat Baseline'!$G$11:$G$258,'G-2 Habitat groups'!A48,'D-1 Off Site Habitat Baseline'!$U$11:$U$258)</f>
        <v>0</v>
      </c>
      <c r="W48" s="494">
        <f>SUMIF('D-2 Off Site Habitat Creation'!$F$9:$F$255,'G-2 Habitat groups'!A48,'D-2 Off Site Habitat Creation'!$G$9:$G$255)</f>
        <v>0</v>
      </c>
      <c r="X48" s="494">
        <f>SUMIF('D-2 Off Site Habitat Creation'!$F$9:$F$255,'G-2 Habitat groups'!A48,'D-2 Off Site Habitat Creation'!$AA$9:$AA$255)</f>
        <v>0</v>
      </c>
      <c r="Y48" s="494">
        <f>SUMIF('D-3 Off Site Habitat Enhancment'!$S$12:$S$491,'G-2 Habitat groups'!A48,'D-3 Off Site Habitat Enhancment'!$V$12:$V$491)</f>
        <v>0</v>
      </c>
      <c r="Z48" s="494">
        <f>SUMIF('D-3 Off Site Habitat Enhancment'!$S$12:$S$491,'G-2 Habitat groups'!A48,'D-3 Off Site Habitat Enhancment'!$AP$12:$AP$491)</f>
        <v>0</v>
      </c>
      <c r="AA48" s="494">
        <f t="shared" si="57"/>
        <v>0</v>
      </c>
      <c r="AB48" s="494">
        <f t="shared" si="58"/>
        <v>0</v>
      </c>
      <c r="AC48" s="494">
        <f t="shared" si="59"/>
        <v>0</v>
      </c>
      <c r="AD48" s="494">
        <f t="shared" si="60"/>
        <v>0</v>
      </c>
      <c r="AE48" s="494">
        <f t="shared" si="61"/>
        <v>0</v>
      </c>
      <c r="AF48" s="494">
        <f t="shared" si="62"/>
        <v>0</v>
      </c>
      <c r="AU48" s="113" t="s">
        <v>577</v>
      </c>
      <c r="AV48" s="88" t="s">
        <v>73</v>
      </c>
      <c r="AW48" s="494">
        <f t="shared" si="43"/>
        <v>0</v>
      </c>
      <c r="AX48" s="494">
        <f t="shared" si="44"/>
        <v>0</v>
      </c>
      <c r="AY48" s="494">
        <f t="shared" si="45"/>
        <v>0</v>
      </c>
      <c r="AZ48" s="494">
        <f t="shared" si="46"/>
        <v>0</v>
      </c>
      <c r="BA48" s="494">
        <f t="shared" si="47"/>
        <v>0</v>
      </c>
      <c r="BB48" s="494">
        <f t="shared" si="48"/>
        <v>0</v>
      </c>
      <c r="BC48" s="494">
        <f t="shared" si="49"/>
        <v>0</v>
      </c>
      <c r="BD48" s="494">
        <f t="shared" si="50"/>
        <v>0</v>
      </c>
      <c r="BE48" s="494">
        <f t="shared" si="51"/>
        <v>0</v>
      </c>
      <c r="BF48" s="494"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4">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4">
        <f>SUMIF('A-1 Site Habitat Baseline'!$G$11:$G$258,'G-2 Habitat groups'!A49,'A-1 Site Habitat Baseline'!$Q$11:$Q$258)</f>
        <v>0</v>
      </c>
      <c r="G49" s="494">
        <f>SUMIF('A-1 Site Habitat Baseline'!$G$11:$G$258,'G-2 Habitat groups'!A49,'A-1 Site Habitat Baseline'!$S$11:$S$258)</f>
        <v>0</v>
      </c>
      <c r="H49" s="494">
        <f>SUMIF('A-1 Site Habitat Baseline'!$G$11:$G$258,'G-2 Habitat groups'!A49,'A-1 Site Habitat Baseline'!$U$11:$U$258)</f>
        <v>0</v>
      </c>
      <c r="I49" s="494">
        <f>SUMIF('A-1 Site Habitat Baseline'!$G$11:$G$258,'G-2 Habitat groups'!A49,'A-1 Site Habitat Baseline'!$W$11:$W$258)</f>
        <v>0</v>
      </c>
      <c r="J49" s="494">
        <f>SUMIF('A-1 Site Habitat Baseline'!$G$11:$G$258,'G-2 Habitat groups'!A49,'A-1 Site Habitat Baseline'!$X$11:$X$258)</f>
        <v>0</v>
      </c>
      <c r="K49" s="494">
        <f>SUMIF('A-2 Site Habitat Creation'!$F$11:$F$256,'G-2 Habitat groups'!A49,'A-2 Site Habitat Creation'!$G$11:$G$256)</f>
        <v>0</v>
      </c>
      <c r="L49" s="494">
        <f>SUMIF('A-2 Site Habitat Creation'!$F$11:$F$256,'G-2 Habitat groups'!A49,'A-2 Site Habitat Creation'!$Y$11:$Y$256)</f>
        <v>0</v>
      </c>
      <c r="M49" s="494">
        <f>SUMIF('A-3 Site Habitat Enhancement'!$S$12:$S$257,'G-2 Habitat groups'!A49,'A-3 Site Habitat Enhancement'!$V$12:$V$257)</f>
        <v>0</v>
      </c>
      <c r="N49" s="494">
        <f>SUMIF('A-3 Site Habitat Enhancement'!$S$12:$S$257,'G-2 Habitat groups'!A49,'A-3 Site Habitat Enhancement'!$AN$12:$AN$257)</f>
        <v>0</v>
      </c>
      <c r="O49" s="494">
        <f t="shared" si="53"/>
        <v>0</v>
      </c>
      <c r="P49" s="494">
        <f t="shared" si="54"/>
        <v>0</v>
      </c>
      <c r="Q49" s="494">
        <f t="shared" si="55"/>
        <v>0</v>
      </c>
      <c r="R49" s="494">
        <f t="shared" si="56"/>
        <v>0</v>
      </c>
      <c r="S49" s="494">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4">
        <f>SUMIF('D-1 Off Site Habitat Baseline'!$G$11:$G$258,'G-2 Habitat groups'!A49,'D-1 Off Site Habitat Baseline'!$Q$11:$Q$258)</f>
        <v>0</v>
      </c>
      <c r="U49" s="591">
        <f>SUMIF('D-1 Off Site Habitat Baseline'!$G$11:$G$258,'G-2 Habitat groups'!A49,'D-1 Off Site Habitat Baseline'!$S$11:$S$258)</f>
        <v>0</v>
      </c>
      <c r="V49" s="494">
        <f>SUMIF('D-1 Off Site Habitat Baseline'!$G$11:$G$258,'G-2 Habitat groups'!A49,'D-1 Off Site Habitat Baseline'!$U$11:$U$258)</f>
        <v>0</v>
      </c>
      <c r="W49" s="494">
        <f>SUMIF('D-2 Off Site Habitat Creation'!$F$9:$F$255,'G-2 Habitat groups'!A49,'D-2 Off Site Habitat Creation'!$G$9:$G$255)</f>
        <v>0</v>
      </c>
      <c r="X49" s="494">
        <f>SUMIF('D-2 Off Site Habitat Creation'!$F$9:$F$255,'G-2 Habitat groups'!A49,'D-2 Off Site Habitat Creation'!$AA$9:$AA$255)</f>
        <v>0</v>
      </c>
      <c r="Y49" s="494">
        <f>SUMIF('D-3 Off Site Habitat Enhancment'!$S$12:$S$491,'G-2 Habitat groups'!A49,'D-3 Off Site Habitat Enhancment'!$V$12:$V$491)</f>
        <v>0</v>
      </c>
      <c r="Z49" s="494">
        <f>SUMIF('D-3 Off Site Habitat Enhancment'!$S$12:$S$491,'G-2 Habitat groups'!A49,'D-3 Off Site Habitat Enhancment'!$AP$12:$AP$491)</f>
        <v>0</v>
      </c>
      <c r="AA49" s="494">
        <f t="shared" si="57"/>
        <v>0</v>
      </c>
      <c r="AB49" s="494">
        <f t="shared" si="58"/>
        <v>0</v>
      </c>
      <c r="AC49" s="494">
        <f t="shared" si="59"/>
        <v>0</v>
      </c>
      <c r="AD49" s="494">
        <f t="shared" si="60"/>
        <v>0</v>
      </c>
      <c r="AE49" s="494">
        <f t="shared" si="61"/>
        <v>0</v>
      </c>
      <c r="AF49" s="494">
        <f t="shared" si="62"/>
        <v>0</v>
      </c>
      <c r="AU49" s="113" t="s">
        <v>618</v>
      </c>
      <c r="AV49" s="88" t="s">
        <v>74</v>
      </c>
      <c r="AW49" s="494">
        <f t="shared" si="43"/>
        <v>0</v>
      </c>
      <c r="AX49" s="494">
        <f t="shared" si="44"/>
        <v>0</v>
      </c>
      <c r="AY49" s="494">
        <f t="shared" si="45"/>
        <v>0</v>
      </c>
      <c r="AZ49" s="494">
        <f t="shared" si="46"/>
        <v>0</v>
      </c>
      <c r="BA49" s="494">
        <f t="shared" si="47"/>
        <v>0</v>
      </c>
      <c r="BB49" s="494">
        <f t="shared" si="48"/>
        <v>0</v>
      </c>
      <c r="BC49" s="494">
        <f t="shared" si="49"/>
        <v>0</v>
      </c>
      <c r="BD49" s="494">
        <f t="shared" si="50"/>
        <v>0</v>
      </c>
      <c r="BE49" s="494">
        <f t="shared" si="51"/>
        <v>0</v>
      </c>
      <c r="BF49" s="494"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4">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4">
        <f>SUMIF('A-1 Site Habitat Baseline'!$G$11:$G$258,'G-2 Habitat groups'!A50,'A-1 Site Habitat Baseline'!$Q$11:$Q$258)</f>
        <v>0</v>
      </c>
      <c r="G50" s="494">
        <f>SUMIF('A-1 Site Habitat Baseline'!$G$11:$G$258,'G-2 Habitat groups'!A50,'A-1 Site Habitat Baseline'!$S$11:$S$258)</f>
        <v>0</v>
      </c>
      <c r="H50" s="494">
        <f>SUMIF('A-1 Site Habitat Baseline'!$G$11:$G$258,'G-2 Habitat groups'!A50,'A-1 Site Habitat Baseline'!$U$11:$U$258)</f>
        <v>0</v>
      </c>
      <c r="I50" s="494">
        <f>SUMIF('A-1 Site Habitat Baseline'!$G$11:$G$258,'G-2 Habitat groups'!A50,'A-1 Site Habitat Baseline'!$W$11:$W$258)</f>
        <v>0</v>
      </c>
      <c r="J50" s="494">
        <f>SUMIF('A-1 Site Habitat Baseline'!$G$11:$G$258,'G-2 Habitat groups'!A50,'A-1 Site Habitat Baseline'!$X$11:$X$258)</f>
        <v>0</v>
      </c>
      <c r="K50" s="494">
        <f>SUMIF('A-2 Site Habitat Creation'!$F$11:$F$256,'G-2 Habitat groups'!A50,'A-2 Site Habitat Creation'!$G$11:$G$256)</f>
        <v>0</v>
      </c>
      <c r="L50" s="494">
        <f>SUMIF('A-2 Site Habitat Creation'!$F$11:$F$256,'G-2 Habitat groups'!A50,'A-2 Site Habitat Creation'!$Y$11:$Y$256)</f>
        <v>0</v>
      </c>
      <c r="M50" s="494">
        <f>SUMIF('A-3 Site Habitat Enhancement'!$S$12:$S$257,'G-2 Habitat groups'!A50,'A-3 Site Habitat Enhancement'!$V$12:$V$257)</f>
        <v>0</v>
      </c>
      <c r="N50" s="494">
        <f>SUMIF('A-3 Site Habitat Enhancement'!$S$12:$S$257,'G-2 Habitat groups'!A50,'A-3 Site Habitat Enhancement'!$AN$12:$AN$257)</f>
        <v>0</v>
      </c>
      <c r="O50" s="494">
        <f t="shared" si="53"/>
        <v>0</v>
      </c>
      <c r="P50" s="494">
        <f t="shared" si="54"/>
        <v>0</v>
      </c>
      <c r="Q50" s="494">
        <f t="shared" si="55"/>
        <v>0</v>
      </c>
      <c r="R50" s="494">
        <f t="shared" si="56"/>
        <v>0</v>
      </c>
      <c r="S50" s="494">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4">
        <f>SUMIF('D-1 Off Site Habitat Baseline'!$G$11:$G$258,'G-2 Habitat groups'!A50,'D-1 Off Site Habitat Baseline'!$Q$11:$Q$258)</f>
        <v>0</v>
      </c>
      <c r="U50" s="591">
        <f>SUMIF('D-1 Off Site Habitat Baseline'!$G$11:$G$258,'G-2 Habitat groups'!A50,'D-1 Off Site Habitat Baseline'!$S$11:$S$258)</f>
        <v>0</v>
      </c>
      <c r="V50" s="494">
        <f>SUMIF('D-1 Off Site Habitat Baseline'!$G$11:$G$258,'G-2 Habitat groups'!A50,'D-1 Off Site Habitat Baseline'!$U$11:$U$258)</f>
        <v>0</v>
      </c>
      <c r="W50" s="494">
        <f>SUMIF('D-2 Off Site Habitat Creation'!$F$9:$F$255,'G-2 Habitat groups'!A50,'D-2 Off Site Habitat Creation'!$G$9:$G$255)</f>
        <v>0</v>
      </c>
      <c r="X50" s="494">
        <f>SUMIF('D-2 Off Site Habitat Creation'!$F$9:$F$255,'G-2 Habitat groups'!A50,'D-2 Off Site Habitat Creation'!$AA$9:$AA$255)</f>
        <v>0</v>
      </c>
      <c r="Y50" s="494">
        <f>SUMIF('D-3 Off Site Habitat Enhancment'!$S$12:$S$491,'G-2 Habitat groups'!A50,'D-3 Off Site Habitat Enhancment'!$V$12:$V$491)</f>
        <v>0</v>
      </c>
      <c r="Z50" s="494">
        <f>SUMIF('D-3 Off Site Habitat Enhancment'!$S$12:$S$491,'G-2 Habitat groups'!A50,'D-3 Off Site Habitat Enhancment'!$AP$12:$AP$491)</f>
        <v>0</v>
      </c>
      <c r="AA50" s="494">
        <f t="shared" si="57"/>
        <v>0</v>
      </c>
      <c r="AB50" s="494">
        <f t="shared" si="58"/>
        <v>0</v>
      </c>
      <c r="AC50" s="494">
        <f t="shared" si="59"/>
        <v>0</v>
      </c>
      <c r="AD50" s="494">
        <f t="shared" si="60"/>
        <v>0</v>
      </c>
      <c r="AE50" s="494">
        <f t="shared" si="61"/>
        <v>0</v>
      </c>
      <c r="AF50" s="494">
        <f t="shared" si="62"/>
        <v>0</v>
      </c>
      <c r="AU50" s="113" t="s">
        <v>665</v>
      </c>
      <c r="AV50" s="88" t="s">
        <v>75</v>
      </c>
      <c r="AW50" s="494">
        <f t="shared" si="43"/>
        <v>0</v>
      </c>
      <c r="AX50" s="494">
        <f t="shared" si="44"/>
        <v>0</v>
      </c>
      <c r="AY50" s="494">
        <f t="shared" si="45"/>
        <v>0</v>
      </c>
      <c r="AZ50" s="494">
        <f t="shared" si="46"/>
        <v>0</v>
      </c>
      <c r="BA50" s="494">
        <f t="shared" si="47"/>
        <v>0</v>
      </c>
      <c r="BB50" s="494">
        <f t="shared" si="48"/>
        <v>0</v>
      </c>
      <c r="BC50" s="494">
        <f t="shared" si="49"/>
        <v>0</v>
      </c>
      <c r="BD50" s="494">
        <f t="shared" si="50"/>
        <v>0</v>
      </c>
      <c r="BE50" s="494">
        <f t="shared" si="51"/>
        <v>0</v>
      </c>
      <c r="BF50" s="494"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4">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4">
        <f>SUMIF('A-1 Site Habitat Baseline'!$G$11:$G$258,'G-2 Habitat groups'!A51,'A-1 Site Habitat Baseline'!$Q$11:$Q$258)</f>
        <v>0</v>
      </c>
      <c r="G51" s="494">
        <f>SUMIF('A-1 Site Habitat Baseline'!$G$11:$G$258,'G-2 Habitat groups'!A51,'A-1 Site Habitat Baseline'!$S$11:$S$258)</f>
        <v>0</v>
      </c>
      <c r="H51" s="494">
        <f>SUMIF('A-1 Site Habitat Baseline'!$G$11:$G$258,'G-2 Habitat groups'!A51,'A-1 Site Habitat Baseline'!$U$11:$U$258)</f>
        <v>0</v>
      </c>
      <c r="I51" s="494">
        <f>SUMIF('A-1 Site Habitat Baseline'!$G$11:$G$258,'G-2 Habitat groups'!A51,'A-1 Site Habitat Baseline'!$W$11:$W$258)</f>
        <v>0</v>
      </c>
      <c r="J51" s="494">
        <f>SUMIF('A-1 Site Habitat Baseline'!$G$11:$G$258,'G-2 Habitat groups'!A51,'A-1 Site Habitat Baseline'!$X$11:$X$258)</f>
        <v>0</v>
      </c>
      <c r="K51" s="494">
        <f>SUMIF('A-2 Site Habitat Creation'!$F$11:$F$256,'G-2 Habitat groups'!A51,'A-2 Site Habitat Creation'!$G$11:$G$256)</f>
        <v>0</v>
      </c>
      <c r="L51" s="494">
        <f>SUMIF('A-2 Site Habitat Creation'!$F$11:$F$256,'G-2 Habitat groups'!A51,'A-2 Site Habitat Creation'!$Y$11:$Y$256)</f>
        <v>0</v>
      </c>
      <c r="M51" s="494">
        <f>SUMIF('A-3 Site Habitat Enhancement'!$S$12:$S$257,'G-2 Habitat groups'!A51,'A-3 Site Habitat Enhancement'!$V$12:$V$257)</f>
        <v>0</v>
      </c>
      <c r="N51" s="494">
        <f>SUMIF('A-3 Site Habitat Enhancement'!$S$12:$S$257,'G-2 Habitat groups'!A51,'A-3 Site Habitat Enhancement'!$AN$12:$AN$257)</f>
        <v>0</v>
      </c>
      <c r="O51" s="494">
        <f t="shared" si="53"/>
        <v>0</v>
      </c>
      <c r="P51" s="494">
        <f t="shared" si="54"/>
        <v>0</v>
      </c>
      <c r="Q51" s="494">
        <f t="shared" si="55"/>
        <v>0</v>
      </c>
      <c r="R51" s="494">
        <f t="shared" si="56"/>
        <v>0</v>
      </c>
      <c r="S51" s="494">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4">
        <f>SUMIF('D-1 Off Site Habitat Baseline'!$G$11:$G$258,'G-2 Habitat groups'!A51,'D-1 Off Site Habitat Baseline'!$Q$11:$Q$258)</f>
        <v>0</v>
      </c>
      <c r="U51" s="591">
        <f>SUMIF('D-1 Off Site Habitat Baseline'!$G$11:$G$258,'G-2 Habitat groups'!A51,'D-1 Off Site Habitat Baseline'!$S$11:$S$258)</f>
        <v>0</v>
      </c>
      <c r="V51" s="494">
        <f>SUMIF('D-1 Off Site Habitat Baseline'!$G$11:$G$258,'G-2 Habitat groups'!A51,'D-1 Off Site Habitat Baseline'!$U$11:$U$258)</f>
        <v>0</v>
      </c>
      <c r="W51" s="494">
        <f>SUMIF('D-2 Off Site Habitat Creation'!$F$9:$F$255,'G-2 Habitat groups'!A51,'D-2 Off Site Habitat Creation'!$G$9:$G$255)</f>
        <v>0</v>
      </c>
      <c r="X51" s="494">
        <f>SUMIF('D-2 Off Site Habitat Creation'!$F$9:$F$255,'G-2 Habitat groups'!A51,'D-2 Off Site Habitat Creation'!$AA$9:$AA$255)</f>
        <v>0</v>
      </c>
      <c r="Y51" s="494">
        <f>SUMIF('D-3 Off Site Habitat Enhancment'!$S$12:$S$491,'G-2 Habitat groups'!A51,'D-3 Off Site Habitat Enhancment'!$V$12:$V$491)</f>
        <v>0</v>
      </c>
      <c r="Z51" s="494">
        <f>SUMIF('D-3 Off Site Habitat Enhancment'!$S$12:$S$491,'G-2 Habitat groups'!A51,'D-3 Off Site Habitat Enhancment'!$AP$12:$AP$491)</f>
        <v>0</v>
      </c>
      <c r="AA51" s="494">
        <f t="shared" si="57"/>
        <v>0</v>
      </c>
      <c r="AB51" s="494">
        <f t="shared" si="58"/>
        <v>0</v>
      </c>
      <c r="AC51" s="494">
        <f t="shared" si="59"/>
        <v>0</v>
      </c>
      <c r="AD51" s="494">
        <f t="shared" si="60"/>
        <v>0</v>
      </c>
      <c r="AE51" s="494">
        <f t="shared" si="61"/>
        <v>0</v>
      </c>
      <c r="AF51" s="494">
        <f t="shared" si="62"/>
        <v>0</v>
      </c>
      <c r="AU51" s="88" t="s">
        <v>671</v>
      </c>
      <c r="AV51" s="88" t="s">
        <v>76</v>
      </c>
      <c r="AW51" s="494">
        <f t="shared" si="43"/>
        <v>0</v>
      </c>
      <c r="AX51" s="494">
        <f t="shared" si="44"/>
        <v>0</v>
      </c>
      <c r="AY51" s="494">
        <f t="shared" si="45"/>
        <v>0</v>
      </c>
      <c r="AZ51" s="494">
        <f t="shared" si="46"/>
        <v>0</v>
      </c>
      <c r="BA51" s="494">
        <f t="shared" si="47"/>
        <v>0</v>
      </c>
      <c r="BB51" s="494">
        <f t="shared" si="48"/>
        <v>0</v>
      </c>
      <c r="BC51" s="494">
        <f t="shared" si="49"/>
        <v>0</v>
      </c>
      <c r="BD51" s="494">
        <f t="shared" si="50"/>
        <v>0</v>
      </c>
      <c r="BE51" s="494">
        <f t="shared" si="51"/>
        <v>0</v>
      </c>
      <c r="BF51" s="494"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4">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4">
        <f>SUMIF('A-1 Site Habitat Baseline'!$G$11:$G$258,'G-2 Habitat groups'!A52,'A-1 Site Habitat Baseline'!$Q$11:$Q$258)</f>
        <v>0</v>
      </c>
      <c r="G52" s="494">
        <f>SUMIF('A-1 Site Habitat Baseline'!$G$11:$G$258,'G-2 Habitat groups'!A52,'A-1 Site Habitat Baseline'!$S$11:$S$258)</f>
        <v>0</v>
      </c>
      <c r="H52" s="494">
        <f>SUMIF('A-1 Site Habitat Baseline'!$G$11:$G$258,'G-2 Habitat groups'!A52,'A-1 Site Habitat Baseline'!$U$11:$U$258)</f>
        <v>0</v>
      </c>
      <c r="I52" s="494">
        <f>SUMIF('A-1 Site Habitat Baseline'!$G$11:$G$258,'G-2 Habitat groups'!A52,'A-1 Site Habitat Baseline'!$W$11:$W$258)</f>
        <v>0</v>
      </c>
      <c r="J52" s="494">
        <f>SUMIF('A-1 Site Habitat Baseline'!$G$11:$G$258,'G-2 Habitat groups'!A52,'A-1 Site Habitat Baseline'!$X$11:$X$258)</f>
        <v>0</v>
      </c>
      <c r="K52" s="494">
        <f>SUMIF('A-2 Site Habitat Creation'!$F$11:$F$256,'G-2 Habitat groups'!A52,'A-2 Site Habitat Creation'!$G$11:$G$256)</f>
        <v>0</v>
      </c>
      <c r="L52" s="494">
        <f>SUMIF('A-2 Site Habitat Creation'!$F$11:$F$256,'G-2 Habitat groups'!A52,'A-2 Site Habitat Creation'!$Y$11:$Y$256)</f>
        <v>0</v>
      </c>
      <c r="M52" s="494">
        <f>SUMIF('A-3 Site Habitat Enhancement'!$S$12:$S$257,'G-2 Habitat groups'!A52,'A-3 Site Habitat Enhancement'!$V$12:$V$257)</f>
        <v>0</v>
      </c>
      <c r="N52" s="494">
        <f>SUMIF('A-3 Site Habitat Enhancement'!$S$12:$S$257,'G-2 Habitat groups'!A52,'A-3 Site Habitat Enhancement'!$AN$12:$AN$257)</f>
        <v>0</v>
      </c>
      <c r="O52" s="494">
        <f t="shared" si="53"/>
        <v>0</v>
      </c>
      <c r="P52" s="494">
        <f t="shared" si="54"/>
        <v>0</v>
      </c>
      <c r="Q52" s="494">
        <f t="shared" si="55"/>
        <v>0</v>
      </c>
      <c r="R52" s="494">
        <f t="shared" si="56"/>
        <v>0</v>
      </c>
      <c r="S52" s="494">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4">
        <f>SUMIF('D-1 Off Site Habitat Baseline'!$G$11:$G$258,'G-2 Habitat groups'!A52,'D-1 Off Site Habitat Baseline'!$Q$11:$Q$258)</f>
        <v>0</v>
      </c>
      <c r="U52" s="591">
        <f>SUMIF('D-1 Off Site Habitat Baseline'!$G$11:$G$258,'G-2 Habitat groups'!A52,'D-1 Off Site Habitat Baseline'!$S$11:$S$258)</f>
        <v>0</v>
      </c>
      <c r="V52" s="494">
        <f>SUMIF('D-1 Off Site Habitat Baseline'!$G$11:$G$258,'G-2 Habitat groups'!A52,'D-1 Off Site Habitat Baseline'!$U$11:$U$258)</f>
        <v>0</v>
      </c>
      <c r="W52" s="494">
        <f>SUMIF('D-2 Off Site Habitat Creation'!$F$9:$F$255,'G-2 Habitat groups'!A52,'D-2 Off Site Habitat Creation'!$G$9:$G$255)</f>
        <v>0</v>
      </c>
      <c r="X52" s="494">
        <f>SUMIF('D-2 Off Site Habitat Creation'!$F$9:$F$255,'G-2 Habitat groups'!A52,'D-2 Off Site Habitat Creation'!$AA$9:$AA$255)</f>
        <v>0</v>
      </c>
      <c r="Y52" s="494">
        <f>SUMIF('D-3 Off Site Habitat Enhancment'!$S$12:$S$491,'G-2 Habitat groups'!A52,'D-3 Off Site Habitat Enhancment'!$V$12:$V$491)</f>
        <v>0</v>
      </c>
      <c r="Z52" s="494">
        <f>SUMIF('D-3 Off Site Habitat Enhancment'!$S$12:$S$491,'G-2 Habitat groups'!A52,'D-3 Off Site Habitat Enhancment'!$AP$12:$AP$491)</f>
        <v>0</v>
      </c>
      <c r="AA52" s="494">
        <f t="shared" si="57"/>
        <v>0</v>
      </c>
      <c r="AB52" s="494">
        <f t="shared" si="58"/>
        <v>0</v>
      </c>
      <c r="AC52" s="494">
        <f t="shared" si="59"/>
        <v>0</v>
      </c>
      <c r="AD52" s="494">
        <f t="shared" si="60"/>
        <v>0</v>
      </c>
      <c r="AE52" s="494">
        <f t="shared" si="61"/>
        <v>0</v>
      </c>
      <c r="AF52" s="494">
        <f t="shared" si="62"/>
        <v>0</v>
      </c>
      <c r="AU52" s="113" t="s">
        <v>674</v>
      </c>
      <c r="AV52" s="88" t="s">
        <v>76</v>
      </c>
      <c r="AW52" s="494">
        <f t="shared" si="43"/>
        <v>0</v>
      </c>
      <c r="AX52" s="494">
        <f t="shared" si="44"/>
        <v>0</v>
      </c>
      <c r="AY52" s="494">
        <f t="shared" si="45"/>
        <v>0</v>
      </c>
      <c r="AZ52" s="494">
        <f t="shared" si="46"/>
        <v>0</v>
      </c>
      <c r="BA52" s="494">
        <f t="shared" si="47"/>
        <v>0</v>
      </c>
      <c r="BB52" s="494">
        <f t="shared" si="48"/>
        <v>0</v>
      </c>
      <c r="BC52" s="494">
        <f t="shared" si="49"/>
        <v>0</v>
      </c>
      <c r="BD52" s="494">
        <f t="shared" si="50"/>
        <v>0</v>
      </c>
      <c r="BE52" s="494">
        <f t="shared" si="51"/>
        <v>0</v>
      </c>
      <c r="BF52" s="494"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4">
        <f>IF(C53="V.High",SUMIF('A-1 Site Habitat Baseline'!$G$11:$G$258,'G-2 Habitat groups'!A53,'A-1 Site Habitat Baseline'!$S$11:$S$258)+SUMIF('A-1 Site Habitat Baseline'!$G$11:$G$258,'G-2 Habitat groups'!A53,'A-1 Site Habitat Baseline'!$T$11:$T$258),SUMIF('A-1 Site Habitat Baseline'!$G$11:$G$258,'G-2 Habitat groups'!A53,'A-1 Site Habitat Baseline'!$H$11:$H$258))</f>
        <v>0.3614</v>
      </c>
      <c r="F53" s="494">
        <f>SUMIF('A-1 Site Habitat Baseline'!$G$11:$G$258,'G-2 Habitat groups'!A53,'A-1 Site Habitat Baseline'!$Q$11:$Q$258)</f>
        <v>0.83121999999999996</v>
      </c>
      <c r="G53" s="494">
        <f>SUMIF('A-1 Site Habitat Baseline'!$G$11:$G$258,'G-2 Habitat groups'!A53,'A-1 Site Habitat Baseline'!$S$11:$S$258)</f>
        <v>0</v>
      </c>
      <c r="H53" s="494">
        <f>SUMIF('A-1 Site Habitat Baseline'!$G$11:$G$258,'G-2 Habitat groups'!A53,'A-1 Site Habitat Baseline'!$U$11:$U$258)</f>
        <v>0</v>
      </c>
      <c r="I53" s="494">
        <f>SUMIF('A-1 Site Habitat Baseline'!$G$11:$G$258,'G-2 Habitat groups'!A53,'A-1 Site Habitat Baseline'!$W$11:$W$258)</f>
        <v>0.3614</v>
      </c>
      <c r="J53" s="494">
        <f>SUMIF('A-1 Site Habitat Baseline'!$G$11:$G$258,'G-2 Habitat groups'!A53,'A-1 Site Habitat Baseline'!$X$11:$X$258)</f>
        <v>0.83121999999999996</v>
      </c>
      <c r="K53" s="494">
        <f>SUMIF('A-2 Site Habitat Creation'!$F$11:$F$256,'G-2 Habitat groups'!A53,'A-2 Site Habitat Creation'!$G$11:$G$256)</f>
        <v>0</v>
      </c>
      <c r="L53" s="494">
        <f>SUMIF('A-2 Site Habitat Creation'!$F$11:$F$256,'G-2 Habitat groups'!A53,'A-2 Site Habitat Creation'!$Y$11:$Y$256)</f>
        <v>0</v>
      </c>
      <c r="M53" s="494">
        <f>SUMIF('A-3 Site Habitat Enhancement'!$S$12:$S$257,'G-2 Habitat groups'!A53,'A-3 Site Habitat Enhancement'!$V$12:$V$257)</f>
        <v>0</v>
      </c>
      <c r="N53" s="494">
        <f>SUMIF('A-3 Site Habitat Enhancement'!$S$12:$S$257,'G-2 Habitat groups'!A53,'A-3 Site Habitat Enhancement'!$AN$12:$AN$257)</f>
        <v>0</v>
      </c>
      <c r="O53" s="494">
        <f t="shared" si="53"/>
        <v>0</v>
      </c>
      <c r="P53" s="494">
        <f t="shared" si="54"/>
        <v>0</v>
      </c>
      <c r="Q53" s="494">
        <f t="shared" si="55"/>
        <v>-0.3614</v>
      </c>
      <c r="R53" s="494">
        <f t="shared" si="56"/>
        <v>-0.83121999999999996</v>
      </c>
      <c r="S53" s="494">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4">
        <f>SUMIF('D-1 Off Site Habitat Baseline'!$G$11:$G$258,'G-2 Habitat groups'!A53,'D-1 Off Site Habitat Baseline'!$Q$11:$Q$258)</f>
        <v>0</v>
      </c>
      <c r="U53" s="591">
        <f>SUMIF('D-1 Off Site Habitat Baseline'!$G$11:$G$258,'G-2 Habitat groups'!A53,'D-1 Off Site Habitat Baseline'!$S$11:$S$258)</f>
        <v>0</v>
      </c>
      <c r="V53" s="494">
        <f>SUMIF('D-1 Off Site Habitat Baseline'!$G$11:$G$258,'G-2 Habitat groups'!A53,'D-1 Off Site Habitat Baseline'!$U$11:$U$258)</f>
        <v>0</v>
      </c>
      <c r="W53" s="494">
        <f>SUMIF('D-2 Off Site Habitat Creation'!$F$9:$F$255,'G-2 Habitat groups'!A53,'D-2 Off Site Habitat Creation'!$G$9:$G$255)</f>
        <v>0</v>
      </c>
      <c r="X53" s="494">
        <f>SUMIF('D-2 Off Site Habitat Creation'!$F$9:$F$255,'G-2 Habitat groups'!A53,'D-2 Off Site Habitat Creation'!$AA$9:$AA$255)</f>
        <v>0</v>
      </c>
      <c r="Y53" s="494">
        <f>SUMIF('D-3 Off Site Habitat Enhancment'!$S$12:$S$491,'G-2 Habitat groups'!A53,'D-3 Off Site Habitat Enhancment'!$V$12:$V$491)</f>
        <v>0</v>
      </c>
      <c r="Z53" s="494">
        <f>SUMIF('D-3 Off Site Habitat Enhancment'!$S$12:$S$491,'G-2 Habitat groups'!A53,'D-3 Off Site Habitat Enhancment'!$AP$12:$AP$491)</f>
        <v>0</v>
      </c>
      <c r="AA53" s="494">
        <f t="shared" si="57"/>
        <v>0</v>
      </c>
      <c r="AB53" s="494">
        <f t="shared" si="58"/>
        <v>0</v>
      </c>
      <c r="AC53" s="494">
        <f t="shared" si="59"/>
        <v>0</v>
      </c>
      <c r="AD53" s="494">
        <f t="shared" si="60"/>
        <v>0</v>
      </c>
      <c r="AE53" s="494">
        <f t="shared" si="61"/>
        <v>-0.3614</v>
      </c>
      <c r="AF53" s="494">
        <f t="shared" si="62"/>
        <v>-0.83121999999999996</v>
      </c>
      <c r="AU53" s="113" t="s">
        <v>678</v>
      </c>
      <c r="AV53" s="88" t="s">
        <v>76</v>
      </c>
      <c r="AW53" s="494">
        <f t="shared" si="43"/>
        <v>0</v>
      </c>
      <c r="AX53" s="494">
        <f t="shared" si="44"/>
        <v>0</v>
      </c>
      <c r="AY53" s="494">
        <f t="shared" si="45"/>
        <v>0</v>
      </c>
      <c r="AZ53" s="494">
        <f t="shared" si="46"/>
        <v>0</v>
      </c>
      <c r="BA53" s="494">
        <f t="shared" si="47"/>
        <v>0</v>
      </c>
      <c r="BB53" s="494">
        <f t="shared" si="48"/>
        <v>0</v>
      </c>
      <c r="BC53" s="494">
        <f t="shared" si="49"/>
        <v>0</v>
      </c>
      <c r="BD53" s="494">
        <f t="shared" si="50"/>
        <v>0</v>
      </c>
      <c r="BE53" s="494">
        <f t="shared" si="51"/>
        <v>0</v>
      </c>
      <c r="BF53" s="494"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4">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4">
        <f>SUMIF('A-1 Site Habitat Baseline'!$G$11:$G$258,'G-2 Habitat groups'!A54,'A-1 Site Habitat Baseline'!$Q$11:$Q$258)</f>
        <v>0</v>
      </c>
      <c r="G54" s="494">
        <f>SUMIF('A-1 Site Habitat Baseline'!$G$11:$G$258,'G-2 Habitat groups'!A54,'A-1 Site Habitat Baseline'!$S$11:$S$258)</f>
        <v>0</v>
      </c>
      <c r="H54" s="494">
        <f>SUMIF('A-1 Site Habitat Baseline'!$G$11:$G$258,'G-2 Habitat groups'!A54,'A-1 Site Habitat Baseline'!$U$11:$U$258)</f>
        <v>0</v>
      </c>
      <c r="I54" s="494">
        <f>SUMIF('A-1 Site Habitat Baseline'!$G$11:$G$258,'G-2 Habitat groups'!A54,'A-1 Site Habitat Baseline'!$W$11:$W$258)</f>
        <v>0</v>
      </c>
      <c r="J54" s="494">
        <f>SUMIF('A-1 Site Habitat Baseline'!$G$11:$G$258,'G-2 Habitat groups'!A54,'A-1 Site Habitat Baseline'!$X$11:$X$258)</f>
        <v>0</v>
      </c>
      <c r="K54" s="494">
        <f>SUMIF('A-2 Site Habitat Creation'!$F$11:$F$256,'G-2 Habitat groups'!A54,'A-2 Site Habitat Creation'!$G$11:$G$256)</f>
        <v>0</v>
      </c>
      <c r="L54" s="494">
        <f>SUMIF('A-2 Site Habitat Creation'!$F$11:$F$256,'G-2 Habitat groups'!A54,'A-2 Site Habitat Creation'!$Y$11:$Y$256)</f>
        <v>0</v>
      </c>
      <c r="M54" s="494">
        <f>SUMIF('A-3 Site Habitat Enhancement'!$S$12:$S$257,'G-2 Habitat groups'!A54,'A-3 Site Habitat Enhancement'!$V$12:$V$257)</f>
        <v>0</v>
      </c>
      <c r="N54" s="494">
        <f>SUMIF('A-3 Site Habitat Enhancement'!$S$12:$S$257,'G-2 Habitat groups'!A54,'A-3 Site Habitat Enhancement'!$AN$12:$AN$257)</f>
        <v>0</v>
      </c>
      <c r="O54" s="494">
        <f t="shared" si="53"/>
        <v>0</v>
      </c>
      <c r="P54" s="494">
        <f t="shared" si="54"/>
        <v>0</v>
      </c>
      <c r="Q54" s="494">
        <f t="shared" si="55"/>
        <v>0</v>
      </c>
      <c r="R54" s="494">
        <f t="shared" si="56"/>
        <v>0</v>
      </c>
      <c r="S54" s="494">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4">
        <f>SUMIF('D-1 Off Site Habitat Baseline'!$G$11:$G$258,'G-2 Habitat groups'!A54,'D-1 Off Site Habitat Baseline'!$Q$11:$Q$258)</f>
        <v>0</v>
      </c>
      <c r="U54" s="591">
        <f>SUMIF('D-1 Off Site Habitat Baseline'!$G$11:$G$258,'G-2 Habitat groups'!A54,'D-1 Off Site Habitat Baseline'!$S$11:$S$258)</f>
        <v>0</v>
      </c>
      <c r="V54" s="494">
        <f>SUMIF('D-1 Off Site Habitat Baseline'!$G$11:$G$258,'G-2 Habitat groups'!A54,'D-1 Off Site Habitat Baseline'!$U$11:$U$258)</f>
        <v>0</v>
      </c>
      <c r="W54" s="494">
        <f>SUMIF('D-2 Off Site Habitat Creation'!$F$9:$F$255,'G-2 Habitat groups'!A54,'D-2 Off Site Habitat Creation'!$G$9:$G$255)</f>
        <v>0</v>
      </c>
      <c r="X54" s="494">
        <f>SUMIF('D-2 Off Site Habitat Creation'!$F$9:$F$255,'G-2 Habitat groups'!A54,'D-2 Off Site Habitat Creation'!$AA$9:$AA$255)</f>
        <v>0</v>
      </c>
      <c r="Y54" s="494">
        <f>SUMIF('D-3 Off Site Habitat Enhancment'!$S$12:$S$491,'G-2 Habitat groups'!A54,'D-3 Off Site Habitat Enhancment'!$V$12:$V$491)</f>
        <v>0</v>
      </c>
      <c r="Z54" s="494">
        <f>SUMIF('D-3 Off Site Habitat Enhancment'!$S$12:$S$491,'G-2 Habitat groups'!A54,'D-3 Off Site Habitat Enhancment'!$AP$12:$AP$491)</f>
        <v>0</v>
      </c>
      <c r="AA54" s="494">
        <f t="shared" si="57"/>
        <v>0</v>
      </c>
      <c r="AB54" s="494">
        <f t="shared" si="58"/>
        <v>0</v>
      </c>
      <c r="AC54" s="494">
        <f t="shared" si="59"/>
        <v>0</v>
      </c>
      <c r="AD54" s="494">
        <f t="shared" si="60"/>
        <v>0</v>
      </c>
      <c r="AE54" s="494">
        <f t="shared" si="61"/>
        <v>0</v>
      </c>
      <c r="AF54" s="494">
        <f t="shared" si="62"/>
        <v>0</v>
      </c>
      <c r="AU54" s="113" t="s">
        <v>681</v>
      </c>
      <c r="AV54" s="88" t="s">
        <v>76</v>
      </c>
      <c r="AW54" s="494">
        <f t="shared" si="43"/>
        <v>0</v>
      </c>
      <c r="AX54" s="494">
        <f t="shared" si="44"/>
        <v>0</v>
      </c>
      <c r="AY54" s="494">
        <f t="shared" si="45"/>
        <v>0</v>
      </c>
      <c r="AZ54" s="494">
        <f t="shared" si="46"/>
        <v>0</v>
      </c>
      <c r="BA54" s="494">
        <f t="shared" si="47"/>
        <v>0</v>
      </c>
      <c r="BB54" s="494">
        <f t="shared" si="48"/>
        <v>0</v>
      </c>
      <c r="BC54" s="494">
        <f t="shared" si="49"/>
        <v>0</v>
      </c>
      <c r="BD54" s="494">
        <f t="shared" si="50"/>
        <v>0</v>
      </c>
      <c r="BE54" s="494">
        <f t="shared" si="51"/>
        <v>0</v>
      </c>
      <c r="BF54" s="494"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4">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4">
        <f>SUMIF('A-1 Site Habitat Baseline'!$G$11:$G$258,'G-2 Habitat groups'!A55,'A-1 Site Habitat Baseline'!$Q$11:$Q$258)</f>
        <v>0</v>
      </c>
      <c r="G55" s="494">
        <f>SUMIF('A-1 Site Habitat Baseline'!$G$11:$G$258,'G-2 Habitat groups'!A55,'A-1 Site Habitat Baseline'!$S$11:$S$258)</f>
        <v>0</v>
      </c>
      <c r="H55" s="494">
        <f>SUMIF('A-1 Site Habitat Baseline'!$G$11:$G$258,'G-2 Habitat groups'!A55,'A-1 Site Habitat Baseline'!$U$11:$U$258)</f>
        <v>0</v>
      </c>
      <c r="I55" s="494">
        <f>SUMIF('A-1 Site Habitat Baseline'!$G$11:$G$258,'G-2 Habitat groups'!A55,'A-1 Site Habitat Baseline'!$W$11:$W$258)</f>
        <v>0</v>
      </c>
      <c r="J55" s="494">
        <f>SUMIF('A-1 Site Habitat Baseline'!$G$11:$G$258,'G-2 Habitat groups'!A55,'A-1 Site Habitat Baseline'!$X$11:$X$258)</f>
        <v>0</v>
      </c>
      <c r="K55" s="494">
        <f>SUMIF('A-2 Site Habitat Creation'!$F$11:$F$256,'G-2 Habitat groups'!A55,'A-2 Site Habitat Creation'!$G$11:$G$256)</f>
        <v>0</v>
      </c>
      <c r="L55" s="494">
        <f>SUMIF('A-2 Site Habitat Creation'!$F$11:$F$256,'G-2 Habitat groups'!A55,'A-2 Site Habitat Creation'!$Y$11:$Y$256)</f>
        <v>0</v>
      </c>
      <c r="M55" s="494">
        <f>SUMIF('A-3 Site Habitat Enhancement'!$S$12:$S$257,'G-2 Habitat groups'!A55,'A-3 Site Habitat Enhancement'!$V$12:$V$257)</f>
        <v>0</v>
      </c>
      <c r="N55" s="494">
        <f>SUMIF('A-3 Site Habitat Enhancement'!$S$12:$S$257,'G-2 Habitat groups'!A55,'A-3 Site Habitat Enhancement'!$AN$12:$AN$257)</f>
        <v>0</v>
      </c>
      <c r="O55" s="494">
        <f t="shared" si="53"/>
        <v>0</v>
      </c>
      <c r="P55" s="494">
        <f t="shared" si="54"/>
        <v>0</v>
      </c>
      <c r="Q55" s="494">
        <f t="shared" si="55"/>
        <v>0</v>
      </c>
      <c r="R55" s="494">
        <f t="shared" si="56"/>
        <v>0</v>
      </c>
      <c r="S55" s="494">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4">
        <f>SUMIF('D-1 Off Site Habitat Baseline'!$G$11:$G$258,'G-2 Habitat groups'!A55,'D-1 Off Site Habitat Baseline'!$Q$11:$Q$258)</f>
        <v>0</v>
      </c>
      <c r="U55" s="591">
        <f>SUMIF('D-1 Off Site Habitat Baseline'!$G$11:$G$258,'G-2 Habitat groups'!A55,'D-1 Off Site Habitat Baseline'!$S$11:$S$258)</f>
        <v>0</v>
      </c>
      <c r="V55" s="494">
        <f>SUMIF('D-1 Off Site Habitat Baseline'!$G$11:$G$258,'G-2 Habitat groups'!A55,'D-1 Off Site Habitat Baseline'!$U$11:$U$258)</f>
        <v>0</v>
      </c>
      <c r="W55" s="494">
        <f>SUMIF('D-2 Off Site Habitat Creation'!$F$9:$F$255,'G-2 Habitat groups'!A55,'D-2 Off Site Habitat Creation'!$G$9:$G$255)</f>
        <v>0</v>
      </c>
      <c r="X55" s="494">
        <f>SUMIF('D-2 Off Site Habitat Creation'!$F$9:$F$255,'G-2 Habitat groups'!A55,'D-2 Off Site Habitat Creation'!$AA$9:$AA$255)</f>
        <v>0</v>
      </c>
      <c r="Y55" s="494">
        <f>SUMIF('D-3 Off Site Habitat Enhancment'!$S$12:$S$491,'G-2 Habitat groups'!A55,'D-3 Off Site Habitat Enhancment'!$V$12:$V$491)</f>
        <v>0</v>
      </c>
      <c r="Z55" s="494">
        <f>SUMIF('D-3 Off Site Habitat Enhancment'!$S$12:$S$491,'G-2 Habitat groups'!A55,'D-3 Off Site Habitat Enhancment'!$AP$12:$AP$491)</f>
        <v>0</v>
      </c>
      <c r="AA55" s="494">
        <f t="shared" si="57"/>
        <v>0</v>
      </c>
      <c r="AB55" s="494">
        <f t="shared" si="58"/>
        <v>0</v>
      </c>
      <c r="AC55" s="494">
        <f t="shared" si="59"/>
        <v>0</v>
      </c>
      <c r="AD55" s="494">
        <f t="shared" si="60"/>
        <v>0</v>
      </c>
      <c r="AE55" s="494">
        <f t="shared" si="61"/>
        <v>0</v>
      </c>
      <c r="AF55" s="494">
        <f t="shared" si="62"/>
        <v>0</v>
      </c>
      <c r="AU55" s="113" t="s">
        <v>698</v>
      </c>
      <c r="AV55" s="88" t="s">
        <v>76</v>
      </c>
      <c r="AW55" s="494">
        <f t="shared" si="43"/>
        <v>0</v>
      </c>
      <c r="AX55" s="494">
        <f t="shared" si="44"/>
        <v>0</v>
      </c>
      <c r="AY55" s="494">
        <f t="shared" si="45"/>
        <v>0</v>
      </c>
      <c r="AZ55" s="494">
        <f t="shared" si="46"/>
        <v>0</v>
      </c>
      <c r="BA55" s="494">
        <f t="shared" si="47"/>
        <v>0</v>
      </c>
      <c r="BB55" s="494">
        <f t="shared" si="48"/>
        <v>0</v>
      </c>
      <c r="BC55" s="494">
        <f t="shared" si="49"/>
        <v>0</v>
      </c>
      <c r="BD55" s="494">
        <f t="shared" si="50"/>
        <v>0</v>
      </c>
      <c r="BE55" s="494">
        <f t="shared" si="51"/>
        <v>0</v>
      </c>
      <c r="BF55" s="494"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4">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4">
        <f>SUMIF('A-1 Site Habitat Baseline'!$G$11:$G$258,'G-2 Habitat groups'!A56,'A-1 Site Habitat Baseline'!$Q$11:$Q$258)</f>
        <v>0</v>
      </c>
      <c r="G56" s="494">
        <f>SUMIF('A-1 Site Habitat Baseline'!$G$11:$G$258,'G-2 Habitat groups'!A56,'A-1 Site Habitat Baseline'!$S$11:$S$258)</f>
        <v>0</v>
      </c>
      <c r="H56" s="494">
        <f>SUMIF('A-1 Site Habitat Baseline'!$G$11:$G$258,'G-2 Habitat groups'!A56,'A-1 Site Habitat Baseline'!$U$11:$U$258)</f>
        <v>0</v>
      </c>
      <c r="I56" s="494">
        <f>SUMIF('A-1 Site Habitat Baseline'!$G$11:$G$258,'G-2 Habitat groups'!A56,'A-1 Site Habitat Baseline'!$W$11:$W$258)</f>
        <v>0</v>
      </c>
      <c r="J56" s="494">
        <f>SUMIF('A-1 Site Habitat Baseline'!$G$11:$G$258,'G-2 Habitat groups'!A56,'A-1 Site Habitat Baseline'!$X$11:$X$258)</f>
        <v>0</v>
      </c>
      <c r="K56" s="494">
        <f>SUMIF('A-2 Site Habitat Creation'!$F$11:$F$256,'G-2 Habitat groups'!A56,'A-2 Site Habitat Creation'!$G$11:$G$256)</f>
        <v>0</v>
      </c>
      <c r="L56" s="494">
        <f>SUMIF('A-2 Site Habitat Creation'!$F$11:$F$256,'G-2 Habitat groups'!A56,'A-2 Site Habitat Creation'!$Y$11:$Y$256)</f>
        <v>0</v>
      </c>
      <c r="M56" s="494">
        <f>SUMIF('A-3 Site Habitat Enhancement'!$S$12:$S$257,'G-2 Habitat groups'!A56,'A-3 Site Habitat Enhancement'!$V$12:$V$257)</f>
        <v>0</v>
      </c>
      <c r="N56" s="494">
        <f>SUMIF('A-3 Site Habitat Enhancement'!$S$12:$S$257,'G-2 Habitat groups'!A56,'A-3 Site Habitat Enhancement'!$AN$12:$AN$257)</f>
        <v>0</v>
      </c>
      <c r="O56" s="494">
        <f t="shared" si="53"/>
        <v>0</v>
      </c>
      <c r="P56" s="494">
        <f t="shared" si="54"/>
        <v>0</v>
      </c>
      <c r="Q56" s="494">
        <f t="shared" si="55"/>
        <v>0</v>
      </c>
      <c r="R56" s="494">
        <f t="shared" si="56"/>
        <v>0</v>
      </c>
      <c r="S56" s="494">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4">
        <f>SUMIF('D-1 Off Site Habitat Baseline'!$G$11:$G$258,'G-2 Habitat groups'!A56,'D-1 Off Site Habitat Baseline'!$Q$11:$Q$258)</f>
        <v>0</v>
      </c>
      <c r="U56" s="591">
        <f>SUMIF('D-1 Off Site Habitat Baseline'!$G$11:$G$258,'G-2 Habitat groups'!A56,'D-1 Off Site Habitat Baseline'!$S$11:$S$258)</f>
        <v>0</v>
      </c>
      <c r="V56" s="494">
        <f>SUMIF('D-1 Off Site Habitat Baseline'!$G$11:$G$258,'G-2 Habitat groups'!A56,'D-1 Off Site Habitat Baseline'!$U$11:$U$258)</f>
        <v>0</v>
      </c>
      <c r="W56" s="494">
        <f>SUMIF('D-2 Off Site Habitat Creation'!$F$9:$F$255,'G-2 Habitat groups'!A56,'D-2 Off Site Habitat Creation'!$G$9:$G$255)</f>
        <v>0</v>
      </c>
      <c r="X56" s="494">
        <f>SUMIF('D-2 Off Site Habitat Creation'!$F$9:$F$255,'G-2 Habitat groups'!A56,'D-2 Off Site Habitat Creation'!$AA$9:$AA$255)</f>
        <v>0</v>
      </c>
      <c r="Y56" s="494">
        <f>SUMIF('D-3 Off Site Habitat Enhancment'!$S$12:$S$491,'G-2 Habitat groups'!A56,'D-3 Off Site Habitat Enhancment'!$V$12:$V$491)</f>
        <v>0</v>
      </c>
      <c r="Z56" s="494">
        <f>SUMIF('D-3 Off Site Habitat Enhancment'!$S$12:$S$491,'G-2 Habitat groups'!A56,'D-3 Off Site Habitat Enhancment'!$AP$12:$AP$491)</f>
        <v>0</v>
      </c>
      <c r="AA56" s="494">
        <f t="shared" si="57"/>
        <v>0</v>
      </c>
      <c r="AB56" s="494">
        <f t="shared" si="58"/>
        <v>0</v>
      </c>
      <c r="AC56" s="494">
        <f t="shared" si="59"/>
        <v>0</v>
      </c>
      <c r="AD56" s="494">
        <f t="shared" si="60"/>
        <v>0</v>
      </c>
      <c r="AE56" s="494">
        <f t="shared" si="61"/>
        <v>0</v>
      </c>
      <c r="AF56" s="494">
        <f t="shared" si="62"/>
        <v>0</v>
      </c>
      <c r="AU56" s="113" t="s">
        <v>701</v>
      </c>
      <c r="AV56" s="88" t="s">
        <v>76</v>
      </c>
      <c r="AW56" s="494">
        <f t="shared" si="43"/>
        <v>0</v>
      </c>
      <c r="AX56" s="494">
        <f t="shared" si="44"/>
        <v>0</v>
      </c>
      <c r="AY56" s="494">
        <f t="shared" si="45"/>
        <v>0</v>
      </c>
      <c r="AZ56" s="494">
        <f t="shared" si="46"/>
        <v>0</v>
      </c>
      <c r="BA56" s="494">
        <f t="shared" si="47"/>
        <v>0</v>
      </c>
      <c r="BB56" s="494">
        <f t="shared" si="48"/>
        <v>0</v>
      </c>
      <c r="BC56" s="494">
        <f t="shared" si="49"/>
        <v>0</v>
      </c>
      <c r="BD56" s="494">
        <f t="shared" si="50"/>
        <v>0</v>
      </c>
      <c r="BE56" s="494">
        <f t="shared" si="51"/>
        <v>0</v>
      </c>
      <c r="BF56" s="494"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4">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4">
        <f>SUMIF('A-1 Site Habitat Baseline'!$G$11:$G$258,'G-2 Habitat groups'!A57,'A-1 Site Habitat Baseline'!$Q$11:$Q$258)</f>
        <v>0</v>
      </c>
      <c r="G57" s="494">
        <f>SUMIF('A-1 Site Habitat Baseline'!$G$11:$G$258,'G-2 Habitat groups'!A57,'A-1 Site Habitat Baseline'!$S$11:$S$258)</f>
        <v>0</v>
      </c>
      <c r="H57" s="494">
        <f>SUMIF('A-1 Site Habitat Baseline'!$G$11:$G$258,'G-2 Habitat groups'!A57,'A-1 Site Habitat Baseline'!$U$11:$U$258)</f>
        <v>0</v>
      </c>
      <c r="I57" s="494">
        <f>SUMIF('A-1 Site Habitat Baseline'!$G$11:$G$258,'G-2 Habitat groups'!A57,'A-1 Site Habitat Baseline'!$W$11:$W$258)</f>
        <v>0</v>
      </c>
      <c r="J57" s="494">
        <f>SUMIF('A-1 Site Habitat Baseline'!$G$11:$G$258,'G-2 Habitat groups'!A57,'A-1 Site Habitat Baseline'!$X$11:$X$258)</f>
        <v>0</v>
      </c>
      <c r="K57" s="494">
        <f>SUMIF('A-2 Site Habitat Creation'!$F$11:$F$256,'G-2 Habitat groups'!A57,'A-2 Site Habitat Creation'!$G$11:$G$256)</f>
        <v>0</v>
      </c>
      <c r="L57" s="494">
        <f>SUMIF('A-2 Site Habitat Creation'!$F$11:$F$256,'G-2 Habitat groups'!A57,'A-2 Site Habitat Creation'!$Y$11:$Y$256)</f>
        <v>0</v>
      </c>
      <c r="M57" s="494">
        <f>SUMIF('A-3 Site Habitat Enhancement'!$S$12:$S$257,'G-2 Habitat groups'!A57,'A-3 Site Habitat Enhancement'!$V$12:$V$257)</f>
        <v>0</v>
      </c>
      <c r="N57" s="494">
        <f>SUMIF('A-3 Site Habitat Enhancement'!$S$12:$S$257,'G-2 Habitat groups'!A57,'A-3 Site Habitat Enhancement'!$AN$12:$AN$257)</f>
        <v>0</v>
      </c>
      <c r="O57" s="494">
        <f t="shared" si="53"/>
        <v>0</v>
      </c>
      <c r="P57" s="494">
        <f t="shared" si="54"/>
        <v>0</v>
      </c>
      <c r="Q57" s="494">
        <f t="shared" si="55"/>
        <v>0</v>
      </c>
      <c r="R57" s="494">
        <f t="shared" si="56"/>
        <v>0</v>
      </c>
      <c r="S57" s="494">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4">
        <f>SUMIF('D-1 Off Site Habitat Baseline'!$G$11:$G$258,'G-2 Habitat groups'!A57,'D-1 Off Site Habitat Baseline'!$Q$11:$Q$258)</f>
        <v>0</v>
      </c>
      <c r="U57" s="591">
        <f>SUMIF('D-1 Off Site Habitat Baseline'!$G$11:$G$258,'G-2 Habitat groups'!A57,'D-1 Off Site Habitat Baseline'!$S$11:$S$258)</f>
        <v>0</v>
      </c>
      <c r="V57" s="494">
        <f>SUMIF('D-1 Off Site Habitat Baseline'!$G$11:$G$258,'G-2 Habitat groups'!A57,'D-1 Off Site Habitat Baseline'!$U$11:$U$258)</f>
        <v>0</v>
      </c>
      <c r="W57" s="494">
        <f>SUMIF('D-2 Off Site Habitat Creation'!$F$9:$F$255,'G-2 Habitat groups'!A57,'D-2 Off Site Habitat Creation'!$G$9:$G$255)</f>
        <v>0</v>
      </c>
      <c r="X57" s="494">
        <f>SUMIF('D-2 Off Site Habitat Creation'!$F$9:$F$255,'G-2 Habitat groups'!A57,'D-2 Off Site Habitat Creation'!$AA$9:$AA$255)</f>
        <v>0</v>
      </c>
      <c r="Y57" s="494">
        <f>SUMIF('D-3 Off Site Habitat Enhancment'!$S$12:$S$491,'G-2 Habitat groups'!A57,'D-3 Off Site Habitat Enhancment'!$V$12:$V$491)</f>
        <v>0</v>
      </c>
      <c r="Z57" s="494">
        <f>SUMIF('D-3 Off Site Habitat Enhancment'!$S$12:$S$491,'G-2 Habitat groups'!A57,'D-3 Off Site Habitat Enhancment'!$AP$12:$AP$491)</f>
        <v>0</v>
      </c>
      <c r="AA57" s="494">
        <f t="shared" si="57"/>
        <v>0</v>
      </c>
      <c r="AB57" s="494">
        <f t="shared" si="58"/>
        <v>0</v>
      </c>
      <c r="AC57" s="494">
        <f t="shared" si="59"/>
        <v>0</v>
      </c>
      <c r="AD57" s="494">
        <f t="shared" si="60"/>
        <v>0</v>
      </c>
      <c r="AE57" s="494">
        <f t="shared" si="61"/>
        <v>0</v>
      </c>
      <c r="AF57" s="494">
        <f t="shared" si="62"/>
        <v>0</v>
      </c>
      <c r="AU57" s="113" t="s">
        <v>704</v>
      </c>
      <c r="AV57" s="88" t="s">
        <v>76</v>
      </c>
      <c r="AW57" s="494">
        <f t="shared" si="43"/>
        <v>0</v>
      </c>
      <c r="AX57" s="494">
        <f t="shared" si="44"/>
        <v>0</v>
      </c>
      <c r="AY57" s="494">
        <f t="shared" si="45"/>
        <v>0</v>
      </c>
      <c r="AZ57" s="494">
        <f t="shared" si="46"/>
        <v>0</v>
      </c>
      <c r="BA57" s="494">
        <f t="shared" si="47"/>
        <v>0</v>
      </c>
      <c r="BB57" s="494">
        <f t="shared" si="48"/>
        <v>0</v>
      </c>
      <c r="BC57" s="494">
        <f t="shared" si="49"/>
        <v>0</v>
      </c>
      <c r="BD57" s="494">
        <f t="shared" si="50"/>
        <v>0</v>
      </c>
      <c r="BE57" s="494">
        <f t="shared" si="51"/>
        <v>0</v>
      </c>
      <c r="BF57" s="494"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4">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4">
        <f>SUMIF('A-1 Site Habitat Baseline'!$G$11:$G$258,'G-2 Habitat groups'!A58,'A-1 Site Habitat Baseline'!$Q$11:$Q$258)</f>
        <v>0</v>
      </c>
      <c r="G58" s="494">
        <f>SUMIF('A-1 Site Habitat Baseline'!$G$11:$G$258,'G-2 Habitat groups'!A58,'A-1 Site Habitat Baseline'!$S$11:$S$258)</f>
        <v>0</v>
      </c>
      <c r="H58" s="494">
        <f>SUMIF('A-1 Site Habitat Baseline'!$G$11:$G$258,'G-2 Habitat groups'!A58,'A-1 Site Habitat Baseline'!$U$11:$U$258)</f>
        <v>0</v>
      </c>
      <c r="I58" s="494">
        <f>SUMIF('A-1 Site Habitat Baseline'!$G$11:$G$258,'G-2 Habitat groups'!A58,'A-1 Site Habitat Baseline'!$W$11:$W$258)</f>
        <v>0</v>
      </c>
      <c r="J58" s="494">
        <f>SUMIF('A-1 Site Habitat Baseline'!$G$11:$G$258,'G-2 Habitat groups'!A58,'A-1 Site Habitat Baseline'!$X$11:$X$258)</f>
        <v>0</v>
      </c>
      <c r="K58" s="494">
        <f>SUMIF('A-2 Site Habitat Creation'!$F$11:$F$256,'G-2 Habitat groups'!A58,'A-2 Site Habitat Creation'!$G$11:$G$256)</f>
        <v>0</v>
      </c>
      <c r="L58" s="494">
        <f>SUMIF('A-2 Site Habitat Creation'!$F$11:$F$256,'G-2 Habitat groups'!A58,'A-2 Site Habitat Creation'!$Y$11:$Y$256)</f>
        <v>0</v>
      </c>
      <c r="M58" s="494">
        <f>SUMIF('A-3 Site Habitat Enhancement'!$S$12:$S$257,'G-2 Habitat groups'!A58,'A-3 Site Habitat Enhancement'!$V$12:$V$257)</f>
        <v>0</v>
      </c>
      <c r="N58" s="494">
        <f>SUMIF('A-3 Site Habitat Enhancement'!$S$12:$S$257,'G-2 Habitat groups'!A58,'A-3 Site Habitat Enhancement'!$AN$12:$AN$257)</f>
        <v>0</v>
      </c>
      <c r="O58" s="494">
        <f t="shared" si="53"/>
        <v>0</v>
      </c>
      <c r="P58" s="494">
        <f t="shared" si="54"/>
        <v>0</v>
      </c>
      <c r="Q58" s="494">
        <f t="shared" si="55"/>
        <v>0</v>
      </c>
      <c r="R58" s="494">
        <f t="shared" si="56"/>
        <v>0</v>
      </c>
      <c r="S58" s="494">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4">
        <f>SUMIF('D-1 Off Site Habitat Baseline'!$G$11:$G$258,'G-2 Habitat groups'!A58,'D-1 Off Site Habitat Baseline'!$Q$11:$Q$258)</f>
        <v>0</v>
      </c>
      <c r="U58" s="591">
        <f>SUMIF('D-1 Off Site Habitat Baseline'!$G$11:$G$258,'G-2 Habitat groups'!A58,'D-1 Off Site Habitat Baseline'!$S$11:$S$258)</f>
        <v>0</v>
      </c>
      <c r="V58" s="494">
        <f>SUMIF('D-1 Off Site Habitat Baseline'!$G$11:$G$258,'G-2 Habitat groups'!A58,'D-1 Off Site Habitat Baseline'!$U$11:$U$258)</f>
        <v>0</v>
      </c>
      <c r="W58" s="494">
        <f>SUMIF('D-2 Off Site Habitat Creation'!$F$9:$F$255,'G-2 Habitat groups'!A58,'D-2 Off Site Habitat Creation'!$G$9:$G$255)</f>
        <v>0</v>
      </c>
      <c r="X58" s="494">
        <f>SUMIF('D-2 Off Site Habitat Creation'!$F$9:$F$255,'G-2 Habitat groups'!A58,'D-2 Off Site Habitat Creation'!$AA$9:$AA$255)</f>
        <v>0</v>
      </c>
      <c r="Y58" s="494">
        <f>SUMIF('D-3 Off Site Habitat Enhancment'!$S$12:$S$491,'G-2 Habitat groups'!A58,'D-3 Off Site Habitat Enhancment'!$V$12:$V$491)</f>
        <v>0</v>
      </c>
      <c r="Z58" s="494">
        <f>SUMIF('D-3 Off Site Habitat Enhancment'!$S$12:$S$491,'G-2 Habitat groups'!A58,'D-3 Off Site Habitat Enhancment'!$AP$12:$AP$491)</f>
        <v>0</v>
      </c>
      <c r="AA58" s="494">
        <f t="shared" si="57"/>
        <v>0</v>
      </c>
      <c r="AB58" s="494">
        <f t="shared" si="58"/>
        <v>0</v>
      </c>
      <c r="AC58" s="494">
        <f t="shared" si="59"/>
        <v>0</v>
      </c>
      <c r="AD58" s="494">
        <f t="shared" si="60"/>
        <v>0</v>
      </c>
      <c r="AE58" s="494">
        <f t="shared" si="61"/>
        <v>0</v>
      </c>
      <c r="AF58" s="494">
        <f t="shared" si="62"/>
        <v>0</v>
      </c>
      <c r="AU58" s="113" t="s">
        <v>709</v>
      </c>
      <c r="AV58" s="88" t="s">
        <v>76</v>
      </c>
      <c r="AW58" s="494">
        <f t="shared" si="43"/>
        <v>0</v>
      </c>
      <c r="AX58" s="494">
        <f t="shared" si="44"/>
        <v>0</v>
      </c>
      <c r="AY58" s="494">
        <f t="shared" si="45"/>
        <v>0</v>
      </c>
      <c r="AZ58" s="494">
        <f t="shared" si="46"/>
        <v>0</v>
      </c>
      <c r="BA58" s="494">
        <f t="shared" si="47"/>
        <v>0</v>
      </c>
      <c r="BB58" s="494">
        <f t="shared" si="48"/>
        <v>0</v>
      </c>
      <c r="BC58" s="494">
        <f t="shared" si="49"/>
        <v>0</v>
      </c>
      <c r="BD58" s="494">
        <f t="shared" si="50"/>
        <v>0</v>
      </c>
      <c r="BE58" s="494">
        <f t="shared" si="51"/>
        <v>0</v>
      </c>
      <c r="BF58" s="494"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4">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4">
        <f>SUMIF('A-1 Site Habitat Baseline'!$G$11:$G$258,'G-2 Habitat groups'!A59,'A-1 Site Habitat Baseline'!$Q$11:$Q$258)</f>
        <v>0</v>
      </c>
      <c r="G59" s="494">
        <f>SUMIF('A-1 Site Habitat Baseline'!$G$11:$G$258,'G-2 Habitat groups'!A59,'A-1 Site Habitat Baseline'!$S$11:$S$258)</f>
        <v>0</v>
      </c>
      <c r="H59" s="494">
        <f>SUMIF('A-1 Site Habitat Baseline'!$G$11:$G$258,'G-2 Habitat groups'!A59,'A-1 Site Habitat Baseline'!$U$11:$U$258)</f>
        <v>0</v>
      </c>
      <c r="I59" s="494">
        <f>SUMIF('A-1 Site Habitat Baseline'!$G$11:$G$258,'G-2 Habitat groups'!A59,'A-1 Site Habitat Baseline'!$W$11:$W$258)</f>
        <v>0</v>
      </c>
      <c r="J59" s="494">
        <f>SUMIF('A-1 Site Habitat Baseline'!$G$11:$G$258,'G-2 Habitat groups'!A59,'A-1 Site Habitat Baseline'!$X$11:$X$258)</f>
        <v>0</v>
      </c>
      <c r="K59" s="494">
        <f>SUMIF('A-2 Site Habitat Creation'!$F$11:$F$256,'G-2 Habitat groups'!A59,'A-2 Site Habitat Creation'!$G$11:$G$256)</f>
        <v>0</v>
      </c>
      <c r="L59" s="494">
        <f>SUMIF('A-2 Site Habitat Creation'!$F$11:$F$256,'G-2 Habitat groups'!A59,'A-2 Site Habitat Creation'!$Y$11:$Y$256)</f>
        <v>0</v>
      </c>
      <c r="M59" s="494">
        <f>SUMIF('A-3 Site Habitat Enhancement'!$S$12:$S$257,'G-2 Habitat groups'!A59,'A-3 Site Habitat Enhancement'!$V$12:$V$257)</f>
        <v>0</v>
      </c>
      <c r="N59" s="494">
        <f>SUMIF('A-3 Site Habitat Enhancement'!$S$12:$S$257,'G-2 Habitat groups'!A59,'A-3 Site Habitat Enhancement'!$AN$12:$AN$257)</f>
        <v>0</v>
      </c>
      <c r="O59" s="494">
        <f t="shared" si="53"/>
        <v>0</v>
      </c>
      <c r="P59" s="494">
        <f t="shared" si="54"/>
        <v>0</v>
      </c>
      <c r="Q59" s="494">
        <f t="shared" si="55"/>
        <v>0</v>
      </c>
      <c r="R59" s="494">
        <f t="shared" si="56"/>
        <v>0</v>
      </c>
      <c r="S59" s="494">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4">
        <f>SUMIF('D-1 Off Site Habitat Baseline'!$G$11:$G$258,'G-2 Habitat groups'!A59,'D-1 Off Site Habitat Baseline'!$Q$11:$Q$258)</f>
        <v>0</v>
      </c>
      <c r="U59" s="591">
        <f>SUMIF('D-1 Off Site Habitat Baseline'!$G$11:$G$258,'G-2 Habitat groups'!A59,'D-1 Off Site Habitat Baseline'!$S$11:$S$258)</f>
        <v>0</v>
      </c>
      <c r="V59" s="494">
        <f>SUMIF('D-1 Off Site Habitat Baseline'!$G$11:$G$258,'G-2 Habitat groups'!A59,'D-1 Off Site Habitat Baseline'!$U$11:$U$258)</f>
        <v>0</v>
      </c>
      <c r="W59" s="494">
        <f>SUMIF('D-2 Off Site Habitat Creation'!$F$9:$F$255,'G-2 Habitat groups'!A59,'D-2 Off Site Habitat Creation'!$G$9:$G$255)</f>
        <v>0</v>
      </c>
      <c r="X59" s="494">
        <f>SUMIF('D-2 Off Site Habitat Creation'!$F$9:$F$255,'G-2 Habitat groups'!A59,'D-2 Off Site Habitat Creation'!$AA$9:$AA$255)</f>
        <v>0</v>
      </c>
      <c r="Y59" s="494">
        <f>SUMIF('D-3 Off Site Habitat Enhancment'!$S$12:$S$491,'G-2 Habitat groups'!A59,'D-3 Off Site Habitat Enhancment'!$V$12:$V$491)</f>
        <v>0</v>
      </c>
      <c r="Z59" s="494">
        <f>SUMIF('D-3 Off Site Habitat Enhancment'!$S$12:$S$491,'G-2 Habitat groups'!A59,'D-3 Off Site Habitat Enhancment'!$AP$12:$AP$491)</f>
        <v>0</v>
      </c>
      <c r="AA59" s="494">
        <f t="shared" si="57"/>
        <v>0</v>
      </c>
      <c r="AB59" s="494">
        <f t="shared" si="58"/>
        <v>0</v>
      </c>
      <c r="AC59" s="494">
        <f t="shared" si="59"/>
        <v>0</v>
      </c>
      <c r="AD59" s="494">
        <f t="shared" si="60"/>
        <v>0</v>
      </c>
      <c r="AE59" s="494">
        <f t="shared" si="61"/>
        <v>0</v>
      </c>
      <c r="AF59" s="494">
        <f t="shared" si="62"/>
        <v>0</v>
      </c>
      <c r="AU59" s="113" t="s">
        <v>713</v>
      </c>
      <c r="AV59" s="88" t="s">
        <v>80</v>
      </c>
      <c r="AW59" s="494">
        <f t="shared" si="43"/>
        <v>0</v>
      </c>
      <c r="AX59" s="494">
        <f t="shared" si="44"/>
        <v>0</v>
      </c>
      <c r="AY59" s="494">
        <f t="shared" si="45"/>
        <v>0</v>
      </c>
      <c r="AZ59" s="494">
        <f t="shared" si="46"/>
        <v>0</v>
      </c>
      <c r="BA59" s="494">
        <f t="shared" si="47"/>
        <v>0</v>
      </c>
      <c r="BB59" s="494">
        <f t="shared" si="48"/>
        <v>0</v>
      </c>
      <c r="BC59" s="494">
        <f t="shared" si="49"/>
        <v>0</v>
      </c>
      <c r="BD59" s="494">
        <f t="shared" si="50"/>
        <v>0</v>
      </c>
      <c r="BE59" s="494">
        <f t="shared" si="51"/>
        <v>0</v>
      </c>
      <c r="BF59" s="494"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4">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4">
        <f>SUMIF('A-1 Site Habitat Baseline'!$G$11:$G$258,'G-2 Habitat groups'!A60,'A-1 Site Habitat Baseline'!$Q$11:$Q$258)</f>
        <v>0</v>
      </c>
      <c r="G60" s="494">
        <f>SUMIF('A-1 Site Habitat Baseline'!$G$11:$G$258,'G-2 Habitat groups'!A60,'A-1 Site Habitat Baseline'!$S$11:$S$258)</f>
        <v>0</v>
      </c>
      <c r="H60" s="494">
        <f>SUMIF('A-1 Site Habitat Baseline'!$G$11:$G$258,'G-2 Habitat groups'!A60,'A-1 Site Habitat Baseline'!$U$11:$U$258)</f>
        <v>0</v>
      </c>
      <c r="I60" s="494">
        <f>SUMIF('A-1 Site Habitat Baseline'!$G$11:$G$258,'G-2 Habitat groups'!A60,'A-1 Site Habitat Baseline'!$W$11:$W$258)</f>
        <v>0</v>
      </c>
      <c r="J60" s="494">
        <f>SUMIF('A-1 Site Habitat Baseline'!$G$11:$G$258,'G-2 Habitat groups'!A60,'A-1 Site Habitat Baseline'!$X$11:$X$258)</f>
        <v>0</v>
      </c>
      <c r="K60" s="494">
        <f>SUMIF('A-2 Site Habitat Creation'!$F$11:$F$256,'G-2 Habitat groups'!A60,'A-2 Site Habitat Creation'!$G$11:$G$256)</f>
        <v>0</v>
      </c>
      <c r="L60" s="494">
        <f>SUMIF('A-2 Site Habitat Creation'!$F$11:$F$256,'G-2 Habitat groups'!A60,'A-2 Site Habitat Creation'!$Y$11:$Y$256)</f>
        <v>0</v>
      </c>
      <c r="M60" s="494">
        <f>SUMIF('A-3 Site Habitat Enhancement'!$S$12:$S$257,'G-2 Habitat groups'!A60,'A-3 Site Habitat Enhancement'!$V$12:$V$257)</f>
        <v>0</v>
      </c>
      <c r="N60" s="494">
        <f>SUMIF('A-3 Site Habitat Enhancement'!$S$12:$S$257,'G-2 Habitat groups'!A60,'A-3 Site Habitat Enhancement'!$AN$12:$AN$257)</f>
        <v>0</v>
      </c>
      <c r="O60" s="494">
        <f t="shared" si="53"/>
        <v>0</v>
      </c>
      <c r="P60" s="494">
        <f t="shared" si="54"/>
        <v>0</v>
      </c>
      <c r="Q60" s="494">
        <f t="shared" si="55"/>
        <v>0</v>
      </c>
      <c r="R60" s="494">
        <f t="shared" si="56"/>
        <v>0</v>
      </c>
      <c r="S60" s="494">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4">
        <f>SUMIF('D-1 Off Site Habitat Baseline'!$G$11:$G$258,'G-2 Habitat groups'!A60,'D-1 Off Site Habitat Baseline'!$Q$11:$Q$258)</f>
        <v>0</v>
      </c>
      <c r="U60" s="591">
        <f>SUMIF('D-1 Off Site Habitat Baseline'!$G$11:$G$258,'G-2 Habitat groups'!A60,'D-1 Off Site Habitat Baseline'!$S$11:$S$258)</f>
        <v>0</v>
      </c>
      <c r="V60" s="494">
        <f>SUMIF('D-1 Off Site Habitat Baseline'!$G$11:$G$258,'G-2 Habitat groups'!A60,'D-1 Off Site Habitat Baseline'!$U$11:$U$258)</f>
        <v>0</v>
      </c>
      <c r="W60" s="494">
        <f>SUMIF('D-2 Off Site Habitat Creation'!$F$9:$F$255,'G-2 Habitat groups'!A60,'D-2 Off Site Habitat Creation'!$G$9:$G$255)</f>
        <v>0</v>
      </c>
      <c r="X60" s="494">
        <f>SUMIF('D-2 Off Site Habitat Creation'!$F$9:$F$255,'G-2 Habitat groups'!A60,'D-2 Off Site Habitat Creation'!$AA$9:$AA$255)</f>
        <v>0</v>
      </c>
      <c r="Y60" s="494">
        <f>SUMIF('D-3 Off Site Habitat Enhancment'!$S$12:$S$491,'G-2 Habitat groups'!A60,'D-3 Off Site Habitat Enhancment'!$V$12:$V$491)</f>
        <v>0</v>
      </c>
      <c r="Z60" s="494">
        <f>SUMIF('D-3 Off Site Habitat Enhancment'!$S$12:$S$491,'G-2 Habitat groups'!A60,'D-3 Off Site Habitat Enhancment'!$AP$12:$AP$491)</f>
        <v>0</v>
      </c>
      <c r="AA60" s="494">
        <f t="shared" si="57"/>
        <v>0</v>
      </c>
      <c r="AB60" s="494">
        <f t="shared" si="58"/>
        <v>0</v>
      </c>
      <c r="AC60" s="494">
        <f t="shared" si="59"/>
        <v>0</v>
      </c>
      <c r="AD60" s="494">
        <f t="shared" si="60"/>
        <v>0</v>
      </c>
      <c r="AE60" s="494">
        <f t="shared" si="61"/>
        <v>0</v>
      </c>
      <c r="AF60" s="494">
        <f t="shared" si="62"/>
        <v>0</v>
      </c>
      <c r="AU60" s="118" t="s">
        <v>718</v>
      </c>
      <c r="AV60" s="88" t="s">
        <v>866</v>
      </c>
      <c r="AW60" s="494">
        <f t="shared" si="43"/>
        <v>0</v>
      </c>
      <c r="AX60" s="494">
        <f t="shared" si="44"/>
        <v>0</v>
      </c>
      <c r="AY60" s="494">
        <f t="shared" si="45"/>
        <v>0</v>
      </c>
      <c r="AZ60" s="494">
        <f t="shared" si="46"/>
        <v>0</v>
      </c>
      <c r="BA60" s="494">
        <f t="shared" si="47"/>
        <v>0</v>
      </c>
      <c r="BB60" s="494">
        <f t="shared" si="48"/>
        <v>0</v>
      </c>
      <c r="BC60" s="494">
        <f t="shared" si="49"/>
        <v>0</v>
      </c>
      <c r="BD60" s="494">
        <f t="shared" si="50"/>
        <v>0</v>
      </c>
      <c r="BE60" s="494">
        <f t="shared" si="51"/>
        <v>0</v>
      </c>
      <c r="BF60" s="494"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4">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4">
        <f>SUMIF('A-1 Site Habitat Baseline'!$G$11:$G$258,'G-2 Habitat groups'!A61,'A-1 Site Habitat Baseline'!$Q$11:$Q$258)</f>
        <v>0</v>
      </c>
      <c r="G61" s="494">
        <f>SUMIF('A-1 Site Habitat Baseline'!$G$11:$G$258,'G-2 Habitat groups'!A61,'A-1 Site Habitat Baseline'!$S$11:$S$258)</f>
        <v>0</v>
      </c>
      <c r="H61" s="494">
        <f>SUMIF('A-1 Site Habitat Baseline'!$G$11:$G$258,'G-2 Habitat groups'!A61,'A-1 Site Habitat Baseline'!$U$11:$U$258)</f>
        <v>0</v>
      </c>
      <c r="I61" s="494">
        <f>SUMIF('A-1 Site Habitat Baseline'!$G$11:$G$258,'G-2 Habitat groups'!A61,'A-1 Site Habitat Baseline'!$W$11:$W$258)</f>
        <v>0</v>
      </c>
      <c r="J61" s="494">
        <f>SUMIF('A-1 Site Habitat Baseline'!$G$11:$G$258,'G-2 Habitat groups'!A61,'A-1 Site Habitat Baseline'!$X$11:$X$258)</f>
        <v>0</v>
      </c>
      <c r="K61" s="494">
        <f>SUMIF('A-2 Site Habitat Creation'!$F$11:$F$256,'G-2 Habitat groups'!A61,'A-2 Site Habitat Creation'!$G$11:$G$256)</f>
        <v>0</v>
      </c>
      <c r="L61" s="494">
        <f>SUMIF('A-2 Site Habitat Creation'!$F$11:$F$256,'G-2 Habitat groups'!A61,'A-2 Site Habitat Creation'!$Y$11:$Y$256)</f>
        <v>0</v>
      </c>
      <c r="M61" s="494">
        <f>SUMIF('A-3 Site Habitat Enhancement'!$S$12:$S$257,'G-2 Habitat groups'!A61,'A-3 Site Habitat Enhancement'!$V$12:$V$257)</f>
        <v>0</v>
      </c>
      <c r="N61" s="494">
        <f>SUMIF('A-3 Site Habitat Enhancement'!$S$12:$S$257,'G-2 Habitat groups'!A61,'A-3 Site Habitat Enhancement'!$AN$12:$AN$257)</f>
        <v>0</v>
      </c>
      <c r="O61" s="494">
        <f t="shared" si="53"/>
        <v>0</v>
      </c>
      <c r="P61" s="494">
        <f t="shared" si="54"/>
        <v>0</v>
      </c>
      <c r="Q61" s="494">
        <f t="shared" si="55"/>
        <v>0</v>
      </c>
      <c r="R61" s="494">
        <f t="shared" si="56"/>
        <v>0</v>
      </c>
      <c r="S61" s="494">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4">
        <f>SUMIF('D-1 Off Site Habitat Baseline'!$G$11:$G$258,'G-2 Habitat groups'!A61,'D-1 Off Site Habitat Baseline'!$Q$11:$Q$258)</f>
        <v>0</v>
      </c>
      <c r="U61" s="591">
        <f>SUMIF('D-1 Off Site Habitat Baseline'!$G$11:$G$258,'G-2 Habitat groups'!A61,'D-1 Off Site Habitat Baseline'!$S$11:$S$258)</f>
        <v>0</v>
      </c>
      <c r="V61" s="494">
        <f>SUMIF('D-1 Off Site Habitat Baseline'!$G$11:$G$258,'G-2 Habitat groups'!A61,'D-1 Off Site Habitat Baseline'!$U$11:$U$258)</f>
        <v>0</v>
      </c>
      <c r="W61" s="494">
        <f>SUMIF('D-2 Off Site Habitat Creation'!$F$9:$F$255,'G-2 Habitat groups'!A61,'D-2 Off Site Habitat Creation'!$G$9:$G$255)</f>
        <v>0</v>
      </c>
      <c r="X61" s="494">
        <f>SUMIF('D-2 Off Site Habitat Creation'!$F$9:$F$255,'G-2 Habitat groups'!A61,'D-2 Off Site Habitat Creation'!$AA$9:$AA$255)</f>
        <v>0</v>
      </c>
      <c r="Y61" s="494">
        <f>SUMIF('D-3 Off Site Habitat Enhancment'!$S$12:$S$491,'G-2 Habitat groups'!A61,'D-3 Off Site Habitat Enhancment'!$V$12:$V$491)</f>
        <v>0</v>
      </c>
      <c r="Z61" s="494">
        <f>SUMIF('D-3 Off Site Habitat Enhancment'!$S$12:$S$491,'G-2 Habitat groups'!A61,'D-3 Off Site Habitat Enhancment'!$AP$12:$AP$491)</f>
        <v>0</v>
      </c>
      <c r="AA61" s="494">
        <f t="shared" si="57"/>
        <v>0</v>
      </c>
      <c r="AB61" s="494">
        <f t="shared" si="58"/>
        <v>0</v>
      </c>
      <c r="AC61" s="494">
        <f t="shared" si="59"/>
        <v>0</v>
      </c>
      <c r="AD61" s="494">
        <f t="shared" si="60"/>
        <v>0</v>
      </c>
      <c r="AE61" s="494">
        <f t="shared" si="61"/>
        <v>0</v>
      </c>
      <c r="AF61" s="494">
        <f t="shared" si="62"/>
        <v>0</v>
      </c>
      <c r="AU61" s="118" t="s">
        <v>726</v>
      </c>
      <c r="AV61" s="88" t="s">
        <v>866</v>
      </c>
      <c r="AW61" s="494">
        <f t="shared" si="43"/>
        <v>0</v>
      </c>
      <c r="AX61" s="494">
        <f t="shared" si="44"/>
        <v>0</v>
      </c>
      <c r="AY61" s="494">
        <f t="shared" si="45"/>
        <v>0</v>
      </c>
      <c r="AZ61" s="494">
        <f t="shared" si="46"/>
        <v>0</v>
      </c>
      <c r="BA61" s="494">
        <f t="shared" si="47"/>
        <v>0</v>
      </c>
      <c r="BB61" s="494">
        <f t="shared" si="48"/>
        <v>0</v>
      </c>
      <c r="BC61" s="494">
        <f t="shared" si="49"/>
        <v>0</v>
      </c>
      <c r="BD61" s="494">
        <f t="shared" si="50"/>
        <v>0</v>
      </c>
      <c r="BE61" s="494">
        <f t="shared" si="51"/>
        <v>0</v>
      </c>
      <c r="BF61" s="494"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4">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4">
        <f>SUMIF('A-1 Site Habitat Baseline'!$G$11:$G$258,'G-2 Habitat groups'!A62,'A-1 Site Habitat Baseline'!$Q$11:$Q$258)</f>
        <v>0</v>
      </c>
      <c r="G62" s="494">
        <f>SUMIF('A-1 Site Habitat Baseline'!$G$11:$G$258,'G-2 Habitat groups'!A62,'A-1 Site Habitat Baseline'!$S$11:$S$258)</f>
        <v>0</v>
      </c>
      <c r="H62" s="494">
        <f>SUMIF('A-1 Site Habitat Baseline'!$G$11:$G$258,'G-2 Habitat groups'!A62,'A-1 Site Habitat Baseline'!$U$11:$U$258)</f>
        <v>0</v>
      </c>
      <c r="I62" s="494">
        <f>SUMIF('A-1 Site Habitat Baseline'!$G$11:$G$258,'G-2 Habitat groups'!A62,'A-1 Site Habitat Baseline'!$W$11:$W$258)</f>
        <v>0</v>
      </c>
      <c r="J62" s="494">
        <f>SUMIF('A-1 Site Habitat Baseline'!$G$11:$G$258,'G-2 Habitat groups'!A62,'A-1 Site Habitat Baseline'!$X$11:$X$258)</f>
        <v>0</v>
      </c>
      <c r="K62" s="494">
        <f>SUMIF('A-2 Site Habitat Creation'!$F$11:$F$256,'G-2 Habitat groups'!A62,'A-2 Site Habitat Creation'!$G$11:$G$256)</f>
        <v>0</v>
      </c>
      <c r="L62" s="494">
        <f>SUMIF('A-2 Site Habitat Creation'!$F$11:$F$256,'G-2 Habitat groups'!A62,'A-2 Site Habitat Creation'!$Y$11:$Y$256)</f>
        <v>0</v>
      </c>
      <c r="M62" s="494">
        <f>SUMIF('A-3 Site Habitat Enhancement'!$S$12:$S$257,'G-2 Habitat groups'!A62,'A-3 Site Habitat Enhancement'!$V$12:$V$257)</f>
        <v>0</v>
      </c>
      <c r="N62" s="494">
        <f>SUMIF('A-3 Site Habitat Enhancement'!$S$12:$S$257,'G-2 Habitat groups'!A62,'A-3 Site Habitat Enhancement'!$AN$12:$AN$257)</f>
        <v>0</v>
      </c>
      <c r="O62" s="494">
        <f t="shared" si="53"/>
        <v>0</v>
      </c>
      <c r="P62" s="494">
        <f t="shared" si="54"/>
        <v>0</v>
      </c>
      <c r="Q62" s="494">
        <f t="shared" si="55"/>
        <v>0</v>
      </c>
      <c r="R62" s="494">
        <f t="shared" si="56"/>
        <v>0</v>
      </c>
      <c r="S62" s="494">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4">
        <f>SUMIF('D-1 Off Site Habitat Baseline'!$G$11:$G$258,'G-2 Habitat groups'!A62,'D-1 Off Site Habitat Baseline'!$Q$11:$Q$258)</f>
        <v>0</v>
      </c>
      <c r="U62" s="591">
        <f>SUMIF('D-1 Off Site Habitat Baseline'!$G$11:$G$258,'G-2 Habitat groups'!A62,'D-1 Off Site Habitat Baseline'!$S$11:$S$258)</f>
        <v>0</v>
      </c>
      <c r="V62" s="494">
        <f>SUMIF('D-1 Off Site Habitat Baseline'!$G$11:$G$258,'G-2 Habitat groups'!A62,'D-1 Off Site Habitat Baseline'!$U$11:$U$258)</f>
        <v>0</v>
      </c>
      <c r="W62" s="494">
        <f>SUMIF('D-2 Off Site Habitat Creation'!$F$9:$F$255,'G-2 Habitat groups'!A62,'D-2 Off Site Habitat Creation'!$G$9:$G$255)</f>
        <v>0</v>
      </c>
      <c r="X62" s="494">
        <f>SUMIF('D-2 Off Site Habitat Creation'!$F$9:$F$255,'G-2 Habitat groups'!A62,'D-2 Off Site Habitat Creation'!$AA$9:$AA$255)</f>
        <v>0</v>
      </c>
      <c r="Y62" s="494">
        <f>SUMIF('D-3 Off Site Habitat Enhancment'!$S$12:$S$491,'G-2 Habitat groups'!A62,'D-3 Off Site Habitat Enhancment'!$V$12:$V$491)</f>
        <v>0</v>
      </c>
      <c r="Z62" s="494">
        <f>SUMIF('D-3 Off Site Habitat Enhancment'!$S$12:$S$491,'G-2 Habitat groups'!A62,'D-3 Off Site Habitat Enhancment'!$AP$12:$AP$491)</f>
        <v>0</v>
      </c>
      <c r="AA62" s="494">
        <f t="shared" si="57"/>
        <v>0</v>
      </c>
      <c r="AB62" s="494">
        <f t="shared" si="58"/>
        <v>0</v>
      </c>
      <c r="AC62" s="494">
        <f t="shared" si="59"/>
        <v>0</v>
      </c>
      <c r="AD62" s="494">
        <f t="shared" si="60"/>
        <v>0</v>
      </c>
      <c r="AE62" s="494">
        <f t="shared" si="61"/>
        <v>0</v>
      </c>
      <c r="AF62" s="494">
        <f t="shared" si="62"/>
        <v>0</v>
      </c>
      <c r="AU62" s="118" t="s">
        <v>733</v>
      </c>
      <c r="AV62" s="88" t="s">
        <v>866</v>
      </c>
      <c r="AW62" s="494">
        <f t="shared" si="43"/>
        <v>0</v>
      </c>
      <c r="AX62" s="494">
        <f t="shared" si="44"/>
        <v>0</v>
      </c>
      <c r="AY62" s="494">
        <f t="shared" si="45"/>
        <v>0</v>
      </c>
      <c r="AZ62" s="494">
        <f t="shared" si="46"/>
        <v>0</v>
      </c>
      <c r="BA62" s="494">
        <f t="shared" si="47"/>
        <v>0</v>
      </c>
      <c r="BB62" s="494">
        <f t="shared" si="48"/>
        <v>0</v>
      </c>
      <c r="BC62" s="494">
        <f t="shared" si="49"/>
        <v>0</v>
      </c>
      <c r="BD62" s="494">
        <f t="shared" si="50"/>
        <v>0</v>
      </c>
      <c r="BE62" s="494">
        <f t="shared" si="51"/>
        <v>0</v>
      </c>
      <c r="BF62" s="494"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4">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4">
        <f>SUMIF('A-1 Site Habitat Baseline'!$G$11:$G$258,'G-2 Habitat groups'!A63,'A-1 Site Habitat Baseline'!$Q$11:$Q$258)</f>
        <v>0</v>
      </c>
      <c r="G63" s="494">
        <f>SUMIF('A-1 Site Habitat Baseline'!$G$11:$G$258,'G-2 Habitat groups'!A63,'A-1 Site Habitat Baseline'!$S$11:$S$258)</f>
        <v>0</v>
      </c>
      <c r="H63" s="494">
        <f>SUMIF('A-1 Site Habitat Baseline'!$G$11:$G$258,'G-2 Habitat groups'!A63,'A-1 Site Habitat Baseline'!$U$11:$U$258)</f>
        <v>0</v>
      </c>
      <c r="I63" s="494">
        <f>SUMIF('A-1 Site Habitat Baseline'!$G$11:$G$258,'G-2 Habitat groups'!A63,'A-1 Site Habitat Baseline'!$W$11:$W$258)</f>
        <v>0</v>
      </c>
      <c r="J63" s="494">
        <f>SUMIF('A-1 Site Habitat Baseline'!$G$11:$G$258,'G-2 Habitat groups'!A63,'A-1 Site Habitat Baseline'!$X$11:$X$258)</f>
        <v>0</v>
      </c>
      <c r="K63" s="494">
        <f>SUMIF('A-2 Site Habitat Creation'!$F$11:$F$256,'G-2 Habitat groups'!A63,'A-2 Site Habitat Creation'!$G$11:$G$256)</f>
        <v>0</v>
      </c>
      <c r="L63" s="494">
        <f>SUMIF('A-2 Site Habitat Creation'!$F$11:$F$256,'G-2 Habitat groups'!A63,'A-2 Site Habitat Creation'!$Y$11:$Y$256)</f>
        <v>0</v>
      </c>
      <c r="M63" s="494">
        <f>SUMIF('A-3 Site Habitat Enhancement'!$S$12:$S$257,'G-2 Habitat groups'!A63,'A-3 Site Habitat Enhancement'!$V$12:$V$257)</f>
        <v>0</v>
      </c>
      <c r="N63" s="494">
        <f>SUMIF('A-3 Site Habitat Enhancement'!$S$12:$S$257,'G-2 Habitat groups'!A63,'A-3 Site Habitat Enhancement'!$AN$12:$AN$257)</f>
        <v>0</v>
      </c>
      <c r="O63" s="494">
        <f t="shared" si="53"/>
        <v>0</v>
      </c>
      <c r="P63" s="494">
        <f t="shared" si="54"/>
        <v>0</v>
      </c>
      <c r="Q63" s="494">
        <f t="shared" si="55"/>
        <v>0</v>
      </c>
      <c r="R63" s="494">
        <f t="shared" si="56"/>
        <v>0</v>
      </c>
      <c r="S63" s="494">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4">
        <f>SUMIF('D-1 Off Site Habitat Baseline'!$G$11:$G$258,'G-2 Habitat groups'!A63,'D-1 Off Site Habitat Baseline'!$Q$11:$Q$258)</f>
        <v>0</v>
      </c>
      <c r="U63" s="591">
        <f>SUMIF('D-1 Off Site Habitat Baseline'!$G$11:$G$258,'G-2 Habitat groups'!A63,'D-1 Off Site Habitat Baseline'!$S$11:$S$258)</f>
        <v>0</v>
      </c>
      <c r="V63" s="494">
        <f>SUMIF('D-1 Off Site Habitat Baseline'!$G$11:$G$258,'G-2 Habitat groups'!A63,'D-1 Off Site Habitat Baseline'!$U$11:$U$258)</f>
        <v>0</v>
      </c>
      <c r="W63" s="494">
        <f>SUMIF('D-2 Off Site Habitat Creation'!$F$9:$F$255,'G-2 Habitat groups'!A63,'D-2 Off Site Habitat Creation'!$G$9:$G$255)</f>
        <v>0</v>
      </c>
      <c r="X63" s="494">
        <f>SUMIF('D-2 Off Site Habitat Creation'!$F$9:$F$255,'G-2 Habitat groups'!A63,'D-2 Off Site Habitat Creation'!$AA$9:$AA$255)</f>
        <v>0</v>
      </c>
      <c r="Y63" s="494">
        <f>SUMIF('D-3 Off Site Habitat Enhancment'!$S$12:$S$491,'G-2 Habitat groups'!A63,'D-3 Off Site Habitat Enhancment'!$V$12:$V$491)</f>
        <v>0</v>
      </c>
      <c r="Z63" s="494">
        <f>SUMIF('D-3 Off Site Habitat Enhancment'!$S$12:$S$491,'G-2 Habitat groups'!A63,'D-3 Off Site Habitat Enhancment'!$AP$12:$AP$491)</f>
        <v>0</v>
      </c>
      <c r="AA63" s="494">
        <f t="shared" si="57"/>
        <v>0</v>
      </c>
      <c r="AB63" s="494">
        <f t="shared" si="58"/>
        <v>0</v>
      </c>
      <c r="AC63" s="494">
        <f t="shared" si="59"/>
        <v>0</v>
      </c>
      <c r="AD63" s="494">
        <f t="shared" si="60"/>
        <v>0</v>
      </c>
      <c r="AE63" s="494">
        <f t="shared" si="61"/>
        <v>0</v>
      </c>
      <c r="AF63" s="494">
        <f t="shared" si="62"/>
        <v>0</v>
      </c>
      <c r="AU63" s="118" t="s">
        <v>740</v>
      </c>
      <c r="AV63" s="88" t="s">
        <v>866</v>
      </c>
      <c r="AW63" s="494">
        <f t="shared" si="43"/>
        <v>0</v>
      </c>
      <c r="AX63" s="494">
        <f t="shared" si="44"/>
        <v>0</v>
      </c>
      <c r="AY63" s="494">
        <f t="shared" si="45"/>
        <v>0</v>
      </c>
      <c r="AZ63" s="494">
        <f t="shared" si="46"/>
        <v>0</v>
      </c>
      <c r="BA63" s="494">
        <f t="shared" si="47"/>
        <v>0</v>
      </c>
      <c r="BB63" s="494">
        <f t="shared" si="48"/>
        <v>0</v>
      </c>
      <c r="BC63" s="494">
        <f t="shared" si="49"/>
        <v>0</v>
      </c>
      <c r="BD63" s="494">
        <f t="shared" si="50"/>
        <v>0</v>
      </c>
      <c r="BE63" s="494">
        <f t="shared" si="51"/>
        <v>0</v>
      </c>
      <c r="BF63" s="494"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4">
        <f>IF(C64="V.High",SUMIF('A-1 Site Habitat Baseline'!$G$11:$G$258,'G-2 Habitat groups'!A64,'A-1 Site Habitat Baseline'!$S$11:$S$258)+SUMIF('A-1 Site Habitat Baseline'!$G$11:$G$258,'G-2 Habitat groups'!A64,'A-1 Site Habitat Baseline'!$T$11:$T$258),SUMIF('A-1 Site Habitat Baseline'!$G$11:$G$258,'G-2 Habitat groups'!A64,'A-1 Site Habitat Baseline'!$H$11:$H$258))</f>
        <v>0.34710000000000002</v>
      </c>
      <c r="F64" s="494">
        <f>SUMIF('A-1 Site Habitat Baseline'!$G$11:$G$258,'G-2 Habitat groups'!A64,'A-1 Site Habitat Baseline'!$Q$11:$Q$258)</f>
        <v>0</v>
      </c>
      <c r="G64" s="494">
        <f>SUMIF('A-1 Site Habitat Baseline'!$G$11:$G$258,'G-2 Habitat groups'!A64,'A-1 Site Habitat Baseline'!$S$11:$S$258)</f>
        <v>0</v>
      </c>
      <c r="H64" s="494">
        <f>SUMIF('A-1 Site Habitat Baseline'!$G$11:$G$258,'G-2 Habitat groups'!A64,'A-1 Site Habitat Baseline'!$U$11:$U$258)</f>
        <v>0</v>
      </c>
      <c r="I64" s="494">
        <f>SUMIF('A-1 Site Habitat Baseline'!$G$11:$G$258,'G-2 Habitat groups'!A64,'A-1 Site Habitat Baseline'!$W$11:$W$258)</f>
        <v>0.34710000000000002</v>
      </c>
      <c r="J64" s="494">
        <f>SUMIF('A-1 Site Habitat Baseline'!$G$11:$G$258,'G-2 Habitat groups'!A64,'A-1 Site Habitat Baseline'!$X$11:$X$258)</f>
        <v>0</v>
      </c>
      <c r="K64" s="494">
        <f>SUMIF('A-2 Site Habitat Creation'!$F$11:$F$256,'G-2 Habitat groups'!A64,'A-2 Site Habitat Creation'!$G$11:$G$256)</f>
        <v>0.76100000000000001</v>
      </c>
      <c r="L64" s="494">
        <f>SUMIF('A-2 Site Habitat Creation'!$F$11:$F$256,'G-2 Habitat groups'!A64,'A-2 Site Habitat Creation'!$Y$11:$Y$256)</f>
        <v>0</v>
      </c>
      <c r="M64" s="494">
        <f>SUMIF('A-3 Site Habitat Enhancement'!$S$12:$S$257,'G-2 Habitat groups'!A64,'A-3 Site Habitat Enhancement'!$V$12:$V$257)</f>
        <v>0</v>
      </c>
      <c r="N64" s="494">
        <f>SUMIF('A-3 Site Habitat Enhancement'!$S$12:$S$257,'G-2 Habitat groups'!A64,'A-3 Site Habitat Enhancement'!$AN$12:$AN$257)</f>
        <v>0</v>
      </c>
      <c r="O64" s="494">
        <f t="shared" si="53"/>
        <v>0.76100000000000001</v>
      </c>
      <c r="P64" s="494">
        <f t="shared" si="54"/>
        <v>0</v>
      </c>
      <c r="Q64" s="494">
        <f t="shared" si="55"/>
        <v>0.41389999999999999</v>
      </c>
      <c r="R64" s="494">
        <f t="shared" si="56"/>
        <v>0</v>
      </c>
      <c r="S64" s="494">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4">
        <f>SUMIF('D-1 Off Site Habitat Baseline'!$G$11:$G$258,'G-2 Habitat groups'!A64,'D-1 Off Site Habitat Baseline'!$Q$11:$Q$258)</f>
        <v>0</v>
      </c>
      <c r="U64" s="591">
        <f>SUMIF('D-1 Off Site Habitat Baseline'!$G$11:$G$258,'G-2 Habitat groups'!A64,'D-1 Off Site Habitat Baseline'!$S$11:$S$258)</f>
        <v>0</v>
      </c>
      <c r="V64" s="494">
        <f>SUMIF('D-1 Off Site Habitat Baseline'!$G$11:$G$258,'G-2 Habitat groups'!A64,'D-1 Off Site Habitat Baseline'!$U$11:$U$258)</f>
        <v>0</v>
      </c>
      <c r="W64" s="494">
        <f>SUMIF('D-2 Off Site Habitat Creation'!$F$9:$F$255,'G-2 Habitat groups'!A64,'D-2 Off Site Habitat Creation'!$G$9:$G$255)</f>
        <v>0</v>
      </c>
      <c r="X64" s="494">
        <f>SUMIF('D-2 Off Site Habitat Creation'!$F$9:$F$255,'G-2 Habitat groups'!A64,'D-2 Off Site Habitat Creation'!$AA$9:$AA$255)</f>
        <v>0</v>
      </c>
      <c r="Y64" s="494">
        <f>SUMIF('D-3 Off Site Habitat Enhancment'!$S$12:$S$491,'G-2 Habitat groups'!A64,'D-3 Off Site Habitat Enhancment'!$V$12:$V$491)</f>
        <v>0</v>
      </c>
      <c r="Z64" s="494">
        <f>SUMIF('D-3 Off Site Habitat Enhancment'!$S$12:$S$491,'G-2 Habitat groups'!A64,'D-3 Off Site Habitat Enhancment'!$AP$12:$AP$491)</f>
        <v>0</v>
      </c>
      <c r="AA64" s="494">
        <f t="shared" si="57"/>
        <v>0</v>
      </c>
      <c r="AB64" s="494">
        <f t="shared" si="58"/>
        <v>0</v>
      </c>
      <c r="AC64" s="494">
        <f t="shared" si="59"/>
        <v>0</v>
      </c>
      <c r="AD64" s="494">
        <f t="shared" si="60"/>
        <v>0</v>
      </c>
      <c r="AE64" s="494">
        <f t="shared" si="61"/>
        <v>0.41389999999999999</v>
      </c>
      <c r="AF64" s="494">
        <f t="shared" si="62"/>
        <v>0</v>
      </c>
      <c r="AU64" s="118" t="s">
        <v>758</v>
      </c>
      <c r="AV64" s="88" t="s">
        <v>77</v>
      </c>
      <c r="AW64" s="494">
        <f t="shared" si="43"/>
        <v>0</v>
      </c>
      <c r="AX64" s="494">
        <f t="shared" si="44"/>
        <v>0</v>
      </c>
      <c r="AY64" s="494">
        <f t="shared" si="45"/>
        <v>0</v>
      </c>
      <c r="AZ64" s="494">
        <f t="shared" si="46"/>
        <v>0</v>
      </c>
      <c r="BA64" s="494">
        <f t="shared" si="47"/>
        <v>0</v>
      </c>
      <c r="BB64" s="494">
        <f t="shared" si="48"/>
        <v>0</v>
      </c>
      <c r="BC64" s="494">
        <f t="shared" si="49"/>
        <v>0</v>
      </c>
      <c r="BD64" s="494">
        <f t="shared" si="50"/>
        <v>0</v>
      </c>
      <c r="BE64" s="494">
        <f t="shared" si="51"/>
        <v>0</v>
      </c>
      <c r="BF64" s="494"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4">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4">
        <f>SUMIF('A-1 Site Habitat Baseline'!$G$11:$G$258,'G-2 Habitat groups'!A65,'A-1 Site Habitat Baseline'!$Q$11:$Q$258)</f>
        <v>0</v>
      </c>
      <c r="G65" s="494">
        <f>SUMIF('A-1 Site Habitat Baseline'!$G$11:$G$258,'G-2 Habitat groups'!A65,'A-1 Site Habitat Baseline'!$S$11:$S$258)</f>
        <v>0</v>
      </c>
      <c r="H65" s="494">
        <f>SUMIF('A-1 Site Habitat Baseline'!$G$11:$G$258,'G-2 Habitat groups'!A65,'A-1 Site Habitat Baseline'!$U$11:$U$258)</f>
        <v>0</v>
      </c>
      <c r="I65" s="494">
        <f>SUMIF('A-1 Site Habitat Baseline'!$G$11:$G$258,'G-2 Habitat groups'!A65,'A-1 Site Habitat Baseline'!$W$11:$W$258)</f>
        <v>0</v>
      </c>
      <c r="J65" s="494">
        <f>SUMIF('A-1 Site Habitat Baseline'!$G$11:$G$258,'G-2 Habitat groups'!A65,'A-1 Site Habitat Baseline'!$X$11:$X$258)</f>
        <v>0</v>
      </c>
      <c r="K65" s="494">
        <f>SUMIF('A-2 Site Habitat Creation'!$F$11:$F$256,'G-2 Habitat groups'!A65,'A-2 Site Habitat Creation'!$G$11:$G$256)</f>
        <v>0</v>
      </c>
      <c r="L65" s="494">
        <f>SUMIF('A-2 Site Habitat Creation'!$F$11:$F$256,'G-2 Habitat groups'!A65,'A-2 Site Habitat Creation'!$Y$11:$Y$256)</f>
        <v>0</v>
      </c>
      <c r="M65" s="494">
        <f>SUMIF('A-3 Site Habitat Enhancement'!$S$12:$S$257,'G-2 Habitat groups'!A65,'A-3 Site Habitat Enhancement'!$V$12:$V$257)</f>
        <v>0</v>
      </c>
      <c r="N65" s="494">
        <f>SUMIF('A-3 Site Habitat Enhancement'!$S$12:$S$257,'G-2 Habitat groups'!A65,'A-3 Site Habitat Enhancement'!$AN$12:$AN$257)</f>
        <v>0</v>
      </c>
      <c r="O65" s="494">
        <f t="shared" si="53"/>
        <v>0</v>
      </c>
      <c r="P65" s="494">
        <f t="shared" si="54"/>
        <v>0</v>
      </c>
      <c r="Q65" s="494">
        <f t="shared" si="55"/>
        <v>0</v>
      </c>
      <c r="R65" s="494">
        <f t="shared" si="56"/>
        <v>0</v>
      </c>
      <c r="S65" s="494">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4">
        <f>SUMIF('D-1 Off Site Habitat Baseline'!$G$11:$G$258,'G-2 Habitat groups'!A65,'D-1 Off Site Habitat Baseline'!$Q$11:$Q$258)</f>
        <v>0</v>
      </c>
      <c r="U65" s="591">
        <f>SUMIF('D-1 Off Site Habitat Baseline'!$G$11:$G$258,'G-2 Habitat groups'!A65,'D-1 Off Site Habitat Baseline'!$S$11:$S$258)</f>
        <v>0</v>
      </c>
      <c r="V65" s="494">
        <f>SUMIF('D-1 Off Site Habitat Baseline'!$G$11:$G$258,'G-2 Habitat groups'!A65,'D-1 Off Site Habitat Baseline'!$U$11:$U$258)</f>
        <v>0</v>
      </c>
      <c r="W65" s="494">
        <f>SUMIF('D-2 Off Site Habitat Creation'!$F$9:$F$255,'G-2 Habitat groups'!A65,'D-2 Off Site Habitat Creation'!$G$9:$G$255)</f>
        <v>0</v>
      </c>
      <c r="X65" s="494">
        <f>SUMIF('D-2 Off Site Habitat Creation'!$F$9:$F$255,'G-2 Habitat groups'!A65,'D-2 Off Site Habitat Creation'!$AA$9:$AA$255)</f>
        <v>0</v>
      </c>
      <c r="Y65" s="494">
        <f>SUMIF('D-3 Off Site Habitat Enhancment'!$S$12:$S$491,'G-2 Habitat groups'!A65,'D-3 Off Site Habitat Enhancment'!$V$12:$V$491)</f>
        <v>0</v>
      </c>
      <c r="Z65" s="494">
        <f>SUMIF('D-3 Off Site Habitat Enhancment'!$S$12:$S$491,'G-2 Habitat groups'!A65,'D-3 Off Site Habitat Enhancment'!$AP$12:$AP$491)</f>
        <v>0</v>
      </c>
      <c r="AA65" s="494">
        <f t="shared" si="57"/>
        <v>0</v>
      </c>
      <c r="AB65" s="494">
        <f t="shared" si="58"/>
        <v>0</v>
      </c>
      <c r="AC65" s="494">
        <f t="shared" si="59"/>
        <v>0</v>
      </c>
      <c r="AD65" s="494">
        <f t="shared" si="60"/>
        <v>0</v>
      </c>
      <c r="AE65" s="494">
        <f t="shared" si="61"/>
        <v>0</v>
      </c>
      <c r="AF65" s="494">
        <f t="shared" si="62"/>
        <v>0</v>
      </c>
      <c r="AU65" s="118" t="s">
        <v>761</v>
      </c>
      <c r="AV65" s="88" t="s">
        <v>77</v>
      </c>
      <c r="AW65" s="494">
        <f t="shared" si="43"/>
        <v>0</v>
      </c>
      <c r="AX65" s="494">
        <f t="shared" si="44"/>
        <v>0</v>
      </c>
      <c r="AY65" s="494">
        <f t="shared" si="45"/>
        <v>0</v>
      </c>
      <c r="AZ65" s="494">
        <f t="shared" si="46"/>
        <v>0</v>
      </c>
      <c r="BA65" s="494">
        <f t="shared" si="47"/>
        <v>0</v>
      </c>
      <c r="BB65" s="494">
        <f t="shared" si="48"/>
        <v>0</v>
      </c>
      <c r="BC65" s="494">
        <f t="shared" si="49"/>
        <v>0</v>
      </c>
      <c r="BD65" s="494">
        <f t="shared" si="50"/>
        <v>0</v>
      </c>
      <c r="BE65" s="494">
        <f t="shared" si="51"/>
        <v>0</v>
      </c>
      <c r="BF65" s="494"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4">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4">
        <f>SUMIF('A-1 Site Habitat Baseline'!$G$11:$G$258,'G-2 Habitat groups'!A66,'A-1 Site Habitat Baseline'!$Q$11:$Q$258)</f>
        <v>0</v>
      </c>
      <c r="G66" s="494">
        <f>SUMIF('A-1 Site Habitat Baseline'!$G$11:$G$258,'G-2 Habitat groups'!A66,'A-1 Site Habitat Baseline'!$S$11:$S$258)</f>
        <v>0</v>
      </c>
      <c r="H66" s="494">
        <f>SUMIF('A-1 Site Habitat Baseline'!$G$11:$G$258,'G-2 Habitat groups'!A66,'A-1 Site Habitat Baseline'!$U$11:$U$258)</f>
        <v>0</v>
      </c>
      <c r="I66" s="494">
        <f>SUMIF('A-1 Site Habitat Baseline'!$G$11:$G$258,'G-2 Habitat groups'!A66,'A-1 Site Habitat Baseline'!$W$11:$W$258)</f>
        <v>0</v>
      </c>
      <c r="J66" s="494">
        <f>SUMIF('A-1 Site Habitat Baseline'!$G$11:$G$258,'G-2 Habitat groups'!A66,'A-1 Site Habitat Baseline'!$X$11:$X$258)</f>
        <v>0</v>
      </c>
      <c r="K66" s="494">
        <f>SUMIF('A-2 Site Habitat Creation'!$F$11:$F$256,'G-2 Habitat groups'!A66,'A-2 Site Habitat Creation'!$G$11:$G$256)</f>
        <v>0</v>
      </c>
      <c r="L66" s="494">
        <f>SUMIF('A-2 Site Habitat Creation'!$F$11:$F$256,'G-2 Habitat groups'!A66,'A-2 Site Habitat Creation'!$Y$11:$Y$256)</f>
        <v>0</v>
      </c>
      <c r="M66" s="494">
        <f>SUMIF('A-3 Site Habitat Enhancement'!$S$12:$S$257,'G-2 Habitat groups'!A66,'A-3 Site Habitat Enhancement'!$V$12:$V$257)</f>
        <v>0</v>
      </c>
      <c r="N66" s="494">
        <f>SUMIF('A-3 Site Habitat Enhancement'!$S$12:$S$257,'G-2 Habitat groups'!A66,'A-3 Site Habitat Enhancement'!$AN$12:$AN$257)</f>
        <v>0</v>
      </c>
      <c r="O66" s="494">
        <f t="shared" si="53"/>
        <v>0</v>
      </c>
      <c r="P66" s="494">
        <f t="shared" si="54"/>
        <v>0</v>
      </c>
      <c r="Q66" s="494">
        <f t="shared" si="55"/>
        <v>0</v>
      </c>
      <c r="R66" s="494">
        <f t="shared" si="56"/>
        <v>0</v>
      </c>
      <c r="S66" s="494">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4">
        <f>SUMIF('D-1 Off Site Habitat Baseline'!$G$11:$G$258,'G-2 Habitat groups'!A66,'D-1 Off Site Habitat Baseline'!$Q$11:$Q$258)</f>
        <v>0</v>
      </c>
      <c r="U66" s="591">
        <f>SUMIF('D-1 Off Site Habitat Baseline'!$G$11:$G$258,'G-2 Habitat groups'!A66,'D-1 Off Site Habitat Baseline'!$S$11:$S$258)</f>
        <v>0</v>
      </c>
      <c r="V66" s="494">
        <f>SUMIF('D-1 Off Site Habitat Baseline'!$G$11:$G$258,'G-2 Habitat groups'!A66,'D-1 Off Site Habitat Baseline'!$U$11:$U$258)</f>
        <v>0</v>
      </c>
      <c r="W66" s="494">
        <f>SUMIF('D-2 Off Site Habitat Creation'!$F$9:$F$255,'G-2 Habitat groups'!A66,'D-2 Off Site Habitat Creation'!$G$9:$G$255)</f>
        <v>0</v>
      </c>
      <c r="X66" s="494">
        <f>SUMIF('D-2 Off Site Habitat Creation'!$F$9:$F$255,'G-2 Habitat groups'!A66,'D-2 Off Site Habitat Creation'!$AA$9:$AA$255)</f>
        <v>0</v>
      </c>
      <c r="Y66" s="494">
        <f>SUMIF('D-3 Off Site Habitat Enhancment'!$S$12:$S$491,'G-2 Habitat groups'!A66,'D-3 Off Site Habitat Enhancment'!$V$12:$V$491)</f>
        <v>0</v>
      </c>
      <c r="Z66" s="494">
        <f>SUMIF('D-3 Off Site Habitat Enhancment'!$S$12:$S$491,'G-2 Habitat groups'!A66,'D-3 Off Site Habitat Enhancment'!$AP$12:$AP$491)</f>
        <v>0</v>
      </c>
      <c r="AA66" s="494">
        <f t="shared" si="57"/>
        <v>0</v>
      </c>
      <c r="AB66" s="494">
        <f t="shared" si="58"/>
        <v>0</v>
      </c>
      <c r="AC66" s="494">
        <f t="shared" si="59"/>
        <v>0</v>
      </c>
      <c r="AD66" s="494">
        <f t="shared" si="60"/>
        <v>0</v>
      </c>
      <c r="AE66" s="494">
        <f t="shared" si="61"/>
        <v>0</v>
      </c>
      <c r="AF66" s="494">
        <f t="shared" si="62"/>
        <v>0</v>
      </c>
      <c r="AU66" s="118" t="s">
        <v>747</v>
      </c>
      <c r="AV66" s="88" t="s">
        <v>867</v>
      </c>
      <c r="AW66" s="494">
        <f t="shared" si="43"/>
        <v>0</v>
      </c>
      <c r="AX66" s="494">
        <f t="shared" si="44"/>
        <v>0</v>
      </c>
      <c r="AY66" s="494">
        <f t="shared" si="45"/>
        <v>0</v>
      </c>
      <c r="AZ66" s="494">
        <f t="shared" si="46"/>
        <v>0</v>
      </c>
      <c r="BA66" s="494">
        <f t="shared" si="47"/>
        <v>0</v>
      </c>
      <c r="BB66" s="494">
        <f t="shared" si="48"/>
        <v>0</v>
      </c>
      <c r="BC66" s="494">
        <f t="shared" si="49"/>
        <v>0</v>
      </c>
      <c r="BD66" s="494">
        <f t="shared" si="50"/>
        <v>0</v>
      </c>
      <c r="BE66" s="494">
        <f t="shared" si="51"/>
        <v>0</v>
      </c>
      <c r="BF66" s="494"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4">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4">
        <f>SUMIF('A-1 Site Habitat Baseline'!$G$11:$G$258,'G-2 Habitat groups'!A67,'A-1 Site Habitat Baseline'!$Q$11:$Q$258)</f>
        <v>0</v>
      </c>
      <c r="G67" s="494">
        <f>SUMIF('A-1 Site Habitat Baseline'!$G$11:$G$258,'G-2 Habitat groups'!A67,'A-1 Site Habitat Baseline'!$S$11:$S$258)</f>
        <v>0</v>
      </c>
      <c r="H67" s="494">
        <f>SUMIF('A-1 Site Habitat Baseline'!$G$11:$G$258,'G-2 Habitat groups'!A67,'A-1 Site Habitat Baseline'!$U$11:$U$258)</f>
        <v>0</v>
      </c>
      <c r="I67" s="494">
        <f>SUMIF('A-1 Site Habitat Baseline'!$G$11:$G$258,'G-2 Habitat groups'!A67,'A-1 Site Habitat Baseline'!$W$11:$W$258)</f>
        <v>0</v>
      </c>
      <c r="J67" s="494">
        <f>SUMIF('A-1 Site Habitat Baseline'!$G$11:$G$258,'G-2 Habitat groups'!A67,'A-1 Site Habitat Baseline'!$X$11:$X$258)</f>
        <v>0</v>
      </c>
      <c r="K67" s="494">
        <f>SUMIF('A-2 Site Habitat Creation'!$F$11:$F$256,'G-2 Habitat groups'!A67,'A-2 Site Habitat Creation'!$G$11:$G$256)</f>
        <v>0</v>
      </c>
      <c r="L67" s="494">
        <f>SUMIF('A-2 Site Habitat Creation'!$F$11:$F$256,'G-2 Habitat groups'!A67,'A-2 Site Habitat Creation'!$Y$11:$Y$256)</f>
        <v>0</v>
      </c>
      <c r="M67" s="494">
        <f>SUMIF('A-3 Site Habitat Enhancement'!$S$12:$S$257,'G-2 Habitat groups'!A67,'A-3 Site Habitat Enhancement'!$V$12:$V$257)</f>
        <v>0</v>
      </c>
      <c r="N67" s="494">
        <f>SUMIF('A-3 Site Habitat Enhancement'!$S$12:$S$257,'G-2 Habitat groups'!A67,'A-3 Site Habitat Enhancement'!$AN$12:$AN$257)</f>
        <v>0</v>
      </c>
      <c r="O67" s="494">
        <f t="shared" ref="O67:O98" si="63">G67+K67+M67</f>
        <v>0</v>
      </c>
      <c r="P67" s="494">
        <f t="shared" ref="P67:P98" si="64">H67+L67+N67</f>
        <v>0</v>
      </c>
      <c r="Q67" s="494">
        <f t="shared" ref="Q67:Q98" si="65">O67-E67</f>
        <v>0</v>
      </c>
      <c r="R67" s="494">
        <f t="shared" ref="R67:R98" si="66">P67-F67</f>
        <v>0</v>
      </c>
      <c r="S67" s="494">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4">
        <f>SUMIF('D-1 Off Site Habitat Baseline'!$G$11:$G$258,'G-2 Habitat groups'!A67,'D-1 Off Site Habitat Baseline'!$Q$11:$Q$258)</f>
        <v>0</v>
      </c>
      <c r="U67" s="591">
        <f>SUMIF('D-1 Off Site Habitat Baseline'!$G$11:$G$258,'G-2 Habitat groups'!A67,'D-1 Off Site Habitat Baseline'!$S$11:$S$258)</f>
        <v>0</v>
      </c>
      <c r="V67" s="494">
        <f>SUMIF('D-1 Off Site Habitat Baseline'!$G$11:$G$258,'G-2 Habitat groups'!A67,'D-1 Off Site Habitat Baseline'!$U$11:$U$258)</f>
        <v>0</v>
      </c>
      <c r="W67" s="494">
        <f>SUMIF('D-2 Off Site Habitat Creation'!$F$9:$F$255,'G-2 Habitat groups'!A67,'D-2 Off Site Habitat Creation'!$G$9:$G$255)</f>
        <v>0</v>
      </c>
      <c r="X67" s="494">
        <f>SUMIF('D-2 Off Site Habitat Creation'!$F$9:$F$255,'G-2 Habitat groups'!A67,'D-2 Off Site Habitat Creation'!$AA$9:$AA$255)</f>
        <v>0</v>
      </c>
      <c r="Y67" s="494">
        <f>SUMIF('D-3 Off Site Habitat Enhancment'!$S$12:$S$491,'G-2 Habitat groups'!A67,'D-3 Off Site Habitat Enhancment'!$V$12:$V$491)</f>
        <v>0</v>
      </c>
      <c r="Z67" s="494">
        <f>SUMIF('D-3 Off Site Habitat Enhancment'!$S$12:$S$491,'G-2 Habitat groups'!A67,'D-3 Off Site Habitat Enhancment'!$AP$12:$AP$491)</f>
        <v>0</v>
      </c>
      <c r="AA67" s="494">
        <f t="shared" ref="AA67:AA98" si="67">U67+W67+Y67</f>
        <v>0</v>
      </c>
      <c r="AB67" s="494">
        <f t="shared" ref="AB67:AB98" si="68">V67+X67+Z67</f>
        <v>0</v>
      </c>
      <c r="AC67" s="494">
        <f t="shared" ref="AC67:AC98" si="69">AA67-S67</f>
        <v>0</v>
      </c>
      <c r="AD67" s="494">
        <f t="shared" ref="AD67:AD98" si="70">AB67-T67</f>
        <v>0</v>
      </c>
      <c r="AE67" s="494">
        <f t="shared" ref="AE67:AE98" si="71">Q67+AC67</f>
        <v>0</v>
      </c>
      <c r="AF67" s="494">
        <f t="shared" ref="AF67:AF98" si="72">R67+AD67</f>
        <v>0</v>
      </c>
      <c r="AU67" s="119" t="s">
        <v>772</v>
      </c>
      <c r="AV67" s="88" t="s">
        <v>77</v>
      </c>
      <c r="AW67" s="494">
        <f t="shared" si="43"/>
        <v>0</v>
      </c>
      <c r="AX67" s="494">
        <f t="shared" si="44"/>
        <v>0</v>
      </c>
      <c r="AY67" s="494">
        <f t="shared" si="45"/>
        <v>0</v>
      </c>
      <c r="AZ67" s="494">
        <f t="shared" si="46"/>
        <v>0</v>
      </c>
      <c r="BA67" s="494">
        <f t="shared" si="47"/>
        <v>0</v>
      </c>
      <c r="BB67" s="494">
        <f t="shared" si="48"/>
        <v>0</v>
      </c>
      <c r="BC67" s="494">
        <f t="shared" si="49"/>
        <v>0</v>
      </c>
      <c r="BD67" s="494">
        <f t="shared" si="50"/>
        <v>0</v>
      </c>
      <c r="BE67" s="494">
        <f t="shared" si="51"/>
        <v>0</v>
      </c>
      <c r="BF67" s="494"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4">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4">
        <f>SUMIF('A-1 Site Habitat Baseline'!$G$11:$G$258,'G-2 Habitat groups'!A68,'A-1 Site Habitat Baseline'!$Q$11:$Q$258)</f>
        <v>0</v>
      </c>
      <c r="G68" s="494">
        <f>SUMIF('A-1 Site Habitat Baseline'!$G$11:$G$258,'G-2 Habitat groups'!A68,'A-1 Site Habitat Baseline'!$S$11:$S$258)</f>
        <v>0</v>
      </c>
      <c r="H68" s="494">
        <f>SUMIF('A-1 Site Habitat Baseline'!$G$11:$G$258,'G-2 Habitat groups'!A68,'A-1 Site Habitat Baseline'!$U$11:$U$258)</f>
        <v>0</v>
      </c>
      <c r="I68" s="494">
        <f>SUMIF('A-1 Site Habitat Baseline'!$G$11:$G$258,'G-2 Habitat groups'!A68,'A-1 Site Habitat Baseline'!$W$11:$W$258)</f>
        <v>0</v>
      </c>
      <c r="J68" s="494">
        <f>SUMIF('A-1 Site Habitat Baseline'!$G$11:$G$258,'G-2 Habitat groups'!A68,'A-1 Site Habitat Baseline'!$X$11:$X$258)</f>
        <v>0</v>
      </c>
      <c r="K68" s="494">
        <f>SUMIF('A-2 Site Habitat Creation'!$F$11:$F$256,'G-2 Habitat groups'!A68,'A-2 Site Habitat Creation'!$G$11:$G$256)</f>
        <v>0</v>
      </c>
      <c r="L68" s="494">
        <f>SUMIF('A-2 Site Habitat Creation'!$F$11:$F$256,'G-2 Habitat groups'!A68,'A-2 Site Habitat Creation'!$Y$11:$Y$256)</f>
        <v>0</v>
      </c>
      <c r="M68" s="494">
        <f>SUMIF('A-3 Site Habitat Enhancement'!$S$12:$S$257,'G-2 Habitat groups'!A68,'A-3 Site Habitat Enhancement'!$V$12:$V$257)</f>
        <v>0</v>
      </c>
      <c r="N68" s="494">
        <f>SUMIF('A-3 Site Habitat Enhancement'!$S$12:$S$257,'G-2 Habitat groups'!A68,'A-3 Site Habitat Enhancement'!$AN$12:$AN$257)</f>
        <v>0</v>
      </c>
      <c r="O68" s="494">
        <f t="shared" si="63"/>
        <v>0</v>
      </c>
      <c r="P68" s="494">
        <f t="shared" si="64"/>
        <v>0</v>
      </c>
      <c r="Q68" s="494">
        <f t="shared" si="65"/>
        <v>0</v>
      </c>
      <c r="R68" s="494">
        <f t="shared" si="66"/>
        <v>0</v>
      </c>
      <c r="S68" s="494">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4">
        <f>SUMIF('D-1 Off Site Habitat Baseline'!$G$11:$G$258,'G-2 Habitat groups'!A68,'D-1 Off Site Habitat Baseline'!$Q$11:$Q$258)</f>
        <v>0</v>
      </c>
      <c r="U68" s="591">
        <f>SUMIF('D-1 Off Site Habitat Baseline'!$G$11:$G$258,'G-2 Habitat groups'!A68,'D-1 Off Site Habitat Baseline'!$S$11:$S$258)</f>
        <v>0</v>
      </c>
      <c r="V68" s="494">
        <f>SUMIF('D-1 Off Site Habitat Baseline'!$G$11:$G$258,'G-2 Habitat groups'!A68,'D-1 Off Site Habitat Baseline'!$U$11:$U$258)</f>
        <v>0</v>
      </c>
      <c r="W68" s="494">
        <f>SUMIF('D-2 Off Site Habitat Creation'!$F$9:$F$255,'G-2 Habitat groups'!A68,'D-2 Off Site Habitat Creation'!$G$9:$G$255)</f>
        <v>0</v>
      </c>
      <c r="X68" s="494">
        <f>SUMIF('D-2 Off Site Habitat Creation'!$F$9:$F$255,'G-2 Habitat groups'!A68,'D-2 Off Site Habitat Creation'!$AA$9:$AA$255)</f>
        <v>0</v>
      </c>
      <c r="Y68" s="494">
        <f>SUMIF('D-3 Off Site Habitat Enhancment'!$S$12:$S$491,'G-2 Habitat groups'!A68,'D-3 Off Site Habitat Enhancment'!$V$12:$V$491)</f>
        <v>0</v>
      </c>
      <c r="Z68" s="494">
        <f>SUMIF('D-3 Off Site Habitat Enhancment'!$S$12:$S$491,'G-2 Habitat groups'!A68,'D-3 Off Site Habitat Enhancment'!$AP$12:$AP$491)</f>
        <v>0</v>
      </c>
      <c r="AA68" s="494">
        <f t="shared" si="67"/>
        <v>0</v>
      </c>
      <c r="AB68" s="494">
        <f t="shared" si="68"/>
        <v>0</v>
      </c>
      <c r="AC68" s="494">
        <f t="shared" si="69"/>
        <v>0</v>
      </c>
      <c r="AD68" s="494">
        <f t="shared" si="70"/>
        <v>0</v>
      </c>
      <c r="AE68" s="494">
        <f t="shared" si="71"/>
        <v>0</v>
      </c>
      <c r="AF68" s="494">
        <f t="shared" si="72"/>
        <v>0</v>
      </c>
      <c r="AU68" s="119" t="s">
        <v>776</v>
      </c>
      <c r="AV68" s="88" t="s">
        <v>77</v>
      </c>
      <c r="AW68" s="494">
        <f t="shared" si="43"/>
        <v>0</v>
      </c>
      <c r="AX68" s="494">
        <f t="shared" si="44"/>
        <v>0</v>
      </c>
      <c r="AY68" s="494">
        <f t="shared" si="45"/>
        <v>0</v>
      </c>
      <c r="AZ68" s="494">
        <f t="shared" si="46"/>
        <v>0</v>
      </c>
      <c r="BA68" s="494">
        <f t="shared" si="47"/>
        <v>0</v>
      </c>
      <c r="BB68" s="494">
        <f t="shared" si="48"/>
        <v>0</v>
      </c>
      <c r="BC68" s="494">
        <f t="shared" si="49"/>
        <v>0</v>
      </c>
      <c r="BD68" s="494">
        <f t="shared" si="50"/>
        <v>0</v>
      </c>
      <c r="BE68" s="494">
        <f t="shared" si="51"/>
        <v>0</v>
      </c>
      <c r="BF68" s="494"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4">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4">
        <f>SUMIF('A-1 Site Habitat Baseline'!$G$11:$G$258,'G-2 Habitat groups'!A69,'A-1 Site Habitat Baseline'!$Q$11:$Q$258)</f>
        <v>0</v>
      </c>
      <c r="G69" s="494">
        <f>SUMIF('A-1 Site Habitat Baseline'!$G$11:$G$258,'G-2 Habitat groups'!A69,'A-1 Site Habitat Baseline'!$S$11:$S$258)</f>
        <v>0</v>
      </c>
      <c r="H69" s="494">
        <f>SUMIF('A-1 Site Habitat Baseline'!$G$11:$G$258,'G-2 Habitat groups'!A69,'A-1 Site Habitat Baseline'!$U$11:$U$258)</f>
        <v>0</v>
      </c>
      <c r="I69" s="494">
        <f>SUMIF('A-1 Site Habitat Baseline'!$G$11:$G$258,'G-2 Habitat groups'!A69,'A-1 Site Habitat Baseline'!$W$11:$W$258)</f>
        <v>0</v>
      </c>
      <c r="J69" s="494">
        <f>SUMIF('A-1 Site Habitat Baseline'!$G$11:$G$258,'G-2 Habitat groups'!A69,'A-1 Site Habitat Baseline'!$X$11:$X$258)</f>
        <v>0</v>
      </c>
      <c r="K69" s="494">
        <f>SUMIF('A-2 Site Habitat Creation'!$F$11:$F$256,'G-2 Habitat groups'!A69,'A-2 Site Habitat Creation'!$G$11:$G$256)</f>
        <v>0</v>
      </c>
      <c r="L69" s="494">
        <f>SUMIF('A-2 Site Habitat Creation'!$F$11:$F$256,'G-2 Habitat groups'!A69,'A-2 Site Habitat Creation'!$Y$11:$Y$256)</f>
        <v>0</v>
      </c>
      <c r="M69" s="494">
        <f>SUMIF('A-3 Site Habitat Enhancement'!$S$12:$S$257,'G-2 Habitat groups'!A69,'A-3 Site Habitat Enhancement'!$V$12:$V$257)</f>
        <v>0</v>
      </c>
      <c r="N69" s="494">
        <f>SUMIF('A-3 Site Habitat Enhancement'!$S$12:$S$257,'G-2 Habitat groups'!A69,'A-3 Site Habitat Enhancement'!$AN$12:$AN$257)</f>
        <v>0</v>
      </c>
      <c r="O69" s="494">
        <f t="shared" si="63"/>
        <v>0</v>
      </c>
      <c r="P69" s="494">
        <f t="shared" si="64"/>
        <v>0</v>
      </c>
      <c r="Q69" s="494">
        <f t="shared" si="65"/>
        <v>0</v>
      </c>
      <c r="R69" s="494">
        <f t="shared" si="66"/>
        <v>0</v>
      </c>
      <c r="S69" s="494">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4">
        <f>SUMIF('D-1 Off Site Habitat Baseline'!$G$11:$G$258,'G-2 Habitat groups'!A69,'D-1 Off Site Habitat Baseline'!$Q$11:$Q$258)</f>
        <v>0</v>
      </c>
      <c r="U69" s="591">
        <f>SUMIF('D-1 Off Site Habitat Baseline'!$G$11:$G$258,'G-2 Habitat groups'!A69,'D-1 Off Site Habitat Baseline'!$S$11:$S$258)</f>
        <v>0</v>
      </c>
      <c r="V69" s="494">
        <f>SUMIF('D-1 Off Site Habitat Baseline'!$G$11:$G$258,'G-2 Habitat groups'!A69,'D-1 Off Site Habitat Baseline'!$U$11:$U$258)</f>
        <v>0</v>
      </c>
      <c r="W69" s="494">
        <f>SUMIF('D-2 Off Site Habitat Creation'!$F$9:$F$255,'G-2 Habitat groups'!A69,'D-2 Off Site Habitat Creation'!$G$9:$G$255)</f>
        <v>0</v>
      </c>
      <c r="X69" s="494">
        <f>SUMIF('D-2 Off Site Habitat Creation'!$F$9:$F$255,'G-2 Habitat groups'!A69,'D-2 Off Site Habitat Creation'!$AA$9:$AA$255)</f>
        <v>0</v>
      </c>
      <c r="Y69" s="494">
        <f>SUMIF('D-3 Off Site Habitat Enhancment'!$S$12:$S$491,'G-2 Habitat groups'!A69,'D-3 Off Site Habitat Enhancment'!$V$12:$V$491)</f>
        <v>0</v>
      </c>
      <c r="Z69" s="494">
        <f>SUMIF('D-3 Off Site Habitat Enhancment'!$S$12:$S$491,'G-2 Habitat groups'!A69,'D-3 Off Site Habitat Enhancment'!$AP$12:$AP$491)</f>
        <v>0</v>
      </c>
      <c r="AA69" s="494">
        <f t="shared" si="67"/>
        <v>0</v>
      </c>
      <c r="AB69" s="494">
        <f t="shared" si="68"/>
        <v>0</v>
      </c>
      <c r="AC69" s="494">
        <f t="shared" si="69"/>
        <v>0</v>
      </c>
      <c r="AD69" s="494">
        <f t="shared" si="70"/>
        <v>0</v>
      </c>
      <c r="AE69" s="494">
        <f t="shared" si="71"/>
        <v>0</v>
      </c>
      <c r="AF69" s="494">
        <f t="shared" si="72"/>
        <v>0</v>
      </c>
      <c r="AU69" s="118" t="s">
        <v>779</v>
      </c>
      <c r="AV69" s="88" t="s">
        <v>77</v>
      </c>
      <c r="AW69" s="494">
        <f t="shared" si="43"/>
        <v>0</v>
      </c>
      <c r="AX69" s="494">
        <f t="shared" si="44"/>
        <v>0</v>
      </c>
      <c r="AY69" s="494">
        <f t="shared" si="45"/>
        <v>0</v>
      </c>
      <c r="AZ69" s="494">
        <f t="shared" si="46"/>
        <v>0</v>
      </c>
      <c r="BA69" s="494">
        <f t="shared" si="47"/>
        <v>0</v>
      </c>
      <c r="BB69" s="494">
        <f t="shared" si="48"/>
        <v>0</v>
      </c>
      <c r="BC69" s="494">
        <f t="shared" si="49"/>
        <v>0</v>
      </c>
      <c r="BD69" s="494">
        <f t="shared" si="50"/>
        <v>0</v>
      </c>
      <c r="BE69" s="494">
        <f t="shared" si="51"/>
        <v>0</v>
      </c>
      <c r="BF69" s="494"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4">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4">
        <f>SUMIF('A-1 Site Habitat Baseline'!$G$11:$G$258,'G-2 Habitat groups'!A70,'A-1 Site Habitat Baseline'!$Q$11:$Q$258)</f>
        <v>0</v>
      </c>
      <c r="G70" s="494">
        <f>SUMIF('A-1 Site Habitat Baseline'!$G$11:$G$258,'G-2 Habitat groups'!A70,'A-1 Site Habitat Baseline'!$S$11:$S$258)</f>
        <v>0</v>
      </c>
      <c r="H70" s="494">
        <f>SUMIF('A-1 Site Habitat Baseline'!$G$11:$G$258,'G-2 Habitat groups'!A70,'A-1 Site Habitat Baseline'!$U$11:$U$258)</f>
        <v>0</v>
      </c>
      <c r="I70" s="494">
        <f>SUMIF('A-1 Site Habitat Baseline'!$G$11:$G$258,'G-2 Habitat groups'!A70,'A-1 Site Habitat Baseline'!$W$11:$W$258)</f>
        <v>0</v>
      </c>
      <c r="J70" s="494">
        <f>SUMIF('A-1 Site Habitat Baseline'!$G$11:$G$258,'G-2 Habitat groups'!A70,'A-1 Site Habitat Baseline'!$X$11:$X$258)</f>
        <v>0</v>
      </c>
      <c r="K70" s="494">
        <f>SUMIF('A-2 Site Habitat Creation'!$F$11:$F$256,'G-2 Habitat groups'!A70,'A-2 Site Habitat Creation'!$G$11:$G$256)</f>
        <v>3.0099999999999998E-2</v>
      </c>
      <c r="L70" s="494">
        <f>SUMIF('A-2 Site Habitat Creation'!$F$11:$F$256,'G-2 Habitat groups'!A70,'A-2 Site Habitat Creation'!$Y$11:$Y$256)</f>
        <v>6.680694999999999E-2</v>
      </c>
      <c r="M70" s="494">
        <f>SUMIF('A-3 Site Habitat Enhancement'!$S$12:$S$257,'G-2 Habitat groups'!A70,'A-3 Site Habitat Enhancement'!$V$12:$V$257)</f>
        <v>0</v>
      </c>
      <c r="N70" s="494">
        <f>SUMIF('A-3 Site Habitat Enhancement'!$S$12:$S$257,'G-2 Habitat groups'!A70,'A-3 Site Habitat Enhancement'!$AN$12:$AN$257)</f>
        <v>0</v>
      </c>
      <c r="O70" s="494">
        <f t="shared" si="63"/>
        <v>3.0099999999999998E-2</v>
      </c>
      <c r="P70" s="494">
        <f t="shared" si="64"/>
        <v>6.680694999999999E-2</v>
      </c>
      <c r="Q70" s="494">
        <f t="shared" si="65"/>
        <v>3.0099999999999998E-2</v>
      </c>
      <c r="R70" s="494">
        <f t="shared" si="66"/>
        <v>6.680694999999999E-2</v>
      </c>
      <c r="S70" s="494">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4">
        <f>SUMIF('D-1 Off Site Habitat Baseline'!$G$11:$G$258,'G-2 Habitat groups'!A70,'D-1 Off Site Habitat Baseline'!$Q$11:$Q$258)</f>
        <v>0</v>
      </c>
      <c r="U70" s="591">
        <f>SUMIF('D-1 Off Site Habitat Baseline'!$G$11:$G$258,'G-2 Habitat groups'!A70,'D-1 Off Site Habitat Baseline'!$S$11:$S$258)</f>
        <v>0</v>
      </c>
      <c r="V70" s="494">
        <f>SUMIF('D-1 Off Site Habitat Baseline'!$G$11:$G$258,'G-2 Habitat groups'!A70,'D-1 Off Site Habitat Baseline'!$U$11:$U$258)</f>
        <v>0</v>
      </c>
      <c r="W70" s="494">
        <f>SUMIF('D-2 Off Site Habitat Creation'!$F$9:$F$255,'G-2 Habitat groups'!A70,'D-2 Off Site Habitat Creation'!$G$9:$G$255)</f>
        <v>0</v>
      </c>
      <c r="X70" s="494">
        <f>SUMIF('D-2 Off Site Habitat Creation'!$F$9:$F$255,'G-2 Habitat groups'!A70,'D-2 Off Site Habitat Creation'!$AA$9:$AA$255)</f>
        <v>0</v>
      </c>
      <c r="Y70" s="494">
        <f>SUMIF('D-3 Off Site Habitat Enhancment'!$S$12:$S$491,'G-2 Habitat groups'!A70,'D-3 Off Site Habitat Enhancment'!$V$12:$V$491)</f>
        <v>0</v>
      </c>
      <c r="Z70" s="494">
        <f>SUMIF('D-3 Off Site Habitat Enhancment'!$S$12:$S$491,'G-2 Habitat groups'!A70,'D-3 Off Site Habitat Enhancment'!$AP$12:$AP$491)</f>
        <v>0</v>
      </c>
      <c r="AA70" s="494">
        <f t="shared" si="67"/>
        <v>0</v>
      </c>
      <c r="AB70" s="494">
        <f t="shared" si="68"/>
        <v>0</v>
      </c>
      <c r="AC70" s="494">
        <f t="shared" si="69"/>
        <v>0</v>
      </c>
      <c r="AD70" s="494">
        <f t="shared" si="70"/>
        <v>0</v>
      </c>
      <c r="AE70" s="494">
        <f t="shared" si="71"/>
        <v>3.0099999999999998E-2</v>
      </c>
      <c r="AF70" s="494">
        <f t="shared" si="72"/>
        <v>6.680694999999999E-2</v>
      </c>
      <c r="AU70" s="105" t="s">
        <v>806</v>
      </c>
      <c r="AV70" s="88" t="s">
        <v>77</v>
      </c>
      <c r="AW70" s="494">
        <f t="shared" si="43"/>
        <v>0</v>
      </c>
      <c r="AX70" s="494">
        <f t="shared" si="44"/>
        <v>0</v>
      </c>
      <c r="AY70" s="494">
        <f t="shared" si="45"/>
        <v>0</v>
      </c>
      <c r="AZ70" s="494">
        <f t="shared" si="46"/>
        <v>0</v>
      </c>
      <c r="BA70" s="494">
        <f t="shared" si="47"/>
        <v>0</v>
      </c>
      <c r="BB70" s="494">
        <f t="shared" si="48"/>
        <v>0</v>
      </c>
      <c r="BC70" s="494">
        <f t="shared" si="49"/>
        <v>0</v>
      </c>
      <c r="BD70" s="494">
        <f t="shared" si="50"/>
        <v>0</v>
      </c>
      <c r="BE70" s="494">
        <f t="shared" si="51"/>
        <v>0</v>
      </c>
      <c r="BF70" s="494"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4">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4">
        <f>SUMIF('A-1 Site Habitat Baseline'!$G$11:$G$258,'G-2 Habitat groups'!A71,'A-1 Site Habitat Baseline'!$Q$11:$Q$258)</f>
        <v>0</v>
      </c>
      <c r="G71" s="494">
        <f>SUMIF('A-1 Site Habitat Baseline'!$G$11:$G$258,'G-2 Habitat groups'!A71,'A-1 Site Habitat Baseline'!$S$11:$S$258)</f>
        <v>0</v>
      </c>
      <c r="H71" s="494">
        <f>SUMIF('A-1 Site Habitat Baseline'!$G$11:$G$258,'G-2 Habitat groups'!A71,'A-1 Site Habitat Baseline'!$U$11:$U$258)</f>
        <v>0</v>
      </c>
      <c r="I71" s="494">
        <f>SUMIF('A-1 Site Habitat Baseline'!$G$11:$G$258,'G-2 Habitat groups'!A71,'A-1 Site Habitat Baseline'!$W$11:$W$258)</f>
        <v>0</v>
      </c>
      <c r="J71" s="494">
        <f>SUMIF('A-1 Site Habitat Baseline'!$G$11:$G$258,'G-2 Habitat groups'!A71,'A-1 Site Habitat Baseline'!$X$11:$X$258)</f>
        <v>0</v>
      </c>
      <c r="K71" s="494">
        <f>SUMIF('A-2 Site Habitat Creation'!$F$11:$F$256,'G-2 Habitat groups'!A71,'A-2 Site Habitat Creation'!$G$11:$G$256)</f>
        <v>0</v>
      </c>
      <c r="L71" s="494">
        <f>SUMIF('A-2 Site Habitat Creation'!$F$11:$F$256,'G-2 Habitat groups'!A71,'A-2 Site Habitat Creation'!$Y$11:$Y$256)</f>
        <v>0</v>
      </c>
      <c r="M71" s="494">
        <f>SUMIF('A-3 Site Habitat Enhancement'!$S$12:$S$257,'G-2 Habitat groups'!A71,'A-3 Site Habitat Enhancement'!$V$12:$V$257)</f>
        <v>0</v>
      </c>
      <c r="N71" s="494">
        <f>SUMIF('A-3 Site Habitat Enhancement'!$S$12:$S$257,'G-2 Habitat groups'!A71,'A-3 Site Habitat Enhancement'!$AN$12:$AN$257)</f>
        <v>0</v>
      </c>
      <c r="O71" s="494">
        <f t="shared" si="63"/>
        <v>0</v>
      </c>
      <c r="P71" s="494">
        <f t="shared" si="64"/>
        <v>0</v>
      </c>
      <c r="Q71" s="494">
        <f t="shared" si="65"/>
        <v>0</v>
      </c>
      <c r="R71" s="494">
        <f t="shared" si="66"/>
        <v>0</v>
      </c>
      <c r="S71" s="494">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4">
        <f>SUMIF('D-1 Off Site Habitat Baseline'!$G$11:$G$258,'G-2 Habitat groups'!A71,'D-1 Off Site Habitat Baseline'!$Q$11:$Q$258)</f>
        <v>0</v>
      </c>
      <c r="U71" s="591">
        <f>SUMIF('D-1 Off Site Habitat Baseline'!$G$11:$G$258,'G-2 Habitat groups'!A71,'D-1 Off Site Habitat Baseline'!$S$11:$S$258)</f>
        <v>0</v>
      </c>
      <c r="V71" s="494">
        <f>SUMIF('D-1 Off Site Habitat Baseline'!$G$11:$G$258,'G-2 Habitat groups'!A71,'D-1 Off Site Habitat Baseline'!$U$11:$U$258)</f>
        <v>0</v>
      </c>
      <c r="W71" s="494">
        <f>SUMIF('D-2 Off Site Habitat Creation'!$F$9:$F$255,'G-2 Habitat groups'!A71,'D-2 Off Site Habitat Creation'!$G$9:$G$255)</f>
        <v>0</v>
      </c>
      <c r="X71" s="494">
        <f>SUMIF('D-2 Off Site Habitat Creation'!$F$9:$F$255,'G-2 Habitat groups'!A71,'D-2 Off Site Habitat Creation'!$AA$9:$AA$255)</f>
        <v>0</v>
      </c>
      <c r="Y71" s="494">
        <f>SUMIF('D-3 Off Site Habitat Enhancment'!$S$12:$S$491,'G-2 Habitat groups'!A71,'D-3 Off Site Habitat Enhancment'!$V$12:$V$491)</f>
        <v>0</v>
      </c>
      <c r="Z71" s="494">
        <f>SUMIF('D-3 Off Site Habitat Enhancment'!$S$12:$S$491,'G-2 Habitat groups'!A71,'D-3 Off Site Habitat Enhancment'!$AP$12:$AP$491)</f>
        <v>0</v>
      </c>
      <c r="AA71" s="494">
        <f t="shared" si="67"/>
        <v>0</v>
      </c>
      <c r="AB71" s="494">
        <f t="shared" si="68"/>
        <v>0</v>
      </c>
      <c r="AC71" s="494">
        <f t="shared" si="69"/>
        <v>0</v>
      </c>
      <c r="AD71" s="494">
        <f t="shared" si="70"/>
        <v>0</v>
      </c>
      <c r="AE71" s="494">
        <f t="shared" si="71"/>
        <v>0</v>
      </c>
      <c r="AF71" s="494">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4">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4">
        <f>SUMIF('A-1 Site Habitat Baseline'!$G$11:$G$258,'G-2 Habitat groups'!A72,'A-1 Site Habitat Baseline'!$Q$11:$Q$258)</f>
        <v>0</v>
      </c>
      <c r="G72" s="494">
        <f>SUMIF('A-1 Site Habitat Baseline'!$G$11:$G$258,'G-2 Habitat groups'!A72,'A-1 Site Habitat Baseline'!$S$11:$S$258)</f>
        <v>0</v>
      </c>
      <c r="H72" s="494">
        <f>SUMIF('A-1 Site Habitat Baseline'!$G$11:$G$258,'G-2 Habitat groups'!A72,'A-1 Site Habitat Baseline'!$U$11:$U$258)</f>
        <v>0</v>
      </c>
      <c r="I72" s="494">
        <f>SUMIF('A-1 Site Habitat Baseline'!$G$11:$G$258,'G-2 Habitat groups'!A72,'A-1 Site Habitat Baseline'!$W$11:$W$258)</f>
        <v>0</v>
      </c>
      <c r="J72" s="494">
        <f>SUMIF('A-1 Site Habitat Baseline'!$G$11:$G$258,'G-2 Habitat groups'!A72,'A-1 Site Habitat Baseline'!$X$11:$X$258)</f>
        <v>0</v>
      </c>
      <c r="K72" s="494">
        <f>SUMIF('A-2 Site Habitat Creation'!$F$11:$F$256,'G-2 Habitat groups'!A72,'A-2 Site Habitat Creation'!$G$11:$G$256)</f>
        <v>0</v>
      </c>
      <c r="L72" s="494">
        <f>SUMIF('A-2 Site Habitat Creation'!$F$11:$F$256,'G-2 Habitat groups'!A72,'A-2 Site Habitat Creation'!$Y$11:$Y$256)</f>
        <v>0</v>
      </c>
      <c r="M72" s="494">
        <f>SUMIF('A-3 Site Habitat Enhancement'!$S$12:$S$257,'G-2 Habitat groups'!A72,'A-3 Site Habitat Enhancement'!$V$12:$V$257)</f>
        <v>0</v>
      </c>
      <c r="N72" s="494">
        <f>SUMIF('A-3 Site Habitat Enhancement'!$S$12:$S$257,'G-2 Habitat groups'!A72,'A-3 Site Habitat Enhancement'!$AN$12:$AN$257)</f>
        <v>0</v>
      </c>
      <c r="O72" s="494">
        <f t="shared" si="63"/>
        <v>0</v>
      </c>
      <c r="P72" s="494">
        <f t="shared" si="64"/>
        <v>0</v>
      </c>
      <c r="Q72" s="494">
        <f t="shared" si="65"/>
        <v>0</v>
      </c>
      <c r="R72" s="494">
        <f t="shared" si="66"/>
        <v>0</v>
      </c>
      <c r="S72" s="494">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4">
        <f>SUMIF('D-1 Off Site Habitat Baseline'!$G$11:$G$258,'G-2 Habitat groups'!A72,'D-1 Off Site Habitat Baseline'!$Q$11:$Q$258)</f>
        <v>0</v>
      </c>
      <c r="U72" s="591">
        <f>SUMIF('D-1 Off Site Habitat Baseline'!$G$11:$G$258,'G-2 Habitat groups'!A72,'D-1 Off Site Habitat Baseline'!$S$11:$S$258)</f>
        <v>0</v>
      </c>
      <c r="V72" s="494">
        <f>SUMIF('D-1 Off Site Habitat Baseline'!$G$11:$G$258,'G-2 Habitat groups'!A72,'D-1 Off Site Habitat Baseline'!$U$11:$U$258)</f>
        <v>0</v>
      </c>
      <c r="W72" s="494">
        <f>SUMIF('D-2 Off Site Habitat Creation'!$F$9:$F$255,'G-2 Habitat groups'!A72,'D-2 Off Site Habitat Creation'!$G$9:$G$255)</f>
        <v>0</v>
      </c>
      <c r="X72" s="494">
        <f>SUMIF('D-2 Off Site Habitat Creation'!$F$9:$F$255,'G-2 Habitat groups'!A72,'D-2 Off Site Habitat Creation'!$AA$9:$AA$255)</f>
        <v>0</v>
      </c>
      <c r="Y72" s="494">
        <f>SUMIF('D-3 Off Site Habitat Enhancment'!$S$12:$S$491,'G-2 Habitat groups'!A72,'D-3 Off Site Habitat Enhancment'!$V$12:$V$491)</f>
        <v>0</v>
      </c>
      <c r="Z72" s="494">
        <f>SUMIF('D-3 Off Site Habitat Enhancment'!$S$12:$S$491,'G-2 Habitat groups'!A72,'D-3 Off Site Habitat Enhancment'!$AP$12:$AP$491)</f>
        <v>0</v>
      </c>
      <c r="AA72" s="494">
        <f t="shared" si="67"/>
        <v>0</v>
      </c>
      <c r="AB72" s="494">
        <f t="shared" si="68"/>
        <v>0</v>
      </c>
      <c r="AC72" s="494">
        <f t="shared" si="69"/>
        <v>0</v>
      </c>
      <c r="AD72" s="494">
        <f t="shared" si="70"/>
        <v>0</v>
      </c>
      <c r="AE72" s="494">
        <f t="shared" si="71"/>
        <v>0</v>
      </c>
      <c r="AF72" s="494">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4">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4">
        <f>SUMIF('A-1 Site Habitat Baseline'!$G$11:$G$258,'G-2 Habitat groups'!A73,'A-1 Site Habitat Baseline'!$Q$11:$Q$258)</f>
        <v>0</v>
      </c>
      <c r="G73" s="494">
        <f>SUMIF('A-1 Site Habitat Baseline'!$G$11:$G$258,'G-2 Habitat groups'!A73,'A-1 Site Habitat Baseline'!$S$11:$S$258)</f>
        <v>0</v>
      </c>
      <c r="H73" s="494">
        <f>SUMIF('A-1 Site Habitat Baseline'!$G$11:$G$258,'G-2 Habitat groups'!A73,'A-1 Site Habitat Baseline'!$U$11:$U$258)</f>
        <v>0</v>
      </c>
      <c r="I73" s="494">
        <f>SUMIF('A-1 Site Habitat Baseline'!$G$11:$G$258,'G-2 Habitat groups'!A73,'A-1 Site Habitat Baseline'!$W$11:$W$258)</f>
        <v>0</v>
      </c>
      <c r="J73" s="494">
        <f>SUMIF('A-1 Site Habitat Baseline'!$G$11:$G$258,'G-2 Habitat groups'!A73,'A-1 Site Habitat Baseline'!$X$11:$X$258)</f>
        <v>0</v>
      </c>
      <c r="K73" s="494">
        <f>SUMIF('A-2 Site Habitat Creation'!$F$11:$F$256,'G-2 Habitat groups'!A73,'A-2 Site Habitat Creation'!$G$11:$G$256)</f>
        <v>0</v>
      </c>
      <c r="L73" s="494">
        <f>SUMIF('A-2 Site Habitat Creation'!$F$11:$F$256,'G-2 Habitat groups'!A73,'A-2 Site Habitat Creation'!$Y$11:$Y$256)</f>
        <v>0</v>
      </c>
      <c r="M73" s="494">
        <f>SUMIF('A-3 Site Habitat Enhancement'!$S$12:$S$257,'G-2 Habitat groups'!A73,'A-3 Site Habitat Enhancement'!$V$12:$V$257)</f>
        <v>0</v>
      </c>
      <c r="N73" s="494">
        <f>SUMIF('A-3 Site Habitat Enhancement'!$S$12:$S$257,'G-2 Habitat groups'!A73,'A-3 Site Habitat Enhancement'!$AN$12:$AN$257)</f>
        <v>0</v>
      </c>
      <c r="O73" s="494">
        <f t="shared" si="63"/>
        <v>0</v>
      </c>
      <c r="P73" s="494">
        <f t="shared" si="64"/>
        <v>0</v>
      </c>
      <c r="Q73" s="494">
        <f t="shared" si="65"/>
        <v>0</v>
      </c>
      <c r="R73" s="494">
        <f t="shared" si="66"/>
        <v>0</v>
      </c>
      <c r="S73" s="494">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4">
        <f>SUMIF('D-1 Off Site Habitat Baseline'!$G$11:$G$258,'G-2 Habitat groups'!A73,'D-1 Off Site Habitat Baseline'!$Q$11:$Q$258)</f>
        <v>0</v>
      </c>
      <c r="U73" s="591">
        <f>SUMIF('D-1 Off Site Habitat Baseline'!$G$11:$G$258,'G-2 Habitat groups'!A73,'D-1 Off Site Habitat Baseline'!$S$11:$S$258)</f>
        <v>0</v>
      </c>
      <c r="V73" s="494">
        <f>SUMIF('D-1 Off Site Habitat Baseline'!$G$11:$G$258,'G-2 Habitat groups'!A73,'D-1 Off Site Habitat Baseline'!$U$11:$U$258)</f>
        <v>0</v>
      </c>
      <c r="W73" s="494">
        <f>SUMIF('D-2 Off Site Habitat Creation'!$F$9:$F$255,'G-2 Habitat groups'!A73,'D-2 Off Site Habitat Creation'!$G$9:$G$255)</f>
        <v>0</v>
      </c>
      <c r="X73" s="494">
        <f>SUMIF('D-2 Off Site Habitat Creation'!$F$9:$F$255,'G-2 Habitat groups'!A73,'D-2 Off Site Habitat Creation'!$AA$9:$AA$255)</f>
        <v>0</v>
      </c>
      <c r="Y73" s="494">
        <f>SUMIF('D-3 Off Site Habitat Enhancment'!$S$12:$S$491,'G-2 Habitat groups'!A73,'D-3 Off Site Habitat Enhancment'!$V$12:$V$491)</f>
        <v>0</v>
      </c>
      <c r="Z73" s="494">
        <f>SUMIF('D-3 Off Site Habitat Enhancment'!$S$12:$S$491,'G-2 Habitat groups'!A73,'D-3 Off Site Habitat Enhancment'!$AP$12:$AP$491)</f>
        <v>0</v>
      </c>
      <c r="AA73" s="494">
        <f t="shared" si="67"/>
        <v>0</v>
      </c>
      <c r="AB73" s="494">
        <f t="shared" si="68"/>
        <v>0</v>
      </c>
      <c r="AC73" s="494">
        <f t="shared" si="69"/>
        <v>0</v>
      </c>
      <c r="AD73" s="494">
        <f t="shared" si="70"/>
        <v>0</v>
      </c>
      <c r="AE73" s="494">
        <f t="shared" si="71"/>
        <v>0</v>
      </c>
      <c r="AF73" s="494">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4">
        <f>IF(C74="V.High",SUMIF('A-1 Site Habitat Baseline'!$G$11:$G$258,'G-2 Habitat groups'!A74,'A-1 Site Habitat Baseline'!$S$11:$S$258)+SUMIF('A-1 Site Habitat Baseline'!$G$11:$G$258,'G-2 Habitat groups'!A74,'A-1 Site Habitat Baseline'!$T$11:$T$258),SUMIF('A-1 Site Habitat Baseline'!$G$11:$G$258,'G-2 Habitat groups'!A74,'A-1 Site Habitat Baseline'!$H$11:$H$258))</f>
        <v>0.1074</v>
      </c>
      <c r="F74" s="494">
        <f>SUMIF('A-1 Site Habitat Baseline'!$G$11:$G$258,'G-2 Habitat groups'!A74,'A-1 Site Habitat Baseline'!$Q$11:$Q$258)</f>
        <v>1.03592</v>
      </c>
      <c r="G74" s="494">
        <f>SUMIF('A-1 Site Habitat Baseline'!$G$11:$G$258,'G-2 Habitat groups'!A74,'A-1 Site Habitat Baseline'!$S$11:$S$258)</f>
        <v>5.7599999999999998E-2</v>
      </c>
      <c r="H74" s="494">
        <f>SUMIF('A-1 Site Habitat Baseline'!$G$11:$G$258,'G-2 Habitat groups'!A74,'A-1 Site Habitat Baseline'!$U$11:$U$258)</f>
        <v>0.57177999999999995</v>
      </c>
      <c r="I74" s="494">
        <f>SUMIF('A-1 Site Habitat Baseline'!$G$11:$G$258,'G-2 Habitat groups'!A74,'A-1 Site Habitat Baseline'!$W$11:$W$258)</f>
        <v>4.9799999999999997E-2</v>
      </c>
      <c r="J74" s="494">
        <f>SUMIF('A-1 Site Habitat Baseline'!$G$11:$G$258,'G-2 Habitat groups'!A74,'A-1 Site Habitat Baseline'!$X$11:$X$258)</f>
        <v>0.46414</v>
      </c>
      <c r="K74" s="494">
        <f>SUMIF('A-2 Site Habitat Creation'!$F$11:$F$256,'G-2 Habitat groups'!A74,'A-2 Site Habitat Creation'!$G$11:$G$256)</f>
        <v>0.17</v>
      </c>
      <c r="L74" s="494">
        <f>SUMIF('A-2 Site Habitat Creation'!$F$11:$F$256,'G-2 Habitat groups'!A74,'A-2 Site Habitat Creation'!$Y$11:$Y$256)</f>
        <v>0.59768754943439995</v>
      </c>
      <c r="M74" s="494">
        <f>SUMIF('A-3 Site Habitat Enhancement'!$S$12:$S$257,'G-2 Habitat groups'!A74,'A-3 Site Habitat Enhancement'!$V$12:$V$257)</f>
        <v>0</v>
      </c>
      <c r="N74" s="494">
        <f>SUMIF('A-3 Site Habitat Enhancement'!$S$12:$S$257,'G-2 Habitat groups'!A74,'A-3 Site Habitat Enhancement'!$AN$12:$AN$257)</f>
        <v>0</v>
      </c>
      <c r="O74" s="494">
        <f t="shared" si="63"/>
        <v>0.22760000000000002</v>
      </c>
      <c r="P74" s="494">
        <f t="shared" si="64"/>
        <v>1.1694675494343998</v>
      </c>
      <c r="Q74" s="494">
        <f t="shared" si="65"/>
        <v>0.12020000000000003</v>
      </c>
      <c r="R74" s="494">
        <f t="shared" si="66"/>
        <v>0.13354754943439984</v>
      </c>
      <c r="S74" s="494">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4">
        <f>SUMIF('D-1 Off Site Habitat Baseline'!$G$11:$G$258,'G-2 Habitat groups'!A74,'D-1 Off Site Habitat Baseline'!$Q$11:$Q$258)</f>
        <v>0</v>
      </c>
      <c r="U74" s="591">
        <f>SUMIF('D-1 Off Site Habitat Baseline'!$G$11:$G$258,'G-2 Habitat groups'!A74,'D-1 Off Site Habitat Baseline'!$S$11:$S$258)</f>
        <v>0</v>
      </c>
      <c r="V74" s="494">
        <f>SUMIF('D-1 Off Site Habitat Baseline'!$G$11:$G$258,'G-2 Habitat groups'!A74,'D-1 Off Site Habitat Baseline'!$U$11:$U$258)</f>
        <v>0</v>
      </c>
      <c r="W74" s="494">
        <f>SUMIF('D-2 Off Site Habitat Creation'!$F$9:$F$255,'G-2 Habitat groups'!A74,'D-2 Off Site Habitat Creation'!$G$9:$G$255)</f>
        <v>0</v>
      </c>
      <c r="X74" s="494">
        <f>SUMIF('D-2 Off Site Habitat Creation'!$F$9:$F$255,'G-2 Habitat groups'!A74,'D-2 Off Site Habitat Creation'!$AA$9:$AA$255)</f>
        <v>0</v>
      </c>
      <c r="Y74" s="494">
        <f>SUMIF('D-3 Off Site Habitat Enhancment'!$S$12:$S$491,'G-2 Habitat groups'!A74,'D-3 Off Site Habitat Enhancment'!$V$12:$V$491)</f>
        <v>0</v>
      </c>
      <c r="Z74" s="494">
        <f>SUMIF('D-3 Off Site Habitat Enhancment'!$S$12:$S$491,'G-2 Habitat groups'!A74,'D-3 Off Site Habitat Enhancment'!$AP$12:$AP$491)</f>
        <v>0</v>
      </c>
      <c r="AA74" s="494">
        <f t="shared" si="67"/>
        <v>0</v>
      </c>
      <c r="AB74" s="494">
        <f t="shared" si="68"/>
        <v>0</v>
      </c>
      <c r="AC74" s="494">
        <f t="shared" si="69"/>
        <v>0</v>
      </c>
      <c r="AD74" s="494">
        <f t="shared" si="70"/>
        <v>0</v>
      </c>
      <c r="AE74" s="494">
        <f t="shared" si="71"/>
        <v>0.12020000000000003</v>
      </c>
      <c r="AF74" s="494">
        <f t="shared" si="72"/>
        <v>0.13354754943439984</v>
      </c>
    </row>
    <row r="75" spans="1:59" ht="35.4" x14ac:dyDescent="0.6">
      <c r="A75" s="104" t="str">
        <f>'G-1 All Habitats'!B74</f>
        <v>Urban - Sustainable urban drainage feature</v>
      </c>
      <c r="B75" s="88" t="str">
        <f>'G-1 All Habitats'!F74</f>
        <v>Urban</v>
      </c>
      <c r="C75" s="88" t="str">
        <f>'G-1 All Habitats'!K74</f>
        <v>Low</v>
      </c>
      <c r="D75" s="88" t="str">
        <f>'G-1 All Habitats'!M74</f>
        <v>Same distinctiveness or better habitat required ≥</v>
      </c>
      <c r="E75" s="494">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4">
        <f>SUMIF('A-1 Site Habitat Baseline'!$G$11:$G$258,'G-2 Habitat groups'!A75,'A-1 Site Habitat Baseline'!$Q$11:$Q$258)</f>
        <v>0</v>
      </c>
      <c r="G75" s="494">
        <f>SUMIF('A-1 Site Habitat Baseline'!$G$11:$G$258,'G-2 Habitat groups'!A75,'A-1 Site Habitat Baseline'!$S$11:$S$258)</f>
        <v>0</v>
      </c>
      <c r="H75" s="494">
        <f>SUMIF('A-1 Site Habitat Baseline'!$G$11:$G$258,'G-2 Habitat groups'!A75,'A-1 Site Habitat Baseline'!$U$11:$U$258)</f>
        <v>0</v>
      </c>
      <c r="I75" s="494">
        <f>SUMIF('A-1 Site Habitat Baseline'!$G$11:$G$258,'G-2 Habitat groups'!A75,'A-1 Site Habitat Baseline'!$W$11:$W$258)</f>
        <v>0</v>
      </c>
      <c r="J75" s="494">
        <f>SUMIF('A-1 Site Habitat Baseline'!$G$11:$G$258,'G-2 Habitat groups'!A75,'A-1 Site Habitat Baseline'!$X$11:$X$258)</f>
        <v>0</v>
      </c>
      <c r="K75" s="494">
        <f>SUMIF('A-2 Site Habitat Creation'!$F$11:$F$256,'G-2 Habitat groups'!A75,'A-2 Site Habitat Creation'!$G$11:$G$256)</f>
        <v>0</v>
      </c>
      <c r="L75" s="494">
        <f>SUMIF('A-2 Site Habitat Creation'!$F$11:$F$256,'G-2 Habitat groups'!A75,'A-2 Site Habitat Creation'!$Y$11:$Y$256)</f>
        <v>0</v>
      </c>
      <c r="M75" s="494">
        <f>SUMIF('A-3 Site Habitat Enhancement'!$S$12:$S$257,'G-2 Habitat groups'!A75,'A-3 Site Habitat Enhancement'!$V$12:$V$257)</f>
        <v>0</v>
      </c>
      <c r="N75" s="494">
        <f>SUMIF('A-3 Site Habitat Enhancement'!$S$12:$S$257,'G-2 Habitat groups'!A75,'A-3 Site Habitat Enhancement'!$AN$12:$AN$257)</f>
        <v>0</v>
      </c>
      <c r="O75" s="494">
        <f t="shared" si="63"/>
        <v>0</v>
      </c>
      <c r="P75" s="494">
        <f t="shared" si="64"/>
        <v>0</v>
      </c>
      <c r="Q75" s="494">
        <f t="shared" si="65"/>
        <v>0</v>
      </c>
      <c r="R75" s="494">
        <f t="shared" si="66"/>
        <v>0</v>
      </c>
      <c r="S75" s="494">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4">
        <f>SUMIF('D-1 Off Site Habitat Baseline'!$G$11:$G$258,'G-2 Habitat groups'!A75,'D-1 Off Site Habitat Baseline'!$Q$11:$Q$258)</f>
        <v>0</v>
      </c>
      <c r="U75" s="591">
        <f>SUMIF('D-1 Off Site Habitat Baseline'!$G$11:$G$258,'G-2 Habitat groups'!A75,'D-1 Off Site Habitat Baseline'!$S$11:$S$258)</f>
        <v>0</v>
      </c>
      <c r="V75" s="494">
        <f>SUMIF('D-1 Off Site Habitat Baseline'!$G$11:$G$258,'G-2 Habitat groups'!A75,'D-1 Off Site Habitat Baseline'!$U$11:$U$258)</f>
        <v>0</v>
      </c>
      <c r="W75" s="494">
        <f>SUMIF('D-2 Off Site Habitat Creation'!$F$9:$F$255,'G-2 Habitat groups'!A75,'D-2 Off Site Habitat Creation'!$G$9:$G$255)</f>
        <v>0</v>
      </c>
      <c r="X75" s="494">
        <f>SUMIF('D-2 Off Site Habitat Creation'!$F$9:$F$255,'G-2 Habitat groups'!A75,'D-2 Off Site Habitat Creation'!$AA$9:$AA$255)</f>
        <v>0</v>
      </c>
      <c r="Y75" s="494">
        <f>SUMIF('D-3 Off Site Habitat Enhancment'!$S$12:$S$491,'G-2 Habitat groups'!A75,'D-3 Off Site Habitat Enhancment'!$V$12:$V$491)</f>
        <v>0</v>
      </c>
      <c r="Z75" s="494">
        <f>SUMIF('D-3 Off Site Habitat Enhancment'!$S$12:$S$491,'G-2 Habitat groups'!A75,'D-3 Off Site Habitat Enhancment'!$AP$12:$AP$491)</f>
        <v>0</v>
      </c>
      <c r="AA75" s="494">
        <f t="shared" si="67"/>
        <v>0</v>
      </c>
      <c r="AB75" s="494">
        <f t="shared" si="68"/>
        <v>0</v>
      </c>
      <c r="AC75" s="494">
        <f t="shared" si="69"/>
        <v>0</v>
      </c>
      <c r="AD75" s="494">
        <f t="shared" si="70"/>
        <v>0</v>
      </c>
      <c r="AE75" s="494">
        <f t="shared" si="71"/>
        <v>0</v>
      </c>
      <c r="AF75" s="494">
        <f t="shared" si="72"/>
        <v>0</v>
      </c>
      <c r="AU75" s="360"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4">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4">
        <f>SUMIF('A-1 Site Habitat Baseline'!$G$11:$G$258,'G-2 Habitat groups'!A76,'A-1 Site Habitat Baseline'!$Q$11:$Q$258)</f>
        <v>0</v>
      </c>
      <c r="G76" s="494">
        <f>SUMIF('A-1 Site Habitat Baseline'!$G$11:$G$258,'G-2 Habitat groups'!A76,'A-1 Site Habitat Baseline'!$S$11:$S$258)</f>
        <v>0</v>
      </c>
      <c r="H76" s="494">
        <f>SUMIF('A-1 Site Habitat Baseline'!$G$11:$G$258,'G-2 Habitat groups'!A76,'A-1 Site Habitat Baseline'!$U$11:$U$258)</f>
        <v>0</v>
      </c>
      <c r="I76" s="494">
        <f>SUMIF('A-1 Site Habitat Baseline'!$G$11:$G$258,'G-2 Habitat groups'!A76,'A-1 Site Habitat Baseline'!$W$11:$W$258)</f>
        <v>0</v>
      </c>
      <c r="J76" s="494">
        <f>SUMIF('A-1 Site Habitat Baseline'!$G$11:$G$258,'G-2 Habitat groups'!A76,'A-1 Site Habitat Baseline'!$X$11:$X$258)</f>
        <v>0</v>
      </c>
      <c r="K76" s="494">
        <f>SUMIF('A-2 Site Habitat Creation'!$F$11:$F$256,'G-2 Habitat groups'!A76,'A-2 Site Habitat Creation'!$G$11:$G$256)</f>
        <v>0</v>
      </c>
      <c r="L76" s="494">
        <f>SUMIF('A-2 Site Habitat Creation'!$F$11:$F$256,'G-2 Habitat groups'!A76,'A-2 Site Habitat Creation'!$Y$11:$Y$256)</f>
        <v>0</v>
      </c>
      <c r="M76" s="494">
        <f>SUMIF('A-3 Site Habitat Enhancement'!$S$12:$S$257,'G-2 Habitat groups'!A76,'A-3 Site Habitat Enhancement'!$V$12:$V$257)</f>
        <v>0</v>
      </c>
      <c r="N76" s="494">
        <f>SUMIF('A-3 Site Habitat Enhancement'!$S$12:$S$257,'G-2 Habitat groups'!A76,'A-3 Site Habitat Enhancement'!$AN$12:$AN$257)</f>
        <v>0</v>
      </c>
      <c r="O76" s="494">
        <f t="shared" si="63"/>
        <v>0</v>
      </c>
      <c r="P76" s="494">
        <f t="shared" si="64"/>
        <v>0</v>
      </c>
      <c r="Q76" s="494">
        <f t="shared" si="65"/>
        <v>0</v>
      </c>
      <c r="R76" s="494">
        <f t="shared" si="66"/>
        <v>0</v>
      </c>
      <c r="S76" s="494">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4">
        <f>SUMIF('D-1 Off Site Habitat Baseline'!$G$11:$G$258,'G-2 Habitat groups'!A76,'D-1 Off Site Habitat Baseline'!$Q$11:$Q$258)</f>
        <v>0</v>
      </c>
      <c r="U76" s="591">
        <f>SUMIF('D-1 Off Site Habitat Baseline'!$G$11:$G$258,'G-2 Habitat groups'!A76,'D-1 Off Site Habitat Baseline'!$S$11:$S$258)</f>
        <v>0</v>
      </c>
      <c r="V76" s="494">
        <f>SUMIF('D-1 Off Site Habitat Baseline'!$G$11:$G$258,'G-2 Habitat groups'!A76,'D-1 Off Site Habitat Baseline'!$U$11:$U$258)</f>
        <v>0</v>
      </c>
      <c r="W76" s="494">
        <f>SUMIF('D-2 Off Site Habitat Creation'!$F$9:$F$255,'G-2 Habitat groups'!A76,'D-2 Off Site Habitat Creation'!$G$9:$G$255)</f>
        <v>0</v>
      </c>
      <c r="X76" s="494">
        <f>SUMIF('D-2 Off Site Habitat Creation'!$F$9:$F$255,'G-2 Habitat groups'!A76,'D-2 Off Site Habitat Creation'!$AA$9:$AA$255)</f>
        <v>0</v>
      </c>
      <c r="Y76" s="494">
        <f>SUMIF('D-3 Off Site Habitat Enhancment'!$S$12:$S$491,'G-2 Habitat groups'!A76,'D-3 Off Site Habitat Enhancment'!$V$12:$V$491)</f>
        <v>0</v>
      </c>
      <c r="Z76" s="494">
        <f>SUMIF('D-3 Off Site Habitat Enhancment'!$S$12:$S$491,'G-2 Habitat groups'!A76,'D-3 Off Site Habitat Enhancment'!$AP$12:$AP$491)</f>
        <v>0</v>
      </c>
      <c r="AA76" s="494">
        <f t="shared" si="67"/>
        <v>0</v>
      </c>
      <c r="AB76" s="494">
        <f t="shared" si="68"/>
        <v>0</v>
      </c>
      <c r="AC76" s="494">
        <f t="shared" si="69"/>
        <v>0</v>
      </c>
      <c r="AD76" s="494">
        <f t="shared" si="70"/>
        <v>0</v>
      </c>
      <c r="AE76" s="494">
        <f t="shared" si="71"/>
        <v>0</v>
      </c>
      <c r="AF76" s="494">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4">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4">
        <f>SUMIF('A-1 Site Habitat Baseline'!$G$11:$G$258,'G-2 Habitat groups'!A77,'A-1 Site Habitat Baseline'!$Q$11:$Q$258)</f>
        <v>0</v>
      </c>
      <c r="G77" s="494">
        <f>SUMIF('A-1 Site Habitat Baseline'!$G$11:$G$258,'G-2 Habitat groups'!A77,'A-1 Site Habitat Baseline'!$S$11:$S$258)</f>
        <v>0</v>
      </c>
      <c r="H77" s="494">
        <f>SUMIF('A-1 Site Habitat Baseline'!$G$11:$G$258,'G-2 Habitat groups'!A77,'A-1 Site Habitat Baseline'!$U$11:$U$258)</f>
        <v>0</v>
      </c>
      <c r="I77" s="494">
        <f>SUMIF('A-1 Site Habitat Baseline'!$G$11:$G$258,'G-2 Habitat groups'!A77,'A-1 Site Habitat Baseline'!$W$11:$W$258)</f>
        <v>0</v>
      </c>
      <c r="J77" s="494">
        <f>SUMIF('A-1 Site Habitat Baseline'!$G$11:$G$258,'G-2 Habitat groups'!A77,'A-1 Site Habitat Baseline'!$X$11:$X$258)</f>
        <v>0</v>
      </c>
      <c r="K77" s="494">
        <f>SUMIF('A-2 Site Habitat Creation'!$F$11:$F$256,'G-2 Habitat groups'!A77,'A-2 Site Habitat Creation'!$G$11:$G$256)</f>
        <v>0</v>
      </c>
      <c r="L77" s="494">
        <f>SUMIF('A-2 Site Habitat Creation'!$F$11:$F$256,'G-2 Habitat groups'!A77,'A-2 Site Habitat Creation'!$Y$11:$Y$256)</f>
        <v>0</v>
      </c>
      <c r="M77" s="494">
        <f>SUMIF('A-3 Site Habitat Enhancement'!$S$12:$S$257,'G-2 Habitat groups'!A77,'A-3 Site Habitat Enhancement'!$V$12:$V$257)</f>
        <v>0</v>
      </c>
      <c r="N77" s="494">
        <f>SUMIF('A-3 Site Habitat Enhancement'!$S$12:$S$257,'G-2 Habitat groups'!A77,'A-3 Site Habitat Enhancement'!$AN$12:$AN$257)</f>
        <v>0</v>
      </c>
      <c r="O77" s="494">
        <f t="shared" si="63"/>
        <v>0</v>
      </c>
      <c r="P77" s="494">
        <f t="shared" si="64"/>
        <v>0</v>
      </c>
      <c r="Q77" s="494">
        <f t="shared" si="65"/>
        <v>0</v>
      </c>
      <c r="R77" s="494">
        <f t="shared" si="66"/>
        <v>0</v>
      </c>
      <c r="S77" s="494">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4">
        <f>SUMIF('D-1 Off Site Habitat Baseline'!$G$11:$G$258,'G-2 Habitat groups'!A77,'D-1 Off Site Habitat Baseline'!$Q$11:$Q$258)</f>
        <v>0</v>
      </c>
      <c r="U77" s="591">
        <f>SUMIF('D-1 Off Site Habitat Baseline'!$G$11:$G$258,'G-2 Habitat groups'!A77,'D-1 Off Site Habitat Baseline'!$S$11:$S$258)</f>
        <v>0</v>
      </c>
      <c r="V77" s="494">
        <f>SUMIF('D-1 Off Site Habitat Baseline'!$G$11:$G$258,'G-2 Habitat groups'!A77,'D-1 Off Site Habitat Baseline'!$U$11:$U$258)</f>
        <v>0</v>
      </c>
      <c r="W77" s="494">
        <f>SUMIF('D-2 Off Site Habitat Creation'!$F$9:$F$255,'G-2 Habitat groups'!A77,'D-2 Off Site Habitat Creation'!$G$9:$G$255)</f>
        <v>0</v>
      </c>
      <c r="X77" s="494">
        <f>SUMIF('D-2 Off Site Habitat Creation'!$F$9:$F$255,'G-2 Habitat groups'!A77,'D-2 Off Site Habitat Creation'!$AA$9:$AA$255)</f>
        <v>0</v>
      </c>
      <c r="Y77" s="494">
        <f>SUMIF('D-3 Off Site Habitat Enhancment'!$S$12:$S$491,'G-2 Habitat groups'!A77,'D-3 Off Site Habitat Enhancment'!$V$12:$V$491)</f>
        <v>0</v>
      </c>
      <c r="Z77" s="494">
        <f>SUMIF('D-3 Off Site Habitat Enhancment'!$S$12:$S$491,'G-2 Habitat groups'!A77,'D-3 Off Site Habitat Enhancment'!$AP$12:$AP$491)</f>
        <v>0</v>
      </c>
      <c r="AA77" s="494">
        <f t="shared" si="67"/>
        <v>0</v>
      </c>
      <c r="AB77" s="494">
        <f t="shared" si="68"/>
        <v>0</v>
      </c>
      <c r="AC77" s="494">
        <f t="shared" si="69"/>
        <v>0</v>
      </c>
      <c r="AD77" s="494">
        <f t="shared" si="70"/>
        <v>0</v>
      </c>
      <c r="AE77" s="494">
        <f t="shared" si="71"/>
        <v>0</v>
      </c>
      <c r="AF77" s="494">
        <f t="shared" si="72"/>
        <v>0</v>
      </c>
      <c r="AU77" s="104" t="s">
        <v>370</v>
      </c>
      <c r="AV77" s="88" t="s">
        <v>69</v>
      </c>
      <c r="AW77" s="494">
        <f t="shared" ref="AW77:AW79" si="73">VLOOKUP($AU77,AllHabsSummaryData,5,FALSE)</f>
        <v>0</v>
      </c>
      <c r="AX77" s="494">
        <f t="shared" ref="AX77:AX80" si="74">VLOOKUP($AU77,AllHabsSummaryData,10,FALSE)</f>
        <v>0</v>
      </c>
      <c r="AY77" s="494">
        <f t="shared" ref="AY77:AY80" si="75">VLOOKUP($AU77,AllHabsSummaryData,15,FALSE)</f>
        <v>0</v>
      </c>
      <c r="AZ77" s="494">
        <f t="shared" ref="AZ77:AZ80" si="76">VLOOKUP($AU77,AllHabsSummaryData,16,FALSE)</f>
        <v>0</v>
      </c>
      <c r="BA77" s="494">
        <f t="shared" ref="BA77:BA80" si="77">VLOOKUP($AU77,AllHabsSummaryData,17,FALSE)</f>
        <v>0</v>
      </c>
      <c r="BB77" s="494">
        <f t="shared" ref="BB77:BB80" si="78">VLOOKUP($AU77,AllHabsSummaryData,18,FALSE)</f>
        <v>0</v>
      </c>
      <c r="BC77" s="494">
        <f t="shared" ref="BC77:BC80" si="79">VLOOKUP($AU77,AllHabsSummaryData,27,FALSE)</f>
        <v>0</v>
      </c>
      <c r="BD77" s="494">
        <f t="shared" ref="BD77:BD80" si="80">VLOOKUP($AU77,AllHabsSummaryData,30,FALSE)</f>
        <v>0</v>
      </c>
      <c r="BE77" s="494">
        <f t="shared" ref="BE77" si="81">BB77+BD77</f>
        <v>0</v>
      </c>
      <c r="BF77" s="494"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4">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4">
        <f>SUMIF('A-1 Site Habitat Baseline'!$G$11:$G$258,'G-2 Habitat groups'!A78,'A-1 Site Habitat Baseline'!$Q$11:$Q$258)</f>
        <v>0</v>
      </c>
      <c r="G78" s="494">
        <f>SUMIF('A-1 Site Habitat Baseline'!$G$11:$G$258,'G-2 Habitat groups'!A78,'A-1 Site Habitat Baseline'!$S$11:$S$258)</f>
        <v>0</v>
      </c>
      <c r="H78" s="494">
        <f>SUMIF('A-1 Site Habitat Baseline'!$G$11:$G$258,'G-2 Habitat groups'!A78,'A-1 Site Habitat Baseline'!$U$11:$U$258)</f>
        <v>0</v>
      </c>
      <c r="I78" s="494">
        <f>SUMIF('A-1 Site Habitat Baseline'!$G$11:$G$258,'G-2 Habitat groups'!A78,'A-1 Site Habitat Baseline'!$W$11:$W$258)</f>
        <v>0</v>
      </c>
      <c r="J78" s="494">
        <f>SUMIF('A-1 Site Habitat Baseline'!$G$11:$G$258,'G-2 Habitat groups'!A78,'A-1 Site Habitat Baseline'!$X$11:$X$258)</f>
        <v>0</v>
      </c>
      <c r="K78" s="494">
        <f>SUMIF('A-2 Site Habitat Creation'!$F$11:$F$256,'G-2 Habitat groups'!A78,'A-2 Site Habitat Creation'!$G$11:$G$256)</f>
        <v>0</v>
      </c>
      <c r="L78" s="494">
        <f>SUMIF('A-2 Site Habitat Creation'!$F$11:$F$256,'G-2 Habitat groups'!A78,'A-2 Site Habitat Creation'!$Y$11:$Y$256)</f>
        <v>0</v>
      </c>
      <c r="M78" s="494">
        <f>SUMIF('A-3 Site Habitat Enhancement'!$S$12:$S$257,'G-2 Habitat groups'!A78,'A-3 Site Habitat Enhancement'!$V$12:$V$257)</f>
        <v>0</v>
      </c>
      <c r="N78" s="494">
        <f>SUMIF('A-3 Site Habitat Enhancement'!$S$12:$S$257,'G-2 Habitat groups'!A78,'A-3 Site Habitat Enhancement'!$AN$12:$AN$257)</f>
        <v>0</v>
      </c>
      <c r="O78" s="494">
        <f t="shared" si="63"/>
        <v>0</v>
      </c>
      <c r="P78" s="494">
        <f t="shared" si="64"/>
        <v>0</v>
      </c>
      <c r="Q78" s="494">
        <f t="shared" si="65"/>
        <v>0</v>
      </c>
      <c r="R78" s="494">
        <f t="shared" si="66"/>
        <v>0</v>
      </c>
      <c r="S78" s="494">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4">
        <f>SUMIF('D-1 Off Site Habitat Baseline'!$G$11:$G$258,'G-2 Habitat groups'!A78,'D-1 Off Site Habitat Baseline'!$Q$11:$Q$258)</f>
        <v>0</v>
      </c>
      <c r="U78" s="591">
        <f>SUMIF('D-1 Off Site Habitat Baseline'!$G$11:$G$258,'G-2 Habitat groups'!A78,'D-1 Off Site Habitat Baseline'!$S$11:$S$258)</f>
        <v>0</v>
      </c>
      <c r="V78" s="494">
        <f>SUMIF('D-1 Off Site Habitat Baseline'!$G$11:$G$258,'G-2 Habitat groups'!A78,'D-1 Off Site Habitat Baseline'!$U$11:$U$258)</f>
        <v>0</v>
      </c>
      <c r="W78" s="494">
        <f>SUMIF('D-2 Off Site Habitat Creation'!$F$9:$F$255,'G-2 Habitat groups'!A78,'D-2 Off Site Habitat Creation'!$G$9:$G$255)</f>
        <v>0</v>
      </c>
      <c r="X78" s="494">
        <f>SUMIF('D-2 Off Site Habitat Creation'!$F$9:$F$255,'G-2 Habitat groups'!A78,'D-2 Off Site Habitat Creation'!$AA$9:$AA$255)</f>
        <v>0</v>
      </c>
      <c r="Y78" s="494">
        <f>SUMIF('D-3 Off Site Habitat Enhancment'!$S$12:$S$491,'G-2 Habitat groups'!A78,'D-3 Off Site Habitat Enhancment'!$V$12:$V$491)</f>
        <v>0</v>
      </c>
      <c r="Z78" s="494">
        <f>SUMIF('D-3 Off Site Habitat Enhancment'!$S$12:$S$491,'G-2 Habitat groups'!A78,'D-3 Off Site Habitat Enhancment'!$AP$12:$AP$491)</f>
        <v>0</v>
      </c>
      <c r="AA78" s="494">
        <f t="shared" si="67"/>
        <v>0</v>
      </c>
      <c r="AB78" s="494">
        <f t="shared" si="68"/>
        <v>0</v>
      </c>
      <c r="AC78" s="494">
        <f t="shared" si="69"/>
        <v>0</v>
      </c>
      <c r="AD78" s="494">
        <f t="shared" si="70"/>
        <v>0</v>
      </c>
      <c r="AE78" s="494">
        <f t="shared" si="71"/>
        <v>0</v>
      </c>
      <c r="AF78" s="494">
        <f t="shared" si="72"/>
        <v>0</v>
      </c>
      <c r="AU78" s="104" t="s">
        <v>379</v>
      </c>
      <c r="AV78" s="88" t="s">
        <v>69</v>
      </c>
      <c r="AW78" s="494">
        <f t="shared" si="73"/>
        <v>0</v>
      </c>
      <c r="AX78" s="494">
        <f t="shared" si="74"/>
        <v>0</v>
      </c>
      <c r="AY78" s="494">
        <f t="shared" si="75"/>
        <v>0</v>
      </c>
      <c r="AZ78" s="494">
        <f t="shared" si="76"/>
        <v>0</v>
      </c>
      <c r="BA78" s="494">
        <f t="shared" si="77"/>
        <v>0</v>
      </c>
      <c r="BB78" s="494">
        <f t="shared" si="78"/>
        <v>0</v>
      </c>
      <c r="BC78" s="494">
        <f t="shared" si="79"/>
        <v>0</v>
      </c>
      <c r="BD78" s="494">
        <f t="shared" si="80"/>
        <v>0</v>
      </c>
      <c r="BE78" s="494">
        <f t="shared" ref="BE78" si="82">BB78+BD78</f>
        <v>0</v>
      </c>
      <c r="BF78" s="494"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4">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4">
        <f>SUMIF('A-1 Site Habitat Baseline'!$G$11:$G$258,'G-2 Habitat groups'!A79,'A-1 Site Habitat Baseline'!$Q$11:$Q$258)</f>
        <v>0</v>
      </c>
      <c r="G79" s="494">
        <f>SUMIF('A-1 Site Habitat Baseline'!$G$11:$G$258,'G-2 Habitat groups'!A79,'A-1 Site Habitat Baseline'!$S$11:$S$258)</f>
        <v>0</v>
      </c>
      <c r="H79" s="494">
        <f>SUMIF('A-1 Site Habitat Baseline'!$G$11:$G$258,'G-2 Habitat groups'!A79,'A-1 Site Habitat Baseline'!$U$11:$U$258)</f>
        <v>0</v>
      </c>
      <c r="I79" s="494">
        <f>SUMIF('A-1 Site Habitat Baseline'!$G$11:$G$258,'G-2 Habitat groups'!A79,'A-1 Site Habitat Baseline'!$W$11:$W$258)</f>
        <v>0</v>
      </c>
      <c r="J79" s="494">
        <f>SUMIF('A-1 Site Habitat Baseline'!$G$11:$G$258,'G-2 Habitat groups'!A79,'A-1 Site Habitat Baseline'!$X$11:$X$258)</f>
        <v>0</v>
      </c>
      <c r="K79" s="494">
        <f>SUMIF('A-2 Site Habitat Creation'!$F$11:$F$256,'G-2 Habitat groups'!A79,'A-2 Site Habitat Creation'!$G$11:$G$256)</f>
        <v>0</v>
      </c>
      <c r="L79" s="494">
        <f>SUMIF('A-2 Site Habitat Creation'!$F$11:$F$256,'G-2 Habitat groups'!A79,'A-2 Site Habitat Creation'!$Y$11:$Y$256)</f>
        <v>0</v>
      </c>
      <c r="M79" s="494">
        <f>SUMIF('A-3 Site Habitat Enhancement'!$S$12:$S$257,'G-2 Habitat groups'!A79,'A-3 Site Habitat Enhancement'!$V$12:$V$257)</f>
        <v>0</v>
      </c>
      <c r="N79" s="494">
        <f>SUMIF('A-3 Site Habitat Enhancement'!$S$12:$S$257,'G-2 Habitat groups'!A79,'A-3 Site Habitat Enhancement'!$AN$12:$AN$257)</f>
        <v>0</v>
      </c>
      <c r="O79" s="494">
        <f t="shared" si="63"/>
        <v>0</v>
      </c>
      <c r="P79" s="494">
        <f t="shared" si="64"/>
        <v>0</v>
      </c>
      <c r="Q79" s="494">
        <f t="shared" si="65"/>
        <v>0</v>
      </c>
      <c r="R79" s="494">
        <f t="shared" si="66"/>
        <v>0</v>
      </c>
      <c r="S79" s="494">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4">
        <f>SUMIF('D-1 Off Site Habitat Baseline'!$G$11:$G$258,'G-2 Habitat groups'!A79,'D-1 Off Site Habitat Baseline'!$Q$11:$Q$258)</f>
        <v>0</v>
      </c>
      <c r="U79" s="591">
        <f>SUMIF('D-1 Off Site Habitat Baseline'!$G$11:$G$258,'G-2 Habitat groups'!A79,'D-1 Off Site Habitat Baseline'!$S$11:$S$258)</f>
        <v>0</v>
      </c>
      <c r="V79" s="494">
        <f>SUMIF('D-1 Off Site Habitat Baseline'!$G$11:$G$258,'G-2 Habitat groups'!A79,'D-1 Off Site Habitat Baseline'!$U$11:$U$258)</f>
        <v>0</v>
      </c>
      <c r="W79" s="494">
        <f>SUMIF('D-2 Off Site Habitat Creation'!$F$9:$F$255,'G-2 Habitat groups'!A79,'D-2 Off Site Habitat Creation'!$G$9:$G$255)</f>
        <v>0</v>
      </c>
      <c r="X79" s="494">
        <f>SUMIF('D-2 Off Site Habitat Creation'!$F$9:$F$255,'G-2 Habitat groups'!A79,'D-2 Off Site Habitat Creation'!$AA$9:$AA$255)</f>
        <v>0</v>
      </c>
      <c r="Y79" s="494">
        <f>SUMIF('D-3 Off Site Habitat Enhancment'!$S$12:$S$491,'G-2 Habitat groups'!A79,'D-3 Off Site Habitat Enhancment'!$V$12:$V$491)</f>
        <v>0</v>
      </c>
      <c r="Z79" s="494">
        <f>SUMIF('D-3 Off Site Habitat Enhancment'!$S$12:$S$491,'G-2 Habitat groups'!A79,'D-3 Off Site Habitat Enhancment'!$AP$12:$AP$491)</f>
        <v>0</v>
      </c>
      <c r="AA79" s="494">
        <f t="shared" si="67"/>
        <v>0</v>
      </c>
      <c r="AB79" s="494">
        <f t="shared" si="68"/>
        <v>0</v>
      </c>
      <c r="AC79" s="494">
        <f t="shared" si="69"/>
        <v>0</v>
      </c>
      <c r="AD79" s="494">
        <f t="shared" si="70"/>
        <v>0</v>
      </c>
      <c r="AE79" s="494">
        <f t="shared" si="71"/>
        <v>0</v>
      </c>
      <c r="AF79" s="494">
        <f t="shared" si="72"/>
        <v>0</v>
      </c>
      <c r="AU79" s="343" t="s">
        <v>385</v>
      </c>
      <c r="AV79" s="88" t="s">
        <v>69</v>
      </c>
      <c r="AW79" s="494">
        <f t="shared" si="73"/>
        <v>0</v>
      </c>
      <c r="AX79" s="494">
        <f t="shared" si="74"/>
        <v>0</v>
      </c>
      <c r="AY79" s="494">
        <f t="shared" si="75"/>
        <v>0</v>
      </c>
      <c r="AZ79" s="494">
        <f t="shared" si="76"/>
        <v>0</v>
      </c>
      <c r="BA79" s="494">
        <f t="shared" si="77"/>
        <v>0</v>
      </c>
      <c r="BB79" s="494">
        <f t="shared" si="78"/>
        <v>0</v>
      </c>
      <c r="BC79" s="494">
        <f t="shared" si="79"/>
        <v>0</v>
      </c>
      <c r="BD79" s="494">
        <f t="shared" si="80"/>
        <v>0</v>
      </c>
      <c r="BE79" s="494">
        <f t="shared" ref="BE79" si="84">BB79+BD79</f>
        <v>0</v>
      </c>
      <c r="BF79" s="494"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4">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4">
        <f>SUMIF('A-1 Site Habitat Baseline'!$G$11:$G$258,'G-2 Habitat groups'!A80,'A-1 Site Habitat Baseline'!$Q$11:$Q$258)</f>
        <v>0</v>
      </c>
      <c r="G80" s="494">
        <f>SUMIF('A-1 Site Habitat Baseline'!$G$11:$G$258,'G-2 Habitat groups'!A80,'A-1 Site Habitat Baseline'!$S$11:$S$258)</f>
        <v>0</v>
      </c>
      <c r="H80" s="494">
        <f>SUMIF('A-1 Site Habitat Baseline'!$G$11:$G$258,'G-2 Habitat groups'!A80,'A-1 Site Habitat Baseline'!$U$11:$U$258)</f>
        <v>0</v>
      </c>
      <c r="I80" s="494">
        <f>SUMIF('A-1 Site Habitat Baseline'!$G$11:$G$258,'G-2 Habitat groups'!A80,'A-1 Site Habitat Baseline'!$W$11:$W$258)</f>
        <v>0</v>
      </c>
      <c r="J80" s="494">
        <f>SUMIF('A-1 Site Habitat Baseline'!$G$11:$G$258,'G-2 Habitat groups'!A80,'A-1 Site Habitat Baseline'!$X$11:$X$258)</f>
        <v>0</v>
      </c>
      <c r="K80" s="494">
        <f>SUMIF('A-2 Site Habitat Creation'!$F$11:$F$256,'G-2 Habitat groups'!A80,'A-2 Site Habitat Creation'!$G$11:$G$256)</f>
        <v>0</v>
      </c>
      <c r="L80" s="494">
        <f>SUMIF('A-2 Site Habitat Creation'!$F$11:$F$256,'G-2 Habitat groups'!A80,'A-2 Site Habitat Creation'!$Y$11:$Y$256)</f>
        <v>0</v>
      </c>
      <c r="M80" s="494">
        <f>SUMIF('A-3 Site Habitat Enhancement'!$S$12:$S$257,'G-2 Habitat groups'!A80,'A-3 Site Habitat Enhancement'!$V$12:$V$257)</f>
        <v>0</v>
      </c>
      <c r="N80" s="494">
        <f>SUMIF('A-3 Site Habitat Enhancement'!$S$12:$S$257,'G-2 Habitat groups'!A80,'A-3 Site Habitat Enhancement'!$AN$12:$AN$257)</f>
        <v>0</v>
      </c>
      <c r="O80" s="494">
        <f t="shared" si="63"/>
        <v>0</v>
      </c>
      <c r="P80" s="494">
        <f t="shared" si="64"/>
        <v>0</v>
      </c>
      <c r="Q80" s="494">
        <f t="shared" si="65"/>
        <v>0</v>
      </c>
      <c r="R80" s="494">
        <f t="shared" si="66"/>
        <v>0</v>
      </c>
      <c r="S80" s="494">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4">
        <f>SUMIF('D-1 Off Site Habitat Baseline'!$G$11:$G$258,'G-2 Habitat groups'!A80,'D-1 Off Site Habitat Baseline'!$Q$11:$Q$258)</f>
        <v>0</v>
      </c>
      <c r="U80" s="591">
        <f>SUMIF('D-1 Off Site Habitat Baseline'!$G$11:$G$258,'G-2 Habitat groups'!A80,'D-1 Off Site Habitat Baseline'!$S$11:$S$258)</f>
        <v>0</v>
      </c>
      <c r="V80" s="494">
        <f>SUMIF('D-1 Off Site Habitat Baseline'!$G$11:$G$258,'G-2 Habitat groups'!A80,'D-1 Off Site Habitat Baseline'!$U$11:$U$258)</f>
        <v>0</v>
      </c>
      <c r="W80" s="494">
        <f>SUMIF('D-2 Off Site Habitat Creation'!$F$9:$F$255,'G-2 Habitat groups'!A80,'D-2 Off Site Habitat Creation'!$G$9:$G$255)</f>
        <v>0</v>
      </c>
      <c r="X80" s="494">
        <f>SUMIF('D-2 Off Site Habitat Creation'!$F$9:$F$255,'G-2 Habitat groups'!A80,'D-2 Off Site Habitat Creation'!$AA$9:$AA$255)</f>
        <v>0</v>
      </c>
      <c r="Y80" s="494">
        <f>SUMIF('D-3 Off Site Habitat Enhancment'!$S$12:$S$491,'G-2 Habitat groups'!A80,'D-3 Off Site Habitat Enhancment'!$V$12:$V$491)</f>
        <v>0</v>
      </c>
      <c r="Z80" s="494">
        <f>SUMIF('D-3 Off Site Habitat Enhancment'!$S$12:$S$491,'G-2 Habitat groups'!A80,'D-3 Off Site Habitat Enhancment'!$AP$12:$AP$491)</f>
        <v>0</v>
      </c>
      <c r="AA80" s="494">
        <f t="shared" si="67"/>
        <v>0</v>
      </c>
      <c r="AB80" s="494">
        <f t="shared" si="68"/>
        <v>0</v>
      </c>
      <c r="AC80" s="494">
        <f t="shared" si="69"/>
        <v>0</v>
      </c>
      <c r="AD80" s="494">
        <f t="shared" si="70"/>
        <v>0</v>
      </c>
      <c r="AE80" s="494">
        <f t="shared" si="71"/>
        <v>0</v>
      </c>
      <c r="AF80" s="494">
        <f t="shared" si="72"/>
        <v>0</v>
      </c>
      <c r="AU80" s="104" t="s">
        <v>389</v>
      </c>
      <c r="AV80" s="88" t="s">
        <v>69</v>
      </c>
      <c r="AW80" s="494">
        <f t="shared" ref="AW80" si="86">VLOOKUP($AU80,AllHabsSummaryData,5,FALSE)</f>
        <v>0</v>
      </c>
      <c r="AX80" s="494">
        <f t="shared" si="74"/>
        <v>0</v>
      </c>
      <c r="AY80" s="494">
        <f t="shared" si="75"/>
        <v>0</v>
      </c>
      <c r="AZ80" s="494">
        <f t="shared" si="76"/>
        <v>0</v>
      </c>
      <c r="BA80" s="494">
        <f t="shared" si="77"/>
        <v>0</v>
      </c>
      <c r="BB80" s="494">
        <f t="shared" si="78"/>
        <v>0</v>
      </c>
      <c r="BC80" s="494">
        <f t="shared" si="79"/>
        <v>0</v>
      </c>
      <c r="BD80" s="494">
        <f t="shared" si="80"/>
        <v>0</v>
      </c>
      <c r="BE80" s="494">
        <f t="shared" ref="BE80" si="87">BB80+BD80</f>
        <v>0</v>
      </c>
      <c r="BF80" s="494"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4">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4">
        <f>SUMIF('A-1 Site Habitat Baseline'!$G$11:$G$258,'G-2 Habitat groups'!A81,'A-1 Site Habitat Baseline'!$Q$11:$Q$258)</f>
        <v>0</v>
      </c>
      <c r="G81" s="494">
        <f>SUMIF('A-1 Site Habitat Baseline'!$G$11:$G$258,'G-2 Habitat groups'!A81,'A-1 Site Habitat Baseline'!$S$11:$S$258)</f>
        <v>0</v>
      </c>
      <c r="H81" s="494">
        <f>SUMIF('A-1 Site Habitat Baseline'!$G$11:$G$258,'G-2 Habitat groups'!A81,'A-1 Site Habitat Baseline'!$U$11:$U$258)</f>
        <v>0</v>
      </c>
      <c r="I81" s="494">
        <f>SUMIF('A-1 Site Habitat Baseline'!$G$11:$G$258,'G-2 Habitat groups'!A81,'A-1 Site Habitat Baseline'!$W$11:$W$258)</f>
        <v>0</v>
      </c>
      <c r="J81" s="494">
        <f>SUMIF('A-1 Site Habitat Baseline'!$G$11:$G$258,'G-2 Habitat groups'!A81,'A-1 Site Habitat Baseline'!$X$11:$X$258)</f>
        <v>0</v>
      </c>
      <c r="K81" s="494">
        <f>SUMIF('A-2 Site Habitat Creation'!$F$11:$F$256,'G-2 Habitat groups'!A81,'A-2 Site Habitat Creation'!$G$11:$G$256)</f>
        <v>0</v>
      </c>
      <c r="L81" s="494">
        <f>SUMIF('A-2 Site Habitat Creation'!$F$11:$F$256,'G-2 Habitat groups'!A81,'A-2 Site Habitat Creation'!$Y$11:$Y$256)</f>
        <v>0</v>
      </c>
      <c r="M81" s="494">
        <f>SUMIF('A-3 Site Habitat Enhancement'!$S$12:$S$257,'G-2 Habitat groups'!A81,'A-3 Site Habitat Enhancement'!$V$12:$V$257)</f>
        <v>0</v>
      </c>
      <c r="N81" s="494">
        <f>SUMIF('A-3 Site Habitat Enhancement'!$S$12:$S$257,'G-2 Habitat groups'!A81,'A-3 Site Habitat Enhancement'!$AN$12:$AN$257)</f>
        <v>0</v>
      </c>
      <c r="O81" s="494">
        <f t="shared" si="63"/>
        <v>0</v>
      </c>
      <c r="P81" s="494">
        <f t="shared" si="64"/>
        <v>0</v>
      </c>
      <c r="Q81" s="494">
        <f t="shared" si="65"/>
        <v>0</v>
      </c>
      <c r="R81" s="494">
        <f t="shared" si="66"/>
        <v>0</v>
      </c>
      <c r="S81" s="494">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4">
        <f>SUMIF('D-1 Off Site Habitat Baseline'!$G$11:$G$258,'G-2 Habitat groups'!A81,'D-1 Off Site Habitat Baseline'!$Q$11:$Q$258)</f>
        <v>0</v>
      </c>
      <c r="U81" s="591">
        <f>SUMIF('D-1 Off Site Habitat Baseline'!$G$11:$G$258,'G-2 Habitat groups'!A81,'D-1 Off Site Habitat Baseline'!$S$11:$S$258)</f>
        <v>0</v>
      </c>
      <c r="V81" s="494">
        <f>SUMIF('D-1 Off Site Habitat Baseline'!$G$11:$G$258,'G-2 Habitat groups'!A81,'D-1 Off Site Habitat Baseline'!$U$11:$U$258)</f>
        <v>0</v>
      </c>
      <c r="W81" s="494">
        <f>SUMIF('D-2 Off Site Habitat Creation'!$F$9:$F$255,'G-2 Habitat groups'!A81,'D-2 Off Site Habitat Creation'!$G$9:$G$255)</f>
        <v>0</v>
      </c>
      <c r="X81" s="494">
        <f>SUMIF('D-2 Off Site Habitat Creation'!$F$9:$F$255,'G-2 Habitat groups'!A81,'D-2 Off Site Habitat Creation'!$AA$9:$AA$255)</f>
        <v>0</v>
      </c>
      <c r="Y81" s="494">
        <f>SUMIF('D-3 Off Site Habitat Enhancment'!$S$12:$S$491,'G-2 Habitat groups'!A81,'D-3 Off Site Habitat Enhancment'!$V$12:$V$491)</f>
        <v>0</v>
      </c>
      <c r="Z81" s="494">
        <f>SUMIF('D-3 Off Site Habitat Enhancment'!$S$12:$S$491,'G-2 Habitat groups'!A81,'D-3 Off Site Habitat Enhancment'!$AP$12:$AP$491)</f>
        <v>0</v>
      </c>
      <c r="AA81" s="494">
        <f t="shared" si="67"/>
        <v>0</v>
      </c>
      <c r="AB81" s="494">
        <f t="shared" si="68"/>
        <v>0</v>
      </c>
      <c r="AC81" s="494">
        <f t="shared" si="69"/>
        <v>0</v>
      </c>
      <c r="AD81" s="494">
        <f t="shared" si="70"/>
        <v>0</v>
      </c>
      <c r="AE81" s="494">
        <f t="shared" si="71"/>
        <v>0</v>
      </c>
      <c r="AF81" s="494">
        <f t="shared" si="72"/>
        <v>0</v>
      </c>
      <c r="AU81" s="104" t="s">
        <v>453</v>
      </c>
      <c r="AV81" s="88" t="s">
        <v>70</v>
      </c>
      <c r="AW81" s="494">
        <f t="shared" ref="AW81:AW100" si="89">VLOOKUP($AU81,AllHabsSummaryData,5,FALSE)</f>
        <v>0</v>
      </c>
      <c r="AX81" s="494">
        <f t="shared" ref="AX81:AX100" si="90">VLOOKUP($AU81,AllHabsSummaryData,10,FALSE)</f>
        <v>0</v>
      </c>
      <c r="AY81" s="494">
        <f t="shared" ref="AY81:AY100" si="91">VLOOKUP($AU81,AllHabsSummaryData,15,FALSE)</f>
        <v>0</v>
      </c>
      <c r="AZ81" s="494">
        <f t="shared" ref="AZ81:AZ100" si="92">VLOOKUP($AU81,AllHabsSummaryData,16,FALSE)</f>
        <v>0</v>
      </c>
      <c r="BA81" s="494">
        <f t="shared" ref="BA81:BA100" si="93">VLOOKUP($AU81,AllHabsSummaryData,17,FALSE)</f>
        <v>0</v>
      </c>
      <c r="BB81" s="494">
        <f t="shared" ref="BB81:BB100" si="94">VLOOKUP($AU81,AllHabsSummaryData,18,FALSE)</f>
        <v>0</v>
      </c>
      <c r="BC81" s="494">
        <f t="shared" ref="BC81:BC100" si="95">VLOOKUP($AU81,AllHabsSummaryData,27,FALSE)</f>
        <v>0</v>
      </c>
      <c r="BD81" s="494">
        <f t="shared" ref="BD81:BD100" si="96">VLOOKUP($AU81,AllHabsSummaryData,30,FALSE)</f>
        <v>0</v>
      </c>
      <c r="BE81" s="494">
        <f t="shared" ref="BE81:BE89" si="97">BB81+BD81</f>
        <v>0</v>
      </c>
      <c r="BF81" s="494"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4">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4">
        <f>SUMIF('A-1 Site Habitat Baseline'!$G$11:$G$258,'G-2 Habitat groups'!A82,'A-1 Site Habitat Baseline'!$Q$11:$Q$258)</f>
        <v>0</v>
      </c>
      <c r="G82" s="494">
        <f>SUMIF('A-1 Site Habitat Baseline'!$G$11:$G$258,'G-2 Habitat groups'!A82,'A-1 Site Habitat Baseline'!$S$11:$S$258)</f>
        <v>0</v>
      </c>
      <c r="H82" s="494">
        <f>SUMIF('A-1 Site Habitat Baseline'!$G$11:$G$258,'G-2 Habitat groups'!A82,'A-1 Site Habitat Baseline'!$U$11:$U$258)</f>
        <v>0</v>
      </c>
      <c r="I82" s="494">
        <f>SUMIF('A-1 Site Habitat Baseline'!$G$11:$G$258,'G-2 Habitat groups'!A82,'A-1 Site Habitat Baseline'!$W$11:$W$258)</f>
        <v>0</v>
      </c>
      <c r="J82" s="494">
        <f>SUMIF('A-1 Site Habitat Baseline'!$G$11:$G$258,'G-2 Habitat groups'!A82,'A-1 Site Habitat Baseline'!$X$11:$X$258)</f>
        <v>0</v>
      </c>
      <c r="K82" s="494">
        <f>SUMIF('A-2 Site Habitat Creation'!$F$11:$F$256,'G-2 Habitat groups'!A82,'A-2 Site Habitat Creation'!$G$11:$G$256)</f>
        <v>0</v>
      </c>
      <c r="L82" s="494">
        <f>SUMIF('A-2 Site Habitat Creation'!$F$11:$F$256,'G-2 Habitat groups'!A82,'A-2 Site Habitat Creation'!$Y$11:$Y$256)</f>
        <v>0</v>
      </c>
      <c r="M82" s="494">
        <f>SUMIF('A-3 Site Habitat Enhancement'!$S$12:$S$257,'G-2 Habitat groups'!A82,'A-3 Site Habitat Enhancement'!$V$12:$V$257)</f>
        <v>0</v>
      </c>
      <c r="N82" s="494">
        <f>SUMIF('A-3 Site Habitat Enhancement'!$S$12:$S$257,'G-2 Habitat groups'!A82,'A-3 Site Habitat Enhancement'!$AN$12:$AN$257)</f>
        <v>0</v>
      </c>
      <c r="O82" s="494">
        <f t="shared" si="63"/>
        <v>0</v>
      </c>
      <c r="P82" s="494">
        <f t="shared" si="64"/>
        <v>0</v>
      </c>
      <c r="Q82" s="494">
        <f t="shared" si="65"/>
        <v>0</v>
      </c>
      <c r="R82" s="494">
        <f t="shared" si="66"/>
        <v>0</v>
      </c>
      <c r="S82" s="494">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4">
        <f>SUMIF('D-1 Off Site Habitat Baseline'!$G$11:$G$258,'G-2 Habitat groups'!A82,'D-1 Off Site Habitat Baseline'!$Q$11:$Q$258)</f>
        <v>0</v>
      </c>
      <c r="U82" s="591">
        <f>SUMIF('D-1 Off Site Habitat Baseline'!$G$11:$G$258,'G-2 Habitat groups'!A82,'D-1 Off Site Habitat Baseline'!$S$11:$S$258)</f>
        <v>0</v>
      </c>
      <c r="V82" s="494">
        <f>SUMIF('D-1 Off Site Habitat Baseline'!$G$11:$G$258,'G-2 Habitat groups'!A82,'D-1 Off Site Habitat Baseline'!$U$11:$U$258)</f>
        <v>0</v>
      </c>
      <c r="W82" s="494">
        <f>SUMIF('D-2 Off Site Habitat Creation'!$F$9:$F$255,'G-2 Habitat groups'!A82,'D-2 Off Site Habitat Creation'!$G$9:$G$255)</f>
        <v>0</v>
      </c>
      <c r="X82" s="494">
        <f>SUMIF('D-2 Off Site Habitat Creation'!$F$9:$F$255,'G-2 Habitat groups'!A82,'D-2 Off Site Habitat Creation'!$AA$9:$AA$255)</f>
        <v>0</v>
      </c>
      <c r="Y82" s="494">
        <f>SUMIF('D-3 Off Site Habitat Enhancment'!$S$12:$S$491,'G-2 Habitat groups'!A82,'D-3 Off Site Habitat Enhancment'!$V$12:$V$491)</f>
        <v>0</v>
      </c>
      <c r="Z82" s="494">
        <f>SUMIF('D-3 Off Site Habitat Enhancment'!$S$12:$S$491,'G-2 Habitat groups'!A82,'D-3 Off Site Habitat Enhancment'!$AP$12:$AP$491)</f>
        <v>0</v>
      </c>
      <c r="AA82" s="494">
        <f t="shared" si="67"/>
        <v>0</v>
      </c>
      <c r="AB82" s="494">
        <f t="shared" si="68"/>
        <v>0</v>
      </c>
      <c r="AC82" s="494">
        <f t="shared" si="69"/>
        <v>0</v>
      </c>
      <c r="AD82" s="494">
        <f t="shared" si="70"/>
        <v>0</v>
      </c>
      <c r="AE82" s="494">
        <f t="shared" si="71"/>
        <v>0</v>
      </c>
      <c r="AF82" s="494">
        <f t="shared" si="72"/>
        <v>0</v>
      </c>
      <c r="AU82" s="104" t="s">
        <v>456</v>
      </c>
      <c r="AV82" s="88" t="s">
        <v>70</v>
      </c>
      <c r="AW82" s="494">
        <f t="shared" si="89"/>
        <v>0</v>
      </c>
      <c r="AX82" s="494">
        <f t="shared" si="90"/>
        <v>0</v>
      </c>
      <c r="AY82" s="494">
        <f t="shared" si="91"/>
        <v>9.7100000000000006E-2</v>
      </c>
      <c r="AZ82" s="494">
        <f t="shared" si="92"/>
        <v>0.747555814819992</v>
      </c>
      <c r="BA82" s="494">
        <f t="shared" si="93"/>
        <v>9.7100000000000006E-2</v>
      </c>
      <c r="BB82" s="494">
        <f t="shared" si="94"/>
        <v>0.747555814819992</v>
      </c>
      <c r="BC82" s="494">
        <f t="shared" si="95"/>
        <v>0</v>
      </c>
      <c r="BD82" s="494">
        <f t="shared" si="96"/>
        <v>0</v>
      </c>
      <c r="BE82" s="494">
        <f t="shared" si="97"/>
        <v>0.747555814819992</v>
      </c>
      <c r="BF82" s="494"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4">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4">
        <f>SUMIF('A-1 Site Habitat Baseline'!$G$11:$G$258,'G-2 Habitat groups'!A83,'A-1 Site Habitat Baseline'!$Q$11:$Q$258)</f>
        <v>0</v>
      </c>
      <c r="G83" s="494">
        <f>SUMIF('A-1 Site Habitat Baseline'!$G$11:$G$258,'G-2 Habitat groups'!A83,'A-1 Site Habitat Baseline'!$S$11:$S$258)</f>
        <v>0</v>
      </c>
      <c r="H83" s="494">
        <f>SUMIF('A-1 Site Habitat Baseline'!$G$11:$G$258,'G-2 Habitat groups'!A83,'A-1 Site Habitat Baseline'!$U$11:$U$258)</f>
        <v>0</v>
      </c>
      <c r="I83" s="494">
        <f>SUMIF('A-1 Site Habitat Baseline'!$G$11:$G$258,'G-2 Habitat groups'!A83,'A-1 Site Habitat Baseline'!$W$11:$W$258)</f>
        <v>0</v>
      </c>
      <c r="J83" s="494">
        <f>SUMIF('A-1 Site Habitat Baseline'!$G$11:$G$258,'G-2 Habitat groups'!A83,'A-1 Site Habitat Baseline'!$X$11:$X$258)</f>
        <v>0</v>
      </c>
      <c r="K83" s="494">
        <f>SUMIF('A-2 Site Habitat Creation'!$F$11:$F$256,'G-2 Habitat groups'!A83,'A-2 Site Habitat Creation'!$G$11:$G$256)</f>
        <v>0</v>
      </c>
      <c r="L83" s="494">
        <f>SUMIF('A-2 Site Habitat Creation'!$F$11:$F$256,'G-2 Habitat groups'!A83,'A-2 Site Habitat Creation'!$Y$11:$Y$256)</f>
        <v>0</v>
      </c>
      <c r="M83" s="494">
        <f>SUMIF('A-3 Site Habitat Enhancement'!$S$12:$S$257,'G-2 Habitat groups'!A83,'A-3 Site Habitat Enhancement'!$V$12:$V$257)</f>
        <v>0</v>
      </c>
      <c r="N83" s="494">
        <f>SUMIF('A-3 Site Habitat Enhancement'!$S$12:$S$257,'G-2 Habitat groups'!A83,'A-3 Site Habitat Enhancement'!$AN$12:$AN$257)</f>
        <v>0</v>
      </c>
      <c r="O83" s="494">
        <f t="shared" si="63"/>
        <v>0</v>
      </c>
      <c r="P83" s="494">
        <f t="shared" si="64"/>
        <v>0</v>
      </c>
      <c r="Q83" s="494">
        <f t="shared" si="65"/>
        <v>0</v>
      </c>
      <c r="R83" s="494">
        <f t="shared" si="66"/>
        <v>0</v>
      </c>
      <c r="S83" s="494">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4">
        <f>SUMIF('D-1 Off Site Habitat Baseline'!$G$11:$G$258,'G-2 Habitat groups'!A83,'D-1 Off Site Habitat Baseline'!$Q$11:$Q$258)</f>
        <v>0</v>
      </c>
      <c r="U83" s="591">
        <f>SUMIF('D-1 Off Site Habitat Baseline'!$G$11:$G$258,'G-2 Habitat groups'!A83,'D-1 Off Site Habitat Baseline'!$S$11:$S$258)</f>
        <v>0</v>
      </c>
      <c r="V83" s="494">
        <f>SUMIF('D-1 Off Site Habitat Baseline'!$G$11:$G$258,'G-2 Habitat groups'!A83,'D-1 Off Site Habitat Baseline'!$U$11:$U$258)</f>
        <v>0</v>
      </c>
      <c r="W83" s="494">
        <f>SUMIF('D-2 Off Site Habitat Creation'!$F$9:$F$255,'G-2 Habitat groups'!A83,'D-2 Off Site Habitat Creation'!$G$9:$G$255)</f>
        <v>0</v>
      </c>
      <c r="X83" s="494">
        <f>SUMIF('D-2 Off Site Habitat Creation'!$F$9:$F$255,'G-2 Habitat groups'!A83,'D-2 Off Site Habitat Creation'!$AA$9:$AA$255)</f>
        <v>0</v>
      </c>
      <c r="Y83" s="494">
        <f>SUMIF('D-3 Off Site Habitat Enhancment'!$S$12:$S$491,'G-2 Habitat groups'!A83,'D-3 Off Site Habitat Enhancment'!$V$12:$V$491)</f>
        <v>0</v>
      </c>
      <c r="Z83" s="494">
        <f>SUMIF('D-3 Off Site Habitat Enhancment'!$S$12:$S$491,'G-2 Habitat groups'!A83,'D-3 Off Site Habitat Enhancment'!$AP$12:$AP$491)</f>
        <v>0</v>
      </c>
      <c r="AA83" s="494">
        <f t="shared" si="67"/>
        <v>0</v>
      </c>
      <c r="AB83" s="494">
        <f t="shared" si="68"/>
        <v>0</v>
      </c>
      <c r="AC83" s="494">
        <f t="shared" si="69"/>
        <v>0</v>
      </c>
      <c r="AD83" s="494">
        <f t="shared" si="70"/>
        <v>0</v>
      </c>
      <c r="AE83" s="494">
        <f t="shared" si="71"/>
        <v>0</v>
      </c>
      <c r="AF83" s="494">
        <f t="shared" si="72"/>
        <v>0</v>
      </c>
      <c r="AU83" s="104" t="s">
        <v>464</v>
      </c>
      <c r="AV83" s="88" t="s">
        <v>70</v>
      </c>
      <c r="AW83" s="494">
        <f t="shared" si="89"/>
        <v>0</v>
      </c>
      <c r="AX83" s="494">
        <f t="shared" si="90"/>
        <v>0</v>
      </c>
      <c r="AY83" s="494">
        <f t="shared" si="91"/>
        <v>0</v>
      </c>
      <c r="AZ83" s="494">
        <f t="shared" si="92"/>
        <v>0</v>
      </c>
      <c r="BA83" s="494">
        <f t="shared" si="93"/>
        <v>0</v>
      </c>
      <c r="BB83" s="494">
        <f t="shared" si="94"/>
        <v>0</v>
      </c>
      <c r="BC83" s="494">
        <f t="shared" si="95"/>
        <v>0</v>
      </c>
      <c r="BD83" s="494">
        <f t="shared" si="96"/>
        <v>0</v>
      </c>
      <c r="BE83" s="494">
        <f t="shared" si="97"/>
        <v>0</v>
      </c>
      <c r="BF83" s="494"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4">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4">
        <f>SUMIF('A-1 Site Habitat Baseline'!$G$11:$G$258,'G-2 Habitat groups'!A84,'A-1 Site Habitat Baseline'!$Q$11:$Q$258)</f>
        <v>0</v>
      </c>
      <c r="G84" s="494">
        <f>SUMIF('A-1 Site Habitat Baseline'!$G$11:$G$258,'G-2 Habitat groups'!A84,'A-1 Site Habitat Baseline'!$S$11:$S$258)</f>
        <v>0</v>
      </c>
      <c r="H84" s="494">
        <f>SUMIF('A-1 Site Habitat Baseline'!$G$11:$G$258,'G-2 Habitat groups'!A84,'A-1 Site Habitat Baseline'!$U$11:$U$258)</f>
        <v>0</v>
      </c>
      <c r="I84" s="494">
        <f>SUMIF('A-1 Site Habitat Baseline'!$G$11:$G$258,'G-2 Habitat groups'!A84,'A-1 Site Habitat Baseline'!$W$11:$W$258)</f>
        <v>0</v>
      </c>
      <c r="J84" s="494">
        <f>SUMIF('A-1 Site Habitat Baseline'!$G$11:$G$258,'G-2 Habitat groups'!A84,'A-1 Site Habitat Baseline'!$X$11:$X$258)</f>
        <v>0</v>
      </c>
      <c r="K84" s="494">
        <f>SUMIF('A-2 Site Habitat Creation'!$F$11:$F$256,'G-2 Habitat groups'!A84,'A-2 Site Habitat Creation'!$G$11:$G$256)</f>
        <v>0</v>
      </c>
      <c r="L84" s="494">
        <f>SUMIF('A-2 Site Habitat Creation'!$F$11:$F$256,'G-2 Habitat groups'!A84,'A-2 Site Habitat Creation'!$Y$11:$Y$256)</f>
        <v>0</v>
      </c>
      <c r="M84" s="494">
        <f>SUMIF('A-3 Site Habitat Enhancement'!$S$12:$S$257,'G-2 Habitat groups'!A84,'A-3 Site Habitat Enhancement'!$V$12:$V$257)</f>
        <v>0</v>
      </c>
      <c r="N84" s="494">
        <f>SUMIF('A-3 Site Habitat Enhancement'!$S$12:$S$257,'G-2 Habitat groups'!A84,'A-3 Site Habitat Enhancement'!$AN$12:$AN$257)</f>
        <v>0</v>
      </c>
      <c r="O84" s="494">
        <f t="shared" si="63"/>
        <v>0</v>
      </c>
      <c r="P84" s="494">
        <f t="shared" si="64"/>
        <v>0</v>
      </c>
      <c r="Q84" s="494">
        <f t="shared" si="65"/>
        <v>0</v>
      </c>
      <c r="R84" s="494">
        <f t="shared" si="66"/>
        <v>0</v>
      </c>
      <c r="S84" s="494">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4">
        <f>SUMIF('D-1 Off Site Habitat Baseline'!$G$11:$G$258,'G-2 Habitat groups'!A84,'D-1 Off Site Habitat Baseline'!$Q$11:$Q$258)</f>
        <v>0</v>
      </c>
      <c r="U84" s="591">
        <f>SUMIF('D-1 Off Site Habitat Baseline'!$G$11:$G$258,'G-2 Habitat groups'!A84,'D-1 Off Site Habitat Baseline'!$S$11:$S$258)</f>
        <v>0</v>
      </c>
      <c r="V84" s="494">
        <f>SUMIF('D-1 Off Site Habitat Baseline'!$G$11:$G$258,'G-2 Habitat groups'!A84,'D-1 Off Site Habitat Baseline'!$U$11:$U$258)</f>
        <v>0</v>
      </c>
      <c r="W84" s="494">
        <f>SUMIF('D-2 Off Site Habitat Creation'!$F$9:$F$255,'G-2 Habitat groups'!A84,'D-2 Off Site Habitat Creation'!$G$9:$G$255)</f>
        <v>0</v>
      </c>
      <c r="X84" s="494">
        <f>SUMIF('D-2 Off Site Habitat Creation'!$F$9:$F$255,'G-2 Habitat groups'!A84,'D-2 Off Site Habitat Creation'!$AA$9:$AA$255)</f>
        <v>0</v>
      </c>
      <c r="Y84" s="494">
        <f>SUMIF('D-3 Off Site Habitat Enhancment'!$S$12:$S$491,'G-2 Habitat groups'!A84,'D-3 Off Site Habitat Enhancment'!$V$12:$V$491)</f>
        <v>0</v>
      </c>
      <c r="Z84" s="494">
        <f>SUMIF('D-3 Off Site Habitat Enhancment'!$S$12:$S$491,'G-2 Habitat groups'!A84,'D-3 Off Site Habitat Enhancment'!$AP$12:$AP$491)</f>
        <v>0</v>
      </c>
      <c r="AA84" s="494">
        <f t="shared" si="67"/>
        <v>0</v>
      </c>
      <c r="AB84" s="494">
        <f t="shared" si="68"/>
        <v>0</v>
      </c>
      <c r="AC84" s="494">
        <f t="shared" si="69"/>
        <v>0</v>
      </c>
      <c r="AD84" s="494">
        <f t="shared" si="70"/>
        <v>0</v>
      </c>
      <c r="AE84" s="494">
        <f t="shared" si="71"/>
        <v>0</v>
      </c>
      <c r="AF84" s="494">
        <f t="shared" si="72"/>
        <v>0</v>
      </c>
      <c r="AU84" s="104" t="s">
        <v>473</v>
      </c>
      <c r="AV84" s="88" t="s">
        <v>71</v>
      </c>
      <c r="AW84" s="494">
        <f t="shared" si="89"/>
        <v>0</v>
      </c>
      <c r="AX84" s="494">
        <f t="shared" si="90"/>
        <v>0</v>
      </c>
      <c r="AY84" s="494">
        <f t="shared" si="91"/>
        <v>0</v>
      </c>
      <c r="AZ84" s="494">
        <f t="shared" si="92"/>
        <v>0</v>
      </c>
      <c r="BA84" s="494">
        <f t="shared" si="93"/>
        <v>0</v>
      </c>
      <c r="BB84" s="494">
        <f t="shared" si="94"/>
        <v>0</v>
      </c>
      <c r="BC84" s="494">
        <f t="shared" si="95"/>
        <v>0</v>
      </c>
      <c r="BD84" s="494">
        <f t="shared" si="96"/>
        <v>0</v>
      </c>
      <c r="BE84" s="494">
        <f t="shared" si="97"/>
        <v>0</v>
      </c>
      <c r="BF84" s="494"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4">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4">
        <f>SUMIF('A-1 Site Habitat Baseline'!$G$11:$G$258,'G-2 Habitat groups'!A85,'A-1 Site Habitat Baseline'!$Q$11:$Q$258)</f>
        <v>0</v>
      </c>
      <c r="G85" s="494">
        <f>SUMIF('A-1 Site Habitat Baseline'!$G$11:$G$258,'G-2 Habitat groups'!A85,'A-1 Site Habitat Baseline'!$S$11:$S$258)</f>
        <v>0</v>
      </c>
      <c r="H85" s="494">
        <f>SUMIF('A-1 Site Habitat Baseline'!$G$11:$G$258,'G-2 Habitat groups'!A85,'A-1 Site Habitat Baseline'!$U$11:$U$258)</f>
        <v>0</v>
      </c>
      <c r="I85" s="494">
        <f>SUMIF('A-1 Site Habitat Baseline'!$G$11:$G$258,'G-2 Habitat groups'!A85,'A-1 Site Habitat Baseline'!$W$11:$W$258)</f>
        <v>0</v>
      </c>
      <c r="J85" s="494">
        <f>SUMIF('A-1 Site Habitat Baseline'!$G$11:$G$258,'G-2 Habitat groups'!A85,'A-1 Site Habitat Baseline'!$X$11:$X$258)</f>
        <v>0</v>
      </c>
      <c r="K85" s="494">
        <f>SUMIF('A-2 Site Habitat Creation'!$F$11:$F$256,'G-2 Habitat groups'!A85,'A-2 Site Habitat Creation'!$G$11:$G$256)</f>
        <v>0</v>
      </c>
      <c r="L85" s="494">
        <f>SUMIF('A-2 Site Habitat Creation'!$F$11:$F$256,'G-2 Habitat groups'!A85,'A-2 Site Habitat Creation'!$Y$11:$Y$256)</f>
        <v>0</v>
      </c>
      <c r="M85" s="494">
        <f>SUMIF('A-3 Site Habitat Enhancement'!$S$12:$S$257,'G-2 Habitat groups'!A85,'A-3 Site Habitat Enhancement'!$V$12:$V$257)</f>
        <v>0</v>
      </c>
      <c r="N85" s="494">
        <f>SUMIF('A-3 Site Habitat Enhancement'!$S$12:$S$257,'G-2 Habitat groups'!A85,'A-3 Site Habitat Enhancement'!$AN$12:$AN$257)</f>
        <v>0</v>
      </c>
      <c r="O85" s="494">
        <f t="shared" si="63"/>
        <v>0</v>
      </c>
      <c r="P85" s="494">
        <f t="shared" si="64"/>
        <v>0</v>
      </c>
      <c r="Q85" s="494">
        <f t="shared" si="65"/>
        <v>0</v>
      </c>
      <c r="R85" s="494">
        <f t="shared" si="66"/>
        <v>0</v>
      </c>
      <c r="S85" s="494">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4">
        <f>SUMIF('D-1 Off Site Habitat Baseline'!$G$11:$G$258,'G-2 Habitat groups'!A85,'D-1 Off Site Habitat Baseline'!$Q$11:$Q$258)</f>
        <v>0</v>
      </c>
      <c r="U85" s="591">
        <f>SUMIF('D-1 Off Site Habitat Baseline'!$G$11:$G$258,'G-2 Habitat groups'!A85,'D-1 Off Site Habitat Baseline'!$S$11:$S$258)</f>
        <v>0</v>
      </c>
      <c r="V85" s="494">
        <f>SUMIF('D-1 Off Site Habitat Baseline'!$G$11:$G$258,'G-2 Habitat groups'!A85,'D-1 Off Site Habitat Baseline'!$U$11:$U$258)</f>
        <v>0</v>
      </c>
      <c r="W85" s="494">
        <f>SUMIF('D-2 Off Site Habitat Creation'!$F$9:$F$255,'G-2 Habitat groups'!A85,'D-2 Off Site Habitat Creation'!$G$9:$G$255)</f>
        <v>0</v>
      </c>
      <c r="X85" s="494">
        <f>SUMIF('D-2 Off Site Habitat Creation'!$F$9:$F$255,'G-2 Habitat groups'!A85,'D-2 Off Site Habitat Creation'!$AA$9:$AA$255)</f>
        <v>0</v>
      </c>
      <c r="Y85" s="494">
        <f>SUMIF('D-3 Off Site Habitat Enhancment'!$S$12:$S$491,'G-2 Habitat groups'!A85,'D-3 Off Site Habitat Enhancment'!$V$12:$V$491)</f>
        <v>0</v>
      </c>
      <c r="Z85" s="494">
        <f>SUMIF('D-3 Off Site Habitat Enhancment'!$S$12:$S$491,'G-2 Habitat groups'!A85,'D-3 Off Site Habitat Enhancment'!$AP$12:$AP$491)</f>
        <v>0</v>
      </c>
      <c r="AA85" s="494">
        <f t="shared" si="67"/>
        <v>0</v>
      </c>
      <c r="AB85" s="494">
        <f t="shared" si="68"/>
        <v>0</v>
      </c>
      <c r="AC85" s="494">
        <f t="shared" si="69"/>
        <v>0</v>
      </c>
      <c r="AD85" s="494">
        <f t="shared" si="70"/>
        <v>0</v>
      </c>
      <c r="AE85" s="494">
        <f t="shared" si="71"/>
        <v>0</v>
      </c>
      <c r="AF85" s="494">
        <f t="shared" si="72"/>
        <v>0</v>
      </c>
      <c r="AU85" s="104" t="s">
        <v>478</v>
      </c>
      <c r="AV85" s="88" t="s">
        <v>71</v>
      </c>
      <c r="AW85" s="494">
        <f t="shared" si="89"/>
        <v>0</v>
      </c>
      <c r="AX85" s="494">
        <f t="shared" si="90"/>
        <v>0</v>
      </c>
      <c r="AY85" s="494">
        <f t="shared" si="91"/>
        <v>0</v>
      </c>
      <c r="AZ85" s="494">
        <f t="shared" si="92"/>
        <v>0</v>
      </c>
      <c r="BA85" s="494">
        <f t="shared" si="93"/>
        <v>0</v>
      </c>
      <c r="BB85" s="494">
        <f t="shared" si="94"/>
        <v>0</v>
      </c>
      <c r="BC85" s="494">
        <f t="shared" si="95"/>
        <v>0</v>
      </c>
      <c r="BD85" s="494">
        <f t="shared" si="96"/>
        <v>0</v>
      </c>
      <c r="BE85" s="494">
        <f t="shared" si="97"/>
        <v>0</v>
      </c>
      <c r="BF85" s="494"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4">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4">
        <f>SUMIF('A-1 Site Habitat Baseline'!$G$11:$G$258,'G-2 Habitat groups'!A86,'A-1 Site Habitat Baseline'!$Q$11:$Q$258)</f>
        <v>0</v>
      </c>
      <c r="G86" s="494">
        <f>SUMIF('A-1 Site Habitat Baseline'!$G$11:$G$258,'G-2 Habitat groups'!A86,'A-1 Site Habitat Baseline'!$S$11:$S$258)</f>
        <v>0</v>
      </c>
      <c r="H86" s="494">
        <f>SUMIF('A-1 Site Habitat Baseline'!$G$11:$G$258,'G-2 Habitat groups'!A86,'A-1 Site Habitat Baseline'!$U$11:$U$258)</f>
        <v>0</v>
      </c>
      <c r="I86" s="494">
        <f>SUMIF('A-1 Site Habitat Baseline'!$G$11:$G$258,'G-2 Habitat groups'!A86,'A-1 Site Habitat Baseline'!$W$11:$W$258)</f>
        <v>0</v>
      </c>
      <c r="J86" s="494">
        <f>SUMIF('A-1 Site Habitat Baseline'!$G$11:$G$258,'G-2 Habitat groups'!A86,'A-1 Site Habitat Baseline'!$X$11:$X$258)</f>
        <v>0</v>
      </c>
      <c r="K86" s="494">
        <f>SUMIF('A-2 Site Habitat Creation'!$F$11:$F$256,'G-2 Habitat groups'!A86,'A-2 Site Habitat Creation'!$G$11:$G$256)</f>
        <v>0</v>
      </c>
      <c r="L86" s="494">
        <f>SUMIF('A-2 Site Habitat Creation'!$F$11:$F$256,'G-2 Habitat groups'!A86,'A-2 Site Habitat Creation'!$Y$11:$Y$256)</f>
        <v>0</v>
      </c>
      <c r="M86" s="494">
        <f>SUMIF('A-3 Site Habitat Enhancement'!$S$12:$S$257,'G-2 Habitat groups'!A86,'A-3 Site Habitat Enhancement'!$V$12:$V$257)</f>
        <v>0</v>
      </c>
      <c r="N86" s="494">
        <f>SUMIF('A-3 Site Habitat Enhancement'!$S$12:$S$257,'G-2 Habitat groups'!A86,'A-3 Site Habitat Enhancement'!$AN$12:$AN$257)</f>
        <v>0</v>
      </c>
      <c r="O86" s="494">
        <f t="shared" si="63"/>
        <v>0</v>
      </c>
      <c r="P86" s="494">
        <f t="shared" si="64"/>
        <v>0</v>
      </c>
      <c r="Q86" s="494">
        <f t="shared" si="65"/>
        <v>0</v>
      </c>
      <c r="R86" s="494">
        <f t="shared" si="66"/>
        <v>0</v>
      </c>
      <c r="S86" s="494">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4">
        <f>SUMIF('D-1 Off Site Habitat Baseline'!$G$11:$G$258,'G-2 Habitat groups'!A86,'D-1 Off Site Habitat Baseline'!$Q$11:$Q$258)</f>
        <v>0</v>
      </c>
      <c r="U86" s="591">
        <f>SUMIF('D-1 Off Site Habitat Baseline'!$G$11:$G$258,'G-2 Habitat groups'!A86,'D-1 Off Site Habitat Baseline'!$S$11:$S$258)</f>
        <v>0</v>
      </c>
      <c r="V86" s="494">
        <f>SUMIF('D-1 Off Site Habitat Baseline'!$G$11:$G$258,'G-2 Habitat groups'!A86,'D-1 Off Site Habitat Baseline'!$U$11:$U$258)</f>
        <v>0</v>
      </c>
      <c r="W86" s="494">
        <f>SUMIF('D-2 Off Site Habitat Creation'!$F$9:$F$255,'G-2 Habitat groups'!A86,'D-2 Off Site Habitat Creation'!$G$9:$G$255)</f>
        <v>0</v>
      </c>
      <c r="X86" s="494">
        <f>SUMIF('D-2 Off Site Habitat Creation'!$F$9:$F$255,'G-2 Habitat groups'!A86,'D-2 Off Site Habitat Creation'!$AA$9:$AA$255)</f>
        <v>0</v>
      </c>
      <c r="Y86" s="494">
        <f>SUMIF('D-3 Off Site Habitat Enhancment'!$S$12:$S$491,'G-2 Habitat groups'!A86,'D-3 Off Site Habitat Enhancment'!$V$12:$V$491)</f>
        <v>0</v>
      </c>
      <c r="Z86" s="494">
        <f>SUMIF('D-3 Off Site Habitat Enhancment'!$S$12:$S$491,'G-2 Habitat groups'!A86,'D-3 Off Site Habitat Enhancment'!$AP$12:$AP$491)</f>
        <v>0</v>
      </c>
      <c r="AA86" s="494">
        <f t="shared" si="67"/>
        <v>0</v>
      </c>
      <c r="AB86" s="494">
        <f t="shared" si="68"/>
        <v>0</v>
      </c>
      <c r="AC86" s="494">
        <f t="shared" si="69"/>
        <v>0</v>
      </c>
      <c r="AD86" s="494">
        <f t="shared" si="70"/>
        <v>0</v>
      </c>
      <c r="AE86" s="494">
        <f t="shared" si="71"/>
        <v>0</v>
      </c>
      <c r="AF86" s="494">
        <f t="shared" si="72"/>
        <v>0</v>
      </c>
      <c r="AU86" s="104" t="s">
        <v>481</v>
      </c>
      <c r="AV86" s="88" t="s">
        <v>71</v>
      </c>
      <c r="AW86" s="494">
        <f t="shared" si="89"/>
        <v>0</v>
      </c>
      <c r="AX86" s="494">
        <f t="shared" si="90"/>
        <v>0</v>
      </c>
      <c r="AY86" s="494">
        <f t="shared" si="91"/>
        <v>0</v>
      </c>
      <c r="AZ86" s="494">
        <f t="shared" si="92"/>
        <v>0</v>
      </c>
      <c r="BA86" s="494">
        <f t="shared" si="93"/>
        <v>0</v>
      </c>
      <c r="BB86" s="494">
        <f t="shared" si="94"/>
        <v>0</v>
      </c>
      <c r="BC86" s="494">
        <f t="shared" si="95"/>
        <v>0</v>
      </c>
      <c r="BD86" s="494">
        <f t="shared" si="96"/>
        <v>0</v>
      </c>
      <c r="BE86" s="494">
        <f t="shared" si="97"/>
        <v>0</v>
      </c>
      <c r="BF86" s="494"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4">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4">
        <f>SUMIF('A-1 Site Habitat Baseline'!$G$11:$G$258,'G-2 Habitat groups'!A87,'A-1 Site Habitat Baseline'!$Q$11:$Q$258)</f>
        <v>0</v>
      </c>
      <c r="G87" s="494">
        <f>SUMIF('A-1 Site Habitat Baseline'!$G$11:$G$258,'G-2 Habitat groups'!A87,'A-1 Site Habitat Baseline'!$S$11:$S$258)</f>
        <v>0</v>
      </c>
      <c r="H87" s="494">
        <f>SUMIF('A-1 Site Habitat Baseline'!$G$11:$G$258,'G-2 Habitat groups'!A87,'A-1 Site Habitat Baseline'!$U$11:$U$258)</f>
        <v>0</v>
      </c>
      <c r="I87" s="494">
        <f>SUMIF('A-1 Site Habitat Baseline'!$G$11:$G$258,'G-2 Habitat groups'!A87,'A-1 Site Habitat Baseline'!$W$11:$W$258)</f>
        <v>0</v>
      </c>
      <c r="J87" s="494">
        <f>SUMIF('A-1 Site Habitat Baseline'!$G$11:$G$258,'G-2 Habitat groups'!A87,'A-1 Site Habitat Baseline'!$X$11:$X$258)</f>
        <v>0</v>
      </c>
      <c r="K87" s="494">
        <f>SUMIF('A-2 Site Habitat Creation'!$F$11:$F$256,'G-2 Habitat groups'!A87,'A-2 Site Habitat Creation'!$G$11:$G$256)</f>
        <v>0</v>
      </c>
      <c r="L87" s="494">
        <f>SUMIF('A-2 Site Habitat Creation'!$F$11:$F$256,'G-2 Habitat groups'!A87,'A-2 Site Habitat Creation'!$Y$11:$Y$256)</f>
        <v>0</v>
      </c>
      <c r="M87" s="494">
        <f>SUMIF('A-3 Site Habitat Enhancement'!$S$12:$S$257,'G-2 Habitat groups'!A87,'A-3 Site Habitat Enhancement'!$V$12:$V$257)</f>
        <v>0</v>
      </c>
      <c r="N87" s="494">
        <f>SUMIF('A-3 Site Habitat Enhancement'!$S$12:$S$257,'G-2 Habitat groups'!A87,'A-3 Site Habitat Enhancement'!$AN$12:$AN$257)</f>
        <v>0</v>
      </c>
      <c r="O87" s="494">
        <f t="shared" si="63"/>
        <v>0</v>
      </c>
      <c r="P87" s="494">
        <f t="shared" si="64"/>
        <v>0</v>
      </c>
      <c r="Q87" s="494">
        <f t="shared" si="65"/>
        <v>0</v>
      </c>
      <c r="R87" s="494">
        <f t="shared" si="66"/>
        <v>0</v>
      </c>
      <c r="S87" s="494">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4">
        <f>SUMIF('D-1 Off Site Habitat Baseline'!$G$11:$G$258,'G-2 Habitat groups'!A87,'D-1 Off Site Habitat Baseline'!$Q$11:$Q$258)</f>
        <v>0</v>
      </c>
      <c r="U87" s="591">
        <f>SUMIF('D-1 Off Site Habitat Baseline'!$G$11:$G$258,'G-2 Habitat groups'!A87,'D-1 Off Site Habitat Baseline'!$S$11:$S$258)</f>
        <v>0</v>
      </c>
      <c r="V87" s="494">
        <f>SUMIF('D-1 Off Site Habitat Baseline'!$G$11:$G$258,'G-2 Habitat groups'!A87,'D-1 Off Site Habitat Baseline'!$U$11:$U$258)</f>
        <v>0</v>
      </c>
      <c r="W87" s="494">
        <f>SUMIF('D-2 Off Site Habitat Creation'!$F$9:$F$255,'G-2 Habitat groups'!A87,'D-2 Off Site Habitat Creation'!$G$9:$G$255)</f>
        <v>0</v>
      </c>
      <c r="X87" s="494">
        <f>SUMIF('D-2 Off Site Habitat Creation'!$F$9:$F$255,'G-2 Habitat groups'!A87,'D-2 Off Site Habitat Creation'!$AA$9:$AA$255)</f>
        <v>0</v>
      </c>
      <c r="Y87" s="494">
        <f>SUMIF('D-3 Off Site Habitat Enhancment'!$S$12:$S$491,'G-2 Habitat groups'!A87,'D-3 Off Site Habitat Enhancment'!$V$12:$V$491)</f>
        <v>0</v>
      </c>
      <c r="Z87" s="494">
        <f>SUMIF('D-3 Off Site Habitat Enhancment'!$S$12:$S$491,'G-2 Habitat groups'!A87,'D-3 Off Site Habitat Enhancment'!$AP$12:$AP$491)</f>
        <v>0</v>
      </c>
      <c r="AA87" s="494">
        <f t="shared" si="67"/>
        <v>0</v>
      </c>
      <c r="AB87" s="494">
        <f t="shared" si="68"/>
        <v>0</v>
      </c>
      <c r="AC87" s="494">
        <f t="shared" si="69"/>
        <v>0</v>
      </c>
      <c r="AD87" s="494">
        <f t="shared" si="70"/>
        <v>0</v>
      </c>
      <c r="AE87" s="494">
        <f t="shared" si="71"/>
        <v>0</v>
      </c>
      <c r="AF87" s="494">
        <f t="shared" si="72"/>
        <v>0</v>
      </c>
      <c r="AU87" s="104" t="s">
        <v>484</v>
      </c>
      <c r="AV87" s="88" t="s">
        <v>71</v>
      </c>
      <c r="AW87" s="494">
        <f t="shared" si="89"/>
        <v>0</v>
      </c>
      <c r="AX87" s="494">
        <f t="shared" si="90"/>
        <v>0</v>
      </c>
      <c r="AY87" s="494">
        <f t="shared" si="91"/>
        <v>0</v>
      </c>
      <c r="AZ87" s="494">
        <f t="shared" si="92"/>
        <v>0</v>
      </c>
      <c r="BA87" s="494">
        <f t="shared" si="93"/>
        <v>0</v>
      </c>
      <c r="BB87" s="494">
        <f t="shared" si="94"/>
        <v>0</v>
      </c>
      <c r="BC87" s="494">
        <f t="shared" si="95"/>
        <v>0</v>
      </c>
      <c r="BD87" s="494">
        <f t="shared" si="96"/>
        <v>0</v>
      </c>
      <c r="BE87" s="494">
        <f t="shared" si="97"/>
        <v>0</v>
      </c>
      <c r="BF87" s="494"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4">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4">
        <f>SUMIF('A-1 Site Habitat Baseline'!$G$11:$G$258,'G-2 Habitat groups'!A88,'A-1 Site Habitat Baseline'!$Q$11:$Q$258)</f>
        <v>0</v>
      </c>
      <c r="G88" s="494">
        <f>SUMIF('A-1 Site Habitat Baseline'!$G$11:$G$258,'G-2 Habitat groups'!A88,'A-1 Site Habitat Baseline'!$S$11:$S$258)</f>
        <v>0</v>
      </c>
      <c r="H88" s="494">
        <f>SUMIF('A-1 Site Habitat Baseline'!$G$11:$G$258,'G-2 Habitat groups'!A88,'A-1 Site Habitat Baseline'!$U$11:$U$258)</f>
        <v>0</v>
      </c>
      <c r="I88" s="494">
        <f>SUMIF('A-1 Site Habitat Baseline'!$G$11:$G$258,'G-2 Habitat groups'!A88,'A-1 Site Habitat Baseline'!$W$11:$W$258)</f>
        <v>0</v>
      </c>
      <c r="J88" s="494">
        <f>SUMIF('A-1 Site Habitat Baseline'!$G$11:$G$258,'G-2 Habitat groups'!A88,'A-1 Site Habitat Baseline'!$X$11:$X$258)</f>
        <v>0</v>
      </c>
      <c r="K88" s="494">
        <f>SUMIF('A-2 Site Habitat Creation'!$F$11:$F$256,'G-2 Habitat groups'!A88,'A-2 Site Habitat Creation'!$G$11:$G$256)</f>
        <v>0</v>
      </c>
      <c r="L88" s="494">
        <f>SUMIF('A-2 Site Habitat Creation'!$F$11:$F$256,'G-2 Habitat groups'!A88,'A-2 Site Habitat Creation'!$Y$11:$Y$256)</f>
        <v>0</v>
      </c>
      <c r="M88" s="494">
        <f>SUMIF('A-3 Site Habitat Enhancement'!$S$12:$S$257,'G-2 Habitat groups'!A88,'A-3 Site Habitat Enhancement'!$V$12:$V$257)</f>
        <v>0</v>
      </c>
      <c r="N88" s="494">
        <f>SUMIF('A-3 Site Habitat Enhancement'!$S$12:$S$257,'G-2 Habitat groups'!A88,'A-3 Site Habitat Enhancement'!$AN$12:$AN$257)</f>
        <v>0</v>
      </c>
      <c r="O88" s="494">
        <f t="shared" si="63"/>
        <v>0</v>
      </c>
      <c r="P88" s="494">
        <f t="shared" si="64"/>
        <v>0</v>
      </c>
      <c r="Q88" s="494">
        <f t="shared" si="65"/>
        <v>0</v>
      </c>
      <c r="R88" s="494">
        <f t="shared" si="66"/>
        <v>0</v>
      </c>
      <c r="S88" s="494">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4">
        <f>SUMIF('D-1 Off Site Habitat Baseline'!$G$11:$G$258,'G-2 Habitat groups'!A88,'D-1 Off Site Habitat Baseline'!$Q$11:$Q$258)</f>
        <v>0</v>
      </c>
      <c r="U88" s="591">
        <f>SUMIF('D-1 Off Site Habitat Baseline'!$G$11:$G$258,'G-2 Habitat groups'!A88,'D-1 Off Site Habitat Baseline'!$S$11:$S$258)</f>
        <v>0</v>
      </c>
      <c r="V88" s="494">
        <f>SUMIF('D-1 Off Site Habitat Baseline'!$G$11:$G$258,'G-2 Habitat groups'!A88,'D-1 Off Site Habitat Baseline'!$U$11:$U$258)</f>
        <v>0</v>
      </c>
      <c r="W88" s="494">
        <f>SUMIF('D-2 Off Site Habitat Creation'!$F$9:$F$255,'G-2 Habitat groups'!A88,'D-2 Off Site Habitat Creation'!$G$9:$G$255)</f>
        <v>0</v>
      </c>
      <c r="X88" s="494">
        <f>SUMIF('D-2 Off Site Habitat Creation'!$F$9:$F$255,'G-2 Habitat groups'!A88,'D-2 Off Site Habitat Creation'!$AA$9:$AA$255)</f>
        <v>0</v>
      </c>
      <c r="Y88" s="494">
        <f>SUMIF('D-3 Off Site Habitat Enhancment'!$S$12:$S$491,'G-2 Habitat groups'!A88,'D-3 Off Site Habitat Enhancment'!$V$12:$V$491)</f>
        <v>0</v>
      </c>
      <c r="Z88" s="494">
        <f>SUMIF('D-3 Off Site Habitat Enhancment'!$S$12:$S$491,'G-2 Habitat groups'!A88,'D-3 Off Site Habitat Enhancment'!$AP$12:$AP$491)</f>
        <v>0</v>
      </c>
      <c r="AA88" s="494">
        <f t="shared" si="67"/>
        <v>0</v>
      </c>
      <c r="AB88" s="494">
        <f t="shared" si="68"/>
        <v>0</v>
      </c>
      <c r="AC88" s="494">
        <f t="shared" si="69"/>
        <v>0</v>
      </c>
      <c r="AD88" s="494">
        <f t="shared" si="70"/>
        <v>0</v>
      </c>
      <c r="AE88" s="494">
        <f t="shared" si="71"/>
        <v>0</v>
      </c>
      <c r="AF88" s="494">
        <f t="shared" si="72"/>
        <v>0</v>
      </c>
      <c r="AU88" s="104" t="s">
        <v>487</v>
      </c>
      <c r="AV88" s="88" t="s">
        <v>71</v>
      </c>
      <c r="AW88" s="494">
        <f t="shared" si="89"/>
        <v>0</v>
      </c>
      <c r="AX88" s="494">
        <f t="shared" si="90"/>
        <v>0</v>
      </c>
      <c r="AY88" s="494">
        <f t="shared" si="91"/>
        <v>0</v>
      </c>
      <c r="AZ88" s="494">
        <f t="shared" si="92"/>
        <v>0</v>
      </c>
      <c r="BA88" s="494">
        <f t="shared" si="93"/>
        <v>0</v>
      </c>
      <c r="BB88" s="494">
        <f t="shared" si="94"/>
        <v>0</v>
      </c>
      <c r="BC88" s="494">
        <f t="shared" si="95"/>
        <v>0</v>
      </c>
      <c r="BD88" s="494">
        <f t="shared" si="96"/>
        <v>0</v>
      </c>
      <c r="BE88" s="494">
        <f t="shared" si="97"/>
        <v>0</v>
      </c>
      <c r="BF88" s="494"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4">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4">
        <f>SUMIF('A-1 Site Habitat Baseline'!$G$11:$G$258,'G-2 Habitat groups'!A89,'A-1 Site Habitat Baseline'!$Q$11:$Q$258)</f>
        <v>0</v>
      </c>
      <c r="G89" s="494">
        <f>SUMIF('A-1 Site Habitat Baseline'!$G$11:$G$258,'G-2 Habitat groups'!A89,'A-1 Site Habitat Baseline'!$S$11:$S$258)</f>
        <v>0</v>
      </c>
      <c r="H89" s="494">
        <f>SUMIF('A-1 Site Habitat Baseline'!$G$11:$G$258,'G-2 Habitat groups'!A89,'A-1 Site Habitat Baseline'!$U$11:$U$258)</f>
        <v>0</v>
      </c>
      <c r="I89" s="494">
        <f>SUMIF('A-1 Site Habitat Baseline'!$G$11:$G$258,'G-2 Habitat groups'!A89,'A-1 Site Habitat Baseline'!$W$11:$W$258)</f>
        <v>0</v>
      </c>
      <c r="J89" s="494">
        <f>SUMIF('A-1 Site Habitat Baseline'!$G$11:$G$258,'G-2 Habitat groups'!A89,'A-1 Site Habitat Baseline'!$X$11:$X$258)</f>
        <v>0</v>
      </c>
      <c r="K89" s="494">
        <f>SUMIF('A-2 Site Habitat Creation'!$F$11:$F$256,'G-2 Habitat groups'!A89,'A-2 Site Habitat Creation'!$G$11:$G$256)</f>
        <v>0</v>
      </c>
      <c r="L89" s="494">
        <f>SUMIF('A-2 Site Habitat Creation'!$F$11:$F$256,'G-2 Habitat groups'!A89,'A-2 Site Habitat Creation'!$Y$11:$Y$256)</f>
        <v>0</v>
      </c>
      <c r="M89" s="494">
        <f>SUMIF('A-3 Site Habitat Enhancement'!$S$12:$S$257,'G-2 Habitat groups'!A89,'A-3 Site Habitat Enhancement'!$V$12:$V$257)</f>
        <v>0</v>
      </c>
      <c r="N89" s="494">
        <f>SUMIF('A-3 Site Habitat Enhancement'!$S$12:$S$257,'G-2 Habitat groups'!A89,'A-3 Site Habitat Enhancement'!$AN$12:$AN$257)</f>
        <v>0</v>
      </c>
      <c r="O89" s="494">
        <f t="shared" si="63"/>
        <v>0</v>
      </c>
      <c r="P89" s="494">
        <f t="shared" si="64"/>
        <v>0</v>
      </c>
      <c r="Q89" s="494">
        <f t="shared" si="65"/>
        <v>0</v>
      </c>
      <c r="R89" s="494">
        <f t="shared" si="66"/>
        <v>0</v>
      </c>
      <c r="S89" s="494">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4">
        <f>SUMIF('D-1 Off Site Habitat Baseline'!$G$11:$G$258,'G-2 Habitat groups'!A89,'D-1 Off Site Habitat Baseline'!$Q$11:$Q$258)</f>
        <v>0</v>
      </c>
      <c r="U89" s="591">
        <f>SUMIF('D-1 Off Site Habitat Baseline'!$G$11:$G$258,'G-2 Habitat groups'!A89,'D-1 Off Site Habitat Baseline'!$S$11:$S$258)</f>
        <v>0</v>
      </c>
      <c r="V89" s="494">
        <f>SUMIF('D-1 Off Site Habitat Baseline'!$G$11:$G$258,'G-2 Habitat groups'!A89,'D-1 Off Site Habitat Baseline'!$U$11:$U$258)</f>
        <v>0</v>
      </c>
      <c r="W89" s="494">
        <f>SUMIF('D-2 Off Site Habitat Creation'!$F$9:$F$255,'G-2 Habitat groups'!A89,'D-2 Off Site Habitat Creation'!$G$9:$G$255)</f>
        <v>0</v>
      </c>
      <c r="X89" s="494">
        <f>SUMIF('D-2 Off Site Habitat Creation'!$F$9:$F$255,'G-2 Habitat groups'!A89,'D-2 Off Site Habitat Creation'!$AA$9:$AA$255)</f>
        <v>0</v>
      </c>
      <c r="Y89" s="494">
        <f>SUMIF('D-3 Off Site Habitat Enhancment'!$S$12:$S$491,'G-2 Habitat groups'!A89,'D-3 Off Site Habitat Enhancment'!$V$12:$V$491)</f>
        <v>0</v>
      </c>
      <c r="Z89" s="494">
        <f>SUMIF('D-3 Off Site Habitat Enhancment'!$S$12:$S$491,'G-2 Habitat groups'!A89,'D-3 Off Site Habitat Enhancment'!$AP$12:$AP$491)</f>
        <v>0</v>
      </c>
      <c r="AA89" s="494">
        <f t="shared" si="67"/>
        <v>0</v>
      </c>
      <c r="AB89" s="494">
        <f t="shared" si="68"/>
        <v>0</v>
      </c>
      <c r="AC89" s="494">
        <f t="shared" si="69"/>
        <v>0</v>
      </c>
      <c r="AD89" s="494">
        <f t="shared" si="70"/>
        <v>0</v>
      </c>
      <c r="AE89" s="494">
        <f t="shared" si="71"/>
        <v>0</v>
      </c>
      <c r="AF89" s="494">
        <f t="shared" si="72"/>
        <v>0</v>
      </c>
      <c r="AU89" s="104" t="s">
        <v>496</v>
      </c>
      <c r="AV89" s="88" t="s">
        <v>71</v>
      </c>
      <c r="AW89" s="494">
        <f t="shared" si="89"/>
        <v>0.2011</v>
      </c>
      <c r="AX89" s="494">
        <f t="shared" si="90"/>
        <v>0.92505999999999988</v>
      </c>
      <c r="AY89" s="494">
        <f t="shared" si="91"/>
        <v>9.4899999999999998E-2</v>
      </c>
      <c r="AZ89" s="494">
        <f t="shared" si="92"/>
        <v>0.73061840191984795</v>
      </c>
      <c r="BA89" s="494">
        <f t="shared" si="93"/>
        <v>-0.1062</v>
      </c>
      <c r="BB89" s="494">
        <f t="shared" si="94"/>
        <v>-0.19444159808015193</v>
      </c>
      <c r="BC89" s="494">
        <f t="shared" si="95"/>
        <v>0</v>
      </c>
      <c r="BD89" s="494">
        <f t="shared" si="96"/>
        <v>0</v>
      </c>
      <c r="BE89" s="494">
        <f t="shared" si="97"/>
        <v>-0.19444159808015193</v>
      </c>
      <c r="BF89" s="494">
        <f t="shared" si="98"/>
        <v>-0.19444159808015193</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4">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4">
        <f>SUMIF('A-1 Site Habitat Baseline'!$G$11:$G$258,'G-2 Habitat groups'!A90,'A-1 Site Habitat Baseline'!$Q$11:$Q$258)</f>
        <v>0</v>
      </c>
      <c r="G90" s="494">
        <f>SUMIF('A-1 Site Habitat Baseline'!$G$11:$G$258,'G-2 Habitat groups'!A90,'A-1 Site Habitat Baseline'!$S$11:$S$258)</f>
        <v>0</v>
      </c>
      <c r="H90" s="494">
        <f>SUMIF('A-1 Site Habitat Baseline'!$G$11:$G$258,'G-2 Habitat groups'!A90,'A-1 Site Habitat Baseline'!$U$11:$U$258)</f>
        <v>0</v>
      </c>
      <c r="I90" s="494">
        <f>SUMIF('A-1 Site Habitat Baseline'!$G$11:$G$258,'G-2 Habitat groups'!A90,'A-1 Site Habitat Baseline'!$W$11:$W$258)</f>
        <v>0</v>
      </c>
      <c r="J90" s="494">
        <f>SUMIF('A-1 Site Habitat Baseline'!$G$11:$G$258,'G-2 Habitat groups'!A90,'A-1 Site Habitat Baseline'!$X$11:$X$258)</f>
        <v>0</v>
      </c>
      <c r="K90" s="494">
        <f>SUMIF('A-2 Site Habitat Creation'!$F$11:$F$256,'G-2 Habitat groups'!A90,'A-2 Site Habitat Creation'!$G$11:$G$256)</f>
        <v>0</v>
      </c>
      <c r="L90" s="494">
        <f>SUMIF('A-2 Site Habitat Creation'!$F$11:$F$256,'G-2 Habitat groups'!A90,'A-2 Site Habitat Creation'!$Y$11:$Y$256)</f>
        <v>0</v>
      </c>
      <c r="M90" s="494">
        <f>SUMIF('A-3 Site Habitat Enhancement'!$S$12:$S$257,'G-2 Habitat groups'!A90,'A-3 Site Habitat Enhancement'!$V$12:$V$257)</f>
        <v>0</v>
      </c>
      <c r="N90" s="494">
        <f>SUMIF('A-3 Site Habitat Enhancement'!$S$12:$S$257,'G-2 Habitat groups'!A90,'A-3 Site Habitat Enhancement'!$AN$12:$AN$257)</f>
        <v>0</v>
      </c>
      <c r="O90" s="494">
        <f t="shared" si="63"/>
        <v>0</v>
      </c>
      <c r="P90" s="494">
        <f t="shared" si="64"/>
        <v>0</v>
      </c>
      <c r="Q90" s="494">
        <f t="shared" si="65"/>
        <v>0</v>
      </c>
      <c r="R90" s="494">
        <f t="shared" si="66"/>
        <v>0</v>
      </c>
      <c r="S90" s="494">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4">
        <f>SUMIF('D-1 Off Site Habitat Baseline'!$G$11:$G$258,'G-2 Habitat groups'!A90,'D-1 Off Site Habitat Baseline'!$Q$11:$Q$258)</f>
        <v>0</v>
      </c>
      <c r="U90" s="591">
        <f>SUMIF('D-1 Off Site Habitat Baseline'!$G$11:$G$258,'G-2 Habitat groups'!A90,'D-1 Off Site Habitat Baseline'!$S$11:$S$258)</f>
        <v>0</v>
      </c>
      <c r="V90" s="494">
        <f>SUMIF('D-1 Off Site Habitat Baseline'!$G$11:$G$258,'G-2 Habitat groups'!A90,'D-1 Off Site Habitat Baseline'!$U$11:$U$258)</f>
        <v>0</v>
      </c>
      <c r="W90" s="494">
        <f>SUMIF('D-2 Off Site Habitat Creation'!$F$9:$F$255,'G-2 Habitat groups'!A90,'D-2 Off Site Habitat Creation'!$G$9:$G$255)</f>
        <v>0</v>
      </c>
      <c r="X90" s="494">
        <f>SUMIF('D-2 Off Site Habitat Creation'!$F$9:$F$255,'G-2 Habitat groups'!A90,'D-2 Off Site Habitat Creation'!$AA$9:$AA$255)</f>
        <v>0</v>
      </c>
      <c r="Y90" s="494">
        <f>SUMIF('D-3 Off Site Habitat Enhancment'!$S$12:$S$491,'G-2 Habitat groups'!A90,'D-3 Off Site Habitat Enhancment'!$V$12:$V$491)</f>
        <v>0</v>
      </c>
      <c r="Z90" s="494">
        <f>SUMIF('D-3 Off Site Habitat Enhancment'!$S$12:$S$491,'G-2 Habitat groups'!A90,'D-3 Off Site Habitat Enhancment'!$AP$12:$AP$491)</f>
        <v>0</v>
      </c>
      <c r="AA90" s="494">
        <f t="shared" si="67"/>
        <v>0</v>
      </c>
      <c r="AB90" s="494">
        <f t="shared" si="68"/>
        <v>0</v>
      </c>
      <c r="AC90" s="494">
        <f t="shared" si="69"/>
        <v>0</v>
      </c>
      <c r="AD90" s="494">
        <f t="shared" si="70"/>
        <v>0</v>
      </c>
      <c r="AE90" s="494">
        <f t="shared" si="71"/>
        <v>0</v>
      </c>
      <c r="AF90" s="494">
        <f t="shared" si="72"/>
        <v>0</v>
      </c>
      <c r="AU90" s="343" t="s">
        <v>544</v>
      </c>
      <c r="AV90" s="88" t="s">
        <v>72</v>
      </c>
      <c r="AW90" s="494">
        <f t="shared" si="89"/>
        <v>0</v>
      </c>
      <c r="AX90" s="494">
        <f t="shared" si="90"/>
        <v>0</v>
      </c>
      <c r="AY90" s="494">
        <f t="shared" si="91"/>
        <v>0</v>
      </c>
      <c r="AZ90" s="494">
        <f t="shared" si="92"/>
        <v>0</v>
      </c>
      <c r="BA90" s="494">
        <f t="shared" si="93"/>
        <v>0</v>
      </c>
      <c r="BB90" s="494">
        <f t="shared" si="94"/>
        <v>0</v>
      </c>
      <c r="BC90" s="494">
        <f t="shared" si="95"/>
        <v>0</v>
      </c>
      <c r="BD90" s="494">
        <f t="shared" si="96"/>
        <v>0</v>
      </c>
      <c r="BE90" s="494">
        <f t="shared" ref="BE90:BE92" si="99">BB90+BD90</f>
        <v>0</v>
      </c>
      <c r="BF90" s="494"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4">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4">
        <f>SUMIF('A-1 Site Habitat Baseline'!$G$11:$G$258,'G-2 Habitat groups'!A91,'A-1 Site Habitat Baseline'!$Q$11:$Q$258)</f>
        <v>0</v>
      </c>
      <c r="G91" s="494">
        <f>SUMIF('A-1 Site Habitat Baseline'!$G$11:$G$258,'G-2 Habitat groups'!A91,'A-1 Site Habitat Baseline'!$S$11:$S$258)</f>
        <v>0</v>
      </c>
      <c r="H91" s="494">
        <f>SUMIF('A-1 Site Habitat Baseline'!$G$11:$G$258,'G-2 Habitat groups'!A91,'A-1 Site Habitat Baseline'!$U$11:$U$258)</f>
        <v>0</v>
      </c>
      <c r="I91" s="494">
        <f>SUMIF('A-1 Site Habitat Baseline'!$G$11:$G$258,'G-2 Habitat groups'!A91,'A-1 Site Habitat Baseline'!$W$11:$W$258)</f>
        <v>0</v>
      </c>
      <c r="J91" s="494">
        <f>SUMIF('A-1 Site Habitat Baseline'!$G$11:$G$258,'G-2 Habitat groups'!A91,'A-1 Site Habitat Baseline'!$X$11:$X$258)</f>
        <v>0</v>
      </c>
      <c r="K91" s="494">
        <f>SUMIF('A-2 Site Habitat Creation'!$F$11:$F$256,'G-2 Habitat groups'!A91,'A-2 Site Habitat Creation'!$G$11:$G$256)</f>
        <v>0</v>
      </c>
      <c r="L91" s="494">
        <f>SUMIF('A-2 Site Habitat Creation'!$F$11:$F$256,'G-2 Habitat groups'!A91,'A-2 Site Habitat Creation'!$Y$11:$Y$256)</f>
        <v>0</v>
      </c>
      <c r="M91" s="494">
        <f>SUMIF('A-3 Site Habitat Enhancement'!$S$12:$S$257,'G-2 Habitat groups'!A91,'A-3 Site Habitat Enhancement'!$V$12:$V$257)</f>
        <v>0</v>
      </c>
      <c r="N91" s="494">
        <f>SUMIF('A-3 Site Habitat Enhancement'!$S$12:$S$257,'G-2 Habitat groups'!A91,'A-3 Site Habitat Enhancement'!$AN$12:$AN$257)</f>
        <v>0</v>
      </c>
      <c r="O91" s="494">
        <f t="shared" si="63"/>
        <v>0</v>
      </c>
      <c r="P91" s="494">
        <f t="shared" si="64"/>
        <v>0</v>
      </c>
      <c r="Q91" s="494">
        <f t="shared" si="65"/>
        <v>0</v>
      </c>
      <c r="R91" s="494">
        <f t="shared" si="66"/>
        <v>0</v>
      </c>
      <c r="S91" s="494">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4">
        <f>SUMIF('D-1 Off Site Habitat Baseline'!$G$11:$G$258,'G-2 Habitat groups'!A91,'D-1 Off Site Habitat Baseline'!$Q$11:$Q$258)</f>
        <v>0</v>
      </c>
      <c r="U91" s="591">
        <f>SUMIF('D-1 Off Site Habitat Baseline'!$G$11:$G$258,'G-2 Habitat groups'!A91,'D-1 Off Site Habitat Baseline'!$S$11:$S$258)</f>
        <v>0</v>
      </c>
      <c r="V91" s="494">
        <f>SUMIF('D-1 Off Site Habitat Baseline'!$G$11:$G$258,'G-2 Habitat groups'!A91,'D-1 Off Site Habitat Baseline'!$U$11:$U$258)</f>
        <v>0</v>
      </c>
      <c r="W91" s="494">
        <f>SUMIF('D-2 Off Site Habitat Creation'!$F$9:$F$255,'G-2 Habitat groups'!A91,'D-2 Off Site Habitat Creation'!$G$9:$G$255)</f>
        <v>0</v>
      </c>
      <c r="X91" s="494">
        <f>SUMIF('D-2 Off Site Habitat Creation'!$F$9:$F$255,'G-2 Habitat groups'!A91,'D-2 Off Site Habitat Creation'!$AA$9:$AA$255)</f>
        <v>0</v>
      </c>
      <c r="Y91" s="494">
        <f>SUMIF('D-3 Off Site Habitat Enhancment'!$S$12:$S$491,'G-2 Habitat groups'!A91,'D-3 Off Site Habitat Enhancment'!$V$12:$V$491)</f>
        <v>0</v>
      </c>
      <c r="Z91" s="494">
        <f>SUMIF('D-3 Off Site Habitat Enhancment'!$S$12:$S$491,'G-2 Habitat groups'!A91,'D-3 Off Site Habitat Enhancment'!$AP$12:$AP$491)</f>
        <v>0</v>
      </c>
      <c r="AA91" s="494">
        <f t="shared" si="67"/>
        <v>0</v>
      </c>
      <c r="AB91" s="494">
        <f t="shared" si="68"/>
        <v>0</v>
      </c>
      <c r="AC91" s="494">
        <f t="shared" si="69"/>
        <v>0</v>
      </c>
      <c r="AD91" s="494">
        <f t="shared" si="70"/>
        <v>0</v>
      </c>
      <c r="AE91" s="494">
        <f t="shared" si="71"/>
        <v>0</v>
      </c>
      <c r="AF91" s="494">
        <f t="shared" si="72"/>
        <v>0</v>
      </c>
      <c r="AU91" s="104" t="s">
        <v>548</v>
      </c>
      <c r="AV91" s="88" t="s">
        <v>72</v>
      </c>
      <c r="AW91" s="494">
        <f t="shared" si="89"/>
        <v>0</v>
      </c>
      <c r="AX91" s="494">
        <f t="shared" si="90"/>
        <v>0</v>
      </c>
      <c r="AY91" s="494">
        <f t="shared" si="91"/>
        <v>0</v>
      </c>
      <c r="AZ91" s="494">
        <f t="shared" si="92"/>
        <v>0</v>
      </c>
      <c r="BA91" s="494">
        <f t="shared" si="93"/>
        <v>0</v>
      </c>
      <c r="BB91" s="494">
        <f t="shared" si="94"/>
        <v>0</v>
      </c>
      <c r="BC91" s="494">
        <f t="shared" si="95"/>
        <v>0</v>
      </c>
      <c r="BD91" s="494">
        <f t="shared" si="96"/>
        <v>0</v>
      </c>
      <c r="BE91" s="494">
        <f t="shared" si="99"/>
        <v>0</v>
      </c>
      <c r="BF91" s="494"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4">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4">
        <f>SUMIF('A-1 Site Habitat Baseline'!$G$11:$G$258,'G-2 Habitat groups'!A92,'A-1 Site Habitat Baseline'!$Q$11:$Q$258)</f>
        <v>0</v>
      </c>
      <c r="G92" s="494">
        <f>SUMIF('A-1 Site Habitat Baseline'!$G$11:$G$258,'G-2 Habitat groups'!A92,'A-1 Site Habitat Baseline'!$S$11:$S$258)</f>
        <v>0</v>
      </c>
      <c r="H92" s="494">
        <f>SUMIF('A-1 Site Habitat Baseline'!$G$11:$G$258,'G-2 Habitat groups'!A92,'A-1 Site Habitat Baseline'!$U$11:$U$258)</f>
        <v>0</v>
      </c>
      <c r="I92" s="494">
        <f>SUMIF('A-1 Site Habitat Baseline'!$G$11:$G$258,'G-2 Habitat groups'!A92,'A-1 Site Habitat Baseline'!$W$11:$W$258)</f>
        <v>0</v>
      </c>
      <c r="J92" s="494">
        <f>SUMIF('A-1 Site Habitat Baseline'!$G$11:$G$258,'G-2 Habitat groups'!A92,'A-1 Site Habitat Baseline'!$X$11:$X$258)</f>
        <v>0</v>
      </c>
      <c r="K92" s="494">
        <f>SUMIF('A-2 Site Habitat Creation'!$F$11:$F$256,'G-2 Habitat groups'!A92,'A-2 Site Habitat Creation'!$G$11:$G$256)</f>
        <v>0</v>
      </c>
      <c r="L92" s="494">
        <f>SUMIF('A-2 Site Habitat Creation'!$F$11:$F$256,'G-2 Habitat groups'!A92,'A-2 Site Habitat Creation'!$Y$11:$Y$256)</f>
        <v>0</v>
      </c>
      <c r="M92" s="494">
        <f>SUMIF('A-3 Site Habitat Enhancement'!$S$12:$S$257,'G-2 Habitat groups'!A92,'A-3 Site Habitat Enhancement'!$V$12:$V$257)</f>
        <v>0</v>
      </c>
      <c r="N92" s="494">
        <f>SUMIF('A-3 Site Habitat Enhancement'!$S$12:$S$257,'G-2 Habitat groups'!A92,'A-3 Site Habitat Enhancement'!$AN$12:$AN$257)</f>
        <v>0</v>
      </c>
      <c r="O92" s="494">
        <f t="shared" si="63"/>
        <v>0</v>
      </c>
      <c r="P92" s="494">
        <f t="shared" si="64"/>
        <v>0</v>
      </c>
      <c r="Q92" s="494">
        <f t="shared" si="65"/>
        <v>0</v>
      </c>
      <c r="R92" s="494">
        <f t="shared" si="66"/>
        <v>0</v>
      </c>
      <c r="S92" s="494">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4">
        <f>SUMIF('D-1 Off Site Habitat Baseline'!$G$11:$G$258,'G-2 Habitat groups'!A92,'D-1 Off Site Habitat Baseline'!$Q$11:$Q$258)</f>
        <v>0</v>
      </c>
      <c r="U92" s="591">
        <f>SUMIF('D-1 Off Site Habitat Baseline'!$G$11:$G$258,'G-2 Habitat groups'!A92,'D-1 Off Site Habitat Baseline'!$S$11:$S$258)</f>
        <v>0</v>
      </c>
      <c r="V92" s="494">
        <f>SUMIF('D-1 Off Site Habitat Baseline'!$G$11:$G$258,'G-2 Habitat groups'!A92,'D-1 Off Site Habitat Baseline'!$U$11:$U$258)</f>
        <v>0</v>
      </c>
      <c r="W92" s="494">
        <f>SUMIF('D-2 Off Site Habitat Creation'!$F$9:$F$255,'G-2 Habitat groups'!A92,'D-2 Off Site Habitat Creation'!$G$9:$G$255)</f>
        <v>0</v>
      </c>
      <c r="X92" s="494">
        <f>SUMIF('D-2 Off Site Habitat Creation'!$F$9:$F$255,'G-2 Habitat groups'!A92,'D-2 Off Site Habitat Creation'!$AA$9:$AA$255)</f>
        <v>0</v>
      </c>
      <c r="Y92" s="494">
        <f>SUMIF('D-3 Off Site Habitat Enhancment'!$S$12:$S$491,'G-2 Habitat groups'!A92,'D-3 Off Site Habitat Enhancment'!$V$12:$V$491)</f>
        <v>0</v>
      </c>
      <c r="Z92" s="494">
        <f>SUMIF('D-3 Off Site Habitat Enhancment'!$S$12:$S$491,'G-2 Habitat groups'!A92,'D-3 Off Site Habitat Enhancment'!$AP$12:$AP$491)</f>
        <v>0</v>
      </c>
      <c r="AA92" s="494">
        <f t="shared" si="67"/>
        <v>0</v>
      </c>
      <c r="AB92" s="494">
        <f t="shared" si="68"/>
        <v>0</v>
      </c>
      <c r="AC92" s="494">
        <f t="shared" si="69"/>
        <v>0</v>
      </c>
      <c r="AD92" s="494">
        <f t="shared" si="70"/>
        <v>0</v>
      </c>
      <c r="AE92" s="494">
        <f t="shared" si="71"/>
        <v>0</v>
      </c>
      <c r="AF92" s="494">
        <f t="shared" si="72"/>
        <v>0</v>
      </c>
      <c r="AU92" s="104" t="s">
        <v>582</v>
      </c>
      <c r="AV92" s="88" t="s">
        <v>73</v>
      </c>
      <c r="AW92" s="494">
        <f t="shared" si="89"/>
        <v>0</v>
      </c>
      <c r="AX92" s="494">
        <f t="shared" si="90"/>
        <v>0</v>
      </c>
      <c r="AY92" s="494">
        <f t="shared" si="91"/>
        <v>0</v>
      </c>
      <c r="AZ92" s="494">
        <f t="shared" si="92"/>
        <v>0</v>
      </c>
      <c r="BA92" s="494">
        <f t="shared" si="93"/>
        <v>0</v>
      </c>
      <c r="BB92" s="494">
        <f t="shared" si="94"/>
        <v>0</v>
      </c>
      <c r="BC92" s="494">
        <f t="shared" si="95"/>
        <v>0</v>
      </c>
      <c r="BD92" s="494">
        <f t="shared" si="96"/>
        <v>0</v>
      </c>
      <c r="BE92" s="494">
        <f t="shared" si="99"/>
        <v>0</v>
      </c>
      <c r="BF92" s="494"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4">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4">
        <f>SUMIF('A-1 Site Habitat Baseline'!$G$11:$G$258,'G-2 Habitat groups'!A93,'A-1 Site Habitat Baseline'!$Q$11:$Q$258)</f>
        <v>0</v>
      </c>
      <c r="G93" s="494">
        <f>SUMIF('A-1 Site Habitat Baseline'!$G$11:$G$258,'G-2 Habitat groups'!A93,'A-1 Site Habitat Baseline'!$S$11:$S$258)</f>
        <v>0</v>
      </c>
      <c r="H93" s="494">
        <f>SUMIF('A-1 Site Habitat Baseline'!$G$11:$G$258,'G-2 Habitat groups'!A93,'A-1 Site Habitat Baseline'!$U$11:$U$258)</f>
        <v>0</v>
      </c>
      <c r="I93" s="494">
        <f>SUMIF('A-1 Site Habitat Baseline'!$G$11:$G$258,'G-2 Habitat groups'!A93,'A-1 Site Habitat Baseline'!$W$11:$W$258)</f>
        <v>0</v>
      </c>
      <c r="J93" s="494">
        <f>SUMIF('A-1 Site Habitat Baseline'!$G$11:$G$258,'G-2 Habitat groups'!A93,'A-1 Site Habitat Baseline'!$X$11:$X$258)</f>
        <v>0</v>
      </c>
      <c r="K93" s="494">
        <f>SUMIF('A-2 Site Habitat Creation'!$F$11:$F$256,'G-2 Habitat groups'!A93,'A-2 Site Habitat Creation'!$G$11:$G$256)</f>
        <v>0</v>
      </c>
      <c r="L93" s="494">
        <f>SUMIF('A-2 Site Habitat Creation'!$F$11:$F$256,'G-2 Habitat groups'!A93,'A-2 Site Habitat Creation'!$Y$11:$Y$256)</f>
        <v>0</v>
      </c>
      <c r="M93" s="494">
        <f>SUMIF('A-3 Site Habitat Enhancement'!$S$12:$S$257,'G-2 Habitat groups'!A93,'A-3 Site Habitat Enhancement'!$V$12:$V$257)</f>
        <v>0</v>
      </c>
      <c r="N93" s="494">
        <f>SUMIF('A-3 Site Habitat Enhancement'!$S$12:$S$257,'G-2 Habitat groups'!A93,'A-3 Site Habitat Enhancement'!$AN$12:$AN$257)</f>
        <v>0</v>
      </c>
      <c r="O93" s="494">
        <f t="shared" si="63"/>
        <v>0</v>
      </c>
      <c r="P93" s="494">
        <f t="shared" si="64"/>
        <v>0</v>
      </c>
      <c r="Q93" s="494">
        <f t="shared" si="65"/>
        <v>0</v>
      </c>
      <c r="R93" s="494">
        <f t="shared" si="66"/>
        <v>0</v>
      </c>
      <c r="S93" s="494">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4">
        <f>SUMIF('D-1 Off Site Habitat Baseline'!$G$11:$G$258,'G-2 Habitat groups'!A93,'D-1 Off Site Habitat Baseline'!$Q$11:$Q$258)</f>
        <v>0</v>
      </c>
      <c r="U93" s="591">
        <f>SUMIF('D-1 Off Site Habitat Baseline'!$G$11:$G$258,'G-2 Habitat groups'!A93,'D-1 Off Site Habitat Baseline'!$S$11:$S$258)</f>
        <v>0</v>
      </c>
      <c r="V93" s="494">
        <f>SUMIF('D-1 Off Site Habitat Baseline'!$G$11:$G$258,'G-2 Habitat groups'!A93,'D-1 Off Site Habitat Baseline'!$U$11:$U$258)</f>
        <v>0</v>
      </c>
      <c r="W93" s="494">
        <f>SUMIF('D-2 Off Site Habitat Creation'!$F$9:$F$255,'G-2 Habitat groups'!A93,'D-2 Off Site Habitat Creation'!$G$9:$G$255)</f>
        <v>0</v>
      </c>
      <c r="X93" s="494">
        <f>SUMIF('D-2 Off Site Habitat Creation'!$F$9:$F$255,'G-2 Habitat groups'!A93,'D-2 Off Site Habitat Creation'!$AA$9:$AA$255)</f>
        <v>0</v>
      </c>
      <c r="Y93" s="494">
        <f>SUMIF('D-3 Off Site Habitat Enhancment'!$S$12:$S$491,'G-2 Habitat groups'!A93,'D-3 Off Site Habitat Enhancment'!$V$12:$V$491)</f>
        <v>0</v>
      </c>
      <c r="Z93" s="494">
        <f>SUMIF('D-3 Off Site Habitat Enhancment'!$S$12:$S$491,'G-2 Habitat groups'!A93,'D-3 Off Site Habitat Enhancment'!$AP$12:$AP$491)</f>
        <v>0</v>
      </c>
      <c r="AA93" s="494">
        <f t="shared" si="67"/>
        <v>0</v>
      </c>
      <c r="AB93" s="494">
        <f t="shared" si="68"/>
        <v>0</v>
      </c>
      <c r="AC93" s="494">
        <f t="shared" si="69"/>
        <v>0</v>
      </c>
      <c r="AD93" s="494">
        <f t="shared" si="70"/>
        <v>0</v>
      </c>
      <c r="AE93" s="494">
        <f t="shared" si="71"/>
        <v>0</v>
      </c>
      <c r="AF93" s="494">
        <f t="shared" si="72"/>
        <v>0</v>
      </c>
      <c r="AU93" s="104" t="s">
        <v>598</v>
      </c>
      <c r="AV93" s="88" t="s">
        <v>74</v>
      </c>
      <c r="AW93" s="494">
        <f t="shared" si="89"/>
        <v>0</v>
      </c>
      <c r="AX93" s="494">
        <f t="shared" si="90"/>
        <v>0</v>
      </c>
      <c r="AY93" s="494">
        <f t="shared" si="91"/>
        <v>0</v>
      </c>
      <c r="AZ93" s="494">
        <f t="shared" si="92"/>
        <v>0</v>
      </c>
      <c r="BA93" s="494">
        <f t="shared" si="93"/>
        <v>0</v>
      </c>
      <c r="BB93" s="494">
        <f t="shared" si="94"/>
        <v>0</v>
      </c>
      <c r="BC93" s="494">
        <f t="shared" si="95"/>
        <v>0</v>
      </c>
      <c r="BD93" s="494">
        <f t="shared" si="96"/>
        <v>0</v>
      </c>
      <c r="BE93" s="494">
        <f>BB93+BD93</f>
        <v>0</v>
      </c>
      <c r="BF93" s="494"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4">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4">
        <f>SUMIF('A-1 Site Habitat Baseline'!$G$11:$G$258,'G-2 Habitat groups'!A94,'A-1 Site Habitat Baseline'!$Q$11:$Q$258)</f>
        <v>0</v>
      </c>
      <c r="G94" s="494">
        <f>SUMIF('A-1 Site Habitat Baseline'!$G$11:$G$258,'G-2 Habitat groups'!A94,'A-1 Site Habitat Baseline'!$S$11:$S$258)</f>
        <v>0</v>
      </c>
      <c r="H94" s="494">
        <f>SUMIF('A-1 Site Habitat Baseline'!$G$11:$G$258,'G-2 Habitat groups'!A94,'A-1 Site Habitat Baseline'!$U$11:$U$258)</f>
        <v>0</v>
      </c>
      <c r="I94" s="494">
        <f>SUMIF('A-1 Site Habitat Baseline'!$G$11:$G$258,'G-2 Habitat groups'!A94,'A-1 Site Habitat Baseline'!$W$11:$W$258)</f>
        <v>0</v>
      </c>
      <c r="J94" s="494">
        <f>SUMIF('A-1 Site Habitat Baseline'!$G$11:$G$258,'G-2 Habitat groups'!A94,'A-1 Site Habitat Baseline'!$X$11:$X$258)</f>
        <v>0</v>
      </c>
      <c r="K94" s="494">
        <f>SUMIF('A-2 Site Habitat Creation'!$F$11:$F$256,'G-2 Habitat groups'!A94,'A-2 Site Habitat Creation'!$G$11:$G$256)</f>
        <v>0</v>
      </c>
      <c r="L94" s="494">
        <f>SUMIF('A-2 Site Habitat Creation'!$F$11:$F$256,'G-2 Habitat groups'!A94,'A-2 Site Habitat Creation'!$Y$11:$Y$256)</f>
        <v>0</v>
      </c>
      <c r="M94" s="494">
        <f>SUMIF('A-3 Site Habitat Enhancement'!$S$12:$S$257,'G-2 Habitat groups'!A94,'A-3 Site Habitat Enhancement'!$V$12:$V$257)</f>
        <v>0</v>
      </c>
      <c r="N94" s="494">
        <f>SUMIF('A-3 Site Habitat Enhancement'!$S$12:$S$257,'G-2 Habitat groups'!A94,'A-3 Site Habitat Enhancement'!$AN$12:$AN$257)</f>
        <v>0</v>
      </c>
      <c r="O94" s="494">
        <f t="shared" si="63"/>
        <v>0</v>
      </c>
      <c r="P94" s="494">
        <f t="shared" si="64"/>
        <v>0</v>
      </c>
      <c r="Q94" s="494">
        <f t="shared" si="65"/>
        <v>0</v>
      </c>
      <c r="R94" s="494">
        <f t="shared" si="66"/>
        <v>0</v>
      </c>
      <c r="S94" s="494">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4">
        <f>SUMIF('D-1 Off Site Habitat Baseline'!$G$11:$G$258,'G-2 Habitat groups'!A94,'D-1 Off Site Habitat Baseline'!$Q$11:$Q$258)</f>
        <v>0</v>
      </c>
      <c r="U94" s="591">
        <f>SUMIF('D-1 Off Site Habitat Baseline'!$G$11:$G$258,'G-2 Habitat groups'!A94,'D-1 Off Site Habitat Baseline'!$S$11:$S$258)</f>
        <v>0</v>
      </c>
      <c r="V94" s="494">
        <f>SUMIF('D-1 Off Site Habitat Baseline'!$G$11:$G$258,'G-2 Habitat groups'!A94,'D-1 Off Site Habitat Baseline'!$U$11:$U$258)</f>
        <v>0</v>
      </c>
      <c r="W94" s="494">
        <f>SUMIF('D-2 Off Site Habitat Creation'!$F$9:$F$255,'G-2 Habitat groups'!A94,'D-2 Off Site Habitat Creation'!$G$9:$G$255)</f>
        <v>0</v>
      </c>
      <c r="X94" s="494">
        <f>SUMIF('D-2 Off Site Habitat Creation'!$F$9:$F$255,'G-2 Habitat groups'!A94,'D-2 Off Site Habitat Creation'!$AA$9:$AA$255)</f>
        <v>0</v>
      </c>
      <c r="Y94" s="494">
        <f>SUMIF('D-3 Off Site Habitat Enhancment'!$S$12:$S$491,'G-2 Habitat groups'!A94,'D-3 Off Site Habitat Enhancment'!$V$12:$V$491)</f>
        <v>0</v>
      </c>
      <c r="Z94" s="494">
        <f>SUMIF('D-3 Off Site Habitat Enhancment'!$S$12:$S$491,'G-2 Habitat groups'!A94,'D-3 Off Site Habitat Enhancment'!$AP$12:$AP$491)</f>
        <v>0</v>
      </c>
      <c r="AA94" s="494">
        <f t="shared" si="67"/>
        <v>0</v>
      </c>
      <c r="AB94" s="494">
        <f t="shared" si="68"/>
        <v>0</v>
      </c>
      <c r="AC94" s="494">
        <f t="shared" si="69"/>
        <v>0</v>
      </c>
      <c r="AD94" s="494">
        <f t="shared" si="70"/>
        <v>0</v>
      </c>
      <c r="AE94" s="494">
        <f t="shared" si="71"/>
        <v>0</v>
      </c>
      <c r="AF94" s="494">
        <f t="shared" si="72"/>
        <v>0</v>
      </c>
      <c r="AU94" s="104" t="s">
        <v>613</v>
      </c>
      <c r="AV94" s="88" t="s">
        <v>74</v>
      </c>
      <c r="AW94" s="494">
        <f t="shared" si="89"/>
        <v>0</v>
      </c>
      <c r="AX94" s="494">
        <f t="shared" si="90"/>
        <v>0</v>
      </c>
      <c r="AY94" s="494">
        <f t="shared" si="91"/>
        <v>0</v>
      </c>
      <c r="AZ94" s="494">
        <f t="shared" si="92"/>
        <v>0</v>
      </c>
      <c r="BA94" s="494">
        <f t="shared" si="93"/>
        <v>0</v>
      </c>
      <c r="BB94" s="494">
        <f t="shared" si="94"/>
        <v>0</v>
      </c>
      <c r="BC94" s="494">
        <f t="shared" si="95"/>
        <v>0</v>
      </c>
      <c r="BD94" s="494">
        <f t="shared" si="96"/>
        <v>0</v>
      </c>
      <c r="BE94" s="494">
        <f>BB94+BD94</f>
        <v>0</v>
      </c>
      <c r="BF94" s="494"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4">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4">
        <f>SUMIF('A-1 Site Habitat Baseline'!$G$11:$G$258,'G-2 Habitat groups'!A95,'A-1 Site Habitat Baseline'!$Q$11:$Q$258)</f>
        <v>0</v>
      </c>
      <c r="G95" s="494">
        <f>SUMIF('A-1 Site Habitat Baseline'!$G$11:$G$258,'G-2 Habitat groups'!A95,'A-1 Site Habitat Baseline'!$S$11:$S$258)</f>
        <v>0</v>
      </c>
      <c r="H95" s="494">
        <f>SUMIF('A-1 Site Habitat Baseline'!$G$11:$G$258,'G-2 Habitat groups'!A95,'A-1 Site Habitat Baseline'!$U$11:$U$258)</f>
        <v>0</v>
      </c>
      <c r="I95" s="494">
        <f>SUMIF('A-1 Site Habitat Baseline'!$G$11:$G$258,'G-2 Habitat groups'!A95,'A-1 Site Habitat Baseline'!$W$11:$W$258)</f>
        <v>0</v>
      </c>
      <c r="J95" s="494">
        <f>SUMIF('A-1 Site Habitat Baseline'!$G$11:$G$258,'G-2 Habitat groups'!A95,'A-1 Site Habitat Baseline'!$X$11:$X$258)</f>
        <v>0</v>
      </c>
      <c r="K95" s="494">
        <f>SUMIF('A-2 Site Habitat Creation'!$F$11:$F$256,'G-2 Habitat groups'!A95,'A-2 Site Habitat Creation'!$G$11:$G$256)</f>
        <v>0</v>
      </c>
      <c r="L95" s="494">
        <f>SUMIF('A-2 Site Habitat Creation'!$F$11:$F$256,'G-2 Habitat groups'!A95,'A-2 Site Habitat Creation'!$Y$11:$Y$256)</f>
        <v>0</v>
      </c>
      <c r="M95" s="494">
        <f>SUMIF('A-3 Site Habitat Enhancement'!$S$12:$S$257,'G-2 Habitat groups'!A95,'A-3 Site Habitat Enhancement'!$V$12:$V$257)</f>
        <v>0</v>
      </c>
      <c r="N95" s="494">
        <f>SUMIF('A-3 Site Habitat Enhancement'!$S$12:$S$257,'G-2 Habitat groups'!A95,'A-3 Site Habitat Enhancement'!$AN$12:$AN$257)</f>
        <v>0</v>
      </c>
      <c r="O95" s="494">
        <f t="shared" si="63"/>
        <v>0</v>
      </c>
      <c r="P95" s="494">
        <f t="shared" si="64"/>
        <v>0</v>
      </c>
      <c r="Q95" s="494">
        <f t="shared" si="65"/>
        <v>0</v>
      </c>
      <c r="R95" s="494">
        <f t="shared" si="66"/>
        <v>0</v>
      </c>
      <c r="S95" s="494">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4">
        <f>SUMIF('D-1 Off Site Habitat Baseline'!$G$11:$G$258,'G-2 Habitat groups'!A95,'D-1 Off Site Habitat Baseline'!$Q$11:$Q$258)</f>
        <v>0</v>
      </c>
      <c r="U95" s="591">
        <f>SUMIF('D-1 Off Site Habitat Baseline'!$G$11:$G$258,'G-2 Habitat groups'!A95,'D-1 Off Site Habitat Baseline'!$S$11:$S$258)</f>
        <v>0</v>
      </c>
      <c r="V95" s="494">
        <f>SUMIF('D-1 Off Site Habitat Baseline'!$G$11:$G$258,'G-2 Habitat groups'!A95,'D-1 Off Site Habitat Baseline'!$U$11:$U$258)</f>
        <v>0</v>
      </c>
      <c r="W95" s="494">
        <f>SUMIF('D-2 Off Site Habitat Creation'!$F$9:$F$255,'G-2 Habitat groups'!A95,'D-2 Off Site Habitat Creation'!$G$9:$G$255)</f>
        <v>0</v>
      </c>
      <c r="X95" s="494">
        <f>SUMIF('D-2 Off Site Habitat Creation'!$F$9:$F$255,'G-2 Habitat groups'!A95,'D-2 Off Site Habitat Creation'!$AA$9:$AA$255)</f>
        <v>0</v>
      </c>
      <c r="Y95" s="494">
        <f>SUMIF('D-3 Off Site Habitat Enhancment'!$S$12:$S$491,'G-2 Habitat groups'!A95,'D-3 Off Site Habitat Enhancment'!$V$12:$V$491)</f>
        <v>0</v>
      </c>
      <c r="Z95" s="494">
        <f>SUMIF('D-3 Off Site Habitat Enhancment'!$S$12:$S$491,'G-2 Habitat groups'!A95,'D-3 Off Site Habitat Enhancment'!$AP$12:$AP$491)</f>
        <v>0</v>
      </c>
      <c r="AA95" s="494">
        <f t="shared" si="67"/>
        <v>0</v>
      </c>
      <c r="AB95" s="494">
        <f t="shared" si="68"/>
        <v>0</v>
      </c>
      <c r="AC95" s="494">
        <f t="shared" si="69"/>
        <v>0</v>
      </c>
      <c r="AD95" s="494">
        <f t="shared" si="70"/>
        <v>0</v>
      </c>
      <c r="AE95" s="494">
        <f t="shared" si="71"/>
        <v>0</v>
      </c>
      <c r="AF95" s="494">
        <f t="shared" si="72"/>
        <v>0</v>
      </c>
      <c r="AU95" s="104" t="s">
        <v>689</v>
      </c>
      <c r="AV95" s="88" t="s">
        <v>76</v>
      </c>
      <c r="AW95" s="494">
        <f t="shared" si="89"/>
        <v>0</v>
      </c>
      <c r="AX95" s="494">
        <f t="shared" si="90"/>
        <v>0</v>
      </c>
      <c r="AY95" s="494">
        <f t="shared" si="91"/>
        <v>0</v>
      </c>
      <c r="AZ95" s="494">
        <f t="shared" si="92"/>
        <v>0</v>
      </c>
      <c r="BA95" s="494">
        <f t="shared" si="93"/>
        <v>0</v>
      </c>
      <c r="BB95" s="494">
        <f t="shared" si="94"/>
        <v>0</v>
      </c>
      <c r="BC95" s="494">
        <f t="shared" si="95"/>
        <v>0</v>
      </c>
      <c r="BD95" s="494">
        <f t="shared" si="96"/>
        <v>0</v>
      </c>
      <c r="BE95" s="494">
        <f>BB95+BD95</f>
        <v>0</v>
      </c>
      <c r="BF95" s="494"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4">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4">
        <f>SUMIF('A-1 Site Habitat Baseline'!$G$11:$G$258,'G-2 Habitat groups'!A96,'A-1 Site Habitat Baseline'!$Q$11:$Q$258)</f>
        <v>0</v>
      </c>
      <c r="G96" s="494">
        <f>SUMIF('A-1 Site Habitat Baseline'!$G$11:$G$258,'G-2 Habitat groups'!A96,'A-1 Site Habitat Baseline'!$S$11:$S$258)</f>
        <v>0</v>
      </c>
      <c r="H96" s="494">
        <f>SUMIF('A-1 Site Habitat Baseline'!$G$11:$G$258,'G-2 Habitat groups'!A96,'A-1 Site Habitat Baseline'!$U$11:$U$258)</f>
        <v>0</v>
      </c>
      <c r="I96" s="494">
        <f>SUMIF('A-1 Site Habitat Baseline'!$G$11:$G$258,'G-2 Habitat groups'!A96,'A-1 Site Habitat Baseline'!$W$11:$W$258)</f>
        <v>0</v>
      </c>
      <c r="J96" s="494">
        <f>SUMIF('A-1 Site Habitat Baseline'!$G$11:$G$258,'G-2 Habitat groups'!A96,'A-1 Site Habitat Baseline'!$X$11:$X$258)</f>
        <v>0</v>
      </c>
      <c r="K96" s="494">
        <f>SUMIF('A-2 Site Habitat Creation'!$F$11:$F$256,'G-2 Habitat groups'!A96,'A-2 Site Habitat Creation'!$G$11:$G$256)</f>
        <v>0</v>
      </c>
      <c r="L96" s="494">
        <f>SUMIF('A-2 Site Habitat Creation'!$F$11:$F$256,'G-2 Habitat groups'!A96,'A-2 Site Habitat Creation'!$Y$11:$Y$256)</f>
        <v>0</v>
      </c>
      <c r="M96" s="494">
        <f>SUMIF('A-3 Site Habitat Enhancement'!$S$12:$S$257,'G-2 Habitat groups'!A96,'A-3 Site Habitat Enhancement'!$V$12:$V$257)</f>
        <v>0</v>
      </c>
      <c r="N96" s="494">
        <f>SUMIF('A-3 Site Habitat Enhancement'!$S$12:$S$257,'G-2 Habitat groups'!A96,'A-3 Site Habitat Enhancement'!$AN$12:$AN$257)</f>
        <v>0</v>
      </c>
      <c r="O96" s="494">
        <f t="shared" si="63"/>
        <v>0</v>
      </c>
      <c r="P96" s="494">
        <f t="shared" si="64"/>
        <v>0</v>
      </c>
      <c r="Q96" s="494">
        <f t="shared" si="65"/>
        <v>0</v>
      </c>
      <c r="R96" s="494">
        <f t="shared" si="66"/>
        <v>0</v>
      </c>
      <c r="S96" s="494">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4">
        <f>SUMIF('D-1 Off Site Habitat Baseline'!$G$11:$G$258,'G-2 Habitat groups'!A96,'D-1 Off Site Habitat Baseline'!$Q$11:$Q$258)</f>
        <v>0</v>
      </c>
      <c r="U96" s="591">
        <f>SUMIF('D-1 Off Site Habitat Baseline'!$G$11:$G$258,'G-2 Habitat groups'!A96,'D-1 Off Site Habitat Baseline'!$S$11:$S$258)</f>
        <v>0</v>
      </c>
      <c r="V96" s="494">
        <f>SUMIF('D-1 Off Site Habitat Baseline'!$G$11:$G$258,'G-2 Habitat groups'!A96,'D-1 Off Site Habitat Baseline'!$U$11:$U$258)</f>
        <v>0</v>
      </c>
      <c r="W96" s="494">
        <f>SUMIF('D-2 Off Site Habitat Creation'!$F$9:$F$255,'G-2 Habitat groups'!A96,'D-2 Off Site Habitat Creation'!$G$9:$G$255)</f>
        <v>0</v>
      </c>
      <c r="X96" s="494">
        <f>SUMIF('D-2 Off Site Habitat Creation'!$F$9:$F$255,'G-2 Habitat groups'!A96,'D-2 Off Site Habitat Creation'!$AA$9:$AA$255)</f>
        <v>0</v>
      </c>
      <c r="Y96" s="494">
        <f>SUMIF('D-3 Off Site Habitat Enhancment'!$S$12:$S$491,'G-2 Habitat groups'!A96,'D-3 Off Site Habitat Enhancment'!$V$12:$V$491)</f>
        <v>0</v>
      </c>
      <c r="Z96" s="494">
        <f>SUMIF('D-3 Off Site Habitat Enhancment'!$S$12:$S$491,'G-2 Habitat groups'!A96,'D-3 Off Site Habitat Enhancment'!$AP$12:$AP$491)</f>
        <v>0</v>
      </c>
      <c r="AA96" s="494">
        <f t="shared" si="67"/>
        <v>0</v>
      </c>
      <c r="AB96" s="494">
        <f t="shared" si="68"/>
        <v>0</v>
      </c>
      <c r="AC96" s="494">
        <f t="shared" si="69"/>
        <v>0</v>
      </c>
      <c r="AD96" s="494">
        <f t="shared" si="70"/>
        <v>0</v>
      </c>
      <c r="AE96" s="494">
        <f t="shared" si="71"/>
        <v>0</v>
      </c>
      <c r="AF96" s="494">
        <f t="shared" si="72"/>
        <v>0</v>
      </c>
      <c r="AU96" s="104" t="s">
        <v>692</v>
      </c>
      <c r="AV96" s="88" t="s">
        <v>76</v>
      </c>
      <c r="AW96" s="494">
        <f t="shared" si="89"/>
        <v>0</v>
      </c>
      <c r="AX96" s="494">
        <f t="shared" si="90"/>
        <v>0</v>
      </c>
      <c r="AY96" s="494">
        <f t="shared" si="91"/>
        <v>0</v>
      </c>
      <c r="AZ96" s="494">
        <f t="shared" si="92"/>
        <v>0</v>
      </c>
      <c r="BA96" s="494">
        <f t="shared" si="93"/>
        <v>0</v>
      </c>
      <c r="BB96" s="494">
        <f t="shared" si="94"/>
        <v>0</v>
      </c>
      <c r="BC96" s="494">
        <f t="shared" si="95"/>
        <v>0</v>
      </c>
      <c r="BD96" s="494">
        <f t="shared" si="96"/>
        <v>0</v>
      </c>
      <c r="BE96" s="494">
        <f>BB96+BD96</f>
        <v>0</v>
      </c>
      <c r="BF96" s="494"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4">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4">
        <f>SUMIF('A-1 Site Habitat Baseline'!$G$11:$G$258,'G-2 Habitat groups'!A97,'A-1 Site Habitat Baseline'!$Q$11:$Q$258)</f>
        <v>0</v>
      </c>
      <c r="G97" s="494">
        <f>SUMIF('A-1 Site Habitat Baseline'!$G$11:$G$258,'G-2 Habitat groups'!A97,'A-1 Site Habitat Baseline'!$S$11:$S$258)</f>
        <v>0</v>
      </c>
      <c r="H97" s="494">
        <f>SUMIF('A-1 Site Habitat Baseline'!$G$11:$G$258,'G-2 Habitat groups'!A97,'A-1 Site Habitat Baseline'!$U$11:$U$258)</f>
        <v>0</v>
      </c>
      <c r="I97" s="494">
        <f>SUMIF('A-1 Site Habitat Baseline'!$G$11:$G$258,'G-2 Habitat groups'!A97,'A-1 Site Habitat Baseline'!$W$11:$W$258)</f>
        <v>0</v>
      </c>
      <c r="J97" s="494">
        <f>SUMIF('A-1 Site Habitat Baseline'!$G$11:$G$258,'G-2 Habitat groups'!A97,'A-1 Site Habitat Baseline'!$X$11:$X$258)</f>
        <v>0</v>
      </c>
      <c r="K97" s="494">
        <f>SUMIF('A-2 Site Habitat Creation'!$F$11:$F$256,'G-2 Habitat groups'!A97,'A-2 Site Habitat Creation'!$G$11:$G$256)</f>
        <v>0</v>
      </c>
      <c r="L97" s="494">
        <f>SUMIF('A-2 Site Habitat Creation'!$F$11:$F$256,'G-2 Habitat groups'!A97,'A-2 Site Habitat Creation'!$Y$11:$Y$256)</f>
        <v>0</v>
      </c>
      <c r="M97" s="494">
        <f>SUMIF('A-3 Site Habitat Enhancement'!$S$12:$S$257,'G-2 Habitat groups'!A97,'A-3 Site Habitat Enhancement'!$V$12:$V$257)</f>
        <v>0</v>
      </c>
      <c r="N97" s="494">
        <f>SUMIF('A-3 Site Habitat Enhancement'!$S$12:$S$257,'G-2 Habitat groups'!A97,'A-3 Site Habitat Enhancement'!$AN$12:$AN$257)</f>
        <v>0</v>
      </c>
      <c r="O97" s="494">
        <f t="shared" si="63"/>
        <v>0</v>
      </c>
      <c r="P97" s="494">
        <f t="shared" si="64"/>
        <v>0</v>
      </c>
      <c r="Q97" s="494">
        <f t="shared" si="65"/>
        <v>0</v>
      </c>
      <c r="R97" s="494">
        <f t="shared" si="66"/>
        <v>0</v>
      </c>
      <c r="S97" s="494">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4">
        <f>SUMIF('D-1 Off Site Habitat Baseline'!$G$11:$G$258,'G-2 Habitat groups'!A97,'D-1 Off Site Habitat Baseline'!$Q$11:$Q$258)</f>
        <v>0</v>
      </c>
      <c r="U97" s="591">
        <f>SUMIF('D-1 Off Site Habitat Baseline'!$G$11:$G$258,'G-2 Habitat groups'!A97,'D-1 Off Site Habitat Baseline'!$S$11:$S$258)</f>
        <v>0</v>
      </c>
      <c r="V97" s="494">
        <f>SUMIF('D-1 Off Site Habitat Baseline'!$G$11:$G$258,'G-2 Habitat groups'!A97,'D-1 Off Site Habitat Baseline'!$U$11:$U$258)</f>
        <v>0</v>
      </c>
      <c r="W97" s="494">
        <f>SUMIF('D-2 Off Site Habitat Creation'!$F$9:$F$255,'G-2 Habitat groups'!A97,'D-2 Off Site Habitat Creation'!$G$9:$G$255)</f>
        <v>0</v>
      </c>
      <c r="X97" s="494">
        <f>SUMIF('D-2 Off Site Habitat Creation'!$F$9:$F$255,'G-2 Habitat groups'!A97,'D-2 Off Site Habitat Creation'!$AA$9:$AA$255)</f>
        <v>0</v>
      </c>
      <c r="Y97" s="494">
        <f>SUMIF('D-3 Off Site Habitat Enhancment'!$S$12:$S$491,'G-2 Habitat groups'!A97,'D-3 Off Site Habitat Enhancment'!$V$12:$V$491)</f>
        <v>0</v>
      </c>
      <c r="Z97" s="494">
        <f>SUMIF('D-3 Off Site Habitat Enhancment'!$S$12:$S$491,'G-2 Habitat groups'!A97,'D-3 Off Site Habitat Enhancment'!$AP$12:$AP$491)</f>
        <v>0</v>
      </c>
      <c r="AA97" s="494">
        <f t="shared" si="67"/>
        <v>0</v>
      </c>
      <c r="AB97" s="494">
        <f t="shared" si="68"/>
        <v>0</v>
      </c>
      <c r="AC97" s="494">
        <f t="shared" si="69"/>
        <v>0</v>
      </c>
      <c r="AD97" s="494">
        <f t="shared" si="70"/>
        <v>0</v>
      </c>
      <c r="AE97" s="494">
        <f t="shared" si="71"/>
        <v>0</v>
      </c>
      <c r="AF97" s="494">
        <f t="shared" si="72"/>
        <v>0</v>
      </c>
      <c r="AU97" s="104" t="s">
        <v>695</v>
      </c>
      <c r="AV97" s="88" t="s">
        <v>76</v>
      </c>
      <c r="AW97" s="494">
        <f t="shared" si="89"/>
        <v>0</v>
      </c>
      <c r="AX97" s="494">
        <f t="shared" si="90"/>
        <v>0</v>
      </c>
      <c r="AY97" s="494">
        <f t="shared" si="91"/>
        <v>0</v>
      </c>
      <c r="AZ97" s="494">
        <f t="shared" si="92"/>
        <v>0</v>
      </c>
      <c r="BA97" s="494">
        <f t="shared" si="93"/>
        <v>0</v>
      </c>
      <c r="BB97" s="494">
        <f t="shared" si="94"/>
        <v>0</v>
      </c>
      <c r="BC97" s="494">
        <f t="shared" si="95"/>
        <v>0</v>
      </c>
      <c r="BD97" s="494">
        <f t="shared" si="96"/>
        <v>0</v>
      </c>
      <c r="BE97" s="494">
        <f>BB97+BD97</f>
        <v>0</v>
      </c>
      <c r="BF97" s="494"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4">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4">
        <f>SUMIF('A-1 Site Habitat Baseline'!$G$11:$G$258,'G-2 Habitat groups'!A98,'A-1 Site Habitat Baseline'!$Q$11:$Q$258)</f>
        <v>0</v>
      </c>
      <c r="G98" s="494">
        <f>SUMIF('A-1 Site Habitat Baseline'!$G$11:$G$258,'G-2 Habitat groups'!A98,'A-1 Site Habitat Baseline'!$S$11:$S$258)</f>
        <v>0</v>
      </c>
      <c r="H98" s="494">
        <f>SUMIF('A-1 Site Habitat Baseline'!$G$11:$G$258,'G-2 Habitat groups'!A98,'A-1 Site Habitat Baseline'!$U$11:$U$258)</f>
        <v>0</v>
      </c>
      <c r="I98" s="494">
        <f>SUMIF('A-1 Site Habitat Baseline'!$G$11:$G$258,'G-2 Habitat groups'!A98,'A-1 Site Habitat Baseline'!$W$11:$W$258)</f>
        <v>0</v>
      </c>
      <c r="J98" s="494">
        <f>SUMIF('A-1 Site Habitat Baseline'!$G$11:$G$258,'G-2 Habitat groups'!A98,'A-1 Site Habitat Baseline'!$X$11:$X$258)</f>
        <v>0</v>
      </c>
      <c r="K98" s="494">
        <f>SUMIF('A-2 Site Habitat Creation'!$F$11:$F$256,'G-2 Habitat groups'!A98,'A-2 Site Habitat Creation'!$G$11:$G$256)</f>
        <v>0</v>
      </c>
      <c r="L98" s="494">
        <f>SUMIF('A-2 Site Habitat Creation'!$F$11:$F$256,'G-2 Habitat groups'!A98,'A-2 Site Habitat Creation'!$Y$11:$Y$256)</f>
        <v>0</v>
      </c>
      <c r="M98" s="494">
        <f>SUMIF('A-3 Site Habitat Enhancement'!$S$12:$S$257,'G-2 Habitat groups'!A98,'A-3 Site Habitat Enhancement'!$V$12:$V$257)</f>
        <v>0</v>
      </c>
      <c r="N98" s="494">
        <f>SUMIF('A-3 Site Habitat Enhancement'!$S$12:$S$257,'G-2 Habitat groups'!A98,'A-3 Site Habitat Enhancement'!$AN$12:$AN$257)</f>
        <v>0</v>
      </c>
      <c r="O98" s="494">
        <f t="shared" si="63"/>
        <v>0</v>
      </c>
      <c r="P98" s="494">
        <f t="shared" si="64"/>
        <v>0</v>
      </c>
      <c r="Q98" s="494">
        <f t="shared" si="65"/>
        <v>0</v>
      </c>
      <c r="R98" s="494">
        <f t="shared" si="66"/>
        <v>0</v>
      </c>
      <c r="S98" s="494">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4">
        <f>SUMIF('D-1 Off Site Habitat Baseline'!$G$11:$G$258,'G-2 Habitat groups'!A98,'D-1 Off Site Habitat Baseline'!$Q$11:$Q$258)</f>
        <v>0</v>
      </c>
      <c r="U98" s="591">
        <f>SUMIF('D-1 Off Site Habitat Baseline'!$G$11:$G$258,'G-2 Habitat groups'!A98,'D-1 Off Site Habitat Baseline'!$S$11:$S$258)</f>
        <v>0</v>
      </c>
      <c r="V98" s="494">
        <f>SUMIF('D-1 Off Site Habitat Baseline'!$G$11:$G$258,'G-2 Habitat groups'!A98,'D-1 Off Site Habitat Baseline'!$U$11:$U$258)</f>
        <v>0</v>
      </c>
      <c r="W98" s="494">
        <f>SUMIF('D-2 Off Site Habitat Creation'!$F$9:$F$255,'G-2 Habitat groups'!A98,'D-2 Off Site Habitat Creation'!$G$9:$G$255)</f>
        <v>0</v>
      </c>
      <c r="X98" s="494">
        <f>SUMIF('D-2 Off Site Habitat Creation'!$F$9:$F$255,'G-2 Habitat groups'!A98,'D-2 Off Site Habitat Creation'!$AA$9:$AA$255)</f>
        <v>0</v>
      </c>
      <c r="Y98" s="494">
        <f>SUMIF('D-3 Off Site Habitat Enhancment'!$S$12:$S$491,'G-2 Habitat groups'!A98,'D-3 Off Site Habitat Enhancment'!$V$12:$V$491)</f>
        <v>0</v>
      </c>
      <c r="Z98" s="494">
        <f>SUMIF('D-3 Off Site Habitat Enhancment'!$S$12:$S$491,'G-2 Habitat groups'!A98,'D-3 Off Site Habitat Enhancment'!$AP$12:$AP$491)</f>
        <v>0</v>
      </c>
      <c r="AA98" s="494">
        <f t="shared" si="67"/>
        <v>0</v>
      </c>
      <c r="AB98" s="494">
        <f t="shared" si="68"/>
        <v>0</v>
      </c>
      <c r="AC98" s="494">
        <f t="shared" si="69"/>
        <v>0</v>
      </c>
      <c r="AD98" s="494">
        <f t="shared" si="70"/>
        <v>0</v>
      </c>
      <c r="AE98" s="494">
        <f t="shared" si="71"/>
        <v>0</v>
      </c>
      <c r="AF98" s="494">
        <f t="shared" si="72"/>
        <v>0</v>
      </c>
      <c r="AU98" s="104" t="s">
        <v>755</v>
      </c>
      <c r="AV98" s="88" t="s">
        <v>77</v>
      </c>
      <c r="AW98" s="494">
        <f t="shared" si="89"/>
        <v>0</v>
      </c>
      <c r="AX98" s="494">
        <f t="shared" si="90"/>
        <v>0</v>
      </c>
      <c r="AY98" s="494">
        <f t="shared" si="91"/>
        <v>0</v>
      </c>
      <c r="AZ98" s="494">
        <f t="shared" si="92"/>
        <v>0</v>
      </c>
      <c r="BA98" s="494">
        <f t="shared" si="93"/>
        <v>0</v>
      </c>
      <c r="BB98" s="494">
        <f t="shared" si="94"/>
        <v>0</v>
      </c>
      <c r="BC98" s="494">
        <f t="shared" si="95"/>
        <v>0</v>
      </c>
      <c r="BD98" s="494">
        <f t="shared" si="96"/>
        <v>0</v>
      </c>
      <c r="BE98" s="494">
        <f t="shared" ref="BE98:BE99" si="101">BB98+BD98</f>
        <v>0</v>
      </c>
      <c r="BF98" s="494"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4">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4">
        <f>SUMIF('A-1 Site Habitat Baseline'!$G$11:$G$258,'G-2 Habitat groups'!A99,'A-1 Site Habitat Baseline'!$Q$11:$Q$258)</f>
        <v>0</v>
      </c>
      <c r="G99" s="494">
        <f>SUMIF('A-1 Site Habitat Baseline'!$G$11:$G$258,'G-2 Habitat groups'!A99,'A-1 Site Habitat Baseline'!$S$11:$S$258)</f>
        <v>0</v>
      </c>
      <c r="H99" s="494">
        <f>SUMIF('A-1 Site Habitat Baseline'!$G$11:$G$258,'G-2 Habitat groups'!A99,'A-1 Site Habitat Baseline'!$U$11:$U$258)</f>
        <v>0</v>
      </c>
      <c r="I99" s="494">
        <f>SUMIF('A-1 Site Habitat Baseline'!$G$11:$G$258,'G-2 Habitat groups'!A99,'A-1 Site Habitat Baseline'!$W$11:$W$258)</f>
        <v>0</v>
      </c>
      <c r="J99" s="494">
        <f>SUMIF('A-1 Site Habitat Baseline'!$G$11:$G$258,'G-2 Habitat groups'!A99,'A-1 Site Habitat Baseline'!$X$11:$X$258)</f>
        <v>0</v>
      </c>
      <c r="K99" s="494">
        <f>SUMIF('A-2 Site Habitat Creation'!$F$11:$F$256,'G-2 Habitat groups'!A99,'A-2 Site Habitat Creation'!$G$11:$G$256)</f>
        <v>0</v>
      </c>
      <c r="L99" s="494">
        <f>SUMIF('A-2 Site Habitat Creation'!$F$11:$F$256,'G-2 Habitat groups'!A99,'A-2 Site Habitat Creation'!$Y$11:$Y$256)</f>
        <v>0</v>
      </c>
      <c r="M99" s="494">
        <f>SUMIF('A-3 Site Habitat Enhancement'!$S$12:$S$257,'G-2 Habitat groups'!A99,'A-3 Site Habitat Enhancement'!$V$12:$V$257)</f>
        <v>0</v>
      </c>
      <c r="N99" s="494">
        <f>SUMIF('A-3 Site Habitat Enhancement'!$S$12:$S$257,'G-2 Habitat groups'!A99,'A-3 Site Habitat Enhancement'!$AN$12:$AN$257)</f>
        <v>0</v>
      </c>
      <c r="O99" s="494">
        <f t="shared" ref="O99:O130" si="103">G99+K99+M99</f>
        <v>0</v>
      </c>
      <c r="P99" s="494">
        <f t="shared" ref="P99:P130" si="104">H99+L99+N99</f>
        <v>0</v>
      </c>
      <c r="Q99" s="494">
        <f t="shared" ref="Q99:Q130" si="105">O99-E99</f>
        <v>0</v>
      </c>
      <c r="R99" s="494">
        <f t="shared" ref="R99:R130" si="106">P99-F99</f>
        <v>0</v>
      </c>
      <c r="S99" s="494">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4">
        <f>SUMIF('D-1 Off Site Habitat Baseline'!$G$11:$G$258,'G-2 Habitat groups'!A99,'D-1 Off Site Habitat Baseline'!$Q$11:$Q$258)</f>
        <v>0</v>
      </c>
      <c r="U99" s="591">
        <f>SUMIF('D-1 Off Site Habitat Baseline'!$G$11:$G$258,'G-2 Habitat groups'!A99,'D-1 Off Site Habitat Baseline'!$S$11:$S$258)</f>
        <v>0</v>
      </c>
      <c r="V99" s="494">
        <f>SUMIF('D-1 Off Site Habitat Baseline'!$G$11:$G$258,'G-2 Habitat groups'!A99,'D-1 Off Site Habitat Baseline'!$U$11:$U$258)</f>
        <v>0</v>
      </c>
      <c r="W99" s="494">
        <f>SUMIF('D-2 Off Site Habitat Creation'!$F$9:$F$255,'G-2 Habitat groups'!A99,'D-2 Off Site Habitat Creation'!$G$9:$G$255)</f>
        <v>0</v>
      </c>
      <c r="X99" s="494">
        <f>SUMIF('D-2 Off Site Habitat Creation'!$F$9:$F$255,'G-2 Habitat groups'!A99,'D-2 Off Site Habitat Creation'!$AA$9:$AA$255)</f>
        <v>0</v>
      </c>
      <c r="Y99" s="494">
        <f>SUMIF('D-3 Off Site Habitat Enhancment'!$S$12:$S$491,'G-2 Habitat groups'!A99,'D-3 Off Site Habitat Enhancment'!$V$12:$V$491)</f>
        <v>0</v>
      </c>
      <c r="Z99" s="494">
        <f>SUMIF('D-3 Off Site Habitat Enhancment'!$S$12:$S$491,'G-2 Habitat groups'!A99,'D-3 Off Site Habitat Enhancment'!$AP$12:$AP$491)</f>
        <v>0</v>
      </c>
      <c r="AA99" s="494">
        <f t="shared" ref="AA99:AA131" si="107">U99+W99+Y99</f>
        <v>0</v>
      </c>
      <c r="AB99" s="494">
        <f t="shared" ref="AB99:AB131" si="108">V99+X99+Z99</f>
        <v>0</v>
      </c>
      <c r="AC99" s="494">
        <f t="shared" ref="AC99:AC130" si="109">AA99-S99</f>
        <v>0</v>
      </c>
      <c r="AD99" s="494">
        <f t="shared" ref="AD99:AD130" si="110">AB99-T99</f>
        <v>0</v>
      </c>
      <c r="AE99" s="494">
        <f t="shared" ref="AE99:AE130" si="111">Q99+AC99</f>
        <v>0</v>
      </c>
      <c r="AF99" s="494">
        <f t="shared" ref="AF99:AF130" si="112">R99+AD99</f>
        <v>0</v>
      </c>
      <c r="AU99" s="130" t="s">
        <v>803</v>
      </c>
      <c r="AV99" s="88" t="s">
        <v>77</v>
      </c>
      <c r="AW99" s="494">
        <f t="shared" si="89"/>
        <v>0</v>
      </c>
      <c r="AX99" s="494">
        <f t="shared" si="90"/>
        <v>0</v>
      </c>
      <c r="AY99" s="494">
        <f t="shared" si="91"/>
        <v>0</v>
      </c>
      <c r="AZ99" s="494">
        <f t="shared" si="92"/>
        <v>0</v>
      </c>
      <c r="BA99" s="494">
        <f t="shared" si="93"/>
        <v>0</v>
      </c>
      <c r="BB99" s="494">
        <f t="shared" si="94"/>
        <v>0</v>
      </c>
      <c r="BC99" s="494">
        <f t="shared" si="95"/>
        <v>0</v>
      </c>
      <c r="BD99" s="494">
        <f t="shared" si="96"/>
        <v>0</v>
      </c>
      <c r="BE99" s="494">
        <f t="shared" si="101"/>
        <v>0</v>
      </c>
      <c r="BF99" s="494" t="str">
        <f t="shared" si="102"/>
        <v/>
      </c>
    </row>
    <row r="100" spans="1:59" ht="27.6" x14ac:dyDescent="0.25">
      <c r="A100" s="104" t="str">
        <f>'G-1 All Habitats'!B99</f>
        <v>Coastal lagoons - Coastal lagoons</v>
      </c>
      <c r="B100" s="88" t="str">
        <f>'G-1 All Habitats'!F99</f>
        <v>Coastal lagoons</v>
      </c>
      <c r="C100" s="88" t="str">
        <f>'G-1 All Habitats'!K99</f>
        <v>High</v>
      </c>
      <c r="D100" s="88" t="str">
        <f>'G-1 All Habitats'!M99</f>
        <v>Same habitat required =</v>
      </c>
      <c r="E100" s="494">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4">
        <f>SUMIF('A-1 Site Habitat Baseline'!$G$11:$G$258,'G-2 Habitat groups'!A100,'A-1 Site Habitat Baseline'!$Q$11:$Q$258)</f>
        <v>0</v>
      </c>
      <c r="G100" s="494">
        <f>SUMIF('A-1 Site Habitat Baseline'!$G$11:$G$258,'G-2 Habitat groups'!A100,'A-1 Site Habitat Baseline'!$S$11:$S$258)</f>
        <v>0</v>
      </c>
      <c r="H100" s="494">
        <f>SUMIF('A-1 Site Habitat Baseline'!$G$11:$G$258,'G-2 Habitat groups'!A100,'A-1 Site Habitat Baseline'!$U$11:$U$258)</f>
        <v>0</v>
      </c>
      <c r="I100" s="494">
        <f>SUMIF('A-1 Site Habitat Baseline'!$G$11:$G$258,'G-2 Habitat groups'!A100,'A-1 Site Habitat Baseline'!$W$11:$W$258)</f>
        <v>0</v>
      </c>
      <c r="J100" s="494">
        <f>SUMIF('A-1 Site Habitat Baseline'!$G$11:$G$258,'G-2 Habitat groups'!A100,'A-1 Site Habitat Baseline'!$X$11:$X$258)</f>
        <v>0</v>
      </c>
      <c r="K100" s="494">
        <f>SUMIF('A-2 Site Habitat Creation'!$F$11:$F$256,'G-2 Habitat groups'!A100,'A-2 Site Habitat Creation'!$G$11:$G$256)</f>
        <v>0</v>
      </c>
      <c r="L100" s="494">
        <f>SUMIF('A-2 Site Habitat Creation'!$F$11:$F$256,'G-2 Habitat groups'!A100,'A-2 Site Habitat Creation'!$Y$11:$Y$256)</f>
        <v>0</v>
      </c>
      <c r="M100" s="494">
        <f>SUMIF('A-3 Site Habitat Enhancement'!$S$12:$S$257,'G-2 Habitat groups'!A100,'A-3 Site Habitat Enhancement'!$V$12:$V$257)</f>
        <v>0</v>
      </c>
      <c r="N100" s="494">
        <f>SUMIF('A-3 Site Habitat Enhancement'!$S$12:$S$257,'G-2 Habitat groups'!A100,'A-3 Site Habitat Enhancement'!$AN$12:$AN$257)</f>
        <v>0</v>
      </c>
      <c r="O100" s="494">
        <f t="shared" si="103"/>
        <v>0</v>
      </c>
      <c r="P100" s="494">
        <f t="shared" si="104"/>
        <v>0</v>
      </c>
      <c r="Q100" s="494">
        <f t="shared" si="105"/>
        <v>0</v>
      </c>
      <c r="R100" s="494">
        <f t="shared" si="106"/>
        <v>0</v>
      </c>
      <c r="S100" s="494">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4">
        <f>SUMIF('D-1 Off Site Habitat Baseline'!$G$11:$G$258,'G-2 Habitat groups'!A100,'D-1 Off Site Habitat Baseline'!$Q$11:$Q$258)</f>
        <v>0</v>
      </c>
      <c r="U100" s="591">
        <f>SUMIF('D-1 Off Site Habitat Baseline'!$G$11:$G$258,'G-2 Habitat groups'!A100,'D-1 Off Site Habitat Baseline'!$S$11:$S$258)</f>
        <v>0</v>
      </c>
      <c r="V100" s="494">
        <f>SUMIF('D-1 Off Site Habitat Baseline'!$G$11:$G$258,'G-2 Habitat groups'!A100,'D-1 Off Site Habitat Baseline'!$U$11:$U$258)</f>
        <v>0</v>
      </c>
      <c r="W100" s="494">
        <f>SUMIF('D-2 Off Site Habitat Creation'!$F$9:$F$255,'G-2 Habitat groups'!A100,'D-2 Off Site Habitat Creation'!$G$9:$G$255)</f>
        <v>0</v>
      </c>
      <c r="X100" s="494">
        <f>SUMIF('D-2 Off Site Habitat Creation'!$F$9:$F$255,'G-2 Habitat groups'!A100,'D-2 Off Site Habitat Creation'!$AA$9:$AA$255)</f>
        <v>0</v>
      </c>
      <c r="Y100" s="494">
        <f>SUMIF('D-3 Off Site Habitat Enhancment'!$S$12:$S$491,'G-2 Habitat groups'!A100,'D-3 Off Site Habitat Enhancment'!$V$12:$V$491)</f>
        <v>0</v>
      </c>
      <c r="Z100" s="494">
        <f>SUMIF('D-3 Off Site Habitat Enhancment'!$S$12:$S$491,'G-2 Habitat groups'!A100,'D-3 Off Site Habitat Enhancment'!$AP$12:$AP$491)</f>
        <v>0</v>
      </c>
      <c r="AA100" s="494">
        <f t="shared" si="107"/>
        <v>0</v>
      </c>
      <c r="AB100" s="494">
        <f t="shared" si="108"/>
        <v>0</v>
      </c>
      <c r="AC100" s="494">
        <f t="shared" si="109"/>
        <v>0</v>
      </c>
      <c r="AD100" s="494">
        <f t="shared" si="110"/>
        <v>0</v>
      </c>
      <c r="AE100" s="494">
        <f t="shared" si="111"/>
        <v>0</v>
      </c>
      <c r="AF100" s="494">
        <f t="shared" si="112"/>
        <v>0</v>
      </c>
      <c r="AU100" s="130" t="s">
        <v>815</v>
      </c>
      <c r="AV100" s="328" t="s">
        <v>869</v>
      </c>
      <c r="AW100" s="592">
        <f t="shared" si="89"/>
        <v>0</v>
      </c>
      <c r="AX100" s="592">
        <f t="shared" si="90"/>
        <v>0</v>
      </c>
      <c r="AY100" s="592">
        <f t="shared" si="91"/>
        <v>0</v>
      </c>
      <c r="AZ100" s="592">
        <f t="shared" si="92"/>
        <v>0</v>
      </c>
      <c r="BA100" s="592">
        <f t="shared" si="93"/>
        <v>0</v>
      </c>
      <c r="BB100" s="592">
        <f t="shared" si="94"/>
        <v>0</v>
      </c>
      <c r="BC100" s="592">
        <f t="shared" si="95"/>
        <v>0</v>
      </c>
      <c r="BD100" s="592">
        <f t="shared" si="96"/>
        <v>0</v>
      </c>
      <c r="BE100" s="592">
        <f t="shared" ref="BE100" si="113">BB100+BD100</f>
        <v>0</v>
      </c>
      <c r="BF100" s="592"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4">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4">
        <f>SUMIF('A-1 Site Habitat Baseline'!$G$11:$G$258,'G-2 Habitat groups'!A101,'A-1 Site Habitat Baseline'!$Q$11:$Q$258)</f>
        <v>0</v>
      </c>
      <c r="G101" s="494">
        <f>SUMIF('A-1 Site Habitat Baseline'!$G$11:$G$258,'G-2 Habitat groups'!A101,'A-1 Site Habitat Baseline'!$S$11:$S$258)</f>
        <v>0</v>
      </c>
      <c r="H101" s="494">
        <f>SUMIF('A-1 Site Habitat Baseline'!$G$11:$G$258,'G-2 Habitat groups'!A101,'A-1 Site Habitat Baseline'!$U$11:$U$258)</f>
        <v>0</v>
      </c>
      <c r="I101" s="494">
        <f>SUMIF('A-1 Site Habitat Baseline'!$G$11:$G$258,'G-2 Habitat groups'!A101,'A-1 Site Habitat Baseline'!$W$11:$W$258)</f>
        <v>0</v>
      </c>
      <c r="J101" s="494">
        <f>SUMIF('A-1 Site Habitat Baseline'!$G$11:$G$258,'G-2 Habitat groups'!A101,'A-1 Site Habitat Baseline'!$X$11:$X$258)</f>
        <v>0</v>
      </c>
      <c r="K101" s="494">
        <f>SUMIF('A-2 Site Habitat Creation'!$F$11:$F$256,'G-2 Habitat groups'!A101,'A-2 Site Habitat Creation'!$G$11:$G$256)</f>
        <v>0</v>
      </c>
      <c r="L101" s="494">
        <f>SUMIF('A-2 Site Habitat Creation'!$F$11:$F$256,'G-2 Habitat groups'!A101,'A-2 Site Habitat Creation'!$Y$11:$Y$256)</f>
        <v>0</v>
      </c>
      <c r="M101" s="494">
        <f>SUMIF('A-3 Site Habitat Enhancement'!$S$12:$S$257,'G-2 Habitat groups'!A101,'A-3 Site Habitat Enhancement'!$V$12:$V$257)</f>
        <v>0</v>
      </c>
      <c r="N101" s="494">
        <f>SUMIF('A-3 Site Habitat Enhancement'!$S$12:$S$257,'G-2 Habitat groups'!A101,'A-3 Site Habitat Enhancement'!$AN$12:$AN$257)</f>
        <v>0</v>
      </c>
      <c r="O101" s="494">
        <f t="shared" si="103"/>
        <v>0</v>
      </c>
      <c r="P101" s="494">
        <f t="shared" si="104"/>
        <v>0</v>
      </c>
      <c r="Q101" s="494">
        <f t="shared" si="105"/>
        <v>0</v>
      </c>
      <c r="R101" s="494">
        <f t="shared" si="106"/>
        <v>0</v>
      </c>
      <c r="S101" s="494">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4">
        <f>SUMIF('D-1 Off Site Habitat Baseline'!$G$11:$G$258,'G-2 Habitat groups'!A101,'D-1 Off Site Habitat Baseline'!$Q$11:$Q$258)</f>
        <v>0</v>
      </c>
      <c r="U101" s="591">
        <f>SUMIF('D-1 Off Site Habitat Baseline'!$G$11:$G$258,'G-2 Habitat groups'!A101,'D-1 Off Site Habitat Baseline'!$S$11:$S$258)</f>
        <v>0</v>
      </c>
      <c r="V101" s="494">
        <f>SUMIF('D-1 Off Site Habitat Baseline'!$G$11:$G$258,'G-2 Habitat groups'!A101,'D-1 Off Site Habitat Baseline'!$U$11:$U$258)</f>
        <v>0</v>
      </c>
      <c r="W101" s="494">
        <f>SUMIF('D-2 Off Site Habitat Creation'!$F$9:$F$255,'G-2 Habitat groups'!A101,'D-2 Off Site Habitat Creation'!$G$9:$G$255)</f>
        <v>0</v>
      </c>
      <c r="X101" s="494">
        <f>SUMIF('D-2 Off Site Habitat Creation'!$F$9:$F$255,'G-2 Habitat groups'!A101,'D-2 Off Site Habitat Creation'!$AA$9:$AA$255)</f>
        <v>0</v>
      </c>
      <c r="Y101" s="494">
        <f>SUMIF('D-3 Off Site Habitat Enhancment'!$S$12:$S$491,'G-2 Habitat groups'!A101,'D-3 Off Site Habitat Enhancment'!$V$12:$V$491)</f>
        <v>0</v>
      </c>
      <c r="Z101" s="494">
        <f>SUMIF('D-3 Off Site Habitat Enhancment'!$S$12:$S$491,'G-2 Habitat groups'!A101,'D-3 Off Site Habitat Enhancment'!$AP$12:$AP$491)</f>
        <v>0</v>
      </c>
      <c r="AA101" s="494">
        <f t="shared" si="107"/>
        <v>0</v>
      </c>
      <c r="AB101" s="494">
        <f t="shared" si="108"/>
        <v>0</v>
      </c>
      <c r="AC101" s="494">
        <f t="shared" si="109"/>
        <v>0</v>
      </c>
      <c r="AD101" s="494">
        <f t="shared" si="110"/>
        <v>0</v>
      </c>
      <c r="AE101" s="494">
        <f t="shared" si="111"/>
        <v>0</v>
      </c>
      <c r="AF101" s="494">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4">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4">
        <f>SUMIF('A-1 Site Habitat Baseline'!$G$11:$G$258,'G-2 Habitat groups'!A102,'A-1 Site Habitat Baseline'!$Q$11:$Q$258)</f>
        <v>0</v>
      </c>
      <c r="G102" s="494">
        <f>SUMIF('A-1 Site Habitat Baseline'!$G$11:$G$258,'G-2 Habitat groups'!A102,'A-1 Site Habitat Baseline'!$S$11:$S$258)</f>
        <v>0</v>
      </c>
      <c r="H102" s="494">
        <f>SUMIF('A-1 Site Habitat Baseline'!$G$11:$G$258,'G-2 Habitat groups'!A102,'A-1 Site Habitat Baseline'!$U$11:$U$258)</f>
        <v>0</v>
      </c>
      <c r="I102" s="494">
        <f>SUMIF('A-1 Site Habitat Baseline'!$G$11:$G$258,'G-2 Habitat groups'!A102,'A-1 Site Habitat Baseline'!$W$11:$W$258)</f>
        <v>0</v>
      </c>
      <c r="J102" s="494">
        <f>SUMIF('A-1 Site Habitat Baseline'!$G$11:$G$258,'G-2 Habitat groups'!A102,'A-1 Site Habitat Baseline'!$X$11:$X$258)</f>
        <v>0</v>
      </c>
      <c r="K102" s="494">
        <f>SUMIF('A-2 Site Habitat Creation'!$F$11:$F$256,'G-2 Habitat groups'!A102,'A-2 Site Habitat Creation'!$G$11:$G$256)</f>
        <v>0</v>
      </c>
      <c r="L102" s="494">
        <f>SUMIF('A-2 Site Habitat Creation'!$F$11:$F$256,'G-2 Habitat groups'!A102,'A-2 Site Habitat Creation'!$Y$11:$Y$256)</f>
        <v>0</v>
      </c>
      <c r="M102" s="494">
        <f>SUMIF('A-3 Site Habitat Enhancement'!$S$12:$S$257,'G-2 Habitat groups'!A102,'A-3 Site Habitat Enhancement'!$V$12:$V$257)</f>
        <v>0</v>
      </c>
      <c r="N102" s="494">
        <f>SUMIF('A-3 Site Habitat Enhancement'!$S$12:$S$257,'G-2 Habitat groups'!A102,'A-3 Site Habitat Enhancement'!$AN$12:$AN$257)</f>
        <v>0</v>
      </c>
      <c r="O102" s="494">
        <f t="shared" si="103"/>
        <v>0</v>
      </c>
      <c r="P102" s="494">
        <f t="shared" si="104"/>
        <v>0</v>
      </c>
      <c r="Q102" s="494">
        <f t="shared" si="105"/>
        <v>0</v>
      </c>
      <c r="R102" s="494">
        <f t="shared" si="106"/>
        <v>0</v>
      </c>
      <c r="S102" s="494">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4">
        <f>SUMIF('D-1 Off Site Habitat Baseline'!$G$11:$G$258,'G-2 Habitat groups'!A102,'D-1 Off Site Habitat Baseline'!$Q$11:$Q$258)</f>
        <v>0</v>
      </c>
      <c r="U102" s="591">
        <f>SUMIF('D-1 Off Site Habitat Baseline'!$G$11:$G$258,'G-2 Habitat groups'!A102,'D-1 Off Site Habitat Baseline'!$S$11:$S$258)</f>
        <v>0</v>
      </c>
      <c r="V102" s="494">
        <f>SUMIF('D-1 Off Site Habitat Baseline'!$G$11:$G$258,'G-2 Habitat groups'!A102,'D-1 Off Site Habitat Baseline'!$U$11:$U$258)</f>
        <v>0</v>
      </c>
      <c r="W102" s="494">
        <f>SUMIF('D-2 Off Site Habitat Creation'!$F$9:$F$255,'G-2 Habitat groups'!A102,'D-2 Off Site Habitat Creation'!$G$9:$G$255)</f>
        <v>0</v>
      </c>
      <c r="X102" s="494">
        <f>SUMIF('D-2 Off Site Habitat Creation'!$F$9:$F$255,'G-2 Habitat groups'!A102,'D-2 Off Site Habitat Creation'!$AA$9:$AA$255)</f>
        <v>0</v>
      </c>
      <c r="Y102" s="494">
        <f>SUMIF('D-3 Off Site Habitat Enhancment'!$S$12:$S$491,'G-2 Habitat groups'!A102,'D-3 Off Site Habitat Enhancment'!$V$12:$V$491)</f>
        <v>0</v>
      </c>
      <c r="Z102" s="494">
        <f>SUMIF('D-3 Off Site Habitat Enhancment'!$S$12:$S$491,'G-2 Habitat groups'!A102,'D-3 Off Site Habitat Enhancment'!$AP$12:$AP$491)</f>
        <v>0</v>
      </c>
      <c r="AA102" s="494">
        <f t="shared" si="107"/>
        <v>0</v>
      </c>
      <c r="AB102" s="494">
        <f t="shared" si="108"/>
        <v>0</v>
      </c>
      <c r="AC102" s="494">
        <f t="shared" si="109"/>
        <v>0</v>
      </c>
      <c r="AD102" s="494">
        <f t="shared" si="110"/>
        <v>0</v>
      </c>
      <c r="AE102" s="494">
        <f t="shared" si="111"/>
        <v>0</v>
      </c>
      <c r="AF102" s="494">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4">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4">
        <f>SUMIF('A-1 Site Habitat Baseline'!$G$11:$G$258,'G-2 Habitat groups'!A103,'A-1 Site Habitat Baseline'!$Q$11:$Q$258)</f>
        <v>0</v>
      </c>
      <c r="G103" s="494">
        <f>SUMIF('A-1 Site Habitat Baseline'!$G$11:$G$258,'G-2 Habitat groups'!A103,'A-1 Site Habitat Baseline'!$S$11:$S$258)</f>
        <v>0</v>
      </c>
      <c r="H103" s="494">
        <f>SUMIF('A-1 Site Habitat Baseline'!$G$11:$G$258,'G-2 Habitat groups'!A103,'A-1 Site Habitat Baseline'!$U$11:$U$258)</f>
        <v>0</v>
      </c>
      <c r="I103" s="494">
        <f>SUMIF('A-1 Site Habitat Baseline'!$G$11:$G$258,'G-2 Habitat groups'!A103,'A-1 Site Habitat Baseline'!$W$11:$W$258)</f>
        <v>0</v>
      </c>
      <c r="J103" s="494">
        <f>SUMIF('A-1 Site Habitat Baseline'!$G$11:$G$258,'G-2 Habitat groups'!A103,'A-1 Site Habitat Baseline'!$X$11:$X$258)</f>
        <v>0</v>
      </c>
      <c r="K103" s="494">
        <f>SUMIF('A-2 Site Habitat Creation'!$F$11:$F$256,'G-2 Habitat groups'!A103,'A-2 Site Habitat Creation'!$G$11:$G$256)</f>
        <v>0</v>
      </c>
      <c r="L103" s="494">
        <f>SUMIF('A-2 Site Habitat Creation'!$F$11:$F$256,'G-2 Habitat groups'!A103,'A-2 Site Habitat Creation'!$Y$11:$Y$256)</f>
        <v>0</v>
      </c>
      <c r="M103" s="494">
        <f>SUMIF('A-3 Site Habitat Enhancement'!$S$12:$S$257,'G-2 Habitat groups'!A103,'A-3 Site Habitat Enhancement'!$V$12:$V$257)</f>
        <v>0</v>
      </c>
      <c r="N103" s="494">
        <f>SUMIF('A-3 Site Habitat Enhancement'!$S$12:$S$257,'G-2 Habitat groups'!A103,'A-3 Site Habitat Enhancement'!$AN$12:$AN$257)</f>
        <v>0</v>
      </c>
      <c r="O103" s="494">
        <f t="shared" si="103"/>
        <v>0</v>
      </c>
      <c r="P103" s="494">
        <f t="shared" si="104"/>
        <v>0</v>
      </c>
      <c r="Q103" s="494">
        <f t="shared" si="105"/>
        <v>0</v>
      </c>
      <c r="R103" s="494">
        <f t="shared" si="106"/>
        <v>0</v>
      </c>
      <c r="S103" s="494">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4">
        <f>SUMIF('D-1 Off Site Habitat Baseline'!$G$11:$G$258,'G-2 Habitat groups'!A103,'D-1 Off Site Habitat Baseline'!$Q$11:$Q$258)</f>
        <v>0</v>
      </c>
      <c r="U103" s="591">
        <f>SUMIF('D-1 Off Site Habitat Baseline'!$G$11:$G$258,'G-2 Habitat groups'!A103,'D-1 Off Site Habitat Baseline'!$S$11:$S$258)</f>
        <v>0</v>
      </c>
      <c r="V103" s="494">
        <f>SUMIF('D-1 Off Site Habitat Baseline'!$G$11:$G$258,'G-2 Habitat groups'!A103,'D-1 Off Site Habitat Baseline'!$U$11:$U$258)</f>
        <v>0</v>
      </c>
      <c r="W103" s="494">
        <f>SUMIF('D-2 Off Site Habitat Creation'!$F$9:$F$255,'G-2 Habitat groups'!A103,'D-2 Off Site Habitat Creation'!$G$9:$G$255)</f>
        <v>0</v>
      </c>
      <c r="X103" s="494">
        <f>SUMIF('D-2 Off Site Habitat Creation'!$F$9:$F$255,'G-2 Habitat groups'!A103,'D-2 Off Site Habitat Creation'!$AA$9:$AA$255)</f>
        <v>0</v>
      </c>
      <c r="Y103" s="494">
        <f>SUMIF('D-3 Off Site Habitat Enhancment'!$S$12:$S$491,'G-2 Habitat groups'!A103,'D-3 Off Site Habitat Enhancment'!$V$12:$V$491)</f>
        <v>0</v>
      </c>
      <c r="Z103" s="494">
        <f>SUMIF('D-3 Off Site Habitat Enhancment'!$S$12:$S$491,'G-2 Habitat groups'!A103,'D-3 Off Site Habitat Enhancment'!$AP$12:$AP$491)</f>
        <v>0</v>
      </c>
      <c r="AA103" s="494">
        <f t="shared" si="107"/>
        <v>0</v>
      </c>
      <c r="AB103" s="494">
        <f t="shared" si="108"/>
        <v>0</v>
      </c>
      <c r="AC103" s="494">
        <f t="shared" si="109"/>
        <v>0</v>
      </c>
      <c r="AD103" s="494">
        <f t="shared" si="110"/>
        <v>0</v>
      </c>
      <c r="AE103" s="494">
        <f t="shared" si="111"/>
        <v>0</v>
      </c>
      <c r="AF103" s="494">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4">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4">
        <f>SUMIF('A-1 Site Habitat Baseline'!$G$11:$G$258,'G-2 Habitat groups'!A104,'A-1 Site Habitat Baseline'!$Q$11:$Q$258)</f>
        <v>0</v>
      </c>
      <c r="G104" s="494">
        <f>SUMIF('A-1 Site Habitat Baseline'!$G$11:$G$258,'G-2 Habitat groups'!A104,'A-1 Site Habitat Baseline'!$S$11:$S$258)</f>
        <v>0</v>
      </c>
      <c r="H104" s="494">
        <f>SUMIF('A-1 Site Habitat Baseline'!$G$11:$G$258,'G-2 Habitat groups'!A104,'A-1 Site Habitat Baseline'!$U$11:$U$258)</f>
        <v>0</v>
      </c>
      <c r="I104" s="494">
        <f>SUMIF('A-1 Site Habitat Baseline'!$G$11:$G$258,'G-2 Habitat groups'!A104,'A-1 Site Habitat Baseline'!$W$11:$W$258)</f>
        <v>0</v>
      </c>
      <c r="J104" s="494">
        <f>SUMIF('A-1 Site Habitat Baseline'!$G$11:$G$258,'G-2 Habitat groups'!A104,'A-1 Site Habitat Baseline'!$X$11:$X$258)</f>
        <v>0</v>
      </c>
      <c r="K104" s="494">
        <f>SUMIF('A-2 Site Habitat Creation'!$F$11:$F$256,'G-2 Habitat groups'!A104,'A-2 Site Habitat Creation'!$G$11:$G$256)</f>
        <v>0</v>
      </c>
      <c r="L104" s="494">
        <f>SUMIF('A-2 Site Habitat Creation'!$F$11:$F$256,'G-2 Habitat groups'!A104,'A-2 Site Habitat Creation'!$Y$11:$Y$256)</f>
        <v>0</v>
      </c>
      <c r="M104" s="494">
        <f>SUMIF('A-3 Site Habitat Enhancement'!$S$12:$S$257,'G-2 Habitat groups'!A104,'A-3 Site Habitat Enhancement'!$V$12:$V$257)</f>
        <v>0</v>
      </c>
      <c r="N104" s="494">
        <f>SUMIF('A-3 Site Habitat Enhancement'!$S$12:$S$257,'G-2 Habitat groups'!A104,'A-3 Site Habitat Enhancement'!$AN$12:$AN$257)</f>
        <v>0</v>
      </c>
      <c r="O104" s="494">
        <f t="shared" si="103"/>
        <v>0</v>
      </c>
      <c r="P104" s="494">
        <f t="shared" si="104"/>
        <v>0</v>
      </c>
      <c r="Q104" s="494">
        <f t="shared" si="105"/>
        <v>0</v>
      </c>
      <c r="R104" s="494">
        <f t="shared" si="106"/>
        <v>0</v>
      </c>
      <c r="S104" s="494">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4">
        <f>SUMIF('D-1 Off Site Habitat Baseline'!$G$11:$G$258,'G-2 Habitat groups'!A104,'D-1 Off Site Habitat Baseline'!$Q$11:$Q$258)</f>
        <v>0</v>
      </c>
      <c r="U104" s="591">
        <f>SUMIF('D-1 Off Site Habitat Baseline'!$G$11:$G$258,'G-2 Habitat groups'!A104,'D-1 Off Site Habitat Baseline'!$S$11:$S$258)</f>
        <v>0</v>
      </c>
      <c r="V104" s="494">
        <f>SUMIF('D-1 Off Site Habitat Baseline'!$G$11:$G$258,'G-2 Habitat groups'!A104,'D-1 Off Site Habitat Baseline'!$U$11:$U$258)</f>
        <v>0</v>
      </c>
      <c r="W104" s="494">
        <f>SUMIF('D-2 Off Site Habitat Creation'!$F$9:$F$255,'G-2 Habitat groups'!A104,'D-2 Off Site Habitat Creation'!$G$9:$G$255)</f>
        <v>0</v>
      </c>
      <c r="X104" s="494">
        <f>SUMIF('D-2 Off Site Habitat Creation'!$F$9:$F$255,'G-2 Habitat groups'!A104,'D-2 Off Site Habitat Creation'!$AA$9:$AA$255)</f>
        <v>0</v>
      </c>
      <c r="Y104" s="494">
        <f>SUMIF('D-3 Off Site Habitat Enhancment'!$S$12:$S$491,'G-2 Habitat groups'!A104,'D-3 Off Site Habitat Enhancment'!$V$12:$V$491)</f>
        <v>0</v>
      </c>
      <c r="Z104" s="494">
        <f>SUMIF('D-3 Off Site Habitat Enhancment'!$S$12:$S$491,'G-2 Habitat groups'!A104,'D-3 Off Site Habitat Enhancment'!$AP$12:$AP$491)</f>
        <v>0</v>
      </c>
      <c r="AA104" s="494">
        <f t="shared" si="107"/>
        <v>0</v>
      </c>
      <c r="AB104" s="494">
        <f t="shared" si="108"/>
        <v>0</v>
      </c>
      <c r="AC104" s="494">
        <f t="shared" si="109"/>
        <v>0</v>
      </c>
      <c r="AD104" s="494">
        <f t="shared" si="110"/>
        <v>0</v>
      </c>
      <c r="AE104" s="494">
        <f t="shared" si="111"/>
        <v>0</v>
      </c>
      <c r="AF104" s="494">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4">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4">
        <f>SUMIF('A-1 Site Habitat Baseline'!$G$11:$G$258,'G-2 Habitat groups'!A105,'A-1 Site Habitat Baseline'!$Q$11:$Q$258)</f>
        <v>0</v>
      </c>
      <c r="G105" s="494">
        <f>SUMIF('A-1 Site Habitat Baseline'!$G$11:$G$258,'G-2 Habitat groups'!A105,'A-1 Site Habitat Baseline'!$S$11:$S$258)</f>
        <v>0</v>
      </c>
      <c r="H105" s="494">
        <f>SUMIF('A-1 Site Habitat Baseline'!$G$11:$G$258,'G-2 Habitat groups'!A105,'A-1 Site Habitat Baseline'!$U$11:$U$258)</f>
        <v>0</v>
      </c>
      <c r="I105" s="494">
        <f>SUMIF('A-1 Site Habitat Baseline'!$G$11:$G$258,'G-2 Habitat groups'!A105,'A-1 Site Habitat Baseline'!$W$11:$W$258)</f>
        <v>0</v>
      </c>
      <c r="J105" s="494">
        <f>SUMIF('A-1 Site Habitat Baseline'!$G$11:$G$258,'G-2 Habitat groups'!A105,'A-1 Site Habitat Baseline'!$X$11:$X$258)</f>
        <v>0</v>
      </c>
      <c r="K105" s="494">
        <f>SUMIF('A-2 Site Habitat Creation'!$F$11:$F$256,'G-2 Habitat groups'!A105,'A-2 Site Habitat Creation'!$G$11:$G$256)</f>
        <v>0</v>
      </c>
      <c r="L105" s="494">
        <f>SUMIF('A-2 Site Habitat Creation'!$F$11:$F$256,'G-2 Habitat groups'!A105,'A-2 Site Habitat Creation'!$Y$11:$Y$256)</f>
        <v>0</v>
      </c>
      <c r="M105" s="494">
        <f>SUMIF('A-3 Site Habitat Enhancement'!$S$12:$S$257,'G-2 Habitat groups'!A105,'A-3 Site Habitat Enhancement'!$V$12:$V$257)</f>
        <v>0</v>
      </c>
      <c r="N105" s="494">
        <f>SUMIF('A-3 Site Habitat Enhancement'!$S$12:$S$257,'G-2 Habitat groups'!A105,'A-3 Site Habitat Enhancement'!$AN$12:$AN$257)</f>
        <v>0</v>
      </c>
      <c r="O105" s="494">
        <f t="shared" si="103"/>
        <v>0</v>
      </c>
      <c r="P105" s="494">
        <f t="shared" si="104"/>
        <v>0</v>
      </c>
      <c r="Q105" s="494">
        <f t="shared" si="105"/>
        <v>0</v>
      </c>
      <c r="R105" s="494">
        <f t="shared" si="106"/>
        <v>0</v>
      </c>
      <c r="S105" s="494">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4">
        <f>SUMIF('D-1 Off Site Habitat Baseline'!$G$11:$G$258,'G-2 Habitat groups'!A105,'D-1 Off Site Habitat Baseline'!$Q$11:$Q$258)</f>
        <v>0</v>
      </c>
      <c r="U105" s="591">
        <f>SUMIF('D-1 Off Site Habitat Baseline'!$G$11:$G$258,'G-2 Habitat groups'!A105,'D-1 Off Site Habitat Baseline'!$S$11:$S$258)</f>
        <v>0</v>
      </c>
      <c r="V105" s="494">
        <f>SUMIF('D-1 Off Site Habitat Baseline'!$G$11:$G$258,'G-2 Habitat groups'!A105,'D-1 Off Site Habitat Baseline'!$U$11:$U$258)</f>
        <v>0</v>
      </c>
      <c r="W105" s="494">
        <f>SUMIF('D-2 Off Site Habitat Creation'!$F$9:$F$255,'G-2 Habitat groups'!A105,'D-2 Off Site Habitat Creation'!$G$9:$G$255)</f>
        <v>0</v>
      </c>
      <c r="X105" s="494">
        <f>SUMIF('D-2 Off Site Habitat Creation'!$F$9:$F$255,'G-2 Habitat groups'!A105,'D-2 Off Site Habitat Creation'!$AA$9:$AA$255)</f>
        <v>0</v>
      </c>
      <c r="Y105" s="494">
        <f>SUMIF('D-3 Off Site Habitat Enhancment'!$S$12:$S$491,'G-2 Habitat groups'!A105,'D-3 Off Site Habitat Enhancment'!$V$12:$V$491)</f>
        <v>0</v>
      </c>
      <c r="Z105" s="494">
        <f>SUMIF('D-3 Off Site Habitat Enhancment'!$S$12:$S$491,'G-2 Habitat groups'!A105,'D-3 Off Site Habitat Enhancment'!$AP$12:$AP$491)</f>
        <v>0</v>
      </c>
      <c r="AA105" s="494">
        <f t="shared" si="107"/>
        <v>0</v>
      </c>
      <c r="AB105" s="494">
        <f t="shared" si="108"/>
        <v>0</v>
      </c>
      <c r="AC105" s="494">
        <f t="shared" si="109"/>
        <v>0</v>
      </c>
      <c r="AD105" s="494">
        <f t="shared" si="110"/>
        <v>0</v>
      </c>
      <c r="AE105" s="494">
        <f t="shared" si="111"/>
        <v>0</v>
      </c>
      <c r="AF105" s="494">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4">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4">
        <f>SUMIF('A-1 Site Habitat Baseline'!$G$11:$G$258,'G-2 Habitat groups'!A106,'A-1 Site Habitat Baseline'!$Q$11:$Q$258)</f>
        <v>0</v>
      </c>
      <c r="G106" s="494">
        <f>SUMIF('A-1 Site Habitat Baseline'!$G$11:$G$258,'G-2 Habitat groups'!A106,'A-1 Site Habitat Baseline'!$S$11:$S$258)</f>
        <v>0</v>
      </c>
      <c r="H106" s="494">
        <f>SUMIF('A-1 Site Habitat Baseline'!$G$11:$G$258,'G-2 Habitat groups'!A106,'A-1 Site Habitat Baseline'!$U$11:$U$258)</f>
        <v>0</v>
      </c>
      <c r="I106" s="494">
        <f>SUMIF('A-1 Site Habitat Baseline'!$G$11:$G$258,'G-2 Habitat groups'!A106,'A-1 Site Habitat Baseline'!$W$11:$W$258)</f>
        <v>0</v>
      </c>
      <c r="J106" s="494">
        <f>SUMIF('A-1 Site Habitat Baseline'!$G$11:$G$258,'G-2 Habitat groups'!A106,'A-1 Site Habitat Baseline'!$X$11:$X$258)</f>
        <v>0</v>
      </c>
      <c r="K106" s="494">
        <f>SUMIF('A-2 Site Habitat Creation'!$F$11:$F$256,'G-2 Habitat groups'!A106,'A-2 Site Habitat Creation'!$G$11:$G$256)</f>
        <v>0</v>
      </c>
      <c r="L106" s="494">
        <f>SUMIF('A-2 Site Habitat Creation'!$F$11:$F$256,'G-2 Habitat groups'!A106,'A-2 Site Habitat Creation'!$Y$11:$Y$256)</f>
        <v>0</v>
      </c>
      <c r="M106" s="494">
        <f>SUMIF('A-3 Site Habitat Enhancement'!$S$12:$S$257,'G-2 Habitat groups'!A106,'A-3 Site Habitat Enhancement'!$V$12:$V$257)</f>
        <v>0</v>
      </c>
      <c r="N106" s="494">
        <f>SUMIF('A-3 Site Habitat Enhancement'!$S$12:$S$257,'G-2 Habitat groups'!A106,'A-3 Site Habitat Enhancement'!$AN$12:$AN$257)</f>
        <v>0</v>
      </c>
      <c r="O106" s="494">
        <f t="shared" si="103"/>
        <v>0</v>
      </c>
      <c r="P106" s="494">
        <f t="shared" si="104"/>
        <v>0</v>
      </c>
      <c r="Q106" s="494">
        <f t="shared" si="105"/>
        <v>0</v>
      </c>
      <c r="R106" s="494">
        <f t="shared" si="106"/>
        <v>0</v>
      </c>
      <c r="S106" s="494">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4">
        <f>SUMIF('D-1 Off Site Habitat Baseline'!$G$11:$G$258,'G-2 Habitat groups'!A106,'D-1 Off Site Habitat Baseline'!$Q$11:$Q$258)</f>
        <v>0</v>
      </c>
      <c r="U106" s="591">
        <f>SUMIF('D-1 Off Site Habitat Baseline'!$G$11:$G$258,'G-2 Habitat groups'!A106,'D-1 Off Site Habitat Baseline'!$S$11:$S$258)</f>
        <v>0</v>
      </c>
      <c r="V106" s="494">
        <f>SUMIF('D-1 Off Site Habitat Baseline'!$G$11:$G$258,'G-2 Habitat groups'!A106,'D-1 Off Site Habitat Baseline'!$U$11:$U$258)</f>
        <v>0</v>
      </c>
      <c r="W106" s="494">
        <f>SUMIF('D-2 Off Site Habitat Creation'!$F$9:$F$255,'G-2 Habitat groups'!A106,'D-2 Off Site Habitat Creation'!$G$9:$G$255)</f>
        <v>0</v>
      </c>
      <c r="X106" s="494">
        <f>SUMIF('D-2 Off Site Habitat Creation'!$F$9:$F$255,'G-2 Habitat groups'!A106,'D-2 Off Site Habitat Creation'!$AA$9:$AA$255)</f>
        <v>0</v>
      </c>
      <c r="Y106" s="494">
        <f>SUMIF('D-3 Off Site Habitat Enhancment'!$S$12:$S$491,'G-2 Habitat groups'!A106,'D-3 Off Site Habitat Enhancment'!$V$12:$V$491)</f>
        <v>0</v>
      </c>
      <c r="Z106" s="494">
        <f>SUMIF('D-3 Off Site Habitat Enhancment'!$S$12:$S$491,'G-2 Habitat groups'!A106,'D-3 Off Site Habitat Enhancment'!$AP$12:$AP$491)</f>
        <v>0</v>
      </c>
      <c r="AA106" s="494">
        <f t="shared" si="107"/>
        <v>0</v>
      </c>
      <c r="AB106" s="494">
        <f t="shared" si="108"/>
        <v>0</v>
      </c>
      <c r="AC106" s="494">
        <f t="shared" si="109"/>
        <v>0</v>
      </c>
      <c r="AD106" s="494">
        <f t="shared" si="110"/>
        <v>0</v>
      </c>
      <c r="AE106" s="494">
        <f t="shared" si="111"/>
        <v>0</v>
      </c>
      <c r="AF106" s="494">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4">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4">
        <f>SUMIF('A-1 Site Habitat Baseline'!$G$11:$G$258,'G-2 Habitat groups'!A107,'A-1 Site Habitat Baseline'!$Q$11:$Q$258)</f>
        <v>0</v>
      </c>
      <c r="G107" s="494">
        <f>SUMIF('A-1 Site Habitat Baseline'!$G$11:$G$258,'G-2 Habitat groups'!A107,'A-1 Site Habitat Baseline'!$S$11:$S$258)</f>
        <v>0</v>
      </c>
      <c r="H107" s="494">
        <f>SUMIF('A-1 Site Habitat Baseline'!$G$11:$G$258,'G-2 Habitat groups'!A107,'A-1 Site Habitat Baseline'!$U$11:$U$258)</f>
        <v>0</v>
      </c>
      <c r="I107" s="494">
        <f>SUMIF('A-1 Site Habitat Baseline'!$G$11:$G$258,'G-2 Habitat groups'!A107,'A-1 Site Habitat Baseline'!$W$11:$W$258)</f>
        <v>0</v>
      </c>
      <c r="J107" s="494">
        <f>SUMIF('A-1 Site Habitat Baseline'!$G$11:$G$258,'G-2 Habitat groups'!A107,'A-1 Site Habitat Baseline'!$X$11:$X$258)</f>
        <v>0</v>
      </c>
      <c r="K107" s="494">
        <f>SUMIF('A-2 Site Habitat Creation'!$F$11:$F$256,'G-2 Habitat groups'!A107,'A-2 Site Habitat Creation'!$G$11:$G$256)</f>
        <v>0</v>
      </c>
      <c r="L107" s="494">
        <f>SUMIF('A-2 Site Habitat Creation'!$F$11:$F$256,'G-2 Habitat groups'!A107,'A-2 Site Habitat Creation'!$Y$11:$Y$256)</f>
        <v>0</v>
      </c>
      <c r="M107" s="494">
        <f>SUMIF('A-3 Site Habitat Enhancement'!$S$12:$S$257,'G-2 Habitat groups'!A107,'A-3 Site Habitat Enhancement'!$V$12:$V$257)</f>
        <v>0</v>
      </c>
      <c r="N107" s="494">
        <f>SUMIF('A-3 Site Habitat Enhancement'!$S$12:$S$257,'G-2 Habitat groups'!A107,'A-3 Site Habitat Enhancement'!$AN$12:$AN$257)</f>
        <v>0</v>
      </c>
      <c r="O107" s="494">
        <f t="shared" si="103"/>
        <v>0</v>
      </c>
      <c r="P107" s="494">
        <f t="shared" si="104"/>
        <v>0</v>
      </c>
      <c r="Q107" s="494">
        <f t="shared" si="105"/>
        <v>0</v>
      </c>
      <c r="R107" s="494">
        <f t="shared" si="106"/>
        <v>0</v>
      </c>
      <c r="S107" s="494">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4">
        <f>SUMIF('D-1 Off Site Habitat Baseline'!$G$11:$G$258,'G-2 Habitat groups'!A107,'D-1 Off Site Habitat Baseline'!$Q$11:$Q$258)</f>
        <v>0</v>
      </c>
      <c r="U107" s="591">
        <f>SUMIF('D-1 Off Site Habitat Baseline'!$G$11:$G$258,'G-2 Habitat groups'!A107,'D-1 Off Site Habitat Baseline'!$S$11:$S$258)</f>
        <v>0</v>
      </c>
      <c r="V107" s="494">
        <f>SUMIF('D-1 Off Site Habitat Baseline'!$G$11:$G$258,'G-2 Habitat groups'!A107,'D-1 Off Site Habitat Baseline'!$U$11:$U$258)</f>
        <v>0</v>
      </c>
      <c r="W107" s="494">
        <f>SUMIF('D-2 Off Site Habitat Creation'!$F$9:$F$255,'G-2 Habitat groups'!A107,'D-2 Off Site Habitat Creation'!$G$9:$G$255)</f>
        <v>0</v>
      </c>
      <c r="X107" s="494">
        <f>SUMIF('D-2 Off Site Habitat Creation'!$F$9:$F$255,'G-2 Habitat groups'!A107,'D-2 Off Site Habitat Creation'!$AA$9:$AA$255)</f>
        <v>0</v>
      </c>
      <c r="Y107" s="494">
        <f>SUMIF('D-3 Off Site Habitat Enhancment'!$S$12:$S$491,'G-2 Habitat groups'!A107,'D-3 Off Site Habitat Enhancment'!$V$12:$V$491)</f>
        <v>0</v>
      </c>
      <c r="Z107" s="494">
        <f>SUMIF('D-3 Off Site Habitat Enhancment'!$S$12:$S$491,'G-2 Habitat groups'!A107,'D-3 Off Site Habitat Enhancment'!$AP$12:$AP$491)</f>
        <v>0</v>
      </c>
      <c r="AA107" s="494">
        <f t="shared" si="107"/>
        <v>0</v>
      </c>
      <c r="AB107" s="494">
        <f t="shared" si="108"/>
        <v>0</v>
      </c>
      <c r="AC107" s="494">
        <f t="shared" si="109"/>
        <v>0</v>
      </c>
      <c r="AD107" s="494">
        <f t="shared" si="110"/>
        <v>0</v>
      </c>
      <c r="AE107" s="494">
        <f t="shared" si="111"/>
        <v>0</v>
      </c>
      <c r="AF107" s="494">
        <f t="shared" si="112"/>
        <v>0</v>
      </c>
    </row>
    <row r="108" spans="1:59" ht="35.4" x14ac:dyDescent="0.6">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4">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4">
        <f>SUMIF('A-1 Site Habitat Baseline'!$G$11:$G$258,'G-2 Habitat groups'!A108,'A-1 Site Habitat Baseline'!$Q$11:$Q$258)</f>
        <v>0</v>
      </c>
      <c r="G108" s="494">
        <f>SUMIF('A-1 Site Habitat Baseline'!$G$11:$G$258,'G-2 Habitat groups'!A108,'A-1 Site Habitat Baseline'!$S$11:$S$258)</f>
        <v>0</v>
      </c>
      <c r="H108" s="494">
        <f>SUMIF('A-1 Site Habitat Baseline'!$G$11:$G$258,'G-2 Habitat groups'!A108,'A-1 Site Habitat Baseline'!$U$11:$U$258)</f>
        <v>0</v>
      </c>
      <c r="I108" s="494">
        <f>SUMIF('A-1 Site Habitat Baseline'!$G$11:$G$258,'G-2 Habitat groups'!A108,'A-1 Site Habitat Baseline'!$W$11:$W$258)</f>
        <v>0</v>
      </c>
      <c r="J108" s="494">
        <f>SUMIF('A-1 Site Habitat Baseline'!$G$11:$G$258,'G-2 Habitat groups'!A108,'A-1 Site Habitat Baseline'!$X$11:$X$258)</f>
        <v>0</v>
      </c>
      <c r="K108" s="494">
        <f>SUMIF('A-2 Site Habitat Creation'!$F$11:$F$256,'G-2 Habitat groups'!A108,'A-2 Site Habitat Creation'!$G$11:$G$256)</f>
        <v>0</v>
      </c>
      <c r="L108" s="494">
        <f>SUMIF('A-2 Site Habitat Creation'!$F$11:$F$256,'G-2 Habitat groups'!A108,'A-2 Site Habitat Creation'!$Y$11:$Y$256)</f>
        <v>0</v>
      </c>
      <c r="M108" s="494">
        <f>SUMIF('A-3 Site Habitat Enhancement'!$S$12:$S$257,'G-2 Habitat groups'!A108,'A-3 Site Habitat Enhancement'!$V$12:$V$257)</f>
        <v>0</v>
      </c>
      <c r="N108" s="494">
        <f>SUMIF('A-3 Site Habitat Enhancement'!$S$12:$S$257,'G-2 Habitat groups'!A108,'A-3 Site Habitat Enhancement'!$AN$12:$AN$257)</f>
        <v>0</v>
      </c>
      <c r="O108" s="494">
        <f t="shared" si="103"/>
        <v>0</v>
      </c>
      <c r="P108" s="494">
        <f t="shared" si="104"/>
        <v>0</v>
      </c>
      <c r="Q108" s="494">
        <f t="shared" si="105"/>
        <v>0</v>
      </c>
      <c r="R108" s="494">
        <f t="shared" si="106"/>
        <v>0</v>
      </c>
      <c r="S108" s="494">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4">
        <f>SUMIF('D-1 Off Site Habitat Baseline'!$G$11:$G$258,'G-2 Habitat groups'!A108,'D-1 Off Site Habitat Baseline'!$Q$11:$Q$258)</f>
        <v>0</v>
      </c>
      <c r="U108" s="591">
        <f>SUMIF('D-1 Off Site Habitat Baseline'!$G$11:$G$258,'G-2 Habitat groups'!A108,'D-1 Off Site Habitat Baseline'!$S$11:$S$258)</f>
        <v>0</v>
      </c>
      <c r="V108" s="494">
        <f>SUMIF('D-1 Off Site Habitat Baseline'!$G$11:$G$258,'G-2 Habitat groups'!A108,'D-1 Off Site Habitat Baseline'!$U$11:$U$258)</f>
        <v>0</v>
      </c>
      <c r="W108" s="494">
        <f>SUMIF('D-2 Off Site Habitat Creation'!$F$9:$F$255,'G-2 Habitat groups'!A108,'D-2 Off Site Habitat Creation'!$G$9:$G$255)</f>
        <v>0</v>
      </c>
      <c r="X108" s="494">
        <f>SUMIF('D-2 Off Site Habitat Creation'!$F$9:$F$255,'G-2 Habitat groups'!A108,'D-2 Off Site Habitat Creation'!$AA$9:$AA$255)</f>
        <v>0</v>
      </c>
      <c r="Y108" s="494">
        <f>SUMIF('D-3 Off Site Habitat Enhancment'!$S$12:$S$491,'G-2 Habitat groups'!A108,'D-3 Off Site Habitat Enhancment'!$V$12:$V$491)</f>
        <v>0</v>
      </c>
      <c r="Z108" s="494">
        <f>SUMIF('D-3 Off Site Habitat Enhancment'!$S$12:$S$491,'G-2 Habitat groups'!A108,'D-3 Off Site Habitat Enhancment'!$AP$12:$AP$491)</f>
        <v>0</v>
      </c>
      <c r="AA108" s="494">
        <f t="shared" si="107"/>
        <v>0</v>
      </c>
      <c r="AB108" s="494">
        <f t="shared" si="108"/>
        <v>0</v>
      </c>
      <c r="AC108" s="494">
        <f t="shared" si="109"/>
        <v>0</v>
      </c>
      <c r="AD108" s="494">
        <f t="shared" si="110"/>
        <v>0</v>
      </c>
      <c r="AE108" s="494">
        <f t="shared" si="111"/>
        <v>0</v>
      </c>
      <c r="AF108" s="494">
        <f t="shared" si="112"/>
        <v>0</v>
      </c>
      <c r="AU108" s="360"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4">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4">
        <f>SUMIF('A-1 Site Habitat Baseline'!$G$11:$G$258,'G-2 Habitat groups'!A109,'A-1 Site Habitat Baseline'!$Q$11:$Q$258)</f>
        <v>0</v>
      </c>
      <c r="G109" s="494">
        <f>SUMIF('A-1 Site Habitat Baseline'!$G$11:$G$258,'G-2 Habitat groups'!A109,'A-1 Site Habitat Baseline'!$S$11:$S$258)</f>
        <v>0</v>
      </c>
      <c r="H109" s="494">
        <f>SUMIF('A-1 Site Habitat Baseline'!$G$11:$G$258,'G-2 Habitat groups'!A109,'A-1 Site Habitat Baseline'!$U$11:$U$258)</f>
        <v>0</v>
      </c>
      <c r="I109" s="494">
        <f>SUMIF('A-1 Site Habitat Baseline'!$G$11:$G$258,'G-2 Habitat groups'!A109,'A-1 Site Habitat Baseline'!$W$11:$W$258)</f>
        <v>0</v>
      </c>
      <c r="J109" s="494">
        <f>SUMIF('A-1 Site Habitat Baseline'!$G$11:$G$258,'G-2 Habitat groups'!A109,'A-1 Site Habitat Baseline'!$X$11:$X$258)</f>
        <v>0</v>
      </c>
      <c r="K109" s="494">
        <f>SUMIF('A-2 Site Habitat Creation'!$F$11:$F$256,'G-2 Habitat groups'!A109,'A-2 Site Habitat Creation'!$G$11:$G$256)</f>
        <v>0</v>
      </c>
      <c r="L109" s="494">
        <f>SUMIF('A-2 Site Habitat Creation'!$F$11:$F$256,'G-2 Habitat groups'!A109,'A-2 Site Habitat Creation'!$Y$11:$Y$256)</f>
        <v>0</v>
      </c>
      <c r="M109" s="494">
        <f>SUMIF('A-3 Site Habitat Enhancement'!$S$12:$S$257,'G-2 Habitat groups'!A109,'A-3 Site Habitat Enhancement'!$V$12:$V$257)</f>
        <v>0</v>
      </c>
      <c r="N109" s="494">
        <f>SUMIF('A-3 Site Habitat Enhancement'!$S$12:$S$257,'G-2 Habitat groups'!A109,'A-3 Site Habitat Enhancement'!$AN$12:$AN$257)</f>
        <v>0</v>
      </c>
      <c r="O109" s="494">
        <f t="shared" si="103"/>
        <v>0</v>
      </c>
      <c r="P109" s="494">
        <f t="shared" si="104"/>
        <v>0</v>
      </c>
      <c r="Q109" s="494">
        <f t="shared" si="105"/>
        <v>0</v>
      </c>
      <c r="R109" s="494">
        <f t="shared" si="106"/>
        <v>0</v>
      </c>
      <c r="S109" s="494">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4">
        <f>SUMIF('D-1 Off Site Habitat Baseline'!$G$11:$G$258,'G-2 Habitat groups'!A109,'D-1 Off Site Habitat Baseline'!$Q$11:$Q$258)</f>
        <v>0</v>
      </c>
      <c r="U109" s="591">
        <f>SUMIF('D-1 Off Site Habitat Baseline'!$G$11:$G$258,'G-2 Habitat groups'!A109,'D-1 Off Site Habitat Baseline'!$S$11:$S$258)</f>
        <v>0</v>
      </c>
      <c r="V109" s="494">
        <f>SUMIF('D-1 Off Site Habitat Baseline'!$G$11:$G$258,'G-2 Habitat groups'!A109,'D-1 Off Site Habitat Baseline'!$U$11:$U$258)</f>
        <v>0</v>
      </c>
      <c r="W109" s="494">
        <f>SUMIF('D-2 Off Site Habitat Creation'!$F$9:$F$255,'G-2 Habitat groups'!A109,'D-2 Off Site Habitat Creation'!$G$9:$G$255)</f>
        <v>0</v>
      </c>
      <c r="X109" s="494">
        <f>SUMIF('D-2 Off Site Habitat Creation'!$F$9:$F$255,'G-2 Habitat groups'!A109,'D-2 Off Site Habitat Creation'!$AA$9:$AA$255)</f>
        <v>0</v>
      </c>
      <c r="Y109" s="494">
        <f>SUMIF('D-3 Off Site Habitat Enhancment'!$S$12:$S$491,'G-2 Habitat groups'!A109,'D-3 Off Site Habitat Enhancment'!$V$12:$V$491)</f>
        <v>0</v>
      </c>
      <c r="Z109" s="494">
        <f>SUMIF('D-3 Off Site Habitat Enhancment'!$S$12:$S$491,'G-2 Habitat groups'!A109,'D-3 Off Site Habitat Enhancment'!$AP$12:$AP$491)</f>
        <v>0</v>
      </c>
      <c r="AA109" s="494">
        <f t="shared" si="107"/>
        <v>0</v>
      </c>
      <c r="AB109" s="494">
        <f t="shared" si="108"/>
        <v>0</v>
      </c>
      <c r="AC109" s="494">
        <f t="shared" si="109"/>
        <v>0</v>
      </c>
      <c r="AD109" s="494">
        <f t="shared" si="110"/>
        <v>0</v>
      </c>
      <c r="AE109" s="494">
        <f t="shared" si="111"/>
        <v>0</v>
      </c>
      <c r="AF109" s="494">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4">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4">
        <f>SUMIF('A-1 Site Habitat Baseline'!$G$11:$G$258,'G-2 Habitat groups'!A110,'A-1 Site Habitat Baseline'!$Q$11:$Q$258)</f>
        <v>0</v>
      </c>
      <c r="G110" s="494">
        <f>SUMIF('A-1 Site Habitat Baseline'!$G$11:$G$258,'G-2 Habitat groups'!A110,'A-1 Site Habitat Baseline'!$S$11:$S$258)</f>
        <v>0</v>
      </c>
      <c r="H110" s="494">
        <f>SUMIF('A-1 Site Habitat Baseline'!$G$11:$G$258,'G-2 Habitat groups'!A110,'A-1 Site Habitat Baseline'!$U$11:$U$258)</f>
        <v>0</v>
      </c>
      <c r="I110" s="494">
        <f>SUMIF('A-1 Site Habitat Baseline'!$G$11:$G$258,'G-2 Habitat groups'!A110,'A-1 Site Habitat Baseline'!$W$11:$W$258)</f>
        <v>0</v>
      </c>
      <c r="J110" s="494">
        <f>SUMIF('A-1 Site Habitat Baseline'!$G$11:$G$258,'G-2 Habitat groups'!A110,'A-1 Site Habitat Baseline'!$X$11:$X$258)</f>
        <v>0</v>
      </c>
      <c r="K110" s="494">
        <f>SUMIF('A-2 Site Habitat Creation'!$F$11:$F$256,'G-2 Habitat groups'!A110,'A-2 Site Habitat Creation'!$G$11:$G$256)</f>
        <v>0</v>
      </c>
      <c r="L110" s="494">
        <f>SUMIF('A-2 Site Habitat Creation'!$F$11:$F$256,'G-2 Habitat groups'!A110,'A-2 Site Habitat Creation'!$Y$11:$Y$256)</f>
        <v>0</v>
      </c>
      <c r="M110" s="494">
        <f>SUMIF('A-3 Site Habitat Enhancement'!$S$12:$S$257,'G-2 Habitat groups'!A110,'A-3 Site Habitat Enhancement'!$V$12:$V$257)</f>
        <v>0</v>
      </c>
      <c r="N110" s="494">
        <f>SUMIF('A-3 Site Habitat Enhancement'!$S$12:$S$257,'G-2 Habitat groups'!A110,'A-3 Site Habitat Enhancement'!$AN$12:$AN$257)</f>
        <v>0</v>
      </c>
      <c r="O110" s="494">
        <f t="shared" si="103"/>
        <v>0</v>
      </c>
      <c r="P110" s="494">
        <f t="shared" si="104"/>
        <v>0</v>
      </c>
      <c r="Q110" s="494">
        <f t="shared" si="105"/>
        <v>0</v>
      </c>
      <c r="R110" s="494">
        <f t="shared" si="106"/>
        <v>0</v>
      </c>
      <c r="S110" s="494">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4">
        <f>SUMIF('D-1 Off Site Habitat Baseline'!$G$11:$G$258,'G-2 Habitat groups'!A110,'D-1 Off Site Habitat Baseline'!$Q$11:$Q$258)</f>
        <v>0</v>
      </c>
      <c r="U110" s="591">
        <f>SUMIF('D-1 Off Site Habitat Baseline'!$G$11:$G$258,'G-2 Habitat groups'!A110,'D-1 Off Site Habitat Baseline'!$S$11:$S$258)</f>
        <v>0</v>
      </c>
      <c r="V110" s="494">
        <f>SUMIF('D-1 Off Site Habitat Baseline'!$G$11:$G$258,'G-2 Habitat groups'!A110,'D-1 Off Site Habitat Baseline'!$U$11:$U$258)</f>
        <v>0</v>
      </c>
      <c r="W110" s="494">
        <f>SUMIF('D-2 Off Site Habitat Creation'!$F$9:$F$255,'G-2 Habitat groups'!A110,'D-2 Off Site Habitat Creation'!$G$9:$G$255)</f>
        <v>0</v>
      </c>
      <c r="X110" s="494">
        <f>SUMIF('D-2 Off Site Habitat Creation'!$F$9:$F$255,'G-2 Habitat groups'!A110,'D-2 Off Site Habitat Creation'!$AA$9:$AA$255)</f>
        <v>0</v>
      </c>
      <c r="Y110" s="494">
        <f>SUMIF('D-3 Off Site Habitat Enhancment'!$S$12:$S$491,'G-2 Habitat groups'!A110,'D-3 Off Site Habitat Enhancment'!$V$12:$V$491)</f>
        <v>0</v>
      </c>
      <c r="Z110" s="494">
        <f>SUMIF('D-3 Off Site Habitat Enhancment'!$S$12:$S$491,'G-2 Habitat groups'!A110,'D-3 Off Site Habitat Enhancment'!$AP$12:$AP$491)</f>
        <v>0</v>
      </c>
      <c r="AA110" s="494">
        <f t="shared" si="107"/>
        <v>0</v>
      </c>
      <c r="AB110" s="494">
        <f t="shared" si="108"/>
        <v>0</v>
      </c>
      <c r="AC110" s="494">
        <f t="shared" si="109"/>
        <v>0</v>
      </c>
      <c r="AD110" s="494">
        <f t="shared" si="110"/>
        <v>0</v>
      </c>
      <c r="AE110" s="494">
        <f t="shared" si="111"/>
        <v>0</v>
      </c>
      <c r="AF110" s="494">
        <f t="shared" si="112"/>
        <v>0</v>
      </c>
      <c r="AU110" s="104" t="s">
        <v>395</v>
      </c>
      <c r="AV110" s="88" t="s">
        <v>69</v>
      </c>
      <c r="AW110" s="494">
        <f t="shared" ref="AW110:AW118" si="115">VLOOKUP($AU110,AllHabsSummaryData,5,FALSE)</f>
        <v>0</v>
      </c>
      <c r="AX110" s="494">
        <f t="shared" ref="AX110" si="116">VLOOKUP($AU110,AllHabsSummaryData,10,FALSE)</f>
        <v>0</v>
      </c>
      <c r="AY110" s="494">
        <f t="shared" ref="AY110" si="117">VLOOKUP($AU110,AllHabsSummaryData,15,FALSE)</f>
        <v>0</v>
      </c>
      <c r="AZ110" s="494">
        <f t="shared" ref="AZ110" si="118">VLOOKUP($AU110,AllHabsSummaryData,16,FALSE)</f>
        <v>0</v>
      </c>
      <c r="BA110" s="494">
        <f t="shared" ref="BA110" si="119">VLOOKUP($AU110,AllHabsSummaryData,17,FALSE)</f>
        <v>0</v>
      </c>
      <c r="BB110" s="494">
        <f t="shared" ref="BB110" si="120">VLOOKUP($AU110,AllHabsSummaryData,18,FALSE)</f>
        <v>0</v>
      </c>
      <c r="BC110" s="494">
        <f t="shared" ref="BC110" si="121">VLOOKUP($AU110,AllHabsSummaryData,27,FALSE)</f>
        <v>0</v>
      </c>
      <c r="BD110" s="494">
        <f t="shared" ref="BD110" si="122">VLOOKUP($AU110,AllHabsSummaryData,30,FALSE)</f>
        <v>0</v>
      </c>
      <c r="BE110" s="494">
        <f t="shared" ref="BE110:BE146" si="123">BB110+BD110</f>
        <v>0</v>
      </c>
      <c r="BF110" s="494"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4">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4">
        <f>SUMIF('A-1 Site Habitat Baseline'!$G$11:$G$258,'G-2 Habitat groups'!A111,'A-1 Site Habitat Baseline'!$Q$11:$Q$258)</f>
        <v>0</v>
      </c>
      <c r="G111" s="494">
        <f>SUMIF('A-1 Site Habitat Baseline'!$G$11:$G$258,'G-2 Habitat groups'!A111,'A-1 Site Habitat Baseline'!$S$11:$S$258)</f>
        <v>0</v>
      </c>
      <c r="H111" s="494">
        <f>SUMIF('A-1 Site Habitat Baseline'!$G$11:$G$258,'G-2 Habitat groups'!A111,'A-1 Site Habitat Baseline'!$U$11:$U$258)</f>
        <v>0</v>
      </c>
      <c r="I111" s="494">
        <f>SUMIF('A-1 Site Habitat Baseline'!$G$11:$G$258,'G-2 Habitat groups'!A111,'A-1 Site Habitat Baseline'!$W$11:$W$258)</f>
        <v>0</v>
      </c>
      <c r="J111" s="494">
        <f>SUMIF('A-1 Site Habitat Baseline'!$G$11:$G$258,'G-2 Habitat groups'!A111,'A-1 Site Habitat Baseline'!$X$11:$X$258)</f>
        <v>0</v>
      </c>
      <c r="K111" s="494">
        <f>SUMIF('A-2 Site Habitat Creation'!$F$11:$F$256,'G-2 Habitat groups'!A111,'A-2 Site Habitat Creation'!$G$11:$G$256)</f>
        <v>0</v>
      </c>
      <c r="L111" s="494">
        <f>SUMIF('A-2 Site Habitat Creation'!$F$11:$F$256,'G-2 Habitat groups'!A111,'A-2 Site Habitat Creation'!$Y$11:$Y$256)</f>
        <v>0</v>
      </c>
      <c r="M111" s="494">
        <f>SUMIF('A-3 Site Habitat Enhancement'!$S$12:$S$257,'G-2 Habitat groups'!A111,'A-3 Site Habitat Enhancement'!$V$12:$V$257)</f>
        <v>0</v>
      </c>
      <c r="N111" s="494">
        <f>SUMIF('A-3 Site Habitat Enhancement'!$S$12:$S$257,'G-2 Habitat groups'!A111,'A-3 Site Habitat Enhancement'!$AN$12:$AN$257)</f>
        <v>0</v>
      </c>
      <c r="O111" s="494">
        <f t="shared" si="103"/>
        <v>0</v>
      </c>
      <c r="P111" s="494">
        <f t="shared" si="104"/>
        <v>0</v>
      </c>
      <c r="Q111" s="494">
        <f t="shared" si="105"/>
        <v>0</v>
      </c>
      <c r="R111" s="494">
        <f t="shared" si="106"/>
        <v>0</v>
      </c>
      <c r="S111" s="494">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4">
        <f>SUMIF('D-1 Off Site Habitat Baseline'!$G$11:$G$258,'G-2 Habitat groups'!A111,'D-1 Off Site Habitat Baseline'!$Q$11:$Q$258)</f>
        <v>0</v>
      </c>
      <c r="U111" s="591">
        <f>SUMIF('D-1 Off Site Habitat Baseline'!$G$11:$G$258,'G-2 Habitat groups'!A111,'D-1 Off Site Habitat Baseline'!$S$11:$S$258)</f>
        <v>0</v>
      </c>
      <c r="V111" s="494">
        <f>SUMIF('D-1 Off Site Habitat Baseline'!$G$11:$G$258,'G-2 Habitat groups'!A111,'D-1 Off Site Habitat Baseline'!$U$11:$U$258)</f>
        <v>0</v>
      </c>
      <c r="W111" s="494">
        <f>SUMIF('D-2 Off Site Habitat Creation'!$F$9:$F$255,'G-2 Habitat groups'!A111,'D-2 Off Site Habitat Creation'!$G$9:$G$255)</f>
        <v>0</v>
      </c>
      <c r="X111" s="494">
        <f>SUMIF('D-2 Off Site Habitat Creation'!$F$9:$F$255,'G-2 Habitat groups'!A111,'D-2 Off Site Habitat Creation'!$AA$9:$AA$255)</f>
        <v>0</v>
      </c>
      <c r="Y111" s="494">
        <f>SUMIF('D-3 Off Site Habitat Enhancment'!$S$12:$S$491,'G-2 Habitat groups'!A111,'D-3 Off Site Habitat Enhancment'!$V$12:$V$491)</f>
        <v>0</v>
      </c>
      <c r="Z111" s="494">
        <f>SUMIF('D-3 Off Site Habitat Enhancment'!$S$12:$S$491,'G-2 Habitat groups'!A111,'D-3 Off Site Habitat Enhancment'!$AP$12:$AP$491)</f>
        <v>0</v>
      </c>
      <c r="AA111" s="494">
        <f t="shared" si="107"/>
        <v>0</v>
      </c>
      <c r="AB111" s="494">
        <f t="shared" si="108"/>
        <v>0</v>
      </c>
      <c r="AC111" s="494">
        <f t="shared" si="109"/>
        <v>0</v>
      </c>
      <c r="AD111" s="494">
        <f t="shared" si="110"/>
        <v>0</v>
      </c>
      <c r="AE111" s="494">
        <f t="shared" si="111"/>
        <v>0</v>
      </c>
      <c r="AF111" s="494">
        <f t="shared" si="112"/>
        <v>0</v>
      </c>
      <c r="AU111" s="104" t="s">
        <v>405</v>
      </c>
      <c r="AV111" s="88" t="s">
        <v>69</v>
      </c>
      <c r="AW111" s="494">
        <f t="shared" si="115"/>
        <v>0</v>
      </c>
      <c r="AX111" s="494">
        <f t="shared" ref="AX111:AX146" si="125">VLOOKUP($AU111,AllHabsSummaryData,10,FALSE)</f>
        <v>0</v>
      </c>
      <c r="AY111" s="494">
        <f t="shared" ref="AY111:AY146" si="126">VLOOKUP($AU111,AllHabsSummaryData,15,FALSE)</f>
        <v>0</v>
      </c>
      <c r="AZ111" s="494">
        <f t="shared" ref="AZ111:AZ146" si="127">VLOOKUP($AU111,AllHabsSummaryData,16,FALSE)</f>
        <v>0</v>
      </c>
      <c r="BA111" s="494">
        <f t="shared" ref="BA111:BA146" si="128">VLOOKUP($AU111,AllHabsSummaryData,17,FALSE)</f>
        <v>0</v>
      </c>
      <c r="BB111" s="494">
        <f t="shared" ref="BB111:BB146" si="129">VLOOKUP($AU111,AllHabsSummaryData,18,FALSE)</f>
        <v>0</v>
      </c>
      <c r="BC111" s="494">
        <f t="shared" ref="BC111:BC146" si="130">VLOOKUP($AU111,AllHabsSummaryData,27,FALSE)</f>
        <v>0</v>
      </c>
      <c r="BD111" s="494">
        <f t="shared" ref="BD111:BD146" si="131">VLOOKUP($AU111,AllHabsSummaryData,30,FALSE)</f>
        <v>0</v>
      </c>
      <c r="BE111" s="494">
        <f t="shared" si="123"/>
        <v>0</v>
      </c>
      <c r="BF111" s="494"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4">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4">
        <f>SUMIF('A-1 Site Habitat Baseline'!$G$11:$G$258,'G-2 Habitat groups'!A112,'A-1 Site Habitat Baseline'!$Q$11:$Q$258)</f>
        <v>0</v>
      </c>
      <c r="G112" s="494">
        <f>SUMIF('A-1 Site Habitat Baseline'!$G$11:$G$258,'G-2 Habitat groups'!A112,'A-1 Site Habitat Baseline'!$S$11:$S$258)</f>
        <v>0</v>
      </c>
      <c r="H112" s="494">
        <f>SUMIF('A-1 Site Habitat Baseline'!$G$11:$G$258,'G-2 Habitat groups'!A112,'A-1 Site Habitat Baseline'!$U$11:$U$258)</f>
        <v>0</v>
      </c>
      <c r="I112" s="494">
        <f>SUMIF('A-1 Site Habitat Baseline'!$G$11:$G$258,'G-2 Habitat groups'!A112,'A-1 Site Habitat Baseline'!$W$11:$W$258)</f>
        <v>0</v>
      </c>
      <c r="J112" s="494">
        <f>SUMIF('A-1 Site Habitat Baseline'!$G$11:$G$258,'G-2 Habitat groups'!A112,'A-1 Site Habitat Baseline'!$X$11:$X$258)</f>
        <v>0</v>
      </c>
      <c r="K112" s="494">
        <f>SUMIF('A-2 Site Habitat Creation'!$F$11:$F$256,'G-2 Habitat groups'!A112,'A-2 Site Habitat Creation'!$G$11:$G$256)</f>
        <v>0</v>
      </c>
      <c r="L112" s="494">
        <f>SUMIF('A-2 Site Habitat Creation'!$F$11:$F$256,'G-2 Habitat groups'!A112,'A-2 Site Habitat Creation'!$Y$11:$Y$256)</f>
        <v>0</v>
      </c>
      <c r="M112" s="494">
        <f>SUMIF('A-3 Site Habitat Enhancement'!$S$12:$S$257,'G-2 Habitat groups'!A112,'A-3 Site Habitat Enhancement'!$V$12:$V$257)</f>
        <v>0</v>
      </c>
      <c r="N112" s="494">
        <f>SUMIF('A-3 Site Habitat Enhancement'!$S$12:$S$257,'G-2 Habitat groups'!A112,'A-3 Site Habitat Enhancement'!$AN$12:$AN$257)</f>
        <v>0</v>
      </c>
      <c r="O112" s="494">
        <f t="shared" si="103"/>
        <v>0</v>
      </c>
      <c r="P112" s="494">
        <f t="shared" si="104"/>
        <v>0</v>
      </c>
      <c r="Q112" s="494">
        <f t="shared" si="105"/>
        <v>0</v>
      </c>
      <c r="R112" s="494">
        <f t="shared" si="106"/>
        <v>0</v>
      </c>
      <c r="S112" s="494">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4">
        <f>SUMIF('D-1 Off Site Habitat Baseline'!$G$11:$G$258,'G-2 Habitat groups'!A112,'D-1 Off Site Habitat Baseline'!$Q$11:$Q$258)</f>
        <v>0</v>
      </c>
      <c r="U112" s="591">
        <f>SUMIF('D-1 Off Site Habitat Baseline'!$G$11:$G$258,'G-2 Habitat groups'!A112,'D-1 Off Site Habitat Baseline'!$S$11:$S$258)</f>
        <v>0</v>
      </c>
      <c r="V112" s="494">
        <f>SUMIF('D-1 Off Site Habitat Baseline'!$G$11:$G$258,'G-2 Habitat groups'!A112,'D-1 Off Site Habitat Baseline'!$U$11:$U$258)</f>
        <v>0</v>
      </c>
      <c r="W112" s="494">
        <f>SUMIF('D-2 Off Site Habitat Creation'!$F$9:$F$255,'G-2 Habitat groups'!A112,'D-2 Off Site Habitat Creation'!$G$9:$G$255)</f>
        <v>0</v>
      </c>
      <c r="X112" s="494">
        <f>SUMIF('D-2 Off Site Habitat Creation'!$F$9:$F$255,'G-2 Habitat groups'!A112,'D-2 Off Site Habitat Creation'!$AA$9:$AA$255)</f>
        <v>0</v>
      </c>
      <c r="Y112" s="494">
        <f>SUMIF('D-3 Off Site Habitat Enhancment'!$S$12:$S$491,'G-2 Habitat groups'!A112,'D-3 Off Site Habitat Enhancment'!$V$12:$V$491)</f>
        <v>0</v>
      </c>
      <c r="Z112" s="494">
        <f>SUMIF('D-3 Off Site Habitat Enhancment'!$S$12:$S$491,'G-2 Habitat groups'!A112,'D-3 Off Site Habitat Enhancment'!$AP$12:$AP$491)</f>
        <v>0</v>
      </c>
      <c r="AA112" s="494">
        <f t="shared" si="107"/>
        <v>0</v>
      </c>
      <c r="AB112" s="494">
        <f t="shared" si="108"/>
        <v>0</v>
      </c>
      <c r="AC112" s="494">
        <f t="shared" si="109"/>
        <v>0</v>
      </c>
      <c r="AD112" s="494">
        <f t="shared" si="110"/>
        <v>0</v>
      </c>
      <c r="AE112" s="494">
        <f t="shared" si="111"/>
        <v>0</v>
      </c>
      <c r="AF112" s="494">
        <f t="shared" si="112"/>
        <v>0</v>
      </c>
      <c r="AU112" s="104" t="s">
        <v>409</v>
      </c>
      <c r="AV112" s="88" t="s">
        <v>69</v>
      </c>
      <c r="AW112" s="494">
        <f t="shared" si="115"/>
        <v>0</v>
      </c>
      <c r="AX112" s="494">
        <f t="shared" si="125"/>
        <v>0</v>
      </c>
      <c r="AY112" s="494">
        <f t="shared" si="126"/>
        <v>0</v>
      </c>
      <c r="AZ112" s="494">
        <f t="shared" si="127"/>
        <v>0</v>
      </c>
      <c r="BA112" s="494">
        <f t="shared" si="128"/>
        <v>0</v>
      </c>
      <c r="BB112" s="494">
        <f t="shared" si="129"/>
        <v>0</v>
      </c>
      <c r="BC112" s="494">
        <f t="shared" si="130"/>
        <v>0</v>
      </c>
      <c r="BD112" s="494">
        <f t="shared" si="131"/>
        <v>0</v>
      </c>
      <c r="BE112" s="494">
        <f t="shared" si="123"/>
        <v>0</v>
      </c>
      <c r="BF112" s="494"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4">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4">
        <f>SUMIF('A-1 Site Habitat Baseline'!$G$11:$G$258,'G-2 Habitat groups'!A113,'A-1 Site Habitat Baseline'!$Q$11:$Q$258)</f>
        <v>0</v>
      </c>
      <c r="G113" s="494">
        <f>SUMIF('A-1 Site Habitat Baseline'!$G$11:$G$258,'G-2 Habitat groups'!A113,'A-1 Site Habitat Baseline'!$S$11:$S$258)</f>
        <v>0</v>
      </c>
      <c r="H113" s="494">
        <f>SUMIF('A-1 Site Habitat Baseline'!$G$11:$G$258,'G-2 Habitat groups'!A113,'A-1 Site Habitat Baseline'!$U$11:$U$258)</f>
        <v>0</v>
      </c>
      <c r="I113" s="494">
        <f>SUMIF('A-1 Site Habitat Baseline'!$G$11:$G$258,'G-2 Habitat groups'!A113,'A-1 Site Habitat Baseline'!$W$11:$W$258)</f>
        <v>0</v>
      </c>
      <c r="J113" s="494">
        <f>SUMIF('A-1 Site Habitat Baseline'!$G$11:$G$258,'G-2 Habitat groups'!A113,'A-1 Site Habitat Baseline'!$X$11:$X$258)</f>
        <v>0</v>
      </c>
      <c r="K113" s="494">
        <f>SUMIF('A-2 Site Habitat Creation'!$F$11:$F$256,'G-2 Habitat groups'!A113,'A-2 Site Habitat Creation'!$G$11:$G$256)</f>
        <v>0</v>
      </c>
      <c r="L113" s="494">
        <f>SUMIF('A-2 Site Habitat Creation'!$F$11:$F$256,'G-2 Habitat groups'!A113,'A-2 Site Habitat Creation'!$Y$11:$Y$256)</f>
        <v>0</v>
      </c>
      <c r="M113" s="494">
        <f>SUMIF('A-3 Site Habitat Enhancement'!$S$12:$S$257,'G-2 Habitat groups'!A113,'A-3 Site Habitat Enhancement'!$V$12:$V$257)</f>
        <v>0</v>
      </c>
      <c r="N113" s="494">
        <f>SUMIF('A-3 Site Habitat Enhancement'!$S$12:$S$257,'G-2 Habitat groups'!A113,'A-3 Site Habitat Enhancement'!$AN$12:$AN$257)</f>
        <v>0</v>
      </c>
      <c r="O113" s="494">
        <f t="shared" si="103"/>
        <v>0</v>
      </c>
      <c r="P113" s="494">
        <f t="shared" si="104"/>
        <v>0</v>
      </c>
      <c r="Q113" s="494">
        <f t="shared" si="105"/>
        <v>0</v>
      </c>
      <c r="R113" s="494">
        <f t="shared" si="106"/>
        <v>0</v>
      </c>
      <c r="S113" s="494">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4">
        <f>SUMIF('D-1 Off Site Habitat Baseline'!$G$11:$G$258,'G-2 Habitat groups'!A113,'D-1 Off Site Habitat Baseline'!$Q$11:$Q$258)</f>
        <v>0</v>
      </c>
      <c r="U113" s="591">
        <f>SUMIF('D-1 Off Site Habitat Baseline'!$G$11:$G$258,'G-2 Habitat groups'!A113,'D-1 Off Site Habitat Baseline'!$S$11:$S$258)</f>
        <v>0</v>
      </c>
      <c r="V113" s="494">
        <f>SUMIF('D-1 Off Site Habitat Baseline'!$G$11:$G$258,'G-2 Habitat groups'!A113,'D-1 Off Site Habitat Baseline'!$U$11:$U$258)</f>
        <v>0</v>
      </c>
      <c r="W113" s="494">
        <f>SUMIF('D-2 Off Site Habitat Creation'!$F$9:$F$255,'G-2 Habitat groups'!A113,'D-2 Off Site Habitat Creation'!$G$9:$G$255)</f>
        <v>0</v>
      </c>
      <c r="X113" s="494">
        <f>SUMIF('D-2 Off Site Habitat Creation'!$F$9:$F$255,'G-2 Habitat groups'!A113,'D-2 Off Site Habitat Creation'!$AA$9:$AA$255)</f>
        <v>0</v>
      </c>
      <c r="Y113" s="494">
        <f>SUMIF('D-3 Off Site Habitat Enhancment'!$S$12:$S$491,'G-2 Habitat groups'!A113,'D-3 Off Site Habitat Enhancment'!$V$12:$V$491)</f>
        <v>0</v>
      </c>
      <c r="Z113" s="494">
        <f>SUMIF('D-3 Off Site Habitat Enhancment'!$S$12:$S$491,'G-2 Habitat groups'!A113,'D-3 Off Site Habitat Enhancment'!$AP$12:$AP$491)</f>
        <v>0</v>
      </c>
      <c r="AA113" s="494">
        <f t="shared" si="107"/>
        <v>0</v>
      </c>
      <c r="AB113" s="494">
        <f t="shared" si="108"/>
        <v>0</v>
      </c>
      <c r="AC113" s="494">
        <f t="shared" si="109"/>
        <v>0</v>
      </c>
      <c r="AD113" s="494">
        <f t="shared" si="110"/>
        <v>0</v>
      </c>
      <c r="AE113" s="494">
        <f t="shared" si="111"/>
        <v>0</v>
      </c>
      <c r="AF113" s="494">
        <f t="shared" si="112"/>
        <v>0</v>
      </c>
      <c r="AU113" s="104" t="s">
        <v>413</v>
      </c>
      <c r="AV113" s="88" t="s">
        <v>69</v>
      </c>
      <c r="AW113" s="494">
        <f t="shared" si="115"/>
        <v>0</v>
      </c>
      <c r="AX113" s="494">
        <f t="shared" si="125"/>
        <v>0</v>
      </c>
      <c r="AY113" s="494">
        <f t="shared" si="126"/>
        <v>0</v>
      </c>
      <c r="AZ113" s="494">
        <f t="shared" si="127"/>
        <v>0</v>
      </c>
      <c r="BA113" s="494">
        <f t="shared" si="128"/>
        <v>0</v>
      </c>
      <c r="BB113" s="494">
        <f t="shared" si="129"/>
        <v>0</v>
      </c>
      <c r="BC113" s="494">
        <f t="shared" si="130"/>
        <v>0</v>
      </c>
      <c r="BD113" s="494">
        <f t="shared" si="131"/>
        <v>0</v>
      </c>
      <c r="BE113" s="494">
        <f t="shared" si="123"/>
        <v>0</v>
      </c>
      <c r="BF113" s="494"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4">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4">
        <f>SUMIF('A-1 Site Habitat Baseline'!$G$11:$G$258,'G-2 Habitat groups'!A114,'A-1 Site Habitat Baseline'!$Q$11:$Q$258)</f>
        <v>0</v>
      </c>
      <c r="G114" s="494">
        <f>SUMIF('A-1 Site Habitat Baseline'!$G$11:$G$258,'G-2 Habitat groups'!A114,'A-1 Site Habitat Baseline'!$S$11:$S$258)</f>
        <v>0</v>
      </c>
      <c r="H114" s="494">
        <f>SUMIF('A-1 Site Habitat Baseline'!$G$11:$G$258,'G-2 Habitat groups'!A114,'A-1 Site Habitat Baseline'!$U$11:$U$258)</f>
        <v>0</v>
      </c>
      <c r="I114" s="494">
        <f>SUMIF('A-1 Site Habitat Baseline'!$G$11:$G$258,'G-2 Habitat groups'!A114,'A-1 Site Habitat Baseline'!$W$11:$W$258)</f>
        <v>0</v>
      </c>
      <c r="J114" s="494">
        <f>SUMIF('A-1 Site Habitat Baseline'!$G$11:$G$258,'G-2 Habitat groups'!A114,'A-1 Site Habitat Baseline'!$X$11:$X$258)</f>
        <v>0</v>
      </c>
      <c r="K114" s="494">
        <f>SUMIF('A-2 Site Habitat Creation'!$F$11:$F$256,'G-2 Habitat groups'!A114,'A-2 Site Habitat Creation'!$G$11:$G$256)</f>
        <v>0</v>
      </c>
      <c r="L114" s="494">
        <f>SUMIF('A-2 Site Habitat Creation'!$F$11:$F$256,'G-2 Habitat groups'!A114,'A-2 Site Habitat Creation'!$Y$11:$Y$256)</f>
        <v>0</v>
      </c>
      <c r="M114" s="494">
        <f>SUMIF('A-3 Site Habitat Enhancement'!$S$12:$S$257,'G-2 Habitat groups'!A114,'A-3 Site Habitat Enhancement'!$V$12:$V$257)</f>
        <v>0</v>
      </c>
      <c r="N114" s="494">
        <f>SUMIF('A-3 Site Habitat Enhancement'!$S$12:$S$257,'G-2 Habitat groups'!A114,'A-3 Site Habitat Enhancement'!$AN$12:$AN$257)</f>
        <v>0</v>
      </c>
      <c r="O114" s="494">
        <f t="shared" si="103"/>
        <v>0</v>
      </c>
      <c r="P114" s="494">
        <f t="shared" si="104"/>
        <v>0</v>
      </c>
      <c r="Q114" s="494">
        <f t="shared" si="105"/>
        <v>0</v>
      </c>
      <c r="R114" s="494">
        <f t="shared" si="106"/>
        <v>0</v>
      </c>
      <c r="S114" s="494">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4">
        <f>SUMIF('D-1 Off Site Habitat Baseline'!$G$11:$G$258,'G-2 Habitat groups'!A114,'D-1 Off Site Habitat Baseline'!$Q$11:$Q$258)</f>
        <v>0</v>
      </c>
      <c r="U114" s="591">
        <f>SUMIF('D-1 Off Site Habitat Baseline'!$G$11:$G$258,'G-2 Habitat groups'!A114,'D-1 Off Site Habitat Baseline'!$S$11:$S$258)</f>
        <v>0</v>
      </c>
      <c r="V114" s="494">
        <f>SUMIF('D-1 Off Site Habitat Baseline'!$G$11:$G$258,'G-2 Habitat groups'!A114,'D-1 Off Site Habitat Baseline'!$U$11:$U$258)</f>
        <v>0</v>
      </c>
      <c r="W114" s="494">
        <f>SUMIF('D-2 Off Site Habitat Creation'!$F$9:$F$255,'G-2 Habitat groups'!A114,'D-2 Off Site Habitat Creation'!$G$9:$G$255)</f>
        <v>0</v>
      </c>
      <c r="X114" s="494">
        <f>SUMIF('D-2 Off Site Habitat Creation'!$F$9:$F$255,'G-2 Habitat groups'!A114,'D-2 Off Site Habitat Creation'!$AA$9:$AA$255)</f>
        <v>0</v>
      </c>
      <c r="Y114" s="494">
        <f>SUMIF('D-3 Off Site Habitat Enhancment'!$S$12:$S$491,'G-2 Habitat groups'!A114,'D-3 Off Site Habitat Enhancment'!$V$12:$V$491)</f>
        <v>0</v>
      </c>
      <c r="Z114" s="494">
        <f>SUMIF('D-3 Off Site Habitat Enhancment'!$S$12:$S$491,'G-2 Habitat groups'!A114,'D-3 Off Site Habitat Enhancment'!$AP$12:$AP$491)</f>
        <v>0</v>
      </c>
      <c r="AA114" s="494">
        <f t="shared" si="107"/>
        <v>0</v>
      </c>
      <c r="AB114" s="494">
        <f t="shared" si="108"/>
        <v>0</v>
      </c>
      <c r="AC114" s="494">
        <f t="shared" si="109"/>
        <v>0</v>
      </c>
      <c r="AD114" s="494">
        <f t="shared" si="110"/>
        <v>0</v>
      </c>
      <c r="AE114" s="494">
        <f t="shared" si="111"/>
        <v>0</v>
      </c>
      <c r="AF114" s="494">
        <f t="shared" si="112"/>
        <v>0</v>
      </c>
      <c r="AU114" s="104" t="s">
        <v>417</v>
      </c>
      <c r="AV114" s="88" t="s">
        <v>69</v>
      </c>
      <c r="AW114" s="494">
        <f t="shared" si="115"/>
        <v>0</v>
      </c>
      <c r="AX114" s="494">
        <f t="shared" si="125"/>
        <v>0</v>
      </c>
      <c r="AY114" s="494">
        <f t="shared" si="126"/>
        <v>0</v>
      </c>
      <c r="AZ114" s="494">
        <f t="shared" si="127"/>
        <v>0</v>
      </c>
      <c r="BA114" s="494">
        <f t="shared" si="128"/>
        <v>0</v>
      </c>
      <c r="BB114" s="494">
        <f t="shared" si="129"/>
        <v>0</v>
      </c>
      <c r="BC114" s="494">
        <f t="shared" si="130"/>
        <v>0</v>
      </c>
      <c r="BD114" s="494">
        <f t="shared" si="131"/>
        <v>0</v>
      </c>
      <c r="BE114" s="494">
        <f t="shared" si="123"/>
        <v>0</v>
      </c>
      <c r="BF114" s="494"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4">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4">
        <f>SUMIF('A-1 Site Habitat Baseline'!$G$11:$G$258,'G-2 Habitat groups'!A115,'A-1 Site Habitat Baseline'!$Q$11:$Q$258)</f>
        <v>0</v>
      </c>
      <c r="G115" s="494">
        <f>SUMIF('A-1 Site Habitat Baseline'!$G$11:$G$258,'G-2 Habitat groups'!A115,'A-1 Site Habitat Baseline'!$S$11:$S$258)</f>
        <v>0</v>
      </c>
      <c r="H115" s="494">
        <f>SUMIF('A-1 Site Habitat Baseline'!$G$11:$G$258,'G-2 Habitat groups'!A115,'A-1 Site Habitat Baseline'!$U$11:$U$258)</f>
        <v>0</v>
      </c>
      <c r="I115" s="494">
        <f>SUMIF('A-1 Site Habitat Baseline'!$G$11:$G$258,'G-2 Habitat groups'!A115,'A-1 Site Habitat Baseline'!$W$11:$W$258)</f>
        <v>0</v>
      </c>
      <c r="J115" s="494">
        <f>SUMIF('A-1 Site Habitat Baseline'!$G$11:$G$258,'G-2 Habitat groups'!A115,'A-1 Site Habitat Baseline'!$X$11:$X$258)</f>
        <v>0</v>
      </c>
      <c r="K115" s="494">
        <f>SUMIF('A-2 Site Habitat Creation'!$F$11:$F$256,'G-2 Habitat groups'!A115,'A-2 Site Habitat Creation'!$G$11:$G$256)</f>
        <v>0</v>
      </c>
      <c r="L115" s="494">
        <f>SUMIF('A-2 Site Habitat Creation'!$F$11:$F$256,'G-2 Habitat groups'!A115,'A-2 Site Habitat Creation'!$Y$11:$Y$256)</f>
        <v>0</v>
      </c>
      <c r="M115" s="494">
        <f>SUMIF('A-3 Site Habitat Enhancement'!$S$12:$S$257,'G-2 Habitat groups'!A115,'A-3 Site Habitat Enhancement'!$V$12:$V$257)</f>
        <v>0</v>
      </c>
      <c r="N115" s="494">
        <f>SUMIF('A-3 Site Habitat Enhancement'!$S$12:$S$257,'G-2 Habitat groups'!A115,'A-3 Site Habitat Enhancement'!$AN$12:$AN$257)</f>
        <v>0</v>
      </c>
      <c r="O115" s="494">
        <f t="shared" si="103"/>
        <v>0</v>
      </c>
      <c r="P115" s="494">
        <f t="shared" si="104"/>
        <v>0</v>
      </c>
      <c r="Q115" s="494">
        <f t="shared" si="105"/>
        <v>0</v>
      </c>
      <c r="R115" s="494">
        <f t="shared" si="106"/>
        <v>0</v>
      </c>
      <c r="S115" s="494">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4">
        <f>SUMIF('D-1 Off Site Habitat Baseline'!$G$11:$G$258,'G-2 Habitat groups'!A115,'D-1 Off Site Habitat Baseline'!$Q$11:$Q$258)</f>
        <v>0</v>
      </c>
      <c r="U115" s="591">
        <f>SUMIF('D-1 Off Site Habitat Baseline'!$G$11:$G$258,'G-2 Habitat groups'!A115,'D-1 Off Site Habitat Baseline'!$S$11:$S$258)</f>
        <v>0</v>
      </c>
      <c r="V115" s="494">
        <f>SUMIF('D-1 Off Site Habitat Baseline'!$G$11:$G$258,'G-2 Habitat groups'!A115,'D-1 Off Site Habitat Baseline'!$U$11:$U$258)</f>
        <v>0</v>
      </c>
      <c r="W115" s="494">
        <f>SUMIF('D-2 Off Site Habitat Creation'!$F$9:$F$255,'G-2 Habitat groups'!A115,'D-2 Off Site Habitat Creation'!$G$9:$G$255)</f>
        <v>0</v>
      </c>
      <c r="X115" s="494">
        <f>SUMIF('D-2 Off Site Habitat Creation'!$F$9:$F$255,'G-2 Habitat groups'!A115,'D-2 Off Site Habitat Creation'!$AA$9:$AA$255)</f>
        <v>0</v>
      </c>
      <c r="Y115" s="494">
        <f>SUMIF('D-3 Off Site Habitat Enhancment'!$S$12:$S$491,'G-2 Habitat groups'!A115,'D-3 Off Site Habitat Enhancment'!$V$12:$V$491)</f>
        <v>0</v>
      </c>
      <c r="Z115" s="494">
        <f>SUMIF('D-3 Off Site Habitat Enhancment'!$S$12:$S$491,'G-2 Habitat groups'!A115,'D-3 Off Site Habitat Enhancment'!$AP$12:$AP$491)</f>
        <v>0</v>
      </c>
      <c r="AA115" s="494">
        <f t="shared" si="107"/>
        <v>0</v>
      </c>
      <c r="AB115" s="494">
        <f t="shared" si="108"/>
        <v>0</v>
      </c>
      <c r="AC115" s="494">
        <f t="shared" si="109"/>
        <v>0</v>
      </c>
      <c r="AD115" s="494">
        <f t="shared" si="110"/>
        <v>0</v>
      </c>
      <c r="AE115" s="494">
        <f t="shared" si="111"/>
        <v>0</v>
      </c>
      <c r="AF115" s="494">
        <f t="shared" si="112"/>
        <v>0</v>
      </c>
      <c r="AU115" s="104" t="s">
        <v>401</v>
      </c>
      <c r="AV115" s="88" t="s">
        <v>69</v>
      </c>
      <c r="AW115" s="494">
        <f t="shared" si="115"/>
        <v>0</v>
      </c>
      <c r="AX115" s="494">
        <f t="shared" si="125"/>
        <v>0</v>
      </c>
      <c r="AY115" s="494">
        <f t="shared" si="126"/>
        <v>0</v>
      </c>
      <c r="AZ115" s="494">
        <f t="shared" si="127"/>
        <v>0</v>
      </c>
      <c r="BA115" s="494">
        <f t="shared" si="128"/>
        <v>0</v>
      </c>
      <c r="BB115" s="494">
        <f t="shared" si="129"/>
        <v>0</v>
      </c>
      <c r="BC115" s="494">
        <f t="shared" si="130"/>
        <v>0</v>
      </c>
      <c r="BD115" s="494">
        <f t="shared" si="131"/>
        <v>0</v>
      </c>
      <c r="BE115" s="494">
        <f t="shared" si="123"/>
        <v>0</v>
      </c>
      <c r="BF115" s="494"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4">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4">
        <f>SUMIF('A-1 Site Habitat Baseline'!$G$11:$G$258,'G-2 Habitat groups'!A116,'A-1 Site Habitat Baseline'!$Q$11:$Q$258)</f>
        <v>0</v>
      </c>
      <c r="G116" s="494">
        <f>SUMIF('A-1 Site Habitat Baseline'!$G$11:$G$258,'G-2 Habitat groups'!A116,'A-1 Site Habitat Baseline'!$S$11:$S$258)</f>
        <v>0</v>
      </c>
      <c r="H116" s="494">
        <f>SUMIF('A-1 Site Habitat Baseline'!$G$11:$G$258,'G-2 Habitat groups'!A116,'A-1 Site Habitat Baseline'!$U$11:$U$258)</f>
        <v>0</v>
      </c>
      <c r="I116" s="494">
        <f>SUMIF('A-1 Site Habitat Baseline'!$G$11:$G$258,'G-2 Habitat groups'!A116,'A-1 Site Habitat Baseline'!$W$11:$W$258)</f>
        <v>0</v>
      </c>
      <c r="J116" s="494">
        <f>SUMIF('A-1 Site Habitat Baseline'!$G$11:$G$258,'G-2 Habitat groups'!A116,'A-1 Site Habitat Baseline'!$X$11:$X$258)</f>
        <v>0</v>
      </c>
      <c r="K116" s="494">
        <f>SUMIF('A-2 Site Habitat Creation'!$F$11:$F$256,'G-2 Habitat groups'!A116,'A-2 Site Habitat Creation'!$G$11:$G$256)</f>
        <v>0</v>
      </c>
      <c r="L116" s="494">
        <f>SUMIF('A-2 Site Habitat Creation'!$F$11:$F$256,'G-2 Habitat groups'!A116,'A-2 Site Habitat Creation'!$Y$11:$Y$256)</f>
        <v>0</v>
      </c>
      <c r="M116" s="494">
        <f>SUMIF('A-3 Site Habitat Enhancement'!$S$12:$S$257,'G-2 Habitat groups'!A116,'A-3 Site Habitat Enhancement'!$V$12:$V$257)</f>
        <v>0</v>
      </c>
      <c r="N116" s="494">
        <f>SUMIF('A-3 Site Habitat Enhancement'!$S$12:$S$257,'G-2 Habitat groups'!A116,'A-3 Site Habitat Enhancement'!$AN$12:$AN$257)</f>
        <v>0</v>
      </c>
      <c r="O116" s="494">
        <f t="shared" si="103"/>
        <v>0</v>
      </c>
      <c r="P116" s="494">
        <f t="shared" si="104"/>
        <v>0</v>
      </c>
      <c r="Q116" s="494">
        <f t="shared" si="105"/>
        <v>0</v>
      </c>
      <c r="R116" s="494">
        <f t="shared" si="106"/>
        <v>0</v>
      </c>
      <c r="S116" s="494">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4">
        <f>SUMIF('D-1 Off Site Habitat Baseline'!$G$11:$G$258,'G-2 Habitat groups'!A116,'D-1 Off Site Habitat Baseline'!$Q$11:$Q$258)</f>
        <v>0</v>
      </c>
      <c r="U116" s="591">
        <f>SUMIF('D-1 Off Site Habitat Baseline'!$G$11:$G$258,'G-2 Habitat groups'!A116,'D-1 Off Site Habitat Baseline'!$S$11:$S$258)</f>
        <v>0</v>
      </c>
      <c r="V116" s="494">
        <f>SUMIF('D-1 Off Site Habitat Baseline'!$G$11:$G$258,'G-2 Habitat groups'!A116,'D-1 Off Site Habitat Baseline'!$U$11:$U$258)</f>
        <v>0</v>
      </c>
      <c r="W116" s="494">
        <f>SUMIF('D-2 Off Site Habitat Creation'!$F$9:$F$255,'G-2 Habitat groups'!A116,'D-2 Off Site Habitat Creation'!$G$9:$G$255)</f>
        <v>0</v>
      </c>
      <c r="X116" s="494">
        <f>SUMIF('D-2 Off Site Habitat Creation'!$F$9:$F$255,'G-2 Habitat groups'!A116,'D-2 Off Site Habitat Creation'!$AA$9:$AA$255)</f>
        <v>0</v>
      </c>
      <c r="Y116" s="494">
        <f>SUMIF('D-3 Off Site Habitat Enhancment'!$S$12:$S$491,'G-2 Habitat groups'!A116,'D-3 Off Site Habitat Enhancment'!$V$12:$V$491)</f>
        <v>0</v>
      </c>
      <c r="Z116" s="494">
        <f>SUMIF('D-3 Off Site Habitat Enhancment'!$S$12:$S$491,'G-2 Habitat groups'!A116,'D-3 Off Site Habitat Enhancment'!$AP$12:$AP$491)</f>
        <v>0</v>
      </c>
      <c r="AA116" s="494">
        <f t="shared" si="107"/>
        <v>0</v>
      </c>
      <c r="AB116" s="494">
        <f t="shared" si="108"/>
        <v>0</v>
      </c>
      <c r="AC116" s="494">
        <f t="shared" si="109"/>
        <v>0</v>
      </c>
      <c r="AD116" s="494">
        <f t="shared" si="110"/>
        <v>0</v>
      </c>
      <c r="AE116" s="494">
        <f t="shared" si="111"/>
        <v>0</v>
      </c>
      <c r="AF116" s="494">
        <f t="shared" si="112"/>
        <v>0</v>
      </c>
      <c r="AU116" s="104" t="s">
        <v>449</v>
      </c>
      <c r="AV116" s="88" t="s">
        <v>70</v>
      </c>
      <c r="AW116" s="494">
        <f t="shared" si="115"/>
        <v>7.3499999999999996E-2</v>
      </c>
      <c r="AX116" s="494">
        <f t="shared" si="125"/>
        <v>0.16904999999999998</v>
      </c>
      <c r="AY116" s="494">
        <f t="shared" si="126"/>
        <v>0</v>
      </c>
      <c r="AZ116" s="494">
        <f t="shared" si="127"/>
        <v>0</v>
      </c>
      <c r="BA116" s="494">
        <f t="shared" si="128"/>
        <v>-7.3499999999999996E-2</v>
      </c>
      <c r="BB116" s="494">
        <f t="shared" si="129"/>
        <v>-0.16904999999999998</v>
      </c>
      <c r="BC116" s="494">
        <f t="shared" si="130"/>
        <v>0</v>
      </c>
      <c r="BD116" s="494">
        <f t="shared" si="131"/>
        <v>0</v>
      </c>
      <c r="BE116" s="494">
        <f t="shared" si="123"/>
        <v>-0.16904999999999998</v>
      </c>
      <c r="BF116" s="494">
        <f t="shared" si="124"/>
        <v>-0.16904999999999998</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4">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4">
        <f>SUMIF('A-1 Site Habitat Baseline'!$G$11:$G$258,'G-2 Habitat groups'!A117,'A-1 Site Habitat Baseline'!$Q$11:$Q$258)</f>
        <v>0</v>
      </c>
      <c r="G117" s="494">
        <f>SUMIF('A-1 Site Habitat Baseline'!$G$11:$G$258,'G-2 Habitat groups'!A117,'A-1 Site Habitat Baseline'!$S$11:$S$258)</f>
        <v>0</v>
      </c>
      <c r="H117" s="494">
        <f>SUMIF('A-1 Site Habitat Baseline'!$G$11:$G$258,'G-2 Habitat groups'!A117,'A-1 Site Habitat Baseline'!$U$11:$U$258)</f>
        <v>0</v>
      </c>
      <c r="I117" s="494">
        <f>SUMIF('A-1 Site Habitat Baseline'!$G$11:$G$258,'G-2 Habitat groups'!A117,'A-1 Site Habitat Baseline'!$W$11:$W$258)</f>
        <v>0</v>
      </c>
      <c r="J117" s="494">
        <f>SUMIF('A-1 Site Habitat Baseline'!$G$11:$G$258,'G-2 Habitat groups'!A117,'A-1 Site Habitat Baseline'!$X$11:$X$258)</f>
        <v>0</v>
      </c>
      <c r="K117" s="494">
        <f>SUMIF('A-2 Site Habitat Creation'!$F$11:$F$256,'G-2 Habitat groups'!A117,'A-2 Site Habitat Creation'!$G$11:$G$256)</f>
        <v>0</v>
      </c>
      <c r="L117" s="494">
        <f>SUMIF('A-2 Site Habitat Creation'!$F$11:$F$256,'G-2 Habitat groups'!A117,'A-2 Site Habitat Creation'!$Y$11:$Y$256)</f>
        <v>0</v>
      </c>
      <c r="M117" s="494">
        <f>SUMIF('A-3 Site Habitat Enhancement'!$S$12:$S$257,'G-2 Habitat groups'!A117,'A-3 Site Habitat Enhancement'!$V$12:$V$257)</f>
        <v>0</v>
      </c>
      <c r="N117" s="494">
        <f>SUMIF('A-3 Site Habitat Enhancement'!$S$12:$S$257,'G-2 Habitat groups'!A117,'A-3 Site Habitat Enhancement'!$AN$12:$AN$257)</f>
        <v>0</v>
      </c>
      <c r="O117" s="494">
        <f t="shared" si="103"/>
        <v>0</v>
      </c>
      <c r="P117" s="494">
        <f t="shared" si="104"/>
        <v>0</v>
      </c>
      <c r="Q117" s="494">
        <f t="shared" si="105"/>
        <v>0</v>
      </c>
      <c r="R117" s="494">
        <f t="shared" si="106"/>
        <v>0</v>
      </c>
      <c r="S117" s="494">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4">
        <f>SUMIF('D-1 Off Site Habitat Baseline'!$G$11:$G$258,'G-2 Habitat groups'!A117,'D-1 Off Site Habitat Baseline'!$Q$11:$Q$258)</f>
        <v>0</v>
      </c>
      <c r="U117" s="591">
        <f>SUMIF('D-1 Off Site Habitat Baseline'!$G$11:$G$258,'G-2 Habitat groups'!A117,'D-1 Off Site Habitat Baseline'!$S$11:$S$258)</f>
        <v>0</v>
      </c>
      <c r="V117" s="494">
        <f>SUMIF('D-1 Off Site Habitat Baseline'!$G$11:$G$258,'G-2 Habitat groups'!A117,'D-1 Off Site Habitat Baseline'!$U$11:$U$258)</f>
        <v>0</v>
      </c>
      <c r="W117" s="494">
        <f>SUMIF('D-2 Off Site Habitat Creation'!$F$9:$F$255,'G-2 Habitat groups'!A117,'D-2 Off Site Habitat Creation'!$G$9:$G$255)</f>
        <v>0</v>
      </c>
      <c r="X117" s="494">
        <f>SUMIF('D-2 Off Site Habitat Creation'!$F$9:$F$255,'G-2 Habitat groups'!A117,'D-2 Off Site Habitat Creation'!$AA$9:$AA$255)</f>
        <v>0</v>
      </c>
      <c r="Y117" s="494">
        <f>SUMIF('D-3 Off Site Habitat Enhancment'!$S$12:$S$491,'G-2 Habitat groups'!A117,'D-3 Off Site Habitat Enhancment'!$V$12:$V$491)</f>
        <v>0</v>
      </c>
      <c r="Z117" s="494">
        <f>SUMIF('D-3 Off Site Habitat Enhancment'!$S$12:$S$491,'G-2 Habitat groups'!A117,'D-3 Off Site Habitat Enhancment'!$AP$12:$AP$491)</f>
        <v>0</v>
      </c>
      <c r="AA117" s="494">
        <f t="shared" si="107"/>
        <v>0</v>
      </c>
      <c r="AB117" s="494">
        <f t="shared" si="108"/>
        <v>0</v>
      </c>
      <c r="AC117" s="494">
        <f t="shared" si="109"/>
        <v>0</v>
      </c>
      <c r="AD117" s="494">
        <f t="shared" si="110"/>
        <v>0</v>
      </c>
      <c r="AE117" s="494">
        <f t="shared" si="111"/>
        <v>0</v>
      </c>
      <c r="AF117" s="494">
        <f t="shared" si="112"/>
        <v>0</v>
      </c>
      <c r="AU117" s="104" t="s">
        <v>424</v>
      </c>
      <c r="AV117" s="88" t="s">
        <v>70</v>
      </c>
      <c r="AW117" s="494">
        <f t="shared" si="115"/>
        <v>0</v>
      </c>
      <c r="AX117" s="494">
        <f t="shared" si="125"/>
        <v>0</v>
      </c>
      <c r="AY117" s="494">
        <f t="shared" si="126"/>
        <v>0</v>
      </c>
      <c r="AZ117" s="494">
        <f t="shared" si="127"/>
        <v>0</v>
      </c>
      <c r="BA117" s="494">
        <f t="shared" si="128"/>
        <v>0</v>
      </c>
      <c r="BB117" s="494">
        <f t="shared" si="129"/>
        <v>0</v>
      </c>
      <c r="BC117" s="494">
        <f t="shared" si="130"/>
        <v>0</v>
      </c>
      <c r="BD117" s="494">
        <f t="shared" si="131"/>
        <v>0</v>
      </c>
      <c r="BE117" s="494">
        <f t="shared" si="123"/>
        <v>0</v>
      </c>
      <c r="BF117" s="494"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4">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4">
        <f>SUMIF('A-1 Site Habitat Baseline'!$G$11:$G$258,'G-2 Habitat groups'!A118,'A-1 Site Habitat Baseline'!$Q$11:$Q$258)</f>
        <v>0</v>
      </c>
      <c r="G118" s="494">
        <f>SUMIF('A-1 Site Habitat Baseline'!$G$11:$G$258,'G-2 Habitat groups'!A118,'A-1 Site Habitat Baseline'!$S$11:$S$258)</f>
        <v>0</v>
      </c>
      <c r="H118" s="494">
        <f>SUMIF('A-1 Site Habitat Baseline'!$G$11:$G$258,'G-2 Habitat groups'!A118,'A-1 Site Habitat Baseline'!$U$11:$U$258)</f>
        <v>0</v>
      </c>
      <c r="I118" s="494">
        <f>SUMIF('A-1 Site Habitat Baseline'!$G$11:$G$258,'G-2 Habitat groups'!A118,'A-1 Site Habitat Baseline'!$W$11:$W$258)</f>
        <v>0</v>
      </c>
      <c r="J118" s="494">
        <f>SUMIF('A-1 Site Habitat Baseline'!$G$11:$G$258,'G-2 Habitat groups'!A118,'A-1 Site Habitat Baseline'!$X$11:$X$258)</f>
        <v>0</v>
      </c>
      <c r="K118" s="494">
        <f>SUMIF('A-2 Site Habitat Creation'!$F$11:$F$256,'G-2 Habitat groups'!A118,'A-2 Site Habitat Creation'!$G$11:$G$256)</f>
        <v>0</v>
      </c>
      <c r="L118" s="494">
        <f>SUMIF('A-2 Site Habitat Creation'!$F$11:$F$256,'G-2 Habitat groups'!A118,'A-2 Site Habitat Creation'!$Y$11:$Y$256)</f>
        <v>0</v>
      </c>
      <c r="M118" s="494">
        <f>SUMIF('A-3 Site Habitat Enhancement'!$S$12:$S$257,'G-2 Habitat groups'!A118,'A-3 Site Habitat Enhancement'!$V$12:$V$257)</f>
        <v>0</v>
      </c>
      <c r="N118" s="494">
        <f>SUMIF('A-3 Site Habitat Enhancement'!$S$12:$S$257,'G-2 Habitat groups'!A118,'A-3 Site Habitat Enhancement'!$AN$12:$AN$257)</f>
        <v>0</v>
      </c>
      <c r="O118" s="494">
        <f t="shared" si="103"/>
        <v>0</v>
      </c>
      <c r="P118" s="494">
        <f t="shared" si="104"/>
        <v>0</v>
      </c>
      <c r="Q118" s="494">
        <f t="shared" si="105"/>
        <v>0</v>
      </c>
      <c r="R118" s="494">
        <f t="shared" si="106"/>
        <v>0</v>
      </c>
      <c r="S118" s="494">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4">
        <f>SUMIF('D-1 Off Site Habitat Baseline'!$G$11:$G$258,'G-2 Habitat groups'!A118,'D-1 Off Site Habitat Baseline'!$Q$11:$Q$258)</f>
        <v>0</v>
      </c>
      <c r="U118" s="591">
        <f>SUMIF('D-1 Off Site Habitat Baseline'!$G$11:$G$258,'G-2 Habitat groups'!A118,'D-1 Off Site Habitat Baseline'!$S$11:$S$258)</f>
        <v>0</v>
      </c>
      <c r="V118" s="494">
        <f>SUMIF('D-1 Off Site Habitat Baseline'!$G$11:$G$258,'G-2 Habitat groups'!A118,'D-1 Off Site Habitat Baseline'!$U$11:$U$258)</f>
        <v>0</v>
      </c>
      <c r="W118" s="494">
        <f>SUMIF('D-2 Off Site Habitat Creation'!$F$9:$F$255,'G-2 Habitat groups'!A118,'D-2 Off Site Habitat Creation'!$G$9:$G$255)</f>
        <v>0</v>
      </c>
      <c r="X118" s="494">
        <f>SUMIF('D-2 Off Site Habitat Creation'!$F$9:$F$255,'G-2 Habitat groups'!A118,'D-2 Off Site Habitat Creation'!$AA$9:$AA$255)</f>
        <v>0</v>
      </c>
      <c r="Y118" s="494">
        <f>SUMIF('D-3 Off Site Habitat Enhancment'!$S$12:$S$491,'G-2 Habitat groups'!A118,'D-3 Off Site Habitat Enhancment'!$V$12:$V$491)</f>
        <v>0</v>
      </c>
      <c r="Z118" s="494">
        <f>SUMIF('D-3 Off Site Habitat Enhancment'!$S$12:$S$491,'G-2 Habitat groups'!A118,'D-3 Off Site Habitat Enhancment'!$AP$12:$AP$491)</f>
        <v>0</v>
      </c>
      <c r="AA118" s="494">
        <f t="shared" si="107"/>
        <v>0</v>
      </c>
      <c r="AB118" s="494">
        <f t="shared" si="108"/>
        <v>0</v>
      </c>
      <c r="AC118" s="494">
        <f t="shared" si="109"/>
        <v>0</v>
      </c>
      <c r="AD118" s="494">
        <f t="shared" si="110"/>
        <v>0</v>
      </c>
      <c r="AE118" s="494">
        <f t="shared" si="111"/>
        <v>0</v>
      </c>
      <c r="AF118" s="494">
        <f t="shared" si="112"/>
        <v>0</v>
      </c>
      <c r="AU118" s="104" t="s">
        <v>503</v>
      </c>
      <c r="AV118" s="88" t="s">
        <v>71</v>
      </c>
      <c r="AW118" s="494">
        <f t="shared" si="115"/>
        <v>0</v>
      </c>
      <c r="AX118" s="494">
        <f t="shared" si="125"/>
        <v>0</v>
      </c>
      <c r="AY118" s="494">
        <f t="shared" si="126"/>
        <v>0</v>
      </c>
      <c r="AZ118" s="494">
        <f t="shared" si="127"/>
        <v>0</v>
      </c>
      <c r="BA118" s="494">
        <f t="shared" si="128"/>
        <v>0</v>
      </c>
      <c r="BB118" s="494">
        <f t="shared" si="129"/>
        <v>0</v>
      </c>
      <c r="BC118" s="494">
        <f t="shared" si="130"/>
        <v>0</v>
      </c>
      <c r="BD118" s="494">
        <f t="shared" si="131"/>
        <v>0</v>
      </c>
      <c r="BE118" s="494">
        <f t="shared" si="123"/>
        <v>0</v>
      </c>
      <c r="BF118" s="494"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4">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4">
        <f>SUMIF('A-1 Site Habitat Baseline'!$G$11:$G$258,'G-2 Habitat groups'!A119,'A-1 Site Habitat Baseline'!$Q$11:$Q$258)</f>
        <v>0</v>
      </c>
      <c r="G119" s="494">
        <f>SUMIF('A-1 Site Habitat Baseline'!$G$11:$G$258,'G-2 Habitat groups'!A119,'A-1 Site Habitat Baseline'!$S$11:$S$258)</f>
        <v>0</v>
      </c>
      <c r="H119" s="494">
        <f>SUMIF('A-1 Site Habitat Baseline'!$G$11:$G$258,'G-2 Habitat groups'!A119,'A-1 Site Habitat Baseline'!$U$11:$U$258)</f>
        <v>0</v>
      </c>
      <c r="I119" s="494">
        <f>SUMIF('A-1 Site Habitat Baseline'!$G$11:$G$258,'G-2 Habitat groups'!A119,'A-1 Site Habitat Baseline'!$W$11:$W$258)</f>
        <v>0</v>
      </c>
      <c r="J119" s="494">
        <f>SUMIF('A-1 Site Habitat Baseline'!$G$11:$G$258,'G-2 Habitat groups'!A119,'A-1 Site Habitat Baseline'!$X$11:$X$258)</f>
        <v>0</v>
      </c>
      <c r="K119" s="494">
        <f>SUMIF('A-2 Site Habitat Creation'!$F$11:$F$256,'G-2 Habitat groups'!A119,'A-2 Site Habitat Creation'!$G$11:$G$256)</f>
        <v>0</v>
      </c>
      <c r="L119" s="494">
        <f>SUMIF('A-2 Site Habitat Creation'!$F$11:$F$256,'G-2 Habitat groups'!A119,'A-2 Site Habitat Creation'!$Y$11:$Y$256)</f>
        <v>0</v>
      </c>
      <c r="M119" s="494">
        <f>SUMIF('A-3 Site Habitat Enhancement'!$S$12:$S$257,'G-2 Habitat groups'!A119,'A-3 Site Habitat Enhancement'!$V$12:$V$257)</f>
        <v>0</v>
      </c>
      <c r="N119" s="494">
        <f>SUMIF('A-3 Site Habitat Enhancement'!$S$12:$S$257,'G-2 Habitat groups'!A119,'A-3 Site Habitat Enhancement'!$AN$12:$AN$257)</f>
        <v>0</v>
      </c>
      <c r="O119" s="494">
        <f t="shared" si="103"/>
        <v>0</v>
      </c>
      <c r="P119" s="494">
        <f t="shared" si="104"/>
        <v>0</v>
      </c>
      <c r="Q119" s="494">
        <f t="shared" si="105"/>
        <v>0</v>
      </c>
      <c r="R119" s="494">
        <f t="shared" si="106"/>
        <v>0</v>
      </c>
      <c r="S119" s="494">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4">
        <f>SUMIF('D-1 Off Site Habitat Baseline'!$G$11:$G$258,'G-2 Habitat groups'!A119,'D-1 Off Site Habitat Baseline'!$Q$11:$Q$258)</f>
        <v>0</v>
      </c>
      <c r="U119" s="591">
        <f>SUMIF('D-1 Off Site Habitat Baseline'!$G$11:$G$258,'G-2 Habitat groups'!A119,'D-1 Off Site Habitat Baseline'!$S$11:$S$258)</f>
        <v>0</v>
      </c>
      <c r="V119" s="494">
        <f>SUMIF('D-1 Off Site Habitat Baseline'!$G$11:$G$258,'G-2 Habitat groups'!A119,'D-1 Off Site Habitat Baseline'!$U$11:$U$258)</f>
        <v>0</v>
      </c>
      <c r="W119" s="494">
        <f>SUMIF('D-2 Off Site Habitat Creation'!$F$9:$F$255,'G-2 Habitat groups'!A119,'D-2 Off Site Habitat Creation'!$G$9:$G$255)</f>
        <v>0</v>
      </c>
      <c r="X119" s="494">
        <f>SUMIF('D-2 Off Site Habitat Creation'!$F$9:$F$255,'G-2 Habitat groups'!A119,'D-2 Off Site Habitat Creation'!$AA$9:$AA$255)</f>
        <v>0</v>
      </c>
      <c r="Y119" s="494">
        <f>SUMIF('D-3 Off Site Habitat Enhancment'!$S$12:$S$491,'G-2 Habitat groups'!A119,'D-3 Off Site Habitat Enhancment'!$V$12:$V$491)</f>
        <v>0</v>
      </c>
      <c r="Z119" s="494">
        <f>SUMIF('D-3 Off Site Habitat Enhancment'!$S$12:$S$491,'G-2 Habitat groups'!A119,'D-3 Off Site Habitat Enhancment'!$AP$12:$AP$491)</f>
        <v>0</v>
      </c>
      <c r="AA119" s="494">
        <f t="shared" si="107"/>
        <v>0</v>
      </c>
      <c r="AB119" s="494">
        <f t="shared" si="108"/>
        <v>0</v>
      </c>
      <c r="AC119" s="494">
        <f t="shared" si="109"/>
        <v>0</v>
      </c>
      <c r="AD119" s="494">
        <f t="shared" si="110"/>
        <v>0</v>
      </c>
      <c r="AE119" s="494">
        <f t="shared" si="111"/>
        <v>0</v>
      </c>
      <c r="AF119" s="494">
        <f t="shared" si="112"/>
        <v>0</v>
      </c>
      <c r="AU119" s="104" t="s">
        <v>523</v>
      </c>
      <c r="AV119" s="88" t="s">
        <v>72</v>
      </c>
      <c r="AW119" s="494">
        <f>VLOOKUP($AU120,AllHabsSummaryData,5,FALSE)</f>
        <v>0.3614</v>
      </c>
      <c r="AX119" s="494">
        <f t="shared" si="125"/>
        <v>0</v>
      </c>
      <c r="AY119" s="494">
        <f t="shared" si="126"/>
        <v>0</v>
      </c>
      <c r="AZ119" s="494">
        <f t="shared" si="127"/>
        <v>0</v>
      </c>
      <c r="BA119" s="494">
        <f t="shared" si="128"/>
        <v>0</v>
      </c>
      <c r="BB119" s="494">
        <f t="shared" si="129"/>
        <v>0</v>
      </c>
      <c r="BC119" s="494">
        <f t="shared" si="130"/>
        <v>0</v>
      </c>
      <c r="BD119" s="494">
        <f t="shared" si="131"/>
        <v>0</v>
      </c>
      <c r="BE119" s="494">
        <f t="shared" si="123"/>
        <v>0</v>
      </c>
      <c r="BF119" s="494"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4">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4">
        <f>SUMIF('A-1 Site Habitat Baseline'!$G$11:$G$258,'G-2 Habitat groups'!A120,'A-1 Site Habitat Baseline'!$Q$11:$Q$258)</f>
        <v>0</v>
      </c>
      <c r="G120" s="494">
        <f>SUMIF('A-1 Site Habitat Baseline'!$G$11:$G$258,'G-2 Habitat groups'!A120,'A-1 Site Habitat Baseline'!$S$11:$S$258)</f>
        <v>0</v>
      </c>
      <c r="H120" s="494">
        <f>SUMIF('A-1 Site Habitat Baseline'!$G$11:$G$258,'G-2 Habitat groups'!A120,'A-1 Site Habitat Baseline'!$U$11:$U$258)</f>
        <v>0</v>
      </c>
      <c r="I120" s="494">
        <f>SUMIF('A-1 Site Habitat Baseline'!$G$11:$G$258,'G-2 Habitat groups'!A120,'A-1 Site Habitat Baseline'!$W$11:$W$258)</f>
        <v>0</v>
      </c>
      <c r="J120" s="494">
        <f>SUMIF('A-1 Site Habitat Baseline'!$G$11:$G$258,'G-2 Habitat groups'!A120,'A-1 Site Habitat Baseline'!$X$11:$X$258)</f>
        <v>0</v>
      </c>
      <c r="K120" s="494">
        <f>SUMIF('A-2 Site Habitat Creation'!$F$11:$F$256,'G-2 Habitat groups'!A120,'A-2 Site Habitat Creation'!$G$11:$G$256)</f>
        <v>0</v>
      </c>
      <c r="L120" s="494">
        <f>SUMIF('A-2 Site Habitat Creation'!$F$11:$F$256,'G-2 Habitat groups'!A120,'A-2 Site Habitat Creation'!$Y$11:$Y$256)</f>
        <v>0</v>
      </c>
      <c r="M120" s="494">
        <f>SUMIF('A-3 Site Habitat Enhancement'!$S$12:$S$257,'G-2 Habitat groups'!A120,'A-3 Site Habitat Enhancement'!$V$12:$V$257)</f>
        <v>0</v>
      </c>
      <c r="N120" s="494">
        <f>SUMIF('A-3 Site Habitat Enhancement'!$S$12:$S$257,'G-2 Habitat groups'!A120,'A-3 Site Habitat Enhancement'!$AN$12:$AN$257)</f>
        <v>0</v>
      </c>
      <c r="O120" s="494">
        <f t="shared" si="103"/>
        <v>0</v>
      </c>
      <c r="P120" s="494">
        <f t="shared" si="104"/>
        <v>0</v>
      </c>
      <c r="Q120" s="494">
        <f t="shared" si="105"/>
        <v>0</v>
      </c>
      <c r="R120" s="494">
        <f t="shared" si="106"/>
        <v>0</v>
      </c>
      <c r="S120" s="494">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4">
        <f>SUMIF('D-1 Off Site Habitat Baseline'!$G$11:$G$258,'G-2 Habitat groups'!A120,'D-1 Off Site Habitat Baseline'!$Q$11:$Q$258)</f>
        <v>0</v>
      </c>
      <c r="U120" s="591">
        <f>SUMIF('D-1 Off Site Habitat Baseline'!$G$11:$G$258,'G-2 Habitat groups'!A120,'D-1 Off Site Habitat Baseline'!$S$11:$S$258)</f>
        <v>0</v>
      </c>
      <c r="V120" s="494">
        <f>SUMIF('D-1 Off Site Habitat Baseline'!$G$11:$G$258,'G-2 Habitat groups'!A120,'D-1 Off Site Habitat Baseline'!$U$11:$U$258)</f>
        <v>0</v>
      </c>
      <c r="W120" s="494">
        <f>SUMIF('D-2 Off Site Habitat Creation'!$F$9:$F$255,'G-2 Habitat groups'!A120,'D-2 Off Site Habitat Creation'!$G$9:$G$255)</f>
        <v>0</v>
      </c>
      <c r="X120" s="494">
        <f>SUMIF('D-2 Off Site Habitat Creation'!$F$9:$F$255,'G-2 Habitat groups'!A120,'D-2 Off Site Habitat Creation'!$AA$9:$AA$255)</f>
        <v>0</v>
      </c>
      <c r="Y120" s="494">
        <f>SUMIF('D-3 Off Site Habitat Enhancment'!$S$12:$S$491,'G-2 Habitat groups'!A120,'D-3 Off Site Habitat Enhancment'!$V$12:$V$491)</f>
        <v>0</v>
      </c>
      <c r="Z120" s="494">
        <f>SUMIF('D-3 Off Site Habitat Enhancment'!$S$12:$S$491,'G-2 Habitat groups'!A120,'D-3 Off Site Habitat Enhancment'!$AP$12:$AP$491)</f>
        <v>0</v>
      </c>
      <c r="AA120" s="494">
        <f t="shared" si="107"/>
        <v>0</v>
      </c>
      <c r="AB120" s="494">
        <f t="shared" si="108"/>
        <v>0</v>
      </c>
      <c r="AC120" s="494">
        <f t="shared" si="109"/>
        <v>0</v>
      </c>
      <c r="AD120" s="494">
        <f t="shared" si="110"/>
        <v>0</v>
      </c>
      <c r="AE120" s="494">
        <f t="shared" si="111"/>
        <v>0</v>
      </c>
      <c r="AF120" s="494">
        <f t="shared" si="112"/>
        <v>0</v>
      </c>
      <c r="AU120" s="104" t="s">
        <v>565</v>
      </c>
      <c r="AV120" s="88" t="s">
        <v>73</v>
      </c>
      <c r="AW120" s="494">
        <f>VLOOKUP($AU121,AllHabsSummaryData,5,FALSE)</f>
        <v>0</v>
      </c>
      <c r="AX120" s="494">
        <f t="shared" si="125"/>
        <v>0.83121999999999996</v>
      </c>
      <c r="AY120" s="494">
        <f t="shared" si="126"/>
        <v>0</v>
      </c>
      <c r="AZ120" s="494">
        <f t="shared" si="127"/>
        <v>0</v>
      </c>
      <c r="BA120" s="494">
        <f t="shared" si="128"/>
        <v>-0.3614</v>
      </c>
      <c r="BB120" s="494">
        <f t="shared" si="129"/>
        <v>-0.83121999999999996</v>
      </c>
      <c r="BC120" s="494">
        <f t="shared" si="130"/>
        <v>0</v>
      </c>
      <c r="BD120" s="494">
        <f t="shared" si="131"/>
        <v>0</v>
      </c>
      <c r="BE120" s="494">
        <f t="shared" si="123"/>
        <v>-0.83121999999999996</v>
      </c>
      <c r="BF120" s="494">
        <f t="shared" si="124"/>
        <v>-0.83121999999999996</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4">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4">
        <f>SUMIF('A-1 Site Habitat Baseline'!$G$11:$G$258,'G-2 Habitat groups'!A121,'A-1 Site Habitat Baseline'!$Q$11:$Q$258)</f>
        <v>0</v>
      </c>
      <c r="G121" s="494">
        <f>SUMIF('A-1 Site Habitat Baseline'!$G$11:$G$258,'G-2 Habitat groups'!A121,'A-1 Site Habitat Baseline'!$S$11:$S$258)</f>
        <v>0</v>
      </c>
      <c r="H121" s="494">
        <f>SUMIF('A-1 Site Habitat Baseline'!$G$11:$G$258,'G-2 Habitat groups'!A121,'A-1 Site Habitat Baseline'!$U$11:$U$258)</f>
        <v>0</v>
      </c>
      <c r="I121" s="494">
        <f>SUMIF('A-1 Site Habitat Baseline'!$G$11:$G$258,'G-2 Habitat groups'!A121,'A-1 Site Habitat Baseline'!$W$11:$W$258)</f>
        <v>0</v>
      </c>
      <c r="J121" s="494">
        <f>SUMIF('A-1 Site Habitat Baseline'!$G$11:$G$258,'G-2 Habitat groups'!A121,'A-1 Site Habitat Baseline'!$X$11:$X$258)</f>
        <v>0</v>
      </c>
      <c r="K121" s="494">
        <f>SUMIF('A-2 Site Habitat Creation'!$F$11:$F$256,'G-2 Habitat groups'!A121,'A-2 Site Habitat Creation'!$G$11:$G$256)</f>
        <v>0</v>
      </c>
      <c r="L121" s="494">
        <f>SUMIF('A-2 Site Habitat Creation'!$F$11:$F$256,'G-2 Habitat groups'!A121,'A-2 Site Habitat Creation'!$Y$11:$Y$256)</f>
        <v>0</v>
      </c>
      <c r="M121" s="494">
        <f>SUMIF('A-3 Site Habitat Enhancement'!$S$12:$S$257,'G-2 Habitat groups'!A121,'A-3 Site Habitat Enhancement'!$V$12:$V$257)</f>
        <v>0</v>
      </c>
      <c r="N121" s="494">
        <f>SUMIF('A-3 Site Habitat Enhancement'!$S$12:$S$257,'G-2 Habitat groups'!A121,'A-3 Site Habitat Enhancement'!$AN$12:$AN$257)</f>
        <v>0</v>
      </c>
      <c r="O121" s="494">
        <f t="shared" si="103"/>
        <v>0</v>
      </c>
      <c r="P121" s="494">
        <f t="shared" si="104"/>
        <v>0</v>
      </c>
      <c r="Q121" s="494">
        <f t="shared" si="105"/>
        <v>0</v>
      </c>
      <c r="R121" s="494">
        <f t="shared" si="106"/>
        <v>0</v>
      </c>
      <c r="S121" s="494">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4">
        <f>SUMIF('D-1 Off Site Habitat Baseline'!$G$11:$G$258,'G-2 Habitat groups'!A121,'D-1 Off Site Habitat Baseline'!$Q$11:$Q$258)</f>
        <v>0</v>
      </c>
      <c r="U121" s="591">
        <f>SUMIF('D-1 Off Site Habitat Baseline'!$G$11:$G$258,'G-2 Habitat groups'!A121,'D-1 Off Site Habitat Baseline'!$S$11:$S$258)</f>
        <v>0</v>
      </c>
      <c r="V121" s="494">
        <f>SUMIF('D-1 Off Site Habitat Baseline'!$G$11:$G$258,'G-2 Habitat groups'!A121,'D-1 Off Site Habitat Baseline'!$U$11:$U$258)</f>
        <v>0</v>
      </c>
      <c r="W121" s="494">
        <f>SUMIF('D-2 Off Site Habitat Creation'!$F$9:$F$255,'G-2 Habitat groups'!A121,'D-2 Off Site Habitat Creation'!$G$9:$G$255)</f>
        <v>0</v>
      </c>
      <c r="X121" s="494">
        <f>SUMIF('D-2 Off Site Habitat Creation'!$F$9:$F$255,'G-2 Habitat groups'!A121,'D-2 Off Site Habitat Creation'!$AA$9:$AA$255)</f>
        <v>0</v>
      </c>
      <c r="Y121" s="494">
        <f>SUMIF('D-3 Off Site Habitat Enhancment'!$S$12:$S$491,'G-2 Habitat groups'!A121,'D-3 Off Site Habitat Enhancment'!$V$12:$V$491)</f>
        <v>0</v>
      </c>
      <c r="Z121" s="494">
        <f>SUMIF('D-3 Off Site Habitat Enhancment'!$S$12:$S$491,'G-2 Habitat groups'!A121,'D-3 Off Site Habitat Enhancment'!$AP$12:$AP$491)</f>
        <v>0</v>
      </c>
      <c r="AA121" s="494">
        <f t="shared" si="107"/>
        <v>0</v>
      </c>
      <c r="AB121" s="494">
        <f t="shared" si="108"/>
        <v>0</v>
      </c>
      <c r="AC121" s="494">
        <f t="shared" si="109"/>
        <v>0</v>
      </c>
      <c r="AD121" s="494">
        <f t="shared" si="110"/>
        <v>0</v>
      </c>
      <c r="AE121" s="494">
        <f t="shared" si="111"/>
        <v>0</v>
      </c>
      <c r="AF121" s="494">
        <f t="shared" si="112"/>
        <v>0</v>
      </c>
      <c r="AU121" s="104" t="s">
        <v>590</v>
      </c>
      <c r="AV121" s="88" t="s">
        <v>74</v>
      </c>
      <c r="AW121" s="494">
        <f t="shared" ref="AW121:AW146" si="132">VLOOKUP($AU121,AllHabsSummaryData,5,FALSE)</f>
        <v>0</v>
      </c>
      <c r="AX121" s="494">
        <f t="shared" si="125"/>
        <v>0</v>
      </c>
      <c r="AY121" s="494">
        <f t="shared" si="126"/>
        <v>0</v>
      </c>
      <c r="AZ121" s="494">
        <f t="shared" si="127"/>
        <v>0</v>
      </c>
      <c r="BA121" s="494">
        <f t="shared" si="128"/>
        <v>0</v>
      </c>
      <c r="BB121" s="494">
        <f t="shared" si="129"/>
        <v>0</v>
      </c>
      <c r="BC121" s="494">
        <f t="shared" si="130"/>
        <v>0</v>
      </c>
      <c r="BD121" s="494">
        <f t="shared" si="131"/>
        <v>0</v>
      </c>
      <c r="BE121" s="494">
        <f t="shared" si="123"/>
        <v>0</v>
      </c>
      <c r="BF121" s="494"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4">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4">
        <f>SUMIF('A-1 Site Habitat Baseline'!$G$11:$G$258,'G-2 Habitat groups'!A122,'A-1 Site Habitat Baseline'!$Q$11:$Q$258)</f>
        <v>0</v>
      </c>
      <c r="G122" s="494">
        <f>SUMIF('A-1 Site Habitat Baseline'!$G$11:$G$258,'G-2 Habitat groups'!A122,'A-1 Site Habitat Baseline'!$S$11:$S$258)</f>
        <v>0</v>
      </c>
      <c r="H122" s="494">
        <f>SUMIF('A-1 Site Habitat Baseline'!$G$11:$G$258,'G-2 Habitat groups'!A122,'A-1 Site Habitat Baseline'!$U$11:$U$258)</f>
        <v>0</v>
      </c>
      <c r="I122" s="494">
        <f>SUMIF('A-1 Site Habitat Baseline'!$G$11:$G$258,'G-2 Habitat groups'!A122,'A-1 Site Habitat Baseline'!$W$11:$W$258)</f>
        <v>0</v>
      </c>
      <c r="J122" s="494">
        <f>SUMIF('A-1 Site Habitat Baseline'!$G$11:$G$258,'G-2 Habitat groups'!A122,'A-1 Site Habitat Baseline'!$X$11:$X$258)</f>
        <v>0</v>
      </c>
      <c r="K122" s="494">
        <f>SUMIF('A-2 Site Habitat Creation'!$F$11:$F$256,'G-2 Habitat groups'!A122,'A-2 Site Habitat Creation'!$G$11:$G$256)</f>
        <v>0</v>
      </c>
      <c r="L122" s="494">
        <f>SUMIF('A-2 Site Habitat Creation'!$F$11:$F$256,'G-2 Habitat groups'!A122,'A-2 Site Habitat Creation'!$Y$11:$Y$256)</f>
        <v>0</v>
      </c>
      <c r="M122" s="494">
        <f>SUMIF('A-3 Site Habitat Enhancement'!$S$12:$S$257,'G-2 Habitat groups'!A122,'A-3 Site Habitat Enhancement'!$V$12:$V$257)</f>
        <v>0</v>
      </c>
      <c r="N122" s="494">
        <f>SUMIF('A-3 Site Habitat Enhancement'!$S$12:$S$257,'G-2 Habitat groups'!A122,'A-3 Site Habitat Enhancement'!$AN$12:$AN$257)</f>
        <v>0</v>
      </c>
      <c r="O122" s="494">
        <f t="shared" si="103"/>
        <v>0</v>
      </c>
      <c r="P122" s="494">
        <f t="shared" si="104"/>
        <v>0</v>
      </c>
      <c r="Q122" s="494">
        <f t="shared" si="105"/>
        <v>0</v>
      </c>
      <c r="R122" s="494">
        <f t="shared" si="106"/>
        <v>0</v>
      </c>
      <c r="S122" s="494">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4">
        <f>SUMIF('D-1 Off Site Habitat Baseline'!$G$11:$G$258,'G-2 Habitat groups'!A122,'D-1 Off Site Habitat Baseline'!$Q$11:$Q$258)</f>
        <v>0</v>
      </c>
      <c r="U122" s="591">
        <f>SUMIF('D-1 Off Site Habitat Baseline'!$G$11:$G$258,'G-2 Habitat groups'!A122,'D-1 Off Site Habitat Baseline'!$S$11:$S$258)</f>
        <v>0</v>
      </c>
      <c r="V122" s="494">
        <f>SUMIF('D-1 Off Site Habitat Baseline'!$G$11:$G$258,'G-2 Habitat groups'!A122,'D-1 Off Site Habitat Baseline'!$U$11:$U$258)</f>
        <v>0</v>
      </c>
      <c r="W122" s="494">
        <f>SUMIF('D-2 Off Site Habitat Creation'!$F$9:$F$255,'G-2 Habitat groups'!A122,'D-2 Off Site Habitat Creation'!$G$9:$G$255)</f>
        <v>0</v>
      </c>
      <c r="X122" s="494">
        <f>SUMIF('D-2 Off Site Habitat Creation'!$F$9:$F$255,'G-2 Habitat groups'!A122,'D-2 Off Site Habitat Creation'!$AA$9:$AA$255)</f>
        <v>0</v>
      </c>
      <c r="Y122" s="494">
        <f>SUMIF('D-3 Off Site Habitat Enhancment'!$S$12:$S$491,'G-2 Habitat groups'!A122,'D-3 Off Site Habitat Enhancment'!$V$12:$V$491)</f>
        <v>0</v>
      </c>
      <c r="Z122" s="494">
        <f>SUMIF('D-3 Off Site Habitat Enhancment'!$S$12:$S$491,'G-2 Habitat groups'!A122,'D-3 Off Site Habitat Enhancment'!$AP$12:$AP$491)</f>
        <v>0</v>
      </c>
      <c r="AA122" s="494">
        <f t="shared" si="107"/>
        <v>0</v>
      </c>
      <c r="AB122" s="494">
        <f t="shared" si="108"/>
        <v>0</v>
      </c>
      <c r="AC122" s="494">
        <f t="shared" si="109"/>
        <v>0</v>
      </c>
      <c r="AD122" s="494">
        <f t="shared" si="110"/>
        <v>0</v>
      </c>
      <c r="AE122" s="494">
        <f t="shared" si="111"/>
        <v>0</v>
      </c>
      <c r="AF122" s="494">
        <f t="shared" si="112"/>
        <v>0</v>
      </c>
      <c r="AU122" s="104" t="s">
        <v>585</v>
      </c>
      <c r="AV122" s="88" t="s">
        <v>74</v>
      </c>
      <c r="AW122" s="494">
        <f t="shared" si="132"/>
        <v>0</v>
      </c>
      <c r="AX122" s="494">
        <f t="shared" si="125"/>
        <v>0</v>
      </c>
      <c r="AY122" s="494">
        <f t="shared" si="126"/>
        <v>0</v>
      </c>
      <c r="AZ122" s="494">
        <f t="shared" si="127"/>
        <v>0</v>
      </c>
      <c r="BA122" s="494">
        <f t="shared" si="128"/>
        <v>0</v>
      </c>
      <c r="BB122" s="494">
        <f t="shared" si="129"/>
        <v>0</v>
      </c>
      <c r="BC122" s="494">
        <f t="shared" si="130"/>
        <v>0</v>
      </c>
      <c r="BD122" s="494">
        <f t="shared" si="131"/>
        <v>0</v>
      </c>
      <c r="BE122" s="494">
        <f t="shared" si="123"/>
        <v>0</v>
      </c>
      <c r="BF122" s="494"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4">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4">
        <f>SUMIF('A-1 Site Habitat Baseline'!$G$11:$G$258,'G-2 Habitat groups'!A123,'A-1 Site Habitat Baseline'!$Q$11:$Q$258)</f>
        <v>0</v>
      </c>
      <c r="G123" s="494">
        <f>SUMIF('A-1 Site Habitat Baseline'!$G$11:$G$258,'G-2 Habitat groups'!A123,'A-1 Site Habitat Baseline'!$S$11:$S$258)</f>
        <v>0</v>
      </c>
      <c r="H123" s="494">
        <f>SUMIF('A-1 Site Habitat Baseline'!$G$11:$G$258,'G-2 Habitat groups'!A123,'A-1 Site Habitat Baseline'!$U$11:$U$258)</f>
        <v>0</v>
      </c>
      <c r="I123" s="494">
        <f>SUMIF('A-1 Site Habitat Baseline'!$G$11:$G$258,'G-2 Habitat groups'!A123,'A-1 Site Habitat Baseline'!$W$11:$W$258)</f>
        <v>0</v>
      </c>
      <c r="J123" s="494">
        <f>SUMIF('A-1 Site Habitat Baseline'!$G$11:$G$258,'G-2 Habitat groups'!A123,'A-1 Site Habitat Baseline'!$X$11:$X$258)</f>
        <v>0</v>
      </c>
      <c r="K123" s="494">
        <f>SUMIF('A-2 Site Habitat Creation'!$F$11:$F$256,'G-2 Habitat groups'!A123,'A-2 Site Habitat Creation'!$G$11:$G$256)</f>
        <v>0</v>
      </c>
      <c r="L123" s="494">
        <f>SUMIF('A-2 Site Habitat Creation'!$F$11:$F$256,'G-2 Habitat groups'!A123,'A-2 Site Habitat Creation'!$Y$11:$Y$256)</f>
        <v>0</v>
      </c>
      <c r="M123" s="494">
        <f>SUMIF('A-3 Site Habitat Enhancement'!$S$12:$S$257,'G-2 Habitat groups'!A123,'A-3 Site Habitat Enhancement'!$V$12:$V$257)</f>
        <v>0</v>
      </c>
      <c r="N123" s="494">
        <f>SUMIF('A-3 Site Habitat Enhancement'!$S$12:$S$257,'G-2 Habitat groups'!A123,'A-3 Site Habitat Enhancement'!$AN$12:$AN$257)</f>
        <v>0</v>
      </c>
      <c r="O123" s="494">
        <f t="shared" si="103"/>
        <v>0</v>
      </c>
      <c r="P123" s="494">
        <f t="shared" si="104"/>
        <v>0</v>
      </c>
      <c r="Q123" s="494">
        <f t="shared" si="105"/>
        <v>0</v>
      </c>
      <c r="R123" s="494">
        <f t="shared" si="106"/>
        <v>0</v>
      </c>
      <c r="S123" s="494">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4">
        <f>SUMIF('D-1 Off Site Habitat Baseline'!$G$11:$G$258,'G-2 Habitat groups'!A123,'D-1 Off Site Habitat Baseline'!$Q$11:$Q$258)</f>
        <v>0</v>
      </c>
      <c r="U123" s="591">
        <f>SUMIF('D-1 Off Site Habitat Baseline'!$G$11:$G$258,'G-2 Habitat groups'!A123,'D-1 Off Site Habitat Baseline'!$S$11:$S$258)</f>
        <v>0</v>
      </c>
      <c r="V123" s="494">
        <f>SUMIF('D-1 Off Site Habitat Baseline'!$G$11:$G$258,'G-2 Habitat groups'!A123,'D-1 Off Site Habitat Baseline'!$U$11:$U$258)</f>
        <v>0</v>
      </c>
      <c r="W123" s="494">
        <f>SUMIF('D-2 Off Site Habitat Creation'!$F$9:$F$255,'G-2 Habitat groups'!A123,'D-2 Off Site Habitat Creation'!$G$9:$G$255)</f>
        <v>0</v>
      </c>
      <c r="X123" s="494">
        <f>SUMIF('D-2 Off Site Habitat Creation'!$F$9:$F$255,'G-2 Habitat groups'!A123,'D-2 Off Site Habitat Creation'!$AA$9:$AA$255)</f>
        <v>0</v>
      </c>
      <c r="Y123" s="494">
        <f>SUMIF('D-3 Off Site Habitat Enhancment'!$S$12:$S$491,'G-2 Habitat groups'!A123,'D-3 Off Site Habitat Enhancment'!$V$12:$V$491)</f>
        <v>0</v>
      </c>
      <c r="Z123" s="494">
        <f>SUMIF('D-3 Off Site Habitat Enhancment'!$S$12:$S$491,'G-2 Habitat groups'!A123,'D-3 Off Site Habitat Enhancment'!$AP$12:$AP$491)</f>
        <v>0</v>
      </c>
      <c r="AA123" s="494">
        <f t="shared" si="107"/>
        <v>0</v>
      </c>
      <c r="AB123" s="494">
        <f t="shared" si="108"/>
        <v>0</v>
      </c>
      <c r="AC123" s="494">
        <f t="shared" si="109"/>
        <v>0</v>
      </c>
      <c r="AD123" s="494">
        <f t="shared" si="110"/>
        <v>0</v>
      </c>
      <c r="AE123" s="494">
        <f t="shared" si="111"/>
        <v>0</v>
      </c>
      <c r="AF123" s="494">
        <f t="shared" si="112"/>
        <v>0</v>
      </c>
      <c r="AU123" s="104" t="s">
        <v>606</v>
      </c>
      <c r="AV123" s="88" t="s">
        <v>74</v>
      </c>
      <c r="AW123" s="494">
        <f t="shared" si="132"/>
        <v>0</v>
      </c>
      <c r="AX123" s="494">
        <f t="shared" si="125"/>
        <v>0</v>
      </c>
      <c r="AY123" s="494">
        <f t="shared" si="126"/>
        <v>0</v>
      </c>
      <c r="AZ123" s="494">
        <f t="shared" si="127"/>
        <v>0</v>
      </c>
      <c r="BA123" s="494">
        <f t="shared" si="128"/>
        <v>0</v>
      </c>
      <c r="BB123" s="494">
        <f t="shared" si="129"/>
        <v>0</v>
      </c>
      <c r="BC123" s="494">
        <f t="shared" si="130"/>
        <v>0</v>
      </c>
      <c r="BD123" s="494">
        <f t="shared" si="131"/>
        <v>0</v>
      </c>
      <c r="BE123" s="494">
        <f t="shared" si="123"/>
        <v>0</v>
      </c>
      <c r="BF123" s="494"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4">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4">
        <f>SUMIF('A-1 Site Habitat Baseline'!$G$11:$G$258,'G-2 Habitat groups'!A124,'A-1 Site Habitat Baseline'!$Q$11:$Q$258)</f>
        <v>0</v>
      </c>
      <c r="G124" s="494">
        <f>SUMIF('A-1 Site Habitat Baseline'!$G$11:$G$258,'G-2 Habitat groups'!A124,'A-1 Site Habitat Baseline'!$S$11:$S$258)</f>
        <v>0</v>
      </c>
      <c r="H124" s="494">
        <f>SUMIF('A-1 Site Habitat Baseline'!$G$11:$G$258,'G-2 Habitat groups'!A124,'A-1 Site Habitat Baseline'!$U$11:$U$258)</f>
        <v>0</v>
      </c>
      <c r="I124" s="494">
        <f>SUMIF('A-1 Site Habitat Baseline'!$G$11:$G$258,'G-2 Habitat groups'!A124,'A-1 Site Habitat Baseline'!$W$11:$W$258)</f>
        <v>0</v>
      </c>
      <c r="J124" s="494">
        <f>SUMIF('A-1 Site Habitat Baseline'!$G$11:$G$258,'G-2 Habitat groups'!A124,'A-1 Site Habitat Baseline'!$X$11:$X$258)</f>
        <v>0</v>
      </c>
      <c r="K124" s="494">
        <f>SUMIF('A-2 Site Habitat Creation'!$F$11:$F$256,'G-2 Habitat groups'!A124,'A-2 Site Habitat Creation'!$G$11:$G$256)</f>
        <v>0</v>
      </c>
      <c r="L124" s="494">
        <f>SUMIF('A-2 Site Habitat Creation'!$F$11:$F$256,'G-2 Habitat groups'!A124,'A-2 Site Habitat Creation'!$Y$11:$Y$256)</f>
        <v>0</v>
      </c>
      <c r="M124" s="494">
        <f>SUMIF('A-3 Site Habitat Enhancement'!$S$12:$S$257,'G-2 Habitat groups'!A124,'A-3 Site Habitat Enhancement'!$V$12:$V$257)</f>
        <v>0</v>
      </c>
      <c r="N124" s="494">
        <f>SUMIF('A-3 Site Habitat Enhancement'!$S$12:$S$257,'G-2 Habitat groups'!A124,'A-3 Site Habitat Enhancement'!$AN$12:$AN$257)</f>
        <v>0</v>
      </c>
      <c r="O124" s="494">
        <f t="shared" si="103"/>
        <v>0</v>
      </c>
      <c r="P124" s="494">
        <f t="shared" si="104"/>
        <v>0</v>
      </c>
      <c r="Q124" s="494">
        <f t="shared" si="105"/>
        <v>0</v>
      </c>
      <c r="R124" s="494">
        <f t="shared" si="106"/>
        <v>0</v>
      </c>
      <c r="S124" s="494">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4">
        <f>SUMIF('D-1 Off Site Habitat Baseline'!$G$11:$G$258,'G-2 Habitat groups'!A124,'D-1 Off Site Habitat Baseline'!$Q$11:$Q$258)</f>
        <v>0</v>
      </c>
      <c r="U124" s="591">
        <f>SUMIF('D-1 Off Site Habitat Baseline'!$G$11:$G$258,'G-2 Habitat groups'!A124,'D-1 Off Site Habitat Baseline'!$S$11:$S$258)</f>
        <v>0</v>
      </c>
      <c r="V124" s="494">
        <f>SUMIF('D-1 Off Site Habitat Baseline'!$G$11:$G$258,'G-2 Habitat groups'!A124,'D-1 Off Site Habitat Baseline'!$U$11:$U$258)</f>
        <v>0</v>
      </c>
      <c r="W124" s="494">
        <f>SUMIF('D-2 Off Site Habitat Creation'!$F$9:$F$255,'G-2 Habitat groups'!A124,'D-2 Off Site Habitat Creation'!$G$9:$G$255)</f>
        <v>0</v>
      </c>
      <c r="X124" s="494">
        <f>SUMIF('D-2 Off Site Habitat Creation'!$F$9:$F$255,'G-2 Habitat groups'!A124,'D-2 Off Site Habitat Creation'!$AA$9:$AA$255)</f>
        <v>0</v>
      </c>
      <c r="Y124" s="494">
        <f>SUMIF('D-3 Off Site Habitat Enhancment'!$S$12:$S$491,'G-2 Habitat groups'!A124,'D-3 Off Site Habitat Enhancment'!$V$12:$V$491)</f>
        <v>0</v>
      </c>
      <c r="Z124" s="494">
        <f>SUMIF('D-3 Off Site Habitat Enhancment'!$S$12:$S$491,'G-2 Habitat groups'!A124,'D-3 Off Site Habitat Enhancment'!$AP$12:$AP$491)</f>
        <v>0</v>
      </c>
      <c r="AA124" s="494">
        <f t="shared" si="107"/>
        <v>0</v>
      </c>
      <c r="AB124" s="494">
        <f t="shared" si="108"/>
        <v>0</v>
      </c>
      <c r="AC124" s="494">
        <f t="shared" si="109"/>
        <v>0</v>
      </c>
      <c r="AD124" s="494">
        <f t="shared" si="110"/>
        <v>0</v>
      </c>
      <c r="AE124" s="494">
        <f t="shared" si="111"/>
        <v>0</v>
      </c>
      <c r="AF124" s="494">
        <f t="shared" si="112"/>
        <v>0</v>
      </c>
      <c r="AU124" s="104" t="s">
        <v>609</v>
      </c>
      <c r="AV124" s="88" t="s">
        <v>74</v>
      </c>
      <c r="AW124" s="494">
        <f t="shared" si="132"/>
        <v>0</v>
      </c>
      <c r="AX124" s="494">
        <f t="shared" si="125"/>
        <v>0</v>
      </c>
      <c r="AY124" s="494">
        <f t="shared" si="126"/>
        <v>0</v>
      </c>
      <c r="AZ124" s="494">
        <f t="shared" si="127"/>
        <v>0</v>
      </c>
      <c r="BA124" s="494">
        <f t="shared" si="128"/>
        <v>0</v>
      </c>
      <c r="BB124" s="494">
        <f t="shared" si="129"/>
        <v>0</v>
      </c>
      <c r="BC124" s="494">
        <f t="shared" si="130"/>
        <v>0</v>
      </c>
      <c r="BD124" s="494">
        <f t="shared" si="131"/>
        <v>0</v>
      </c>
      <c r="BE124" s="494">
        <f t="shared" si="123"/>
        <v>0</v>
      </c>
      <c r="BF124" s="494"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4">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4">
        <f>SUMIF('A-1 Site Habitat Baseline'!$G$11:$G$258,'G-2 Habitat groups'!A125,'A-1 Site Habitat Baseline'!$Q$11:$Q$258)</f>
        <v>0</v>
      </c>
      <c r="G125" s="494">
        <f>SUMIF('A-1 Site Habitat Baseline'!$G$11:$G$258,'G-2 Habitat groups'!A125,'A-1 Site Habitat Baseline'!$S$11:$S$258)</f>
        <v>0</v>
      </c>
      <c r="H125" s="494">
        <f>SUMIF('A-1 Site Habitat Baseline'!$G$11:$G$258,'G-2 Habitat groups'!A125,'A-1 Site Habitat Baseline'!$U$11:$U$258)</f>
        <v>0</v>
      </c>
      <c r="I125" s="494">
        <f>SUMIF('A-1 Site Habitat Baseline'!$G$11:$G$258,'G-2 Habitat groups'!A125,'A-1 Site Habitat Baseline'!$W$11:$W$258)</f>
        <v>0</v>
      </c>
      <c r="J125" s="494">
        <f>SUMIF('A-1 Site Habitat Baseline'!$G$11:$G$258,'G-2 Habitat groups'!A125,'A-1 Site Habitat Baseline'!$X$11:$X$258)</f>
        <v>0</v>
      </c>
      <c r="K125" s="494">
        <f>SUMIF('A-2 Site Habitat Creation'!$F$11:$F$256,'G-2 Habitat groups'!A125,'A-2 Site Habitat Creation'!$G$11:$G$256)</f>
        <v>0</v>
      </c>
      <c r="L125" s="494">
        <f>SUMIF('A-2 Site Habitat Creation'!$F$11:$F$256,'G-2 Habitat groups'!A125,'A-2 Site Habitat Creation'!$Y$11:$Y$256)</f>
        <v>0</v>
      </c>
      <c r="M125" s="494">
        <f>SUMIF('A-3 Site Habitat Enhancement'!$S$12:$S$257,'G-2 Habitat groups'!A125,'A-3 Site Habitat Enhancement'!$V$12:$V$257)</f>
        <v>0</v>
      </c>
      <c r="N125" s="494">
        <f>SUMIF('A-3 Site Habitat Enhancement'!$S$12:$S$257,'G-2 Habitat groups'!A125,'A-3 Site Habitat Enhancement'!$AN$12:$AN$257)</f>
        <v>0</v>
      </c>
      <c r="O125" s="494">
        <f t="shared" si="103"/>
        <v>0</v>
      </c>
      <c r="P125" s="494">
        <f t="shared" si="104"/>
        <v>0</v>
      </c>
      <c r="Q125" s="494">
        <f t="shared" si="105"/>
        <v>0</v>
      </c>
      <c r="R125" s="494">
        <f t="shared" si="106"/>
        <v>0</v>
      </c>
      <c r="S125" s="494">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4">
        <f>SUMIF('D-1 Off Site Habitat Baseline'!$G$11:$G$258,'G-2 Habitat groups'!A125,'D-1 Off Site Habitat Baseline'!$Q$11:$Q$258)</f>
        <v>0</v>
      </c>
      <c r="U125" s="591">
        <f>SUMIF('D-1 Off Site Habitat Baseline'!$G$11:$G$258,'G-2 Habitat groups'!A125,'D-1 Off Site Habitat Baseline'!$S$11:$S$258)</f>
        <v>0</v>
      </c>
      <c r="V125" s="494">
        <f>SUMIF('D-1 Off Site Habitat Baseline'!$G$11:$G$258,'G-2 Habitat groups'!A125,'D-1 Off Site Habitat Baseline'!$U$11:$U$258)</f>
        <v>0</v>
      </c>
      <c r="W125" s="494">
        <f>SUMIF('D-2 Off Site Habitat Creation'!$F$9:$F$255,'G-2 Habitat groups'!A125,'D-2 Off Site Habitat Creation'!$G$9:$G$255)</f>
        <v>0</v>
      </c>
      <c r="X125" s="494">
        <f>SUMIF('D-2 Off Site Habitat Creation'!$F$9:$F$255,'G-2 Habitat groups'!A125,'D-2 Off Site Habitat Creation'!$AA$9:$AA$255)</f>
        <v>0</v>
      </c>
      <c r="Y125" s="494">
        <f>SUMIF('D-3 Off Site Habitat Enhancment'!$S$12:$S$491,'G-2 Habitat groups'!A125,'D-3 Off Site Habitat Enhancment'!$V$12:$V$491)</f>
        <v>0</v>
      </c>
      <c r="Z125" s="494">
        <f>SUMIF('D-3 Off Site Habitat Enhancment'!$S$12:$S$491,'G-2 Habitat groups'!A125,'D-3 Off Site Habitat Enhancment'!$AP$12:$AP$491)</f>
        <v>0</v>
      </c>
      <c r="AA125" s="494">
        <f t="shared" si="107"/>
        <v>0</v>
      </c>
      <c r="AB125" s="494">
        <f t="shared" si="108"/>
        <v>0</v>
      </c>
      <c r="AC125" s="494">
        <f t="shared" si="109"/>
        <v>0</v>
      </c>
      <c r="AD125" s="494">
        <f t="shared" si="110"/>
        <v>0</v>
      </c>
      <c r="AE125" s="494">
        <f t="shared" si="111"/>
        <v>0</v>
      </c>
      <c r="AF125" s="494">
        <f t="shared" si="112"/>
        <v>0</v>
      </c>
      <c r="AU125" s="104" t="s">
        <v>611</v>
      </c>
      <c r="AV125" s="88" t="s">
        <v>74</v>
      </c>
      <c r="AW125" s="494">
        <f t="shared" si="132"/>
        <v>0</v>
      </c>
      <c r="AX125" s="494">
        <f t="shared" si="125"/>
        <v>0</v>
      </c>
      <c r="AY125" s="494">
        <f t="shared" si="126"/>
        <v>0</v>
      </c>
      <c r="AZ125" s="494">
        <f t="shared" si="127"/>
        <v>0</v>
      </c>
      <c r="BA125" s="494">
        <f t="shared" si="128"/>
        <v>0</v>
      </c>
      <c r="BB125" s="494">
        <f t="shared" si="129"/>
        <v>0</v>
      </c>
      <c r="BC125" s="494">
        <f t="shared" si="130"/>
        <v>0</v>
      </c>
      <c r="BD125" s="494">
        <f t="shared" si="131"/>
        <v>0</v>
      </c>
      <c r="BE125" s="494">
        <f t="shared" si="123"/>
        <v>0</v>
      </c>
      <c r="BF125" s="494"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4">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4">
        <f>SUMIF('A-1 Site Habitat Baseline'!$G$11:$G$258,'G-2 Habitat groups'!A126,'A-1 Site Habitat Baseline'!$Q$11:$Q$258)</f>
        <v>0</v>
      </c>
      <c r="G126" s="494">
        <f>SUMIF('A-1 Site Habitat Baseline'!$G$11:$G$258,'G-2 Habitat groups'!A126,'A-1 Site Habitat Baseline'!$S$11:$S$258)</f>
        <v>0</v>
      </c>
      <c r="H126" s="494">
        <f>SUMIF('A-1 Site Habitat Baseline'!$G$11:$G$258,'G-2 Habitat groups'!A126,'A-1 Site Habitat Baseline'!$U$11:$U$258)</f>
        <v>0</v>
      </c>
      <c r="I126" s="494">
        <f>SUMIF('A-1 Site Habitat Baseline'!$G$11:$G$258,'G-2 Habitat groups'!A126,'A-1 Site Habitat Baseline'!$W$11:$W$258)</f>
        <v>0</v>
      </c>
      <c r="J126" s="494">
        <f>SUMIF('A-1 Site Habitat Baseline'!$G$11:$G$258,'G-2 Habitat groups'!A126,'A-1 Site Habitat Baseline'!$X$11:$X$258)</f>
        <v>0</v>
      </c>
      <c r="K126" s="494">
        <f>SUMIF('A-2 Site Habitat Creation'!$F$11:$F$256,'G-2 Habitat groups'!A126,'A-2 Site Habitat Creation'!$G$11:$G$256)</f>
        <v>0</v>
      </c>
      <c r="L126" s="494">
        <f>SUMIF('A-2 Site Habitat Creation'!$F$11:$F$256,'G-2 Habitat groups'!A126,'A-2 Site Habitat Creation'!$Y$11:$Y$256)</f>
        <v>0</v>
      </c>
      <c r="M126" s="494">
        <f>SUMIF('A-3 Site Habitat Enhancement'!$S$12:$S$257,'G-2 Habitat groups'!A126,'A-3 Site Habitat Enhancement'!$V$12:$V$257)</f>
        <v>0</v>
      </c>
      <c r="N126" s="494">
        <f>SUMIF('A-3 Site Habitat Enhancement'!$S$12:$S$257,'G-2 Habitat groups'!A126,'A-3 Site Habitat Enhancement'!$AN$12:$AN$257)</f>
        <v>0</v>
      </c>
      <c r="O126" s="494">
        <f t="shared" si="103"/>
        <v>0</v>
      </c>
      <c r="P126" s="494">
        <f t="shared" si="104"/>
        <v>0</v>
      </c>
      <c r="Q126" s="494">
        <f t="shared" si="105"/>
        <v>0</v>
      </c>
      <c r="R126" s="494">
        <f t="shared" si="106"/>
        <v>0</v>
      </c>
      <c r="S126" s="494">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4">
        <f>SUMIF('D-1 Off Site Habitat Baseline'!$G$11:$G$258,'G-2 Habitat groups'!A126,'D-1 Off Site Habitat Baseline'!$Q$11:$Q$258)</f>
        <v>0</v>
      </c>
      <c r="U126" s="591">
        <f>SUMIF('D-1 Off Site Habitat Baseline'!$G$11:$G$258,'G-2 Habitat groups'!A126,'D-1 Off Site Habitat Baseline'!$S$11:$S$258)</f>
        <v>0</v>
      </c>
      <c r="V126" s="494">
        <f>SUMIF('D-1 Off Site Habitat Baseline'!$G$11:$G$258,'G-2 Habitat groups'!A126,'D-1 Off Site Habitat Baseline'!$U$11:$U$258)</f>
        <v>0</v>
      </c>
      <c r="W126" s="494">
        <f>SUMIF('D-2 Off Site Habitat Creation'!$F$9:$F$255,'G-2 Habitat groups'!A126,'D-2 Off Site Habitat Creation'!$G$9:$G$255)</f>
        <v>0</v>
      </c>
      <c r="X126" s="494">
        <f>SUMIF('D-2 Off Site Habitat Creation'!$F$9:$F$255,'G-2 Habitat groups'!A126,'D-2 Off Site Habitat Creation'!$AA$9:$AA$255)</f>
        <v>0</v>
      </c>
      <c r="Y126" s="494">
        <f>SUMIF('D-3 Off Site Habitat Enhancment'!$S$12:$S$491,'G-2 Habitat groups'!A126,'D-3 Off Site Habitat Enhancment'!$V$12:$V$491)</f>
        <v>0</v>
      </c>
      <c r="Z126" s="494">
        <f>SUMIF('D-3 Off Site Habitat Enhancment'!$S$12:$S$491,'G-2 Habitat groups'!A126,'D-3 Off Site Habitat Enhancment'!$AP$12:$AP$491)</f>
        <v>0</v>
      </c>
      <c r="AA126" s="494">
        <f t="shared" si="107"/>
        <v>0</v>
      </c>
      <c r="AB126" s="494">
        <f t="shared" si="108"/>
        <v>0</v>
      </c>
      <c r="AC126" s="494">
        <f t="shared" si="109"/>
        <v>0</v>
      </c>
      <c r="AD126" s="494">
        <f t="shared" si="110"/>
        <v>0</v>
      </c>
      <c r="AE126" s="494">
        <f t="shared" si="111"/>
        <v>0</v>
      </c>
      <c r="AF126" s="494">
        <f t="shared" si="112"/>
        <v>0</v>
      </c>
      <c r="AU126" s="104" t="s">
        <v>603</v>
      </c>
      <c r="AV126" s="88" t="s">
        <v>74</v>
      </c>
      <c r="AW126" s="494">
        <f t="shared" si="132"/>
        <v>0</v>
      </c>
      <c r="AX126" s="494">
        <f t="shared" si="125"/>
        <v>0</v>
      </c>
      <c r="AY126" s="494">
        <f t="shared" si="126"/>
        <v>0</v>
      </c>
      <c r="AZ126" s="494">
        <f t="shared" si="127"/>
        <v>0</v>
      </c>
      <c r="BA126" s="494">
        <f t="shared" si="128"/>
        <v>0</v>
      </c>
      <c r="BB126" s="494">
        <f t="shared" si="129"/>
        <v>0</v>
      </c>
      <c r="BC126" s="494">
        <f t="shared" si="130"/>
        <v>0</v>
      </c>
      <c r="BD126" s="494">
        <f t="shared" si="131"/>
        <v>0</v>
      </c>
      <c r="BE126" s="494">
        <f t="shared" si="123"/>
        <v>0</v>
      </c>
      <c r="BF126" s="494"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4">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4">
        <f>SUMIF('A-1 Site Habitat Baseline'!$G$11:$G$258,'G-2 Habitat groups'!A127,'A-1 Site Habitat Baseline'!$Q$11:$Q$258)</f>
        <v>0</v>
      </c>
      <c r="G127" s="494">
        <f>SUMIF('A-1 Site Habitat Baseline'!$G$11:$G$258,'G-2 Habitat groups'!A127,'A-1 Site Habitat Baseline'!$S$11:$S$258)</f>
        <v>0</v>
      </c>
      <c r="H127" s="494">
        <f>SUMIF('A-1 Site Habitat Baseline'!$G$11:$G$258,'G-2 Habitat groups'!A127,'A-1 Site Habitat Baseline'!$U$11:$U$258)</f>
        <v>0</v>
      </c>
      <c r="I127" s="494">
        <f>SUMIF('A-1 Site Habitat Baseline'!$G$11:$G$258,'G-2 Habitat groups'!A127,'A-1 Site Habitat Baseline'!$W$11:$W$258)</f>
        <v>0</v>
      </c>
      <c r="J127" s="494">
        <f>SUMIF('A-1 Site Habitat Baseline'!$G$11:$G$258,'G-2 Habitat groups'!A127,'A-1 Site Habitat Baseline'!$X$11:$X$258)</f>
        <v>0</v>
      </c>
      <c r="K127" s="494">
        <f>SUMIF('A-2 Site Habitat Creation'!$F$11:$F$256,'G-2 Habitat groups'!A127,'A-2 Site Habitat Creation'!$G$11:$G$256)</f>
        <v>0</v>
      </c>
      <c r="L127" s="494">
        <f>SUMIF('A-2 Site Habitat Creation'!$F$11:$F$256,'G-2 Habitat groups'!A127,'A-2 Site Habitat Creation'!$Y$11:$Y$256)</f>
        <v>0</v>
      </c>
      <c r="M127" s="494">
        <f>SUMIF('A-3 Site Habitat Enhancement'!$S$12:$S$257,'G-2 Habitat groups'!A127,'A-3 Site Habitat Enhancement'!$V$12:$V$257)</f>
        <v>0</v>
      </c>
      <c r="N127" s="494">
        <f>SUMIF('A-3 Site Habitat Enhancement'!$S$12:$S$257,'G-2 Habitat groups'!A127,'A-3 Site Habitat Enhancement'!$AN$12:$AN$257)</f>
        <v>0</v>
      </c>
      <c r="O127" s="494">
        <f t="shared" si="103"/>
        <v>0</v>
      </c>
      <c r="P127" s="494">
        <f t="shared" si="104"/>
        <v>0</v>
      </c>
      <c r="Q127" s="494">
        <f t="shared" si="105"/>
        <v>0</v>
      </c>
      <c r="R127" s="494">
        <f t="shared" si="106"/>
        <v>0</v>
      </c>
      <c r="S127" s="494">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4">
        <f>SUMIF('D-1 Off Site Habitat Baseline'!$G$11:$G$258,'G-2 Habitat groups'!A127,'D-1 Off Site Habitat Baseline'!$Q$11:$Q$258)</f>
        <v>0</v>
      </c>
      <c r="U127" s="591">
        <f>SUMIF('D-1 Off Site Habitat Baseline'!$G$11:$G$258,'G-2 Habitat groups'!A127,'D-1 Off Site Habitat Baseline'!$S$11:$S$258)</f>
        <v>0</v>
      </c>
      <c r="V127" s="494">
        <f>SUMIF('D-1 Off Site Habitat Baseline'!$G$11:$G$258,'G-2 Habitat groups'!A127,'D-1 Off Site Habitat Baseline'!$U$11:$U$258)</f>
        <v>0</v>
      </c>
      <c r="W127" s="494">
        <f>SUMIF('D-2 Off Site Habitat Creation'!$F$9:$F$255,'G-2 Habitat groups'!A127,'D-2 Off Site Habitat Creation'!$G$9:$G$255)</f>
        <v>0</v>
      </c>
      <c r="X127" s="494">
        <f>SUMIF('D-2 Off Site Habitat Creation'!$F$9:$F$255,'G-2 Habitat groups'!A127,'D-2 Off Site Habitat Creation'!$AA$9:$AA$255)</f>
        <v>0</v>
      </c>
      <c r="Y127" s="494">
        <f>SUMIF('D-3 Off Site Habitat Enhancment'!$S$12:$S$491,'G-2 Habitat groups'!A127,'D-3 Off Site Habitat Enhancment'!$V$12:$V$491)</f>
        <v>0</v>
      </c>
      <c r="Z127" s="494">
        <f>SUMIF('D-3 Off Site Habitat Enhancment'!$S$12:$S$491,'G-2 Habitat groups'!A127,'D-3 Off Site Habitat Enhancment'!$AP$12:$AP$491)</f>
        <v>0</v>
      </c>
      <c r="AA127" s="494">
        <f t="shared" si="107"/>
        <v>0</v>
      </c>
      <c r="AB127" s="494">
        <f t="shared" si="108"/>
        <v>0</v>
      </c>
      <c r="AC127" s="494">
        <f t="shared" si="109"/>
        <v>0</v>
      </c>
      <c r="AD127" s="494">
        <f t="shared" si="110"/>
        <v>0</v>
      </c>
      <c r="AE127" s="494">
        <f t="shared" si="111"/>
        <v>0</v>
      </c>
      <c r="AF127" s="494">
        <f t="shared" si="112"/>
        <v>0</v>
      </c>
      <c r="AU127" s="104" t="s">
        <v>616</v>
      </c>
      <c r="AV127" s="88" t="s">
        <v>74</v>
      </c>
      <c r="AW127" s="494">
        <f t="shared" si="132"/>
        <v>0</v>
      </c>
      <c r="AX127" s="494">
        <f t="shared" si="125"/>
        <v>0</v>
      </c>
      <c r="AY127" s="494">
        <f t="shared" si="126"/>
        <v>3.0099999999999998E-2</v>
      </c>
      <c r="AZ127" s="494">
        <f t="shared" si="127"/>
        <v>6.680694999999999E-2</v>
      </c>
      <c r="BA127" s="494">
        <f t="shared" si="128"/>
        <v>3.0099999999999998E-2</v>
      </c>
      <c r="BB127" s="494">
        <f t="shared" si="129"/>
        <v>6.680694999999999E-2</v>
      </c>
      <c r="BC127" s="494">
        <f t="shared" si="130"/>
        <v>0</v>
      </c>
      <c r="BD127" s="494">
        <f t="shared" si="131"/>
        <v>0</v>
      </c>
      <c r="BE127" s="494">
        <f t="shared" si="123"/>
        <v>6.680694999999999E-2</v>
      </c>
      <c r="BF127" s="494"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4">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4">
        <f>SUMIF('A-1 Site Habitat Baseline'!$G$11:$G$258,'G-2 Habitat groups'!A128,'A-1 Site Habitat Baseline'!$Q$11:$Q$258)</f>
        <v>0</v>
      </c>
      <c r="G128" s="494">
        <f>SUMIF('A-1 Site Habitat Baseline'!$G$11:$G$258,'G-2 Habitat groups'!A128,'A-1 Site Habitat Baseline'!$S$11:$S$258)</f>
        <v>0</v>
      </c>
      <c r="H128" s="494">
        <f>SUMIF('A-1 Site Habitat Baseline'!$G$11:$G$258,'G-2 Habitat groups'!A128,'A-1 Site Habitat Baseline'!$U$11:$U$258)</f>
        <v>0</v>
      </c>
      <c r="I128" s="494">
        <f>SUMIF('A-1 Site Habitat Baseline'!$G$11:$G$258,'G-2 Habitat groups'!A128,'A-1 Site Habitat Baseline'!$W$11:$W$258)</f>
        <v>0</v>
      </c>
      <c r="J128" s="494">
        <f>SUMIF('A-1 Site Habitat Baseline'!$G$11:$G$258,'G-2 Habitat groups'!A128,'A-1 Site Habitat Baseline'!$X$11:$X$258)</f>
        <v>0</v>
      </c>
      <c r="K128" s="494">
        <f>SUMIF('A-2 Site Habitat Creation'!$F$11:$F$256,'G-2 Habitat groups'!A128,'A-2 Site Habitat Creation'!$G$11:$G$256)</f>
        <v>0</v>
      </c>
      <c r="L128" s="494">
        <f>SUMIF('A-2 Site Habitat Creation'!$F$11:$F$256,'G-2 Habitat groups'!A128,'A-2 Site Habitat Creation'!$Y$11:$Y$256)</f>
        <v>0</v>
      </c>
      <c r="M128" s="494">
        <f>SUMIF('A-3 Site Habitat Enhancement'!$S$12:$S$257,'G-2 Habitat groups'!A128,'A-3 Site Habitat Enhancement'!$V$12:$V$257)</f>
        <v>0</v>
      </c>
      <c r="N128" s="494">
        <f>SUMIF('A-3 Site Habitat Enhancement'!$S$12:$S$257,'G-2 Habitat groups'!A128,'A-3 Site Habitat Enhancement'!$AN$12:$AN$257)</f>
        <v>0</v>
      </c>
      <c r="O128" s="494">
        <f t="shared" si="103"/>
        <v>0</v>
      </c>
      <c r="P128" s="494">
        <f t="shared" si="104"/>
        <v>0</v>
      </c>
      <c r="Q128" s="494">
        <f t="shared" si="105"/>
        <v>0</v>
      </c>
      <c r="R128" s="494">
        <f t="shared" si="106"/>
        <v>0</v>
      </c>
      <c r="S128" s="494">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4">
        <f>SUMIF('D-1 Off Site Habitat Baseline'!$G$11:$G$258,'G-2 Habitat groups'!A128,'D-1 Off Site Habitat Baseline'!$Q$11:$Q$258)</f>
        <v>0</v>
      </c>
      <c r="U128" s="591">
        <f>SUMIF('D-1 Off Site Habitat Baseline'!$G$11:$G$258,'G-2 Habitat groups'!A128,'D-1 Off Site Habitat Baseline'!$S$11:$S$258)</f>
        <v>0</v>
      </c>
      <c r="V128" s="494">
        <f>SUMIF('D-1 Off Site Habitat Baseline'!$G$11:$G$258,'G-2 Habitat groups'!A128,'D-1 Off Site Habitat Baseline'!$U$11:$U$258)</f>
        <v>0</v>
      </c>
      <c r="W128" s="494">
        <f>SUMIF('D-2 Off Site Habitat Creation'!$F$9:$F$255,'G-2 Habitat groups'!A128,'D-2 Off Site Habitat Creation'!$G$9:$G$255)</f>
        <v>0</v>
      </c>
      <c r="X128" s="494">
        <f>SUMIF('D-2 Off Site Habitat Creation'!$F$9:$F$255,'G-2 Habitat groups'!A128,'D-2 Off Site Habitat Creation'!$AA$9:$AA$255)</f>
        <v>0</v>
      </c>
      <c r="Y128" s="494">
        <f>SUMIF('D-3 Off Site Habitat Enhancment'!$S$12:$S$491,'G-2 Habitat groups'!A128,'D-3 Off Site Habitat Enhancment'!$V$12:$V$491)</f>
        <v>0</v>
      </c>
      <c r="Z128" s="494">
        <f>SUMIF('D-3 Off Site Habitat Enhancment'!$S$12:$S$491,'G-2 Habitat groups'!A128,'D-3 Off Site Habitat Enhancment'!$AP$12:$AP$491)</f>
        <v>0</v>
      </c>
      <c r="AA128" s="494">
        <f t="shared" si="107"/>
        <v>0</v>
      </c>
      <c r="AB128" s="494">
        <f t="shared" si="108"/>
        <v>0</v>
      </c>
      <c r="AC128" s="494">
        <f t="shared" si="109"/>
        <v>0</v>
      </c>
      <c r="AD128" s="494">
        <f t="shared" si="110"/>
        <v>0</v>
      </c>
      <c r="AE128" s="494">
        <f t="shared" si="111"/>
        <v>0</v>
      </c>
      <c r="AF128" s="494">
        <f t="shared" si="112"/>
        <v>0</v>
      </c>
      <c r="AU128" s="104" t="s">
        <v>623</v>
      </c>
      <c r="AV128" s="88" t="s">
        <v>74</v>
      </c>
      <c r="AW128" s="494">
        <f t="shared" si="132"/>
        <v>0</v>
      </c>
      <c r="AX128" s="494">
        <f t="shared" si="125"/>
        <v>0</v>
      </c>
      <c r="AY128" s="494">
        <f t="shared" si="126"/>
        <v>0</v>
      </c>
      <c r="AZ128" s="494">
        <f t="shared" si="127"/>
        <v>0</v>
      </c>
      <c r="BA128" s="494">
        <f t="shared" si="128"/>
        <v>0</v>
      </c>
      <c r="BB128" s="494">
        <f t="shared" si="129"/>
        <v>0</v>
      </c>
      <c r="BC128" s="494">
        <f t="shared" si="130"/>
        <v>0</v>
      </c>
      <c r="BD128" s="494">
        <f t="shared" si="131"/>
        <v>0</v>
      </c>
      <c r="BE128" s="494">
        <f t="shared" si="123"/>
        <v>0</v>
      </c>
      <c r="BF128" s="494"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4">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4">
        <f>SUMIF('A-1 Site Habitat Baseline'!$G$11:$G$258,'G-2 Habitat groups'!A129,'A-1 Site Habitat Baseline'!$Q$11:$Q$258)</f>
        <v>0</v>
      </c>
      <c r="G129" s="494">
        <f>SUMIF('A-1 Site Habitat Baseline'!$G$11:$G$258,'G-2 Habitat groups'!A129,'A-1 Site Habitat Baseline'!$S$11:$S$258)</f>
        <v>0</v>
      </c>
      <c r="H129" s="494">
        <f>SUMIF('A-1 Site Habitat Baseline'!$G$11:$G$258,'G-2 Habitat groups'!A129,'A-1 Site Habitat Baseline'!$U$11:$U$258)</f>
        <v>0</v>
      </c>
      <c r="I129" s="494">
        <f>SUMIF('A-1 Site Habitat Baseline'!$G$11:$G$258,'G-2 Habitat groups'!A129,'A-1 Site Habitat Baseline'!$W$11:$W$258)</f>
        <v>0</v>
      </c>
      <c r="J129" s="494">
        <f>SUMIF('A-1 Site Habitat Baseline'!$G$11:$G$258,'G-2 Habitat groups'!A129,'A-1 Site Habitat Baseline'!$X$11:$X$258)</f>
        <v>0</v>
      </c>
      <c r="K129" s="494">
        <f>SUMIF('A-2 Site Habitat Creation'!$F$11:$F$256,'G-2 Habitat groups'!A129,'A-2 Site Habitat Creation'!$G$11:$G$256)</f>
        <v>0</v>
      </c>
      <c r="L129" s="494">
        <f>SUMIF('A-2 Site Habitat Creation'!$F$11:$F$256,'G-2 Habitat groups'!A129,'A-2 Site Habitat Creation'!$Y$11:$Y$256)</f>
        <v>0</v>
      </c>
      <c r="M129" s="494">
        <f>SUMIF('A-3 Site Habitat Enhancement'!$S$12:$S$257,'G-2 Habitat groups'!A129,'A-3 Site Habitat Enhancement'!$V$12:$V$257)</f>
        <v>0</v>
      </c>
      <c r="N129" s="494">
        <f>SUMIF('A-3 Site Habitat Enhancement'!$S$12:$S$257,'G-2 Habitat groups'!A129,'A-3 Site Habitat Enhancement'!$AN$12:$AN$257)</f>
        <v>0</v>
      </c>
      <c r="O129" s="494">
        <f t="shared" si="103"/>
        <v>0</v>
      </c>
      <c r="P129" s="494">
        <f t="shared" si="104"/>
        <v>0</v>
      </c>
      <c r="Q129" s="494">
        <f t="shared" si="105"/>
        <v>0</v>
      </c>
      <c r="R129" s="494">
        <f t="shared" si="106"/>
        <v>0</v>
      </c>
      <c r="S129" s="494">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4">
        <f>SUMIF('D-1 Off Site Habitat Baseline'!$G$11:$G$258,'G-2 Habitat groups'!A129,'D-1 Off Site Habitat Baseline'!$Q$11:$Q$258)</f>
        <v>0</v>
      </c>
      <c r="U129" s="591">
        <f>SUMIF('D-1 Off Site Habitat Baseline'!$G$11:$G$258,'G-2 Habitat groups'!A129,'D-1 Off Site Habitat Baseline'!$S$11:$S$258)</f>
        <v>0</v>
      </c>
      <c r="V129" s="494">
        <f>SUMIF('D-1 Off Site Habitat Baseline'!$G$11:$G$258,'G-2 Habitat groups'!A129,'D-1 Off Site Habitat Baseline'!$U$11:$U$258)</f>
        <v>0</v>
      </c>
      <c r="W129" s="494">
        <f>SUMIF('D-2 Off Site Habitat Creation'!$F$9:$F$255,'G-2 Habitat groups'!A129,'D-2 Off Site Habitat Creation'!$G$9:$G$255)</f>
        <v>0</v>
      </c>
      <c r="X129" s="494">
        <f>SUMIF('D-2 Off Site Habitat Creation'!$F$9:$F$255,'G-2 Habitat groups'!A129,'D-2 Off Site Habitat Creation'!$AA$9:$AA$255)</f>
        <v>0</v>
      </c>
      <c r="Y129" s="494">
        <f>SUMIF('D-3 Off Site Habitat Enhancment'!$S$12:$S$491,'G-2 Habitat groups'!A129,'D-3 Off Site Habitat Enhancment'!$V$12:$V$491)</f>
        <v>0</v>
      </c>
      <c r="Z129" s="494">
        <f>SUMIF('D-3 Off Site Habitat Enhancment'!$S$12:$S$491,'G-2 Habitat groups'!A129,'D-3 Off Site Habitat Enhancment'!$AP$12:$AP$491)</f>
        <v>0</v>
      </c>
      <c r="AA129" s="494">
        <f t="shared" si="107"/>
        <v>0</v>
      </c>
      <c r="AB129" s="494">
        <f t="shared" si="108"/>
        <v>0</v>
      </c>
      <c r="AC129" s="494">
        <f t="shared" si="109"/>
        <v>0</v>
      </c>
      <c r="AD129" s="494">
        <f t="shared" si="110"/>
        <v>0</v>
      </c>
      <c r="AE129" s="494">
        <f t="shared" si="111"/>
        <v>0</v>
      </c>
      <c r="AF129" s="494">
        <f t="shared" si="112"/>
        <v>0</v>
      </c>
      <c r="AU129" s="104" t="s">
        <v>625</v>
      </c>
      <c r="AV129" s="88" t="s">
        <v>74</v>
      </c>
      <c r="AW129" s="494">
        <f t="shared" si="132"/>
        <v>0</v>
      </c>
      <c r="AX129" s="494">
        <f t="shared" si="125"/>
        <v>0</v>
      </c>
      <c r="AY129" s="494">
        <f t="shared" si="126"/>
        <v>0</v>
      </c>
      <c r="AZ129" s="494">
        <f t="shared" si="127"/>
        <v>0</v>
      </c>
      <c r="BA129" s="494">
        <f t="shared" si="128"/>
        <v>0</v>
      </c>
      <c r="BB129" s="494">
        <f t="shared" si="129"/>
        <v>0</v>
      </c>
      <c r="BC129" s="494">
        <f t="shared" si="130"/>
        <v>0</v>
      </c>
      <c r="BD129" s="494">
        <f t="shared" si="131"/>
        <v>0</v>
      </c>
      <c r="BE129" s="494">
        <f t="shared" si="123"/>
        <v>0</v>
      </c>
      <c r="BF129" s="494"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4">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4">
        <f>SUMIF('A-1 Site Habitat Baseline'!$G$11:$G$258,'G-2 Habitat groups'!A130,'A-1 Site Habitat Baseline'!$Q$11:$Q$258)</f>
        <v>0</v>
      </c>
      <c r="G130" s="494">
        <f>SUMIF('A-1 Site Habitat Baseline'!$G$11:$G$258,'G-2 Habitat groups'!A130,'A-1 Site Habitat Baseline'!$S$11:$S$258)</f>
        <v>0</v>
      </c>
      <c r="H130" s="494">
        <f>SUMIF('A-1 Site Habitat Baseline'!$G$11:$G$258,'G-2 Habitat groups'!A130,'A-1 Site Habitat Baseline'!$U$11:$U$258)</f>
        <v>0</v>
      </c>
      <c r="I130" s="494">
        <f>SUMIF('A-1 Site Habitat Baseline'!$G$11:$G$258,'G-2 Habitat groups'!A130,'A-1 Site Habitat Baseline'!$W$11:$W$258)</f>
        <v>0</v>
      </c>
      <c r="J130" s="494">
        <f>SUMIF('A-1 Site Habitat Baseline'!$G$11:$G$258,'G-2 Habitat groups'!A130,'A-1 Site Habitat Baseline'!$X$11:$X$258)</f>
        <v>0</v>
      </c>
      <c r="K130" s="494">
        <f>SUMIF('A-2 Site Habitat Creation'!$F$11:$F$256,'G-2 Habitat groups'!A130,'A-2 Site Habitat Creation'!$G$11:$G$256)</f>
        <v>0</v>
      </c>
      <c r="L130" s="494">
        <f>SUMIF('A-2 Site Habitat Creation'!$F$11:$F$256,'G-2 Habitat groups'!A130,'A-2 Site Habitat Creation'!$Y$11:$Y$256)</f>
        <v>0</v>
      </c>
      <c r="M130" s="494">
        <f>SUMIF('A-3 Site Habitat Enhancement'!$S$12:$S$257,'G-2 Habitat groups'!A130,'A-3 Site Habitat Enhancement'!$V$12:$V$257)</f>
        <v>0</v>
      </c>
      <c r="N130" s="494">
        <f>SUMIF('A-3 Site Habitat Enhancement'!$S$12:$S$257,'G-2 Habitat groups'!A130,'A-3 Site Habitat Enhancement'!$AN$12:$AN$257)</f>
        <v>0</v>
      </c>
      <c r="O130" s="494">
        <f t="shared" si="103"/>
        <v>0</v>
      </c>
      <c r="P130" s="494">
        <f t="shared" si="104"/>
        <v>0</v>
      </c>
      <c r="Q130" s="494">
        <f t="shared" si="105"/>
        <v>0</v>
      </c>
      <c r="R130" s="494">
        <f t="shared" si="106"/>
        <v>0</v>
      </c>
      <c r="S130" s="494">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4">
        <f>SUMIF('D-1 Off Site Habitat Baseline'!$G$11:$G$258,'G-2 Habitat groups'!A130,'D-1 Off Site Habitat Baseline'!$Q$11:$Q$258)</f>
        <v>0</v>
      </c>
      <c r="U130" s="591">
        <f>SUMIF('D-1 Off Site Habitat Baseline'!$G$11:$G$258,'G-2 Habitat groups'!A130,'D-1 Off Site Habitat Baseline'!$S$11:$S$258)</f>
        <v>0</v>
      </c>
      <c r="V130" s="494">
        <f>SUMIF('D-1 Off Site Habitat Baseline'!$G$11:$G$258,'G-2 Habitat groups'!A130,'D-1 Off Site Habitat Baseline'!$U$11:$U$258)</f>
        <v>0</v>
      </c>
      <c r="W130" s="494">
        <f>SUMIF('D-2 Off Site Habitat Creation'!$F$9:$F$255,'G-2 Habitat groups'!A130,'D-2 Off Site Habitat Creation'!$G$9:$G$255)</f>
        <v>0</v>
      </c>
      <c r="X130" s="494">
        <f>SUMIF('D-2 Off Site Habitat Creation'!$F$9:$F$255,'G-2 Habitat groups'!A130,'D-2 Off Site Habitat Creation'!$AA$9:$AA$255)</f>
        <v>0</v>
      </c>
      <c r="Y130" s="494">
        <f>SUMIF('D-3 Off Site Habitat Enhancment'!$S$12:$S$491,'G-2 Habitat groups'!A130,'D-3 Off Site Habitat Enhancment'!$V$12:$V$491)</f>
        <v>0</v>
      </c>
      <c r="Z130" s="494">
        <f>SUMIF('D-3 Off Site Habitat Enhancment'!$S$12:$S$491,'G-2 Habitat groups'!A130,'D-3 Off Site Habitat Enhancment'!$AP$12:$AP$491)</f>
        <v>0</v>
      </c>
      <c r="AA130" s="494">
        <f t="shared" si="107"/>
        <v>0</v>
      </c>
      <c r="AB130" s="494">
        <f t="shared" si="108"/>
        <v>0</v>
      </c>
      <c r="AC130" s="494">
        <f t="shared" si="109"/>
        <v>0</v>
      </c>
      <c r="AD130" s="494">
        <f t="shared" si="110"/>
        <v>0</v>
      </c>
      <c r="AE130" s="494">
        <f t="shared" si="111"/>
        <v>0</v>
      </c>
      <c r="AF130" s="494">
        <f t="shared" si="112"/>
        <v>0</v>
      </c>
      <c r="AU130" s="104" t="s">
        <v>628</v>
      </c>
      <c r="AV130" s="88" t="s">
        <v>74</v>
      </c>
      <c r="AW130" s="494">
        <f t="shared" si="132"/>
        <v>0.1074</v>
      </c>
      <c r="AX130" s="494">
        <f t="shared" si="125"/>
        <v>0.46414</v>
      </c>
      <c r="AY130" s="494">
        <f t="shared" si="126"/>
        <v>0.22760000000000002</v>
      </c>
      <c r="AZ130" s="494">
        <f t="shared" si="127"/>
        <v>1.1694675494343998</v>
      </c>
      <c r="BA130" s="494">
        <f t="shared" si="128"/>
        <v>0.12020000000000003</v>
      </c>
      <c r="BB130" s="494">
        <f t="shared" si="129"/>
        <v>0.13354754943439984</v>
      </c>
      <c r="BC130" s="494">
        <f t="shared" si="130"/>
        <v>0</v>
      </c>
      <c r="BD130" s="494">
        <f t="shared" si="131"/>
        <v>0</v>
      </c>
      <c r="BE130" s="494">
        <f t="shared" si="123"/>
        <v>0.13354754943439984</v>
      </c>
      <c r="BF130" s="494" t="str">
        <f t="shared" si="124"/>
        <v/>
      </c>
    </row>
    <row r="131" spans="1:58" x14ac:dyDescent="0.25">
      <c r="A131" s="104">
        <f>'G-1 All Habitats'!B136</f>
        <v>0</v>
      </c>
      <c r="B131" s="88">
        <f>'G-1 All Habitats'!F130</f>
        <v>0</v>
      </c>
      <c r="C131" s="88">
        <f>'G-1 All Habitats'!K130</f>
        <v>0</v>
      </c>
      <c r="D131" s="88">
        <f>'G-1 All Habitats'!M130</f>
        <v>0</v>
      </c>
      <c r="E131" s="494">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4">
        <f>SUMIF('A-1 Site Habitat Baseline'!$G$11:$G$258,'G-2 Habitat groups'!A131,'A-1 Site Habitat Baseline'!$Q$11:$Q$258)</f>
        <v>0</v>
      </c>
      <c r="G131" s="494">
        <f>SUMIF('A-1 Site Habitat Baseline'!$G$11:$G$258,'G-2 Habitat groups'!A131,'A-1 Site Habitat Baseline'!$S$11:$S$258)</f>
        <v>0</v>
      </c>
      <c r="H131" s="494">
        <f>SUMIF('A-1 Site Habitat Baseline'!$G$11:$G$258,'G-2 Habitat groups'!A131,'A-1 Site Habitat Baseline'!$U$11:$U$258)</f>
        <v>0</v>
      </c>
      <c r="I131" s="494">
        <f>SUMIF('A-1 Site Habitat Baseline'!$G$11:$G$258,'G-2 Habitat groups'!A131,'A-1 Site Habitat Baseline'!$W$11:$W$258)</f>
        <v>0</v>
      </c>
      <c r="J131" s="494">
        <f>SUMIF('A-1 Site Habitat Baseline'!$G$11:$G$258,'G-2 Habitat groups'!A131,'A-1 Site Habitat Baseline'!$X$11:$X$258)</f>
        <v>0</v>
      </c>
      <c r="K131" s="494">
        <f>SUMIF('A-2 Site Habitat Creation'!$F$11:$F$256,'G-2 Habitat groups'!A131,'A-2 Site Habitat Creation'!$G$11:$G$256)</f>
        <v>0</v>
      </c>
      <c r="L131" s="494">
        <f>SUMIF('A-2 Site Habitat Creation'!$F$11:$F$256,'G-2 Habitat groups'!A131,'A-2 Site Habitat Creation'!$Y$11:$Y$256)</f>
        <v>0</v>
      </c>
      <c r="M131" s="494">
        <f>SUMIF('A-3 Site Habitat Enhancement'!$S$12:$S$257,'G-2 Habitat groups'!A131,'A-3 Site Habitat Enhancement'!$V$12:$V$257)</f>
        <v>0</v>
      </c>
      <c r="N131" s="494">
        <f>SUMIF('A-3 Site Habitat Enhancement'!$S$12:$S$257,'G-2 Habitat groups'!A131,'A-3 Site Habitat Enhancement'!$AN$12:$AN$257)</f>
        <v>0</v>
      </c>
      <c r="O131" s="494">
        <f t="shared" ref="O131:O136" si="133">G131+K131+M131</f>
        <v>0</v>
      </c>
      <c r="P131" s="494">
        <f t="shared" ref="P131:P136" si="134">H131+L131+N131</f>
        <v>0</v>
      </c>
      <c r="Q131" s="494">
        <f t="shared" ref="Q131:Q136" si="135">O131-E131</f>
        <v>0</v>
      </c>
      <c r="R131" s="494">
        <f t="shared" ref="R131:R136" si="136">P131-F131</f>
        <v>0</v>
      </c>
      <c r="S131" s="494">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4">
        <f>SUMIF('D-1 Off Site Habitat Baseline'!$G$11:$G$258,'G-2 Habitat groups'!A131,'D-1 Off Site Habitat Baseline'!$Q$11:$Q$258)</f>
        <v>0</v>
      </c>
      <c r="U131" s="591">
        <f>SUMIF('D-1 Off Site Habitat Baseline'!$G$11:$G$258,'G-2 Habitat groups'!A131,'D-1 Off Site Habitat Baseline'!$S$11:$S$258)</f>
        <v>0</v>
      </c>
      <c r="V131" s="494">
        <f>SUMIF('D-1 Off Site Habitat Baseline'!$G$11:$G$258,'G-2 Habitat groups'!A131,'D-1 Off Site Habitat Baseline'!$U$11:$U$258)</f>
        <v>0</v>
      </c>
      <c r="W131" s="494">
        <f>SUMIF('D-2 Off Site Habitat Creation'!$F$9:$F$255,'G-2 Habitat groups'!A131,'D-2 Off Site Habitat Creation'!$G$9:$G$255)</f>
        <v>0</v>
      </c>
      <c r="X131" s="494">
        <f>SUMIF('D-2 Off Site Habitat Creation'!$F$9:$F$255,'G-2 Habitat groups'!A131,'D-2 Off Site Habitat Creation'!$AA$9:$AA$255)</f>
        <v>0</v>
      </c>
      <c r="Y131" s="494">
        <f>SUMIF('D-3 Off Site Habitat Enhancment'!$S$12:$S$491,'G-2 Habitat groups'!A131,'D-3 Off Site Habitat Enhancment'!$V$12:$V$491)</f>
        <v>0</v>
      </c>
      <c r="Z131" s="494">
        <f>SUMIF('D-3 Off Site Habitat Enhancment'!$S$12:$S$491,'G-2 Habitat groups'!A131,'D-3 Off Site Habitat Enhancment'!$AP$12:$AP$491)</f>
        <v>0</v>
      </c>
      <c r="AA131" s="494">
        <f t="shared" si="107"/>
        <v>0</v>
      </c>
      <c r="AB131" s="494">
        <f t="shared" si="108"/>
        <v>0</v>
      </c>
      <c r="AC131" s="494">
        <f t="shared" ref="AC131:AC136" si="137">AA131-S131</f>
        <v>0</v>
      </c>
      <c r="AD131" s="494">
        <f t="shared" ref="AD131:AD136" si="138">AB131-T131</f>
        <v>0</v>
      </c>
      <c r="AE131" s="494">
        <f t="shared" ref="AE131:AE136" si="139">Q131+AC131</f>
        <v>0</v>
      </c>
      <c r="AF131" s="494">
        <f t="shared" ref="AF131:AF136" si="140">R131+AD131</f>
        <v>0</v>
      </c>
      <c r="AU131" s="104" t="s">
        <v>632</v>
      </c>
      <c r="AV131" s="88" t="s">
        <v>74</v>
      </c>
      <c r="AW131" s="494">
        <f t="shared" si="132"/>
        <v>0</v>
      </c>
      <c r="AX131" s="494">
        <f t="shared" si="125"/>
        <v>0</v>
      </c>
      <c r="AY131" s="494">
        <f t="shared" si="126"/>
        <v>0</v>
      </c>
      <c r="AZ131" s="494">
        <f t="shared" si="127"/>
        <v>0</v>
      </c>
      <c r="BA131" s="494">
        <f t="shared" si="128"/>
        <v>0</v>
      </c>
      <c r="BB131" s="494">
        <f t="shared" si="129"/>
        <v>0</v>
      </c>
      <c r="BC131" s="494">
        <f t="shared" si="130"/>
        <v>0</v>
      </c>
      <c r="BD131" s="494">
        <f t="shared" si="131"/>
        <v>0</v>
      </c>
      <c r="BE131" s="494">
        <f t="shared" si="123"/>
        <v>0</v>
      </c>
      <c r="BF131" s="494" t="str">
        <f t="shared" si="124"/>
        <v/>
      </c>
    </row>
    <row r="132" spans="1:58" x14ac:dyDescent="0.25">
      <c r="A132" s="104">
        <f>'G-1 All Habitats'!B137</f>
        <v>0</v>
      </c>
      <c r="B132" s="88">
        <f>'G-1 All Habitats'!F131</f>
        <v>0</v>
      </c>
      <c r="C132" s="88">
        <f>'G-1 All Habitats'!K131</f>
        <v>0</v>
      </c>
      <c r="D132" s="88">
        <f>'G-1 All Habitats'!M131</f>
        <v>0</v>
      </c>
      <c r="E132" s="494">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4">
        <f>SUMIF('A-1 Site Habitat Baseline'!$G$11:$G$258,'G-2 Habitat groups'!A132,'A-1 Site Habitat Baseline'!$Q$11:$Q$258)</f>
        <v>0</v>
      </c>
      <c r="G132" s="494">
        <f>SUMIF('A-1 Site Habitat Baseline'!$G$11:$G$258,'G-2 Habitat groups'!A132,'A-1 Site Habitat Baseline'!$S$11:$S$258)</f>
        <v>0</v>
      </c>
      <c r="H132" s="494">
        <f>SUMIF('A-1 Site Habitat Baseline'!$G$11:$G$258,'G-2 Habitat groups'!A132,'A-1 Site Habitat Baseline'!$U$11:$U$258)</f>
        <v>0</v>
      </c>
      <c r="I132" s="494">
        <f>SUMIF('A-1 Site Habitat Baseline'!$G$11:$G$258,'G-2 Habitat groups'!A132,'A-1 Site Habitat Baseline'!$W$11:$W$258)</f>
        <v>0</v>
      </c>
      <c r="J132" s="494">
        <f>SUMIF('A-1 Site Habitat Baseline'!$G$11:$G$258,'G-2 Habitat groups'!A132,'A-1 Site Habitat Baseline'!$X$11:$X$258)</f>
        <v>0</v>
      </c>
      <c r="K132" s="494">
        <f>SUMIF('A-2 Site Habitat Creation'!$F$11:$F$256,'G-2 Habitat groups'!A132,'A-2 Site Habitat Creation'!$G$11:$G$256)</f>
        <v>0</v>
      </c>
      <c r="L132" s="494">
        <f>SUMIF('A-2 Site Habitat Creation'!$F$11:$F$256,'G-2 Habitat groups'!A132,'A-2 Site Habitat Creation'!$Y$11:$Y$256)</f>
        <v>0</v>
      </c>
      <c r="M132" s="494">
        <f>SUMIF('A-3 Site Habitat Enhancement'!$S$12:$S$257,'G-2 Habitat groups'!A132,'A-3 Site Habitat Enhancement'!$V$12:$V$257)</f>
        <v>0</v>
      </c>
      <c r="N132" s="494">
        <f>SUMIF('A-3 Site Habitat Enhancement'!$S$12:$S$257,'G-2 Habitat groups'!A132,'A-3 Site Habitat Enhancement'!$AN$12:$AN$257)</f>
        <v>0</v>
      </c>
      <c r="O132" s="494">
        <f t="shared" si="133"/>
        <v>0</v>
      </c>
      <c r="P132" s="494">
        <f t="shared" si="134"/>
        <v>0</v>
      </c>
      <c r="Q132" s="494">
        <f t="shared" si="135"/>
        <v>0</v>
      </c>
      <c r="R132" s="494">
        <f t="shared" si="136"/>
        <v>0</v>
      </c>
      <c r="S132" s="494">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4">
        <f>SUMIF('D-1 Off Site Habitat Baseline'!$G$11:$G$258,'G-2 Habitat groups'!A132,'D-1 Off Site Habitat Baseline'!$Q$11:$Q$258)</f>
        <v>0</v>
      </c>
      <c r="U132" s="591">
        <f>SUMIF('D-1 Off Site Habitat Baseline'!$G$11:$G$258,'G-2 Habitat groups'!A132,'D-1 Off Site Habitat Baseline'!$S$11:$S$258)</f>
        <v>0</v>
      </c>
      <c r="V132" s="494">
        <f>SUMIF('D-1 Off Site Habitat Baseline'!$G$11:$G$258,'G-2 Habitat groups'!A132,'D-1 Off Site Habitat Baseline'!$U$11:$U$258)</f>
        <v>0</v>
      </c>
      <c r="W132" s="494">
        <f>SUMIF('D-2 Off Site Habitat Creation'!$F$9:$F$255,'G-2 Habitat groups'!A132,'D-2 Off Site Habitat Creation'!$G$9:$G$255)</f>
        <v>0</v>
      </c>
      <c r="X132" s="494">
        <f>SUMIF('D-2 Off Site Habitat Creation'!$F$9:$F$255,'G-2 Habitat groups'!A132,'D-2 Off Site Habitat Creation'!$AA$9:$AA$255)</f>
        <v>0</v>
      </c>
      <c r="Y132" s="494">
        <f>SUMIF('D-3 Off Site Habitat Enhancment'!$S$12:$S$491,'G-2 Habitat groups'!A132,'D-3 Off Site Habitat Enhancment'!$V$12:$V$491)</f>
        <v>0</v>
      </c>
      <c r="Z132" s="494">
        <f>SUMIF('D-3 Off Site Habitat Enhancment'!$S$12:$S$491,'G-2 Habitat groups'!A132,'D-3 Off Site Habitat Enhancment'!$AP$12:$AP$491)</f>
        <v>0</v>
      </c>
      <c r="AA132" s="494">
        <f t="shared" ref="AA132:AA136" si="141">U132+W132+Y132</f>
        <v>0</v>
      </c>
      <c r="AB132" s="494">
        <f t="shared" ref="AB132:AB136" si="142">V132+X132+Z132</f>
        <v>0</v>
      </c>
      <c r="AC132" s="494">
        <f t="shared" si="137"/>
        <v>0</v>
      </c>
      <c r="AD132" s="494">
        <f t="shared" si="138"/>
        <v>0</v>
      </c>
      <c r="AE132" s="494">
        <f t="shared" si="139"/>
        <v>0</v>
      </c>
      <c r="AF132" s="494">
        <f t="shared" si="140"/>
        <v>0</v>
      </c>
      <c r="AU132" s="104" t="s">
        <v>636</v>
      </c>
      <c r="AV132" s="88" t="s">
        <v>74</v>
      </c>
      <c r="AW132" s="494">
        <f t="shared" si="132"/>
        <v>0</v>
      </c>
      <c r="AX132" s="494">
        <f t="shared" si="125"/>
        <v>0</v>
      </c>
      <c r="AY132" s="494">
        <f t="shared" si="126"/>
        <v>0</v>
      </c>
      <c r="AZ132" s="494">
        <f t="shared" si="127"/>
        <v>0</v>
      </c>
      <c r="BA132" s="494">
        <f t="shared" si="128"/>
        <v>0</v>
      </c>
      <c r="BB132" s="494">
        <f t="shared" si="129"/>
        <v>0</v>
      </c>
      <c r="BC132" s="494">
        <f t="shared" si="130"/>
        <v>0</v>
      </c>
      <c r="BD132" s="494">
        <f t="shared" si="131"/>
        <v>0</v>
      </c>
      <c r="BE132" s="494">
        <f t="shared" si="123"/>
        <v>0</v>
      </c>
      <c r="BF132" s="494" t="str">
        <f t="shared" si="124"/>
        <v/>
      </c>
    </row>
    <row r="133" spans="1:58" x14ac:dyDescent="0.25">
      <c r="A133" s="104">
        <f>'G-1 All Habitats'!B138</f>
        <v>0</v>
      </c>
      <c r="B133" s="88">
        <f>'G-1 All Habitats'!F132</f>
        <v>0</v>
      </c>
      <c r="C133" s="88">
        <f>'G-1 All Habitats'!K132</f>
        <v>0</v>
      </c>
      <c r="D133" s="88">
        <f>'G-1 All Habitats'!M132</f>
        <v>0</v>
      </c>
      <c r="E133" s="494">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4">
        <f>SUMIF('A-1 Site Habitat Baseline'!$G$11:$G$258,'G-2 Habitat groups'!A133,'A-1 Site Habitat Baseline'!$Q$11:$Q$258)</f>
        <v>0</v>
      </c>
      <c r="G133" s="494">
        <f>SUMIF('A-1 Site Habitat Baseline'!$G$11:$G$258,'G-2 Habitat groups'!A133,'A-1 Site Habitat Baseline'!$S$11:$S$258)</f>
        <v>0</v>
      </c>
      <c r="H133" s="494">
        <f>SUMIF('A-1 Site Habitat Baseline'!$G$11:$G$258,'G-2 Habitat groups'!A133,'A-1 Site Habitat Baseline'!$U$11:$U$258)</f>
        <v>0</v>
      </c>
      <c r="I133" s="494">
        <f>SUMIF('A-1 Site Habitat Baseline'!$G$11:$G$258,'G-2 Habitat groups'!A133,'A-1 Site Habitat Baseline'!$W$11:$W$258)</f>
        <v>0</v>
      </c>
      <c r="J133" s="494">
        <f>SUMIF('A-1 Site Habitat Baseline'!$G$11:$G$258,'G-2 Habitat groups'!A133,'A-1 Site Habitat Baseline'!$X$11:$X$258)</f>
        <v>0</v>
      </c>
      <c r="K133" s="494">
        <f>SUMIF('A-2 Site Habitat Creation'!$F$11:$F$256,'G-2 Habitat groups'!A133,'A-2 Site Habitat Creation'!$G$11:$G$256)</f>
        <v>0</v>
      </c>
      <c r="L133" s="494">
        <f>SUMIF('A-2 Site Habitat Creation'!$F$11:$F$256,'G-2 Habitat groups'!A133,'A-2 Site Habitat Creation'!$Y$11:$Y$256)</f>
        <v>0</v>
      </c>
      <c r="M133" s="494">
        <f>SUMIF('A-3 Site Habitat Enhancement'!$S$12:$S$257,'G-2 Habitat groups'!A133,'A-3 Site Habitat Enhancement'!$V$12:$V$257)</f>
        <v>0</v>
      </c>
      <c r="N133" s="494">
        <f>SUMIF('A-3 Site Habitat Enhancement'!$S$12:$S$257,'G-2 Habitat groups'!A133,'A-3 Site Habitat Enhancement'!$AN$12:$AN$257)</f>
        <v>0</v>
      </c>
      <c r="O133" s="494">
        <f t="shared" si="133"/>
        <v>0</v>
      </c>
      <c r="P133" s="494">
        <f t="shared" si="134"/>
        <v>0</v>
      </c>
      <c r="Q133" s="494">
        <f t="shared" si="135"/>
        <v>0</v>
      </c>
      <c r="R133" s="494">
        <f t="shared" si="136"/>
        <v>0</v>
      </c>
      <c r="S133" s="494">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4">
        <f>SUMIF('D-1 Off Site Habitat Baseline'!$G$11:$G$258,'G-2 Habitat groups'!A133,'D-1 Off Site Habitat Baseline'!$Q$11:$Q$258)</f>
        <v>0</v>
      </c>
      <c r="U133" s="591">
        <f>SUMIF('D-1 Off Site Habitat Baseline'!$G$11:$G$258,'G-2 Habitat groups'!A133,'D-1 Off Site Habitat Baseline'!$S$11:$S$258)</f>
        <v>0</v>
      </c>
      <c r="V133" s="494">
        <f>SUMIF('D-1 Off Site Habitat Baseline'!$G$11:$G$258,'G-2 Habitat groups'!A133,'D-1 Off Site Habitat Baseline'!$U$11:$U$258)</f>
        <v>0</v>
      </c>
      <c r="W133" s="494">
        <f>SUMIF('D-2 Off Site Habitat Creation'!$F$9:$F$255,'G-2 Habitat groups'!A133,'D-2 Off Site Habitat Creation'!$G$9:$G$255)</f>
        <v>0</v>
      </c>
      <c r="X133" s="494">
        <f>SUMIF('D-2 Off Site Habitat Creation'!$F$9:$F$255,'G-2 Habitat groups'!A133,'D-2 Off Site Habitat Creation'!$AA$9:$AA$255)</f>
        <v>0</v>
      </c>
      <c r="Y133" s="494">
        <f>SUMIF('D-3 Off Site Habitat Enhancment'!$S$12:$S$491,'G-2 Habitat groups'!A133,'D-3 Off Site Habitat Enhancment'!$V$12:$V$491)</f>
        <v>0</v>
      </c>
      <c r="Z133" s="494">
        <f>SUMIF('D-3 Off Site Habitat Enhancment'!$S$12:$S$491,'G-2 Habitat groups'!A133,'D-3 Off Site Habitat Enhancment'!$AP$12:$AP$491)</f>
        <v>0</v>
      </c>
      <c r="AA133" s="494">
        <f t="shared" si="141"/>
        <v>0</v>
      </c>
      <c r="AB133" s="494">
        <f t="shared" si="142"/>
        <v>0</v>
      </c>
      <c r="AC133" s="494">
        <f t="shared" si="137"/>
        <v>0</v>
      </c>
      <c r="AD133" s="494">
        <f t="shared" si="138"/>
        <v>0</v>
      </c>
      <c r="AE133" s="494">
        <f t="shared" si="139"/>
        <v>0</v>
      </c>
      <c r="AF133" s="494">
        <f t="shared" si="140"/>
        <v>0</v>
      </c>
      <c r="AU133" s="104" t="s">
        <v>639</v>
      </c>
      <c r="AV133" s="88" t="s">
        <v>74</v>
      </c>
      <c r="AW133" s="494">
        <f t="shared" si="132"/>
        <v>0</v>
      </c>
      <c r="AX133" s="494">
        <f t="shared" si="125"/>
        <v>0</v>
      </c>
      <c r="AY133" s="494">
        <f t="shared" si="126"/>
        <v>0</v>
      </c>
      <c r="AZ133" s="494">
        <f t="shared" si="127"/>
        <v>0</v>
      </c>
      <c r="BA133" s="494">
        <f t="shared" si="128"/>
        <v>0</v>
      </c>
      <c r="BB133" s="494">
        <f t="shared" si="129"/>
        <v>0</v>
      </c>
      <c r="BC133" s="494">
        <f t="shared" si="130"/>
        <v>0</v>
      </c>
      <c r="BD133" s="494">
        <f t="shared" si="131"/>
        <v>0</v>
      </c>
      <c r="BE133" s="494">
        <f t="shared" si="123"/>
        <v>0</v>
      </c>
      <c r="BF133" s="494" t="str">
        <f t="shared" si="124"/>
        <v/>
      </c>
    </row>
    <row r="134" spans="1:58" x14ac:dyDescent="0.25">
      <c r="A134" s="104">
        <f>'G-1 All Habitats'!B139</f>
        <v>0</v>
      </c>
      <c r="B134" s="88">
        <f>'G-1 All Habitats'!F133</f>
        <v>0</v>
      </c>
      <c r="C134" s="88">
        <f>'G-1 All Habitats'!K133</f>
        <v>0</v>
      </c>
      <c r="D134" s="88">
        <f>'G-1 All Habitats'!M133</f>
        <v>0</v>
      </c>
      <c r="E134" s="494">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4">
        <f>SUMIF('A-1 Site Habitat Baseline'!$G$11:$G$258,'G-2 Habitat groups'!A134,'A-1 Site Habitat Baseline'!$Q$11:$Q$258)</f>
        <v>0</v>
      </c>
      <c r="G134" s="494">
        <f>SUMIF('A-1 Site Habitat Baseline'!$G$11:$G$258,'G-2 Habitat groups'!A134,'A-1 Site Habitat Baseline'!$S$11:$S$258)</f>
        <v>0</v>
      </c>
      <c r="H134" s="494">
        <f>SUMIF('A-1 Site Habitat Baseline'!$G$11:$G$258,'G-2 Habitat groups'!A134,'A-1 Site Habitat Baseline'!$U$11:$U$258)</f>
        <v>0</v>
      </c>
      <c r="I134" s="494">
        <f>SUMIF('A-1 Site Habitat Baseline'!$G$11:$G$258,'G-2 Habitat groups'!A134,'A-1 Site Habitat Baseline'!$W$11:$W$258)</f>
        <v>0</v>
      </c>
      <c r="J134" s="494">
        <f>SUMIF('A-1 Site Habitat Baseline'!$G$11:$G$258,'G-2 Habitat groups'!A134,'A-1 Site Habitat Baseline'!$X$11:$X$258)</f>
        <v>0</v>
      </c>
      <c r="K134" s="494">
        <f>SUMIF('A-2 Site Habitat Creation'!$F$11:$F$256,'G-2 Habitat groups'!A134,'A-2 Site Habitat Creation'!$G$11:$G$256)</f>
        <v>0</v>
      </c>
      <c r="L134" s="494">
        <f>SUMIF('A-2 Site Habitat Creation'!$F$11:$F$256,'G-2 Habitat groups'!A134,'A-2 Site Habitat Creation'!$Y$11:$Y$256)</f>
        <v>0</v>
      </c>
      <c r="M134" s="494">
        <f>SUMIF('A-3 Site Habitat Enhancement'!$S$12:$S$257,'G-2 Habitat groups'!A134,'A-3 Site Habitat Enhancement'!$V$12:$V$257)</f>
        <v>0</v>
      </c>
      <c r="N134" s="494">
        <f>SUMIF('A-3 Site Habitat Enhancement'!$S$12:$S$257,'G-2 Habitat groups'!A134,'A-3 Site Habitat Enhancement'!$AN$12:$AN$257)</f>
        <v>0</v>
      </c>
      <c r="O134" s="494">
        <f t="shared" si="133"/>
        <v>0</v>
      </c>
      <c r="P134" s="494">
        <f t="shared" si="134"/>
        <v>0</v>
      </c>
      <c r="Q134" s="494">
        <f t="shared" si="135"/>
        <v>0</v>
      </c>
      <c r="R134" s="494">
        <f t="shared" si="136"/>
        <v>0</v>
      </c>
      <c r="S134" s="494">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4">
        <f>SUMIF('D-1 Off Site Habitat Baseline'!$G$11:$G$258,'G-2 Habitat groups'!A134,'D-1 Off Site Habitat Baseline'!$Q$11:$Q$258)</f>
        <v>0</v>
      </c>
      <c r="U134" s="591">
        <f>SUMIF('D-1 Off Site Habitat Baseline'!$G$11:$G$258,'G-2 Habitat groups'!A134,'D-1 Off Site Habitat Baseline'!$S$11:$S$258)</f>
        <v>0</v>
      </c>
      <c r="V134" s="494">
        <f>SUMIF('D-1 Off Site Habitat Baseline'!$G$11:$G$258,'G-2 Habitat groups'!A134,'D-1 Off Site Habitat Baseline'!$U$11:$U$258)</f>
        <v>0</v>
      </c>
      <c r="W134" s="494">
        <f>SUMIF('D-2 Off Site Habitat Creation'!$F$9:$F$255,'G-2 Habitat groups'!A134,'D-2 Off Site Habitat Creation'!$G$9:$G$255)</f>
        <v>0</v>
      </c>
      <c r="X134" s="494">
        <f>SUMIF('D-2 Off Site Habitat Creation'!$F$9:$F$255,'G-2 Habitat groups'!A134,'D-2 Off Site Habitat Creation'!$AA$9:$AA$255)</f>
        <v>0</v>
      </c>
      <c r="Y134" s="494">
        <f>SUMIF('D-3 Off Site Habitat Enhancment'!$S$12:$S$491,'G-2 Habitat groups'!A134,'D-3 Off Site Habitat Enhancment'!$V$12:$V$491)</f>
        <v>0</v>
      </c>
      <c r="Z134" s="494">
        <f>SUMIF('D-3 Off Site Habitat Enhancment'!$S$12:$S$491,'G-2 Habitat groups'!A134,'D-3 Off Site Habitat Enhancment'!$AP$12:$AP$491)</f>
        <v>0</v>
      </c>
      <c r="AA134" s="494">
        <f t="shared" si="141"/>
        <v>0</v>
      </c>
      <c r="AB134" s="494">
        <f t="shared" si="142"/>
        <v>0</v>
      </c>
      <c r="AC134" s="494">
        <f t="shared" si="137"/>
        <v>0</v>
      </c>
      <c r="AD134" s="494">
        <f t="shared" si="138"/>
        <v>0</v>
      </c>
      <c r="AE134" s="494">
        <f t="shared" si="139"/>
        <v>0</v>
      </c>
      <c r="AF134" s="494">
        <f t="shared" si="140"/>
        <v>0</v>
      </c>
      <c r="AU134" s="124" t="s">
        <v>686</v>
      </c>
      <c r="AV134" s="88" t="s">
        <v>76</v>
      </c>
      <c r="AW134" s="494">
        <f t="shared" si="132"/>
        <v>0</v>
      </c>
      <c r="AX134" s="494">
        <f t="shared" si="125"/>
        <v>0</v>
      </c>
      <c r="AY134" s="494">
        <f t="shared" si="126"/>
        <v>0</v>
      </c>
      <c r="AZ134" s="494">
        <f t="shared" si="127"/>
        <v>0</v>
      </c>
      <c r="BA134" s="494">
        <f t="shared" si="128"/>
        <v>0</v>
      </c>
      <c r="BB134" s="494">
        <f t="shared" si="129"/>
        <v>0</v>
      </c>
      <c r="BC134" s="494">
        <f t="shared" si="130"/>
        <v>0</v>
      </c>
      <c r="BD134" s="494">
        <f t="shared" si="131"/>
        <v>0</v>
      </c>
      <c r="BE134" s="494">
        <f t="shared" si="123"/>
        <v>0</v>
      </c>
      <c r="BF134" s="494" t="str">
        <f t="shared" si="124"/>
        <v/>
      </c>
    </row>
    <row r="135" spans="1:58" x14ac:dyDescent="0.25">
      <c r="A135" s="104">
        <f>'G-1 All Habitats'!B140</f>
        <v>0</v>
      </c>
      <c r="B135" s="88">
        <f>'G-1 All Habitats'!F134</f>
        <v>0</v>
      </c>
      <c r="C135" s="88">
        <f>'G-1 All Habitats'!K134</f>
        <v>0</v>
      </c>
      <c r="D135" s="88">
        <f>'G-1 All Habitats'!M134</f>
        <v>0</v>
      </c>
      <c r="E135" s="494">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4">
        <f>SUMIF('A-1 Site Habitat Baseline'!$G$11:$G$258,'G-2 Habitat groups'!A135,'A-1 Site Habitat Baseline'!$Q$11:$Q$258)</f>
        <v>0</v>
      </c>
      <c r="G135" s="494">
        <f>SUMIF('A-1 Site Habitat Baseline'!$G$11:$G$258,'G-2 Habitat groups'!A135,'A-1 Site Habitat Baseline'!$S$11:$S$258)</f>
        <v>0</v>
      </c>
      <c r="H135" s="494">
        <f>SUMIF('A-1 Site Habitat Baseline'!$G$11:$G$258,'G-2 Habitat groups'!A135,'A-1 Site Habitat Baseline'!$U$11:$U$258)</f>
        <v>0</v>
      </c>
      <c r="I135" s="494">
        <f>SUMIF('A-1 Site Habitat Baseline'!$G$11:$G$258,'G-2 Habitat groups'!A135,'A-1 Site Habitat Baseline'!$W$11:$W$258)</f>
        <v>0</v>
      </c>
      <c r="J135" s="494">
        <f>SUMIF('A-1 Site Habitat Baseline'!$G$11:$G$258,'G-2 Habitat groups'!A135,'A-1 Site Habitat Baseline'!$X$11:$X$258)</f>
        <v>0</v>
      </c>
      <c r="K135" s="494">
        <f>SUMIF('A-2 Site Habitat Creation'!$F$11:$F$256,'G-2 Habitat groups'!A135,'A-2 Site Habitat Creation'!$G$11:$G$256)</f>
        <v>0</v>
      </c>
      <c r="L135" s="494">
        <f>SUMIF('A-2 Site Habitat Creation'!$F$11:$F$256,'G-2 Habitat groups'!A135,'A-2 Site Habitat Creation'!$Y$11:$Y$256)</f>
        <v>0</v>
      </c>
      <c r="M135" s="494">
        <f>SUMIF('A-3 Site Habitat Enhancement'!$S$12:$S$257,'G-2 Habitat groups'!A135,'A-3 Site Habitat Enhancement'!$V$12:$V$257)</f>
        <v>0</v>
      </c>
      <c r="N135" s="494">
        <f>SUMIF('A-3 Site Habitat Enhancement'!$S$12:$S$257,'G-2 Habitat groups'!A135,'A-3 Site Habitat Enhancement'!$AN$12:$AN$257)</f>
        <v>0</v>
      </c>
      <c r="O135" s="494">
        <f t="shared" si="133"/>
        <v>0</v>
      </c>
      <c r="P135" s="494">
        <f t="shared" si="134"/>
        <v>0</v>
      </c>
      <c r="Q135" s="494">
        <f t="shared" si="135"/>
        <v>0</v>
      </c>
      <c r="R135" s="494">
        <f t="shared" si="136"/>
        <v>0</v>
      </c>
      <c r="S135" s="494">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4">
        <f>SUMIF('D-1 Off Site Habitat Baseline'!$G$11:$G$258,'G-2 Habitat groups'!A135,'D-1 Off Site Habitat Baseline'!$Q$11:$Q$258)</f>
        <v>0</v>
      </c>
      <c r="U135" s="591">
        <f>SUMIF('D-1 Off Site Habitat Baseline'!$G$11:$G$258,'G-2 Habitat groups'!A135,'D-1 Off Site Habitat Baseline'!$S$11:$S$258)</f>
        <v>0</v>
      </c>
      <c r="V135" s="494">
        <f>SUMIF('D-1 Off Site Habitat Baseline'!$G$11:$G$258,'G-2 Habitat groups'!A135,'D-1 Off Site Habitat Baseline'!$U$11:$U$258)</f>
        <v>0</v>
      </c>
      <c r="W135" s="494">
        <f>SUMIF('D-2 Off Site Habitat Creation'!$F$9:$F$255,'G-2 Habitat groups'!A135,'D-2 Off Site Habitat Creation'!$G$9:$G$255)</f>
        <v>0</v>
      </c>
      <c r="X135" s="494">
        <f>SUMIF('D-2 Off Site Habitat Creation'!$F$9:$F$255,'G-2 Habitat groups'!A135,'D-2 Off Site Habitat Creation'!$AA$9:$AA$255)</f>
        <v>0</v>
      </c>
      <c r="Y135" s="494">
        <f>SUMIF('D-3 Off Site Habitat Enhancment'!$S$12:$S$491,'G-2 Habitat groups'!A135,'D-3 Off Site Habitat Enhancment'!$V$12:$V$491)</f>
        <v>0</v>
      </c>
      <c r="Z135" s="494">
        <f>SUMIF('D-3 Off Site Habitat Enhancment'!$S$12:$S$491,'G-2 Habitat groups'!A135,'D-3 Off Site Habitat Enhancment'!$AP$12:$AP$491)</f>
        <v>0</v>
      </c>
      <c r="AA135" s="494">
        <f t="shared" si="141"/>
        <v>0</v>
      </c>
      <c r="AB135" s="494">
        <f t="shared" si="142"/>
        <v>0</v>
      </c>
      <c r="AC135" s="494">
        <f t="shared" si="137"/>
        <v>0</v>
      </c>
      <c r="AD135" s="494">
        <f t="shared" si="138"/>
        <v>0</v>
      </c>
      <c r="AE135" s="494">
        <f t="shared" si="139"/>
        <v>0</v>
      </c>
      <c r="AF135" s="494">
        <f t="shared" si="140"/>
        <v>0</v>
      </c>
      <c r="AU135" s="104" t="s">
        <v>752</v>
      </c>
      <c r="AV135" s="119" t="s">
        <v>78</v>
      </c>
      <c r="AW135" s="494">
        <f t="shared" si="132"/>
        <v>0</v>
      </c>
      <c r="AX135" s="494">
        <f t="shared" si="125"/>
        <v>0</v>
      </c>
      <c r="AY135" s="494">
        <f t="shared" si="126"/>
        <v>0</v>
      </c>
      <c r="AZ135" s="494">
        <f t="shared" si="127"/>
        <v>0</v>
      </c>
      <c r="BA135" s="494">
        <f t="shared" si="128"/>
        <v>0</v>
      </c>
      <c r="BB135" s="494">
        <f t="shared" si="129"/>
        <v>0</v>
      </c>
      <c r="BC135" s="494">
        <f t="shared" si="130"/>
        <v>0</v>
      </c>
      <c r="BD135" s="494">
        <f t="shared" si="131"/>
        <v>0</v>
      </c>
      <c r="BE135" s="494">
        <f t="shared" si="123"/>
        <v>0</v>
      </c>
      <c r="BF135" s="494" t="str">
        <f t="shared" si="124"/>
        <v/>
      </c>
    </row>
    <row r="136" spans="1:58" x14ac:dyDescent="0.25">
      <c r="A136" s="104">
        <f>'G-1 All Habitats'!B141</f>
        <v>0</v>
      </c>
      <c r="B136" s="88">
        <f>'G-1 All Habitats'!F135</f>
        <v>0</v>
      </c>
      <c r="C136" s="88">
        <f>'G-1 All Habitats'!K135</f>
        <v>0</v>
      </c>
      <c r="D136" s="88">
        <f>'G-1 All Habitats'!M135</f>
        <v>0</v>
      </c>
      <c r="E136" s="494">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4">
        <f>SUMIF('A-1 Site Habitat Baseline'!$G$11:$G$258,'G-2 Habitat groups'!A136,'A-1 Site Habitat Baseline'!$Q$11:$Q$258)</f>
        <v>0</v>
      </c>
      <c r="G136" s="494">
        <f>SUMIF('A-1 Site Habitat Baseline'!$G$11:$G$258,'G-2 Habitat groups'!A136,'A-1 Site Habitat Baseline'!$S$11:$S$258)</f>
        <v>0</v>
      </c>
      <c r="H136" s="494">
        <f>SUMIF('A-1 Site Habitat Baseline'!$G$11:$G$258,'G-2 Habitat groups'!A136,'A-1 Site Habitat Baseline'!$U$11:$U$258)</f>
        <v>0</v>
      </c>
      <c r="I136" s="494">
        <f>SUMIF('A-1 Site Habitat Baseline'!$G$11:$G$258,'G-2 Habitat groups'!A136,'A-1 Site Habitat Baseline'!$W$11:$W$258)</f>
        <v>0</v>
      </c>
      <c r="J136" s="494">
        <f>SUMIF('A-1 Site Habitat Baseline'!$G$11:$G$258,'G-2 Habitat groups'!A136,'A-1 Site Habitat Baseline'!$X$11:$X$258)</f>
        <v>0</v>
      </c>
      <c r="K136" s="494">
        <f>SUMIF('A-2 Site Habitat Creation'!$F$11:$F$256,'G-2 Habitat groups'!A136,'A-2 Site Habitat Creation'!$G$11:$G$256)</f>
        <v>0</v>
      </c>
      <c r="L136" s="494">
        <f>SUMIF('A-2 Site Habitat Creation'!$F$11:$F$256,'G-2 Habitat groups'!A136,'A-2 Site Habitat Creation'!$Y$11:$Y$256)</f>
        <v>0</v>
      </c>
      <c r="M136" s="494">
        <f>SUMIF('A-3 Site Habitat Enhancement'!$S$12:$S$257,'G-2 Habitat groups'!A136,'A-3 Site Habitat Enhancement'!$V$12:$V$257)</f>
        <v>0</v>
      </c>
      <c r="N136" s="494">
        <f>SUMIF('A-3 Site Habitat Enhancement'!$S$12:$S$257,'G-2 Habitat groups'!A136,'A-3 Site Habitat Enhancement'!$AN$12:$AN$257)</f>
        <v>0</v>
      </c>
      <c r="O136" s="494">
        <f t="shared" si="133"/>
        <v>0</v>
      </c>
      <c r="P136" s="494">
        <f t="shared" si="134"/>
        <v>0</v>
      </c>
      <c r="Q136" s="494">
        <f t="shared" si="135"/>
        <v>0</v>
      </c>
      <c r="R136" s="494">
        <f t="shared" si="136"/>
        <v>0</v>
      </c>
      <c r="S136" s="494">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4">
        <f>SUMIF('D-1 Off Site Habitat Baseline'!$G$11:$G$258,'G-2 Habitat groups'!A136,'D-1 Off Site Habitat Baseline'!$Q$11:$Q$258)</f>
        <v>0</v>
      </c>
      <c r="U136" s="591">
        <f>SUMIF('D-1 Off Site Habitat Baseline'!$G$11:$G$258,'G-2 Habitat groups'!A136,'D-1 Off Site Habitat Baseline'!$S$11:$S$258)</f>
        <v>0</v>
      </c>
      <c r="V136" s="494">
        <f>SUMIF('D-1 Off Site Habitat Baseline'!$G$11:$G$258,'G-2 Habitat groups'!A136,'D-1 Off Site Habitat Baseline'!$U$11:$U$258)</f>
        <v>0</v>
      </c>
      <c r="W136" s="494">
        <f>SUMIF('D-2 Off Site Habitat Creation'!$F$9:$F$255,'G-2 Habitat groups'!A136,'D-2 Off Site Habitat Creation'!$G$9:$G$255)</f>
        <v>0</v>
      </c>
      <c r="X136" s="494">
        <f>SUMIF('D-2 Off Site Habitat Creation'!$F$9:$F$255,'G-2 Habitat groups'!A136,'D-2 Off Site Habitat Creation'!$AA$9:$AA$255)</f>
        <v>0</v>
      </c>
      <c r="Y136" s="494">
        <f>SUMIF('D-3 Off Site Habitat Enhancment'!$S$12:$S$491,'G-2 Habitat groups'!A136,'D-3 Off Site Habitat Enhancment'!$V$12:$V$491)</f>
        <v>0</v>
      </c>
      <c r="Z136" s="494">
        <f>SUMIF('D-3 Off Site Habitat Enhancment'!$S$12:$S$491,'G-2 Habitat groups'!A136,'D-3 Off Site Habitat Enhancment'!$AP$12:$AP$491)</f>
        <v>0</v>
      </c>
      <c r="AA136" s="494">
        <f t="shared" si="141"/>
        <v>0</v>
      </c>
      <c r="AB136" s="494">
        <f t="shared" si="142"/>
        <v>0</v>
      </c>
      <c r="AC136" s="494">
        <f t="shared" si="137"/>
        <v>0</v>
      </c>
      <c r="AD136" s="494">
        <f t="shared" si="138"/>
        <v>0</v>
      </c>
      <c r="AE136" s="494">
        <f t="shared" si="139"/>
        <v>0</v>
      </c>
      <c r="AF136" s="494">
        <f t="shared" si="140"/>
        <v>0</v>
      </c>
      <c r="AU136" s="104" t="s">
        <v>782</v>
      </c>
      <c r="AV136" s="88" t="s">
        <v>77</v>
      </c>
      <c r="AW136" s="494">
        <f t="shared" si="132"/>
        <v>0</v>
      </c>
      <c r="AX136" s="494">
        <f t="shared" si="125"/>
        <v>0</v>
      </c>
      <c r="AY136" s="494">
        <f t="shared" si="126"/>
        <v>0</v>
      </c>
      <c r="AZ136" s="494">
        <f t="shared" si="127"/>
        <v>0</v>
      </c>
      <c r="BA136" s="494">
        <f t="shared" si="128"/>
        <v>0</v>
      </c>
      <c r="BB136" s="494">
        <f t="shared" si="129"/>
        <v>0</v>
      </c>
      <c r="BC136" s="494">
        <f t="shared" si="130"/>
        <v>0</v>
      </c>
      <c r="BD136" s="494">
        <f t="shared" si="131"/>
        <v>0</v>
      </c>
      <c r="BE136" s="494">
        <f t="shared" si="123"/>
        <v>0</v>
      </c>
      <c r="BF136" s="494" t="str">
        <f t="shared" si="124"/>
        <v/>
      </c>
    </row>
    <row r="137" spans="1:58" x14ac:dyDescent="0.25">
      <c r="AU137" s="104" t="s">
        <v>785</v>
      </c>
      <c r="AV137" s="88" t="s">
        <v>77</v>
      </c>
      <c r="AW137" s="494">
        <f t="shared" si="132"/>
        <v>0</v>
      </c>
      <c r="AX137" s="494">
        <f t="shared" si="125"/>
        <v>0</v>
      </c>
      <c r="AY137" s="494">
        <f t="shared" si="126"/>
        <v>0</v>
      </c>
      <c r="AZ137" s="494">
        <f t="shared" si="127"/>
        <v>0</v>
      </c>
      <c r="BA137" s="494">
        <f t="shared" si="128"/>
        <v>0</v>
      </c>
      <c r="BB137" s="494">
        <f t="shared" si="129"/>
        <v>0</v>
      </c>
      <c r="BC137" s="494">
        <f t="shared" si="130"/>
        <v>0</v>
      </c>
      <c r="BD137" s="494">
        <f t="shared" si="131"/>
        <v>0</v>
      </c>
      <c r="BE137" s="494">
        <f t="shared" si="123"/>
        <v>0</v>
      </c>
      <c r="BF137" s="494" t="str">
        <f t="shared" si="124"/>
        <v/>
      </c>
    </row>
    <row r="138" spans="1:58" x14ac:dyDescent="0.25">
      <c r="AU138" s="104" t="s">
        <v>788</v>
      </c>
      <c r="AV138" s="88" t="s">
        <v>77</v>
      </c>
      <c r="AW138" s="494">
        <f t="shared" si="132"/>
        <v>0</v>
      </c>
      <c r="AX138" s="494">
        <f t="shared" si="125"/>
        <v>0</v>
      </c>
      <c r="AY138" s="494">
        <f t="shared" si="126"/>
        <v>0</v>
      </c>
      <c r="AZ138" s="494">
        <f t="shared" si="127"/>
        <v>0</v>
      </c>
      <c r="BA138" s="494">
        <f t="shared" si="128"/>
        <v>0</v>
      </c>
      <c r="BB138" s="494">
        <f t="shared" si="129"/>
        <v>0</v>
      </c>
      <c r="BC138" s="494">
        <f t="shared" si="130"/>
        <v>0</v>
      </c>
      <c r="BD138" s="494">
        <f t="shared" si="131"/>
        <v>0</v>
      </c>
      <c r="BE138" s="494">
        <f t="shared" si="123"/>
        <v>0</v>
      </c>
      <c r="BF138" s="494" t="str">
        <f t="shared" si="124"/>
        <v/>
      </c>
    </row>
    <row r="139" spans="1:58" x14ac:dyDescent="0.25">
      <c r="AU139" s="104" t="s">
        <v>791</v>
      </c>
      <c r="AV139" s="88" t="s">
        <v>77</v>
      </c>
      <c r="AW139" s="494">
        <f t="shared" si="132"/>
        <v>0</v>
      </c>
      <c r="AX139" s="494">
        <f t="shared" si="125"/>
        <v>0</v>
      </c>
      <c r="AY139" s="494">
        <f t="shared" si="126"/>
        <v>0</v>
      </c>
      <c r="AZ139" s="494">
        <f t="shared" si="127"/>
        <v>0</v>
      </c>
      <c r="BA139" s="494">
        <f t="shared" si="128"/>
        <v>0</v>
      </c>
      <c r="BB139" s="494">
        <f t="shared" si="129"/>
        <v>0</v>
      </c>
      <c r="BC139" s="494">
        <f t="shared" si="130"/>
        <v>0</v>
      </c>
      <c r="BD139" s="494">
        <f t="shared" si="131"/>
        <v>0</v>
      </c>
      <c r="BE139" s="494">
        <f t="shared" si="123"/>
        <v>0</v>
      </c>
      <c r="BF139" s="494" t="str">
        <f t="shared" si="124"/>
        <v/>
      </c>
    </row>
    <row r="140" spans="1:58" x14ac:dyDescent="0.25">
      <c r="AU140" s="104" t="s">
        <v>794</v>
      </c>
      <c r="AV140" s="88" t="s">
        <v>77</v>
      </c>
      <c r="AW140" s="494">
        <f t="shared" si="132"/>
        <v>0</v>
      </c>
      <c r="AX140" s="494">
        <f t="shared" si="125"/>
        <v>0</v>
      </c>
      <c r="AY140" s="494">
        <f t="shared" si="126"/>
        <v>0</v>
      </c>
      <c r="AZ140" s="494">
        <f t="shared" si="127"/>
        <v>0</v>
      </c>
      <c r="BA140" s="494">
        <f t="shared" si="128"/>
        <v>0</v>
      </c>
      <c r="BB140" s="494">
        <f t="shared" si="129"/>
        <v>0</v>
      </c>
      <c r="BC140" s="494">
        <f t="shared" si="130"/>
        <v>0</v>
      </c>
      <c r="BD140" s="494">
        <f t="shared" si="131"/>
        <v>0</v>
      </c>
      <c r="BE140" s="494">
        <f t="shared" si="123"/>
        <v>0</v>
      </c>
      <c r="BF140" s="494" t="str">
        <f t="shared" si="124"/>
        <v/>
      </c>
    </row>
    <row r="141" spans="1:58" ht="27.6" x14ac:dyDescent="0.45">
      <c r="A141" s="326" t="s">
        <v>96</v>
      </c>
      <c r="AU141" s="104" t="s">
        <v>797</v>
      </c>
      <c r="AV141" s="88" t="s">
        <v>77</v>
      </c>
      <c r="AW141" s="494">
        <f t="shared" si="132"/>
        <v>0</v>
      </c>
      <c r="AX141" s="494">
        <f t="shared" si="125"/>
        <v>0</v>
      </c>
      <c r="AY141" s="494">
        <f t="shared" si="126"/>
        <v>0</v>
      </c>
      <c r="AZ141" s="494">
        <f t="shared" si="127"/>
        <v>0</v>
      </c>
      <c r="BA141" s="494">
        <f t="shared" si="128"/>
        <v>0</v>
      </c>
      <c r="BB141" s="494">
        <f t="shared" si="129"/>
        <v>0</v>
      </c>
      <c r="BC141" s="494">
        <f t="shared" si="130"/>
        <v>0</v>
      </c>
      <c r="BD141" s="494">
        <f t="shared" si="131"/>
        <v>0</v>
      </c>
      <c r="BE141" s="494">
        <f t="shared" si="123"/>
        <v>0</v>
      </c>
      <c r="BF141" s="494" t="str">
        <f t="shared" si="124"/>
        <v/>
      </c>
    </row>
    <row r="142" spans="1:58" x14ac:dyDescent="0.25">
      <c r="AU142" s="104" t="s">
        <v>800</v>
      </c>
      <c r="AV142" s="88" t="s">
        <v>77</v>
      </c>
      <c r="AW142" s="494">
        <f t="shared" si="132"/>
        <v>0</v>
      </c>
      <c r="AX142" s="494">
        <f t="shared" si="125"/>
        <v>0</v>
      </c>
      <c r="AY142" s="494">
        <f t="shared" si="126"/>
        <v>0</v>
      </c>
      <c r="AZ142" s="494">
        <f t="shared" si="127"/>
        <v>0</v>
      </c>
      <c r="BA142" s="494">
        <f t="shared" si="128"/>
        <v>0</v>
      </c>
      <c r="BB142" s="494">
        <f t="shared" si="129"/>
        <v>0</v>
      </c>
      <c r="BC142" s="494">
        <f t="shared" si="130"/>
        <v>0</v>
      </c>
      <c r="BD142" s="494">
        <f t="shared" si="131"/>
        <v>0</v>
      </c>
      <c r="BE142" s="494">
        <f t="shared" si="123"/>
        <v>0</v>
      </c>
      <c r="BF142" s="494" t="str">
        <f t="shared" si="124"/>
        <v/>
      </c>
    </row>
    <row r="143" spans="1:58" x14ac:dyDescent="0.25">
      <c r="AU143" s="130" t="s">
        <v>809</v>
      </c>
      <c r="AV143" s="119" t="s">
        <v>869</v>
      </c>
      <c r="AW143" s="494">
        <f t="shared" si="132"/>
        <v>0</v>
      </c>
      <c r="AX143" s="494">
        <f t="shared" si="125"/>
        <v>0</v>
      </c>
      <c r="AY143" s="494">
        <f t="shared" si="126"/>
        <v>0</v>
      </c>
      <c r="AZ143" s="494">
        <f t="shared" si="127"/>
        <v>0</v>
      </c>
      <c r="BA143" s="494">
        <f t="shared" si="128"/>
        <v>0</v>
      </c>
      <c r="BB143" s="494">
        <f t="shared" si="129"/>
        <v>0</v>
      </c>
      <c r="BC143" s="494">
        <f t="shared" si="130"/>
        <v>0</v>
      </c>
      <c r="BD143" s="494">
        <f t="shared" si="131"/>
        <v>0</v>
      </c>
      <c r="BE143" s="494">
        <f t="shared" si="123"/>
        <v>0</v>
      </c>
      <c r="BF143" s="494" t="str">
        <f t="shared" si="124"/>
        <v/>
      </c>
    </row>
    <row r="144" spans="1:58" ht="22.8" x14ac:dyDescent="0.4">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4">
        <f t="shared" si="132"/>
        <v>0</v>
      </c>
      <c r="AX144" s="494">
        <f t="shared" si="125"/>
        <v>0</v>
      </c>
      <c r="AY144" s="494">
        <f t="shared" si="126"/>
        <v>0</v>
      </c>
      <c r="AZ144" s="494">
        <f t="shared" si="127"/>
        <v>0</v>
      </c>
      <c r="BA144" s="494">
        <f t="shared" si="128"/>
        <v>0</v>
      </c>
      <c r="BB144" s="494">
        <f t="shared" si="129"/>
        <v>0</v>
      </c>
      <c r="BC144" s="494">
        <f t="shared" si="130"/>
        <v>0</v>
      </c>
      <c r="BD144" s="494">
        <f t="shared" si="131"/>
        <v>0</v>
      </c>
      <c r="BE144" s="494">
        <f t="shared" si="123"/>
        <v>0</v>
      </c>
      <c r="BF144" s="494" t="str">
        <f t="shared" si="124"/>
        <v/>
      </c>
    </row>
    <row r="145" spans="1:59" ht="69"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7" t="s">
        <v>511</v>
      </c>
      <c r="AV145" s="328" t="s">
        <v>71</v>
      </c>
      <c r="AW145" s="592">
        <f t="shared" si="132"/>
        <v>0</v>
      </c>
      <c r="AX145" s="592">
        <f t="shared" si="125"/>
        <v>0</v>
      </c>
      <c r="AY145" s="592">
        <f t="shared" si="126"/>
        <v>0</v>
      </c>
      <c r="AZ145" s="592">
        <f t="shared" si="127"/>
        <v>0</v>
      </c>
      <c r="BA145" s="592">
        <f t="shared" si="128"/>
        <v>0</v>
      </c>
      <c r="BB145" s="592">
        <f t="shared" si="129"/>
        <v>0</v>
      </c>
      <c r="BC145" s="592">
        <f t="shared" si="130"/>
        <v>0</v>
      </c>
      <c r="BD145" s="592">
        <f t="shared" si="131"/>
        <v>0</v>
      </c>
      <c r="BE145" s="592">
        <f t="shared" si="123"/>
        <v>0</v>
      </c>
      <c r="BF145" s="592"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4">
        <f>SUMIF('B-1 Site Hedge Baseline'!$D$10:$D$257,'G-2 Habitat groups'!A146,'B-1 Site Hedge Baseline'!$E$10:$E$257)</f>
        <v>0</v>
      </c>
      <c r="F146" s="494">
        <f>SUMIF('B-1 Site Hedge Baseline'!$D$10:$D$257,'G-2 Habitat groups'!A146,'B-1 Site Hedge Baseline'!$N$10:$N$257)</f>
        <v>0</v>
      </c>
      <c r="G146" s="494">
        <f>SUMIF('B-1 Site Hedge Baseline'!$D$10:$D$257,'G-2 Habitat groups'!A146,'B-1 Site Hedge Baseline'!$P$10:$P$257)</f>
        <v>0</v>
      </c>
      <c r="H146" s="494">
        <f>SUMIF('B-1 Site Hedge Baseline'!$D$10:$D$257,'G-2 Habitat groups'!A146,'B-1 Site Hedge Baseline'!$R$10:$R$257)</f>
        <v>0</v>
      </c>
      <c r="I146" s="494">
        <f>SUMIF('B-1 Site Hedge Baseline'!$D$10:$D$257,'G-2 Habitat groups'!A146,'B-1 Site Hedge Baseline'!$T$10:$T$257)</f>
        <v>0</v>
      </c>
      <c r="J146" s="494">
        <f>SUMIF('B-1 Site Hedge Baseline'!$D$10:$D$257,'G-2 Habitat groups'!A146,'B-1 Site Hedge Baseline'!$U$10:$U$257)</f>
        <v>0</v>
      </c>
      <c r="K146" s="494">
        <f>SUMIF('B-2 Site Hedge Creation'!$D$12:$D$259,'G-2 Habitat groups'!A146,'B-2 Site Hedge Creation'!$E$12:$E$259)</f>
        <v>0</v>
      </c>
      <c r="L146" s="494">
        <f>SUMIF('B-2 Site Hedge Creation'!$D$12:$D$259,'G-2 Habitat groups'!A146,'B-2 Site Hedge Creation'!$W$12:$W$259)</f>
        <v>0</v>
      </c>
      <c r="M146" s="494">
        <f>SUMIF('B-3 Site Hedge Enhancement'!$M$12:$M$257,'G-2 Habitat groups'!A146,'B-3 Site Hedge Enhancement'!$P$12:$P$257)</f>
        <v>0</v>
      </c>
      <c r="N146" s="494">
        <f>SUMIF('B-3 Site Hedge Enhancement'!$M$12:$M$257,'G-2 Habitat groups'!A146,'B-3 Site Hedge Enhancement'!$AH$12:$AH$257)</f>
        <v>0</v>
      </c>
      <c r="O146" s="494">
        <f t="shared" ref="O146:O158" si="143">G146+K146+M146</f>
        <v>0</v>
      </c>
      <c r="P146" s="494">
        <f t="shared" ref="P146:P158" si="144">H146+L146+N146</f>
        <v>0</v>
      </c>
      <c r="Q146" s="494">
        <f t="shared" ref="Q146:Q158" si="145">O146-E146</f>
        <v>0</v>
      </c>
      <c r="R146" s="494">
        <f t="shared" ref="R146:R158" si="146">P146-F146</f>
        <v>0</v>
      </c>
      <c r="S146" s="494">
        <f>SUMIF('E-1 Off Site Hedge Baseline'!$D$10:$D$257,'G-2 Habitat groups'!A146,'E-1 Off Site Hedge Baseline'!$E$10:$E$257)</f>
        <v>0</v>
      </c>
      <c r="T146" s="494">
        <f>SUMIF('E-1 Off Site Hedge Baseline'!$D$10:$D$257,'G-2 Habitat groups'!A146,'E-1 Off Site Hedge Baseline'!$N$10:$N$257)</f>
        <v>0</v>
      </c>
      <c r="U146" s="494">
        <f>SUMIF('E-1 Off Site Hedge Baseline'!$D$10:$D$257,'G-2 Habitat groups'!A146,'E-1 Off Site Hedge Baseline'!$P$10:$P$257)</f>
        <v>0</v>
      </c>
      <c r="V146" s="494">
        <f>SUMIF('E-1 Off Site Hedge Baseline'!$D$10:$D$257,'G-2 Habitat groups'!A146,'E-1 Off Site Hedge Baseline'!$R$10:$R$257)</f>
        <v>0</v>
      </c>
      <c r="W146" s="494">
        <f>SUMIF('E-2 Off Site Hedge Creation'!$D$12:$D$259,'G-2 Habitat groups'!A146,'E-2 Off Site Hedge Creation'!$R$12:$R$259)</f>
        <v>0</v>
      </c>
      <c r="X146" s="494">
        <f>SUMIF('E-2 Off Site Hedge Creation'!$D$12:$D$259,'G-2 Habitat groups'!A146,'E-2 Off Site Hedge Creation'!$Y$12:$Y$259)</f>
        <v>0</v>
      </c>
      <c r="Y146" s="494">
        <f>SUMIF('E-3 Off Site Hedge Enhancement'!$M$12:$M$259,'G-2 Habitat groups'!A146,'E-3 Off Site Hedge Enhancement'!$P$12:$P$259)</f>
        <v>0</v>
      </c>
      <c r="Z146" s="494">
        <f>SUMIF('E-3 Off Site Hedge Enhancement'!$M$12:$M$259,'G-2 Habitat groups'!A146,'E-3 Off Site Hedge Enhancement'!$AJ$12:$AJ$259)</f>
        <v>0</v>
      </c>
      <c r="AA146" s="494">
        <f>U146+W146+Y146</f>
        <v>0</v>
      </c>
      <c r="AB146" s="494">
        <f>V146+X146+Z146</f>
        <v>0</v>
      </c>
      <c r="AC146" s="494">
        <f t="shared" ref="AC146:AC158" si="147">AA146-S146</f>
        <v>0</v>
      </c>
      <c r="AD146" s="494">
        <f t="shared" ref="AD146:AD158" si="148">AB146-T146</f>
        <v>0</v>
      </c>
      <c r="AE146" s="494">
        <f t="shared" ref="AE146:AE158" si="149">Q146+AC146</f>
        <v>0</v>
      </c>
      <c r="AF146" s="494">
        <f t="shared" ref="AF146:AF158" si="150">R146+AD146</f>
        <v>0</v>
      </c>
      <c r="AU146" s="327" t="s">
        <v>592</v>
      </c>
      <c r="AV146" s="328" t="s">
        <v>74</v>
      </c>
      <c r="AW146" s="592">
        <f t="shared" si="132"/>
        <v>0</v>
      </c>
      <c r="AX146" s="592">
        <f t="shared" si="125"/>
        <v>0</v>
      </c>
      <c r="AY146" s="592">
        <f t="shared" si="126"/>
        <v>0</v>
      </c>
      <c r="AZ146" s="592">
        <f t="shared" si="127"/>
        <v>0</v>
      </c>
      <c r="BA146" s="592">
        <f t="shared" si="128"/>
        <v>0</v>
      </c>
      <c r="BB146" s="592">
        <f t="shared" si="129"/>
        <v>0</v>
      </c>
      <c r="BC146" s="592">
        <f t="shared" si="130"/>
        <v>0</v>
      </c>
      <c r="BD146" s="592">
        <f t="shared" si="131"/>
        <v>0</v>
      </c>
      <c r="BE146" s="592">
        <f t="shared" si="123"/>
        <v>0</v>
      </c>
      <c r="BF146" s="592"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4">
        <f>SUMIF('B-1 Site Hedge Baseline'!$D$10:$D$257,'G-2 Habitat groups'!A147,'B-1 Site Hedge Baseline'!$E$10:$E$257)</f>
        <v>0</v>
      </c>
      <c r="F147" s="494">
        <f>SUMIF('B-1 Site Hedge Baseline'!$D$10:$D$257,'G-2 Habitat groups'!A147,'B-1 Site Hedge Baseline'!$N$10:$N$257)</f>
        <v>0</v>
      </c>
      <c r="G147" s="494">
        <f>SUMIF('B-1 Site Hedge Baseline'!$D$10:$D$257,'G-2 Habitat groups'!A147,'B-1 Site Hedge Baseline'!$P$10:$P$257)</f>
        <v>0</v>
      </c>
      <c r="H147" s="494">
        <f>SUMIF('B-1 Site Hedge Baseline'!$D$10:$D$257,'G-2 Habitat groups'!A147,'B-1 Site Hedge Baseline'!$R$10:$R$257)</f>
        <v>0</v>
      </c>
      <c r="I147" s="494">
        <f>SUMIF('B-1 Site Hedge Baseline'!$D$10:$D$257,'G-2 Habitat groups'!A147,'B-1 Site Hedge Baseline'!$T$10:$T$257)</f>
        <v>0</v>
      </c>
      <c r="J147" s="494">
        <f>SUMIF('A-1 Site Habitat Baseline'!$G$11:$G$258,'G-2 Habitat groups'!A147,'A-1 Site Habitat Baseline'!$X$11:$X$258)</f>
        <v>0</v>
      </c>
      <c r="K147" s="494">
        <f>SUMIF('B-2 Site Hedge Creation'!$D$12:$D$259,'G-2 Habitat groups'!A147,'B-2 Site Hedge Creation'!$E$12:$E$259)</f>
        <v>0</v>
      </c>
      <c r="L147" s="494">
        <f>SUMIF('B-2 Site Hedge Creation'!$D$12:$D$259,'G-2 Habitat groups'!A147,'B-2 Site Hedge Creation'!$W$12:$W$259)</f>
        <v>0</v>
      </c>
      <c r="M147" s="494">
        <f>SUMIF('B-3 Site Hedge Enhancement'!$M$12:$M$257,'G-2 Habitat groups'!A147,'B-3 Site Hedge Enhancement'!$P$12:$P$257)</f>
        <v>0</v>
      </c>
      <c r="N147" s="494">
        <f>SUMIF('B-3 Site Hedge Enhancement'!$M$12:$M$257,'G-2 Habitat groups'!A147,'B-3 Site Hedge Enhancement'!$AH$12:$AH$257)</f>
        <v>0</v>
      </c>
      <c r="O147" s="494">
        <f t="shared" si="143"/>
        <v>0</v>
      </c>
      <c r="P147" s="494">
        <f t="shared" si="144"/>
        <v>0</v>
      </c>
      <c r="Q147" s="494">
        <f t="shared" si="145"/>
        <v>0</v>
      </c>
      <c r="R147" s="494">
        <f t="shared" si="146"/>
        <v>0</v>
      </c>
      <c r="S147" s="494">
        <f>SUMIF('E-1 Off Site Hedge Baseline'!$D$10:$D$257,'G-2 Habitat groups'!A147,'E-1 Off Site Hedge Baseline'!$E$10:$E$257)</f>
        <v>0</v>
      </c>
      <c r="T147" s="494">
        <f>SUMIF('E-1 Off Site Hedge Baseline'!$D$10:$D$257,'G-2 Habitat groups'!A147,'E-1 Off Site Hedge Baseline'!$N$10:$N$257)</f>
        <v>0</v>
      </c>
      <c r="U147" s="494">
        <f>SUMIF('E-1 Off Site Hedge Baseline'!$D$10:$D$257,'G-2 Habitat groups'!A147,'E-1 Off Site Hedge Baseline'!$P$10:$P$257)</f>
        <v>0</v>
      </c>
      <c r="V147" s="494">
        <f>SUMIF('E-1 Off Site Hedge Baseline'!$D$10:$D$257,'G-2 Habitat groups'!A147,'E-1 Off Site Hedge Baseline'!$R$10:$R$257)</f>
        <v>0</v>
      </c>
      <c r="W147" s="494">
        <f>SUMIF('E-2 Off Site Hedge Creation'!$D$12:$D$259,'G-2 Habitat groups'!A147,'E-2 Off Site Hedge Creation'!$R$12:$R$259)</f>
        <v>0</v>
      </c>
      <c r="X147" s="494">
        <f>SUMIF('E-2 Off Site Hedge Creation'!$D$12:$D$259,'G-2 Habitat groups'!A147,'E-2 Off Site Hedge Creation'!$Y$12:$Y$259)</f>
        <v>0</v>
      </c>
      <c r="Y147" s="494">
        <f>SUMIF('E-3 Off Site Hedge Enhancement'!$M$12:$M$259,'G-2 Habitat groups'!A147,'E-3 Off Site Hedge Enhancement'!$P$12:$P$259)</f>
        <v>0</v>
      </c>
      <c r="Z147" s="494">
        <f>SUMIF('E-3 Off Site Hedge Enhancement'!$M$12:$M$259,'G-2 Habitat groups'!A147,'E-3 Off Site Hedge Enhancement'!$AJ$12:$AJ$259)</f>
        <v>0</v>
      </c>
      <c r="AA147" s="494">
        <f t="shared" ref="AA147:AA158" si="151">U147+W147+Y147</f>
        <v>0</v>
      </c>
      <c r="AB147" s="494">
        <f t="shared" ref="AB147:AB158" si="152">V147+X147+Z147</f>
        <v>0</v>
      </c>
      <c r="AC147" s="494">
        <f t="shared" si="147"/>
        <v>0</v>
      </c>
      <c r="AD147" s="494">
        <f t="shared" si="148"/>
        <v>0</v>
      </c>
      <c r="AE147" s="494">
        <f t="shared" si="149"/>
        <v>0</v>
      </c>
      <c r="AF147" s="494">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4">
        <f>SUMIF('B-1 Site Hedge Baseline'!$D$10:$D$257,'G-2 Habitat groups'!A148,'B-1 Site Hedge Baseline'!$E$10:$E$257)</f>
        <v>0</v>
      </c>
      <c r="F148" s="494">
        <f>SUMIF('B-1 Site Hedge Baseline'!$D$10:$D$257,'G-2 Habitat groups'!A148,'B-1 Site Hedge Baseline'!$N$10:$N$257)</f>
        <v>0</v>
      </c>
      <c r="G148" s="494">
        <f>SUMIF('B-1 Site Hedge Baseline'!$D$10:$D$257,'G-2 Habitat groups'!A148,'B-1 Site Hedge Baseline'!$P$10:$P$257)</f>
        <v>0</v>
      </c>
      <c r="H148" s="494">
        <f>SUMIF('B-1 Site Hedge Baseline'!$D$10:$D$257,'G-2 Habitat groups'!A148,'B-1 Site Hedge Baseline'!$R$10:$R$257)</f>
        <v>0</v>
      </c>
      <c r="I148" s="494">
        <f>SUMIF('B-1 Site Hedge Baseline'!$D$10:$D$257,'G-2 Habitat groups'!A148,'B-1 Site Hedge Baseline'!$T$10:$T$257)</f>
        <v>0</v>
      </c>
      <c r="J148" s="494">
        <f>SUMIF('A-1 Site Habitat Baseline'!$G$11:$G$258,'G-2 Habitat groups'!A148,'A-1 Site Habitat Baseline'!$X$11:$X$258)</f>
        <v>0</v>
      </c>
      <c r="K148" s="494">
        <f>SUMIF('B-2 Site Hedge Creation'!$D$12:$D$259,'G-2 Habitat groups'!A148,'B-2 Site Hedge Creation'!$E$12:$E$259)</f>
        <v>0</v>
      </c>
      <c r="L148" s="494">
        <f>SUMIF('B-2 Site Hedge Creation'!$D$12:$D$259,'G-2 Habitat groups'!A148,'B-2 Site Hedge Creation'!$W$12:$W$259)</f>
        <v>0</v>
      </c>
      <c r="M148" s="494">
        <f>SUMIF('B-3 Site Hedge Enhancement'!$M$12:$M$257,'G-2 Habitat groups'!A148,'B-3 Site Hedge Enhancement'!$P$12:$P$257)</f>
        <v>0</v>
      </c>
      <c r="N148" s="494">
        <f>SUMIF('B-3 Site Hedge Enhancement'!$M$12:$M$257,'G-2 Habitat groups'!A148,'B-3 Site Hedge Enhancement'!$AH$12:$AH$257)</f>
        <v>0</v>
      </c>
      <c r="O148" s="494">
        <f t="shared" si="143"/>
        <v>0</v>
      </c>
      <c r="P148" s="494">
        <f t="shared" si="144"/>
        <v>0</v>
      </c>
      <c r="Q148" s="494">
        <f t="shared" si="145"/>
        <v>0</v>
      </c>
      <c r="R148" s="494">
        <f t="shared" si="146"/>
        <v>0</v>
      </c>
      <c r="S148" s="494">
        <f>SUMIF('E-1 Off Site Hedge Baseline'!$D$10:$D$257,'G-2 Habitat groups'!A148,'E-1 Off Site Hedge Baseline'!$E$10:$E$257)</f>
        <v>0</v>
      </c>
      <c r="T148" s="494">
        <f>SUMIF('E-1 Off Site Hedge Baseline'!$D$10:$D$257,'G-2 Habitat groups'!A148,'E-1 Off Site Hedge Baseline'!$N$10:$N$257)</f>
        <v>0</v>
      </c>
      <c r="U148" s="494">
        <f>SUMIF('E-1 Off Site Hedge Baseline'!$D$10:$D$257,'G-2 Habitat groups'!A148,'E-1 Off Site Hedge Baseline'!$P$10:$P$257)</f>
        <v>0</v>
      </c>
      <c r="V148" s="494">
        <f>SUMIF('E-1 Off Site Hedge Baseline'!$D$10:$D$257,'G-2 Habitat groups'!A148,'E-1 Off Site Hedge Baseline'!$R$10:$R$257)</f>
        <v>0</v>
      </c>
      <c r="W148" s="494">
        <f>SUMIF('E-2 Off Site Hedge Creation'!$D$12:$D$259,'G-2 Habitat groups'!A148,'E-2 Off Site Hedge Creation'!$R$12:$R$259)</f>
        <v>0</v>
      </c>
      <c r="X148" s="494">
        <f>SUMIF('E-2 Off Site Hedge Creation'!$D$12:$D$259,'G-2 Habitat groups'!A148,'E-2 Off Site Hedge Creation'!$Y$12:$Y$259)</f>
        <v>0</v>
      </c>
      <c r="Y148" s="494">
        <f>SUMIF('E-3 Off Site Hedge Enhancement'!$M$12:$M$259,'G-2 Habitat groups'!A148,'E-3 Off Site Hedge Enhancement'!$P$12:$P$259)</f>
        <v>0</v>
      </c>
      <c r="Z148" s="494">
        <f>SUMIF('E-3 Off Site Hedge Enhancement'!$M$12:$M$259,'G-2 Habitat groups'!A148,'E-3 Off Site Hedge Enhancement'!$AJ$12:$AJ$259)</f>
        <v>0</v>
      </c>
      <c r="AA148" s="494">
        <f t="shared" si="151"/>
        <v>0</v>
      </c>
      <c r="AB148" s="494">
        <f t="shared" si="152"/>
        <v>0</v>
      </c>
      <c r="AC148" s="494">
        <f t="shared" si="147"/>
        <v>0</v>
      </c>
      <c r="AD148" s="494">
        <f t="shared" si="148"/>
        <v>0</v>
      </c>
      <c r="AE148" s="494">
        <f t="shared" si="149"/>
        <v>0</v>
      </c>
      <c r="AF148" s="494">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4">
        <f>SUMIF('B-1 Site Hedge Baseline'!$D$10:$D$257,'G-2 Habitat groups'!A149,'B-1 Site Hedge Baseline'!$E$10:$E$257)</f>
        <v>0</v>
      </c>
      <c r="F149" s="494">
        <f>SUMIF('B-1 Site Hedge Baseline'!$D$10:$D$257,'G-2 Habitat groups'!A149,'B-1 Site Hedge Baseline'!$N$10:$N$257)</f>
        <v>0</v>
      </c>
      <c r="G149" s="494">
        <f>SUMIF('B-1 Site Hedge Baseline'!$D$10:$D$257,'G-2 Habitat groups'!A149,'B-1 Site Hedge Baseline'!$P$10:$P$257)</f>
        <v>0</v>
      </c>
      <c r="H149" s="494">
        <f>SUMIF('B-1 Site Hedge Baseline'!$D$10:$D$257,'G-2 Habitat groups'!A149,'B-1 Site Hedge Baseline'!$R$10:$R$257)</f>
        <v>0</v>
      </c>
      <c r="I149" s="494">
        <f>SUMIF('B-1 Site Hedge Baseline'!$D$10:$D$257,'G-2 Habitat groups'!A149,'B-1 Site Hedge Baseline'!$T$10:$T$257)</f>
        <v>0</v>
      </c>
      <c r="J149" s="494">
        <f>SUMIF('A-1 Site Habitat Baseline'!$G$11:$G$258,'G-2 Habitat groups'!A149,'A-1 Site Habitat Baseline'!$X$11:$X$258)</f>
        <v>0</v>
      </c>
      <c r="K149" s="494">
        <f>SUMIF('B-2 Site Hedge Creation'!$D$12:$D$259,'G-2 Habitat groups'!A149,'B-2 Site Hedge Creation'!$E$12:$E$259)</f>
        <v>0</v>
      </c>
      <c r="L149" s="494">
        <f>SUMIF('B-2 Site Hedge Creation'!$D$12:$D$259,'G-2 Habitat groups'!A149,'B-2 Site Hedge Creation'!$W$12:$W$259)</f>
        <v>0</v>
      </c>
      <c r="M149" s="494">
        <f>SUMIF('B-3 Site Hedge Enhancement'!$M$12:$M$257,'G-2 Habitat groups'!A149,'B-3 Site Hedge Enhancement'!$P$12:$P$257)</f>
        <v>0</v>
      </c>
      <c r="N149" s="494">
        <f>SUMIF('B-3 Site Hedge Enhancement'!$M$12:$M$257,'G-2 Habitat groups'!A149,'B-3 Site Hedge Enhancement'!$AH$12:$AH$257)</f>
        <v>0</v>
      </c>
      <c r="O149" s="494">
        <f t="shared" si="143"/>
        <v>0</v>
      </c>
      <c r="P149" s="494">
        <f t="shared" si="144"/>
        <v>0</v>
      </c>
      <c r="Q149" s="494">
        <f t="shared" si="145"/>
        <v>0</v>
      </c>
      <c r="R149" s="494">
        <f t="shared" si="146"/>
        <v>0</v>
      </c>
      <c r="S149" s="494">
        <f>SUMIF('E-1 Off Site Hedge Baseline'!$D$10:$D$257,'G-2 Habitat groups'!A149,'E-1 Off Site Hedge Baseline'!$E$10:$E$257)</f>
        <v>0</v>
      </c>
      <c r="T149" s="494">
        <f>SUMIF('E-1 Off Site Hedge Baseline'!$D$10:$D$257,'G-2 Habitat groups'!A149,'E-1 Off Site Hedge Baseline'!$N$10:$N$257)</f>
        <v>0</v>
      </c>
      <c r="U149" s="494">
        <f>SUMIF('E-1 Off Site Hedge Baseline'!$D$10:$D$257,'G-2 Habitat groups'!A149,'E-1 Off Site Hedge Baseline'!$P$10:$P$257)</f>
        <v>0</v>
      </c>
      <c r="V149" s="494">
        <f>SUMIF('E-1 Off Site Hedge Baseline'!$D$10:$D$257,'G-2 Habitat groups'!A149,'E-1 Off Site Hedge Baseline'!$R$10:$R$257)</f>
        <v>0</v>
      </c>
      <c r="W149" s="494">
        <f>SUMIF('E-2 Off Site Hedge Creation'!$D$12:$D$259,'G-2 Habitat groups'!A149,'E-2 Off Site Hedge Creation'!$R$12:$R$259)</f>
        <v>0</v>
      </c>
      <c r="X149" s="494">
        <f>SUMIF('E-2 Off Site Hedge Creation'!$D$12:$D$259,'G-2 Habitat groups'!A149,'E-2 Off Site Hedge Creation'!$Y$12:$Y$259)</f>
        <v>0</v>
      </c>
      <c r="Y149" s="494">
        <f>SUMIF('E-3 Off Site Hedge Enhancement'!$M$12:$M$259,'G-2 Habitat groups'!A149,'E-3 Off Site Hedge Enhancement'!$P$12:$P$259)</f>
        <v>0</v>
      </c>
      <c r="Z149" s="494">
        <f>SUMIF('E-3 Off Site Hedge Enhancement'!$M$12:$M$259,'G-2 Habitat groups'!A149,'E-3 Off Site Hedge Enhancement'!$AJ$12:$AJ$259)</f>
        <v>0</v>
      </c>
      <c r="AA149" s="494">
        <f t="shared" si="151"/>
        <v>0</v>
      </c>
      <c r="AB149" s="494">
        <f t="shared" si="152"/>
        <v>0</v>
      </c>
      <c r="AC149" s="494">
        <f t="shared" si="147"/>
        <v>0</v>
      </c>
      <c r="AD149" s="494">
        <f t="shared" si="148"/>
        <v>0</v>
      </c>
      <c r="AE149" s="494">
        <f t="shared" si="149"/>
        <v>0</v>
      </c>
      <c r="AF149" s="494">
        <f t="shared" si="150"/>
        <v>0</v>
      </c>
    </row>
    <row r="150" spans="1:59" ht="35.4" x14ac:dyDescent="0.6">
      <c r="A150" s="327" t="str">
        <f>'G-6 Hedgerow Data'!B7</f>
        <v>Native Species Rich Hedgerow</v>
      </c>
      <c r="B150" s="328" t="s">
        <v>894</v>
      </c>
      <c r="C150" s="328" t="str">
        <f>'G-6 Hedgerow Data'!C7</f>
        <v>Medium</v>
      </c>
      <c r="D150" s="328" t="str">
        <f>'G-6 Hedgerow Data'!AH7</f>
        <v>Like for like or better</v>
      </c>
      <c r="E150" s="592">
        <f>SUMIF('B-1 Site Hedge Baseline'!$D$10:$D$257,'G-2 Habitat groups'!A150,'B-1 Site Hedge Baseline'!$E$10:$E$257)</f>
        <v>0</v>
      </c>
      <c r="F150" s="592">
        <f>SUMIF('B-1 Site Hedge Baseline'!$D$10:$D$257,'G-2 Habitat groups'!A150,'B-1 Site Hedge Baseline'!$N$10:$N$257)</f>
        <v>0</v>
      </c>
      <c r="G150" s="592">
        <f>SUMIF('B-1 Site Hedge Baseline'!$D$10:$D$257,'G-2 Habitat groups'!A150,'B-1 Site Hedge Baseline'!$P$10:$P$257)</f>
        <v>0</v>
      </c>
      <c r="H150" s="592">
        <f>SUMIF('B-1 Site Hedge Baseline'!$D$10:$D$257,'G-2 Habitat groups'!A150,'B-1 Site Hedge Baseline'!$R$10:$R$257)</f>
        <v>0</v>
      </c>
      <c r="I150" s="592">
        <f>SUMIF('B-1 Site Hedge Baseline'!$D$10:$D$257,'G-2 Habitat groups'!A150,'B-1 Site Hedge Baseline'!$T$10:$T$257)</f>
        <v>0</v>
      </c>
      <c r="J150" s="592">
        <f>SUMIF('A-1 Site Habitat Baseline'!$G$11:$G$258,'G-2 Habitat groups'!A150,'A-1 Site Habitat Baseline'!$X$11:$X$258)</f>
        <v>0</v>
      </c>
      <c r="K150" s="592">
        <f>SUMIF('B-2 Site Hedge Creation'!$D$12:$D$259,'G-2 Habitat groups'!A150,'B-2 Site Hedge Creation'!$E$12:$E$259)</f>
        <v>0.11899999999999999</v>
      </c>
      <c r="L150" s="592">
        <f>SUMIF('B-2 Site Hedge Creation'!$D$12:$D$259,'G-2 Habitat groups'!A150,'B-2 Site Hedge Creation'!$W$12:$W$259)</f>
        <v>0.91616006141687989</v>
      </c>
      <c r="M150" s="592">
        <f>SUMIF('B-3 Site Hedge Enhancement'!$M$12:$M$257,'G-2 Habitat groups'!A150,'B-3 Site Hedge Enhancement'!$P$12:$P$257)</f>
        <v>0</v>
      </c>
      <c r="N150" s="592">
        <f>SUMIF('B-3 Site Hedge Enhancement'!$M$12:$M$257,'G-2 Habitat groups'!A150,'B-3 Site Hedge Enhancement'!$AH$12:$AH$257)</f>
        <v>0</v>
      </c>
      <c r="O150" s="592">
        <f t="shared" si="143"/>
        <v>0.11899999999999999</v>
      </c>
      <c r="P150" s="592">
        <f t="shared" si="144"/>
        <v>0.91616006141687989</v>
      </c>
      <c r="Q150" s="592">
        <f t="shared" si="145"/>
        <v>0.11899999999999999</v>
      </c>
      <c r="R150" s="592">
        <f t="shared" si="146"/>
        <v>0.91616006141687989</v>
      </c>
      <c r="S150" s="592">
        <f>SUMIF('E-1 Off Site Hedge Baseline'!$D$10:$D$257,'G-2 Habitat groups'!A150,'E-1 Off Site Hedge Baseline'!$E$10:$E$257)</f>
        <v>0</v>
      </c>
      <c r="T150" s="494">
        <f>SUMIF('E-1 Off Site Hedge Baseline'!$D$10:$D$257,'G-2 Habitat groups'!A150,'E-1 Off Site Hedge Baseline'!$N$10:$N$257)</f>
        <v>0</v>
      </c>
      <c r="U150" s="494">
        <f>SUMIF('E-1 Off Site Hedge Baseline'!$D$10:$D$257,'G-2 Habitat groups'!A150,'E-1 Off Site Hedge Baseline'!$P$10:$P$257)</f>
        <v>0</v>
      </c>
      <c r="V150" s="494">
        <f>SUMIF('E-1 Off Site Hedge Baseline'!$D$10:$D$257,'G-2 Habitat groups'!A150,'E-1 Off Site Hedge Baseline'!$R$10:$R$257)</f>
        <v>0</v>
      </c>
      <c r="W150" s="494">
        <f>SUMIF('E-2 Off Site Hedge Creation'!$D$12:$D$259,'G-2 Habitat groups'!A150,'E-2 Off Site Hedge Creation'!$R$12:$R$259)</f>
        <v>0</v>
      </c>
      <c r="X150" s="494">
        <f>SUMIF('E-2 Off Site Hedge Creation'!$D$12:$D$259,'G-2 Habitat groups'!A150,'E-2 Off Site Hedge Creation'!$Y$12:$Y$259)</f>
        <v>0</v>
      </c>
      <c r="Y150" s="494">
        <f>SUMIF('E-3 Off Site Hedge Enhancement'!$M$12:$M$259,'G-2 Habitat groups'!A150,'E-3 Off Site Hedge Enhancement'!$P$12:$P$259)</f>
        <v>0</v>
      </c>
      <c r="Z150" s="494">
        <f>SUMIF('E-3 Off Site Hedge Enhancement'!$M$12:$M$259,'G-2 Habitat groups'!A150,'E-3 Off Site Hedge Enhancement'!$AJ$12:$AJ$259)</f>
        <v>0</v>
      </c>
      <c r="AA150" s="592">
        <f t="shared" si="151"/>
        <v>0</v>
      </c>
      <c r="AB150" s="592">
        <f t="shared" si="152"/>
        <v>0</v>
      </c>
      <c r="AC150" s="592">
        <f t="shared" si="147"/>
        <v>0</v>
      </c>
      <c r="AD150" s="592">
        <f t="shared" si="148"/>
        <v>0</v>
      </c>
      <c r="AE150" s="592">
        <f t="shared" si="149"/>
        <v>0.11899999999999999</v>
      </c>
      <c r="AF150" s="592">
        <f t="shared" si="150"/>
        <v>0.91616006141687989</v>
      </c>
      <c r="AU150" s="360" t="s">
        <v>895</v>
      </c>
      <c r="AV150" s="99"/>
      <c r="AW150" s="99"/>
      <c r="AX150" s="99"/>
      <c r="AY150" s="99"/>
      <c r="AZ150" s="99"/>
      <c r="BA150" s="99"/>
      <c r="BB150" s="99"/>
      <c r="BC150" s="99"/>
      <c r="BD150" s="99"/>
      <c r="BE150" s="99"/>
      <c r="BF150" s="99"/>
      <c r="BG150" s="121"/>
    </row>
    <row r="151" spans="1:59" ht="31.2" x14ac:dyDescent="0.3">
      <c r="A151" s="327" t="str">
        <f>'G-6 Hedgerow Data'!B8</f>
        <v>Native Hedgerow - Associated with bank or ditch</v>
      </c>
      <c r="B151" s="328" t="s">
        <v>894</v>
      </c>
      <c r="C151" s="328" t="str">
        <f>'G-6 Hedgerow Data'!C8</f>
        <v>Medium</v>
      </c>
      <c r="D151" s="328" t="str">
        <f>'G-6 Hedgerow Data'!AH8</f>
        <v>Like for like or better</v>
      </c>
      <c r="E151" s="592">
        <f>SUMIF('B-1 Site Hedge Baseline'!$D$10:$D$257,'G-2 Habitat groups'!A151,'B-1 Site Hedge Baseline'!$E$10:$E$257)</f>
        <v>0</v>
      </c>
      <c r="F151" s="592">
        <f>SUMIF('B-1 Site Hedge Baseline'!$D$10:$D$257,'G-2 Habitat groups'!A151,'B-1 Site Hedge Baseline'!$N$10:$N$257)</f>
        <v>0</v>
      </c>
      <c r="G151" s="592">
        <f>SUMIF('B-1 Site Hedge Baseline'!$D$10:$D$257,'G-2 Habitat groups'!A151,'B-1 Site Hedge Baseline'!$P$10:$P$257)</f>
        <v>0</v>
      </c>
      <c r="H151" s="592">
        <f>SUMIF('B-1 Site Hedge Baseline'!$D$10:$D$257,'G-2 Habitat groups'!A151,'B-1 Site Hedge Baseline'!$R$10:$R$257)</f>
        <v>0</v>
      </c>
      <c r="I151" s="592">
        <f>SUMIF('B-1 Site Hedge Baseline'!$D$10:$D$257,'G-2 Habitat groups'!A151,'B-1 Site Hedge Baseline'!$T$10:$T$257)</f>
        <v>0</v>
      </c>
      <c r="J151" s="592">
        <f>SUMIF('A-1 Site Habitat Baseline'!$G$11:$G$258,'G-2 Habitat groups'!A151,'A-1 Site Habitat Baseline'!$X$11:$X$258)</f>
        <v>0</v>
      </c>
      <c r="K151" s="592">
        <f>SUMIF('B-2 Site Hedge Creation'!$D$12:$D$259,'G-2 Habitat groups'!A151,'B-2 Site Hedge Creation'!$E$12:$E$259)</f>
        <v>0</v>
      </c>
      <c r="L151" s="592">
        <f>SUMIF('B-2 Site Hedge Creation'!$D$12:$D$259,'G-2 Habitat groups'!A151,'B-2 Site Hedge Creation'!$W$12:$W$259)</f>
        <v>0</v>
      </c>
      <c r="M151" s="592">
        <f>SUMIF('B-3 Site Hedge Enhancement'!$M$12:$M$257,'G-2 Habitat groups'!A151,'B-3 Site Hedge Enhancement'!$P$12:$P$257)</f>
        <v>0</v>
      </c>
      <c r="N151" s="592">
        <f>SUMIF('B-3 Site Hedge Enhancement'!$M$12:$M$257,'G-2 Habitat groups'!A151,'B-3 Site Hedge Enhancement'!$AH$12:$AH$257)</f>
        <v>0</v>
      </c>
      <c r="O151" s="592">
        <f t="shared" si="143"/>
        <v>0</v>
      </c>
      <c r="P151" s="592">
        <f t="shared" si="144"/>
        <v>0</v>
      </c>
      <c r="Q151" s="592">
        <f t="shared" si="145"/>
        <v>0</v>
      </c>
      <c r="R151" s="592">
        <f t="shared" si="146"/>
        <v>0</v>
      </c>
      <c r="S151" s="592">
        <f>SUMIF('E-1 Off Site Hedge Baseline'!$D$10:$D$257,'G-2 Habitat groups'!A151,'E-1 Off Site Hedge Baseline'!$E$10:$E$257)</f>
        <v>0</v>
      </c>
      <c r="T151" s="494">
        <f>SUMIF('E-1 Off Site Hedge Baseline'!$D$10:$D$257,'G-2 Habitat groups'!A151,'E-1 Off Site Hedge Baseline'!$N$10:$N$257)</f>
        <v>0</v>
      </c>
      <c r="U151" s="494">
        <f>SUMIF('E-1 Off Site Hedge Baseline'!$D$10:$D$257,'G-2 Habitat groups'!A151,'E-1 Off Site Hedge Baseline'!$P$10:$P$257)</f>
        <v>0</v>
      </c>
      <c r="V151" s="494">
        <f>SUMIF('E-1 Off Site Hedge Baseline'!$D$10:$D$257,'G-2 Habitat groups'!A151,'E-1 Off Site Hedge Baseline'!$R$10:$R$257)</f>
        <v>0</v>
      </c>
      <c r="W151" s="494">
        <f>SUMIF('E-2 Off Site Hedge Creation'!$D$12:$D$259,'G-2 Habitat groups'!A151,'E-2 Off Site Hedge Creation'!$R$12:$R$259)</f>
        <v>0</v>
      </c>
      <c r="X151" s="494">
        <f>SUMIF('E-2 Off Site Hedge Creation'!$D$12:$D$259,'G-2 Habitat groups'!A151,'E-2 Off Site Hedge Creation'!$Y$12:$Y$259)</f>
        <v>0</v>
      </c>
      <c r="Y151" s="494">
        <f>SUMIF('E-3 Off Site Hedge Enhancement'!$M$12:$M$259,'G-2 Habitat groups'!A151,'E-3 Off Site Hedge Enhancement'!$P$12:$P$259)</f>
        <v>0</v>
      </c>
      <c r="Z151" s="494">
        <f>SUMIF('E-3 Off Site Hedge Enhancement'!$M$12:$M$259,'G-2 Habitat groups'!A151,'E-3 Off Site Hedge Enhancement'!$AJ$12:$AJ$259)</f>
        <v>0</v>
      </c>
      <c r="AA151" s="592">
        <f t="shared" si="151"/>
        <v>0</v>
      </c>
      <c r="AB151" s="592">
        <f t="shared" si="152"/>
        <v>0</v>
      </c>
      <c r="AC151" s="592">
        <f t="shared" si="147"/>
        <v>0</v>
      </c>
      <c r="AD151" s="592">
        <f t="shared" si="148"/>
        <v>0</v>
      </c>
      <c r="AE151" s="592">
        <f t="shared" si="149"/>
        <v>0</v>
      </c>
      <c r="AF151" s="592">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4">
        <f>SUMIF('B-1 Site Hedge Baseline'!$D$10:$D$257,'G-2 Habitat groups'!A152,'B-1 Site Hedge Baseline'!$E$10:$E$257)</f>
        <v>0</v>
      </c>
      <c r="F152" s="494">
        <f>SUMIF('B-1 Site Hedge Baseline'!$D$10:$D$257,'G-2 Habitat groups'!A152,'B-1 Site Hedge Baseline'!$N$10:$N$257)</f>
        <v>0</v>
      </c>
      <c r="G152" s="494">
        <f>SUMIF('B-1 Site Hedge Baseline'!$D$10:$D$257,'G-2 Habitat groups'!A152,'B-1 Site Hedge Baseline'!$P$10:$P$257)</f>
        <v>0</v>
      </c>
      <c r="H152" s="494">
        <f>SUMIF('B-1 Site Hedge Baseline'!$D$10:$D$257,'G-2 Habitat groups'!A152,'B-1 Site Hedge Baseline'!$R$10:$R$257)</f>
        <v>0</v>
      </c>
      <c r="I152" s="494">
        <f>SUMIF('B-1 Site Hedge Baseline'!$D$10:$D$257,'G-2 Habitat groups'!A152,'B-1 Site Hedge Baseline'!$T$10:$T$257)</f>
        <v>0</v>
      </c>
      <c r="J152" s="494">
        <f>SUMIF('A-1 Site Habitat Baseline'!$G$11:$G$258,'G-2 Habitat groups'!A152,'A-1 Site Habitat Baseline'!$X$11:$X$258)</f>
        <v>0</v>
      </c>
      <c r="K152" s="494">
        <f>SUMIF('B-2 Site Hedge Creation'!$D$12:$D$259,'G-2 Habitat groups'!A152,'B-2 Site Hedge Creation'!$E$12:$E$259)</f>
        <v>0</v>
      </c>
      <c r="L152" s="494">
        <f>SUMIF('B-2 Site Hedge Creation'!$D$12:$D$259,'G-2 Habitat groups'!A152,'B-2 Site Hedge Creation'!$W$12:$W$259)</f>
        <v>0</v>
      </c>
      <c r="M152" s="494">
        <f>SUMIF('B-3 Site Hedge Enhancement'!$M$12:$M$257,'G-2 Habitat groups'!A152,'B-3 Site Hedge Enhancement'!$P$12:$P$257)</f>
        <v>0</v>
      </c>
      <c r="N152" s="494">
        <f>SUMIF('B-3 Site Hedge Enhancement'!$M$12:$M$257,'G-2 Habitat groups'!A152,'B-3 Site Hedge Enhancement'!$AH$12:$AH$257)</f>
        <v>0</v>
      </c>
      <c r="O152" s="494">
        <f t="shared" si="143"/>
        <v>0</v>
      </c>
      <c r="P152" s="494">
        <f t="shared" si="144"/>
        <v>0</v>
      </c>
      <c r="Q152" s="494">
        <f t="shared" si="145"/>
        <v>0</v>
      </c>
      <c r="R152" s="494">
        <f t="shared" si="146"/>
        <v>0</v>
      </c>
      <c r="S152" s="494">
        <f>SUMIF('E-1 Off Site Hedge Baseline'!$D$10:$D$257,'G-2 Habitat groups'!A152,'E-1 Off Site Hedge Baseline'!$E$10:$E$257)</f>
        <v>0</v>
      </c>
      <c r="T152" s="494">
        <f>SUMIF('E-1 Off Site Hedge Baseline'!$D$10:$D$257,'G-2 Habitat groups'!A152,'E-1 Off Site Hedge Baseline'!$N$10:$N$257)</f>
        <v>0</v>
      </c>
      <c r="U152" s="494">
        <f>SUMIF('E-1 Off Site Hedge Baseline'!$D$10:$D$257,'G-2 Habitat groups'!A152,'E-1 Off Site Hedge Baseline'!$P$10:$P$257)</f>
        <v>0</v>
      </c>
      <c r="V152" s="494">
        <f>SUMIF('E-1 Off Site Hedge Baseline'!$D$10:$D$257,'G-2 Habitat groups'!A152,'E-1 Off Site Hedge Baseline'!$R$10:$R$257)</f>
        <v>0</v>
      </c>
      <c r="W152" s="494">
        <f>SUMIF('E-2 Off Site Hedge Creation'!$D$12:$D$259,'G-2 Habitat groups'!A152,'E-2 Off Site Hedge Creation'!$R$12:$R$259)</f>
        <v>0</v>
      </c>
      <c r="X152" s="494">
        <f>SUMIF('E-2 Off Site Hedge Creation'!$D$12:$D$259,'G-2 Habitat groups'!A152,'E-2 Off Site Hedge Creation'!$Y$12:$Y$259)</f>
        <v>0</v>
      </c>
      <c r="Y152" s="494">
        <f>SUMIF('E-3 Off Site Hedge Enhancement'!$M$12:$M$259,'G-2 Habitat groups'!A152,'E-3 Off Site Hedge Enhancement'!$P$12:$P$259)</f>
        <v>0</v>
      </c>
      <c r="Z152" s="494">
        <f>SUMIF('E-3 Off Site Hedge Enhancement'!$M$12:$M$259,'G-2 Habitat groups'!A152,'E-3 Off Site Hedge Enhancement'!$AJ$12:$AJ$259)</f>
        <v>0</v>
      </c>
      <c r="AA152" s="494">
        <f t="shared" si="151"/>
        <v>0</v>
      </c>
      <c r="AB152" s="494">
        <f t="shared" si="152"/>
        <v>0</v>
      </c>
      <c r="AC152" s="494">
        <f t="shared" si="147"/>
        <v>0</v>
      </c>
      <c r="AD152" s="494">
        <f t="shared" si="148"/>
        <v>0</v>
      </c>
      <c r="AE152" s="494">
        <f t="shared" si="149"/>
        <v>0</v>
      </c>
      <c r="AF152" s="494">
        <f t="shared" si="150"/>
        <v>0</v>
      </c>
      <c r="AU152" s="104" t="s">
        <v>587</v>
      </c>
      <c r="AV152" s="88" t="s">
        <v>74</v>
      </c>
      <c r="AW152" s="494">
        <f>VLOOKUP($AU152,AllHabsSummaryData,5,FALSE)</f>
        <v>0</v>
      </c>
      <c r="AX152" s="494">
        <f>VLOOKUP($AU152,AllHabsSummaryData,10,FALSE)</f>
        <v>0</v>
      </c>
      <c r="AY152" s="494">
        <f>VLOOKUP($AU152,AllHabsSummaryData,15,FALSE)</f>
        <v>0</v>
      </c>
      <c r="AZ152" s="494">
        <f>VLOOKUP($AU152,AllHabsSummaryData,16,FALSE)</f>
        <v>0</v>
      </c>
      <c r="BA152" s="494">
        <f>VLOOKUP($AU152,AllHabsSummaryData,17,FALSE)</f>
        <v>0</v>
      </c>
      <c r="BB152" s="494">
        <f>VLOOKUP($AU152,AllHabsSummaryData,18,FALSE)</f>
        <v>0</v>
      </c>
      <c r="BC152" s="494">
        <f>VLOOKUP($AU152,AllHabsSummaryData,27,FALSE)</f>
        <v>0</v>
      </c>
      <c r="BD152" s="494">
        <f>VLOOKUP($AU152,AllHabsSummaryData,30,FALSE)</f>
        <v>0</v>
      </c>
      <c r="BE152" s="494">
        <f>BB152+BD152</f>
        <v>0</v>
      </c>
      <c r="BF152" s="494"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4">
        <f>SUMIF('B-1 Site Hedge Baseline'!$D$10:$D$257,'G-2 Habitat groups'!A153,'B-1 Site Hedge Baseline'!$E$10:$E$257)</f>
        <v>0</v>
      </c>
      <c r="F153" s="494">
        <f>SUMIF('B-1 Site Hedge Baseline'!$D$10:$D$257,'G-2 Habitat groups'!A153,'B-1 Site Hedge Baseline'!$N$10:$N$257)</f>
        <v>0</v>
      </c>
      <c r="G153" s="494">
        <f>SUMIF('B-1 Site Hedge Baseline'!$D$10:$D$257,'G-2 Habitat groups'!A153,'B-1 Site Hedge Baseline'!$P$10:$P$257)</f>
        <v>0</v>
      </c>
      <c r="H153" s="494">
        <f>SUMIF('B-1 Site Hedge Baseline'!$D$10:$D$257,'G-2 Habitat groups'!A153,'B-1 Site Hedge Baseline'!$R$10:$R$257)</f>
        <v>0</v>
      </c>
      <c r="I153" s="494">
        <f>SUMIF('B-1 Site Hedge Baseline'!$D$10:$D$257,'G-2 Habitat groups'!A153,'B-1 Site Hedge Baseline'!$T$10:$T$257)</f>
        <v>0</v>
      </c>
      <c r="J153" s="494">
        <f>SUMIF('A-1 Site Habitat Baseline'!$G$11:$G$258,'G-2 Habitat groups'!A153,'A-1 Site Habitat Baseline'!$X$11:$X$258)</f>
        <v>0</v>
      </c>
      <c r="K153" s="494">
        <f>SUMIF('B-2 Site Hedge Creation'!$D$12:$D$259,'G-2 Habitat groups'!A153,'B-2 Site Hedge Creation'!$E$12:$E$259)</f>
        <v>0</v>
      </c>
      <c r="L153" s="494">
        <f>SUMIF('B-2 Site Hedge Creation'!$D$12:$D$259,'G-2 Habitat groups'!A153,'B-2 Site Hedge Creation'!$W$12:$W$259)</f>
        <v>0</v>
      </c>
      <c r="M153" s="494">
        <f>SUMIF('B-3 Site Hedge Enhancement'!$M$12:$M$257,'G-2 Habitat groups'!A153,'B-3 Site Hedge Enhancement'!$P$12:$P$257)</f>
        <v>0</v>
      </c>
      <c r="N153" s="494">
        <f>SUMIF('B-3 Site Hedge Enhancement'!$M$12:$M$257,'G-2 Habitat groups'!A153,'B-3 Site Hedge Enhancement'!$AH$12:$AH$257)</f>
        <v>0</v>
      </c>
      <c r="O153" s="494">
        <f t="shared" si="143"/>
        <v>0</v>
      </c>
      <c r="P153" s="494">
        <f t="shared" si="144"/>
        <v>0</v>
      </c>
      <c r="Q153" s="494">
        <f t="shared" si="145"/>
        <v>0</v>
      </c>
      <c r="R153" s="494">
        <f t="shared" si="146"/>
        <v>0</v>
      </c>
      <c r="S153" s="494">
        <f>SUMIF('E-1 Off Site Hedge Baseline'!$D$10:$D$257,'G-2 Habitat groups'!A153,'E-1 Off Site Hedge Baseline'!$E$10:$E$257)</f>
        <v>0</v>
      </c>
      <c r="T153" s="494">
        <f>SUMIF('E-1 Off Site Hedge Baseline'!$D$10:$D$257,'G-2 Habitat groups'!A153,'E-1 Off Site Hedge Baseline'!$N$10:$N$257)</f>
        <v>0</v>
      </c>
      <c r="U153" s="494">
        <f>SUMIF('E-1 Off Site Hedge Baseline'!$D$10:$D$257,'G-2 Habitat groups'!A153,'E-1 Off Site Hedge Baseline'!$P$10:$P$257)</f>
        <v>0</v>
      </c>
      <c r="V153" s="494">
        <f>SUMIF('E-1 Off Site Hedge Baseline'!$D$10:$D$257,'G-2 Habitat groups'!A153,'E-1 Off Site Hedge Baseline'!$R$10:$R$257)</f>
        <v>0</v>
      </c>
      <c r="W153" s="494">
        <f>SUMIF('E-2 Off Site Hedge Creation'!$D$12:$D$259,'G-2 Habitat groups'!A153,'E-2 Off Site Hedge Creation'!$R$12:$R$259)</f>
        <v>0</v>
      </c>
      <c r="X153" s="494">
        <f>SUMIF('E-2 Off Site Hedge Creation'!$D$12:$D$259,'G-2 Habitat groups'!A153,'E-2 Off Site Hedge Creation'!$Y$12:$Y$259)</f>
        <v>0</v>
      </c>
      <c r="Y153" s="494">
        <f>SUMIF('E-3 Off Site Hedge Enhancement'!$M$12:$M$259,'G-2 Habitat groups'!A153,'E-3 Off Site Hedge Enhancement'!$P$12:$P$259)</f>
        <v>0</v>
      </c>
      <c r="Z153" s="494">
        <f>SUMIF('E-3 Off Site Hedge Enhancement'!$M$12:$M$259,'G-2 Habitat groups'!A153,'E-3 Off Site Hedge Enhancement'!$AJ$12:$AJ$259)</f>
        <v>0</v>
      </c>
      <c r="AA153" s="494">
        <f t="shared" si="151"/>
        <v>0</v>
      </c>
      <c r="AB153" s="494">
        <f t="shared" si="152"/>
        <v>0</v>
      </c>
      <c r="AC153" s="494">
        <f t="shared" si="147"/>
        <v>0</v>
      </c>
      <c r="AD153" s="494">
        <f t="shared" si="148"/>
        <v>0</v>
      </c>
      <c r="AE153" s="494">
        <f t="shared" si="149"/>
        <v>0</v>
      </c>
      <c r="AF153" s="494">
        <f t="shared" si="150"/>
        <v>0</v>
      </c>
      <c r="AU153" s="104" t="s">
        <v>595</v>
      </c>
      <c r="AV153" s="88" t="s">
        <v>74</v>
      </c>
      <c r="AW153" s="494">
        <f>VLOOKUP($AU153,AllHabsSummaryData,5,FALSE)</f>
        <v>0</v>
      </c>
      <c r="AX153" s="494">
        <f>VLOOKUP($AU153,AllHabsSummaryData,10,FALSE)</f>
        <v>0</v>
      </c>
      <c r="AY153" s="494">
        <f>VLOOKUP($AU153,AllHabsSummaryData,15,FALSE)</f>
        <v>0</v>
      </c>
      <c r="AZ153" s="494">
        <f>VLOOKUP($AU153,AllHabsSummaryData,16,FALSE)</f>
        <v>0</v>
      </c>
      <c r="BA153" s="494">
        <f>VLOOKUP($AU153,AllHabsSummaryData,17,FALSE)</f>
        <v>0</v>
      </c>
      <c r="BB153" s="494">
        <f>VLOOKUP($AU153,AllHabsSummaryData,18,FALSE)</f>
        <v>0</v>
      </c>
      <c r="BC153" s="494">
        <f>VLOOKUP($AU153,AllHabsSummaryData,27,FALSE)</f>
        <v>0</v>
      </c>
      <c r="BD153" s="494">
        <f>VLOOKUP($AU153,AllHabsSummaryData,30,FALSE)</f>
        <v>0</v>
      </c>
      <c r="BE153" s="494">
        <f>BB153+BD153</f>
        <v>0</v>
      </c>
      <c r="BF153" s="494"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4">
        <f>SUMIF('B-1 Site Hedge Baseline'!$D$10:$D$257,'G-2 Habitat groups'!A154,'B-1 Site Hedge Baseline'!$E$10:$E$257)</f>
        <v>0</v>
      </c>
      <c r="F154" s="494">
        <f>SUMIF('B-1 Site Hedge Baseline'!$D$10:$D$257,'G-2 Habitat groups'!A154,'B-1 Site Hedge Baseline'!$N$10:$N$257)</f>
        <v>0</v>
      </c>
      <c r="G154" s="494">
        <f>SUMIF('B-1 Site Hedge Baseline'!$D$10:$D$257,'G-2 Habitat groups'!A154,'B-1 Site Hedge Baseline'!$P$10:$P$257)</f>
        <v>0</v>
      </c>
      <c r="H154" s="494">
        <f>SUMIF('B-1 Site Hedge Baseline'!$D$10:$D$257,'G-2 Habitat groups'!A154,'B-1 Site Hedge Baseline'!$R$10:$R$257)</f>
        <v>0</v>
      </c>
      <c r="I154" s="494">
        <f>SUMIF('B-1 Site Hedge Baseline'!$D$10:$D$257,'G-2 Habitat groups'!A154,'B-1 Site Hedge Baseline'!$T$10:$T$257)</f>
        <v>0</v>
      </c>
      <c r="J154" s="494">
        <f>SUMIF('A-1 Site Habitat Baseline'!$G$11:$G$258,'G-2 Habitat groups'!A154,'A-1 Site Habitat Baseline'!$X$11:$X$258)</f>
        <v>0</v>
      </c>
      <c r="K154" s="494">
        <f>SUMIF('B-2 Site Hedge Creation'!$D$12:$D$259,'G-2 Habitat groups'!A154,'B-2 Site Hedge Creation'!$E$12:$E$259)</f>
        <v>0</v>
      </c>
      <c r="L154" s="494">
        <f>SUMIF('B-2 Site Hedge Creation'!$D$12:$D$259,'G-2 Habitat groups'!A154,'B-2 Site Hedge Creation'!$W$12:$W$259)</f>
        <v>0</v>
      </c>
      <c r="M154" s="494">
        <f>SUMIF('B-3 Site Hedge Enhancement'!$M$12:$M$257,'G-2 Habitat groups'!A154,'B-3 Site Hedge Enhancement'!$P$12:$P$257)</f>
        <v>0</v>
      </c>
      <c r="N154" s="494">
        <f>SUMIF('B-3 Site Hedge Enhancement'!$M$12:$M$257,'G-2 Habitat groups'!A154,'B-3 Site Hedge Enhancement'!$AH$12:$AH$257)</f>
        <v>0</v>
      </c>
      <c r="O154" s="494">
        <f t="shared" si="143"/>
        <v>0</v>
      </c>
      <c r="P154" s="494">
        <f t="shared" si="144"/>
        <v>0</v>
      </c>
      <c r="Q154" s="494">
        <f t="shared" si="145"/>
        <v>0</v>
      </c>
      <c r="R154" s="494">
        <f t="shared" si="146"/>
        <v>0</v>
      </c>
      <c r="S154" s="494">
        <f>SUMIF('E-1 Off Site Hedge Baseline'!$D$10:$D$257,'G-2 Habitat groups'!A154,'E-1 Off Site Hedge Baseline'!$E$10:$E$257)</f>
        <v>0</v>
      </c>
      <c r="T154" s="494">
        <f>SUMIF('E-1 Off Site Hedge Baseline'!$D$10:$D$257,'G-2 Habitat groups'!A154,'E-1 Off Site Hedge Baseline'!$N$10:$N$257)</f>
        <v>0</v>
      </c>
      <c r="U154" s="494">
        <f>SUMIF('E-1 Off Site Hedge Baseline'!$D$10:$D$257,'G-2 Habitat groups'!A154,'E-1 Off Site Hedge Baseline'!$P$10:$P$257)</f>
        <v>0</v>
      </c>
      <c r="V154" s="494">
        <f>SUMIF('E-1 Off Site Hedge Baseline'!$D$10:$D$257,'G-2 Habitat groups'!A154,'E-1 Off Site Hedge Baseline'!$R$10:$R$257)</f>
        <v>0</v>
      </c>
      <c r="W154" s="494">
        <f>SUMIF('E-2 Off Site Hedge Creation'!$D$12:$D$259,'G-2 Habitat groups'!A154,'E-2 Off Site Hedge Creation'!$R$12:$R$259)</f>
        <v>0</v>
      </c>
      <c r="X154" s="494">
        <f>SUMIF('E-2 Off Site Hedge Creation'!$D$12:$D$259,'G-2 Habitat groups'!A154,'E-2 Off Site Hedge Creation'!$Y$12:$Y$259)</f>
        <v>0</v>
      </c>
      <c r="Y154" s="494">
        <f>SUMIF('E-3 Off Site Hedge Enhancement'!$M$12:$M$259,'G-2 Habitat groups'!A154,'E-3 Off Site Hedge Enhancement'!$P$12:$P$259)</f>
        <v>0</v>
      </c>
      <c r="Z154" s="494">
        <f>SUMIF('E-3 Off Site Hedge Enhancement'!$M$12:$M$259,'G-2 Habitat groups'!A154,'E-3 Off Site Hedge Enhancement'!$AJ$12:$AJ$259)</f>
        <v>0</v>
      </c>
      <c r="AA154" s="494">
        <f t="shared" si="151"/>
        <v>0</v>
      </c>
      <c r="AB154" s="494">
        <f t="shared" si="152"/>
        <v>0</v>
      </c>
      <c r="AC154" s="494">
        <f t="shared" si="147"/>
        <v>0</v>
      </c>
      <c r="AD154" s="494">
        <f t="shared" si="148"/>
        <v>0</v>
      </c>
      <c r="AE154" s="494">
        <f t="shared" si="149"/>
        <v>0</v>
      </c>
      <c r="AF154" s="494">
        <f t="shared" si="150"/>
        <v>0</v>
      </c>
      <c r="AU154" s="104" t="s">
        <v>600</v>
      </c>
      <c r="AV154" s="88" t="s">
        <v>74</v>
      </c>
      <c r="AW154" s="494">
        <f>VLOOKUP($AU154,AllHabsSummaryData,5,FALSE)</f>
        <v>0.34710000000000002</v>
      </c>
      <c r="AX154" s="494">
        <f>VLOOKUP($AU154,AllHabsSummaryData,10,FALSE)</f>
        <v>0</v>
      </c>
      <c r="AY154" s="494">
        <f>VLOOKUP($AU154,AllHabsSummaryData,15,FALSE)</f>
        <v>0.76100000000000001</v>
      </c>
      <c r="AZ154" s="494">
        <f>VLOOKUP($AU154,AllHabsSummaryData,16,FALSE)</f>
        <v>0</v>
      </c>
      <c r="BA154" s="494">
        <f>VLOOKUP($AU154,AllHabsSummaryData,17,FALSE)</f>
        <v>0.41389999999999999</v>
      </c>
      <c r="BB154" s="494">
        <f>VLOOKUP($AU154,AllHabsSummaryData,18,FALSE)</f>
        <v>0</v>
      </c>
      <c r="BC154" s="494">
        <f>VLOOKUP($AU154,AllHabsSummaryData,27,FALSE)</f>
        <v>0</v>
      </c>
      <c r="BD154" s="494">
        <f>VLOOKUP($AU154,AllHabsSummaryData,30,FALSE)</f>
        <v>0</v>
      </c>
      <c r="BE154" s="494">
        <f>BB154+BD154</f>
        <v>0</v>
      </c>
      <c r="BF154" s="494"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4">
        <f>SUMIF('B-1 Site Hedge Baseline'!$D$10:$D$257,'G-2 Habitat groups'!A155,'B-1 Site Hedge Baseline'!$E$10:$E$257)</f>
        <v>0</v>
      </c>
      <c r="F155" s="494">
        <f>SUMIF('B-1 Site Hedge Baseline'!$D$10:$D$257,'G-2 Habitat groups'!A155,'B-1 Site Hedge Baseline'!$N$10:$N$257)</f>
        <v>0</v>
      </c>
      <c r="G155" s="494">
        <f>SUMIF('B-1 Site Hedge Baseline'!$D$10:$D$257,'G-2 Habitat groups'!A155,'B-1 Site Hedge Baseline'!$P$10:$P$257)</f>
        <v>0</v>
      </c>
      <c r="H155" s="494">
        <f>SUMIF('B-1 Site Hedge Baseline'!$D$10:$D$257,'G-2 Habitat groups'!A155,'B-1 Site Hedge Baseline'!$R$10:$R$257)</f>
        <v>0</v>
      </c>
      <c r="I155" s="494">
        <f>SUMIF('B-1 Site Hedge Baseline'!$D$10:$D$257,'G-2 Habitat groups'!A155,'B-1 Site Hedge Baseline'!$T$10:$T$257)</f>
        <v>0</v>
      </c>
      <c r="J155" s="494">
        <f>SUMIF('A-1 Site Habitat Baseline'!$G$11:$G$258,'G-2 Habitat groups'!A155,'A-1 Site Habitat Baseline'!$X$11:$X$258)</f>
        <v>0</v>
      </c>
      <c r="K155" s="494">
        <f>SUMIF('B-2 Site Hedge Creation'!$D$12:$D$259,'G-2 Habitat groups'!A155,'B-2 Site Hedge Creation'!$E$12:$E$259)</f>
        <v>0</v>
      </c>
      <c r="L155" s="494">
        <f>SUMIF('B-2 Site Hedge Creation'!$D$12:$D$259,'G-2 Habitat groups'!A155,'B-2 Site Hedge Creation'!$W$12:$W$259)</f>
        <v>0</v>
      </c>
      <c r="M155" s="494">
        <f>SUMIF('B-3 Site Hedge Enhancement'!$M$12:$M$257,'G-2 Habitat groups'!A155,'B-3 Site Hedge Enhancement'!$P$12:$P$257)</f>
        <v>0</v>
      </c>
      <c r="N155" s="494">
        <f>SUMIF('B-3 Site Hedge Enhancement'!$M$12:$M$257,'G-2 Habitat groups'!A155,'B-3 Site Hedge Enhancement'!$AH$12:$AH$257)</f>
        <v>0</v>
      </c>
      <c r="O155" s="494">
        <f t="shared" si="143"/>
        <v>0</v>
      </c>
      <c r="P155" s="494">
        <f t="shared" si="144"/>
        <v>0</v>
      </c>
      <c r="Q155" s="494">
        <f t="shared" si="145"/>
        <v>0</v>
      </c>
      <c r="R155" s="494">
        <f t="shared" si="146"/>
        <v>0</v>
      </c>
      <c r="S155" s="494">
        <f>SUMIF('E-1 Off Site Hedge Baseline'!$D$10:$D$257,'G-2 Habitat groups'!A155,'E-1 Off Site Hedge Baseline'!$E$10:$E$257)</f>
        <v>0</v>
      </c>
      <c r="T155" s="494">
        <f>SUMIF('E-1 Off Site Hedge Baseline'!$D$10:$D$257,'G-2 Habitat groups'!A155,'E-1 Off Site Hedge Baseline'!$N$10:$N$257)</f>
        <v>0</v>
      </c>
      <c r="U155" s="494">
        <f>SUMIF('E-1 Off Site Hedge Baseline'!$D$10:$D$257,'G-2 Habitat groups'!A155,'E-1 Off Site Hedge Baseline'!$P$10:$P$257)</f>
        <v>0</v>
      </c>
      <c r="V155" s="494">
        <f>SUMIF('E-1 Off Site Hedge Baseline'!$D$10:$D$257,'G-2 Habitat groups'!A155,'E-1 Off Site Hedge Baseline'!$R$10:$R$257)</f>
        <v>0</v>
      </c>
      <c r="W155" s="494">
        <f>SUMIF('E-2 Off Site Hedge Creation'!$D$12:$D$259,'G-2 Habitat groups'!A155,'E-2 Off Site Hedge Creation'!$R$12:$R$259)</f>
        <v>0</v>
      </c>
      <c r="X155" s="494">
        <f>SUMIF('E-2 Off Site Hedge Creation'!$D$12:$D$259,'G-2 Habitat groups'!A155,'E-2 Off Site Hedge Creation'!$Y$12:$Y$259)</f>
        <v>0</v>
      </c>
      <c r="Y155" s="494">
        <f>SUMIF('E-3 Off Site Hedge Enhancement'!$M$12:$M$259,'G-2 Habitat groups'!A155,'E-3 Off Site Hedge Enhancement'!$P$12:$P$259)</f>
        <v>0</v>
      </c>
      <c r="Z155" s="494">
        <f>SUMIF('E-3 Off Site Hedge Enhancement'!$M$12:$M$259,'G-2 Habitat groups'!A155,'E-3 Off Site Hedge Enhancement'!$AJ$12:$AJ$259)</f>
        <v>0</v>
      </c>
      <c r="AA155" s="494">
        <f t="shared" si="151"/>
        <v>0</v>
      </c>
      <c r="AB155" s="494">
        <f t="shared" si="152"/>
        <v>0</v>
      </c>
      <c r="AC155" s="494">
        <f t="shared" si="147"/>
        <v>0</v>
      </c>
      <c r="AD155" s="494">
        <f t="shared" si="148"/>
        <v>0</v>
      </c>
      <c r="AE155" s="494">
        <f t="shared" si="149"/>
        <v>0</v>
      </c>
      <c r="AF155" s="494">
        <f t="shared" si="150"/>
        <v>0</v>
      </c>
      <c r="AU155" s="104" t="s">
        <v>634</v>
      </c>
      <c r="AV155" s="88" t="s">
        <v>74</v>
      </c>
      <c r="AW155" s="494">
        <f>VLOOKUP($AU155,AllHabsSummaryData,5,FALSE)</f>
        <v>0</v>
      </c>
      <c r="AX155" s="494">
        <f>VLOOKUP($AU155,AllHabsSummaryData,10,FALSE)</f>
        <v>0</v>
      </c>
      <c r="AY155" s="494">
        <f>VLOOKUP($AU155,AllHabsSummaryData,15,FALSE)</f>
        <v>0</v>
      </c>
      <c r="AZ155" s="494">
        <f>VLOOKUP($AU155,AllHabsSummaryData,16,FALSE)</f>
        <v>0</v>
      </c>
      <c r="BA155" s="494">
        <f>VLOOKUP($AU155,AllHabsSummaryData,17,FALSE)</f>
        <v>0</v>
      </c>
      <c r="BB155" s="494">
        <f>VLOOKUP($AU155,AllHabsSummaryData,18,FALSE)</f>
        <v>0</v>
      </c>
      <c r="BC155" s="494">
        <f>VLOOKUP($AU155,AllHabsSummaryData,27,FALSE)</f>
        <v>0</v>
      </c>
      <c r="BD155" s="494">
        <f>VLOOKUP($AU155,AllHabsSummaryData,30,FALSE)</f>
        <v>0</v>
      </c>
      <c r="BE155" s="494">
        <f>BB155+BD155</f>
        <v>0</v>
      </c>
      <c r="BF155" s="494"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4">
        <f>SUMIF('B-1 Site Hedge Baseline'!$D$10:$D$257,'G-2 Habitat groups'!A156,'B-1 Site Hedge Baseline'!$E$10:$E$257)</f>
        <v>0</v>
      </c>
      <c r="F156" s="494">
        <f>SUMIF('B-1 Site Hedge Baseline'!$D$10:$D$257,'G-2 Habitat groups'!A156,'B-1 Site Hedge Baseline'!$N$10:$N$257)</f>
        <v>0</v>
      </c>
      <c r="G156" s="494">
        <f>SUMIF('B-1 Site Hedge Baseline'!$D$10:$D$257,'G-2 Habitat groups'!A156,'B-1 Site Hedge Baseline'!$P$10:$P$257)</f>
        <v>0</v>
      </c>
      <c r="H156" s="494">
        <f>SUMIF('B-1 Site Hedge Baseline'!$D$10:$D$257,'G-2 Habitat groups'!A156,'B-1 Site Hedge Baseline'!$R$10:$R$257)</f>
        <v>0</v>
      </c>
      <c r="I156" s="494">
        <f>SUMIF('B-1 Site Hedge Baseline'!$D$10:$D$257,'G-2 Habitat groups'!A156,'B-1 Site Hedge Baseline'!$T$10:$T$257)</f>
        <v>0</v>
      </c>
      <c r="J156" s="494">
        <f>SUMIF('A-1 Site Habitat Baseline'!$G$11:$G$258,'G-2 Habitat groups'!A156,'A-1 Site Habitat Baseline'!$X$11:$X$258)</f>
        <v>0</v>
      </c>
      <c r="K156" s="494">
        <f>SUMIF('B-2 Site Hedge Creation'!$D$12:$D$259,'G-2 Habitat groups'!A156,'B-2 Site Hedge Creation'!$E$12:$E$259)</f>
        <v>0</v>
      </c>
      <c r="L156" s="494">
        <f>SUMIF('B-2 Site Hedge Creation'!$D$12:$D$259,'G-2 Habitat groups'!A156,'B-2 Site Hedge Creation'!$W$12:$W$259)</f>
        <v>0</v>
      </c>
      <c r="M156" s="494">
        <f>SUMIF('B-3 Site Hedge Enhancement'!$M$12:$M$257,'G-2 Habitat groups'!A156,'B-3 Site Hedge Enhancement'!$P$12:$P$257)</f>
        <v>0</v>
      </c>
      <c r="N156" s="494">
        <f>SUMIF('B-3 Site Hedge Enhancement'!$M$12:$M$257,'G-2 Habitat groups'!A156,'B-3 Site Hedge Enhancement'!$AH$12:$AH$257)</f>
        <v>0</v>
      </c>
      <c r="O156" s="494">
        <f t="shared" si="143"/>
        <v>0</v>
      </c>
      <c r="P156" s="494">
        <f t="shared" si="144"/>
        <v>0</v>
      </c>
      <c r="Q156" s="494">
        <f t="shared" si="145"/>
        <v>0</v>
      </c>
      <c r="R156" s="494">
        <f t="shared" si="146"/>
        <v>0</v>
      </c>
      <c r="S156" s="494">
        <f>SUMIF('E-1 Off Site Hedge Baseline'!$D$10:$D$257,'G-2 Habitat groups'!A156,'E-1 Off Site Hedge Baseline'!$E$10:$E$257)</f>
        <v>0</v>
      </c>
      <c r="T156" s="494">
        <f>SUMIF('E-1 Off Site Hedge Baseline'!$D$10:$D$257,'G-2 Habitat groups'!A156,'E-1 Off Site Hedge Baseline'!$N$10:$N$257)</f>
        <v>0</v>
      </c>
      <c r="U156" s="494">
        <f>SUMIF('E-1 Off Site Hedge Baseline'!$D$10:$D$257,'G-2 Habitat groups'!A156,'E-1 Off Site Hedge Baseline'!$P$10:$P$257)</f>
        <v>0</v>
      </c>
      <c r="V156" s="494">
        <f>SUMIF('E-1 Off Site Hedge Baseline'!$D$10:$D$257,'G-2 Habitat groups'!A156,'E-1 Off Site Hedge Baseline'!$R$10:$R$257)</f>
        <v>0</v>
      </c>
      <c r="W156" s="494">
        <f>SUMIF('E-2 Off Site Hedge Creation'!$D$12:$D$259,'G-2 Habitat groups'!A156,'E-2 Off Site Hedge Creation'!$R$12:$R$259)</f>
        <v>0</v>
      </c>
      <c r="X156" s="494">
        <f>SUMIF('E-2 Off Site Hedge Creation'!$D$12:$D$259,'G-2 Habitat groups'!A156,'E-2 Off Site Hedge Creation'!$Y$12:$Y$259)</f>
        <v>0</v>
      </c>
      <c r="Y156" s="494">
        <f>SUMIF('E-3 Off Site Hedge Enhancement'!$M$12:$M$259,'G-2 Habitat groups'!A156,'E-3 Off Site Hedge Enhancement'!$P$12:$P$259)</f>
        <v>0</v>
      </c>
      <c r="Z156" s="494">
        <f>SUMIF('E-3 Off Site Hedge Enhancement'!$M$12:$M$259,'G-2 Habitat groups'!A156,'E-3 Off Site Hedge Enhancement'!$AJ$12:$AJ$259)</f>
        <v>0</v>
      </c>
      <c r="AA156" s="494">
        <f t="shared" si="151"/>
        <v>0</v>
      </c>
      <c r="AB156" s="494">
        <f t="shared" si="152"/>
        <v>0</v>
      </c>
      <c r="AC156" s="494">
        <f t="shared" si="147"/>
        <v>0</v>
      </c>
      <c r="AD156" s="494">
        <f t="shared" si="148"/>
        <v>0</v>
      </c>
      <c r="AE156" s="494">
        <f t="shared" si="149"/>
        <v>0</v>
      </c>
      <c r="AF156" s="494">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4">
        <f>SUMIF('B-1 Site Hedge Baseline'!$D$10:$D$257,'G-2 Habitat groups'!A157,'B-1 Site Hedge Baseline'!$E$10:$E$257)</f>
        <v>0</v>
      </c>
      <c r="F157" s="494">
        <f>SUMIF('B-1 Site Hedge Baseline'!$D$10:$D$257,'G-2 Habitat groups'!A157,'B-1 Site Hedge Baseline'!$N$10:$N$257)</f>
        <v>0</v>
      </c>
      <c r="G157" s="494">
        <f>SUMIF('B-1 Site Hedge Baseline'!$D$10:$D$257,'G-2 Habitat groups'!A157,'B-1 Site Hedge Baseline'!$P$10:$P$257)</f>
        <v>0</v>
      </c>
      <c r="H157" s="494">
        <f>SUMIF('B-1 Site Hedge Baseline'!$D$10:$D$257,'G-2 Habitat groups'!A157,'B-1 Site Hedge Baseline'!$R$10:$R$257)</f>
        <v>0</v>
      </c>
      <c r="I157" s="494">
        <f>SUMIF('B-1 Site Hedge Baseline'!$D$10:$D$257,'G-2 Habitat groups'!A157,'B-1 Site Hedge Baseline'!$T$10:$T$257)</f>
        <v>0</v>
      </c>
      <c r="J157" s="494">
        <f>SUMIF('A-1 Site Habitat Baseline'!$G$11:$G$258,'G-2 Habitat groups'!A157,'A-1 Site Habitat Baseline'!$X$11:$X$258)</f>
        <v>0</v>
      </c>
      <c r="K157" s="494">
        <f>SUMIF('B-2 Site Hedge Creation'!$D$12:$D$259,'G-2 Habitat groups'!A157,'B-2 Site Hedge Creation'!$E$12:$E$259)</f>
        <v>0</v>
      </c>
      <c r="L157" s="494">
        <f>SUMIF('B-2 Site Hedge Creation'!$D$12:$D$259,'G-2 Habitat groups'!A157,'B-2 Site Hedge Creation'!$W$12:$W$259)</f>
        <v>0</v>
      </c>
      <c r="M157" s="494">
        <f>SUMIF('B-3 Site Hedge Enhancement'!$M$12:$M$257,'G-2 Habitat groups'!A157,'B-3 Site Hedge Enhancement'!$P$12:$P$257)</f>
        <v>0</v>
      </c>
      <c r="N157" s="494">
        <f>SUMIF('B-3 Site Hedge Enhancement'!$M$12:$M$257,'G-2 Habitat groups'!A157,'B-3 Site Hedge Enhancement'!$AH$12:$AH$257)</f>
        <v>0</v>
      </c>
      <c r="O157" s="494">
        <f t="shared" si="143"/>
        <v>0</v>
      </c>
      <c r="P157" s="494">
        <f t="shared" si="144"/>
        <v>0</v>
      </c>
      <c r="Q157" s="494">
        <f t="shared" si="145"/>
        <v>0</v>
      </c>
      <c r="R157" s="494">
        <f t="shared" si="146"/>
        <v>0</v>
      </c>
      <c r="S157" s="494">
        <f>SUMIF('E-1 Off Site Hedge Baseline'!$D$10:$D$257,'G-2 Habitat groups'!A157,'E-1 Off Site Hedge Baseline'!$E$10:$E$257)</f>
        <v>0</v>
      </c>
      <c r="T157" s="494">
        <f>SUMIF('E-1 Off Site Hedge Baseline'!$D$10:$D$257,'G-2 Habitat groups'!A157,'E-1 Off Site Hedge Baseline'!$N$10:$N$257)</f>
        <v>0</v>
      </c>
      <c r="U157" s="494">
        <f>SUMIF('E-1 Off Site Hedge Baseline'!$D$10:$D$257,'G-2 Habitat groups'!A157,'E-1 Off Site Hedge Baseline'!$P$10:$P$257)</f>
        <v>0</v>
      </c>
      <c r="V157" s="494">
        <f>SUMIF('E-1 Off Site Hedge Baseline'!$D$10:$D$257,'G-2 Habitat groups'!A157,'E-1 Off Site Hedge Baseline'!$R$10:$R$257)</f>
        <v>0</v>
      </c>
      <c r="W157" s="494">
        <f>SUMIF('E-2 Off Site Hedge Creation'!$D$12:$D$259,'G-2 Habitat groups'!A157,'E-2 Off Site Hedge Creation'!$R$12:$R$259)</f>
        <v>0</v>
      </c>
      <c r="X157" s="494">
        <f>SUMIF('E-2 Off Site Hedge Creation'!$D$12:$D$259,'G-2 Habitat groups'!A157,'E-2 Off Site Hedge Creation'!$Y$12:$Y$259)</f>
        <v>0</v>
      </c>
      <c r="Y157" s="494">
        <f>SUMIF('E-3 Off Site Hedge Enhancement'!$M$12:$M$259,'G-2 Habitat groups'!A157,'E-3 Off Site Hedge Enhancement'!$P$12:$P$259)</f>
        <v>0</v>
      </c>
      <c r="Z157" s="494">
        <f>SUMIF('E-3 Off Site Hedge Enhancement'!$M$12:$M$259,'G-2 Habitat groups'!A157,'E-3 Off Site Hedge Enhancement'!$AJ$12:$AJ$259)</f>
        <v>0</v>
      </c>
      <c r="AA157" s="494">
        <f t="shared" si="151"/>
        <v>0</v>
      </c>
      <c r="AB157" s="494">
        <f t="shared" si="152"/>
        <v>0</v>
      </c>
      <c r="AC157" s="494">
        <f t="shared" si="147"/>
        <v>0</v>
      </c>
      <c r="AD157" s="494">
        <f t="shared" si="148"/>
        <v>0</v>
      </c>
      <c r="AE157" s="494">
        <f t="shared" si="149"/>
        <v>0</v>
      </c>
      <c r="AF157" s="494">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4">
        <f>SUMIF('B-1 Site Hedge Baseline'!$D$10:$D$257,'G-2 Habitat groups'!A158,'B-1 Site Hedge Baseline'!$E$10:$E$257)</f>
        <v>3.7999999999999999E-2</v>
      </c>
      <c r="F158" s="494">
        <f>SUMIF('B-1 Site Hedge Baseline'!$D$10:$D$257,'G-2 Habitat groups'!A158,'B-1 Site Hedge Baseline'!$N$10:$N$257)</f>
        <v>4.3699999999999996E-2</v>
      </c>
      <c r="G158" s="494">
        <f>SUMIF('B-1 Site Hedge Baseline'!$D$10:$D$257,'G-2 Habitat groups'!A158,'B-1 Site Hedge Baseline'!$P$10:$P$257)</f>
        <v>3.7999999999999999E-2</v>
      </c>
      <c r="H158" s="494">
        <f>SUMIF('B-1 Site Hedge Baseline'!$D$10:$D$257,'G-2 Habitat groups'!A158,'B-1 Site Hedge Baseline'!$R$10:$R$257)</f>
        <v>4.3699999999999996E-2</v>
      </c>
      <c r="I158" s="494">
        <f>SUMIF('B-1 Site Hedge Baseline'!$D$10:$D$257,'G-2 Habitat groups'!A158,'B-1 Site Hedge Baseline'!$T$10:$T$257)</f>
        <v>0</v>
      </c>
      <c r="J158" s="494">
        <f>SUMIF('A-1 Site Habitat Baseline'!$G$11:$G$258,'G-2 Habitat groups'!A158,'A-1 Site Habitat Baseline'!$X$11:$X$258)</f>
        <v>0</v>
      </c>
      <c r="K158" s="494">
        <f>SUMIF('B-2 Site Hedge Creation'!$D$12:$D$259,'G-2 Habitat groups'!A158,'B-2 Site Hedge Creation'!$E$12:$E$259)</f>
        <v>2.5000000000000001E-2</v>
      </c>
      <c r="L158" s="494">
        <f>SUMIF('B-2 Site Hedge Creation'!$D$12:$D$259,'G-2 Habitat groups'!A158,'B-2 Site Hedge Creation'!$W$12:$W$259)</f>
        <v>2.7743749999999998E-2</v>
      </c>
      <c r="M158" s="494">
        <f>SUMIF('B-3 Site Hedge Enhancement'!$M$12:$M$257,'G-2 Habitat groups'!A158,'B-3 Site Hedge Enhancement'!$P$12:$P$257)</f>
        <v>0</v>
      </c>
      <c r="N158" s="494">
        <f>SUMIF('B-3 Site Hedge Enhancement'!$M$12:$M$257,'G-2 Habitat groups'!A158,'B-3 Site Hedge Enhancement'!$AH$12:$AH$257)</f>
        <v>0</v>
      </c>
      <c r="O158" s="494">
        <f t="shared" si="143"/>
        <v>6.3E-2</v>
      </c>
      <c r="P158" s="494">
        <f t="shared" si="144"/>
        <v>7.144375E-2</v>
      </c>
      <c r="Q158" s="494">
        <f t="shared" si="145"/>
        <v>2.5000000000000001E-2</v>
      </c>
      <c r="R158" s="494">
        <f t="shared" si="146"/>
        <v>2.7743750000000005E-2</v>
      </c>
      <c r="S158" s="494">
        <f>SUMIF('E-1 Off Site Hedge Baseline'!$D$10:$D$257,'G-2 Habitat groups'!A158,'E-1 Off Site Hedge Baseline'!$E$10:$E$257)</f>
        <v>0</v>
      </c>
      <c r="T158" s="494">
        <f>SUMIF('E-1 Off Site Hedge Baseline'!$D$10:$D$257,'G-2 Habitat groups'!A158,'E-1 Off Site Hedge Baseline'!$N$10:$N$257)</f>
        <v>0</v>
      </c>
      <c r="U158" s="494">
        <f>SUMIF('E-1 Off Site Hedge Baseline'!$D$10:$D$257,'G-2 Habitat groups'!A158,'E-1 Off Site Hedge Baseline'!$P$10:$P$257)</f>
        <v>0</v>
      </c>
      <c r="V158" s="494">
        <f>SUMIF('E-1 Off Site Hedge Baseline'!$D$10:$D$257,'G-2 Habitat groups'!A158,'E-1 Off Site Hedge Baseline'!$R$10:$R$257)</f>
        <v>0</v>
      </c>
      <c r="W158" s="494">
        <f>SUMIF('E-2 Off Site Hedge Creation'!$D$12:$D$259,'G-2 Habitat groups'!A158,'E-2 Off Site Hedge Creation'!$R$12:$R$259)</f>
        <v>0</v>
      </c>
      <c r="X158" s="494">
        <f>SUMIF('E-2 Off Site Hedge Creation'!$D$12:$D$259,'G-2 Habitat groups'!A158,'E-2 Off Site Hedge Creation'!$Y$12:$Y$259)</f>
        <v>0</v>
      </c>
      <c r="Y158" s="494">
        <f>SUMIF('E-3 Off Site Hedge Enhancement'!$M$12:$M$259,'G-2 Habitat groups'!A158,'E-3 Off Site Hedge Enhancement'!$P$12:$P$259)</f>
        <v>0</v>
      </c>
      <c r="Z158" s="494">
        <f>SUMIF('E-3 Off Site Hedge Enhancement'!$M$12:$M$259,'G-2 Habitat groups'!A158,'E-3 Off Site Hedge Enhancement'!$AJ$12:$AJ$259)</f>
        <v>0</v>
      </c>
      <c r="AA158" s="494">
        <f t="shared" si="151"/>
        <v>0</v>
      </c>
      <c r="AB158" s="494">
        <f t="shared" si="152"/>
        <v>0</v>
      </c>
      <c r="AC158" s="494">
        <f t="shared" si="147"/>
        <v>0</v>
      </c>
      <c r="AD158" s="494">
        <f t="shared" si="148"/>
        <v>0</v>
      </c>
      <c r="AE158" s="494">
        <f t="shared" si="149"/>
        <v>2.5000000000000001E-2</v>
      </c>
      <c r="AF158" s="494">
        <f t="shared" si="150"/>
        <v>2.7743750000000005E-2</v>
      </c>
    </row>
    <row r="163" spans="1:32" ht="27.6" x14ac:dyDescent="0.45">
      <c r="A163" s="326" t="s">
        <v>136</v>
      </c>
    </row>
    <row r="166" spans="1:32" ht="22.8" x14ac:dyDescent="0.4">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69"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4">
        <f>SUMIF('C-1 Site River Baseline'!$D$10:$D$257,'G-2 Habitat groups'!A168,'C-1 Site River Baseline'!$E$10:$E$257)</f>
        <v>0</v>
      </c>
      <c r="F168" s="494">
        <f>SUMIF('C-1 Site River Baseline'!$D$10:$D$257,'G-2 Habitat groups'!A168,'C-1 Site River Baseline'!$R$10:$R$257)</f>
        <v>0</v>
      </c>
      <c r="G168" s="494">
        <f>SUMIF('C-1 Site River Baseline'!$D$10:$D$257,'G-2 Habitat groups'!A168,'C-1 Site River Baseline'!$T$10:$T$257)</f>
        <v>0</v>
      </c>
      <c r="H168" s="494">
        <f>SUMIF('C-1 Site River Baseline'!$D$10:$D$257,'G-2 Habitat groups'!A168,'C-1 Site River Baseline'!$V$10:$V$257)</f>
        <v>0</v>
      </c>
      <c r="I168" s="494">
        <f>SUMIF('C-1 Site River Baseline'!$D$10:$D$257,'G-2 Habitat groups'!A168,'C-1 Site River Baseline'!$X$10:$X$257)</f>
        <v>0</v>
      </c>
      <c r="J168" s="494">
        <f>SUMIF('C-1 Site River Baseline'!$D$10:$D$257,'G-2 Habitat groups'!A168,'C-1 Site River Baseline'!$Y$10:$Y$257)</f>
        <v>0</v>
      </c>
      <c r="K168" s="494">
        <f>SUMIF('C-2 Site River Creation'!$C$10:$C$257,'G-2 Habitat groups'!A168,'C-2 Site River Creation'!$D$10:$D$257)</f>
        <v>0</v>
      </c>
      <c r="L168" s="494">
        <f>SUMIF('C-2 Site River Creation'!$C$10:$C$257,'G-2 Habitat groups'!A168,'C-2 Site River Creation'!$Z$10:$Z$257)</f>
        <v>0</v>
      </c>
      <c r="M168" s="494">
        <f>SUMIF('C-3 Site River Enhancement'!$N$12:$N$257,'G-2 Habitat groups'!A168,'C-3 Site River Enhancement'!$Q$12:$Q$257)</f>
        <v>0</v>
      </c>
      <c r="N168" s="494">
        <f>SUMIF('C-3 Site River Enhancement'!$N$12:$N$257,'G-2 Habitat groups'!A168,'C-3 Site River Enhancement'!$AM$12:$AM$257)</f>
        <v>0</v>
      </c>
      <c r="O168" s="494">
        <f t="shared" ref="O168:O172" si="153">G168+K168+M168</f>
        <v>0</v>
      </c>
      <c r="P168" s="494">
        <f t="shared" ref="P168:P172" si="154">H168+L168+N168</f>
        <v>0</v>
      </c>
      <c r="Q168" s="494">
        <f>O168-E168</f>
        <v>0</v>
      </c>
      <c r="R168" s="494">
        <f t="shared" ref="R168:R172" si="155">P168-F168</f>
        <v>0</v>
      </c>
      <c r="S168" s="494">
        <f>SUMIF('F-1 Off Site River Baseline'!$D$10:$D$257,'G-2 Habitat groups'!A168,'F-1 Off Site River Baseline'!$E$10:$E$257)</f>
        <v>0</v>
      </c>
      <c r="T168" s="494">
        <f>SUMIF('F-1 Off Site River Baseline'!$D$10:$D$257,'G-2 Habitat groups'!A168,'F-1 Off Site River Baseline'!$R$10:$R$257)</f>
        <v>0</v>
      </c>
      <c r="U168" s="494">
        <f>SUMIF('F-1 Off Site River Baseline'!$D$10:$D$257,'G-2 Habitat groups'!A168,'F-1 Off Site River Baseline'!$T$10:$T$257)</f>
        <v>0</v>
      </c>
      <c r="V168" s="494">
        <f>SUMIF('F-1 Off Site River Baseline'!$D$10:$D$257,'G-2 Habitat groups'!A168,'F-1 Off Site River Baseline'!$V$10:$V$257)</f>
        <v>0</v>
      </c>
      <c r="W168" s="494">
        <f>SUMIF('F-2 Off Site River Creation'!$C$12:$C$259,'G-2 Habitat groups'!A168,'F-2 Off Site River Creation'!$D$12:$D$259)</f>
        <v>0</v>
      </c>
      <c r="X168" s="494">
        <f>SUMIF('F-2 Off Site River Creation'!$C$12:$C$259,'G-2 Habitat groups'!A168,'F-2 Off Site River Creation'!$AB$12:$AB$259)</f>
        <v>0</v>
      </c>
      <c r="Y168" s="494">
        <f>SUMIF('F-3 Off Site River Enhancement'!$N$12:$N$259,'G-2 Habitat groups'!A168,'F-3 Off Site River Enhancement'!$Q$12:$Q$259)</f>
        <v>0</v>
      </c>
      <c r="Z168" s="494">
        <f>SUMIF('F-3 Off Site River Enhancement'!$N$12:$N$259,'G-2 Habitat groups'!A168,'F-3 Off Site River Enhancement'!$AO$12:$AO$259)</f>
        <v>0</v>
      </c>
      <c r="AA168" s="494">
        <f>U168+W168+Y168</f>
        <v>0</v>
      </c>
      <c r="AB168" s="494">
        <f>V168+X168+Z168</f>
        <v>0</v>
      </c>
      <c r="AC168" s="494">
        <f t="shared" ref="AC168:AC172" si="156">AA168-S168</f>
        <v>0</v>
      </c>
      <c r="AD168" s="494">
        <f t="shared" ref="AD168:AD172" si="157">AB168-T168</f>
        <v>0</v>
      </c>
      <c r="AE168" s="494">
        <f t="shared" ref="AE168:AE172" si="158">Q168+AC168</f>
        <v>0</v>
      </c>
      <c r="AF168" s="494">
        <f t="shared" ref="AF168:AF172" si="159">R168+AD168</f>
        <v>0</v>
      </c>
    </row>
    <row r="169" spans="1:32" x14ac:dyDescent="0.25">
      <c r="A169" s="104" t="str">
        <f>'G-7 Rivers Data'!B5</f>
        <v>Other Rivers and Streams</v>
      </c>
      <c r="B169" s="88" t="s">
        <v>897</v>
      </c>
      <c r="C169" s="88" t="str">
        <f>'G-7 Rivers Data'!C5</f>
        <v>High</v>
      </c>
      <c r="D169" s="88" t="str">
        <f>'G-7 Rivers Data'!AU5</f>
        <v>Avoid</v>
      </c>
      <c r="E169" s="494">
        <f>SUMIF('C-1 Site River Baseline'!$D$10:$D$257,'G-2 Habitat groups'!A169,'C-1 Site River Baseline'!$E$10:$E$257)</f>
        <v>0</v>
      </c>
      <c r="F169" s="494">
        <f>SUMIF('C-1 Site River Baseline'!$D$10:$D$257,'G-2 Habitat groups'!A169,'C-1 Site River Baseline'!$R$10:$R$257)</f>
        <v>0</v>
      </c>
      <c r="G169" s="494">
        <f>SUMIF('C-1 Site River Baseline'!$D$10:$D$257,'G-2 Habitat groups'!A169,'C-1 Site River Baseline'!$T$10:$T$257)</f>
        <v>0</v>
      </c>
      <c r="H169" s="494">
        <f>SUMIF('C-1 Site River Baseline'!$D$10:$D$257,'G-2 Habitat groups'!A169,'C-1 Site River Baseline'!$V$10:$V$257)</f>
        <v>0</v>
      </c>
      <c r="I169" s="494">
        <f>SUMIF('C-1 Site River Baseline'!$D$10:$D$257,'G-2 Habitat groups'!A169,'C-1 Site River Baseline'!$X$10:$X$257)</f>
        <v>0</v>
      </c>
      <c r="J169" s="494">
        <f>SUMIF('C-1 Site River Baseline'!$D$10:$D$257,'G-2 Habitat groups'!A169,'C-1 Site River Baseline'!$Y$10:$Y$257)</f>
        <v>0</v>
      </c>
      <c r="K169" s="494">
        <f>SUMIF('C-2 Site River Creation'!$C$10:$C$257,'G-2 Habitat groups'!A169,'C-2 Site River Creation'!$D$10:$D$257)</f>
        <v>0</v>
      </c>
      <c r="L169" s="494">
        <f>SUMIF('C-2 Site River Creation'!$C$10:$C$257,'G-2 Habitat groups'!A169,'C-2 Site River Creation'!$Z$10:$Z$257)</f>
        <v>0</v>
      </c>
      <c r="M169" s="494">
        <f>SUMIF('C-3 Site River Enhancement'!$N$12:$N$257,'G-2 Habitat groups'!A169,'C-3 Site River Enhancement'!$Q$12:$Q$257)</f>
        <v>0</v>
      </c>
      <c r="N169" s="494">
        <f>SUMIF('C-3 Site River Enhancement'!$N$12:$N$257,'G-2 Habitat groups'!A169,'C-3 Site River Enhancement'!$AM$12:$AM$257)</f>
        <v>0</v>
      </c>
      <c r="O169" s="494">
        <f>G169+K169+M169</f>
        <v>0</v>
      </c>
      <c r="P169" s="494">
        <f>H169+L169+N169</f>
        <v>0</v>
      </c>
      <c r="Q169" s="494">
        <f t="shared" ref="Q169:Q172" si="160">O169-E169</f>
        <v>0</v>
      </c>
      <c r="R169" s="494">
        <f t="shared" si="155"/>
        <v>0</v>
      </c>
      <c r="S169" s="494">
        <f>SUMIF('F-1 Off Site River Baseline'!$D$10:$D$257,'G-2 Habitat groups'!A169,'F-1 Off Site River Baseline'!$E$10:$E$257)</f>
        <v>0</v>
      </c>
      <c r="T169" s="494">
        <f>SUMIF('F-1 Off Site River Baseline'!$D$10:$D$257,'G-2 Habitat groups'!A169,'F-1 Off Site River Baseline'!$R$10:$R$257)</f>
        <v>0</v>
      </c>
      <c r="U169" s="494">
        <f>SUMIF('F-1 Off Site River Baseline'!$D$10:$D$257,'G-2 Habitat groups'!A169,'F-1 Off Site River Baseline'!$T$10:$T$257)</f>
        <v>0</v>
      </c>
      <c r="V169" s="494">
        <f>SUMIF('F-1 Off Site River Baseline'!$D$10:$D$257,'G-2 Habitat groups'!A169,'F-1 Off Site River Baseline'!$V$10:$V$257)</f>
        <v>0</v>
      </c>
      <c r="W169" s="494">
        <f>SUMIF('F-2 Off Site River Creation'!$C$12:$C$259,'G-2 Habitat groups'!A169,'F-2 Off Site River Creation'!$D$12:$D$259)</f>
        <v>0</v>
      </c>
      <c r="X169" s="494">
        <f>SUMIF('F-2 Off Site River Creation'!$C$12:$C$259,'G-2 Habitat groups'!A169,'F-2 Off Site River Creation'!$AB$12:$AB$259)</f>
        <v>0</v>
      </c>
      <c r="Y169" s="494">
        <f>SUMIF('F-3 Off Site River Enhancement'!$N$12:$N$259,'G-2 Habitat groups'!A169,'F-3 Off Site River Enhancement'!$Q$12:$Q$259)</f>
        <v>0</v>
      </c>
      <c r="Z169" s="494">
        <f>SUMIF('F-3 Off Site River Enhancement'!$N$12:$N$259,'G-2 Habitat groups'!A169,'F-3 Off Site River Enhancement'!$AO$12:$AO$259)</f>
        <v>0</v>
      </c>
      <c r="AA169" s="494">
        <f t="shared" ref="AA169:AA172" si="161">U169+W169+Y169</f>
        <v>0</v>
      </c>
      <c r="AB169" s="494">
        <f t="shared" ref="AB169:AB172" si="162">V169+X169+Z169</f>
        <v>0</v>
      </c>
      <c r="AC169" s="494">
        <f t="shared" si="156"/>
        <v>0</v>
      </c>
      <c r="AD169" s="494">
        <f t="shared" si="157"/>
        <v>0</v>
      </c>
      <c r="AE169" s="494">
        <f t="shared" si="158"/>
        <v>0</v>
      </c>
      <c r="AF169" s="494">
        <f t="shared" si="159"/>
        <v>0</v>
      </c>
    </row>
    <row r="170" spans="1:32" x14ac:dyDescent="0.25">
      <c r="A170" s="104" t="str">
        <f>'G-7 Rivers Data'!B6</f>
        <v>Ditches</v>
      </c>
      <c r="B170" s="88" t="s">
        <v>897</v>
      </c>
      <c r="C170" s="88" t="str">
        <f>'G-7 Rivers Data'!C6</f>
        <v>Medium</v>
      </c>
      <c r="D170" s="88" t="str">
        <f>'G-7 Rivers Data'!AU6</f>
        <v>Avoid, Mitigate or Compensate</v>
      </c>
      <c r="E170" s="494">
        <f>SUMIF('C-1 Site River Baseline'!$D$10:$D$257,'G-2 Habitat groups'!A170,'C-1 Site River Baseline'!$E$10:$E$257)</f>
        <v>0</v>
      </c>
      <c r="F170" s="494">
        <f>SUMIF('C-1 Site River Baseline'!$D$10:$D$257,'G-2 Habitat groups'!A170,'C-1 Site River Baseline'!$R$10:$R$257)</f>
        <v>0</v>
      </c>
      <c r="G170" s="494">
        <f>SUMIF('C-1 Site River Baseline'!$D$10:$D$257,'G-2 Habitat groups'!A170,'C-1 Site River Baseline'!$T$10:$T$257)</f>
        <v>0</v>
      </c>
      <c r="H170" s="494">
        <f>SUMIF('C-1 Site River Baseline'!$D$10:$D$257,'G-2 Habitat groups'!A170,'C-1 Site River Baseline'!$V$10:$V$257)</f>
        <v>0</v>
      </c>
      <c r="I170" s="494">
        <f>SUMIF('C-1 Site River Baseline'!$D$10:$D$257,'G-2 Habitat groups'!A170,'C-1 Site River Baseline'!$X$10:$X$257)</f>
        <v>0</v>
      </c>
      <c r="J170" s="494">
        <f>SUMIF('C-1 Site River Baseline'!$D$10:$D$257,'G-2 Habitat groups'!A170,'C-1 Site River Baseline'!$Y$10:$Y$257)</f>
        <v>0</v>
      </c>
      <c r="K170" s="494">
        <f>SUMIF('C-2 Site River Creation'!$C$10:$C$257,'G-2 Habitat groups'!A170,'C-2 Site River Creation'!$D$10:$D$257)</f>
        <v>0</v>
      </c>
      <c r="L170" s="494">
        <f>SUMIF('C-2 Site River Creation'!$C$10:$C$257,'G-2 Habitat groups'!A170,'C-2 Site River Creation'!$Z$10:$Z$257)</f>
        <v>0</v>
      </c>
      <c r="M170" s="494">
        <f>SUMIF('C-3 Site River Enhancement'!$N$12:$N$257,'G-2 Habitat groups'!A170,'C-3 Site River Enhancement'!$Q$12:$Q$257)</f>
        <v>0</v>
      </c>
      <c r="N170" s="494">
        <f>SUMIF('C-3 Site River Enhancement'!$N$12:$N$257,'G-2 Habitat groups'!A170,'C-3 Site River Enhancement'!$AM$12:$AM$257)</f>
        <v>0</v>
      </c>
      <c r="O170" s="494">
        <f t="shared" si="153"/>
        <v>0</v>
      </c>
      <c r="P170" s="494">
        <f t="shared" si="154"/>
        <v>0</v>
      </c>
      <c r="Q170" s="494">
        <f t="shared" si="160"/>
        <v>0</v>
      </c>
      <c r="R170" s="494">
        <f t="shared" si="155"/>
        <v>0</v>
      </c>
      <c r="S170" s="494">
        <f>SUMIF('F-1 Off Site River Baseline'!$D$10:$D$257,'G-2 Habitat groups'!A170,'F-1 Off Site River Baseline'!$E$10:$E$257)</f>
        <v>0</v>
      </c>
      <c r="T170" s="494">
        <f>SUMIF('F-1 Off Site River Baseline'!$D$10:$D$257,'G-2 Habitat groups'!A170,'F-1 Off Site River Baseline'!$R$10:$R$257)</f>
        <v>0</v>
      </c>
      <c r="U170" s="494">
        <f>SUMIF('F-1 Off Site River Baseline'!$D$10:$D$257,'G-2 Habitat groups'!A170,'F-1 Off Site River Baseline'!$T$10:$T$257)</f>
        <v>0</v>
      </c>
      <c r="V170" s="494">
        <f>SUMIF('F-1 Off Site River Baseline'!$D$10:$D$257,'G-2 Habitat groups'!A170,'F-1 Off Site River Baseline'!$V$10:$V$257)</f>
        <v>0</v>
      </c>
      <c r="W170" s="494">
        <f>SUMIF('F-2 Off Site River Creation'!$C$12:$C$259,'G-2 Habitat groups'!A170,'F-2 Off Site River Creation'!$D$12:$D$259)</f>
        <v>0</v>
      </c>
      <c r="X170" s="494">
        <f>SUMIF('F-2 Off Site River Creation'!$C$12:$C$259,'G-2 Habitat groups'!A170,'F-2 Off Site River Creation'!$AB$12:$AB$259)</f>
        <v>0</v>
      </c>
      <c r="Y170" s="494">
        <f>SUMIF('F-3 Off Site River Enhancement'!$N$12:$N$259,'G-2 Habitat groups'!A170,'F-3 Off Site River Enhancement'!$Q$12:$Q$259)</f>
        <v>0</v>
      </c>
      <c r="Z170" s="494">
        <f>SUMIF('F-3 Off Site River Enhancement'!$N$12:$N$259,'G-2 Habitat groups'!A170,'F-3 Off Site River Enhancement'!$AO$12:$AO$259)</f>
        <v>0</v>
      </c>
      <c r="AA170" s="494">
        <f t="shared" si="161"/>
        <v>0</v>
      </c>
      <c r="AB170" s="494">
        <f t="shared" si="162"/>
        <v>0</v>
      </c>
      <c r="AC170" s="494">
        <f t="shared" si="156"/>
        <v>0</v>
      </c>
      <c r="AD170" s="494">
        <f t="shared" si="157"/>
        <v>0</v>
      </c>
      <c r="AE170" s="494">
        <f t="shared" si="158"/>
        <v>0</v>
      </c>
      <c r="AF170" s="494">
        <f t="shared" si="159"/>
        <v>0</v>
      </c>
    </row>
    <row r="171" spans="1:32" x14ac:dyDescent="0.25">
      <c r="A171" s="104" t="str">
        <f>'G-7 Rivers Data'!B7</f>
        <v>Canals</v>
      </c>
      <c r="B171" s="88" t="s">
        <v>897</v>
      </c>
      <c r="C171" s="88" t="str">
        <f>'G-7 Rivers Data'!C7</f>
        <v>Medium</v>
      </c>
      <c r="D171" s="88" t="str">
        <f>'G-7 Rivers Data'!AU6</f>
        <v>Avoid, Mitigate or Compensate</v>
      </c>
      <c r="E171" s="494">
        <f>SUMIF('C-1 Site River Baseline'!$D$10:$D$257,'G-2 Habitat groups'!A171,'C-1 Site River Baseline'!$E$10:$E$257)</f>
        <v>0</v>
      </c>
      <c r="F171" s="494">
        <f>SUMIF('C-1 Site River Baseline'!$D$10:$D$257,'G-2 Habitat groups'!A171,'C-1 Site River Baseline'!$R$10:$R$257)</f>
        <v>0</v>
      </c>
      <c r="G171" s="494">
        <f>SUMIF('C-1 Site River Baseline'!$D$10:$D$257,'G-2 Habitat groups'!A171,'C-1 Site River Baseline'!$T$10:$T$257)</f>
        <v>0</v>
      </c>
      <c r="H171" s="494">
        <f>SUMIF('C-1 Site River Baseline'!$D$10:$D$257,'G-2 Habitat groups'!A171,'C-1 Site River Baseline'!$V$10:$V$257)</f>
        <v>0</v>
      </c>
      <c r="I171" s="494">
        <f>SUMIF('C-1 Site River Baseline'!$D$10:$D$257,'G-2 Habitat groups'!A171,'C-1 Site River Baseline'!$X$10:$X$257)</f>
        <v>0</v>
      </c>
      <c r="J171" s="494">
        <f>SUMIF('C-1 Site River Baseline'!$D$10:$D$257,'G-2 Habitat groups'!A171,'C-1 Site River Baseline'!$Y$10:$Y$257)</f>
        <v>0</v>
      </c>
      <c r="K171" s="494">
        <f>SUMIF('C-2 Site River Creation'!$C$10:$C$257,'G-2 Habitat groups'!A171,'C-2 Site River Creation'!$D$10:$D$257)</f>
        <v>0</v>
      </c>
      <c r="L171" s="494">
        <f>SUMIF('C-2 Site River Creation'!$C$10:$C$257,'G-2 Habitat groups'!A171,'C-2 Site River Creation'!$Z$10:$Z$257)</f>
        <v>0</v>
      </c>
      <c r="M171" s="494">
        <f>SUMIF('C-3 Site River Enhancement'!$N$12:$N$257,'G-2 Habitat groups'!A171,'C-3 Site River Enhancement'!$Q$12:$Q$257)</f>
        <v>0</v>
      </c>
      <c r="N171" s="494">
        <f>SUMIF('C-3 Site River Enhancement'!$N$12:$N$257,'G-2 Habitat groups'!A171,'C-3 Site River Enhancement'!$AM$12:$AM$257)</f>
        <v>0</v>
      </c>
      <c r="O171" s="494">
        <f t="shared" si="153"/>
        <v>0</v>
      </c>
      <c r="P171" s="494">
        <f t="shared" si="154"/>
        <v>0</v>
      </c>
      <c r="Q171" s="494">
        <f t="shared" si="160"/>
        <v>0</v>
      </c>
      <c r="R171" s="494">
        <f t="shared" si="155"/>
        <v>0</v>
      </c>
      <c r="S171" s="494">
        <f>SUMIF('F-1 Off Site River Baseline'!$D$10:$D$257,'G-2 Habitat groups'!A171,'F-1 Off Site River Baseline'!$E$10:$E$257)</f>
        <v>0</v>
      </c>
      <c r="T171" s="494">
        <f>SUMIF('F-1 Off Site River Baseline'!$D$10:$D$257,'G-2 Habitat groups'!A171,'F-1 Off Site River Baseline'!$R$10:$R$257)</f>
        <v>0</v>
      </c>
      <c r="U171" s="494">
        <f>SUMIF('F-1 Off Site River Baseline'!$D$10:$D$257,'G-2 Habitat groups'!A171,'F-1 Off Site River Baseline'!$T$10:$T$257)</f>
        <v>0</v>
      </c>
      <c r="V171" s="494">
        <f>SUMIF('F-1 Off Site River Baseline'!$D$10:$D$257,'G-2 Habitat groups'!A171,'F-1 Off Site River Baseline'!$V$10:$V$257)</f>
        <v>0</v>
      </c>
      <c r="W171" s="494">
        <f>SUMIF('F-2 Off Site River Creation'!$C$12:$C$259,'G-2 Habitat groups'!A171,'F-2 Off Site River Creation'!$D$12:$D$259)</f>
        <v>0</v>
      </c>
      <c r="X171" s="494">
        <f>SUMIF('F-2 Off Site River Creation'!$C$12:$C$259,'G-2 Habitat groups'!A171,'F-2 Off Site River Creation'!$AB$12:$AB$259)</f>
        <v>0</v>
      </c>
      <c r="Y171" s="494">
        <f>SUMIF('F-3 Off Site River Enhancement'!$N$12:$N$259,'G-2 Habitat groups'!A171,'F-3 Off Site River Enhancement'!$Q$12:$Q$259)</f>
        <v>0</v>
      </c>
      <c r="Z171" s="494">
        <f>SUMIF('F-3 Off Site River Enhancement'!$N$12:$N$259,'G-2 Habitat groups'!A171,'F-3 Off Site River Enhancement'!$AO$12:$AO$259)</f>
        <v>0</v>
      </c>
      <c r="AA171" s="494">
        <f t="shared" si="161"/>
        <v>0</v>
      </c>
      <c r="AB171" s="494">
        <f t="shared" si="162"/>
        <v>0</v>
      </c>
      <c r="AC171" s="494">
        <f t="shared" si="156"/>
        <v>0</v>
      </c>
      <c r="AD171" s="494">
        <f t="shared" si="157"/>
        <v>0</v>
      </c>
      <c r="AE171" s="494">
        <f t="shared" si="158"/>
        <v>0</v>
      </c>
      <c r="AF171" s="494">
        <f t="shared" si="159"/>
        <v>0</v>
      </c>
    </row>
    <row r="172" spans="1:32" x14ac:dyDescent="0.25">
      <c r="A172" s="104" t="str">
        <f>'G-7 Rivers Data'!B8</f>
        <v>Culvert</v>
      </c>
      <c r="B172" s="88" t="s">
        <v>897</v>
      </c>
      <c r="C172" s="88" t="str">
        <f>'G-7 Rivers Data'!C8</f>
        <v>Low</v>
      </c>
      <c r="D172" s="88" t="str">
        <f>'G-7 Rivers Data'!AU7</f>
        <v>Mitigate or Compensate</v>
      </c>
      <c r="E172" s="494">
        <f>SUMIF('C-1 Site River Baseline'!$D$10:$D$257,'G-2 Habitat groups'!A172,'C-1 Site River Baseline'!$E$10:$E$257)</f>
        <v>0</v>
      </c>
      <c r="F172" s="494">
        <f>SUMIF('C-1 Site River Baseline'!$D$10:$D$257,'G-2 Habitat groups'!A172,'C-1 Site River Baseline'!$R$10:$R$257)</f>
        <v>0</v>
      </c>
      <c r="G172" s="494">
        <f>SUMIF('C-1 Site River Baseline'!$D$10:$D$257,'G-2 Habitat groups'!A172,'C-1 Site River Baseline'!$T$10:$T$257)</f>
        <v>0</v>
      </c>
      <c r="H172" s="494">
        <f>SUMIF('C-1 Site River Baseline'!$D$10:$D$257,'G-2 Habitat groups'!A172,'C-1 Site River Baseline'!$V$10:$V$257)</f>
        <v>0</v>
      </c>
      <c r="I172" s="494">
        <f>SUMIF('C-1 Site River Baseline'!$D$10:$D$257,'G-2 Habitat groups'!A172,'C-1 Site River Baseline'!$X$10:$X$257)</f>
        <v>0</v>
      </c>
      <c r="J172" s="494">
        <f>SUMIF('C-1 Site River Baseline'!$D$10:$D$257,'G-2 Habitat groups'!A172,'C-1 Site River Baseline'!$Y$10:$Y$257)</f>
        <v>0</v>
      </c>
      <c r="K172" s="494">
        <f>SUMIF('C-2 Site River Creation'!$C$10:$C$257,'G-2 Habitat groups'!A172,'C-2 Site River Creation'!$D$10:$D$257)</f>
        <v>0</v>
      </c>
      <c r="L172" s="494">
        <f>SUMIF('C-2 Site River Creation'!$C$10:$C$257,'G-2 Habitat groups'!A172,'C-2 Site River Creation'!$Z$10:$Z$257)</f>
        <v>0</v>
      </c>
      <c r="M172" s="494">
        <f>SUMIF('C-3 Site River Enhancement'!$N$12:$N$257,'G-2 Habitat groups'!A172,'C-3 Site River Enhancement'!$Q$12:$Q$257)</f>
        <v>0</v>
      </c>
      <c r="N172" s="494">
        <f>SUMIF('C-3 Site River Enhancement'!$N$12:$N$257,'G-2 Habitat groups'!A172,'C-3 Site River Enhancement'!$AM$12:$AM$257)</f>
        <v>0</v>
      </c>
      <c r="O172" s="592">
        <f t="shared" si="153"/>
        <v>0</v>
      </c>
      <c r="P172" s="592">
        <f t="shared" si="154"/>
        <v>0</v>
      </c>
      <c r="Q172" s="592">
        <f t="shared" si="160"/>
        <v>0</v>
      </c>
      <c r="R172" s="592">
        <f t="shared" si="155"/>
        <v>0</v>
      </c>
      <c r="S172" s="494">
        <f>SUMIF('F-1 Off Site River Baseline'!$D$10:$D$257,'G-2 Habitat groups'!A172,'F-1 Off Site River Baseline'!$E$10:$E$257)</f>
        <v>0</v>
      </c>
      <c r="T172" s="494">
        <f>SUMIF('F-1 Off Site River Baseline'!$D$10:$D$257,'G-2 Habitat groups'!A172,'F-1 Off Site River Baseline'!$R$10:$R$257)</f>
        <v>0</v>
      </c>
      <c r="U172" s="494">
        <f>SUMIF('F-1 Off Site River Baseline'!$D$10:$D$257,'G-2 Habitat groups'!A172,'F-1 Off Site River Baseline'!$T$10:$T$257)</f>
        <v>0</v>
      </c>
      <c r="V172" s="494">
        <f>SUMIF('F-1 Off Site River Baseline'!$D$10:$D$257,'G-2 Habitat groups'!A172,'F-1 Off Site River Baseline'!$V$10:$V$257)</f>
        <v>0</v>
      </c>
      <c r="W172" s="494">
        <f>SUMIF('F-2 Off Site River Creation'!$C$12:$C$259,'G-2 Habitat groups'!A172,'F-2 Off Site River Creation'!$D$12:$D$259)</f>
        <v>0</v>
      </c>
      <c r="X172" s="494">
        <f>SUMIF('F-2 Off Site River Creation'!$C$12:$C$259,'G-2 Habitat groups'!A172,'F-2 Off Site River Creation'!$AB$12:$AB$259)</f>
        <v>0</v>
      </c>
      <c r="Y172" s="494">
        <f>SUMIF('F-3 Off Site River Enhancement'!$N$12:$N$259,'G-2 Habitat groups'!A172,'F-3 Off Site River Enhancement'!$Q$12:$Q$259)</f>
        <v>0</v>
      </c>
      <c r="Z172" s="494">
        <f>SUMIF('F-3 Off Site River Enhancement'!$N$12:$N$259,'G-2 Habitat groups'!A172,'F-3 Off Site River Enhancement'!$AO$12:$AO$259)</f>
        <v>0</v>
      </c>
      <c r="AA172" s="592">
        <f t="shared" si="161"/>
        <v>0</v>
      </c>
      <c r="AB172" s="592">
        <f t="shared" si="162"/>
        <v>0</v>
      </c>
      <c r="AC172" s="592">
        <f t="shared" si="156"/>
        <v>0</v>
      </c>
      <c r="AD172" s="592">
        <f t="shared" si="157"/>
        <v>0</v>
      </c>
      <c r="AE172" s="592">
        <f t="shared" si="158"/>
        <v>0</v>
      </c>
      <c r="AF172" s="592">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60" zoomScaleNormal="60" workbookViewId="0">
      <selection activeCell="S28" sqref="S28"/>
    </sheetView>
  </sheetViews>
  <sheetFormatPr defaultColWidth="0" defaultRowHeight="13.8" zeroHeight="1" x14ac:dyDescent="0.25"/>
  <cols>
    <col min="1" max="1" width="76.44140625" style="31" customWidth="1"/>
    <col min="2" max="2" width="28.88671875" style="31" bestFit="1" customWidth="1"/>
    <col min="3" max="3" width="18.5546875" style="31" bestFit="1" customWidth="1"/>
    <col min="4" max="4" width="30.5546875" style="31" bestFit="1" customWidth="1"/>
    <col min="5" max="5" width="18.5546875" style="31" bestFit="1" customWidth="1"/>
    <col min="6" max="7" width="9.109375" style="31" customWidth="1"/>
    <col min="8" max="8" width="16.33203125" style="31" hidden="1" customWidth="1"/>
    <col min="9" max="9" width="32.88671875" style="31" hidden="1" customWidth="1"/>
    <col min="10" max="10" width="8.109375" style="31" hidden="1" customWidth="1"/>
    <col min="11" max="11" width="9.109375" style="31" customWidth="1"/>
    <col min="12" max="12" width="38.5546875" style="31" customWidth="1"/>
    <col min="13" max="13" width="26.33203125" style="31" customWidth="1"/>
    <col min="14" max="14" width="12" style="31" bestFit="1" customWidth="1"/>
    <col min="15" max="15" width="9.109375" style="31" customWidth="1"/>
    <col min="16" max="16" width="11.6640625" style="31" bestFit="1" customWidth="1"/>
    <col min="17" max="17" width="9.109375" style="31" customWidth="1"/>
    <col min="18" max="18" width="18.88671875" style="31" customWidth="1"/>
    <col min="19" max="19" width="40" style="31" customWidth="1"/>
    <col min="20" max="20" width="19.44140625" style="31" customWidth="1"/>
    <col min="21" max="21" width="9.109375" style="31" customWidth="1"/>
    <col min="22" max="22" width="11.33203125" style="31" customWidth="1"/>
    <col min="23" max="23" width="12" style="31" bestFit="1" customWidth="1"/>
    <col min="24" max="24" width="14.33203125" style="31" bestFit="1" customWidth="1"/>
    <col min="25" max="25" width="17.6640625" style="31" bestFit="1" customWidth="1"/>
    <col min="26" max="26" width="10.109375" style="31" bestFit="1" customWidth="1"/>
    <col min="27" max="28" width="9.109375" style="31" customWidth="1"/>
    <col min="29" max="34" width="0" style="31" hidden="1" customWidth="1"/>
    <col min="35" max="16384" width="9.109375" style="31" hidden="1"/>
  </cols>
  <sheetData>
    <row r="1" spans="1:26" ht="36.6" customHeight="1" thickBot="1" x14ac:dyDescent="0.5">
      <c r="A1" s="796" t="s">
        <v>898</v>
      </c>
      <c r="B1" s="797"/>
      <c r="C1" s="797"/>
      <c r="D1" s="797"/>
      <c r="E1" s="798"/>
      <c r="J1" s="286"/>
      <c r="L1" s="796" t="s">
        <v>899</v>
      </c>
      <c r="M1" s="797"/>
      <c r="N1" s="798"/>
      <c r="P1" s="796" t="s">
        <v>291</v>
      </c>
      <c r="Q1" s="798"/>
    </row>
    <row r="2" spans="1:26" ht="42" customHeight="1" thickBot="1" x14ac:dyDescent="0.5">
      <c r="A2" s="287" t="s">
        <v>820</v>
      </c>
      <c r="B2" s="201" t="s">
        <v>359</v>
      </c>
      <c r="C2" s="201" t="s">
        <v>323</v>
      </c>
      <c r="D2" s="201" t="s">
        <v>360</v>
      </c>
      <c r="E2" s="287" t="s">
        <v>323</v>
      </c>
      <c r="H2" s="1049" t="s">
        <v>900</v>
      </c>
      <c r="I2" s="1050"/>
      <c r="J2" s="1051"/>
      <c r="L2" s="1046" t="s">
        <v>901</v>
      </c>
      <c r="M2" s="1047"/>
      <c r="N2" s="1048"/>
      <c r="P2" s="287" t="s">
        <v>902</v>
      </c>
      <c r="Q2" s="287" t="s">
        <v>903</v>
      </c>
      <c r="S2" s="867" t="s">
        <v>904</v>
      </c>
      <c r="T2" s="869"/>
      <c r="W2" s="796" t="s">
        <v>905</v>
      </c>
      <c r="X2" s="797"/>
      <c r="Y2" s="797"/>
      <c r="Z2" s="798"/>
    </row>
    <row r="3" spans="1:26" x14ac:dyDescent="0.25">
      <c r="A3" s="110" t="str">
        <f>'G-1 All Habitats'!B99</f>
        <v>Coastal lagoons - Coastal lagoons</v>
      </c>
      <c r="B3" s="544" t="str">
        <f>'G-1 All Habitats'!N99</f>
        <v>Medium</v>
      </c>
      <c r="C3" s="544">
        <f>'G-1 All Habitats'!O99</f>
        <v>0.67</v>
      </c>
      <c r="D3" s="544" t="str">
        <f>'G-1 All Habitats'!P99</f>
        <v>Medium</v>
      </c>
      <c r="E3" s="544">
        <f>'G-1 All Habitats'!Q99</f>
        <v>0.67</v>
      </c>
      <c r="H3" s="103" t="s">
        <v>206</v>
      </c>
      <c r="I3" s="280" t="s">
        <v>906</v>
      </c>
      <c r="J3" s="280" t="s">
        <v>907</v>
      </c>
      <c r="L3" s="280" t="s">
        <v>906</v>
      </c>
      <c r="M3" s="103" t="s">
        <v>908</v>
      </c>
      <c r="N3" s="280" t="s">
        <v>323</v>
      </c>
      <c r="P3" s="130" t="s">
        <v>156</v>
      </c>
      <c r="Q3" s="544">
        <v>1</v>
      </c>
      <c r="S3" s="287" t="s">
        <v>66</v>
      </c>
      <c r="T3" s="287" t="s">
        <v>323</v>
      </c>
      <c r="W3" s="287" t="s">
        <v>16</v>
      </c>
      <c r="X3" s="287" t="s">
        <v>909</v>
      </c>
      <c r="Y3" s="287" t="s">
        <v>910</v>
      </c>
      <c r="Z3" s="287" t="s">
        <v>911</v>
      </c>
    </row>
    <row r="4" spans="1:26" ht="41.4" x14ac:dyDescent="0.25">
      <c r="A4" s="110" t="str">
        <f>'G-1 All Habitats'!B108</f>
        <v>Coastal saltmarsh - Saltmarshes and saline reedbeds</v>
      </c>
      <c r="B4" s="544" t="str">
        <f>'G-1 All Habitats'!N108</f>
        <v>High</v>
      </c>
      <c r="C4" s="544">
        <f>'G-1 All Habitats'!O108</f>
        <v>0.33</v>
      </c>
      <c r="D4" s="544" t="str">
        <f>'G-1 All Habitats'!P108</f>
        <v>Medium</v>
      </c>
      <c r="E4" s="544">
        <f>'G-1 All Habitats'!Q108</f>
        <v>0.67</v>
      </c>
      <c r="H4" s="130" t="s">
        <v>153</v>
      </c>
      <c r="I4" s="147" t="s">
        <v>912</v>
      </c>
      <c r="J4" s="188">
        <v>1.1499999999999999</v>
      </c>
      <c r="L4" s="130" t="s">
        <v>913</v>
      </c>
      <c r="M4" s="520" t="s">
        <v>914</v>
      </c>
      <c r="N4" s="544">
        <v>1.1499999999999999</v>
      </c>
      <c r="P4" s="130" t="s">
        <v>23</v>
      </c>
      <c r="Q4" s="544">
        <v>0.67</v>
      </c>
      <c r="S4" s="130" t="s">
        <v>915</v>
      </c>
      <c r="T4" s="520">
        <v>1</v>
      </c>
      <c r="W4" s="104" t="s">
        <v>22</v>
      </c>
      <c r="X4" s="544">
        <v>0.3</v>
      </c>
      <c r="Y4" s="544">
        <f>X4*12</f>
        <v>3.5999999999999996</v>
      </c>
      <c r="Z4" s="658">
        <f>3.14*(Y4*Y4)/10000</f>
        <v>4.0694399999999997E-3</v>
      </c>
    </row>
    <row r="5" spans="1:26" ht="41.4" x14ac:dyDescent="0.25">
      <c r="A5" s="110" t="str">
        <f>'G-1 All Habitats'!B3</f>
        <v>Cropland - Arable field margins cultivated annually</v>
      </c>
      <c r="B5" s="544" t="str">
        <f>'G-1 All Habitats'!N3</f>
        <v>Low</v>
      </c>
      <c r="C5" s="544">
        <f>'G-1 All Habitats'!O3</f>
        <v>1</v>
      </c>
      <c r="D5" s="544" t="str">
        <f>'G-1 All Habitats'!P3</f>
        <v>Low</v>
      </c>
      <c r="E5" s="544">
        <f>'G-1 All Habitats'!Q3</f>
        <v>1</v>
      </c>
      <c r="H5" s="130" t="s">
        <v>23</v>
      </c>
      <c r="I5" s="147" t="s">
        <v>916</v>
      </c>
      <c r="J5" s="188">
        <v>1.1000000000000001</v>
      </c>
      <c r="L5" s="130" t="s">
        <v>917</v>
      </c>
      <c r="M5" s="520" t="s">
        <v>918</v>
      </c>
      <c r="N5" s="544">
        <v>1.1000000000000001</v>
      </c>
      <c r="P5" s="130" t="s">
        <v>153</v>
      </c>
      <c r="Q5" s="544">
        <v>0.33</v>
      </c>
      <c r="S5" s="130" t="s">
        <v>919</v>
      </c>
      <c r="T5" s="520">
        <v>0.75</v>
      </c>
      <c r="W5" s="104" t="s">
        <v>23</v>
      </c>
      <c r="X5" s="544">
        <v>0.9</v>
      </c>
      <c r="Y5" s="544">
        <f t="shared" ref="Y5:Y6" si="0">X5*12</f>
        <v>10.8</v>
      </c>
      <c r="Z5" s="658">
        <f t="shared" ref="Z5:Z6" si="1">3.14*(Y5*Y5)/10000</f>
        <v>3.6624960000000005E-2</v>
      </c>
    </row>
    <row r="6" spans="1:26" ht="41.4" x14ac:dyDescent="0.25">
      <c r="A6" s="110" t="str">
        <f>'G-1 All Habitats'!B4</f>
        <v>Cropland - Arable field margins game bird mix</v>
      </c>
      <c r="B6" s="544" t="str">
        <f>'G-1 All Habitats'!N4</f>
        <v>Low</v>
      </c>
      <c r="C6" s="544">
        <f>'G-1 All Habitats'!O4</f>
        <v>1</v>
      </c>
      <c r="D6" s="544" t="str">
        <f>'G-1 All Habitats'!P4</f>
        <v>Low</v>
      </c>
      <c r="E6" s="544">
        <f>'G-1 All Habitats'!Q4</f>
        <v>1</v>
      </c>
      <c r="H6" s="288" t="s">
        <v>156</v>
      </c>
      <c r="I6" s="147" t="s">
        <v>920</v>
      </c>
      <c r="J6" s="188">
        <v>1</v>
      </c>
      <c r="L6" s="130" t="s">
        <v>921</v>
      </c>
      <c r="M6" s="520" t="s">
        <v>922</v>
      </c>
      <c r="N6" s="544">
        <v>1</v>
      </c>
      <c r="P6" s="130" t="s">
        <v>151</v>
      </c>
      <c r="Q6" s="544">
        <v>0.1</v>
      </c>
      <c r="S6" s="338" t="s">
        <v>923</v>
      </c>
      <c r="T6" s="520">
        <v>0.5</v>
      </c>
      <c r="W6" s="104" t="s">
        <v>24</v>
      </c>
      <c r="X6" s="544">
        <v>1.3</v>
      </c>
      <c r="Y6" s="544">
        <f t="shared" si="0"/>
        <v>15.600000000000001</v>
      </c>
      <c r="Z6" s="658">
        <f t="shared" si="1"/>
        <v>7.6415040000000017E-2</v>
      </c>
    </row>
    <row r="7" spans="1:26" ht="49.95" customHeight="1" x14ac:dyDescent="0.25">
      <c r="A7" s="110" t="str">
        <f>'G-1 All Habitats'!B5</f>
        <v>Cropland - Arable field margins pollen &amp; nectar</v>
      </c>
      <c r="B7" s="544" t="str">
        <f>'G-1 All Habitats'!N5</f>
        <v>Low</v>
      </c>
      <c r="C7" s="544">
        <f>'G-1 All Habitats'!O5</f>
        <v>1</v>
      </c>
      <c r="D7" s="544" t="str">
        <f>'G-1 All Habitats'!P5</f>
        <v>Low</v>
      </c>
      <c r="E7" s="544">
        <f>'G-1 All Habitats'!Q5</f>
        <v>1</v>
      </c>
      <c r="H7" s="288" t="s">
        <v>924</v>
      </c>
      <c r="I7" s="147" t="s">
        <v>925</v>
      </c>
      <c r="J7" s="188">
        <v>1</v>
      </c>
      <c r="S7" s="339" t="s">
        <v>926</v>
      </c>
      <c r="T7" s="520">
        <v>1</v>
      </c>
    </row>
    <row r="8" spans="1:26" ht="49.95" customHeight="1" x14ac:dyDescent="0.25">
      <c r="A8" s="110" t="str">
        <f>'G-1 All Habitats'!B6</f>
        <v>Cropland - Arable field margins tussocky</v>
      </c>
      <c r="B8" s="544" t="str">
        <f>'G-1 All Habitats'!N6</f>
        <v>Low</v>
      </c>
      <c r="C8" s="544">
        <f>'G-1 All Habitats'!O6</f>
        <v>1</v>
      </c>
      <c r="D8" s="544" t="str">
        <f>'G-1 All Habitats'!P6</f>
        <v>Low</v>
      </c>
      <c r="E8" s="544">
        <f>'G-1 All Habitats'!Q6</f>
        <v>1</v>
      </c>
      <c r="S8" s="339" t="s">
        <v>927</v>
      </c>
      <c r="T8" s="520">
        <v>0.75</v>
      </c>
    </row>
    <row r="9" spans="1:26" ht="49.95" customHeight="1" x14ac:dyDescent="0.25">
      <c r="A9" s="110" t="str">
        <f>'G-1 All Habitats'!B7</f>
        <v>Cropland - Cereal crops</v>
      </c>
      <c r="B9" s="544" t="str">
        <f>'G-1 All Habitats'!N7</f>
        <v>Low</v>
      </c>
      <c r="C9" s="544">
        <f>'G-1 All Habitats'!O7</f>
        <v>1</v>
      </c>
      <c r="D9" s="544" t="str">
        <f>'G-1 All Habitats'!P7</f>
        <v>Low</v>
      </c>
      <c r="E9" s="544">
        <f>'G-1 All Habitats'!Q7</f>
        <v>1</v>
      </c>
      <c r="S9" s="339" t="s">
        <v>928</v>
      </c>
      <c r="T9" s="520">
        <v>0.5</v>
      </c>
    </row>
    <row r="10" spans="1:26" x14ac:dyDescent="0.25">
      <c r="A10" s="110" t="str">
        <f>'G-1 All Habitats'!B8</f>
        <v>Cropland - Cereal crops winter stubble</v>
      </c>
      <c r="B10" s="544" t="str">
        <f>'G-1 All Habitats'!N8</f>
        <v>Low</v>
      </c>
      <c r="C10" s="544">
        <f>'G-1 All Habitats'!O8</f>
        <v>1</v>
      </c>
      <c r="D10" s="544" t="str">
        <f>'G-1 All Habitats'!P8</f>
        <v>Low</v>
      </c>
      <c r="E10" s="544">
        <f>'G-1 All Habitats'!Q8</f>
        <v>1</v>
      </c>
    </row>
    <row r="11" spans="1:26" x14ac:dyDescent="0.25">
      <c r="A11" s="110" t="str">
        <f>'G-1 All Habitats'!B9</f>
        <v>Cropland - Horticulture</v>
      </c>
      <c r="B11" s="544" t="str">
        <f>'G-1 All Habitats'!N9</f>
        <v>Low</v>
      </c>
      <c r="C11" s="544">
        <f>'G-1 All Habitats'!O9</f>
        <v>1</v>
      </c>
      <c r="D11" s="544" t="str">
        <f>'G-1 All Habitats'!P9</f>
        <v>Low</v>
      </c>
      <c r="E11" s="544">
        <f>'G-1 All Habitats'!Q9</f>
        <v>1</v>
      </c>
    </row>
    <row r="12" spans="1:26" x14ac:dyDescent="0.25">
      <c r="A12" s="110" t="str">
        <f>'G-1 All Habitats'!B10</f>
        <v>Cropland - Intensive orchards</v>
      </c>
      <c r="B12" s="544" t="str">
        <f>'G-1 All Habitats'!N10</f>
        <v>Low</v>
      </c>
      <c r="C12" s="544">
        <f>'G-1 All Habitats'!O10</f>
        <v>1</v>
      </c>
      <c r="D12" s="544" t="str">
        <f>'G-1 All Habitats'!P10</f>
        <v>Low</v>
      </c>
      <c r="E12" s="544">
        <f>'G-1 All Habitats'!Q10</f>
        <v>1</v>
      </c>
    </row>
    <row r="13" spans="1:26" x14ac:dyDescent="0.25">
      <c r="A13" s="110" t="str">
        <f>'G-1 All Habitats'!B11</f>
        <v>Cropland - Non-cereal crops</v>
      </c>
      <c r="B13" s="544" t="str">
        <f>'G-1 All Habitats'!N11</f>
        <v>Low</v>
      </c>
      <c r="C13" s="544">
        <f>'G-1 All Habitats'!O11</f>
        <v>1</v>
      </c>
      <c r="D13" s="544" t="str">
        <f>'G-1 All Habitats'!P11</f>
        <v>Low</v>
      </c>
      <c r="E13" s="544">
        <f>'G-1 All Habitats'!Q11</f>
        <v>1</v>
      </c>
    </row>
    <row r="14" spans="1:26" x14ac:dyDescent="0.25">
      <c r="A14" s="110" t="str">
        <f>'G-1 All Habitats'!B12</f>
        <v>Cropland - Temporary grass and clover leys</v>
      </c>
      <c r="B14" s="544" t="str">
        <f>'G-1 All Habitats'!N12</f>
        <v>Low</v>
      </c>
      <c r="C14" s="544">
        <f>'G-1 All Habitats'!O12</f>
        <v>1</v>
      </c>
      <c r="D14" s="544" t="str">
        <f>'G-1 All Habitats'!P12</f>
        <v>Low</v>
      </c>
      <c r="E14" s="544">
        <f>'G-1 All Habitats'!Q12</f>
        <v>1</v>
      </c>
    </row>
    <row r="15" spans="1:26" x14ac:dyDescent="0.25">
      <c r="A15" s="110" t="str">
        <f>'G-1 All Habitats'!B13</f>
        <v>Grassland - Traditional orchards</v>
      </c>
      <c r="B15" s="544" t="str">
        <f>'G-1 All Habitats'!N13</f>
        <v>Low</v>
      </c>
      <c r="C15" s="544">
        <f>'G-1 All Habitats'!O13</f>
        <v>1</v>
      </c>
      <c r="D15" s="544" t="str">
        <f>'G-1 All Habitats'!P13</f>
        <v>Medium</v>
      </c>
      <c r="E15" s="544">
        <f>'G-1 All Habitats'!Q13</f>
        <v>0.67</v>
      </c>
    </row>
    <row r="16" spans="1:26" x14ac:dyDescent="0.25">
      <c r="A16" s="110" t="str">
        <f>'G-1 All Habitats'!B14</f>
        <v>Grassland - Bracken</v>
      </c>
      <c r="B16" s="544" t="str">
        <f>'G-1 All Habitats'!N14</f>
        <v>Low</v>
      </c>
      <c r="C16" s="544">
        <f>'G-1 All Habitats'!O14</f>
        <v>1</v>
      </c>
      <c r="D16" s="544" t="str">
        <f>'G-1 All Habitats'!P14</f>
        <v>Low</v>
      </c>
      <c r="E16" s="544">
        <f>'G-1 All Habitats'!Q14</f>
        <v>1</v>
      </c>
    </row>
    <row r="17" spans="1:5" x14ac:dyDescent="0.25">
      <c r="A17" s="110" t="str">
        <f>'G-1 All Habitats'!B15</f>
        <v>Grassland - Floodplain Wetland Mosaic (CFGM)</v>
      </c>
      <c r="B17" s="544" t="str">
        <f>'G-1 All Habitats'!N15</f>
        <v>High</v>
      </c>
      <c r="C17" s="544">
        <f>'G-1 All Habitats'!O15</f>
        <v>0.33</v>
      </c>
      <c r="D17" s="544" t="str">
        <f>'G-1 All Habitats'!P15</f>
        <v>Medium</v>
      </c>
      <c r="E17" s="544">
        <f>'G-1 All Habitats'!Q15</f>
        <v>0.67</v>
      </c>
    </row>
    <row r="18" spans="1:5" x14ac:dyDescent="0.25">
      <c r="A18" s="110" t="str">
        <f>'G-1 All Habitats'!B16</f>
        <v>Grassland - Lowland calcareous grassland</v>
      </c>
      <c r="B18" s="544" t="str">
        <f>'G-1 All Habitats'!N16</f>
        <v>High</v>
      </c>
      <c r="C18" s="544">
        <f>'G-1 All Habitats'!O16</f>
        <v>0.33</v>
      </c>
      <c r="D18" s="544" t="str">
        <f>'G-1 All Habitats'!P16</f>
        <v>High</v>
      </c>
      <c r="E18" s="544">
        <f>'G-1 All Habitats'!Q16</f>
        <v>0.33</v>
      </c>
    </row>
    <row r="19" spans="1:5" x14ac:dyDescent="0.25">
      <c r="A19" s="110" t="str">
        <f>'G-1 All Habitats'!B17</f>
        <v>Grassland - Lowland dry acid grassland</v>
      </c>
      <c r="B19" s="544" t="str">
        <f>'G-1 All Habitats'!N17</f>
        <v>High</v>
      </c>
      <c r="C19" s="544">
        <f>'G-1 All Habitats'!O17</f>
        <v>0.33</v>
      </c>
      <c r="D19" s="544" t="str">
        <f>'G-1 All Habitats'!P17</f>
        <v>High</v>
      </c>
      <c r="E19" s="544">
        <f>'G-1 All Habitats'!Q17</f>
        <v>0.33</v>
      </c>
    </row>
    <row r="20" spans="1:5" x14ac:dyDescent="0.25">
      <c r="A20" s="110" t="str">
        <f>'G-1 All Habitats'!B18</f>
        <v>Grassland - Lowland meadows</v>
      </c>
      <c r="B20" s="544" t="str">
        <f>'G-1 All Habitats'!N18</f>
        <v>High</v>
      </c>
      <c r="C20" s="544">
        <f>'G-1 All Habitats'!O18</f>
        <v>0.33</v>
      </c>
      <c r="D20" s="544" t="str">
        <f>'G-1 All Habitats'!P18</f>
        <v>Medium</v>
      </c>
      <c r="E20" s="544">
        <f>'G-1 All Habitats'!Q18</f>
        <v>0.67</v>
      </c>
    </row>
    <row r="21" spans="1:5" x14ac:dyDescent="0.25">
      <c r="A21" s="110" t="str">
        <f>'G-1 All Habitats'!B19</f>
        <v>Grassland - Modified grassland</v>
      </c>
      <c r="B21" s="544" t="str">
        <f>'G-1 All Habitats'!N19</f>
        <v>Low</v>
      </c>
      <c r="C21" s="544">
        <f>'G-1 All Habitats'!O19</f>
        <v>1</v>
      </c>
      <c r="D21" s="544" t="str">
        <f>'G-1 All Habitats'!P19</f>
        <v>Low</v>
      </c>
      <c r="E21" s="544">
        <f>'G-1 All Habitats'!Q19</f>
        <v>1</v>
      </c>
    </row>
    <row r="22" spans="1:5" x14ac:dyDescent="0.25">
      <c r="A22" s="110" t="str">
        <f>'G-1 All Habitats'!B20</f>
        <v>Grassland - Other lowland acid grassland</v>
      </c>
      <c r="B22" s="544" t="str">
        <f>'G-1 All Habitats'!N20</f>
        <v>Low</v>
      </c>
      <c r="C22" s="544">
        <f>'G-1 All Habitats'!O20</f>
        <v>1</v>
      </c>
      <c r="D22" s="544" t="str">
        <f>'G-1 All Habitats'!P20</f>
        <v>Low</v>
      </c>
      <c r="E22" s="544">
        <f>'G-1 All Habitats'!Q20</f>
        <v>1</v>
      </c>
    </row>
    <row r="23" spans="1:5" x14ac:dyDescent="0.25">
      <c r="A23" s="110" t="str">
        <f>'G-1 All Habitats'!B21</f>
        <v>Grassland - Other neutral grassland</v>
      </c>
      <c r="B23" s="544" t="str">
        <f>'G-1 All Habitats'!N21</f>
        <v>Low</v>
      </c>
      <c r="C23" s="544">
        <f>'G-1 All Habitats'!O21</f>
        <v>1</v>
      </c>
      <c r="D23" s="544" t="str">
        <f>'G-1 All Habitats'!P21</f>
        <v>Low</v>
      </c>
      <c r="E23" s="544">
        <f>'G-1 All Habitats'!Q21</f>
        <v>1</v>
      </c>
    </row>
    <row r="24" spans="1:5" x14ac:dyDescent="0.25">
      <c r="A24" s="110" t="str">
        <f>'G-1 All Habitats'!B22</f>
        <v>Grassland - Tall herb communities (H6430)</v>
      </c>
      <c r="B24" s="544" t="str">
        <f>'G-1 All Habitats'!N22</f>
        <v>High</v>
      </c>
      <c r="C24" s="544">
        <f>'G-1 All Habitats'!O22</f>
        <v>0.33</v>
      </c>
      <c r="D24" s="544" t="str">
        <f>'G-1 All Habitats'!P22</f>
        <v>High</v>
      </c>
      <c r="E24" s="544">
        <f>'G-1 All Habitats'!Q22</f>
        <v>0.33</v>
      </c>
    </row>
    <row r="25" spans="1:5" x14ac:dyDescent="0.25">
      <c r="A25" s="110" t="str">
        <f>'G-1 All Habitats'!B23</f>
        <v>Grassland - Upland acid grassland</v>
      </c>
      <c r="B25" s="544" t="str">
        <f>'G-1 All Habitats'!N23</f>
        <v>Low</v>
      </c>
      <c r="C25" s="544">
        <f>'G-1 All Habitats'!O23</f>
        <v>1</v>
      </c>
      <c r="D25" s="544" t="str">
        <f>'G-1 All Habitats'!P23</f>
        <v>Low</v>
      </c>
      <c r="E25" s="544">
        <f>'G-1 All Habitats'!Q23</f>
        <v>1</v>
      </c>
    </row>
    <row r="26" spans="1:5" x14ac:dyDescent="0.25">
      <c r="A26" s="110" t="str">
        <f>'G-1 All Habitats'!B24</f>
        <v>Grassland - Upland calcareous grassland</v>
      </c>
      <c r="B26" s="544" t="str">
        <f>'G-1 All Habitats'!N24</f>
        <v>High</v>
      </c>
      <c r="C26" s="544">
        <f>'G-1 All Habitats'!O24</f>
        <v>0.33</v>
      </c>
      <c r="D26" s="544" t="str">
        <f>'G-1 All Habitats'!P24</f>
        <v>High</v>
      </c>
      <c r="E26" s="544">
        <f>'G-1 All Habitats'!Q24</f>
        <v>0.33</v>
      </c>
    </row>
    <row r="27" spans="1:5" x14ac:dyDescent="0.25">
      <c r="A27" s="110" t="str">
        <f>'G-1 All Habitats'!B25</f>
        <v>Grassland - Upland hay meadows</v>
      </c>
      <c r="B27" s="544" t="str">
        <f>'G-1 All Habitats'!N25</f>
        <v>High</v>
      </c>
      <c r="C27" s="544">
        <f>'G-1 All Habitats'!O25</f>
        <v>0.33</v>
      </c>
      <c r="D27" s="544" t="str">
        <f>'G-1 All Habitats'!P25</f>
        <v>Medium</v>
      </c>
      <c r="E27" s="544">
        <f>'G-1 All Habitats'!Q25</f>
        <v>0.67</v>
      </c>
    </row>
    <row r="28" spans="1:5" x14ac:dyDescent="0.25">
      <c r="A28" s="110" t="str">
        <f>'G-1 All Habitats'!B26</f>
        <v>Heathland and shrub - Blackthorn scrub</v>
      </c>
      <c r="B28" s="544" t="str">
        <f>'G-1 All Habitats'!N26</f>
        <v>Low</v>
      </c>
      <c r="C28" s="544">
        <f>'G-1 All Habitats'!O26</f>
        <v>1</v>
      </c>
      <c r="D28" s="544" t="str">
        <f>'G-1 All Habitats'!P26</f>
        <v>Low</v>
      </c>
      <c r="E28" s="544">
        <f>'G-1 All Habitats'!Q26</f>
        <v>1</v>
      </c>
    </row>
    <row r="29" spans="1:5" x14ac:dyDescent="0.25">
      <c r="A29" s="110" t="str">
        <f>'G-1 All Habitats'!B27</f>
        <v>Heathland and shrub - Bramble scrub</v>
      </c>
      <c r="B29" s="544" t="str">
        <f>'G-1 All Habitats'!N27</f>
        <v>Low</v>
      </c>
      <c r="C29" s="544">
        <f>'G-1 All Habitats'!O27</f>
        <v>1</v>
      </c>
      <c r="D29" s="544" t="str">
        <f>'G-1 All Habitats'!P27</f>
        <v>Low</v>
      </c>
      <c r="E29" s="544">
        <f>'G-1 All Habitats'!Q27</f>
        <v>1</v>
      </c>
    </row>
    <row r="30" spans="1:5" x14ac:dyDescent="0.25">
      <c r="A30" s="110" t="str">
        <f>'G-1 All Habitats'!B28</f>
        <v>Heathland and shrub - Gorse scrub</v>
      </c>
      <c r="B30" s="544" t="str">
        <f>'G-1 All Habitats'!N28</f>
        <v>Low</v>
      </c>
      <c r="C30" s="544">
        <f>'G-1 All Habitats'!O28</f>
        <v>1</v>
      </c>
      <c r="D30" s="544" t="str">
        <f>'G-1 All Habitats'!P28</f>
        <v>Low</v>
      </c>
      <c r="E30" s="544">
        <f>'G-1 All Habitats'!Q28</f>
        <v>1</v>
      </c>
    </row>
    <row r="31" spans="1:5" x14ac:dyDescent="0.25">
      <c r="A31" s="110" t="str">
        <f>'G-1 All Habitats'!B29</f>
        <v>Heathland and shrub - Hawthorn scrub</v>
      </c>
      <c r="B31" s="544" t="str">
        <f>'G-1 All Habitats'!N29</f>
        <v>Low</v>
      </c>
      <c r="C31" s="544">
        <f>'G-1 All Habitats'!O29</f>
        <v>1</v>
      </c>
      <c r="D31" s="544" t="str">
        <f>'G-1 All Habitats'!P29</f>
        <v>Low</v>
      </c>
      <c r="E31" s="544">
        <f>'G-1 All Habitats'!Q29</f>
        <v>1</v>
      </c>
    </row>
    <row r="32" spans="1:5" x14ac:dyDescent="0.25">
      <c r="A32" s="110" t="str">
        <f>'G-1 All Habitats'!B30</f>
        <v>Heathland and shrub - Hazel scrub</v>
      </c>
      <c r="B32" s="544" t="s">
        <v>23</v>
      </c>
      <c r="C32" s="544">
        <f>'G-1 All Habitats'!O30</f>
        <v>1</v>
      </c>
      <c r="D32" s="544" t="s">
        <v>23</v>
      </c>
      <c r="E32" s="544">
        <f>'G-1 All Habitats'!Q30</f>
        <v>1</v>
      </c>
    </row>
    <row r="33" spans="1:5" x14ac:dyDescent="0.25">
      <c r="A33" s="110" t="str">
        <f>'G-1 All Habitats'!B31</f>
        <v>Heathland and shrub - Lowland Heathland</v>
      </c>
      <c r="B33" s="544" t="str">
        <f>'G-1 All Habitats'!N31</f>
        <v>High</v>
      </c>
      <c r="C33" s="544">
        <f>'G-1 All Habitats'!O31</f>
        <v>0.33</v>
      </c>
      <c r="D33" s="544" t="str">
        <f>'G-1 All Habitats'!P31</f>
        <v>Medium</v>
      </c>
      <c r="E33" s="544">
        <f>'G-1 All Habitats'!Q31</f>
        <v>0.67</v>
      </c>
    </row>
    <row r="34" spans="1:5" x14ac:dyDescent="0.25">
      <c r="A34" s="110" t="str">
        <f>'G-1 All Habitats'!B32</f>
        <v>Heathland and shrub - Mixed scrub</v>
      </c>
      <c r="B34" s="544" t="str">
        <f>'G-1 All Habitats'!N32</f>
        <v>Low</v>
      </c>
      <c r="C34" s="544">
        <f>'G-1 All Habitats'!O32</f>
        <v>1</v>
      </c>
      <c r="D34" s="544" t="str">
        <f>'G-1 All Habitats'!P32</f>
        <v>Low</v>
      </c>
      <c r="E34" s="544">
        <f>'G-1 All Habitats'!Q32</f>
        <v>1</v>
      </c>
    </row>
    <row r="35" spans="1:5" x14ac:dyDescent="0.25">
      <c r="A35" s="110" t="str">
        <f>'G-1 All Habitats'!B33</f>
        <v>Heathland and shrub - Mountain heaths and willow scrub</v>
      </c>
      <c r="B35" s="544" t="str">
        <f>'G-1 All Habitats'!N33</f>
        <v>High</v>
      </c>
      <c r="C35" s="544">
        <f>'G-1 All Habitats'!O33</f>
        <v>0.33</v>
      </c>
      <c r="D35" s="544" t="str">
        <f>'G-1 All Habitats'!P33</f>
        <v>High</v>
      </c>
      <c r="E35" s="544">
        <f>'G-1 All Habitats'!Q33</f>
        <v>0.33</v>
      </c>
    </row>
    <row r="36" spans="1:5" x14ac:dyDescent="0.25">
      <c r="A36" s="110" t="str">
        <f>'G-1 All Habitats'!B34</f>
        <v>Heathland and shrub - Rhododendron scrub</v>
      </c>
      <c r="B36" s="544" t="str">
        <f>'G-1 All Habitats'!N34</f>
        <v>Low</v>
      </c>
      <c r="C36" s="544">
        <f>'G-1 All Habitats'!O34</f>
        <v>1</v>
      </c>
      <c r="D36" s="544" t="str">
        <f>'G-1 All Habitats'!P34</f>
        <v>Low</v>
      </c>
      <c r="E36" s="544">
        <f>'G-1 All Habitats'!Q34</f>
        <v>1</v>
      </c>
    </row>
    <row r="37" spans="1:5" x14ac:dyDescent="0.25">
      <c r="A37" s="110" t="str">
        <f>'G-1 All Habitats'!B35</f>
        <v>Heathland and shrub - Sea buckthorn scrub (Annex 1)</v>
      </c>
      <c r="B37" s="544" t="str">
        <f>'G-1 All Habitats'!N35</f>
        <v>Medium</v>
      </c>
      <c r="C37" s="544">
        <f>'G-1 All Habitats'!O35</f>
        <v>0.67</v>
      </c>
      <c r="D37" s="544" t="str">
        <f>'G-1 All Habitats'!P35</f>
        <v>Low</v>
      </c>
      <c r="E37" s="544">
        <f>'G-1 All Habitats'!Q35</f>
        <v>1</v>
      </c>
    </row>
    <row r="38" spans="1:5" x14ac:dyDescent="0.25">
      <c r="A38" s="110" t="str">
        <f>'G-1 All Habitats'!B36</f>
        <v>Heathland and shrub - Sea buckthorn scrub (other)</v>
      </c>
      <c r="B38" s="544" t="str">
        <f>'G-1 All Habitats'!N36</f>
        <v>Low</v>
      </c>
      <c r="C38" s="544">
        <f>'G-1 All Habitats'!O36</f>
        <v>1</v>
      </c>
      <c r="D38" s="544" t="str">
        <f>'G-1 All Habitats'!P36</f>
        <v>Low</v>
      </c>
      <c r="E38" s="544">
        <f>'G-1 All Habitats'!Q36</f>
        <v>1</v>
      </c>
    </row>
    <row r="39" spans="1:5" x14ac:dyDescent="0.25">
      <c r="A39" s="110" t="str">
        <f>'G-1 All Habitats'!B37</f>
        <v>Heathland and shrub - Upland Heathland</v>
      </c>
      <c r="B39" s="544" t="str">
        <f>'G-1 All Habitats'!N37</f>
        <v>Medium</v>
      </c>
      <c r="C39" s="544">
        <f>'G-1 All Habitats'!O37</f>
        <v>0.67</v>
      </c>
      <c r="D39" s="544" t="str">
        <f>'G-1 All Habitats'!P37</f>
        <v>Medium</v>
      </c>
      <c r="E39" s="544">
        <f>'G-1 All Habitats'!Q37</f>
        <v>0.67</v>
      </c>
    </row>
    <row r="40" spans="1:5" x14ac:dyDescent="0.25">
      <c r="A40" s="110" t="str">
        <f>'G-1 All Habitats'!B124</f>
        <v>Intertidal sediment - Artificial littoral biogenic reefs</v>
      </c>
      <c r="B40" s="544" t="str">
        <f>'G-1 All Habitats'!N124</f>
        <v>High</v>
      </c>
      <c r="C40" s="544">
        <f>'G-1 All Habitats'!O124</f>
        <v>0.33</v>
      </c>
      <c r="D40" s="544" t="str">
        <f>'G-1 All Habitats'!P124</f>
        <v>Medium</v>
      </c>
      <c r="E40" s="544">
        <f>'G-1 All Habitats'!Q124</f>
        <v>0.67</v>
      </c>
    </row>
    <row r="41" spans="1:5" x14ac:dyDescent="0.25">
      <c r="A41" s="110" t="str">
        <f>'G-1 All Habitats'!B118</f>
        <v>Intertidal sediment - Artificial littoral coarse sediment</v>
      </c>
      <c r="B41" s="544" t="str">
        <f>'G-1 All Habitats'!N118</f>
        <v>Medium</v>
      </c>
      <c r="C41" s="544">
        <f>'G-1 All Habitats'!O118</f>
        <v>0.67</v>
      </c>
      <c r="D41" s="544" t="str">
        <f>'G-1 All Habitats'!P118</f>
        <v>Medium</v>
      </c>
      <c r="E41" s="544">
        <f>'G-1 All Habitats'!Q118</f>
        <v>0.67</v>
      </c>
    </row>
    <row r="42" spans="1:5" x14ac:dyDescent="0.25">
      <c r="A42" s="110" t="str">
        <f>'G-1 All Habitats'!B122</f>
        <v>Intertidal sediment - Artificial littoral mixed sediments</v>
      </c>
      <c r="B42" s="544" t="str">
        <f>'G-1 All Habitats'!N122</f>
        <v>High</v>
      </c>
      <c r="C42" s="544">
        <f>'G-1 All Habitats'!O122</f>
        <v>0.33</v>
      </c>
      <c r="D42" s="544" t="str">
        <f>'G-1 All Habitats'!P122</f>
        <v>Medium</v>
      </c>
      <c r="E42" s="544">
        <f>'G-1 All Habitats'!Q122</f>
        <v>0.67</v>
      </c>
    </row>
    <row r="43" spans="1:5" x14ac:dyDescent="0.25">
      <c r="A43" s="110" t="str">
        <f>'G-1 All Habitats'!B121</f>
        <v>Intertidal sediment - Artificial littoral muddy sand</v>
      </c>
      <c r="B43" s="544" t="str">
        <f>'G-1 All Habitats'!N121</f>
        <v>High</v>
      </c>
      <c r="C43" s="544">
        <f>'G-1 All Habitats'!O121</f>
        <v>0.33</v>
      </c>
      <c r="D43" s="544" t="str">
        <f>'G-1 All Habitats'!P121</f>
        <v>Medium</v>
      </c>
      <c r="E43" s="544">
        <f>'G-1 All Habitats'!Q121</f>
        <v>0.67</v>
      </c>
    </row>
    <row r="44" spans="1:5" x14ac:dyDescent="0.25">
      <c r="A44" s="110" t="str">
        <f>'G-1 All Habitats'!B123</f>
        <v>Intertidal sediment - Artificial littoral seagrass</v>
      </c>
      <c r="B44" s="544" t="str">
        <f>'G-1 All Habitats'!N123</f>
        <v>High</v>
      </c>
      <c r="C44" s="544">
        <f>'G-1 All Habitats'!O123</f>
        <v>0.33</v>
      </c>
      <c r="D44" s="544" t="str">
        <f>'G-1 All Habitats'!P123</f>
        <v>High</v>
      </c>
      <c r="E44" s="544">
        <f>'G-1 All Habitats'!Q123</f>
        <v>0.33</v>
      </c>
    </row>
    <row r="45" spans="1:5" x14ac:dyDescent="0.25">
      <c r="A45" s="110" t="str">
        <f>'G-1 All Habitats'!B117</f>
        <v>Intertidal sediment - Features of littoral sediment</v>
      </c>
      <c r="B45" s="544" t="str">
        <f>'G-1 All Habitats'!N117</f>
        <v>High</v>
      </c>
      <c r="C45" s="544">
        <f>'G-1 All Habitats'!O117</f>
        <v>0.33</v>
      </c>
      <c r="D45" s="544" t="str">
        <f>'G-1 All Habitats'!P117</f>
        <v>Medium</v>
      </c>
      <c r="E45" s="544">
        <f>'G-1 All Habitats'!Q117</f>
        <v>0.67</v>
      </c>
    </row>
    <row r="46" spans="1:5" x14ac:dyDescent="0.25">
      <c r="A46" s="110" t="str">
        <f>'G-1 All Habitats'!B116</f>
        <v>Intertidal sediment - Littoral biogenic reefs - Sabellaria</v>
      </c>
      <c r="B46" s="544" t="str">
        <f>'G-1 All Habitats'!N116</f>
        <v>High</v>
      </c>
      <c r="C46" s="544">
        <f>'G-1 All Habitats'!O116</f>
        <v>0.33</v>
      </c>
      <c r="D46" s="544" t="str">
        <f>'G-1 All Habitats'!P116</f>
        <v>Medium</v>
      </c>
      <c r="E46" s="544">
        <f>'G-1 All Habitats'!Q116</f>
        <v>0.67</v>
      </c>
    </row>
    <row r="47" spans="1:5" x14ac:dyDescent="0.25">
      <c r="A47" s="110" t="str">
        <f>'G-1 All Habitats'!B110</f>
        <v>Intertidal sediment - Littoral coarse sediment</v>
      </c>
      <c r="B47" s="544" t="str">
        <f>'G-1 All Habitats'!N110</f>
        <v>Medium</v>
      </c>
      <c r="C47" s="544">
        <f>'G-1 All Habitats'!O110</f>
        <v>0.67</v>
      </c>
      <c r="D47" s="544" t="str">
        <f>'G-1 All Habitats'!P110</f>
        <v>Medium</v>
      </c>
      <c r="E47" s="544">
        <f>'G-1 All Habitats'!Q110</f>
        <v>0.67</v>
      </c>
    </row>
    <row r="48" spans="1:5" x14ac:dyDescent="0.25">
      <c r="A48" s="110" t="str">
        <f>'G-1 All Habitats'!B112</f>
        <v>Intertidal sediment - Littoral mixed sediments</v>
      </c>
      <c r="B48" s="544" t="str">
        <f>'G-1 All Habitats'!N112</f>
        <v>High</v>
      </c>
      <c r="C48" s="544">
        <f>'G-1 All Habitats'!O112</f>
        <v>0.33</v>
      </c>
      <c r="D48" s="544" t="str">
        <f>'G-1 All Habitats'!P112</f>
        <v>Medium</v>
      </c>
      <c r="E48" s="544">
        <f>'G-1 All Habitats'!Q112</f>
        <v>0.67</v>
      </c>
    </row>
    <row r="49" spans="1:5" x14ac:dyDescent="0.25">
      <c r="A49" s="110" t="str">
        <f>'G-1 All Habitats'!B111</f>
        <v>Intertidal sediment - Littoral mud</v>
      </c>
      <c r="B49" s="544" t="str">
        <f>'G-1 All Habitats'!N111</f>
        <v>High</v>
      </c>
      <c r="C49" s="544">
        <f>'G-1 All Habitats'!O111</f>
        <v>0.33</v>
      </c>
      <c r="D49" s="544" t="str">
        <f>'G-1 All Habitats'!P111</f>
        <v>Medium</v>
      </c>
      <c r="E49" s="544">
        <f>'G-1 All Habitats'!Q111</f>
        <v>0.67</v>
      </c>
    </row>
    <row r="50" spans="1:5" x14ac:dyDescent="0.25">
      <c r="A50" s="110" t="str">
        <f>'G-1 All Habitats'!B113</f>
        <v>Intertidal sediment - Littoral seagrass</v>
      </c>
      <c r="B50" s="544" t="str">
        <f>'G-1 All Habitats'!N113</f>
        <v>High</v>
      </c>
      <c r="C50" s="544">
        <f>'G-1 All Habitats'!O113</f>
        <v>0.33</v>
      </c>
      <c r="D50" s="544" t="str">
        <f>'G-1 All Habitats'!P113</f>
        <v>High</v>
      </c>
      <c r="E50" s="544">
        <f>'G-1 All Habitats'!Q113</f>
        <v>0.33</v>
      </c>
    </row>
    <row r="51" spans="1:5" x14ac:dyDescent="0.25">
      <c r="A51" s="110" t="str">
        <f>'G-1 All Habitats'!B114</f>
        <v>Intertidal sediment - Littoral seagrass on peat, clay or chalk</v>
      </c>
      <c r="B51" s="544" t="str">
        <f>'G-1 All Habitats'!N114</f>
        <v>Very High</v>
      </c>
      <c r="C51" s="544">
        <f>'G-1 All Habitats'!O114</f>
        <v>0.1</v>
      </c>
      <c r="D51" s="544" t="str">
        <f>'G-1 All Habitats'!P114</f>
        <v>High</v>
      </c>
      <c r="E51" s="544">
        <f>'G-1 All Habitats'!Q114</f>
        <v>0.33</v>
      </c>
    </row>
    <row r="52" spans="1:5" x14ac:dyDescent="0.25">
      <c r="A52" s="110" t="str">
        <f>'G-1 All Habitats'!B38</f>
        <v>Lakes - Aquifer fed naturally fluctuating water bodies</v>
      </c>
      <c r="B52" s="544" t="str">
        <f>'G-1 All Habitats'!N38</f>
        <v>Very High</v>
      </c>
      <c r="C52" s="544">
        <f>'G-1 All Habitats'!O38</f>
        <v>0.1</v>
      </c>
      <c r="D52" s="544" t="str">
        <f>'G-1 All Habitats'!P38</f>
        <v>High</v>
      </c>
      <c r="E52" s="544">
        <f>'G-1 All Habitats'!Q38</f>
        <v>0.33</v>
      </c>
    </row>
    <row r="53" spans="1:5" x14ac:dyDescent="0.25">
      <c r="A53" s="110" t="str">
        <f>'G-1 All Habitats'!B39</f>
        <v>Lakes - Ornamental lake or pond</v>
      </c>
      <c r="B53" s="544" t="str">
        <f>'G-1 All Habitats'!N39</f>
        <v>Low</v>
      </c>
      <c r="C53" s="544">
        <f>'G-1 All Habitats'!O39</f>
        <v>1</v>
      </c>
      <c r="D53" s="544" t="str">
        <f>'G-1 All Habitats'!P39</f>
        <v>High</v>
      </c>
      <c r="E53" s="544">
        <f>'G-1 All Habitats'!Q39</f>
        <v>0.33</v>
      </c>
    </row>
    <row r="54" spans="1:5" x14ac:dyDescent="0.25">
      <c r="A54" s="110" t="str">
        <f>'G-1 All Habitats'!B40</f>
        <v>Lakes - High alkalinity lakes</v>
      </c>
      <c r="B54" s="544" t="str">
        <f>'G-1 All Habitats'!N40</f>
        <v>High</v>
      </c>
      <c r="C54" s="544">
        <f>'G-1 All Habitats'!O40</f>
        <v>0.33</v>
      </c>
      <c r="D54" s="544" t="str">
        <f>'G-1 All Habitats'!P40</f>
        <v>High</v>
      </c>
      <c r="E54" s="544">
        <f>'G-1 All Habitats'!Q40</f>
        <v>0.33</v>
      </c>
    </row>
    <row r="55" spans="1:5" x14ac:dyDescent="0.25">
      <c r="A55" s="110" t="str">
        <f>'G-1 All Habitats'!B41</f>
        <v>Lakes - Low alkalinity lakes</v>
      </c>
      <c r="B55" s="544" t="str">
        <f>'G-1 All Habitats'!N41</f>
        <v>High</v>
      </c>
      <c r="C55" s="544">
        <f>'G-1 All Habitats'!O41</f>
        <v>0.33</v>
      </c>
      <c r="D55" s="544" t="str">
        <f>'G-1 All Habitats'!P41</f>
        <v>Medium</v>
      </c>
      <c r="E55" s="544">
        <f>'G-1 All Habitats'!Q41</f>
        <v>0.67</v>
      </c>
    </row>
    <row r="56" spans="1:5" x14ac:dyDescent="0.25">
      <c r="A56" s="110" t="str">
        <f>'G-1 All Habitats'!B42</f>
        <v>Lakes - Marl Lakes</v>
      </c>
      <c r="B56" s="544" t="str">
        <f>'G-1 All Habitats'!N42</f>
        <v>High</v>
      </c>
      <c r="C56" s="544">
        <f>'G-1 All Habitats'!O42</f>
        <v>0.33</v>
      </c>
      <c r="D56" s="544" t="str">
        <f>'G-1 All Habitats'!P42</f>
        <v>High</v>
      </c>
      <c r="E56" s="544">
        <f>'G-1 All Habitats'!Q42</f>
        <v>0.33</v>
      </c>
    </row>
    <row r="57" spans="1:5" x14ac:dyDescent="0.25">
      <c r="A57" s="110" t="str">
        <f>'G-1 All Habitats'!B43</f>
        <v>Lakes - Moderate alkalinity lakes</v>
      </c>
      <c r="B57" s="544" t="str">
        <f>'G-1 All Habitats'!N43</f>
        <v>High</v>
      </c>
      <c r="C57" s="544">
        <f>'G-1 All Habitats'!O43</f>
        <v>0.33</v>
      </c>
      <c r="D57" s="544" t="str">
        <f>'G-1 All Habitats'!P43</f>
        <v>High</v>
      </c>
      <c r="E57" s="544">
        <f>'G-1 All Habitats'!Q43</f>
        <v>0.33</v>
      </c>
    </row>
    <row r="58" spans="1:5" x14ac:dyDescent="0.25">
      <c r="A58" s="110" t="str">
        <f>'G-1 All Habitats'!B44</f>
        <v>Lakes - Peat Lakes</v>
      </c>
      <c r="B58" s="544" t="str">
        <f>'G-1 All Habitats'!N44</f>
        <v>High</v>
      </c>
      <c r="C58" s="544">
        <f>'G-1 All Habitats'!O44</f>
        <v>0.33</v>
      </c>
      <c r="D58" s="544" t="str">
        <f>'G-1 All Habitats'!P44</f>
        <v>High</v>
      </c>
      <c r="E58" s="544">
        <f>'G-1 All Habitats'!Q44</f>
        <v>0.33</v>
      </c>
    </row>
    <row r="59" spans="1:5" x14ac:dyDescent="0.25">
      <c r="A59" s="110" t="str">
        <f>'G-1 All Habitats'!B46</f>
        <v>Lakes - Ponds (Non- Priority Habitat)</v>
      </c>
      <c r="B59" s="544" t="str">
        <f>'G-1 All Habitats'!N46</f>
        <v>Low</v>
      </c>
      <c r="C59" s="544">
        <f>'G-1 All Habitats'!O46</f>
        <v>1</v>
      </c>
      <c r="D59" s="544" t="str">
        <f>'G-1 All Habitats'!P46</f>
        <v>Medium</v>
      </c>
      <c r="E59" s="544">
        <f>'G-1 All Habitats'!Q46</f>
        <v>0.67</v>
      </c>
    </row>
    <row r="60" spans="1:5" x14ac:dyDescent="0.25">
      <c r="A60" s="110" t="str">
        <f>'G-1 All Habitats'!B45</f>
        <v>Lakes - Ponds (Priority Habitat)</v>
      </c>
      <c r="B60" s="544" t="str">
        <f>'G-1 All Habitats'!N45</f>
        <v>Medium</v>
      </c>
      <c r="C60" s="544">
        <f>'G-1 All Habitats'!O45</f>
        <v>0.67</v>
      </c>
      <c r="D60" s="544" t="str">
        <f>'G-1 All Habitats'!P45</f>
        <v>Medium</v>
      </c>
      <c r="E60" s="544">
        <f>'G-1 All Habitats'!Q45</f>
        <v>0.67</v>
      </c>
    </row>
    <row r="61" spans="1:5" x14ac:dyDescent="0.25">
      <c r="A61" s="110" t="str">
        <f>'G-1 All Habitats'!B47</f>
        <v>Lakes - Reservoirs</v>
      </c>
      <c r="B61" s="544" t="str">
        <f>'G-1 All Habitats'!N47</f>
        <v>Medium</v>
      </c>
      <c r="C61" s="544">
        <f>'G-1 All Habitats'!O47</f>
        <v>0.67</v>
      </c>
      <c r="D61" s="544" t="str">
        <f>'G-1 All Habitats'!P47</f>
        <v>Medium</v>
      </c>
      <c r="E61" s="544">
        <f>'G-1 All Habitats'!Q47</f>
        <v>0.67</v>
      </c>
    </row>
    <row r="62" spans="1:5" x14ac:dyDescent="0.25">
      <c r="A62" s="110" t="str">
        <f>'G-1 All Habitats'!B48</f>
        <v>Lakes - Temporary lakes, ponds and pools</v>
      </c>
      <c r="B62" s="544" t="str">
        <f>'G-1 All Habitats'!N48</f>
        <v>Medium</v>
      </c>
      <c r="C62" s="544">
        <f>'G-1 All Habitats'!O48</f>
        <v>0.67</v>
      </c>
      <c r="D62" s="544" t="str">
        <f>'G-1 All Habitats'!P48</f>
        <v>Medium</v>
      </c>
      <c r="E62" s="544">
        <f>'G-1 All Habitats'!Q48</f>
        <v>0.67</v>
      </c>
    </row>
    <row r="63" spans="1:5" x14ac:dyDescent="0.25">
      <c r="A63" s="110" t="str">
        <f>'G-1 All Habitats'!B106</f>
        <v>Rocky shore - Features of littoral rock</v>
      </c>
      <c r="B63" s="544" t="str">
        <f>'G-1 All Habitats'!N106</f>
        <v>High</v>
      </c>
      <c r="C63" s="544">
        <f>'G-1 All Habitats'!O106</f>
        <v>0.33</v>
      </c>
      <c r="D63" s="544" t="str">
        <f>'G-1 All Habitats'!P106</f>
        <v>Medium</v>
      </c>
      <c r="E63" s="544">
        <f>'G-1 All Habitats'!Q106</f>
        <v>0.67</v>
      </c>
    </row>
    <row r="64" spans="1:5" x14ac:dyDescent="0.25">
      <c r="A64" s="110" t="str">
        <f>'G-1 All Habitats'!B107</f>
        <v>Rocky shore - Features of littoral rock - on peat, clay or chalk</v>
      </c>
      <c r="B64" s="544" t="str">
        <f>'G-1 All Habitats'!N107</f>
        <v>Very High</v>
      </c>
      <c r="C64" s="544">
        <f>'G-1 All Habitats'!O107</f>
        <v>0.1</v>
      </c>
      <c r="D64" s="544" t="str">
        <f>'G-1 All Habitats'!P107</f>
        <v>Medium</v>
      </c>
      <c r="E64" s="544">
        <f>'G-1 All Habitats'!Q107</f>
        <v>0.67</v>
      </c>
    </row>
    <row r="65" spans="1:5" x14ac:dyDescent="0.25">
      <c r="A65" s="110" t="str">
        <f>'G-1 All Habitats'!B100</f>
        <v>Rocky shore - High energy littoral rock</v>
      </c>
      <c r="B65" s="544" t="str">
        <f>'G-1 All Habitats'!N100</f>
        <v>High</v>
      </c>
      <c r="C65" s="544">
        <f>'G-1 All Habitats'!O100</f>
        <v>0.33</v>
      </c>
      <c r="D65" s="544" t="str">
        <f>'G-1 All Habitats'!P100</f>
        <v>Medium</v>
      </c>
      <c r="E65" s="544">
        <f>'G-1 All Habitats'!Q100</f>
        <v>0.67</v>
      </c>
    </row>
    <row r="66" spans="1:5" x14ac:dyDescent="0.25">
      <c r="A66" s="110" t="str">
        <f>'G-1 All Habitats'!B101</f>
        <v>Rocky shore - High energy littoral rock - on peat, clay or chalk</v>
      </c>
      <c r="B66" s="544" t="str">
        <f>'G-1 All Habitats'!N101</f>
        <v>Very High</v>
      </c>
      <c r="C66" s="544">
        <f>'G-1 All Habitats'!O101</f>
        <v>0.1</v>
      </c>
      <c r="D66" s="544" t="str">
        <f>'G-1 All Habitats'!P101</f>
        <v>Medium</v>
      </c>
      <c r="E66" s="544">
        <f>'G-1 All Habitats'!Q101</f>
        <v>0.67</v>
      </c>
    </row>
    <row r="67" spans="1:5" x14ac:dyDescent="0.25">
      <c r="A67" s="110" t="str">
        <f>'G-1 All Habitats'!B104</f>
        <v>Rocky shore - Low energy littoral rock</v>
      </c>
      <c r="B67" s="544" t="str">
        <f>'G-1 All Habitats'!N104</f>
        <v>High</v>
      </c>
      <c r="C67" s="544">
        <f>'G-1 All Habitats'!O104</f>
        <v>0.33</v>
      </c>
      <c r="D67" s="544" t="str">
        <f>'G-1 All Habitats'!P104</f>
        <v>Medium</v>
      </c>
      <c r="E67" s="544">
        <f>'G-1 All Habitats'!Q104</f>
        <v>0.67</v>
      </c>
    </row>
    <row r="68" spans="1:5" x14ac:dyDescent="0.25">
      <c r="A68" s="110" t="str">
        <f>'G-1 All Habitats'!B105</f>
        <v>Rocky shore - Low energy littoral rock - on peat, clay or chalk</v>
      </c>
      <c r="B68" s="544" t="str">
        <f>'G-1 All Habitats'!N105</f>
        <v>Very High</v>
      </c>
      <c r="C68" s="544">
        <f>'G-1 All Habitats'!O105</f>
        <v>0.1</v>
      </c>
      <c r="D68" s="544" t="str">
        <f>'G-1 All Habitats'!P105</f>
        <v>Medium</v>
      </c>
      <c r="E68" s="544">
        <f>'G-1 All Habitats'!Q105</f>
        <v>0.67</v>
      </c>
    </row>
    <row r="69" spans="1:5" x14ac:dyDescent="0.25">
      <c r="A69" s="110" t="str">
        <f>'G-1 All Habitats'!B102</f>
        <v>Rocky shore - Moderate energy littoral rock</v>
      </c>
      <c r="B69" s="544" t="str">
        <f>'G-1 All Habitats'!N102</f>
        <v>High</v>
      </c>
      <c r="C69" s="544">
        <f>'G-1 All Habitats'!O102</f>
        <v>0.33</v>
      </c>
      <c r="D69" s="544" t="str">
        <f>'G-1 All Habitats'!P102</f>
        <v>Medium</v>
      </c>
      <c r="E69" s="544">
        <f>'G-1 All Habitats'!Q102</f>
        <v>0.67</v>
      </c>
    </row>
    <row r="70" spans="1:5" x14ac:dyDescent="0.25">
      <c r="A70" s="110" t="str">
        <f>'G-1 All Habitats'!B103</f>
        <v>Rocky shore - Moderate energy littoral rock - on peat, clay or chalk</v>
      </c>
      <c r="B70" s="544" t="str">
        <f>'G-1 All Habitats'!N103</f>
        <v>Very High</v>
      </c>
      <c r="C70" s="544">
        <f>'G-1 All Habitats'!O103</f>
        <v>0.1</v>
      </c>
      <c r="D70" s="544" t="str">
        <f>'G-1 All Habitats'!P103</f>
        <v>Medium</v>
      </c>
      <c r="E70" s="544">
        <f>'G-1 All Habitats'!Q103</f>
        <v>0.67</v>
      </c>
    </row>
    <row r="71" spans="1:5" x14ac:dyDescent="0.25">
      <c r="A71" s="110" t="str">
        <f>'G-1 All Habitats'!B49</f>
        <v>Sparsely vegetated land - Calaminarian grasslands</v>
      </c>
      <c r="B71" s="544" t="str">
        <f>'G-1 All Habitats'!N49</f>
        <v>Very High</v>
      </c>
      <c r="C71" s="544">
        <f>'G-1 All Habitats'!O49</f>
        <v>0.1</v>
      </c>
      <c r="D71" s="544" t="str">
        <f>'G-1 All Habitats'!P49</f>
        <v>Medium</v>
      </c>
      <c r="E71" s="544">
        <f>'G-1 All Habitats'!Q49</f>
        <v>0.67</v>
      </c>
    </row>
    <row r="72" spans="1:5" x14ac:dyDescent="0.25">
      <c r="A72" s="110" t="str">
        <f>'G-1 All Habitats'!B50</f>
        <v>Sparsely vegetated land - Coastal sand dunes</v>
      </c>
      <c r="B72" s="544" t="str">
        <f>'G-1 All Habitats'!N50</f>
        <v>Very High</v>
      </c>
      <c r="C72" s="544">
        <f>'G-1 All Habitats'!O50</f>
        <v>0.1</v>
      </c>
      <c r="D72" s="544" t="str">
        <f>'G-1 All Habitats'!P50</f>
        <v>Medium</v>
      </c>
      <c r="E72" s="544">
        <f>'G-1 All Habitats'!Q50</f>
        <v>0.67</v>
      </c>
    </row>
    <row r="73" spans="1:5" x14ac:dyDescent="0.25">
      <c r="A73" s="110" t="str">
        <f>'G-1 All Habitats'!B51</f>
        <v>Sparsely vegetated land - Coastal vegetated shingle</v>
      </c>
      <c r="B73" s="544" t="str">
        <f>'G-1 All Habitats'!N51</f>
        <v>Very High</v>
      </c>
      <c r="C73" s="544">
        <f>'G-1 All Habitats'!O51</f>
        <v>0.1</v>
      </c>
      <c r="D73" s="544" t="str">
        <f>'G-1 All Habitats'!P51</f>
        <v>Medium</v>
      </c>
      <c r="E73" s="544">
        <f>'G-1 All Habitats'!Q51</f>
        <v>0.67</v>
      </c>
    </row>
    <row r="74" spans="1:5" x14ac:dyDescent="0.25">
      <c r="A74" s="110" t="str">
        <f>'G-1 All Habitats'!B53</f>
        <v>Sparsely vegetated land - Inland rock outcrop and scree habitats</v>
      </c>
      <c r="B74" s="544" t="str">
        <f>'G-1 All Habitats'!N53</f>
        <v>High</v>
      </c>
      <c r="C74" s="544">
        <f>'G-1 All Habitats'!O53</f>
        <v>0.33</v>
      </c>
      <c r="D74" s="544" t="str">
        <f>'G-1 All Habitats'!P53</f>
        <v>Low</v>
      </c>
      <c r="E74" s="544">
        <f>'G-1 All Habitats'!Q53</f>
        <v>1</v>
      </c>
    </row>
    <row r="75" spans="1:5" x14ac:dyDescent="0.25">
      <c r="A75" s="110" t="str">
        <f>'G-1 All Habitats'!B54</f>
        <v>Sparsely vegetated land - Limestone pavement</v>
      </c>
      <c r="B75" s="544" t="str">
        <f>'G-1 All Habitats'!N54</f>
        <v>Very High</v>
      </c>
      <c r="C75" s="544">
        <f>'G-1 All Habitats'!O54</f>
        <v>0.1</v>
      </c>
      <c r="D75" s="544" t="str">
        <f>'G-1 All Habitats'!P54</f>
        <v>Medium</v>
      </c>
      <c r="E75" s="544">
        <f>'G-1 All Habitats'!Q54</f>
        <v>0.67</v>
      </c>
    </row>
    <row r="76" spans="1:5" x14ac:dyDescent="0.25">
      <c r="A76" s="110" t="str">
        <f>'G-1 All Habitats'!B55</f>
        <v>Sparsely vegetated land - Maritime cliff and slopes</v>
      </c>
      <c r="B76" s="544" t="str">
        <f>'G-1 All Habitats'!N55</f>
        <v>High</v>
      </c>
      <c r="C76" s="544">
        <f>'G-1 All Habitats'!O55</f>
        <v>0.33</v>
      </c>
      <c r="D76" s="544" t="str">
        <f>'G-1 All Habitats'!P55</f>
        <v>Medium</v>
      </c>
      <c r="E76" s="544">
        <f>'G-1 All Habitats'!Q55</f>
        <v>0.67</v>
      </c>
    </row>
    <row r="77" spans="1:5" x14ac:dyDescent="0.25">
      <c r="A77" s="110" t="str">
        <f>'G-1 All Habitats'!B56</f>
        <v>Sparsely vegetated land - Other inland rock and scree</v>
      </c>
      <c r="B77" s="544" t="str">
        <f>'G-1 All Habitats'!N56</f>
        <v>Medium</v>
      </c>
      <c r="C77" s="544">
        <f>'G-1 All Habitats'!O56</f>
        <v>0.67</v>
      </c>
      <c r="D77" s="544" t="str">
        <f>'G-1 All Habitats'!P56</f>
        <v>Medium</v>
      </c>
      <c r="E77" s="544">
        <f>'G-1 All Habitats'!Q56</f>
        <v>0.67</v>
      </c>
    </row>
    <row r="78" spans="1:5" x14ac:dyDescent="0.25">
      <c r="A78" s="110" t="str">
        <f>'G-1 All Habitats'!B52</f>
        <v>Sparsely vegetated land - Ruderal/Ephemeral</v>
      </c>
      <c r="B78" s="544" t="str">
        <f>'G-1 All Habitats'!N52</f>
        <v>Low</v>
      </c>
      <c r="C78" s="544">
        <f>'G-1 All Habitats'!O52</f>
        <v>1</v>
      </c>
      <c r="D78" s="544" t="str">
        <f>'G-1 All Habitats'!P52</f>
        <v>Medium</v>
      </c>
      <c r="E78" s="544">
        <f>'G-1 All Habitats'!Q52</f>
        <v>0.67</v>
      </c>
    </row>
    <row r="79" spans="1:5" x14ac:dyDescent="0.25">
      <c r="A79" s="110" t="str">
        <f>'G-1 All Habitats'!B76</f>
        <v>Urban - Vacant/derelict land/ bareground</v>
      </c>
      <c r="B79" s="544" t="str">
        <f>'G-1 All Habitats'!N76</f>
        <v>Low</v>
      </c>
      <c r="C79" s="544">
        <f>'G-1 All Habitats'!O76</f>
        <v>1</v>
      </c>
      <c r="D79" s="544" t="str">
        <f>'G-1 All Habitats'!P76</f>
        <v>Low</v>
      </c>
      <c r="E79" s="544">
        <f>'G-1 All Habitats'!Q76</f>
        <v>1</v>
      </c>
    </row>
    <row r="80" spans="1:5" x14ac:dyDescent="0.25">
      <c r="A80" s="110" t="str">
        <f>'G-1 All Habitats'!B57</f>
        <v>Urban - Allotments</v>
      </c>
      <c r="B80" s="544" t="str">
        <f>'G-1 All Habitats'!N57</f>
        <v>Low</v>
      </c>
      <c r="C80" s="544">
        <f>'G-1 All Habitats'!O57</f>
        <v>1</v>
      </c>
      <c r="D80" s="544" t="str">
        <f>'G-1 All Habitats'!P57</f>
        <v>Low</v>
      </c>
      <c r="E80" s="544">
        <f>'G-1 All Habitats'!Q57</f>
        <v>1</v>
      </c>
    </row>
    <row r="81" spans="1:5" x14ac:dyDescent="0.25">
      <c r="A81" s="110" t="str">
        <f>'G-1 All Habitats'!B58</f>
        <v>Urban - Artificial unvegetated, unsealed surface</v>
      </c>
      <c r="B81" s="544" t="str">
        <f>'G-1 All Habitats'!N58</f>
        <v>Low</v>
      </c>
      <c r="C81" s="544">
        <f>'G-1 All Habitats'!O58</f>
        <v>1</v>
      </c>
      <c r="D81" s="544" t="str">
        <f>'G-1 All Habitats'!P58</f>
        <v>Low</v>
      </c>
      <c r="E81" s="544">
        <f>'G-1 All Habitats'!Q58</f>
        <v>1</v>
      </c>
    </row>
    <row r="82" spans="1:5" x14ac:dyDescent="0.25">
      <c r="A82" s="110" t="str">
        <f>'G-1 All Habitats'!B59</f>
        <v>Urban - Bioswale</v>
      </c>
      <c r="B82" s="544" t="str">
        <f>'G-1 All Habitats'!N59</f>
        <v>Medium</v>
      </c>
      <c r="C82" s="544">
        <f>'G-1 All Habitats'!O59</f>
        <v>0.67</v>
      </c>
      <c r="D82" s="544" t="str">
        <f>'G-1 All Habitats'!P59</f>
        <v>Low</v>
      </c>
      <c r="E82" s="544">
        <f>'G-1 All Habitats'!Q59</f>
        <v>1</v>
      </c>
    </row>
    <row r="83" spans="1:5" x14ac:dyDescent="0.25">
      <c r="A83" s="110" t="str">
        <f>'G-1 All Habitats'!B60</f>
        <v>Urban - Intensive green roof</v>
      </c>
      <c r="B83" s="544" t="str">
        <f>'G-1 All Habitats'!N60</f>
        <v>Low</v>
      </c>
      <c r="C83" s="544">
        <f>'G-1 All Habitats'!O60</f>
        <v>1</v>
      </c>
      <c r="D83" s="544" t="str">
        <f>'G-1 All Habitats'!P60</f>
        <v>Low</v>
      </c>
      <c r="E83" s="544">
        <f>'G-1 All Habitats'!Q60</f>
        <v>1</v>
      </c>
    </row>
    <row r="84" spans="1:5" x14ac:dyDescent="0.25">
      <c r="A84" s="110" t="str">
        <f>'G-1 All Habitats'!B61</f>
        <v>Urban - Built linear features</v>
      </c>
      <c r="B84" s="544" t="str">
        <f>'G-1 All Habitats'!N61</f>
        <v>Low</v>
      </c>
      <c r="C84" s="544">
        <f>'G-1 All Habitats'!O61</f>
        <v>1</v>
      </c>
      <c r="D84" s="544" t="str">
        <f>'G-1 All Habitats'!P61</f>
        <v>Low</v>
      </c>
      <c r="E84" s="544">
        <f>'G-1 All Habitats'!Q61</f>
        <v>1</v>
      </c>
    </row>
    <row r="85" spans="1:5" x14ac:dyDescent="0.25">
      <c r="A85" s="110" t="str">
        <f>'G-1 All Habitats'!B62</f>
        <v>Urban - Cemeteries and churchyards</v>
      </c>
      <c r="B85" s="544" t="str">
        <f>'G-1 All Habitats'!N62</f>
        <v>Medium</v>
      </c>
      <c r="C85" s="544">
        <f>'G-1 All Habitats'!O62</f>
        <v>0.67</v>
      </c>
      <c r="D85" s="544" t="str">
        <f>'G-1 All Habitats'!P62</f>
        <v>Low</v>
      </c>
      <c r="E85" s="544">
        <f>'G-1 All Habitats'!Q62</f>
        <v>1</v>
      </c>
    </row>
    <row r="86" spans="1:5" x14ac:dyDescent="0.25">
      <c r="A86" s="110" t="str">
        <f>'G-1 All Habitats'!B63</f>
        <v>Urban - Developed land; sealed surface</v>
      </c>
      <c r="B86" s="544" t="str">
        <f>'G-1 All Habitats'!N63</f>
        <v>Low</v>
      </c>
      <c r="C86" s="544">
        <f>'G-1 All Habitats'!O63</f>
        <v>1</v>
      </c>
      <c r="D86" s="544" t="str">
        <f>'G-1 All Habitats'!P63</f>
        <v>Medium</v>
      </c>
      <c r="E86" s="544">
        <f>'G-1 All Habitats'!Q63</f>
        <v>0.67</v>
      </c>
    </row>
    <row r="87" spans="1:5" x14ac:dyDescent="0.25">
      <c r="A87" s="110" t="str">
        <f>'G-1 All Habitats'!B64</f>
        <v>Urban - Other green roof</v>
      </c>
      <c r="B87" s="544" t="str">
        <f>'G-1 All Habitats'!N64</f>
        <v>Low</v>
      </c>
      <c r="C87" s="544">
        <f>'G-1 All Habitats'!O64</f>
        <v>1</v>
      </c>
      <c r="D87" s="544" t="str">
        <f>'G-1 All Habitats'!P64</f>
        <v>Low</v>
      </c>
      <c r="E87" s="544">
        <f>'G-1 All Habitats'!Q64</f>
        <v>1</v>
      </c>
    </row>
    <row r="88" spans="1:5" x14ac:dyDescent="0.25">
      <c r="A88" s="110" t="str">
        <f>'G-1 All Habitats'!B65</f>
        <v>Urban - Facade-bound green wall</v>
      </c>
      <c r="B88" s="544" t="str">
        <f>'G-1 All Habitats'!N65</f>
        <v>Medium</v>
      </c>
      <c r="C88" s="544">
        <f>'G-1 All Habitats'!O65</f>
        <v>0.67</v>
      </c>
      <c r="D88" s="544" t="str">
        <f>'G-1 All Habitats'!P65</f>
        <v>Medium</v>
      </c>
      <c r="E88" s="544">
        <f>'G-1 All Habitats'!Q65</f>
        <v>0.67</v>
      </c>
    </row>
    <row r="89" spans="1:5" x14ac:dyDescent="0.25">
      <c r="A89" s="110" t="str">
        <f>'G-1 All Habitats'!B66</f>
        <v>Urban - Ground based green wall</v>
      </c>
      <c r="B89" s="544" t="str">
        <f>'G-1 All Habitats'!N66</f>
        <v>Medium</v>
      </c>
      <c r="C89" s="544">
        <f>'G-1 All Habitats'!O66</f>
        <v>0.67</v>
      </c>
      <c r="D89" s="544" t="str">
        <f>'G-1 All Habitats'!P66</f>
        <v>Medium</v>
      </c>
      <c r="E89" s="544">
        <f>'G-1 All Habitats'!Q66</f>
        <v>0.67</v>
      </c>
    </row>
    <row r="90" spans="1:5" x14ac:dyDescent="0.25">
      <c r="A90" s="110" t="str">
        <f>'G-1 All Habitats'!B67</f>
        <v>Urban - Ground level planters</v>
      </c>
      <c r="B90" s="544" t="str">
        <f>'G-1 All Habitats'!N67</f>
        <v>Low</v>
      </c>
      <c r="C90" s="544">
        <f>'G-1 All Habitats'!O67</f>
        <v>1</v>
      </c>
      <c r="D90" s="544" t="str">
        <f>'G-1 All Habitats'!P67</f>
        <v>Low</v>
      </c>
      <c r="E90" s="544">
        <f>'G-1 All Habitats'!Q67</f>
        <v>1</v>
      </c>
    </row>
    <row r="91" spans="1:5" x14ac:dyDescent="0.25">
      <c r="A91" s="110" t="str">
        <f>'G-1 All Habitats'!B68</f>
        <v>Urban - Biodiverse green roof</v>
      </c>
      <c r="B91" s="544" t="str">
        <f>'G-1 All Habitats'!N68</f>
        <v>Medium</v>
      </c>
      <c r="C91" s="544">
        <f>'G-1 All Habitats'!O68</f>
        <v>0.67</v>
      </c>
      <c r="D91" s="544" t="str">
        <f>'G-1 All Habitats'!P68</f>
        <v>Medium</v>
      </c>
      <c r="E91" s="544">
        <f>'G-1 All Habitats'!Q68</f>
        <v>0.67</v>
      </c>
    </row>
    <row r="92" spans="1:5" x14ac:dyDescent="0.25">
      <c r="A92" s="110" t="str">
        <f>'G-1 All Habitats'!B69</f>
        <v>Urban - Introduced shrub</v>
      </c>
      <c r="B92" s="544" t="str">
        <f>'G-1 All Habitats'!N69</f>
        <v>Low</v>
      </c>
      <c r="C92" s="544">
        <f>'G-1 All Habitats'!O69</f>
        <v>1</v>
      </c>
      <c r="D92" s="544" t="str">
        <f>'G-1 All Habitats'!P69</f>
        <v>Low</v>
      </c>
      <c r="E92" s="544">
        <f>'G-1 All Habitats'!Q69</f>
        <v>1</v>
      </c>
    </row>
    <row r="93" spans="1:5" x14ac:dyDescent="0.25">
      <c r="A93" s="110" t="str">
        <f>'G-1 All Habitats'!B70</f>
        <v>Urban - Open Mosaic Habitats on Previously Developed Land</v>
      </c>
      <c r="B93" s="544" t="str">
        <f>'G-1 All Habitats'!N70</f>
        <v>Medium</v>
      </c>
      <c r="C93" s="544">
        <f>'G-1 All Habitats'!O70</f>
        <v>0.67</v>
      </c>
      <c r="D93" s="544" t="str">
        <f>'G-1 All Habitats'!P70</f>
        <v>Medium</v>
      </c>
      <c r="E93" s="544">
        <f>'G-1 All Habitats'!Q70</f>
        <v>0.67</v>
      </c>
    </row>
    <row r="94" spans="1:5" x14ac:dyDescent="0.25">
      <c r="A94" s="110" t="str">
        <f>'G-1 All Habitats'!B71</f>
        <v>Urban - Rain garden</v>
      </c>
      <c r="B94" s="544" t="str">
        <f>'G-1 All Habitats'!N71</f>
        <v>Low</v>
      </c>
      <c r="C94" s="544">
        <f>'G-1 All Habitats'!O71</f>
        <v>1</v>
      </c>
      <c r="D94" s="544" t="str">
        <f>'G-1 All Habitats'!P71</f>
        <v>Low</v>
      </c>
      <c r="E94" s="544">
        <f>'G-1 All Habitats'!Q71</f>
        <v>1</v>
      </c>
    </row>
    <row r="95" spans="1:5" x14ac:dyDescent="0.25">
      <c r="A95" s="110" t="str">
        <f>'G-1 All Habitats'!B72</f>
        <v>Urban - Actively worked sand pit quarry or open cast mine</v>
      </c>
      <c r="B95" s="544" t="str">
        <f>'G-1 All Habitats'!N72</f>
        <v>Medium</v>
      </c>
      <c r="C95" s="544">
        <f>'G-1 All Habitats'!O72</f>
        <v>0.67</v>
      </c>
      <c r="D95" s="544" t="str">
        <f>'G-1 All Habitats'!P72</f>
        <v>Medium</v>
      </c>
      <c r="E95" s="544">
        <f>'G-1 All Habitats'!Q72</f>
        <v>0.67</v>
      </c>
    </row>
    <row r="96" spans="1:5" x14ac:dyDescent="0.25">
      <c r="A96" s="110" t="str">
        <f>'G-1 All Habitats'!B73</f>
        <v>Urban - Urban Tree</v>
      </c>
      <c r="B96" s="544" t="str">
        <f>'G-1 All Habitats'!N73</f>
        <v>Low</v>
      </c>
      <c r="C96" s="544">
        <f>'G-1 All Habitats'!O73</f>
        <v>1</v>
      </c>
      <c r="D96" s="544" t="str">
        <f>'G-1 All Habitats'!P73</f>
        <v>Low</v>
      </c>
      <c r="E96" s="544">
        <f>'G-1 All Habitats'!Q73</f>
        <v>1</v>
      </c>
    </row>
    <row r="97" spans="1:5" x14ac:dyDescent="0.25">
      <c r="A97" s="110" t="str">
        <f>'G-1 All Habitats'!B74</f>
        <v>Urban - Sustainable urban drainage feature</v>
      </c>
      <c r="B97" s="544" t="str">
        <f>'G-1 All Habitats'!N74</f>
        <v>Medium</v>
      </c>
      <c r="C97" s="544">
        <f>'G-1 All Habitats'!O74</f>
        <v>0.67</v>
      </c>
      <c r="D97" s="544" t="str">
        <f>'G-1 All Habitats'!P74</f>
        <v>Medium</v>
      </c>
      <c r="E97" s="544">
        <f>'G-1 All Habitats'!Q74</f>
        <v>0.67</v>
      </c>
    </row>
    <row r="98" spans="1:5" x14ac:dyDescent="0.25">
      <c r="A98" s="110" t="str">
        <f>'G-1 All Habitats'!B75</f>
        <v>Urban - Un-vegetated garden</v>
      </c>
      <c r="B98" s="544" t="str">
        <f>'G-1 All Habitats'!N75</f>
        <v>Low</v>
      </c>
      <c r="C98" s="544">
        <f>'G-1 All Habitats'!O75</f>
        <v>1</v>
      </c>
      <c r="D98" s="544" t="str">
        <f>'G-1 All Habitats'!P75</f>
        <v>Low</v>
      </c>
      <c r="E98" s="544">
        <f>'G-1 All Habitats'!Q75</f>
        <v>1</v>
      </c>
    </row>
    <row r="99" spans="1:5" x14ac:dyDescent="0.25">
      <c r="A99" s="110" t="str">
        <f>'G-1 All Habitats'!B77</f>
        <v>Urban - Vegetated garden</v>
      </c>
      <c r="B99" s="544" t="str">
        <f>'G-1 All Habitats'!N77</f>
        <v>Low</v>
      </c>
      <c r="C99" s="544">
        <f>'G-1 All Habitats'!O77</f>
        <v>1</v>
      </c>
      <c r="D99" s="544" t="str">
        <f>'G-1 All Habitats'!P77</f>
        <v>Low</v>
      </c>
      <c r="E99" s="544">
        <f>'G-1 All Habitats'!Q77</f>
        <v>1</v>
      </c>
    </row>
    <row r="100" spans="1:5" x14ac:dyDescent="0.25">
      <c r="A100" s="110" t="str">
        <f>'G-1 All Habitats'!B78</f>
        <v>Wetland - Blanket bog</v>
      </c>
      <c r="B100" s="544" t="str">
        <f>'G-1 All Habitats'!N78</f>
        <v>Very High</v>
      </c>
      <c r="C100" s="544">
        <f>'G-1 All Habitats'!O78</f>
        <v>0.1</v>
      </c>
      <c r="D100" s="544" t="str">
        <f>'G-1 All Habitats'!P78</f>
        <v>High</v>
      </c>
      <c r="E100" s="544">
        <f>'G-1 All Habitats'!Q78</f>
        <v>0.33</v>
      </c>
    </row>
    <row r="101" spans="1:5" x14ac:dyDescent="0.25">
      <c r="A101" s="110" t="str">
        <f>'G-1 All Habitats'!B79</f>
        <v>Wetland - Depressions on Peat substrates (H7150)</v>
      </c>
      <c r="B101" s="544" t="str">
        <f>'G-1 All Habitats'!N79</f>
        <v>Very High</v>
      </c>
      <c r="C101" s="544">
        <f>'G-1 All Habitats'!O79</f>
        <v>0.1</v>
      </c>
      <c r="D101" s="544" t="str">
        <f>'G-1 All Habitats'!P79</f>
        <v>High</v>
      </c>
      <c r="E101" s="544">
        <f>'G-1 All Habitats'!Q79</f>
        <v>0.33</v>
      </c>
    </row>
    <row r="102" spans="1:5" x14ac:dyDescent="0.25">
      <c r="A102" s="110" t="str">
        <f>'G-1 All Habitats'!B80</f>
        <v>Wetland - Fens (upland and lowland)</v>
      </c>
      <c r="B102" s="544" t="str">
        <f>'G-1 All Habitats'!N80</f>
        <v>High</v>
      </c>
      <c r="C102" s="544">
        <f>'G-1 All Habitats'!O80</f>
        <v>0.33</v>
      </c>
      <c r="D102" s="544" t="str">
        <f>'G-1 All Habitats'!P80</f>
        <v>High</v>
      </c>
      <c r="E102" s="544">
        <f>'G-1 All Habitats'!Q80</f>
        <v>0.33</v>
      </c>
    </row>
    <row r="103" spans="1:5" x14ac:dyDescent="0.25">
      <c r="A103" s="110" t="str">
        <f>'G-1 All Habitats'!B81</f>
        <v>Wetland - Lowland raised bog</v>
      </c>
      <c r="B103" s="544" t="str">
        <f>'G-1 All Habitats'!N81</f>
        <v>Very High</v>
      </c>
      <c r="C103" s="544">
        <f>'G-1 All Habitats'!O81</f>
        <v>0.1</v>
      </c>
      <c r="D103" s="544" t="str">
        <f>'G-1 All Habitats'!P81</f>
        <v>High</v>
      </c>
      <c r="E103" s="544">
        <f>'G-1 All Habitats'!Q81</f>
        <v>0.33</v>
      </c>
    </row>
    <row r="104" spans="1:5" x14ac:dyDescent="0.25">
      <c r="A104" s="110" t="str">
        <f>'G-1 All Habitats'!B82</f>
        <v>Wetland - Oceanic Valley Mire[1] (D2.1)</v>
      </c>
      <c r="B104" s="544" t="str">
        <f>'G-1 All Habitats'!N82</f>
        <v>Very High</v>
      </c>
      <c r="C104" s="544">
        <f>'G-1 All Habitats'!O82</f>
        <v>0.1</v>
      </c>
      <c r="D104" s="544" t="str">
        <f>'G-1 All Habitats'!P82</f>
        <v>High</v>
      </c>
      <c r="E104" s="544">
        <f>'G-1 All Habitats'!Q82</f>
        <v>0.33</v>
      </c>
    </row>
    <row r="105" spans="1:5" x14ac:dyDescent="0.25">
      <c r="A105" s="110" t="str">
        <f>'G-1 All Habitats'!B83</f>
        <v>Wetland - Purple moor grass and rush pastures</v>
      </c>
      <c r="B105" s="544" t="str">
        <f>'G-1 All Habitats'!N83</f>
        <v>High</v>
      </c>
      <c r="C105" s="544">
        <f>'G-1 All Habitats'!O83</f>
        <v>0.33</v>
      </c>
      <c r="D105" s="544" t="str">
        <f>'G-1 All Habitats'!P83</f>
        <v>High</v>
      </c>
      <c r="E105" s="544">
        <f>'G-1 All Habitats'!Q83</f>
        <v>0.33</v>
      </c>
    </row>
    <row r="106" spans="1:5" x14ac:dyDescent="0.25">
      <c r="A106" s="110" t="str">
        <f>'G-1 All Habitats'!B84</f>
        <v>Wetland - Reedbeds</v>
      </c>
      <c r="B106" s="544" t="str">
        <f>'G-1 All Habitats'!N84</f>
        <v>Medium</v>
      </c>
      <c r="C106" s="544">
        <f>'G-1 All Habitats'!O84</f>
        <v>0.67</v>
      </c>
      <c r="D106" s="544" t="str">
        <f>'G-1 All Habitats'!P84</f>
        <v>Medium</v>
      </c>
      <c r="E106" s="544">
        <f>'G-1 All Habitats'!Q84</f>
        <v>0.67</v>
      </c>
    </row>
    <row r="107" spans="1:5" x14ac:dyDescent="0.25">
      <c r="A107" s="110" t="str">
        <f>'G-1 All Habitats'!B85</f>
        <v>Wetland - Transition mires and quaking bogs (H7140)</v>
      </c>
      <c r="B107" s="544" t="str">
        <f>'G-1 All Habitats'!N85</f>
        <v>Very High</v>
      </c>
      <c r="C107" s="544">
        <f>'G-1 All Habitats'!O85</f>
        <v>0.1</v>
      </c>
      <c r="D107" s="544" t="str">
        <f>'G-1 All Habitats'!P85</f>
        <v>High</v>
      </c>
      <c r="E107" s="544">
        <f>'G-1 All Habitats'!Q85</f>
        <v>0.33</v>
      </c>
    </row>
    <row r="108" spans="1:5" x14ac:dyDescent="0.25">
      <c r="A108" s="110" t="str">
        <f>'G-1 All Habitats'!B86</f>
        <v>Woodland and forest - Felled</v>
      </c>
      <c r="B108" s="544" t="s">
        <v>153</v>
      </c>
      <c r="C108" s="544">
        <f>'G-1 All Habitats'!O86</f>
        <v>1</v>
      </c>
      <c r="D108" s="544" t="str">
        <f>'G-1 All Habitats'!P86</f>
        <v>Low</v>
      </c>
      <c r="E108" s="544">
        <f>'G-1 All Habitats'!Q86</f>
        <v>1</v>
      </c>
    </row>
    <row r="109" spans="1:5" x14ac:dyDescent="0.25">
      <c r="A109" s="110" t="str">
        <f>'G-1 All Habitats'!B87</f>
        <v>Woodland and forest - Lowland beech and yew woodland</v>
      </c>
      <c r="B109" s="544" t="str">
        <f>'G-1 All Habitats'!N87</f>
        <v>High</v>
      </c>
      <c r="C109" s="544">
        <f>'G-1 All Habitats'!O87</f>
        <v>0.33</v>
      </c>
      <c r="D109" s="544" t="str">
        <f>'G-1 All Habitats'!P87</f>
        <v>High</v>
      </c>
      <c r="E109" s="544">
        <f>'G-1 All Habitats'!Q87</f>
        <v>0.33</v>
      </c>
    </row>
    <row r="110" spans="1:5" x14ac:dyDescent="0.25">
      <c r="A110" s="110" t="str">
        <f>'G-1 All Habitats'!B88</f>
        <v>Woodland and forest - Lowland mixed deciduous woodland</v>
      </c>
      <c r="B110" s="544" t="str">
        <f>'G-1 All Habitats'!N88</f>
        <v>High</v>
      </c>
      <c r="C110" s="544">
        <f>'G-1 All Habitats'!O88</f>
        <v>0.33</v>
      </c>
      <c r="D110" s="544" t="str">
        <f>'G-1 All Habitats'!P88</f>
        <v>High</v>
      </c>
      <c r="E110" s="544">
        <f>'G-1 All Habitats'!Q88</f>
        <v>0.33</v>
      </c>
    </row>
    <row r="111" spans="1:5" x14ac:dyDescent="0.25">
      <c r="A111" s="110" t="str">
        <f>'G-1 All Habitats'!B89</f>
        <v>Woodland and forest - Native pine woodlands</v>
      </c>
      <c r="B111" s="544" t="str">
        <f>'G-1 All Habitats'!N89</f>
        <v>High</v>
      </c>
      <c r="C111" s="544">
        <f>'G-1 All Habitats'!O89</f>
        <v>0.33</v>
      </c>
      <c r="D111" s="544" t="str">
        <f>'G-1 All Habitats'!P89</f>
        <v>High</v>
      </c>
      <c r="E111" s="544">
        <f>'G-1 All Habitats'!Q89</f>
        <v>0.33</v>
      </c>
    </row>
    <row r="112" spans="1:5" x14ac:dyDescent="0.25">
      <c r="A112" s="110" t="str">
        <f>'G-1 All Habitats'!B90</f>
        <v>Woodland and forest - Other coniferous woodland</v>
      </c>
      <c r="B112" s="544" t="str">
        <f>'G-1 All Habitats'!N90</f>
        <v>Low</v>
      </c>
      <c r="C112" s="544">
        <f>'G-1 All Habitats'!O90</f>
        <v>1</v>
      </c>
      <c r="D112" s="544" t="str">
        <f>'G-1 All Habitats'!P90</f>
        <v>Low</v>
      </c>
      <c r="E112" s="544">
        <f>'G-1 All Habitats'!Q90</f>
        <v>1</v>
      </c>
    </row>
    <row r="113" spans="1:5" x14ac:dyDescent="0.25">
      <c r="A113" s="110" t="str">
        <f>'G-1 All Habitats'!B91</f>
        <v>Woodland and forest - Other Scot's Pine woodland</v>
      </c>
      <c r="B113" s="544" t="str">
        <f>'G-1 All Habitats'!N91</f>
        <v>Medium</v>
      </c>
      <c r="C113" s="544">
        <f>'G-1 All Habitats'!O91</f>
        <v>0.67</v>
      </c>
      <c r="D113" s="544" t="str">
        <f>'G-1 All Habitats'!P91</f>
        <v>Medium</v>
      </c>
      <c r="E113" s="544">
        <f>'G-1 All Habitats'!Q91</f>
        <v>0.67</v>
      </c>
    </row>
    <row r="114" spans="1:5" x14ac:dyDescent="0.25">
      <c r="A114" s="110" t="str">
        <f>'G-1 All Habitats'!B92</f>
        <v>Woodland and forest - Other woodland; broadleaved</v>
      </c>
      <c r="B114" s="544" t="str">
        <f>'G-1 All Habitats'!N92</f>
        <v>Low</v>
      </c>
      <c r="C114" s="544">
        <f>'G-1 All Habitats'!O92</f>
        <v>1</v>
      </c>
      <c r="D114" s="544" t="str">
        <f>'G-1 All Habitats'!P92</f>
        <v>Low</v>
      </c>
      <c r="E114" s="544">
        <f>'G-1 All Habitats'!Q92</f>
        <v>1</v>
      </c>
    </row>
    <row r="115" spans="1:5" x14ac:dyDescent="0.25">
      <c r="A115" s="110" t="str">
        <f>'G-1 All Habitats'!B93</f>
        <v>Woodland and forest - Other woodland; mixed</v>
      </c>
      <c r="B115" s="544" t="str">
        <f>'G-1 All Habitats'!N93</f>
        <v>Low</v>
      </c>
      <c r="C115" s="544">
        <f>'G-1 All Habitats'!O93</f>
        <v>1</v>
      </c>
      <c r="D115" s="544" t="str">
        <f>'G-1 All Habitats'!P93</f>
        <v>Low</v>
      </c>
      <c r="E115" s="544">
        <f>'G-1 All Habitats'!Q93</f>
        <v>1</v>
      </c>
    </row>
    <row r="116" spans="1:5" x14ac:dyDescent="0.25">
      <c r="A116" s="110" t="str">
        <f>'G-1 All Habitats'!B94</f>
        <v>Woodland and forest - Upland birchwoods</v>
      </c>
      <c r="B116" s="544" t="str">
        <f>'G-1 All Habitats'!N94</f>
        <v>Medium</v>
      </c>
      <c r="C116" s="544">
        <f>'G-1 All Habitats'!O94</f>
        <v>0.67</v>
      </c>
      <c r="D116" s="544" t="str">
        <f>'G-1 All Habitats'!P94</f>
        <v>Medium</v>
      </c>
      <c r="E116" s="544">
        <f>'G-1 All Habitats'!Q94</f>
        <v>0.67</v>
      </c>
    </row>
    <row r="117" spans="1:5" x14ac:dyDescent="0.25">
      <c r="A117" s="110" t="str">
        <f>'G-1 All Habitats'!B95</f>
        <v>Woodland and forest - Upland mixed ashwoods</v>
      </c>
      <c r="B117" s="544" t="str">
        <f>'G-1 All Habitats'!N95</f>
        <v>High</v>
      </c>
      <c r="C117" s="544">
        <f>'G-1 All Habitats'!O95</f>
        <v>0.33</v>
      </c>
      <c r="D117" s="544" t="str">
        <f>'G-1 All Habitats'!P95</f>
        <v>High</v>
      </c>
      <c r="E117" s="544">
        <f>'G-1 All Habitats'!Q95</f>
        <v>0.33</v>
      </c>
    </row>
    <row r="118" spans="1:5" x14ac:dyDescent="0.25">
      <c r="A118" s="110" t="str">
        <f>'G-1 All Habitats'!B96</f>
        <v>Woodland and forest - Upland oakwood</v>
      </c>
      <c r="B118" s="544" t="str">
        <f>'G-1 All Habitats'!N96</f>
        <v>High</v>
      </c>
      <c r="C118" s="544">
        <f>'G-1 All Habitats'!O96</f>
        <v>0.33</v>
      </c>
      <c r="D118" s="544" t="str">
        <f>'G-1 All Habitats'!P96</f>
        <v>High</v>
      </c>
      <c r="E118" s="544">
        <f>'G-1 All Habitats'!Q96</f>
        <v>0.33</v>
      </c>
    </row>
    <row r="119" spans="1:5" x14ac:dyDescent="0.25">
      <c r="A119" s="110" t="str">
        <f>'G-1 All Habitats'!B97</f>
        <v>Woodland and forest - Wet woodland</v>
      </c>
      <c r="B119" s="544" t="str">
        <f>'G-1 All Habitats'!N97</f>
        <v>Medium</v>
      </c>
      <c r="C119" s="544">
        <f>'G-1 All Habitats'!O97</f>
        <v>0.67</v>
      </c>
      <c r="D119" s="544" t="str">
        <f>'G-1 All Habitats'!P97</f>
        <v>Medium</v>
      </c>
      <c r="E119" s="544">
        <f>'G-1 All Habitats'!Q97</f>
        <v>0.67</v>
      </c>
    </row>
    <row r="120" spans="1:5" x14ac:dyDescent="0.25">
      <c r="A120" s="110" t="str">
        <f>'G-1 All Habitats'!B98</f>
        <v>Woodland and forest - Wood-pasture and parkland</v>
      </c>
      <c r="B120" s="544" t="str">
        <f>'G-1 All Habitats'!N98</f>
        <v>Very High</v>
      </c>
      <c r="C120" s="544">
        <f>'G-1 All Habitats'!O98</f>
        <v>0.1</v>
      </c>
      <c r="D120" s="544" t="str">
        <f>'G-1 All Habitats'!P98</f>
        <v>High</v>
      </c>
      <c r="E120" s="544">
        <f>'G-1 All Habitats'!Q98</f>
        <v>0.33</v>
      </c>
    </row>
    <row r="121" spans="1:5" x14ac:dyDescent="0.25">
      <c r="A121" s="110" t="str">
        <f>'G-1 All Habitats'!B125</f>
        <v>Intertidal sediment - Littoral sand</v>
      </c>
      <c r="B121" s="544" t="str">
        <f>'G-1 All Habitats'!N125</f>
        <v>Medium</v>
      </c>
      <c r="C121" s="544">
        <f>'G-1 All Habitats'!O125</f>
        <v>0.67</v>
      </c>
      <c r="D121" s="544" t="str">
        <f>'G-1 All Habitats'!P125</f>
        <v>Medium</v>
      </c>
      <c r="E121" s="544">
        <f>'G-1 All Habitats'!Q125</f>
        <v>0.67</v>
      </c>
    </row>
    <row r="122" spans="1:5" x14ac:dyDescent="0.25">
      <c r="A122" s="110" t="str">
        <f>'G-1 All Habitats'!B126</f>
        <v>Intertidal sediment - Littoral muddy sand</v>
      </c>
      <c r="B122" s="544" t="str">
        <f>'G-1 All Habitats'!N126</f>
        <v>High</v>
      </c>
      <c r="C122" s="544">
        <f>'G-1 All Habitats'!O126</f>
        <v>0.33</v>
      </c>
      <c r="D122" s="544" t="str">
        <f>'G-1 All Habitats'!P126</f>
        <v>Medium</v>
      </c>
      <c r="E122" s="544">
        <f>'G-1 All Habitats'!Q126</f>
        <v>0.67</v>
      </c>
    </row>
    <row r="123" spans="1:5" x14ac:dyDescent="0.25">
      <c r="A123" s="110" t="str">
        <f>'G-1 All Habitats'!B127</f>
        <v>Intertidal Hard Structures - Artificial hard structures</v>
      </c>
      <c r="B123" s="544" t="str">
        <f>'G-1 All Habitats'!N127</f>
        <v>Medium</v>
      </c>
      <c r="C123" s="544">
        <f>'G-1 All Habitats'!O127</f>
        <v>0.67</v>
      </c>
      <c r="D123" s="544" t="str">
        <f>'G-1 All Habitats'!P127</f>
        <v>Medium</v>
      </c>
      <c r="E123" s="544">
        <f>'G-1 All Habitats'!Q127</f>
        <v>0.67</v>
      </c>
    </row>
    <row r="124" spans="1:5" x14ac:dyDescent="0.25">
      <c r="A124" s="110" t="str">
        <f>'G-1 All Habitats'!B128</f>
        <v>Intertidal Hard Structures - Artificial features of hard structures</v>
      </c>
      <c r="B124" s="544" t="str">
        <f>'G-1 All Habitats'!N128</f>
        <v>Medium</v>
      </c>
      <c r="C124" s="544">
        <f>'G-1 All Habitats'!O128</f>
        <v>0.67</v>
      </c>
      <c r="D124" s="544" t="str">
        <f>'G-1 All Habitats'!P128</f>
        <v>Medium</v>
      </c>
      <c r="E124" s="544">
        <f>'G-1 All Habitats'!Q128</f>
        <v>0.67</v>
      </c>
    </row>
    <row r="125" spans="1:5" x14ac:dyDescent="0.25">
      <c r="A125" s="110" t="str">
        <f>'G-1 All Habitats'!B129</f>
        <v>Intertidal Hard Structures - Artificial hard structures with Integrated Greening of Grey Infrastructure (IGGI)</v>
      </c>
      <c r="B125" s="544" t="str">
        <f>'G-1 All Habitats'!N129</f>
        <v>Medium</v>
      </c>
      <c r="C125" s="544">
        <f>'G-1 All Habitats'!O129</f>
        <v>0.67</v>
      </c>
      <c r="D125" s="544" t="str">
        <f>'G-1 All Habitats'!P129</f>
        <v>Medium</v>
      </c>
      <c r="E125" s="544">
        <f>'G-1 All Habitats'!Q129</f>
        <v>0.67</v>
      </c>
    </row>
    <row r="126" spans="1:5" x14ac:dyDescent="0.25">
      <c r="A126" s="110" t="str">
        <f>'G-1 All Habitats'!B109</f>
        <v>Coastal saltmarsh - Artificial saltmarshes and saline reedbeds</v>
      </c>
      <c r="B126" s="544" t="str">
        <f>'G-1 All Habitats'!N109</f>
        <v>High</v>
      </c>
      <c r="C126" s="544">
        <f>'G-1 All Habitats'!O109</f>
        <v>0.33</v>
      </c>
      <c r="D126" s="544" t="str">
        <f>'G-1 All Habitats'!P109</f>
        <v>Medium</v>
      </c>
      <c r="E126" s="544">
        <f>'G-1 All Habitats'!Q109</f>
        <v>0.67</v>
      </c>
    </row>
    <row r="127" spans="1:5" x14ac:dyDescent="0.25">
      <c r="A127" s="110" t="str">
        <f>'G-1 All Habitats'!B115</f>
        <v>Intertidal sediment - Littoral biogenic reefs - Mussels</v>
      </c>
      <c r="B127" s="544" t="str">
        <f>'G-1 All Habitats'!N115</f>
        <v>High</v>
      </c>
      <c r="C127" s="544">
        <f>'G-1 All Habitats'!O115</f>
        <v>0.33</v>
      </c>
      <c r="D127" s="544" t="str">
        <f>'G-1 All Habitats'!P115</f>
        <v>Medium</v>
      </c>
      <c r="E127" s="544">
        <f>'G-1 All Habitats'!Q115</f>
        <v>0.67</v>
      </c>
    </row>
    <row r="128" spans="1:5" x14ac:dyDescent="0.25">
      <c r="A128" s="110" t="str">
        <f>'G-1 All Habitats'!B119</f>
        <v>Intertidal sediment - Artificial littoral mud</v>
      </c>
      <c r="B128" s="544" t="str">
        <f>'G-1 All Habitats'!N119</f>
        <v>High</v>
      </c>
      <c r="C128" s="544">
        <f>'G-1 All Habitats'!O119</f>
        <v>0.33</v>
      </c>
      <c r="D128" s="544" t="str">
        <f>'G-1 All Habitats'!P119</f>
        <v>Medium</v>
      </c>
      <c r="E128" s="544">
        <f>'G-1 All Habitats'!Q119</f>
        <v>0.67</v>
      </c>
    </row>
    <row r="129" spans="1:5" x14ac:dyDescent="0.25">
      <c r="A129" s="110" t="str">
        <f>'G-1 All Habitats'!B120</f>
        <v>Intertidal sediment - Artificial littoral sand</v>
      </c>
      <c r="B129" s="544" t="str">
        <f>'G-1 All Habitats'!N120</f>
        <v>Medium</v>
      </c>
      <c r="C129" s="544">
        <f>'G-1 All Habitats'!O120</f>
        <v>0.67</v>
      </c>
      <c r="D129" s="544" t="str">
        <f>'G-1 All Habitats'!P120</f>
        <v>Medium</v>
      </c>
      <c r="E129" s="544">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90" zoomScaleNormal="90" workbookViewId="0">
      <pane xSplit="6" ySplit="3" topLeftCell="G58" activePane="bottomRight" state="frozen"/>
      <selection pane="topRight" activeCell="S28" sqref="S28"/>
      <selection pane="bottomLeft" activeCell="S28" sqref="S28"/>
      <selection pane="bottomRight" sqref="A1:C1"/>
    </sheetView>
  </sheetViews>
  <sheetFormatPr defaultColWidth="0" defaultRowHeight="13.8" zeroHeight="1" x14ac:dyDescent="0.25"/>
  <cols>
    <col min="1" max="1" width="14.5546875" style="31" customWidth="1"/>
    <col min="2" max="2" width="16.5546875" style="31" customWidth="1"/>
    <col min="3" max="3" width="16.44140625" style="31" customWidth="1"/>
    <col min="4" max="4" width="3" style="31" customWidth="1"/>
    <col min="5" max="5" width="4.109375" style="31" customWidth="1"/>
    <col min="6" max="6" width="88.88671875" style="31" bestFit="1" customWidth="1"/>
    <col min="7" max="7" width="13.109375" style="31" bestFit="1" customWidth="1"/>
    <col min="8" max="8" width="18.5546875" style="31" bestFit="1" customWidth="1"/>
    <col min="9" max="9" width="16.88671875" style="31" bestFit="1" customWidth="1"/>
    <col min="10" max="10" width="17.6640625" style="31" bestFit="1" customWidth="1"/>
    <col min="11" max="11" width="13" style="31" bestFit="1" customWidth="1"/>
    <col min="12" max="12" width="23.5546875" style="31" bestFit="1" customWidth="1"/>
    <col min="13" max="13" width="18.5546875" style="31" bestFit="1" customWidth="1"/>
    <col min="14" max="14" width="9.109375" style="31" customWidth="1"/>
    <col min="15" max="16" width="12.109375" style="31" customWidth="1"/>
    <col min="17" max="17" width="12.88671875" style="31" customWidth="1"/>
    <col min="18" max="18" width="11.44140625" style="31" customWidth="1"/>
    <col min="19" max="33" width="9.109375" style="31" customWidth="1"/>
    <col min="34" max="34" width="8.109375" style="31" hidden="1" customWidth="1"/>
    <col min="35" max="16384" width="9.109375" style="31" hidden="1"/>
  </cols>
  <sheetData>
    <row r="1" spans="1:13" ht="55.2" customHeight="1" x14ac:dyDescent="0.5">
      <c r="A1" s="1053"/>
      <c r="B1" s="1053"/>
      <c r="C1" s="1053"/>
      <c r="F1" s="281"/>
      <c r="G1" s="281"/>
      <c r="H1" s="281"/>
      <c r="I1" s="281"/>
      <c r="J1" s="281"/>
      <c r="K1" s="281"/>
      <c r="L1" s="281"/>
      <c r="M1" s="281"/>
    </row>
    <row r="2" spans="1:13" ht="29.4" customHeight="1" x14ac:dyDescent="0.5">
      <c r="A2" s="1052" t="s">
        <v>929</v>
      </c>
      <c r="B2" s="1052"/>
      <c r="C2" s="1052"/>
      <c r="F2" s="282"/>
      <c r="G2" s="1054" t="s">
        <v>930</v>
      </c>
      <c r="H2" s="1054"/>
      <c r="I2" s="1054"/>
      <c r="J2" s="1054"/>
      <c r="K2" s="1054"/>
      <c r="L2" s="1054"/>
      <c r="M2" s="1055"/>
    </row>
    <row r="3" spans="1:13" ht="27.6" x14ac:dyDescent="0.25">
      <c r="A3" s="103" t="s">
        <v>931</v>
      </c>
      <c r="B3" s="103" t="s">
        <v>932</v>
      </c>
      <c r="C3" s="103" t="s">
        <v>933</v>
      </c>
      <c r="F3" s="283" t="s">
        <v>820</v>
      </c>
      <c r="G3" s="104" t="s">
        <v>21</v>
      </c>
      <c r="H3" s="104" t="s">
        <v>382</v>
      </c>
      <c r="I3" s="104" t="s">
        <v>20</v>
      </c>
      <c r="J3" s="104" t="s">
        <v>393</v>
      </c>
      <c r="K3" s="130" t="s">
        <v>242</v>
      </c>
      <c r="L3" s="130" t="s">
        <v>403</v>
      </c>
      <c r="M3" s="104" t="s">
        <v>407</v>
      </c>
    </row>
    <row r="4" spans="1:13" x14ac:dyDescent="0.25">
      <c r="A4" s="104">
        <v>0</v>
      </c>
      <c r="B4" s="544">
        <v>100</v>
      </c>
      <c r="C4" s="655">
        <v>1</v>
      </c>
      <c r="F4" s="88" t="str">
        <f>'G-1 All Habitats'!B3</f>
        <v>Cropland - Arable field margins cultivated annually</v>
      </c>
      <c r="G4" s="544" t="s">
        <v>934</v>
      </c>
      <c r="H4" s="544" t="s">
        <v>934</v>
      </c>
      <c r="I4" s="544" t="s">
        <v>934</v>
      </c>
      <c r="J4" s="544" t="s">
        <v>934</v>
      </c>
      <c r="K4" s="544" t="s">
        <v>934</v>
      </c>
      <c r="L4" s="544">
        <v>1</v>
      </c>
      <c r="M4" s="544" t="s">
        <v>934</v>
      </c>
    </row>
    <row r="5" spans="1:13" x14ac:dyDescent="0.25">
      <c r="A5" s="104">
        <v>1</v>
      </c>
      <c r="B5" s="544">
        <v>96.5</v>
      </c>
      <c r="C5" s="655">
        <v>0.96499999999999997</v>
      </c>
      <c r="F5" s="88" t="str">
        <f>'G-1 All Habitats'!B4</f>
        <v>Cropland - Arable field margins game bird mix</v>
      </c>
      <c r="G5" s="544" t="s">
        <v>934</v>
      </c>
      <c r="H5" s="544" t="s">
        <v>934</v>
      </c>
      <c r="I5" s="544" t="s">
        <v>934</v>
      </c>
      <c r="J5" s="544" t="s">
        <v>934</v>
      </c>
      <c r="K5" s="544" t="s">
        <v>934</v>
      </c>
      <c r="L5" s="544">
        <v>1</v>
      </c>
      <c r="M5" s="544" t="s">
        <v>934</v>
      </c>
    </row>
    <row r="6" spans="1:13" x14ac:dyDescent="0.25">
      <c r="A6" s="104">
        <v>2</v>
      </c>
      <c r="B6" s="544">
        <v>93.122500000000002</v>
      </c>
      <c r="C6" s="655">
        <v>0.93122499999999997</v>
      </c>
      <c r="F6" s="88" t="str">
        <f>'G-1 All Habitats'!B5</f>
        <v>Cropland - Arable field margins pollen &amp; nectar</v>
      </c>
      <c r="G6" s="544" t="s">
        <v>934</v>
      </c>
      <c r="H6" s="544" t="s">
        <v>934</v>
      </c>
      <c r="I6" s="544" t="s">
        <v>934</v>
      </c>
      <c r="J6" s="544" t="s">
        <v>934</v>
      </c>
      <c r="K6" s="544" t="s">
        <v>934</v>
      </c>
      <c r="L6" s="544">
        <v>1</v>
      </c>
      <c r="M6" s="544" t="s">
        <v>934</v>
      </c>
    </row>
    <row r="7" spans="1:13" x14ac:dyDescent="0.25">
      <c r="A7" s="104">
        <v>3</v>
      </c>
      <c r="B7" s="544">
        <v>89.863212500000003</v>
      </c>
      <c r="C7" s="655">
        <v>0.898632125</v>
      </c>
      <c r="F7" s="88" t="str">
        <f>'G-1 All Habitats'!B6</f>
        <v>Cropland - Arable field margins tussocky</v>
      </c>
      <c r="G7" s="544" t="s">
        <v>934</v>
      </c>
      <c r="H7" s="544" t="s">
        <v>934</v>
      </c>
      <c r="I7" s="544" t="s">
        <v>934</v>
      </c>
      <c r="J7" s="544" t="s">
        <v>934</v>
      </c>
      <c r="K7" s="544" t="s">
        <v>934</v>
      </c>
      <c r="L7" s="544">
        <v>1</v>
      </c>
      <c r="M7" s="544" t="s">
        <v>934</v>
      </c>
    </row>
    <row r="8" spans="1:13" x14ac:dyDescent="0.25">
      <c r="A8" s="104">
        <v>4</v>
      </c>
      <c r="B8" s="544">
        <v>86.718000059999994</v>
      </c>
      <c r="C8" s="655">
        <v>0.86718000059999989</v>
      </c>
      <c r="F8" s="88" t="str">
        <f>'G-1 All Habitats'!B7</f>
        <v>Cropland - Cereal crops</v>
      </c>
      <c r="G8" s="544" t="s">
        <v>934</v>
      </c>
      <c r="H8" s="544" t="s">
        <v>934</v>
      </c>
      <c r="I8" s="544" t="s">
        <v>934</v>
      </c>
      <c r="J8" s="544" t="s">
        <v>934</v>
      </c>
      <c r="K8" s="544" t="s">
        <v>934</v>
      </c>
      <c r="L8" s="544">
        <v>1</v>
      </c>
      <c r="M8" s="544" t="s">
        <v>934</v>
      </c>
    </row>
    <row r="9" spans="1:13" x14ac:dyDescent="0.25">
      <c r="A9" s="104">
        <v>5</v>
      </c>
      <c r="B9" s="544">
        <v>83.682870059999999</v>
      </c>
      <c r="C9" s="655">
        <v>0.83682870060000003</v>
      </c>
      <c r="F9" s="88" t="str">
        <f>'G-1 All Habitats'!B8</f>
        <v>Cropland - Cereal crops winter stubble</v>
      </c>
      <c r="G9" s="544" t="s">
        <v>934</v>
      </c>
      <c r="H9" s="544" t="s">
        <v>934</v>
      </c>
      <c r="I9" s="544" t="s">
        <v>934</v>
      </c>
      <c r="J9" s="544" t="s">
        <v>934</v>
      </c>
      <c r="K9" s="544" t="s">
        <v>934</v>
      </c>
      <c r="L9" s="544">
        <v>1</v>
      </c>
      <c r="M9" s="544" t="s">
        <v>934</v>
      </c>
    </row>
    <row r="10" spans="1:13" x14ac:dyDescent="0.25">
      <c r="A10" s="104">
        <v>6</v>
      </c>
      <c r="B10" s="544">
        <v>80.753969609999999</v>
      </c>
      <c r="C10" s="655">
        <v>0.80753969609999998</v>
      </c>
      <c r="F10" s="88" t="str">
        <f>'G-1 All Habitats'!B9</f>
        <v>Cropland - Horticulture</v>
      </c>
      <c r="G10" s="544" t="s">
        <v>934</v>
      </c>
      <c r="H10" s="544" t="s">
        <v>934</v>
      </c>
      <c r="I10" s="544" t="s">
        <v>934</v>
      </c>
      <c r="J10" s="544" t="s">
        <v>934</v>
      </c>
      <c r="K10" s="544" t="s">
        <v>934</v>
      </c>
      <c r="L10" s="544">
        <v>1</v>
      </c>
      <c r="M10" s="544" t="s">
        <v>934</v>
      </c>
    </row>
    <row r="11" spans="1:13" x14ac:dyDescent="0.25">
      <c r="A11" s="104">
        <v>7</v>
      </c>
      <c r="B11" s="544">
        <v>77.927580669999998</v>
      </c>
      <c r="C11" s="655">
        <v>0.77927580669999996</v>
      </c>
      <c r="F11" s="88" t="str">
        <f>'G-1 All Habitats'!B10</f>
        <v>Cropland - Intensive orchards</v>
      </c>
      <c r="G11" s="544" t="s">
        <v>934</v>
      </c>
      <c r="H11" s="544" t="s">
        <v>934</v>
      </c>
      <c r="I11" s="544" t="s">
        <v>934</v>
      </c>
      <c r="J11" s="544" t="s">
        <v>934</v>
      </c>
      <c r="K11" s="544" t="s">
        <v>934</v>
      </c>
      <c r="L11" s="544">
        <v>1</v>
      </c>
      <c r="M11" s="544" t="s">
        <v>934</v>
      </c>
    </row>
    <row r="12" spans="1:13" x14ac:dyDescent="0.25">
      <c r="A12" s="104">
        <v>8</v>
      </c>
      <c r="B12" s="544">
        <v>75.200115350000004</v>
      </c>
      <c r="C12" s="655">
        <v>0.75200115350000007</v>
      </c>
      <c r="F12" s="88" t="str">
        <f>'G-1 All Habitats'!B11</f>
        <v>Cropland - Non-cereal crops</v>
      </c>
      <c r="G12" s="544" t="s">
        <v>934</v>
      </c>
      <c r="H12" s="544" t="s">
        <v>934</v>
      </c>
      <c r="I12" s="544" t="s">
        <v>934</v>
      </c>
      <c r="J12" s="544" t="s">
        <v>934</v>
      </c>
      <c r="K12" s="544" t="s">
        <v>934</v>
      </c>
      <c r="L12" s="544">
        <v>1</v>
      </c>
      <c r="M12" s="544" t="s">
        <v>934</v>
      </c>
    </row>
    <row r="13" spans="1:13" x14ac:dyDescent="0.25">
      <c r="A13" s="104">
        <v>9</v>
      </c>
      <c r="B13" s="544">
        <v>72.568111310000006</v>
      </c>
      <c r="C13" s="655">
        <v>0.72568111310000005</v>
      </c>
      <c r="F13" s="88" t="str">
        <f>'G-1 All Habitats'!B12</f>
        <v>Cropland - Temporary grass and clover leys</v>
      </c>
      <c r="G13" s="544" t="s">
        <v>934</v>
      </c>
      <c r="H13" s="544" t="s">
        <v>934</v>
      </c>
      <c r="I13" s="544" t="s">
        <v>934</v>
      </c>
      <c r="J13" s="544" t="s">
        <v>934</v>
      </c>
      <c r="K13" s="544" t="s">
        <v>934</v>
      </c>
      <c r="L13" s="544">
        <v>1</v>
      </c>
      <c r="M13" s="544" t="s">
        <v>934</v>
      </c>
    </row>
    <row r="14" spans="1:13" x14ac:dyDescent="0.25">
      <c r="A14" s="104">
        <v>10</v>
      </c>
      <c r="B14" s="544">
        <v>70.028227419999993</v>
      </c>
      <c r="C14" s="655">
        <v>0.70028227419999989</v>
      </c>
      <c r="F14" s="88" t="str">
        <f>'G-1 All Habitats'!B13</f>
        <v>Grassland - Traditional orchards</v>
      </c>
      <c r="G14" s="544">
        <v>30</v>
      </c>
      <c r="H14" s="544">
        <v>25</v>
      </c>
      <c r="I14" s="544">
        <v>20</v>
      </c>
      <c r="J14" s="544">
        <v>10</v>
      </c>
      <c r="K14" s="544">
        <v>5</v>
      </c>
      <c r="L14" s="544" t="s">
        <v>934</v>
      </c>
      <c r="M14" s="544" t="s">
        <v>934</v>
      </c>
    </row>
    <row r="15" spans="1:13" x14ac:dyDescent="0.25">
      <c r="A15" s="104">
        <v>11</v>
      </c>
      <c r="B15" s="544">
        <v>67.577239460000001</v>
      </c>
      <c r="C15" s="655">
        <v>0.67577239460000005</v>
      </c>
      <c r="F15" s="88" t="str">
        <f>'G-1 All Habitats'!B14</f>
        <v>Grassland - Bracken</v>
      </c>
      <c r="G15" s="544" t="s">
        <v>934</v>
      </c>
      <c r="H15" s="544" t="s">
        <v>934</v>
      </c>
      <c r="I15" s="544" t="s">
        <v>934</v>
      </c>
      <c r="J15" s="544" t="s">
        <v>934</v>
      </c>
      <c r="K15" s="544" t="s">
        <v>934</v>
      </c>
      <c r="L15" s="544">
        <v>1</v>
      </c>
      <c r="M15" s="544" t="s">
        <v>934</v>
      </c>
    </row>
    <row r="16" spans="1:13" x14ac:dyDescent="0.25">
      <c r="A16" s="104">
        <v>12</v>
      </c>
      <c r="B16" s="544">
        <v>65.212036069999996</v>
      </c>
      <c r="C16" s="655">
        <v>0.65212036070000001</v>
      </c>
      <c r="F16" s="88" t="str">
        <f>'G-1 All Habitats'!B15</f>
        <v>Grassland - Floodplain Wetland Mosaic (CFGM)</v>
      </c>
      <c r="G16" s="544">
        <v>20</v>
      </c>
      <c r="H16" s="544">
        <v>15</v>
      </c>
      <c r="I16" s="544">
        <v>10</v>
      </c>
      <c r="J16" s="544">
        <v>8</v>
      </c>
      <c r="K16" s="544">
        <v>5</v>
      </c>
      <c r="L16" s="544" t="s">
        <v>934</v>
      </c>
      <c r="M16" s="544" t="s">
        <v>934</v>
      </c>
    </row>
    <row r="17" spans="1:13" x14ac:dyDescent="0.25">
      <c r="A17" s="104">
        <v>13</v>
      </c>
      <c r="B17" s="544">
        <v>62.929614809999997</v>
      </c>
      <c r="C17" s="655">
        <v>0.62929614810000001</v>
      </c>
      <c r="F17" s="88" t="str">
        <f>'G-1 All Habitats'!B16</f>
        <v>Grassland - Lowland calcareous grassland</v>
      </c>
      <c r="G17" s="544">
        <v>20</v>
      </c>
      <c r="H17" s="544">
        <v>15</v>
      </c>
      <c r="I17" s="544">
        <v>10</v>
      </c>
      <c r="J17" s="544">
        <v>8</v>
      </c>
      <c r="K17" s="544">
        <v>5</v>
      </c>
      <c r="L17" s="544" t="s">
        <v>934</v>
      </c>
      <c r="M17" s="544" t="s">
        <v>934</v>
      </c>
    </row>
    <row r="18" spans="1:13" x14ac:dyDescent="0.25">
      <c r="A18" s="104">
        <v>14</v>
      </c>
      <c r="B18" s="544">
        <v>60.727078290000001</v>
      </c>
      <c r="C18" s="655">
        <v>0.60727078290000003</v>
      </c>
      <c r="F18" s="88" t="str">
        <f>'G-1 All Habitats'!B17</f>
        <v>Grassland - Lowland dry acid grassland</v>
      </c>
      <c r="G18" s="544" t="s">
        <v>935</v>
      </c>
      <c r="H18" s="544">
        <v>25</v>
      </c>
      <c r="I18" s="544">
        <v>20</v>
      </c>
      <c r="J18" s="544">
        <v>15</v>
      </c>
      <c r="K18" s="544">
        <v>10</v>
      </c>
      <c r="L18" s="544" t="s">
        <v>934</v>
      </c>
      <c r="M18" s="544" t="s">
        <v>934</v>
      </c>
    </row>
    <row r="19" spans="1:13" x14ac:dyDescent="0.25">
      <c r="A19" s="104">
        <v>15</v>
      </c>
      <c r="B19" s="544">
        <v>58.601630550000003</v>
      </c>
      <c r="C19" s="655">
        <v>0.58601630550000006</v>
      </c>
      <c r="F19" s="88" t="str">
        <f>'G-1 All Habitats'!B18</f>
        <v>Grassland - Lowland meadows</v>
      </c>
      <c r="G19" s="544">
        <v>15</v>
      </c>
      <c r="H19" s="544">
        <v>12</v>
      </c>
      <c r="I19" s="544">
        <v>10</v>
      </c>
      <c r="J19" s="544">
        <v>8</v>
      </c>
      <c r="K19" s="544">
        <v>5</v>
      </c>
      <c r="L19" s="544" t="s">
        <v>934</v>
      </c>
      <c r="M19" s="544" t="s">
        <v>934</v>
      </c>
    </row>
    <row r="20" spans="1:13" x14ac:dyDescent="0.25">
      <c r="A20" s="104">
        <v>16</v>
      </c>
      <c r="B20" s="544">
        <v>56.550573479999997</v>
      </c>
      <c r="C20" s="655">
        <v>0.56550573479999999</v>
      </c>
      <c r="F20" s="88" t="str">
        <f>'G-1 All Habitats'!B19</f>
        <v>Grassland - Modified grassland</v>
      </c>
      <c r="G20" s="544">
        <v>7</v>
      </c>
      <c r="H20" s="544">
        <v>5</v>
      </c>
      <c r="I20" s="544">
        <v>4</v>
      </c>
      <c r="J20" s="544">
        <v>2</v>
      </c>
      <c r="K20" s="544">
        <v>1</v>
      </c>
      <c r="L20" s="544">
        <v>1</v>
      </c>
      <c r="M20" s="544" t="s">
        <v>934</v>
      </c>
    </row>
    <row r="21" spans="1:13" ht="15" customHeight="1" x14ac:dyDescent="0.25">
      <c r="A21" s="104">
        <v>17</v>
      </c>
      <c r="B21" s="544">
        <v>54.571303409999999</v>
      </c>
      <c r="C21" s="655">
        <v>0.54571303409999994</v>
      </c>
      <c r="F21" s="88" t="str">
        <f>'G-1 All Habitats'!B20</f>
        <v>Grassland - Other lowland acid grassland</v>
      </c>
      <c r="G21" s="544">
        <v>15</v>
      </c>
      <c r="H21" s="544">
        <v>12</v>
      </c>
      <c r="I21" s="544">
        <v>10</v>
      </c>
      <c r="J21" s="544">
        <v>5</v>
      </c>
      <c r="K21" s="544">
        <v>1</v>
      </c>
      <c r="L21" s="544" t="s">
        <v>934</v>
      </c>
      <c r="M21" s="544" t="s">
        <v>934</v>
      </c>
    </row>
    <row r="22" spans="1:13" ht="15" customHeight="1" x14ac:dyDescent="0.25">
      <c r="A22" s="104">
        <v>18</v>
      </c>
      <c r="B22" s="544">
        <v>52.661307790000002</v>
      </c>
      <c r="C22" s="655">
        <v>0.5266130779</v>
      </c>
      <c r="F22" s="88" t="str">
        <f>'G-1 All Habitats'!B21</f>
        <v>Grassland - Other neutral grassland</v>
      </c>
      <c r="G22" s="544">
        <v>10</v>
      </c>
      <c r="H22" s="544">
        <v>7</v>
      </c>
      <c r="I22" s="544">
        <v>5</v>
      </c>
      <c r="J22" s="544">
        <v>3</v>
      </c>
      <c r="K22" s="544">
        <v>2</v>
      </c>
      <c r="L22" s="544" t="s">
        <v>934</v>
      </c>
      <c r="M22" s="544" t="s">
        <v>934</v>
      </c>
    </row>
    <row r="23" spans="1:13" ht="15" customHeight="1" x14ac:dyDescent="0.25">
      <c r="A23" s="104">
        <v>19</v>
      </c>
      <c r="B23" s="544">
        <v>50.818162020000003</v>
      </c>
      <c r="C23" s="655">
        <v>0.50818162020000002</v>
      </c>
      <c r="F23" s="88" t="str">
        <f>'G-1 All Habitats'!B22</f>
        <v>Grassland - Tall herb communities (H6430)</v>
      </c>
      <c r="G23" s="544">
        <v>30</v>
      </c>
      <c r="H23" s="544">
        <v>25</v>
      </c>
      <c r="I23" s="544">
        <v>20</v>
      </c>
      <c r="J23" s="544">
        <v>15</v>
      </c>
      <c r="K23" s="544">
        <v>10</v>
      </c>
      <c r="L23" s="544" t="s">
        <v>934</v>
      </c>
      <c r="M23" s="544" t="s">
        <v>934</v>
      </c>
    </row>
    <row r="24" spans="1:13" ht="15" customHeight="1" x14ac:dyDescent="0.25">
      <c r="A24" s="104">
        <v>20</v>
      </c>
      <c r="B24" s="544">
        <v>49.039526350000003</v>
      </c>
      <c r="C24" s="655">
        <v>0.49039526350000001</v>
      </c>
      <c r="F24" s="88" t="str">
        <f>'G-1 All Habitats'!B23</f>
        <v>Grassland - Upland acid grassland</v>
      </c>
      <c r="G24" s="544">
        <v>15</v>
      </c>
      <c r="H24" s="544">
        <v>12</v>
      </c>
      <c r="I24" s="544">
        <v>10</v>
      </c>
      <c r="J24" s="544">
        <v>5</v>
      </c>
      <c r="K24" s="544">
        <v>1</v>
      </c>
      <c r="L24" s="544" t="s">
        <v>934</v>
      </c>
      <c r="M24" s="544" t="s">
        <v>934</v>
      </c>
    </row>
    <row r="25" spans="1:13" ht="15" customHeight="1" x14ac:dyDescent="0.25">
      <c r="A25" s="104">
        <v>21</v>
      </c>
      <c r="B25" s="544">
        <v>47.323142930000003</v>
      </c>
      <c r="C25" s="655">
        <v>0.47323142930000001</v>
      </c>
      <c r="F25" s="88" t="str">
        <f>'G-1 All Habitats'!B24</f>
        <v>Grassland - Upland calcareous grassland</v>
      </c>
      <c r="G25" s="544">
        <v>25</v>
      </c>
      <c r="H25" s="544">
        <v>20</v>
      </c>
      <c r="I25" s="544">
        <v>15</v>
      </c>
      <c r="J25" s="544">
        <v>12</v>
      </c>
      <c r="K25" s="544">
        <v>10</v>
      </c>
      <c r="L25" s="544" t="s">
        <v>934</v>
      </c>
      <c r="M25" s="544" t="s">
        <v>934</v>
      </c>
    </row>
    <row r="26" spans="1:13" ht="15" customHeight="1" x14ac:dyDescent="0.25">
      <c r="A26" s="104">
        <v>22</v>
      </c>
      <c r="B26" s="544">
        <v>45.666832919999997</v>
      </c>
      <c r="C26" s="655">
        <v>0.4566683292</v>
      </c>
      <c r="F26" s="88" t="str">
        <f>'G-1 All Habitats'!B25</f>
        <v>Grassland - Upland hay meadows</v>
      </c>
      <c r="G26" s="544">
        <v>20</v>
      </c>
      <c r="H26" s="544">
        <v>18</v>
      </c>
      <c r="I26" s="544">
        <v>15</v>
      </c>
      <c r="J26" s="544">
        <v>12</v>
      </c>
      <c r="K26" s="544">
        <v>10</v>
      </c>
      <c r="L26" s="544" t="s">
        <v>934</v>
      </c>
      <c r="M26" s="544" t="s">
        <v>934</v>
      </c>
    </row>
    <row r="27" spans="1:13" x14ac:dyDescent="0.25">
      <c r="A27" s="104">
        <v>23</v>
      </c>
      <c r="B27" s="544">
        <v>44.068493770000003</v>
      </c>
      <c r="C27" s="655">
        <v>0.44068493770000006</v>
      </c>
      <c r="F27" s="88" t="str">
        <f>'G-1 All Habitats'!B26</f>
        <v>Heathland and shrub - Blackthorn scrub</v>
      </c>
      <c r="G27" s="544">
        <v>10</v>
      </c>
      <c r="H27" s="544">
        <v>7</v>
      </c>
      <c r="I27" s="544">
        <v>5</v>
      </c>
      <c r="J27" s="544">
        <v>3</v>
      </c>
      <c r="K27" s="544">
        <v>1</v>
      </c>
      <c r="L27" s="544" t="s">
        <v>934</v>
      </c>
      <c r="M27" s="544" t="s">
        <v>934</v>
      </c>
    </row>
    <row r="28" spans="1:13" x14ac:dyDescent="0.25">
      <c r="A28" s="104">
        <v>24</v>
      </c>
      <c r="B28" s="544">
        <v>42.52609649</v>
      </c>
      <c r="C28" s="655">
        <v>0.42526096489999998</v>
      </c>
      <c r="F28" s="88" t="str">
        <f>'G-1 All Habitats'!B27</f>
        <v>Heathland and shrub - Bramble scrub</v>
      </c>
      <c r="G28" s="544" t="s">
        <v>934</v>
      </c>
      <c r="H28" s="544" t="s">
        <v>934</v>
      </c>
      <c r="I28" s="544" t="s">
        <v>934</v>
      </c>
      <c r="J28" s="544" t="s">
        <v>934</v>
      </c>
      <c r="K28" s="544" t="s">
        <v>934</v>
      </c>
      <c r="L28" s="544">
        <v>1</v>
      </c>
      <c r="M28" s="544" t="s">
        <v>934</v>
      </c>
    </row>
    <row r="29" spans="1:13" x14ac:dyDescent="0.25">
      <c r="A29" s="104">
        <v>25</v>
      </c>
      <c r="B29" s="544">
        <v>41.037683110000003</v>
      </c>
      <c r="C29" s="655">
        <v>0.41037683110000001</v>
      </c>
      <c r="F29" s="88" t="str">
        <f>'G-1 All Habitats'!B28</f>
        <v>Heathland and shrub - Gorse scrub</v>
      </c>
      <c r="G29" s="544">
        <v>10</v>
      </c>
      <c r="H29" s="544">
        <v>7</v>
      </c>
      <c r="I29" s="544">
        <v>5</v>
      </c>
      <c r="J29" s="544">
        <v>3</v>
      </c>
      <c r="K29" s="544">
        <v>1</v>
      </c>
      <c r="L29" s="544" t="s">
        <v>934</v>
      </c>
      <c r="M29" s="544" t="s">
        <v>934</v>
      </c>
    </row>
    <row r="30" spans="1:13" x14ac:dyDescent="0.25">
      <c r="A30" s="104">
        <v>26</v>
      </c>
      <c r="B30" s="544">
        <v>39.601364199999999</v>
      </c>
      <c r="C30" s="655">
        <v>0.396013642</v>
      </c>
      <c r="F30" s="88" t="str">
        <f>'G-1 All Habitats'!B29</f>
        <v>Heathland and shrub - Hawthorn scrub</v>
      </c>
      <c r="G30" s="544">
        <v>10</v>
      </c>
      <c r="H30" s="544">
        <v>7</v>
      </c>
      <c r="I30" s="544">
        <v>5</v>
      </c>
      <c r="J30" s="544">
        <v>3</v>
      </c>
      <c r="K30" s="544">
        <v>1</v>
      </c>
      <c r="L30" s="544" t="s">
        <v>934</v>
      </c>
      <c r="M30" s="544" t="s">
        <v>934</v>
      </c>
    </row>
    <row r="31" spans="1:13" x14ac:dyDescent="0.25">
      <c r="A31" s="104">
        <v>27</v>
      </c>
      <c r="B31" s="544">
        <v>38.215316459999997</v>
      </c>
      <c r="C31" s="655">
        <v>0.38215316459999998</v>
      </c>
      <c r="F31" s="88" t="str">
        <f>'G-1 All Habitats'!B30</f>
        <v>Heathland and shrub - Hazel scrub</v>
      </c>
      <c r="G31" s="544">
        <v>15</v>
      </c>
      <c r="H31" s="544">
        <v>12</v>
      </c>
      <c r="I31" s="544">
        <v>10</v>
      </c>
      <c r="J31" s="544">
        <v>7</v>
      </c>
      <c r="K31" s="544">
        <v>5</v>
      </c>
      <c r="L31" s="544" t="s">
        <v>934</v>
      </c>
      <c r="M31" s="544" t="s">
        <v>934</v>
      </c>
    </row>
    <row r="32" spans="1:13" x14ac:dyDescent="0.25">
      <c r="A32" s="104">
        <v>28</v>
      </c>
      <c r="B32" s="544">
        <v>36.877780379999997</v>
      </c>
      <c r="C32" s="655">
        <v>0.36877780379999997</v>
      </c>
      <c r="F32" s="88" t="str">
        <f>'G-1 All Habitats'!B31</f>
        <v>Heathland and shrub - Lowland Heathland</v>
      </c>
      <c r="G32" s="544" t="s">
        <v>935</v>
      </c>
      <c r="H32" s="544">
        <v>25</v>
      </c>
      <c r="I32" s="544">
        <v>20</v>
      </c>
      <c r="J32" s="544">
        <v>15</v>
      </c>
      <c r="K32" s="544">
        <v>10</v>
      </c>
      <c r="L32" s="544" t="s">
        <v>934</v>
      </c>
      <c r="M32" s="544" t="s">
        <v>934</v>
      </c>
    </row>
    <row r="33" spans="1:13" x14ac:dyDescent="0.25">
      <c r="A33" s="104">
        <v>29</v>
      </c>
      <c r="B33" s="544">
        <v>35.587058069999998</v>
      </c>
      <c r="C33" s="655">
        <v>0.35587058069999999</v>
      </c>
      <c r="F33" s="88" t="str">
        <f>'G-1 All Habitats'!B32</f>
        <v>Heathland and shrub - Mixed scrub</v>
      </c>
      <c r="G33" s="544">
        <v>10</v>
      </c>
      <c r="H33" s="544">
        <v>7</v>
      </c>
      <c r="I33" s="544">
        <v>5</v>
      </c>
      <c r="J33" s="544">
        <v>3</v>
      </c>
      <c r="K33" s="544">
        <v>1</v>
      </c>
      <c r="L33" s="544" t="s">
        <v>934</v>
      </c>
      <c r="M33" s="544" t="s">
        <v>934</v>
      </c>
    </row>
    <row r="34" spans="1:13" x14ac:dyDescent="0.25">
      <c r="A34" s="104">
        <v>30</v>
      </c>
      <c r="B34" s="544">
        <v>34.34151104</v>
      </c>
      <c r="C34" s="655">
        <v>0.3434151104</v>
      </c>
      <c r="F34" s="88" t="str">
        <f>'G-1 All Habitats'!B33</f>
        <v>Heathland and shrub - Mountain heaths and willow scrub</v>
      </c>
      <c r="G34" s="544" t="s">
        <v>935</v>
      </c>
      <c r="H34" s="544" t="s">
        <v>935</v>
      </c>
      <c r="I34" s="544">
        <v>25</v>
      </c>
      <c r="J34" s="544">
        <v>23</v>
      </c>
      <c r="K34" s="544">
        <v>15</v>
      </c>
      <c r="L34" s="544" t="s">
        <v>934</v>
      </c>
      <c r="M34" s="544" t="s">
        <v>934</v>
      </c>
    </row>
    <row r="35" spans="1:13" x14ac:dyDescent="0.25">
      <c r="A35" s="104">
        <v>31</v>
      </c>
      <c r="B35" s="544">
        <v>33.139558149999999</v>
      </c>
      <c r="C35" s="655">
        <v>0.33139558149999998</v>
      </c>
      <c r="F35" s="88" t="str">
        <f>'G-1 All Habitats'!B34</f>
        <v>Heathland and shrub - Rhododendron scrub</v>
      </c>
      <c r="G35" s="544" t="s">
        <v>934</v>
      </c>
      <c r="H35" s="544" t="s">
        <v>934</v>
      </c>
      <c r="I35" s="544" t="s">
        <v>934</v>
      </c>
      <c r="J35" s="544" t="s">
        <v>934</v>
      </c>
      <c r="K35" s="544" t="s">
        <v>934</v>
      </c>
      <c r="L35" s="544">
        <v>1</v>
      </c>
      <c r="M35" s="544" t="s">
        <v>934</v>
      </c>
    </row>
    <row r="36" spans="1:13" x14ac:dyDescent="0.25">
      <c r="A36" s="104" t="s">
        <v>935</v>
      </c>
      <c r="B36" s="594">
        <v>31.979673609999999</v>
      </c>
      <c r="C36" s="655">
        <v>0.31979673609999998</v>
      </c>
      <c r="F36" s="88" t="str">
        <f>'G-1 All Habitats'!B35</f>
        <v>Heathland and shrub - Sea buckthorn scrub (Annex 1)</v>
      </c>
      <c r="G36" s="544">
        <v>10</v>
      </c>
      <c r="H36" s="544">
        <v>7</v>
      </c>
      <c r="I36" s="544">
        <v>5</v>
      </c>
      <c r="J36" s="544">
        <v>3</v>
      </c>
      <c r="K36" s="544">
        <v>1</v>
      </c>
      <c r="L36" s="544" t="s">
        <v>934</v>
      </c>
      <c r="M36" s="544" t="s">
        <v>934</v>
      </c>
    </row>
    <row r="37" spans="1:13" x14ac:dyDescent="0.25">
      <c r="A37" s="284" t="s">
        <v>934</v>
      </c>
      <c r="B37" s="656" t="s">
        <v>924</v>
      </c>
      <c r="C37" s="656" t="s">
        <v>924</v>
      </c>
      <c r="F37" s="88" t="str">
        <f>'G-1 All Habitats'!B36</f>
        <v>Heathland and shrub - Sea buckthorn scrub (other)</v>
      </c>
      <c r="G37" s="544" t="s">
        <v>934</v>
      </c>
      <c r="H37" s="544" t="s">
        <v>934</v>
      </c>
      <c r="I37" s="544" t="s">
        <v>934</v>
      </c>
      <c r="J37" s="544" t="s">
        <v>934</v>
      </c>
      <c r="K37" s="544" t="s">
        <v>934</v>
      </c>
      <c r="L37" s="544">
        <v>1</v>
      </c>
      <c r="M37" s="544" t="s">
        <v>934</v>
      </c>
    </row>
    <row r="38" spans="1:13" x14ac:dyDescent="0.25">
      <c r="A38" s="42"/>
      <c r="B38" s="42"/>
      <c r="C38" s="42"/>
      <c r="F38" s="88" t="str">
        <f>'G-1 All Habitats'!B37</f>
        <v>Heathland and shrub - Upland Heathland</v>
      </c>
      <c r="G38" s="544">
        <v>30</v>
      </c>
      <c r="H38" s="544">
        <v>25</v>
      </c>
      <c r="I38" s="544">
        <v>20</v>
      </c>
      <c r="J38" s="544">
        <v>15</v>
      </c>
      <c r="K38" s="544">
        <v>10</v>
      </c>
      <c r="L38" s="544" t="s">
        <v>934</v>
      </c>
      <c r="M38" s="544" t="s">
        <v>934</v>
      </c>
    </row>
    <row r="39" spans="1:13" ht="55.2" x14ac:dyDescent="0.25">
      <c r="A39" s="285" t="s">
        <v>936</v>
      </c>
      <c r="B39" s="42"/>
      <c r="C39" s="42"/>
      <c r="F39" s="88" t="str">
        <f>'G-1 All Habitats'!B38</f>
        <v>Lakes - Aquifer fed naturally fluctuating water bodies</v>
      </c>
      <c r="G39" s="544">
        <v>30</v>
      </c>
      <c r="H39" s="544">
        <v>20</v>
      </c>
      <c r="I39" s="544">
        <v>15</v>
      </c>
      <c r="J39" s="544">
        <v>10</v>
      </c>
      <c r="K39" s="544">
        <v>1</v>
      </c>
      <c r="L39" s="544" t="s">
        <v>934</v>
      </c>
      <c r="M39" s="544" t="s">
        <v>934</v>
      </c>
    </row>
    <row r="40" spans="1:13" x14ac:dyDescent="0.25">
      <c r="A40" s="103" t="s">
        <v>931</v>
      </c>
      <c r="B40" s="42"/>
      <c r="C40" s="42"/>
      <c r="F40" s="88" t="str">
        <f>'G-1 All Habitats'!B40</f>
        <v>Lakes - High alkalinity lakes</v>
      </c>
      <c r="G40" s="544">
        <v>30</v>
      </c>
      <c r="H40" s="544">
        <v>20</v>
      </c>
      <c r="I40" s="544">
        <v>10</v>
      </c>
      <c r="J40" s="544">
        <v>7</v>
      </c>
      <c r="K40" s="544">
        <v>5</v>
      </c>
      <c r="L40" s="544" t="s">
        <v>934</v>
      </c>
      <c r="M40" s="544" t="s">
        <v>934</v>
      </c>
    </row>
    <row r="41" spans="1:13" x14ac:dyDescent="0.25">
      <c r="A41" s="544">
        <v>0</v>
      </c>
      <c r="B41" s="42"/>
      <c r="C41" s="42"/>
      <c r="F41" s="88" t="str">
        <f>'G-1 All Habitats'!B41</f>
        <v>Lakes - Low alkalinity lakes</v>
      </c>
      <c r="G41" s="544">
        <v>30</v>
      </c>
      <c r="H41" s="544">
        <v>20</v>
      </c>
      <c r="I41" s="544">
        <v>10</v>
      </c>
      <c r="J41" s="544">
        <v>7</v>
      </c>
      <c r="K41" s="544">
        <v>5</v>
      </c>
      <c r="L41" s="544" t="s">
        <v>934</v>
      </c>
      <c r="M41" s="544" t="s">
        <v>934</v>
      </c>
    </row>
    <row r="42" spans="1:13" x14ac:dyDescent="0.25">
      <c r="A42" s="544">
        <v>1</v>
      </c>
      <c r="B42" s="42"/>
      <c r="C42" s="42"/>
      <c r="F42" s="88" t="str">
        <f>'G-1 All Habitats'!B42</f>
        <v>Lakes - Marl Lakes</v>
      </c>
      <c r="G42" s="544">
        <v>30</v>
      </c>
      <c r="H42" s="544">
        <v>20</v>
      </c>
      <c r="I42" s="544">
        <v>10</v>
      </c>
      <c r="J42" s="544">
        <v>7</v>
      </c>
      <c r="K42" s="544">
        <v>5</v>
      </c>
      <c r="L42" s="544" t="s">
        <v>934</v>
      </c>
      <c r="M42" s="544" t="s">
        <v>934</v>
      </c>
    </row>
    <row r="43" spans="1:13" x14ac:dyDescent="0.25">
      <c r="A43" s="544">
        <v>2</v>
      </c>
      <c r="B43" s="42"/>
      <c r="C43" s="42"/>
      <c r="F43" s="88" t="str">
        <f>'G-1 All Habitats'!B43</f>
        <v>Lakes - Moderate alkalinity lakes</v>
      </c>
      <c r="G43" s="544">
        <v>30</v>
      </c>
      <c r="H43" s="544">
        <v>20</v>
      </c>
      <c r="I43" s="544">
        <v>10</v>
      </c>
      <c r="J43" s="544">
        <v>7</v>
      </c>
      <c r="K43" s="544">
        <v>5</v>
      </c>
      <c r="L43" s="544" t="s">
        <v>934</v>
      </c>
      <c r="M43" s="544" t="s">
        <v>934</v>
      </c>
    </row>
    <row r="44" spans="1:13" x14ac:dyDescent="0.25">
      <c r="A44" s="544">
        <v>3</v>
      </c>
      <c r="B44" s="42"/>
      <c r="C44" s="42"/>
      <c r="F44" s="88" t="str">
        <f>'G-1 All Habitats'!B44</f>
        <v>Lakes - Peat Lakes</v>
      </c>
      <c r="G44" s="544">
        <v>30</v>
      </c>
      <c r="H44" s="544">
        <v>20</v>
      </c>
      <c r="I44" s="544">
        <v>10</v>
      </c>
      <c r="J44" s="544">
        <v>7</v>
      </c>
      <c r="K44" s="544">
        <v>5</v>
      </c>
      <c r="L44" s="544" t="s">
        <v>934</v>
      </c>
      <c r="M44" s="544" t="s">
        <v>934</v>
      </c>
    </row>
    <row r="45" spans="1:13" x14ac:dyDescent="0.25">
      <c r="A45" s="544">
        <v>4</v>
      </c>
      <c r="B45" s="42"/>
      <c r="C45" s="42"/>
      <c r="F45" s="88" t="str">
        <f>'G-1 All Habitats'!B45</f>
        <v>Lakes - Ponds (Priority Habitat)</v>
      </c>
      <c r="G45" s="544">
        <v>5</v>
      </c>
      <c r="H45" s="544">
        <v>4</v>
      </c>
      <c r="I45" s="544">
        <v>3</v>
      </c>
      <c r="J45" s="544">
        <v>2</v>
      </c>
      <c r="K45" s="544">
        <v>1</v>
      </c>
      <c r="L45" s="544" t="s">
        <v>934</v>
      </c>
      <c r="M45" s="544" t="s">
        <v>934</v>
      </c>
    </row>
    <row r="46" spans="1:13" x14ac:dyDescent="0.25">
      <c r="A46" s="544">
        <v>5</v>
      </c>
      <c r="B46" s="42"/>
      <c r="C46" s="42"/>
      <c r="F46" s="88" t="str">
        <f>'G-1 All Habitats'!B46</f>
        <v>Lakes - Ponds (Non- Priority Habitat)</v>
      </c>
      <c r="G46" s="544">
        <v>5</v>
      </c>
      <c r="H46" s="544">
        <v>4</v>
      </c>
      <c r="I46" s="544">
        <v>3</v>
      </c>
      <c r="J46" s="544">
        <v>2</v>
      </c>
      <c r="K46" s="544">
        <v>1</v>
      </c>
      <c r="L46" s="544" t="s">
        <v>934</v>
      </c>
      <c r="M46" s="544" t="s">
        <v>934</v>
      </c>
    </row>
    <row r="47" spans="1:13" x14ac:dyDescent="0.25">
      <c r="A47" s="544">
        <v>6</v>
      </c>
      <c r="B47" s="42"/>
      <c r="C47" s="42"/>
      <c r="F47" s="88" t="str">
        <f>'G-1 All Habitats'!B47</f>
        <v>Lakes - Reservoirs</v>
      </c>
      <c r="G47" s="544">
        <v>10</v>
      </c>
      <c r="H47" s="544">
        <v>7</v>
      </c>
      <c r="I47" s="544">
        <v>5</v>
      </c>
      <c r="J47" s="544">
        <v>3</v>
      </c>
      <c r="K47" s="544">
        <v>1</v>
      </c>
      <c r="L47" s="544" t="s">
        <v>934</v>
      </c>
      <c r="M47" s="544" t="s">
        <v>934</v>
      </c>
    </row>
    <row r="48" spans="1:13" x14ac:dyDescent="0.25">
      <c r="A48" s="544">
        <v>7</v>
      </c>
      <c r="B48" s="42"/>
      <c r="C48" s="42"/>
      <c r="F48" s="88" t="str">
        <f>'G-1 All Habitats'!B48</f>
        <v>Lakes - Temporary lakes, ponds and pools</v>
      </c>
      <c r="G48" s="544">
        <v>5</v>
      </c>
      <c r="H48" s="544">
        <v>4</v>
      </c>
      <c r="I48" s="544">
        <v>3</v>
      </c>
      <c r="J48" s="544">
        <v>2</v>
      </c>
      <c r="K48" s="544">
        <v>1</v>
      </c>
      <c r="L48" s="544" t="s">
        <v>934</v>
      </c>
      <c r="M48" s="544" t="s">
        <v>934</v>
      </c>
    </row>
    <row r="49" spans="1:13" x14ac:dyDescent="0.25">
      <c r="A49" s="544">
        <v>8</v>
      </c>
      <c r="B49" s="42"/>
      <c r="C49" s="42"/>
      <c r="F49" s="88" t="str">
        <f>'G-1 All Habitats'!B49</f>
        <v>Sparsely vegetated land - Calaminarian grasslands</v>
      </c>
      <c r="G49" s="544">
        <v>10</v>
      </c>
      <c r="H49" s="544">
        <v>7</v>
      </c>
      <c r="I49" s="544">
        <v>5</v>
      </c>
      <c r="J49" s="544">
        <v>3</v>
      </c>
      <c r="K49" s="544">
        <v>2</v>
      </c>
      <c r="L49" s="544" t="s">
        <v>934</v>
      </c>
      <c r="M49" s="544" t="s">
        <v>934</v>
      </c>
    </row>
    <row r="50" spans="1:13" x14ac:dyDescent="0.25">
      <c r="A50" s="544">
        <v>9</v>
      </c>
      <c r="B50" s="42"/>
      <c r="C50" s="42"/>
      <c r="F50" s="88" t="str">
        <f>'G-1 All Habitats'!B50</f>
        <v>Sparsely vegetated land - Coastal sand dunes</v>
      </c>
      <c r="G50" s="544">
        <v>20</v>
      </c>
      <c r="H50" s="544">
        <v>15</v>
      </c>
      <c r="I50" s="544">
        <v>10</v>
      </c>
      <c r="J50" s="544">
        <v>7</v>
      </c>
      <c r="K50" s="544">
        <v>5</v>
      </c>
      <c r="L50" s="544" t="s">
        <v>934</v>
      </c>
      <c r="M50" s="544" t="s">
        <v>934</v>
      </c>
    </row>
    <row r="51" spans="1:13" x14ac:dyDescent="0.25">
      <c r="A51" s="544">
        <v>10</v>
      </c>
      <c r="B51" s="42"/>
      <c r="C51" s="42"/>
      <c r="F51" s="88" t="str">
        <f>'G-1 All Habitats'!B51</f>
        <v>Sparsely vegetated land - Coastal vegetated shingle</v>
      </c>
      <c r="G51" s="544">
        <v>20</v>
      </c>
      <c r="H51" s="544">
        <v>15</v>
      </c>
      <c r="I51" s="544">
        <v>10</v>
      </c>
      <c r="J51" s="544">
        <v>7</v>
      </c>
      <c r="K51" s="544">
        <v>5</v>
      </c>
      <c r="L51" s="544" t="s">
        <v>934</v>
      </c>
      <c r="M51" s="544" t="s">
        <v>934</v>
      </c>
    </row>
    <row r="52" spans="1:13" x14ac:dyDescent="0.25">
      <c r="A52" s="544">
        <v>11</v>
      </c>
      <c r="B52" s="42"/>
      <c r="C52" s="42"/>
      <c r="F52" s="88" t="str">
        <f>'G-1 All Habitats'!B52</f>
        <v>Sparsely vegetated land - Ruderal/Ephemeral</v>
      </c>
      <c r="G52" s="544">
        <v>5</v>
      </c>
      <c r="H52" s="544">
        <v>4</v>
      </c>
      <c r="I52" s="544">
        <v>3</v>
      </c>
      <c r="J52" s="544">
        <v>2</v>
      </c>
      <c r="K52" s="544">
        <v>1</v>
      </c>
      <c r="L52" s="544" t="s">
        <v>934</v>
      </c>
      <c r="M52" s="544" t="s">
        <v>934</v>
      </c>
    </row>
    <row r="53" spans="1:13" x14ac:dyDescent="0.25">
      <c r="A53" s="544">
        <v>12</v>
      </c>
      <c r="B53" s="42"/>
      <c r="C53" s="42"/>
      <c r="F53" s="88" t="str">
        <f>'G-1 All Habitats'!B53</f>
        <v>Sparsely vegetated land - Inland rock outcrop and scree habitats</v>
      </c>
      <c r="G53" s="544" t="s">
        <v>935</v>
      </c>
      <c r="H53" s="544">
        <v>25</v>
      </c>
      <c r="I53" s="544">
        <v>20</v>
      </c>
      <c r="J53" s="544">
        <v>15</v>
      </c>
      <c r="K53" s="544">
        <v>10</v>
      </c>
      <c r="L53" s="544" t="s">
        <v>934</v>
      </c>
      <c r="M53" s="544" t="s">
        <v>934</v>
      </c>
    </row>
    <row r="54" spans="1:13" x14ac:dyDescent="0.25">
      <c r="A54" s="544">
        <v>13</v>
      </c>
      <c r="B54" s="42"/>
      <c r="C54" s="42"/>
      <c r="F54" s="88" t="str">
        <f>'G-1 All Habitats'!B54</f>
        <v>Sparsely vegetated land - Limestone pavement</v>
      </c>
      <c r="G54" s="544" t="s">
        <v>935</v>
      </c>
      <c r="H54" s="544" t="s">
        <v>935</v>
      </c>
      <c r="I54" s="544" t="s">
        <v>935</v>
      </c>
      <c r="J54" s="544" t="s">
        <v>935</v>
      </c>
      <c r="K54" s="544" t="s">
        <v>935</v>
      </c>
      <c r="L54" s="544" t="s">
        <v>934</v>
      </c>
      <c r="M54" s="544" t="s">
        <v>934</v>
      </c>
    </row>
    <row r="55" spans="1:13" x14ac:dyDescent="0.25">
      <c r="A55" s="544">
        <v>14</v>
      </c>
      <c r="B55" s="42"/>
      <c r="C55" s="42"/>
      <c r="F55" s="88" t="str">
        <f>'G-1 All Habitats'!B55</f>
        <v>Sparsely vegetated land - Maritime cliff and slopes</v>
      </c>
      <c r="G55" s="544">
        <v>20</v>
      </c>
      <c r="H55" s="544">
        <v>15</v>
      </c>
      <c r="I55" s="544">
        <v>10</v>
      </c>
      <c r="J55" s="544">
        <v>7</v>
      </c>
      <c r="K55" s="544">
        <v>5</v>
      </c>
      <c r="L55" s="544" t="s">
        <v>934</v>
      </c>
      <c r="M55" s="544" t="s">
        <v>934</v>
      </c>
    </row>
    <row r="56" spans="1:13" x14ac:dyDescent="0.25">
      <c r="A56" s="544">
        <v>15</v>
      </c>
      <c r="B56" s="42"/>
      <c r="C56" s="42"/>
      <c r="F56" s="88" t="str">
        <f>'G-1 All Habitats'!B56</f>
        <v>Sparsely vegetated land - Other inland rock and scree</v>
      </c>
      <c r="G56" s="544">
        <v>20</v>
      </c>
      <c r="H56" s="544">
        <v>15</v>
      </c>
      <c r="I56" s="544">
        <v>10</v>
      </c>
      <c r="J56" s="544">
        <v>7</v>
      </c>
      <c r="K56" s="544">
        <v>5</v>
      </c>
      <c r="L56" s="544" t="s">
        <v>934</v>
      </c>
      <c r="M56" s="544" t="s">
        <v>934</v>
      </c>
    </row>
    <row r="57" spans="1:13" x14ac:dyDescent="0.25">
      <c r="A57" s="544">
        <v>16</v>
      </c>
      <c r="B57" s="42"/>
      <c r="C57" s="42"/>
      <c r="F57" s="88" t="str">
        <f>'G-1 All Habitats'!B57</f>
        <v>Urban - Allotments</v>
      </c>
      <c r="G57" s="544">
        <v>1</v>
      </c>
      <c r="H57" s="544">
        <v>1</v>
      </c>
      <c r="I57" s="544">
        <v>1</v>
      </c>
      <c r="J57" s="544">
        <v>1</v>
      </c>
      <c r="K57" s="544">
        <v>1</v>
      </c>
      <c r="L57" s="544" t="s">
        <v>934</v>
      </c>
      <c r="M57" s="544" t="s">
        <v>934</v>
      </c>
    </row>
    <row r="58" spans="1:13" x14ac:dyDescent="0.25">
      <c r="A58" s="544">
        <v>17</v>
      </c>
      <c r="B58" s="42"/>
      <c r="C58" s="42"/>
      <c r="F58" s="88" t="str">
        <f>'G-1 All Habitats'!B39</f>
        <v>Lakes - Ornamental lake or pond</v>
      </c>
      <c r="G58" s="544">
        <v>5</v>
      </c>
      <c r="H58" s="544">
        <v>4</v>
      </c>
      <c r="I58" s="544">
        <v>3</v>
      </c>
      <c r="J58" s="544">
        <v>2</v>
      </c>
      <c r="K58" s="544">
        <v>1</v>
      </c>
      <c r="L58" s="544" t="s">
        <v>934</v>
      </c>
      <c r="M58" s="544" t="s">
        <v>934</v>
      </c>
    </row>
    <row r="59" spans="1:13" x14ac:dyDescent="0.25">
      <c r="A59" s="544">
        <v>18</v>
      </c>
      <c r="B59" s="42"/>
      <c r="C59" s="42"/>
      <c r="F59" s="88" t="str">
        <f>'G-1 All Habitats'!B58</f>
        <v>Urban - Artificial unvegetated, unsealed surface</v>
      </c>
      <c r="G59" s="544" t="s">
        <v>934</v>
      </c>
      <c r="H59" s="544" t="s">
        <v>934</v>
      </c>
      <c r="I59" s="544" t="s">
        <v>934</v>
      </c>
      <c r="J59" s="544" t="s">
        <v>934</v>
      </c>
      <c r="K59" s="544" t="s">
        <v>934</v>
      </c>
      <c r="L59" s="544" t="s">
        <v>934</v>
      </c>
      <c r="M59" s="544">
        <v>0</v>
      </c>
    </row>
    <row r="60" spans="1:13" x14ac:dyDescent="0.25">
      <c r="A60" s="544">
        <v>19</v>
      </c>
      <c r="B60" s="42"/>
      <c r="C60" s="42"/>
      <c r="F60" s="88" t="str">
        <f>'G-1 All Habitats'!B59</f>
        <v>Urban - Bioswale</v>
      </c>
      <c r="G60" s="544">
        <v>3</v>
      </c>
      <c r="H60" s="544">
        <v>2</v>
      </c>
      <c r="I60" s="544">
        <v>1</v>
      </c>
      <c r="J60" s="544">
        <v>1</v>
      </c>
      <c r="K60" s="544">
        <v>1</v>
      </c>
      <c r="L60" s="544" t="s">
        <v>934</v>
      </c>
      <c r="M60" s="544" t="s">
        <v>934</v>
      </c>
    </row>
    <row r="61" spans="1:13" x14ac:dyDescent="0.25">
      <c r="A61" s="544">
        <v>20</v>
      </c>
      <c r="B61" s="42"/>
      <c r="C61" s="42"/>
      <c r="F61" s="88" t="str">
        <f>'G-1 All Habitats'!B60</f>
        <v>Urban - Intensive green roof</v>
      </c>
      <c r="G61" s="544">
        <v>5</v>
      </c>
      <c r="H61" s="544">
        <v>4</v>
      </c>
      <c r="I61" s="544">
        <v>3</v>
      </c>
      <c r="J61" s="544">
        <v>2</v>
      </c>
      <c r="K61" s="544">
        <v>1</v>
      </c>
      <c r="L61" s="544" t="s">
        <v>934</v>
      </c>
      <c r="M61" s="544" t="s">
        <v>934</v>
      </c>
    </row>
    <row r="62" spans="1:13" x14ac:dyDescent="0.25">
      <c r="A62" s="544">
        <v>21</v>
      </c>
      <c r="B62" s="42"/>
      <c r="C62" s="42"/>
      <c r="F62" s="88" t="str">
        <f>'G-1 All Habitats'!B61</f>
        <v>Urban - Built linear features</v>
      </c>
      <c r="G62" s="544" t="s">
        <v>934</v>
      </c>
      <c r="H62" s="544" t="s">
        <v>934</v>
      </c>
      <c r="I62" s="544" t="s">
        <v>934</v>
      </c>
      <c r="J62" s="544" t="s">
        <v>934</v>
      </c>
      <c r="K62" s="544" t="s">
        <v>934</v>
      </c>
      <c r="L62" s="544" t="s">
        <v>934</v>
      </c>
      <c r="M62" s="544">
        <v>0</v>
      </c>
    </row>
    <row r="63" spans="1:13" x14ac:dyDescent="0.25">
      <c r="A63" s="544">
        <v>22</v>
      </c>
      <c r="B63" s="42"/>
      <c r="C63" s="42"/>
      <c r="F63" s="88" t="str">
        <f>'G-1 All Habitats'!B62</f>
        <v>Urban - Cemeteries and churchyards</v>
      </c>
      <c r="G63" s="544">
        <v>20</v>
      </c>
      <c r="H63" s="544">
        <v>17</v>
      </c>
      <c r="I63" s="544">
        <v>15</v>
      </c>
      <c r="J63" s="544">
        <v>12</v>
      </c>
      <c r="K63" s="544">
        <v>10</v>
      </c>
      <c r="L63" s="544" t="s">
        <v>934</v>
      </c>
      <c r="M63" s="544" t="s">
        <v>934</v>
      </c>
    </row>
    <row r="64" spans="1:13" x14ac:dyDescent="0.25">
      <c r="A64" s="544">
        <v>23</v>
      </c>
      <c r="B64" s="42"/>
      <c r="C64" s="42"/>
      <c r="F64" s="88" t="str">
        <f>'G-1 All Habitats'!B63</f>
        <v>Urban - Developed land; sealed surface</v>
      </c>
      <c r="G64" s="544" t="s">
        <v>934</v>
      </c>
      <c r="H64" s="544" t="s">
        <v>934</v>
      </c>
      <c r="I64" s="544" t="s">
        <v>934</v>
      </c>
      <c r="J64" s="544" t="s">
        <v>934</v>
      </c>
      <c r="K64" s="544" t="s">
        <v>934</v>
      </c>
      <c r="L64" s="544" t="s">
        <v>934</v>
      </c>
      <c r="M64" s="544">
        <v>0</v>
      </c>
    </row>
    <row r="65" spans="1:13" x14ac:dyDescent="0.25">
      <c r="A65" s="544">
        <v>24</v>
      </c>
      <c r="B65" s="42"/>
      <c r="C65" s="42"/>
      <c r="F65" s="88" t="str">
        <f>'G-1 All Habitats'!B64</f>
        <v>Urban - Other green roof</v>
      </c>
      <c r="G65" s="544" t="s">
        <v>934</v>
      </c>
      <c r="H65" s="544" t="s">
        <v>934</v>
      </c>
      <c r="I65" s="544" t="s">
        <v>934</v>
      </c>
      <c r="J65" s="544" t="s">
        <v>934</v>
      </c>
      <c r="K65" s="544" t="s">
        <v>934</v>
      </c>
      <c r="L65" s="544">
        <v>1</v>
      </c>
      <c r="M65" s="544" t="s">
        <v>934</v>
      </c>
    </row>
    <row r="66" spans="1:13" x14ac:dyDescent="0.25">
      <c r="A66" s="544">
        <v>25</v>
      </c>
      <c r="B66" s="42"/>
      <c r="C66" s="42"/>
      <c r="F66" s="88" t="str">
        <f>'G-1 All Habitats'!B65</f>
        <v>Urban - Facade-bound green wall</v>
      </c>
      <c r="G66" s="544">
        <v>5</v>
      </c>
      <c r="H66" s="544">
        <v>4</v>
      </c>
      <c r="I66" s="544">
        <v>3</v>
      </c>
      <c r="J66" s="544">
        <v>2</v>
      </c>
      <c r="K66" s="544">
        <v>1</v>
      </c>
      <c r="L66" s="544" t="s">
        <v>934</v>
      </c>
      <c r="M66" s="544" t="s">
        <v>934</v>
      </c>
    </row>
    <row r="67" spans="1:13" x14ac:dyDescent="0.25">
      <c r="A67" s="544">
        <v>26</v>
      </c>
      <c r="B67" s="42"/>
      <c r="C67" s="42"/>
      <c r="F67" s="88" t="str">
        <f>'G-1 All Habitats'!B66</f>
        <v>Urban - Ground based green wall</v>
      </c>
      <c r="G67" s="544">
        <v>5</v>
      </c>
      <c r="H67" s="544">
        <v>4</v>
      </c>
      <c r="I67" s="544">
        <v>3</v>
      </c>
      <c r="J67" s="544">
        <v>2</v>
      </c>
      <c r="K67" s="544">
        <v>1</v>
      </c>
      <c r="L67" s="544" t="s">
        <v>934</v>
      </c>
      <c r="M67" s="544" t="s">
        <v>934</v>
      </c>
    </row>
    <row r="68" spans="1:13" x14ac:dyDescent="0.25">
      <c r="A68" s="544">
        <v>27</v>
      </c>
      <c r="B68" s="42"/>
      <c r="C68" s="42"/>
      <c r="F68" s="88" t="str">
        <f>'G-1 All Habitats'!B67</f>
        <v>Urban - Ground level planters</v>
      </c>
      <c r="G68" s="544" t="s">
        <v>934</v>
      </c>
      <c r="H68" s="544" t="s">
        <v>934</v>
      </c>
      <c r="I68" s="544" t="s">
        <v>934</v>
      </c>
      <c r="J68" s="544" t="s">
        <v>934</v>
      </c>
      <c r="K68" s="544" t="s">
        <v>934</v>
      </c>
      <c r="L68" s="544">
        <v>1</v>
      </c>
      <c r="M68" s="544" t="s">
        <v>934</v>
      </c>
    </row>
    <row r="69" spans="1:13" x14ac:dyDescent="0.25">
      <c r="A69" s="544">
        <v>28</v>
      </c>
      <c r="B69" s="42"/>
      <c r="C69" s="42"/>
      <c r="F69" s="88" t="str">
        <f>'G-1 All Habitats'!B68</f>
        <v>Urban - Biodiverse green roof</v>
      </c>
      <c r="G69" s="544">
        <v>10</v>
      </c>
      <c r="H69" s="544">
        <v>8</v>
      </c>
      <c r="I69" s="544">
        <v>5</v>
      </c>
      <c r="J69" s="544">
        <v>3</v>
      </c>
      <c r="K69" s="544">
        <v>1</v>
      </c>
      <c r="L69" s="544" t="s">
        <v>934</v>
      </c>
      <c r="M69" s="544" t="s">
        <v>934</v>
      </c>
    </row>
    <row r="70" spans="1:13" x14ac:dyDescent="0.25">
      <c r="A70" s="544">
        <v>29</v>
      </c>
      <c r="B70" s="42"/>
      <c r="C70" s="42"/>
      <c r="F70" s="88" t="str">
        <f>'G-1 All Habitats'!B69</f>
        <v>Urban - Introduced shrub</v>
      </c>
      <c r="G70" s="544" t="s">
        <v>934</v>
      </c>
      <c r="H70" s="544" t="s">
        <v>934</v>
      </c>
      <c r="I70" s="544" t="s">
        <v>934</v>
      </c>
      <c r="J70" s="544" t="s">
        <v>934</v>
      </c>
      <c r="K70" s="544" t="s">
        <v>934</v>
      </c>
      <c r="L70" s="544">
        <v>1</v>
      </c>
      <c r="M70" s="544" t="s">
        <v>934</v>
      </c>
    </row>
    <row r="71" spans="1:13" x14ac:dyDescent="0.25">
      <c r="A71" s="544">
        <v>30</v>
      </c>
      <c r="B71" s="42"/>
      <c r="C71" s="42"/>
      <c r="F71" s="88" t="str">
        <f>'G-1 All Habitats'!B70</f>
        <v>Urban - Open Mosaic Habitats on Previously Developed Land</v>
      </c>
      <c r="G71" s="544">
        <v>10</v>
      </c>
      <c r="H71" s="544">
        <v>7</v>
      </c>
      <c r="I71" s="544">
        <v>4</v>
      </c>
      <c r="J71" s="544">
        <v>2</v>
      </c>
      <c r="K71" s="544">
        <v>0</v>
      </c>
      <c r="L71" s="544" t="s">
        <v>934</v>
      </c>
      <c r="M71" s="544" t="s">
        <v>934</v>
      </c>
    </row>
    <row r="72" spans="1:13" x14ac:dyDescent="0.25">
      <c r="A72" s="544" t="s">
        <v>935</v>
      </c>
      <c r="B72" s="42"/>
      <c r="C72" s="42"/>
      <c r="F72" s="88" t="str">
        <f>'G-1 All Habitats'!B71</f>
        <v>Urban - Rain garden</v>
      </c>
      <c r="G72" s="544">
        <v>5</v>
      </c>
      <c r="H72" s="544">
        <v>4</v>
      </c>
      <c r="I72" s="544">
        <v>3</v>
      </c>
      <c r="J72" s="544">
        <v>2</v>
      </c>
      <c r="K72" s="544">
        <v>1</v>
      </c>
      <c r="L72" s="544" t="s">
        <v>934</v>
      </c>
      <c r="M72" s="544" t="s">
        <v>934</v>
      </c>
    </row>
    <row r="73" spans="1:13" x14ac:dyDescent="0.25">
      <c r="A73" s="42"/>
      <c r="B73" s="42"/>
      <c r="C73" s="42"/>
      <c r="F73" s="88" t="str">
        <f>'G-1 All Habitats'!B72</f>
        <v>Urban - Actively worked sand pit quarry or open cast mine</v>
      </c>
      <c r="G73" s="544" t="s">
        <v>934</v>
      </c>
      <c r="H73" s="544" t="s">
        <v>934</v>
      </c>
      <c r="I73" s="544" t="s">
        <v>934</v>
      </c>
      <c r="J73" s="544" t="s">
        <v>934</v>
      </c>
      <c r="K73" s="544" t="s">
        <v>934</v>
      </c>
      <c r="L73" s="544">
        <v>1</v>
      </c>
      <c r="M73" s="544" t="s">
        <v>934</v>
      </c>
    </row>
    <row r="74" spans="1:13" x14ac:dyDescent="0.25">
      <c r="A74" s="42"/>
      <c r="B74" s="42"/>
      <c r="C74" s="42"/>
      <c r="F74" s="88" t="str">
        <f>'G-1 All Habitats'!B73</f>
        <v>Urban - Urban Tree</v>
      </c>
      <c r="G74" s="544" t="s">
        <v>935</v>
      </c>
      <c r="H74" s="544" t="s">
        <v>935</v>
      </c>
      <c r="I74" s="544">
        <v>27</v>
      </c>
      <c r="J74" s="544">
        <v>15</v>
      </c>
      <c r="K74" s="544">
        <v>10</v>
      </c>
      <c r="L74" s="544" t="s">
        <v>934</v>
      </c>
      <c r="M74" s="544" t="s">
        <v>934</v>
      </c>
    </row>
    <row r="75" spans="1:13" x14ac:dyDescent="0.25">
      <c r="A75" s="42"/>
      <c r="B75" s="42"/>
      <c r="C75" s="42"/>
      <c r="F75" s="88" t="str">
        <f>'G-1 All Habitats'!B74</f>
        <v>Urban - Sustainable urban drainage feature</v>
      </c>
      <c r="G75" s="544">
        <v>5</v>
      </c>
      <c r="H75" s="544">
        <v>4</v>
      </c>
      <c r="I75" s="544">
        <v>3</v>
      </c>
      <c r="J75" s="544">
        <v>2</v>
      </c>
      <c r="K75" s="544">
        <v>1</v>
      </c>
      <c r="L75" s="544" t="s">
        <v>934</v>
      </c>
      <c r="M75" s="544" t="s">
        <v>934</v>
      </c>
    </row>
    <row r="76" spans="1:13" x14ac:dyDescent="0.25">
      <c r="A76" s="42"/>
      <c r="B76" s="42"/>
      <c r="C76" s="42"/>
      <c r="F76" s="88" t="str">
        <f>'G-1 All Habitats'!B75</f>
        <v>Urban - Un-vegetated garden</v>
      </c>
      <c r="G76" s="544" t="s">
        <v>934</v>
      </c>
      <c r="H76" s="544" t="s">
        <v>934</v>
      </c>
      <c r="I76" s="544" t="s">
        <v>934</v>
      </c>
      <c r="J76" s="544" t="s">
        <v>934</v>
      </c>
      <c r="K76" s="544" t="s">
        <v>934</v>
      </c>
      <c r="L76" s="544" t="s">
        <v>934</v>
      </c>
      <c r="M76" s="544">
        <v>0</v>
      </c>
    </row>
    <row r="77" spans="1:13" x14ac:dyDescent="0.25">
      <c r="A77" s="42"/>
      <c r="B77" s="42"/>
      <c r="C77" s="42"/>
      <c r="F77" s="88" t="str">
        <f>'G-1 All Habitats'!B76</f>
        <v>Urban - Vacant/derelict land/ bareground</v>
      </c>
      <c r="G77" s="544">
        <v>5</v>
      </c>
      <c r="H77" s="544">
        <v>4</v>
      </c>
      <c r="I77" s="544">
        <v>3</v>
      </c>
      <c r="J77" s="544">
        <v>2</v>
      </c>
      <c r="K77" s="544">
        <v>1</v>
      </c>
      <c r="L77" s="544" t="s">
        <v>934</v>
      </c>
      <c r="M77" s="544" t="s">
        <v>934</v>
      </c>
    </row>
    <row r="78" spans="1:13" x14ac:dyDescent="0.25">
      <c r="A78" s="42"/>
      <c r="B78" s="42"/>
      <c r="C78" s="42"/>
      <c r="F78" s="88" t="str">
        <f>'G-1 All Habitats'!B77</f>
        <v>Urban - Vegetated garden</v>
      </c>
      <c r="G78" s="544" t="s">
        <v>934</v>
      </c>
      <c r="H78" s="544" t="s">
        <v>934</v>
      </c>
      <c r="I78" s="544" t="s">
        <v>934</v>
      </c>
      <c r="J78" s="544" t="s">
        <v>934</v>
      </c>
      <c r="K78" s="544" t="s">
        <v>934</v>
      </c>
      <c r="L78" s="544">
        <v>1</v>
      </c>
      <c r="M78" s="544" t="s">
        <v>934</v>
      </c>
    </row>
    <row r="79" spans="1:13" x14ac:dyDescent="0.25">
      <c r="A79" s="42"/>
      <c r="B79" s="42"/>
      <c r="C79" s="42"/>
      <c r="F79" s="88" t="str">
        <f>'G-1 All Habitats'!B78</f>
        <v>Wetland - Blanket bog</v>
      </c>
      <c r="G79" s="544" t="s">
        <v>935</v>
      </c>
      <c r="H79" s="544" t="s">
        <v>935</v>
      </c>
      <c r="I79" s="544" t="s">
        <v>935</v>
      </c>
      <c r="J79" s="544" t="s">
        <v>935</v>
      </c>
      <c r="K79" s="544" t="s">
        <v>935</v>
      </c>
      <c r="L79" s="544" t="s">
        <v>934</v>
      </c>
      <c r="M79" s="544" t="s">
        <v>934</v>
      </c>
    </row>
    <row r="80" spans="1:13" x14ac:dyDescent="0.25">
      <c r="A80" s="42"/>
      <c r="B80" s="42"/>
      <c r="C80" s="42"/>
      <c r="F80" s="88" t="str">
        <f>'G-1 All Habitats'!B79</f>
        <v>Wetland - Depressions on Peat substrates (H7150)</v>
      </c>
      <c r="G80" s="544" t="s">
        <v>935</v>
      </c>
      <c r="H80" s="544" t="s">
        <v>935</v>
      </c>
      <c r="I80" s="544">
        <v>30</v>
      </c>
      <c r="J80" s="544">
        <v>25</v>
      </c>
      <c r="K80" s="544">
        <v>15</v>
      </c>
      <c r="L80" s="544" t="s">
        <v>934</v>
      </c>
      <c r="M80" s="544" t="s">
        <v>934</v>
      </c>
    </row>
    <row r="81" spans="1:13" x14ac:dyDescent="0.25">
      <c r="A81" s="42"/>
      <c r="B81" s="42"/>
      <c r="C81" s="42"/>
      <c r="F81" s="88" t="str">
        <f>'G-1 All Habitats'!B80</f>
        <v>Wetland - Fens (upland and lowland)</v>
      </c>
      <c r="G81" s="544">
        <v>30</v>
      </c>
      <c r="H81" s="544">
        <v>25</v>
      </c>
      <c r="I81" s="544">
        <v>20</v>
      </c>
      <c r="J81" s="544">
        <v>15</v>
      </c>
      <c r="K81" s="544">
        <v>10</v>
      </c>
      <c r="L81" s="544" t="s">
        <v>934</v>
      </c>
      <c r="M81" s="544" t="s">
        <v>934</v>
      </c>
    </row>
    <row r="82" spans="1:13" x14ac:dyDescent="0.25">
      <c r="A82" s="42"/>
      <c r="B82" s="42"/>
      <c r="C82" s="42"/>
      <c r="F82" s="88" t="str">
        <f>'G-1 All Habitats'!B81</f>
        <v>Wetland - Lowland raised bog</v>
      </c>
      <c r="G82" s="544" t="s">
        <v>935</v>
      </c>
      <c r="H82" s="544" t="s">
        <v>935</v>
      </c>
      <c r="I82" s="544">
        <v>30</v>
      </c>
      <c r="J82" s="544">
        <v>20</v>
      </c>
      <c r="K82" s="544">
        <v>15</v>
      </c>
      <c r="L82" s="544" t="s">
        <v>934</v>
      </c>
      <c r="M82" s="544" t="s">
        <v>934</v>
      </c>
    </row>
    <row r="83" spans="1:13" x14ac:dyDescent="0.25">
      <c r="A83" s="42"/>
      <c r="B83" s="42"/>
      <c r="C83" s="42"/>
      <c r="F83" s="88" t="str">
        <f>'G-1 All Habitats'!B82</f>
        <v>Wetland - Oceanic Valley Mire[1] (D2.1)</v>
      </c>
      <c r="G83" s="544" t="s">
        <v>935</v>
      </c>
      <c r="H83" s="544" t="s">
        <v>935</v>
      </c>
      <c r="I83" s="544">
        <v>30</v>
      </c>
      <c r="J83" s="544">
        <v>20</v>
      </c>
      <c r="K83" s="544">
        <v>15</v>
      </c>
      <c r="L83" s="544" t="s">
        <v>934</v>
      </c>
      <c r="M83" s="544" t="s">
        <v>934</v>
      </c>
    </row>
    <row r="84" spans="1:13" x14ac:dyDescent="0.25">
      <c r="A84" s="42"/>
      <c r="B84" s="42"/>
      <c r="C84" s="42"/>
      <c r="F84" s="88" t="str">
        <f>'G-1 All Habitats'!B83</f>
        <v>Wetland - Purple moor grass and rush pastures</v>
      </c>
      <c r="G84" s="544">
        <v>30</v>
      </c>
      <c r="H84" s="544">
        <v>25</v>
      </c>
      <c r="I84" s="544">
        <v>20</v>
      </c>
      <c r="J84" s="544">
        <v>15</v>
      </c>
      <c r="K84" s="544">
        <v>10</v>
      </c>
      <c r="L84" s="544" t="s">
        <v>934</v>
      </c>
      <c r="M84" s="544" t="s">
        <v>934</v>
      </c>
    </row>
    <row r="85" spans="1:13" x14ac:dyDescent="0.25">
      <c r="A85" s="42"/>
      <c r="B85" s="42"/>
      <c r="C85" s="42"/>
      <c r="F85" s="88" t="str">
        <f>'G-1 All Habitats'!B84</f>
        <v>Wetland - Reedbeds</v>
      </c>
      <c r="G85" s="544">
        <v>12</v>
      </c>
      <c r="H85" s="544">
        <v>10</v>
      </c>
      <c r="I85" s="544">
        <v>7</v>
      </c>
      <c r="J85" s="544">
        <v>5</v>
      </c>
      <c r="K85" s="544">
        <v>3</v>
      </c>
      <c r="L85" s="544" t="s">
        <v>934</v>
      </c>
      <c r="M85" s="544" t="s">
        <v>934</v>
      </c>
    </row>
    <row r="86" spans="1:13" x14ac:dyDescent="0.25">
      <c r="A86" s="42"/>
      <c r="B86" s="42"/>
      <c r="C86" s="42"/>
      <c r="F86" s="88" t="str">
        <f>'G-1 All Habitats'!B85</f>
        <v>Wetland - Transition mires and quaking bogs (H7140)</v>
      </c>
      <c r="G86" s="544" t="s">
        <v>935</v>
      </c>
      <c r="H86" s="544" t="s">
        <v>935</v>
      </c>
      <c r="I86" s="544">
        <v>30</v>
      </c>
      <c r="J86" s="544">
        <v>25</v>
      </c>
      <c r="K86" s="544">
        <v>15</v>
      </c>
      <c r="L86" s="544" t="s">
        <v>934</v>
      </c>
      <c r="M86" s="544" t="s">
        <v>934</v>
      </c>
    </row>
    <row r="87" spans="1:13" x14ac:dyDescent="0.25">
      <c r="A87" s="42"/>
      <c r="B87" s="42"/>
      <c r="C87" s="42"/>
      <c r="F87" s="88" t="str">
        <f>'G-1 All Habitats'!B86</f>
        <v>Woodland and forest - Felled</v>
      </c>
      <c r="G87" s="544" t="s">
        <v>935</v>
      </c>
      <c r="H87" s="544" t="s">
        <v>934</v>
      </c>
      <c r="I87" s="544" t="s">
        <v>934</v>
      </c>
      <c r="J87" s="544" t="s">
        <v>934</v>
      </c>
      <c r="K87" s="544" t="s">
        <v>934</v>
      </c>
      <c r="L87" s="544" t="s">
        <v>934</v>
      </c>
      <c r="M87" s="544" t="s">
        <v>934</v>
      </c>
    </row>
    <row r="88" spans="1:13" x14ac:dyDescent="0.25">
      <c r="A88" s="42"/>
      <c r="B88" s="42"/>
      <c r="C88" s="42"/>
      <c r="F88" s="88" t="str">
        <f>'G-1 All Habitats'!B87</f>
        <v>Woodland and forest - Lowland beech and yew woodland</v>
      </c>
      <c r="G88" s="544" t="s">
        <v>935</v>
      </c>
      <c r="H88" s="544" t="s">
        <v>935</v>
      </c>
      <c r="I88" s="544" t="s">
        <v>935</v>
      </c>
      <c r="J88" s="544">
        <v>25</v>
      </c>
      <c r="K88" s="544">
        <v>10</v>
      </c>
      <c r="L88" s="544" t="s">
        <v>934</v>
      </c>
      <c r="M88" s="544" t="s">
        <v>934</v>
      </c>
    </row>
    <row r="89" spans="1:13" x14ac:dyDescent="0.25">
      <c r="A89" s="42"/>
      <c r="B89" s="42"/>
      <c r="C89" s="42"/>
      <c r="F89" s="88" t="str">
        <f>'G-1 All Habitats'!B88</f>
        <v>Woodland and forest - Lowland mixed deciduous woodland</v>
      </c>
      <c r="G89" s="544" t="s">
        <v>935</v>
      </c>
      <c r="H89" s="544" t="s">
        <v>935</v>
      </c>
      <c r="I89" s="544" t="s">
        <v>935</v>
      </c>
      <c r="J89" s="544">
        <v>25</v>
      </c>
      <c r="K89" s="544">
        <v>10</v>
      </c>
      <c r="L89" s="544" t="s">
        <v>934</v>
      </c>
      <c r="M89" s="544" t="s">
        <v>934</v>
      </c>
    </row>
    <row r="90" spans="1:13" x14ac:dyDescent="0.25">
      <c r="A90" s="42"/>
      <c r="B90" s="42"/>
      <c r="C90" s="42"/>
      <c r="F90" s="88" t="str">
        <f>'G-1 All Habitats'!B89</f>
        <v>Woodland and forest - Native pine woodlands</v>
      </c>
      <c r="G90" s="544" t="s">
        <v>935</v>
      </c>
      <c r="H90" s="544" t="s">
        <v>935</v>
      </c>
      <c r="I90" s="544" t="s">
        <v>935</v>
      </c>
      <c r="J90" s="544">
        <v>25</v>
      </c>
      <c r="K90" s="544">
        <v>10</v>
      </c>
      <c r="L90" s="544" t="s">
        <v>934</v>
      </c>
      <c r="M90" s="544" t="s">
        <v>934</v>
      </c>
    </row>
    <row r="91" spans="1:13" x14ac:dyDescent="0.25">
      <c r="A91" s="42"/>
      <c r="B91" s="42"/>
      <c r="C91" s="42"/>
      <c r="F91" s="88" t="str">
        <f>'G-1 All Habitats'!B90</f>
        <v>Woodland and forest - Other coniferous woodland</v>
      </c>
      <c r="G91" s="544" t="s">
        <v>935</v>
      </c>
      <c r="H91" s="544" t="s">
        <v>935</v>
      </c>
      <c r="I91" s="544">
        <v>30</v>
      </c>
      <c r="J91" s="544">
        <v>10</v>
      </c>
      <c r="K91" s="544">
        <v>5</v>
      </c>
      <c r="L91" s="544" t="s">
        <v>934</v>
      </c>
      <c r="M91" s="544" t="s">
        <v>934</v>
      </c>
    </row>
    <row r="92" spans="1:13" x14ac:dyDescent="0.25">
      <c r="A92" s="42"/>
      <c r="B92" s="42"/>
      <c r="C92" s="42"/>
      <c r="F92" s="88" t="str">
        <f>'G-1 All Habitats'!B91</f>
        <v>Woodland and forest - Other Scot's Pine woodland</v>
      </c>
      <c r="G92" s="544" t="s">
        <v>935</v>
      </c>
      <c r="H92" s="544" t="s">
        <v>935</v>
      </c>
      <c r="I92" s="544" t="s">
        <v>935</v>
      </c>
      <c r="J92" s="544">
        <v>25</v>
      </c>
      <c r="K92" s="544">
        <v>10</v>
      </c>
      <c r="L92" s="544" t="s">
        <v>934</v>
      </c>
      <c r="M92" s="544" t="s">
        <v>934</v>
      </c>
    </row>
    <row r="93" spans="1:13" x14ac:dyDescent="0.25">
      <c r="A93" s="42"/>
      <c r="B93" s="42"/>
      <c r="C93" s="42"/>
      <c r="F93" s="88" t="str">
        <f>'G-1 All Habitats'!B92</f>
        <v>Woodland and forest - Other woodland; broadleaved</v>
      </c>
      <c r="G93" s="544" t="s">
        <v>935</v>
      </c>
      <c r="H93" s="544">
        <v>25</v>
      </c>
      <c r="I93" s="544">
        <v>15</v>
      </c>
      <c r="J93" s="544">
        <v>7</v>
      </c>
      <c r="K93" s="544">
        <v>5</v>
      </c>
      <c r="L93" s="544" t="s">
        <v>934</v>
      </c>
      <c r="M93" s="544" t="s">
        <v>934</v>
      </c>
    </row>
    <row r="94" spans="1:13" x14ac:dyDescent="0.25">
      <c r="A94" s="42"/>
      <c r="B94" s="42"/>
      <c r="C94" s="42"/>
      <c r="F94" s="88" t="str">
        <f>'G-1 All Habitats'!B93</f>
        <v>Woodland and forest - Other woodland; mixed</v>
      </c>
      <c r="G94" s="544" t="s">
        <v>935</v>
      </c>
      <c r="H94" s="544" t="s">
        <v>935</v>
      </c>
      <c r="I94" s="544">
        <v>30</v>
      </c>
      <c r="J94" s="544">
        <v>10</v>
      </c>
      <c r="K94" s="544">
        <v>5</v>
      </c>
      <c r="L94" s="544" t="s">
        <v>934</v>
      </c>
      <c r="M94" s="544" t="s">
        <v>934</v>
      </c>
    </row>
    <row r="95" spans="1:13" x14ac:dyDescent="0.25">
      <c r="A95" s="42"/>
      <c r="B95" s="42"/>
      <c r="C95" s="42"/>
      <c r="F95" s="88" t="str">
        <f>'G-1 All Habitats'!B94</f>
        <v>Woodland and forest - Upland birchwoods</v>
      </c>
      <c r="G95" s="544" t="s">
        <v>935</v>
      </c>
      <c r="H95" s="544">
        <v>30</v>
      </c>
      <c r="I95" s="544">
        <v>25</v>
      </c>
      <c r="J95" s="544">
        <v>20</v>
      </c>
      <c r="K95" s="544">
        <v>10</v>
      </c>
      <c r="L95" s="544" t="s">
        <v>934</v>
      </c>
      <c r="M95" s="544" t="s">
        <v>934</v>
      </c>
    </row>
    <row r="96" spans="1:13" x14ac:dyDescent="0.25">
      <c r="A96" s="42"/>
      <c r="B96" s="42"/>
      <c r="C96" s="42"/>
      <c r="F96" s="88" t="str">
        <f>'G-1 All Habitats'!B95</f>
        <v>Woodland and forest - Upland mixed ashwoods</v>
      </c>
      <c r="G96" s="544" t="s">
        <v>935</v>
      </c>
      <c r="H96" s="544" t="s">
        <v>935</v>
      </c>
      <c r="I96" s="544" t="s">
        <v>935</v>
      </c>
      <c r="J96" s="544">
        <v>25</v>
      </c>
      <c r="K96" s="544">
        <v>10</v>
      </c>
      <c r="L96" s="544" t="s">
        <v>934</v>
      </c>
      <c r="M96" s="544" t="s">
        <v>934</v>
      </c>
    </row>
    <row r="97" spans="1:13" x14ac:dyDescent="0.25">
      <c r="A97" s="42"/>
      <c r="B97" s="42"/>
      <c r="C97" s="42"/>
      <c r="F97" s="88" t="str">
        <f>'G-1 All Habitats'!B96</f>
        <v>Woodland and forest - Upland oakwood</v>
      </c>
      <c r="G97" s="544" t="s">
        <v>935</v>
      </c>
      <c r="H97" s="544" t="s">
        <v>935</v>
      </c>
      <c r="I97" s="544" t="s">
        <v>935</v>
      </c>
      <c r="J97" s="544">
        <v>25</v>
      </c>
      <c r="K97" s="544">
        <v>10</v>
      </c>
      <c r="L97" s="544" t="s">
        <v>934</v>
      </c>
      <c r="M97" s="544" t="s">
        <v>934</v>
      </c>
    </row>
    <row r="98" spans="1:13" x14ac:dyDescent="0.25">
      <c r="A98" s="42"/>
      <c r="B98" s="42"/>
      <c r="C98" s="42"/>
      <c r="F98" s="88" t="str">
        <f>'G-1 All Habitats'!B97</f>
        <v>Woodland and forest - Wet woodland</v>
      </c>
      <c r="G98" s="544" t="s">
        <v>935</v>
      </c>
      <c r="H98" s="544">
        <v>30</v>
      </c>
      <c r="I98" s="544">
        <v>15</v>
      </c>
      <c r="J98" s="544">
        <v>10</v>
      </c>
      <c r="K98" s="544">
        <v>5</v>
      </c>
      <c r="L98" s="544" t="s">
        <v>934</v>
      </c>
      <c r="M98" s="544" t="s">
        <v>934</v>
      </c>
    </row>
    <row r="99" spans="1:13" x14ac:dyDescent="0.25">
      <c r="F99" s="88" t="str">
        <f>'G-1 All Habitats'!B98</f>
        <v>Woodland and forest - Wood-pasture and parkland</v>
      </c>
      <c r="G99" s="544" t="s">
        <v>935</v>
      </c>
      <c r="H99" s="544" t="s">
        <v>935</v>
      </c>
      <c r="I99" s="544" t="s">
        <v>935</v>
      </c>
      <c r="J99" s="544">
        <v>25</v>
      </c>
      <c r="K99" s="544">
        <v>10</v>
      </c>
      <c r="L99" s="544" t="s">
        <v>934</v>
      </c>
      <c r="M99" s="544" t="s">
        <v>934</v>
      </c>
    </row>
    <row r="100" spans="1:13" x14ac:dyDescent="0.25">
      <c r="F100" s="88" t="str">
        <f>'G-1 All Habitats'!B99</f>
        <v>Coastal lagoons - Coastal lagoons</v>
      </c>
      <c r="G100" s="544">
        <v>10</v>
      </c>
      <c r="H100" s="544">
        <v>8</v>
      </c>
      <c r="I100" s="544">
        <v>5</v>
      </c>
      <c r="J100" s="544">
        <v>3</v>
      </c>
      <c r="K100" s="544">
        <v>1</v>
      </c>
      <c r="L100" s="544" t="s">
        <v>934</v>
      </c>
      <c r="M100" s="544" t="s">
        <v>934</v>
      </c>
    </row>
    <row r="101" spans="1:13" x14ac:dyDescent="0.25">
      <c r="F101" s="88" t="str">
        <f>'G-1 All Habitats'!B100</f>
        <v>Rocky shore - High energy littoral rock</v>
      </c>
      <c r="G101" s="544">
        <v>10</v>
      </c>
      <c r="H101" s="544">
        <v>7</v>
      </c>
      <c r="I101" s="544">
        <v>4</v>
      </c>
      <c r="J101" s="544">
        <v>2</v>
      </c>
      <c r="K101" s="544">
        <v>1</v>
      </c>
      <c r="L101" s="544" t="s">
        <v>934</v>
      </c>
      <c r="M101" s="544" t="s">
        <v>934</v>
      </c>
    </row>
    <row r="102" spans="1:13" x14ac:dyDescent="0.25">
      <c r="F102" s="88" t="str">
        <f>'G-1 All Habitats'!B101</f>
        <v>Rocky shore - High energy littoral rock - on peat, clay or chalk</v>
      </c>
      <c r="G102" s="544" t="s">
        <v>935</v>
      </c>
      <c r="H102" s="544" t="s">
        <v>935</v>
      </c>
      <c r="I102" s="544" t="s">
        <v>935</v>
      </c>
      <c r="J102" s="544" t="s">
        <v>935</v>
      </c>
      <c r="K102" s="544" t="s">
        <v>935</v>
      </c>
      <c r="L102" s="544" t="s">
        <v>934</v>
      </c>
      <c r="M102" s="544" t="s">
        <v>934</v>
      </c>
    </row>
    <row r="103" spans="1:13" x14ac:dyDescent="0.25">
      <c r="F103" s="88" t="str">
        <f>'G-1 All Habitats'!B102</f>
        <v>Rocky shore - Moderate energy littoral rock</v>
      </c>
      <c r="G103" s="544">
        <v>13</v>
      </c>
      <c r="H103" s="544">
        <v>8</v>
      </c>
      <c r="I103" s="544">
        <v>4</v>
      </c>
      <c r="J103" s="544">
        <v>2</v>
      </c>
      <c r="K103" s="544">
        <v>1</v>
      </c>
      <c r="L103" s="544" t="s">
        <v>934</v>
      </c>
      <c r="M103" s="544" t="s">
        <v>934</v>
      </c>
    </row>
    <row r="104" spans="1:13" x14ac:dyDescent="0.25">
      <c r="F104" s="88" t="str">
        <f>'G-1 All Habitats'!B103</f>
        <v>Rocky shore - Moderate energy littoral rock - on peat, clay or chalk</v>
      </c>
      <c r="G104" s="544" t="s">
        <v>935</v>
      </c>
      <c r="H104" s="544" t="s">
        <v>935</v>
      </c>
      <c r="I104" s="544" t="s">
        <v>935</v>
      </c>
      <c r="J104" s="544" t="s">
        <v>935</v>
      </c>
      <c r="K104" s="544" t="s">
        <v>935</v>
      </c>
      <c r="L104" s="544" t="s">
        <v>934</v>
      </c>
      <c r="M104" s="544" t="s">
        <v>934</v>
      </c>
    </row>
    <row r="105" spans="1:13" x14ac:dyDescent="0.25">
      <c r="F105" s="88" t="str">
        <f>'G-1 All Habitats'!B104</f>
        <v>Rocky shore - Low energy littoral rock</v>
      </c>
      <c r="G105" s="544">
        <v>15</v>
      </c>
      <c r="H105" s="544">
        <v>10</v>
      </c>
      <c r="I105" s="544">
        <v>5</v>
      </c>
      <c r="J105" s="544">
        <v>1</v>
      </c>
      <c r="K105" s="544">
        <v>1</v>
      </c>
      <c r="L105" s="544" t="s">
        <v>934</v>
      </c>
      <c r="M105" s="544" t="s">
        <v>934</v>
      </c>
    </row>
    <row r="106" spans="1:13" x14ac:dyDescent="0.25">
      <c r="F106" s="88" t="str">
        <f>'G-1 All Habitats'!B105</f>
        <v>Rocky shore - Low energy littoral rock - on peat, clay or chalk</v>
      </c>
      <c r="G106" s="544" t="s">
        <v>935</v>
      </c>
      <c r="H106" s="544" t="s">
        <v>935</v>
      </c>
      <c r="I106" s="544" t="s">
        <v>935</v>
      </c>
      <c r="J106" s="544" t="s">
        <v>935</v>
      </c>
      <c r="K106" s="544" t="s">
        <v>935</v>
      </c>
      <c r="L106" s="544" t="s">
        <v>934</v>
      </c>
      <c r="M106" s="544" t="s">
        <v>934</v>
      </c>
    </row>
    <row r="107" spans="1:13" x14ac:dyDescent="0.25">
      <c r="F107" s="88" t="str">
        <f>'G-1 All Habitats'!B106</f>
        <v>Rocky shore - Features of littoral rock</v>
      </c>
      <c r="G107" s="544">
        <v>13</v>
      </c>
      <c r="H107" s="544">
        <v>8</v>
      </c>
      <c r="I107" s="544">
        <v>4</v>
      </c>
      <c r="J107" s="544">
        <v>2</v>
      </c>
      <c r="K107" s="544">
        <v>1</v>
      </c>
      <c r="L107" s="544" t="s">
        <v>934</v>
      </c>
      <c r="M107" s="544" t="s">
        <v>934</v>
      </c>
    </row>
    <row r="108" spans="1:13" x14ac:dyDescent="0.25">
      <c r="F108" s="88" t="str">
        <f>'G-1 All Habitats'!B107</f>
        <v>Rocky shore - Features of littoral rock - on peat, clay or chalk</v>
      </c>
      <c r="G108" s="544" t="s">
        <v>935</v>
      </c>
      <c r="H108" s="544" t="s">
        <v>935</v>
      </c>
      <c r="I108" s="544" t="s">
        <v>935</v>
      </c>
      <c r="J108" s="544" t="s">
        <v>935</v>
      </c>
      <c r="K108" s="544" t="s">
        <v>935</v>
      </c>
      <c r="L108" s="544" t="s">
        <v>934</v>
      </c>
      <c r="M108" s="544" t="s">
        <v>934</v>
      </c>
    </row>
    <row r="109" spans="1:13" x14ac:dyDescent="0.25">
      <c r="F109" s="88" t="str">
        <f>'G-1 All Habitats'!B110</f>
        <v>Intertidal sediment - Littoral coarse sediment</v>
      </c>
      <c r="G109" s="544">
        <v>3</v>
      </c>
      <c r="H109" s="544">
        <v>2</v>
      </c>
      <c r="I109" s="544">
        <v>1</v>
      </c>
      <c r="J109" s="544">
        <v>1</v>
      </c>
      <c r="K109" s="544">
        <v>1</v>
      </c>
      <c r="L109" s="544" t="s">
        <v>934</v>
      </c>
      <c r="M109" s="544" t="s">
        <v>934</v>
      </c>
    </row>
    <row r="110" spans="1:13" x14ac:dyDescent="0.25">
      <c r="F110" s="88" t="str">
        <f>'G-1 All Habitats'!B111</f>
        <v>Intertidal sediment - Littoral mud</v>
      </c>
      <c r="G110" s="544">
        <v>6</v>
      </c>
      <c r="H110" s="544">
        <v>4</v>
      </c>
      <c r="I110" s="544">
        <v>3</v>
      </c>
      <c r="J110" s="544">
        <v>2</v>
      </c>
      <c r="K110" s="544">
        <v>1</v>
      </c>
      <c r="L110" s="544" t="s">
        <v>934</v>
      </c>
      <c r="M110" s="544" t="s">
        <v>934</v>
      </c>
    </row>
    <row r="111" spans="1:13" x14ac:dyDescent="0.25">
      <c r="F111" s="88" t="str">
        <f>'G-1 All Habitats'!B112</f>
        <v>Intertidal sediment - Littoral mixed sediments</v>
      </c>
      <c r="G111" s="544">
        <v>5</v>
      </c>
      <c r="H111" s="544">
        <v>4</v>
      </c>
      <c r="I111" s="544">
        <v>3</v>
      </c>
      <c r="J111" s="544">
        <v>2</v>
      </c>
      <c r="K111" s="544">
        <v>1</v>
      </c>
      <c r="L111" s="544" t="s">
        <v>934</v>
      </c>
      <c r="M111" s="544" t="s">
        <v>934</v>
      </c>
    </row>
    <row r="112" spans="1:13" x14ac:dyDescent="0.25">
      <c r="F112" s="88" t="str">
        <f>'G-1 All Habitats'!B108</f>
        <v>Coastal saltmarsh - Saltmarshes and saline reedbeds</v>
      </c>
      <c r="G112" s="544">
        <v>15</v>
      </c>
      <c r="H112" s="544">
        <v>10</v>
      </c>
      <c r="I112" s="544">
        <v>7</v>
      </c>
      <c r="J112" s="544">
        <v>3</v>
      </c>
      <c r="K112" s="544">
        <v>1</v>
      </c>
      <c r="L112" s="544" t="s">
        <v>934</v>
      </c>
      <c r="M112" s="544" t="s">
        <v>934</v>
      </c>
    </row>
    <row r="113" spans="6:13" x14ac:dyDescent="0.25">
      <c r="F113" s="88" t="str">
        <f>'G-1 All Habitats'!B109</f>
        <v>Coastal saltmarsh - Artificial saltmarshes and saline reedbeds</v>
      </c>
      <c r="G113" s="544">
        <v>15</v>
      </c>
      <c r="H113" s="544">
        <v>10</v>
      </c>
      <c r="I113" s="544">
        <v>7</v>
      </c>
      <c r="J113" s="544">
        <v>3</v>
      </c>
      <c r="K113" s="544">
        <v>1</v>
      </c>
      <c r="L113" s="544" t="s">
        <v>934</v>
      </c>
      <c r="M113" s="544" t="s">
        <v>934</v>
      </c>
    </row>
    <row r="114" spans="6:13" x14ac:dyDescent="0.25">
      <c r="F114" s="88" t="str">
        <f>'G-1 All Habitats'!B113</f>
        <v>Intertidal sediment - Littoral seagrass</v>
      </c>
      <c r="G114" s="544">
        <v>20</v>
      </c>
      <c r="H114" s="544">
        <v>15</v>
      </c>
      <c r="I114" s="544">
        <v>10</v>
      </c>
      <c r="J114" s="544">
        <v>5</v>
      </c>
      <c r="K114" s="544">
        <v>2</v>
      </c>
      <c r="L114" s="544" t="s">
        <v>934</v>
      </c>
      <c r="M114" s="544" t="s">
        <v>934</v>
      </c>
    </row>
    <row r="115" spans="6:13" x14ac:dyDescent="0.25">
      <c r="F115" s="88" t="str">
        <f>'G-1 All Habitats'!B114</f>
        <v>Intertidal sediment - Littoral seagrass on peat, clay or chalk</v>
      </c>
      <c r="G115" s="544" t="s">
        <v>935</v>
      </c>
      <c r="H115" s="544" t="s">
        <v>935</v>
      </c>
      <c r="I115" s="544" t="s">
        <v>935</v>
      </c>
      <c r="J115" s="544" t="s">
        <v>935</v>
      </c>
      <c r="K115" s="544" t="s">
        <v>935</v>
      </c>
      <c r="L115" s="544" t="s">
        <v>934</v>
      </c>
      <c r="M115" s="544" t="s">
        <v>934</v>
      </c>
    </row>
    <row r="116" spans="6:13" x14ac:dyDescent="0.25">
      <c r="F116" s="88" t="str">
        <f>'G-1 All Habitats'!B115</f>
        <v>Intertidal sediment - Littoral biogenic reefs - Mussels</v>
      </c>
      <c r="G116" s="544">
        <v>15</v>
      </c>
      <c r="H116" s="544">
        <v>10</v>
      </c>
      <c r="I116" s="544">
        <v>5</v>
      </c>
      <c r="J116" s="544">
        <v>3</v>
      </c>
      <c r="K116" s="544">
        <v>3</v>
      </c>
      <c r="L116" s="544" t="s">
        <v>934</v>
      </c>
      <c r="M116" s="544" t="s">
        <v>934</v>
      </c>
    </row>
    <row r="117" spans="6:13" x14ac:dyDescent="0.25">
      <c r="F117" s="88" t="str">
        <f>'G-1 All Habitats'!B116</f>
        <v>Intertidal sediment - Littoral biogenic reefs - Sabellaria</v>
      </c>
      <c r="G117" s="544">
        <v>15</v>
      </c>
      <c r="H117" s="544">
        <v>10</v>
      </c>
      <c r="I117" s="544">
        <v>5</v>
      </c>
      <c r="J117" s="544">
        <v>3</v>
      </c>
      <c r="K117" s="544">
        <v>3</v>
      </c>
      <c r="L117" s="544" t="s">
        <v>934</v>
      </c>
      <c r="M117" s="544" t="s">
        <v>934</v>
      </c>
    </row>
    <row r="118" spans="6:13" x14ac:dyDescent="0.25">
      <c r="F118" s="88" t="str">
        <f>'G-1 All Habitats'!B117</f>
        <v>Intertidal sediment - Features of littoral sediment</v>
      </c>
      <c r="G118" s="544">
        <v>10</v>
      </c>
      <c r="H118" s="544">
        <v>7</v>
      </c>
      <c r="I118" s="544">
        <v>5</v>
      </c>
      <c r="J118" s="544">
        <v>3</v>
      </c>
      <c r="K118" s="544">
        <v>3</v>
      </c>
      <c r="L118" s="544" t="s">
        <v>934</v>
      </c>
      <c r="M118" s="544" t="s">
        <v>934</v>
      </c>
    </row>
    <row r="119" spans="6:13" x14ac:dyDescent="0.25">
      <c r="F119" s="88" t="str">
        <f>'G-1 All Habitats'!B118</f>
        <v>Intertidal sediment - Artificial littoral coarse sediment</v>
      </c>
      <c r="G119" s="544">
        <v>3</v>
      </c>
      <c r="H119" s="544">
        <v>2</v>
      </c>
      <c r="I119" s="544">
        <v>1</v>
      </c>
      <c r="J119" s="544">
        <v>1</v>
      </c>
      <c r="K119" s="544">
        <v>1</v>
      </c>
      <c r="L119" s="544" t="s">
        <v>934</v>
      </c>
      <c r="M119" s="544" t="s">
        <v>934</v>
      </c>
    </row>
    <row r="120" spans="6:13" x14ac:dyDescent="0.25">
      <c r="F120" s="88" t="str">
        <f>'G-1 All Habitats'!B119</f>
        <v>Intertidal sediment - Artificial littoral mud</v>
      </c>
      <c r="G120" s="544">
        <v>6</v>
      </c>
      <c r="H120" s="544">
        <v>4</v>
      </c>
      <c r="I120" s="544">
        <v>3</v>
      </c>
      <c r="J120" s="544">
        <v>2</v>
      </c>
      <c r="K120" s="544">
        <v>1</v>
      </c>
      <c r="L120" s="544" t="s">
        <v>934</v>
      </c>
      <c r="M120" s="544" t="s">
        <v>934</v>
      </c>
    </row>
    <row r="121" spans="6:13" x14ac:dyDescent="0.25">
      <c r="F121" s="88" t="str">
        <f>'G-1 All Habitats'!B120</f>
        <v>Intertidal sediment - Artificial littoral sand</v>
      </c>
      <c r="G121" s="544">
        <v>4</v>
      </c>
      <c r="H121" s="544">
        <v>2</v>
      </c>
      <c r="I121" s="544">
        <v>1</v>
      </c>
      <c r="J121" s="544">
        <v>1</v>
      </c>
      <c r="K121" s="544">
        <v>1</v>
      </c>
      <c r="L121" s="544" t="s">
        <v>934</v>
      </c>
      <c r="M121" s="544" t="s">
        <v>934</v>
      </c>
    </row>
    <row r="122" spans="6:13" x14ac:dyDescent="0.25">
      <c r="F122" s="88" t="str">
        <f>'G-1 All Habitats'!B121</f>
        <v>Intertidal sediment - Artificial littoral muddy sand</v>
      </c>
      <c r="G122" s="544">
        <v>5</v>
      </c>
      <c r="H122" s="544">
        <v>4</v>
      </c>
      <c r="I122" s="544">
        <v>3</v>
      </c>
      <c r="J122" s="544">
        <v>2</v>
      </c>
      <c r="K122" s="544">
        <v>1</v>
      </c>
      <c r="L122" s="544" t="s">
        <v>934</v>
      </c>
      <c r="M122" s="544" t="s">
        <v>934</v>
      </c>
    </row>
    <row r="123" spans="6:13" x14ac:dyDescent="0.25">
      <c r="F123" s="88" t="str">
        <f>'G-1 All Habitats'!B122</f>
        <v>Intertidal sediment - Artificial littoral mixed sediments</v>
      </c>
      <c r="G123" s="544">
        <v>5</v>
      </c>
      <c r="H123" s="544">
        <v>4</v>
      </c>
      <c r="I123" s="544">
        <v>3</v>
      </c>
      <c r="J123" s="544">
        <v>2</v>
      </c>
      <c r="K123" s="544">
        <v>1</v>
      </c>
      <c r="L123" s="544" t="s">
        <v>934</v>
      </c>
      <c r="M123" s="544" t="s">
        <v>934</v>
      </c>
    </row>
    <row r="124" spans="6:13" x14ac:dyDescent="0.25">
      <c r="F124" s="88" t="str">
        <f>'G-1 All Habitats'!B123</f>
        <v>Intertidal sediment - Artificial littoral seagrass</v>
      </c>
      <c r="G124" s="544">
        <v>20</v>
      </c>
      <c r="H124" s="544">
        <v>15</v>
      </c>
      <c r="I124" s="544">
        <v>10</v>
      </c>
      <c r="J124" s="544">
        <v>5</v>
      </c>
      <c r="K124" s="544">
        <v>2</v>
      </c>
      <c r="L124" s="544" t="s">
        <v>934</v>
      </c>
      <c r="M124" s="544" t="s">
        <v>934</v>
      </c>
    </row>
    <row r="125" spans="6:13" x14ac:dyDescent="0.25">
      <c r="F125" s="88" t="str">
        <f>'G-1 All Habitats'!B124</f>
        <v>Intertidal sediment - Artificial littoral biogenic reefs</v>
      </c>
      <c r="G125" s="544">
        <v>15</v>
      </c>
      <c r="H125" s="544">
        <v>10</v>
      </c>
      <c r="I125" s="544">
        <v>5</v>
      </c>
      <c r="J125" s="544">
        <v>3</v>
      </c>
      <c r="K125" s="544">
        <v>3</v>
      </c>
      <c r="L125" s="544" t="s">
        <v>934</v>
      </c>
      <c r="M125" s="544" t="s">
        <v>934</v>
      </c>
    </row>
    <row r="126" spans="6:13" x14ac:dyDescent="0.25">
      <c r="F126" s="88" t="str">
        <f>'G-1 All Habitats'!B125</f>
        <v>Intertidal sediment - Littoral sand</v>
      </c>
      <c r="G126" s="544">
        <v>4</v>
      </c>
      <c r="H126" s="544">
        <v>2</v>
      </c>
      <c r="I126" s="544">
        <v>1</v>
      </c>
      <c r="J126" s="544">
        <v>1</v>
      </c>
      <c r="K126" s="544">
        <v>1</v>
      </c>
      <c r="L126" s="544" t="s">
        <v>934</v>
      </c>
      <c r="M126" s="544" t="s">
        <v>934</v>
      </c>
    </row>
    <row r="127" spans="6:13" x14ac:dyDescent="0.25">
      <c r="F127" s="88" t="str">
        <f>'G-1 All Habitats'!B126</f>
        <v>Intertidal sediment - Littoral muddy sand</v>
      </c>
      <c r="G127" s="544">
        <v>5</v>
      </c>
      <c r="H127" s="544">
        <v>4</v>
      </c>
      <c r="I127" s="544">
        <v>3</v>
      </c>
      <c r="J127" s="544">
        <v>2</v>
      </c>
      <c r="K127" s="544">
        <v>1</v>
      </c>
      <c r="L127" s="544" t="s">
        <v>934</v>
      </c>
      <c r="M127" s="544" t="s">
        <v>934</v>
      </c>
    </row>
    <row r="128" spans="6:13" x14ac:dyDescent="0.25">
      <c r="F128" s="88" t="str">
        <f>'G-1 All Habitats'!B127</f>
        <v>Intertidal Hard Structures - Artificial hard structures</v>
      </c>
      <c r="G128" s="544">
        <v>15</v>
      </c>
      <c r="H128" s="544">
        <v>10</v>
      </c>
      <c r="I128" s="544">
        <v>5</v>
      </c>
      <c r="J128" s="544">
        <v>2</v>
      </c>
      <c r="K128" s="544">
        <v>1</v>
      </c>
      <c r="L128" s="544" t="s">
        <v>934</v>
      </c>
      <c r="M128" s="544" t="s">
        <v>934</v>
      </c>
    </row>
    <row r="129" spans="6:13" x14ac:dyDescent="0.25">
      <c r="F129" s="88" t="str">
        <f>'G-1 All Habitats'!B128</f>
        <v>Intertidal Hard Structures - Artificial features of hard structures</v>
      </c>
      <c r="G129" s="544">
        <v>13</v>
      </c>
      <c r="H129" s="544">
        <v>8</v>
      </c>
      <c r="I129" s="544">
        <v>4</v>
      </c>
      <c r="J129" s="544">
        <v>2</v>
      </c>
      <c r="K129" s="544">
        <v>1</v>
      </c>
      <c r="L129" s="544" t="s">
        <v>934</v>
      </c>
      <c r="M129" s="544" t="s">
        <v>934</v>
      </c>
    </row>
    <row r="130" spans="6:13" x14ac:dyDescent="0.25">
      <c r="F130" s="88" t="str">
        <f>'G-1 All Habitats'!B129</f>
        <v>Intertidal Hard Structures - Artificial hard structures with Integrated Greening of Grey Infrastructure (IGGI)</v>
      </c>
      <c r="G130" s="544">
        <v>13</v>
      </c>
      <c r="H130" s="544">
        <v>8</v>
      </c>
      <c r="I130" s="544">
        <v>4</v>
      </c>
      <c r="J130" s="544">
        <v>2</v>
      </c>
      <c r="K130" s="544">
        <v>1</v>
      </c>
      <c r="L130" s="544" t="s">
        <v>934</v>
      </c>
      <c r="M130" s="544"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J47" activePane="bottomRight" state="frozen"/>
      <selection pane="topRight" activeCell="S28" sqref="S28"/>
      <selection pane="bottomLeft" activeCell="S28" sqref="S28"/>
      <selection pane="bottomRight"/>
    </sheetView>
  </sheetViews>
  <sheetFormatPr defaultColWidth="0" defaultRowHeight="13.8" zeroHeight="1" x14ac:dyDescent="0.25"/>
  <cols>
    <col min="1" max="1" width="3.5546875" style="31" customWidth="1"/>
    <col min="2" max="2" width="3.109375" style="31" customWidth="1"/>
    <col min="3" max="3" width="88.88671875" style="31" bestFit="1" customWidth="1"/>
    <col min="4" max="4" width="18" style="42" customWidth="1"/>
    <col min="5" max="5" width="21.5546875" style="42" customWidth="1"/>
    <col min="6" max="6" width="17.88671875" style="42" customWidth="1"/>
    <col min="7" max="7" width="18.6640625" style="42" customWidth="1"/>
    <col min="8" max="8" width="18.88671875" style="42" customWidth="1"/>
    <col min="9" max="9" width="17.6640625" style="42" customWidth="1"/>
    <col min="10" max="14" width="17.44140625" style="42" customWidth="1"/>
    <col min="15" max="15" width="14.44140625" style="42" bestFit="1" customWidth="1"/>
    <col min="16" max="16" width="12.6640625" style="42" bestFit="1" customWidth="1"/>
    <col min="17" max="21" width="14.44140625" style="42" bestFit="1" customWidth="1"/>
    <col min="22" max="22" width="14.33203125" style="42" bestFit="1" customWidth="1"/>
    <col min="23" max="23" width="13.109375" style="42" bestFit="1" customWidth="1"/>
    <col min="24" max="24" width="14.44140625" style="42" bestFit="1" customWidth="1"/>
    <col min="25" max="25" width="12.6640625" style="42" bestFit="1" customWidth="1"/>
    <col min="26" max="26" width="11.88671875" style="42" customWidth="1"/>
    <col min="27" max="30" width="11.88671875" style="31" customWidth="1"/>
    <col min="31" max="40" width="11.88671875" style="31" hidden="1" customWidth="1"/>
    <col min="41" max="16384" width="9.10937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1.4" x14ac:dyDescent="0.25">
      <c r="C2" s="280"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 customHeight="1" x14ac:dyDescent="0.25">
      <c r="C3" s="280"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80"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4" t="s">
        <v>934</v>
      </c>
      <c r="E5" s="544">
        <v>1</v>
      </c>
      <c r="F5" s="544" t="s">
        <v>934</v>
      </c>
      <c r="G5" s="544" t="s">
        <v>934</v>
      </c>
      <c r="H5" s="544" t="s">
        <v>934</v>
      </c>
      <c r="I5" s="544" t="s">
        <v>934</v>
      </c>
      <c r="J5" s="544" t="s">
        <v>934</v>
      </c>
      <c r="K5" s="544" t="s">
        <v>934</v>
      </c>
      <c r="L5" s="544" t="s">
        <v>934</v>
      </c>
      <c r="M5" s="544" t="s">
        <v>934</v>
      </c>
      <c r="N5" s="544" t="s">
        <v>934</v>
      </c>
      <c r="O5" s="544" t="s">
        <v>934</v>
      </c>
      <c r="P5" s="544" t="s">
        <v>934</v>
      </c>
      <c r="Q5" s="544" t="s">
        <v>934</v>
      </c>
      <c r="R5" s="544" t="s">
        <v>934</v>
      </c>
      <c r="S5" s="544" t="s">
        <v>934</v>
      </c>
      <c r="T5" s="544" t="s">
        <v>934</v>
      </c>
      <c r="U5" s="544" t="s">
        <v>934</v>
      </c>
      <c r="V5" s="544" t="s">
        <v>934</v>
      </c>
      <c r="W5" s="544" t="s">
        <v>934</v>
      </c>
      <c r="X5" s="544" t="s">
        <v>934</v>
      </c>
      <c r="Y5" s="544" t="s">
        <v>934</v>
      </c>
    </row>
    <row r="6" spans="3:25" x14ac:dyDescent="0.25">
      <c r="C6" s="88" t="str">
        <f>'G-1 All Habitats'!B4</f>
        <v>Cropland - Arable field margins game bird mix</v>
      </c>
      <c r="D6" s="544" t="s">
        <v>934</v>
      </c>
      <c r="E6" s="544">
        <v>1</v>
      </c>
      <c r="F6" s="544" t="s">
        <v>934</v>
      </c>
      <c r="G6" s="544" t="s">
        <v>934</v>
      </c>
      <c r="H6" s="544" t="s">
        <v>934</v>
      </c>
      <c r="I6" s="544" t="s">
        <v>934</v>
      </c>
      <c r="J6" s="544" t="s">
        <v>934</v>
      </c>
      <c r="K6" s="544" t="s">
        <v>934</v>
      </c>
      <c r="L6" s="544" t="s">
        <v>934</v>
      </c>
      <c r="M6" s="544" t="s">
        <v>934</v>
      </c>
      <c r="N6" s="544" t="s">
        <v>934</v>
      </c>
      <c r="O6" s="544" t="s">
        <v>934</v>
      </c>
      <c r="P6" s="544" t="s">
        <v>934</v>
      </c>
      <c r="Q6" s="544" t="s">
        <v>934</v>
      </c>
      <c r="R6" s="544" t="s">
        <v>934</v>
      </c>
      <c r="S6" s="544" t="s">
        <v>934</v>
      </c>
      <c r="T6" s="544" t="s">
        <v>934</v>
      </c>
      <c r="U6" s="544" t="s">
        <v>934</v>
      </c>
      <c r="V6" s="544" t="s">
        <v>934</v>
      </c>
      <c r="W6" s="544" t="s">
        <v>934</v>
      </c>
      <c r="X6" s="544" t="s">
        <v>934</v>
      </c>
      <c r="Y6" s="544" t="s">
        <v>934</v>
      </c>
    </row>
    <row r="7" spans="3:25" x14ac:dyDescent="0.25">
      <c r="C7" s="88" t="str">
        <f>'G-1 All Habitats'!B5</f>
        <v>Cropland - Arable field margins pollen &amp; nectar</v>
      </c>
      <c r="D7" s="544" t="s">
        <v>934</v>
      </c>
      <c r="E7" s="544">
        <v>1</v>
      </c>
      <c r="F7" s="544" t="s">
        <v>934</v>
      </c>
      <c r="G7" s="544" t="s">
        <v>934</v>
      </c>
      <c r="H7" s="544" t="s">
        <v>934</v>
      </c>
      <c r="I7" s="544" t="s">
        <v>934</v>
      </c>
      <c r="J7" s="544" t="s">
        <v>934</v>
      </c>
      <c r="K7" s="544" t="s">
        <v>934</v>
      </c>
      <c r="L7" s="544" t="s">
        <v>934</v>
      </c>
      <c r="M7" s="544" t="s">
        <v>934</v>
      </c>
      <c r="N7" s="544" t="s">
        <v>934</v>
      </c>
      <c r="O7" s="544" t="s">
        <v>934</v>
      </c>
      <c r="P7" s="544" t="s">
        <v>934</v>
      </c>
      <c r="Q7" s="544" t="s">
        <v>934</v>
      </c>
      <c r="R7" s="544" t="s">
        <v>934</v>
      </c>
      <c r="S7" s="544" t="s">
        <v>934</v>
      </c>
      <c r="T7" s="544" t="s">
        <v>934</v>
      </c>
      <c r="U7" s="544" t="s">
        <v>934</v>
      </c>
      <c r="V7" s="544" t="s">
        <v>934</v>
      </c>
      <c r="W7" s="544" t="s">
        <v>934</v>
      </c>
      <c r="X7" s="544" t="s">
        <v>934</v>
      </c>
      <c r="Y7" s="544" t="s">
        <v>934</v>
      </c>
    </row>
    <row r="8" spans="3:25" x14ac:dyDescent="0.25">
      <c r="C8" s="88" t="str">
        <f>'G-1 All Habitats'!B6</f>
        <v>Cropland - Arable field margins tussocky</v>
      </c>
      <c r="D8" s="544" t="s">
        <v>934</v>
      </c>
      <c r="E8" s="544">
        <v>1</v>
      </c>
      <c r="F8" s="544" t="s">
        <v>934</v>
      </c>
      <c r="G8" s="544" t="s">
        <v>934</v>
      </c>
      <c r="H8" s="544" t="s">
        <v>934</v>
      </c>
      <c r="I8" s="544" t="s">
        <v>934</v>
      </c>
      <c r="J8" s="544" t="s">
        <v>934</v>
      </c>
      <c r="K8" s="544" t="s">
        <v>934</v>
      </c>
      <c r="L8" s="544" t="s">
        <v>934</v>
      </c>
      <c r="M8" s="544" t="s">
        <v>934</v>
      </c>
      <c r="N8" s="544" t="s">
        <v>934</v>
      </c>
      <c r="O8" s="544" t="s">
        <v>934</v>
      </c>
      <c r="P8" s="544" t="s">
        <v>934</v>
      </c>
      <c r="Q8" s="544" t="s">
        <v>934</v>
      </c>
      <c r="R8" s="544" t="s">
        <v>934</v>
      </c>
      <c r="S8" s="544" t="s">
        <v>934</v>
      </c>
      <c r="T8" s="544" t="s">
        <v>934</v>
      </c>
      <c r="U8" s="544" t="s">
        <v>934</v>
      </c>
      <c r="V8" s="544" t="s">
        <v>934</v>
      </c>
      <c r="W8" s="544" t="s">
        <v>934</v>
      </c>
      <c r="X8" s="544" t="s">
        <v>934</v>
      </c>
      <c r="Y8" s="544" t="s">
        <v>934</v>
      </c>
    </row>
    <row r="9" spans="3:25" x14ac:dyDescent="0.25">
      <c r="C9" s="88" t="str">
        <f>'G-1 All Habitats'!B7</f>
        <v>Cropland - Cereal crops</v>
      </c>
      <c r="D9" s="544" t="s">
        <v>934</v>
      </c>
      <c r="E9" s="544" t="s">
        <v>934</v>
      </c>
      <c r="F9" s="544" t="s">
        <v>934</v>
      </c>
      <c r="G9" s="544" t="s">
        <v>934</v>
      </c>
      <c r="H9" s="544" t="s">
        <v>934</v>
      </c>
      <c r="I9" s="544" t="s">
        <v>934</v>
      </c>
      <c r="J9" s="544" t="s">
        <v>934</v>
      </c>
      <c r="K9" s="544" t="s">
        <v>934</v>
      </c>
      <c r="L9" s="544" t="s">
        <v>934</v>
      </c>
      <c r="M9" s="544" t="s">
        <v>934</v>
      </c>
      <c r="N9" s="544" t="s">
        <v>934</v>
      </c>
      <c r="O9" s="544" t="s">
        <v>934</v>
      </c>
      <c r="P9" s="544" t="s">
        <v>934</v>
      </c>
      <c r="Q9" s="544" t="s">
        <v>934</v>
      </c>
      <c r="R9" s="544" t="s">
        <v>934</v>
      </c>
      <c r="S9" s="544" t="s">
        <v>934</v>
      </c>
      <c r="T9" s="544" t="s">
        <v>934</v>
      </c>
      <c r="U9" s="544" t="s">
        <v>934</v>
      </c>
      <c r="V9" s="544" t="s">
        <v>934</v>
      </c>
      <c r="W9" s="544" t="s">
        <v>934</v>
      </c>
      <c r="X9" s="544" t="s">
        <v>934</v>
      </c>
      <c r="Y9" s="544" t="s">
        <v>934</v>
      </c>
    </row>
    <row r="10" spans="3:25" x14ac:dyDescent="0.25">
      <c r="C10" s="88" t="str">
        <f>'G-1 All Habitats'!B8</f>
        <v>Cropland - Cereal crops winter stubble</v>
      </c>
      <c r="D10" s="544" t="s">
        <v>934</v>
      </c>
      <c r="E10" s="544" t="s">
        <v>934</v>
      </c>
      <c r="F10" s="544" t="s">
        <v>934</v>
      </c>
      <c r="G10" s="544" t="s">
        <v>934</v>
      </c>
      <c r="H10" s="544" t="s">
        <v>934</v>
      </c>
      <c r="I10" s="544" t="s">
        <v>934</v>
      </c>
      <c r="J10" s="544" t="s">
        <v>934</v>
      </c>
      <c r="K10" s="544" t="s">
        <v>934</v>
      </c>
      <c r="L10" s="544" t="s">
        <v>934</v>
      </c>
      <c r="M10" s="544" t="s">
        <v>934</v>
      </c>
      <c r="N10" s="544" t="s">
        <v>934</v>
      </c>
      <c r="O10" s="544" t="s">
        <v>934</v>
      </c>
      <c r="P10" s="544" t="s">
        <v>934</v>
      </c>
      <c r="Q10" s="544" t="s">
        <v>934</v>
      </c>
      <c r="R10" s="544" t="s">
        <v>934</v>
      </c>
      <c r="S10" s="544" t="s">
        <v>934</v>
      </c>
      <c r="T10" s="544" t="s">
        <v>934</v>
      </c>
      <c r="U10" s="544" t="s">
        <v>934</v>
      </c>
      <c r="V10" s="544" t="s">
        <v>934</v>
      </c>
      <c r="W10" s="544" t="s">
        <v>934</v>
      </c>
      <c r="X10" s="544" t="s">
        <v>934</v>
      </c>
      <c r="Y10" s="544" t="s">
        <v>934</v>
      </c>
    </row>
    <row r="11" spans="3:25" x14ac:dyDescent="0.25">
      <c r="C11" s="88" t="str">
        <f>'G-1 All Habitats'!B9</f>
        <v>Cropland - Horticulture</v>
      </c>
      <c r="D11" s="544" t="s">
        <v>934</v>
      </c>
      <c r="E11" s="544" t="s">
        <v>934</v>
      </c>
      <c r="F11" s="544" t="s">
        <v>934</v>
      </c>
      <c r="G11" s="544" t="s">
        <v>934</v>
      </c>
      <c r="H11" s="544" t="s">
        <v>934</v>
      </c>
      <c r="I11" s="544" t="s">
        <v>934</v>
      </c>
      <c r="J11" s="544" t="s">
        <v>934</v>
      </c>
      <c r="K11" s="544" t="s">
        <v>934</v>
      </c>
      <c r="L11" s="544" t="s">
        <v>934</v>
      </c>
      <c r="M11" s="544" t="s">
        <v>934</v>
      </c>
      <c r="N11" s="544" t="s">
        <v>934</v>
      </c>
      <c r="O11" s="544" t="s">
        <v>934</v>
      </c>
      <c r="P11" s="544" t="s">
        <v>934</v>
      </c>
      <c r="Q11" s="544" t="s">
        <v>934</v>
      </c>
      <c r="R11" s="544" t="s">
        <v>934</v>
      </c>
      <c r="S11" s="544" t="s">
        <v>934</v>
      </c>
      <c r="T11" s="544" t="s">
        <v>934</v>
      </c>
      <c r="U11" s="544" t="s">
        <v>934</v>
      </c>
      <c r="V11" s="544" t="s">
        <v>934</v>
      </c>
      <c r="W11" s="544" t="s">
        <v>934</v>
      </c>
      <c r="X11" s="544" t="s">
        <v>934</v>
      </c>
      <c r="Y11" s="544" t="s">
        <v>934</v>
      </c>
    </row>
    <row r="12" spans="3:25" x14ac:dyDescent="0.25">
      <c r="C12" s="88" t="str">
        <f>'G-1 All Habitats'!B10</f>
        <v>Cropland - Intensive orchards</v>
      </c>
      <c r="D12" s="544" t="s">
        <v>934</v>
      </c>
      <c r="E12" s="544" t="s">
        <v>934</v>
      </c>
      <c r="F12" s="544" t="s">
        <v>934</v>
      </c>
      <c r="G12" s="544" t="s">
        <v>934</v>
      </c>
      <c r="H12" s="544" t="s">
        <v>934</v>
      </c>
      <c r="I12" s="544" t="s">
        <v>934</v>
      </c>
      <c r="J12" s="544" t="s">
        <v>934</v>
      </c>
      <c r="K12" s="544" t="s">
        <v>934</v>
      </c>
      <c r="L12" s="544" t="s">
        <v>934</v>
      </c>
      <c r="M12" s="544" t="s">
        <v>934</v>
      </c>
      <c r="N12" s="544" t="s">
        <v>934</v>
      </c>
      <c r="O12" s="544" t="s">
        <v>934</v>
      </c>
      <c r="P12" s="544" t="s">
        <v>934</v>
      </c>
      <c r="Q12" s="544" t="s">
        <v>934</v>
      </c>
      <c r="R12" s="544" t="s">
        <v>934</v>
      </c>
      <c r="S12" s="544" t="s">
        <v>934</v>
      </c>
      <c r="T12" s="544" t="s">
        <v>934</v>
      </c>
      <c r="U12" s="544" t="s">
        <v>934</v>
      </c>
      <c r="V12" s="544" t="s">
        <v>934</v>
      </c>
      <c r="W12" s="544" t="s">
        <v>934</v>
      </c>
      <c r="X12" s="544" t="s">
        <v>934</v>
      </c>
      <c r="Y12" s="544" t="s">
        <v>934</v>
      </c>
    </row>
    <row r="13" spans="3:25" x14ac:dyDescent="0.25">
      <c r="C13" s="88" t="str">
        <f>'G-1 All Habitats'!B11</f>
        <v>Cropland - Non-cereal crops</v>
      </c>
      <c r="D13" s="544" t="s">
        <v>934</v>
      </c>
      <c r="E13" s="544" t="s">
        <v>934</v>
      </c>
      <c r="F13" s="544" t="s">
        <v>934</v>
      </c>
      <c r="G13" s="544" t="s">
        <v>934</v>
      </c>
      <c r="H13" s="544" t="s">
        <v>934</v>
      </c>
      <c r="I13" s="544" t="s">
        <v>934</v>
      </c>
      <c r="J13" s="544" t="s">
        <v>934</v>
      </c>
      <c r="K13" s="544" t="s">
        <v>934</v>
      </c>
      <c r="L13" s="544" t="s">
        <v>934</v>
      </c>
      <c r="M13" s="544" t="s">
        <v>934</v>
      </c>
      <c r="N13" s="544" t="s">
        <v>934</v>
      </c>
      <c r="O13" s="544" t="s">
        <v>934</v>
      </c>
      <c r="P13" s="544" t="s">
        <v>934</v>
      </c>
      <c r="Q13" s="544" t="s">
        <v>934</v>
      </c>
      <c r="R13" s="544" t="s">
        <v>934</v>
      </c>
      <c r="S13" s="544" t="s">
        <v>934</v>
      </c>
      <c r="T13" s="544" t="s">
        <v>934</v>
      </c>
      <c r="U13" s="544" t="s">
        <v>934</v>
      </c>
      <c r="V13" s="544" t="s">
        <v>934</v>
      </c>
      <c r="W13" s="544" t="s">
        <v>934</v>
      </c>
      <c r="X13" s="544" t="s">
        <v>934</v>
      </c>
      <c r="Y13" s="544" t="s">
        <v>934</v>
      </c>
    </row>
    <row r="14" spans="3:25" x14ac:dyDescent="0.25">
      <c r="C14" s="88" t="str">
        <f>'G-1 All Habitats'!B12</f>
        <v>Cropland - Temporary grass and clover leys</v>
      </c>
      <c r="D14" s="544" t="s">
        <v>934</v>
      </c>
      <c r="E14" s="544" t="s">
        <v>934</v>
      </c>
      <c r="F14" s="544" t="s">
        <v>934</v>
      </c>
      <c r="G14" s="544" t="s">
        <v>934</v>
      </c>
      <c r="H14" s="544" t="s">
        <v>934</v>
      </c>
      <c r="I14" s="544" t="s">
        <v>934</v>
      </c>
      <c r="J14" s="544" t="s">
        <v>934</v>
      </c>
      <c r="K14" s="544" t="s">
        <v>934</v>
      </c>
      <c r="L14" s="544" t="s">
        <v>934</v>
      </c>
      <c r="M14" s="544" t="s">
        <v>934</v>
      </c>
      <c r="N14" s="544" t="s">
        <v>934</v>
      </c>
      <c r="O14" s="544" t="s">
        <v>934</v>
      </c>
      <c r="P14" s="544" t="s">
        <v>934</v>
      </c>
      <c r="Q14" s="544" t="s">
        <v>934</v>
      </c>
      <c r="R14" s="544" t="s">
        <v>934</v>
      </c>
      <c r="S14" s="544" t="s">
        <v>934</v>
      </c>
      <c r="T14" s="544" t="s">
        <v>934</v>
      </c>
      <c r="U14" s="544" t="s">
        <v>934</v>
      </c>
      <c r="V14" s="544" t="s">
        <v>934</v>
      </c>
      <c r="W14" s="544" t="s">
        <v>934</v>
      </c>
      <c r="X14" s="544" t="s">
        <v>934</v>
      </c>
      <c r="Y14" s="544" t="s">
        <v>934</v>
      </c>
    </row>
    <row r="15" spans="3:25" x14ac:dyDescent="0.25">
      <c r="C15" s="88" t="str">
        <f>'G-1 All Habitats'!B13</f>
        <v>Grassland - Traditional orchards</v>
      </c>
      <c r="D15" s="544" t="s">
        <v>934</v>
      </c>
      <c r="E15" s="544" t="s">
        <v>934</v>
      </c>
      <c r="F15" s="544">
        <v>5</v>
      </c>
      <c r="G15" s="544">
        <v>10</v>
      </c>
      <c r="H15" s="544">
        <v>20</v>
      </c>
      <c r="I15" s="544">
        <v>25</v>
      </c>
      <c r="J15" s="544">
        <v>30</v>
      </c>
      <c r="K15" s="544" t="s">
        <v>934</v>
      </c>
      <c r="L15" s="544" t="s">
        <v>934</v>
      </c>
      <c r="M15" s="544" t="s">
        <v>934</v>
      </c>
      <c r="N15" s="544" t="s">
        <v>934</v>
      </c>
      <c r="O15" s="544">
        <v>5</v>
      </c>
      <c r="P15" s="544">
        <v>15</v>
      </c>
      <c r="Q15" s="544">
        <v>20</v>
      </c>
      <c r="R15" s="544">
        <v>25</v>
      </c>
      <c r="S15" s="544">
        <v>10</v>
      </c>
      <c r="T15" s="544">
        <v>15</v>
      </c>
      <c r="U15" s="544">
        <v>20</v>
      </c>
      <c r="V15" s="544">
        <v>5</v>
      </c>
      <c r="W15" s="544">
        <v>10</v>
      </c>
      <c r="X15" s="544">
        <v>5</v>
      </c>
      <c r="Y15" s="544" t="s">
        <v>934</v>
      </c>
    </row>
    <row r="16" spans="3:25" x14ac:dyDescent="0.25">
      <c r="C16" s="88" t="str">
        <f>'G-1 All Habitats'!B14</f>
        <v>Grassland - Bracken</v>
      </c>
      <c r="D16" s="544" t="s">
        <v>934</v>
      </c>
      <c r="E16" s="544" t="s">
        <v>934</v>
      </c>
      <c r="F16" s="544">
        <v>1</v>
      </c>
      <c r="G16" s="544" t="s">
        <v>934</v>
      </c>
      <c r="H16" s="544" t="s">
        <v>934</v>
      </c>
      <c r="I16" s="544" t="s">
        <v>934</v>
      </c>
      <c r="J16" s="544" t="s">
        <v>934</v>
      </c>
      <c r="K16" s="544" t="s">
        <v>934</v>
      </c>
      <c r="L16" s="544" t="s">
        <v>934</v>
      </c>
      <c r="M16" s="544" t="s">
        <v>934</v>
      </c>
      <c r="N16" s="544" t="s">
        <v>934</v>
      </c>
      <c r="O16" s="544" t="s">
        <v>934</v>
      </c>
      <c r="P16" s="544" t="s">
        <v>934</v>
      </c>
      <c r="Q16" s="544" t="s">
        <v>934</v>
      </c>
      <c r="R16" s="544" t="s">
        <v>934</v>
      </c>
      <c r="S16" s="544" t="s">
        <v>934</v>
      </c>
      <c r="T16" s="544" t="s">
        <v>934</v>
      </c>
      <c r="U16" s="544" t="s">
        <v>934</v>
      </c>
      <c r="V16" s="544" t="s">
        <v>934</v>
      </c>
      <c r="W16" s="544" t="s">
        <v>934</v>
      </c>
      <c r="X16" s="544" t="s">
        <v>934</v>
      </c>
      <c r="Y16" s="544" t="s">
        <v>934</v>
      </c>
    </row>
    <row r="17" spans="3:25" x14ac:dyDescent="0.25">
      <c r="C17" s="88" t="str">
        <f>'G-1 All Habitats'!B15</f>
        <v>Grassland - Floodplain Wetland Mosaic (CFGM)</v>
      </c>
      <c r="D17" s="544" t="s">
        <v>934</v>
      </c>
      <c r="E17" s="544" t="s">
        <v>934</v>
      </c>
      <c r="F17" s="544">
        <v>5</v>
      </c>
      <c r="G17" s="544">
        <v>8</v>
      </c>
      <c r="H17" s="544">
        <v>10</v>
      </c>
      <c r="I17" s="544">
        <v>12</v>
      </c>
      <c r="J17" s="544">
        <v>15</v>
      </c>
      <c r="K17" s="544" t="s">
        <v>934</v>
      </c>
      <c r="L17" s="544" t="s">
        <v>934</v>
      </c>
      <c r="M17" s="544" t="s">
        <v>934</v>
      </c>
      <c r="N17" s="544" t="s">
        <v>934</v>
      </c>
      <c r="O17" s="544">
        <v>8</v>
      </c>
      <c r="P17" s="544">
        <v>10</v>
      </c>
      <c r="Q17" s="544">
        <v>12</v>
      </c>
      <c r="R17" s="544">
        <v>15</v>
      </c>
      <c r="S17" s="544">
        <v>2</v>
      </c>
      <c r="T17" s="544">
        <v>4</v>
      </c>
      <c r="U17" s="544">
        <v>7</v>
      </c>
      <c r="V17" s="544">
        <v>2</v>
      </c>
      <c r="W17" s="544">
        <v>4</v>
      </c>
      <c r="X17" s="544">
        <v>3</v>
      </c>
      <c r="Y17" s="544" t="s">
        <v>934</v>
      </c>
    </row>
    <row r="18" spans="3:25" x14ac:dyDescent="0.25">
      <c r="C18" s="88" t="str">
        <f>'G-1 All Habitats'!B16</f>
        <v>Grassland - Lowland calcareous grassland</v>
      </c>
      <c r="D18" s="544" t="s">
        <v>934</v>
      </c>
      <c r="E18" s="544" t="s">
        <v>934</v>
      </c>
      <c r="F18" s="544">
        <v>10</v>
      </c>
      <c r="G18" s="544">
        <v>15</v>
      </c>
      <c r="H18" s="544">
        <v>20</v>
      </c>
      <c r="I18" s="544">
        <v>25</v>
      </c>
      <c r="J18" s="544">
        <v>30</v>
      </c>
      <c r="K18" s="544" t="s">
        <v>934</v>
      </c>
      <c r="L18" s="544" t="s">
        <v>934</v>
      </c>
      <c r="M18" s="544" t="s">
        <v>934</v>
      </c>
      <c r="N18" s="544" t="s">
        <v>934</v>
      </c>
      <c r="O18" s="544">
        <v>5</v>
      </c>
      <c r="P18" s="544">
        <v>10</v>
      </c>
      <c r="Q18" s="544">
        <v>15</v>
      </c>
      <c r="R18" s="544">
        <v>20</v>
      </c>
      <c r="S18" s="544">
        <v>5</v>
      </c>
      <c r="T18" s="544">
        <v>10</v>
      </c>
      <c r="U18" s="544">
        <v>15</v>
      </c>
      <c r="V18" s="544">
        <v>5</v>
      </c>
      <c r="W18" s="544">
        <v>10</v>
      </c>
      <c r="X18" s="544">
        <v>5</v>
      </c>
      <c r="Y18" s="544" t="s">
        <v>934</v>
      </c>
    </row>
    <row r="19" spans="3:25" x14ac:dyDescent="0.25">
      <c r="C19" s="88" t="str">
        <f>'G-1 All Habitats'!B17</f>
        <v>Grassland - Lowland dry acid grassland</v>
      </c>
      <c r="D19" s="544" t="s">
        <v>934</v>
      </c>
      <c r="E19" s="544" t="s">
        <v>934</v>
      </c>
      <c r="F19" s="544">
        <v>10</v>
      </c>
      <c r="G19" s="544">
        <v>15</v>
      </c>
      <c r="H19" s="544">
        <v>20</v>
      </c>
      <c r="I19" s="544">
        <v>25</v>
      </c>
      <c r="J19" s="544" t="s">
        <v>935</v>
      </c>
      <c r="K19" s="544" t="s">
        <v>934</v>
      </c>
      <c r="L19" s="544" t="s">
        <v>934</v>
      </c>
      <c r="M19" s="544" t="s">
        <v>934</v>
      </c>
      <c r="N19" s="544" t="s">
        <v>934</v>
      </c>
      <c r="O19" s="544">
        <v>5</v>
      </c>
      <c r="P19" s="544">
        <v>15</v>
      </c>
      <c r="Q19" s="544">
        <v>20</v>
      </c>
      <c r="R19" s="544" t="s">
        <v>935</v>
      </c>
      <c r="S19" s="544">
        <v>8</v>
      </c>
      <c r="T19" s="544">
        <v>15</v>
      </c>
      <c r="U19" s="544">
        <v>25</v>
      </c>
      <c r="V19" s="544">
        <v>10</v>
      </c>
      <c r="W19" s="544">
        <v>20</v>
      </c>
      <c r="X19" s="544">
        <v>10</v>
      </c>
      <c r="Y19" s="544" t="s">
        <v>934</v>
      </c>
    </row>
    <row r="20" spans="3:25" x14ac:dyDescent="0.25">
      <c r="C20" s="88" t="str">
        <f>'G-1 All Habitats'!B18</f>
        <v>Grassland - Lowland meadows</v>
      </c>
      <c r="D20" s="544" t="s">
        <v>934</v>
      </c>
      <c r="E20" s="544" t="s">
        <v>934</v>
      </c>
      <c r="F20" s="544">
        <v>5</v>
      </c>
      <c r="G20" s="544">
        <v>8</v>
      </c>
      <c r="H20" s="544">
        <v>10</v>
      </c>
      <c r="I20" s="544">
        <v>12</v>
      </c>
      <c r="J20" s="544">
        <v>15</v>
      </c>
      <c r="K20" s="544" t="s">
        <v>934</v>
      </c>
      <c r="L20" s="544" t="s">
        <v>934</v>
      </c>
      <c r="M20" s="544" t="s">
        <v>934</v>
      </c>
      <c r="N20" s="544" t="s">
        <v>934</v>
      </c>
      <c r="O20" s="544">
        <v>4</v>
      </c>
      <c r="P20" s="544">
        <v>8</v>
      </c>
      <c r="Q20" s="544">
        <v>11</v>
      </c>
      <c r="R20" s="544">
        <v>15</v>
      </c>
      <c r="S20" s="544">
        <v>4</v>
      </c>
      <c r="T20" s="544">
        <v>8</v>
      </c>
      <c r="U20" s="544">
        <v>11</v>
      </c>
      <c r="V20" s="544">
        <v>4</v>
      </c>
      <c r="W20" s="544">
        <v>8</v>
      </c>
      <c r="X20" s="544">
        <v>4</v>
      </c>
      <c r="Y20" s="544" t="s">
        <v>934</v>
      </c>
    </row>
    <row r="21" spans="3:25" x14ac:dyDescent="0.25">
      <c r="C21" s="88" t="str">
        <f>'G-1 All Habitats'!B19</f>
        <v>Grassland - Modified grassland</v>
      </c>
      <c r="D21" s="544" t="s">
        <v>934</v>
      </c>
      <c r="E21" s="544">
        <v>1</v>
      </c>
      <c r="F21" s="544">
        <v>1</v>
      </c>
      <c r="G21" s="544">
        <v>5</v>
      </c>
      <c r="H21" s="544">
        <v>10</v>
      </c>
      <c r="I21" s="544">
        <v>12</v>
      </c>
      <c r="J21" s="544">
        <v>15</v>
      </c>
      <c r="K21" s="544" t="s">
        <v>934</v>
      </c>
      <c r="L21" s="544" t="s">
        <v>934</v>
      </c>
      <c r="M21" s="544" t="s">
        <v>934</v>
      </c>
      <c r="N21" s="544" t="s">
        <v>934</v>
      </c>
      <c r="O21" s="544">
        <v>5</v>
      </c>
      <c r="P21" s="544">
        <v>10</v>
      </c>
      <c r="Q21" s="544">
        <v>12</v>
      </c>
      <c r="R21" s="544">
        <v>15</v>
      </c>
      <c r="S21" s="544">
        <v>8</v>
      </c>
      <c r="T21" s="544">
        <v>10</v>
      </c>
      <c r="U21" s="544">
        <v>12</v>
      </c>
      <c r="V21" s="544">
        <v>8</v>
      </c>
      <c r="W21" s="544">
        <v>10</v>
      </c>
      <c r="X21" s="544">
        <v>8</v>
      </c>
      <c r="Y21" s="544" t="s">
        <v>934</v>
      </c>
    </row>
    <row r="22" spans="3:25" x14ac:dyDescent="0.25">
      <c r="C22" s="88" t="str">
        <f>'G-1 All Habitats'!B20</f>
        <v>Grassland - Other lowland acid grassland</v>
      </c>
      <c r="D22" s="544" t="s">
        <v>934</v>
      </c>
      <c r="E22" s="544" t="s">
        <v>934</v>
      </c>
      <c r="F22" s="544">
        <v>1</v>
      </c>
      <c r="G22" s="544">
        <v>5</v>
      </c>
      <c r="H22" s="544">
        <v>10</v>
      </c>
      <c r="I22" s="544">
        <v>12</v>
      </c>
      <c r="J22" s="544">
        <v>15</v>
      </c>
      <c r="K22" s="544" t="s">
        <v>934</v>
      </c>
      <c r="L22" s="544" t="s">
        <v>934</v>
      </c>
      <c r="M22" s="544" t="s">
        <v>934</v>
      </c>
      <c r="N22" s="544" t="s">
        <v>934</v>
      </c>
      <c r="O22" s="544">
        <v>5</v>
      </c>
      <c r="P22" s="544">
        <v>10</v>
      </c>
      <c r="Q22" s="544">
        <v>12</v>
      </c>
      <c r="R22" s="544">
        <v>15</v>
      </c>
      <c r="S22" s="544">
        <v>8</v>
      </c>
      <c r="T22" s="544">
        <v>10</v>
      </c>
      <c r="U22" s="544">
        <v>12</v>
      </c>
      <c r="V22" s="544">
        <v>8</v>
      </c>
      <c r="W22" s="544">
        <v>10</v>
      </c>
      <c r="X22" s="544">
        <v>8</v>
      </c>
      <c r="Y22" s="544" t="s">
        <v>934</v>
      </c>
    </row>
    <row r="23" spans="3:25" x14ac:dyDescent="0.25">
      <c r="C23" s="88" t="str">
        <f>'G-1 All Habitats'!B21</f>
        <v>Grassland - Other neutral grassland</v>
      </c>
      <c r="D23" s="544" t="s">
        <v>934</v>
      </c>
      <c r="E23" s="544" t="s">
        <v>934</v>
      </c>
      <c r="F23" s="544">
        <v>1</v>
      </c>
      <c r="G23" s="544">
        <v>5</v>
      </c>
      <c r="H23" s="544">
        <v>10</v>
      </c>
      <c r="I23" s="544">
        <v>12</v>
      </c>
      <c r="J23" s="544">
        <v>15</v>
      </c>
      <c r="K23" s="544" t="s">
        <v>934</v>
      </c>
      <c r="L23" s="544" t="s">
        <v>934</v>
      </c>
      <c r="M23" s="544" t="s">
        <v>934</v>
      </c>
      <c r="N23" s="544" t="s">
        <v>934</v>
      </c>
      <c r="O23" s="544">
        <v>5</v>
      </c>
      <c r="P23" s="544">
        <v>10</v>
      </c>
      <c r="Q23" s="544">
        <v>12</v>
      </c>
      <c r="R23" s="544">
        <v>15</v>
      </c>
      <c r="S23" s="544">
        <v>8</v>
      </c>
      <c r="T23" s="544">
        <v>10</v>
      </c>
      <c r="U23" s="544">
        <v>12</v>
      </c>
      <c r="V23" s="544">
        <v>8</v>
      </c>
      <c r="W23" s="544">
        <v>10</v>
      </c>
      <c r="X23" s="544">
        <v>8</v>
      </c>
      <c r="Y23" s="544" t="s">
        <v>934</v>
      </c>
    </row>
    <row r="24" spans="3:25" x14ac:dyDescent="0.25">
      <c r="C24" s="88" t="str">
        <f>'G-1 All Habitats'!B22</f>
        <v>Grassland - Tall herb communities (H6430)</v>
      </c>
      <c r="D24" s="544" t="s">
        <v>934</v>
      </c>
      <c r="E24" s="544" t="s">
        <v>934</v>
      </c>
      <c r="F24" s="544">
        <v>10</v>
      </c>
      <c r="G24" s="544">
        <v>15</v>
      </c>
      <c r="H24" s="544">
        <v>20</v>
      </c>
      <c r="I24" s="544">
        <v>25</v>
      </c>
      <c r="J24" s="544">
        <v>30</v>
      </c>
      <c r="K24" s="544" t="s">
        <v>934</v>
      </c>
      <c r="L24" s="544" t="s">
        <v>934</v>
      </c>
      <c r="M24" s="544" t="s">
        <v>934</v>
      </c>
      <c r="N24" s="544" t="s">
        <v>934</v>
      </c>
      <c r="O24" s="544">
        <v>10</v>
      </c>
      <c r="P24" s="544">
        <v>20</v>
      </c>
      <c r="Q24" s="544">
        <v>25</v>
      </c>
      <c r="R24" s="544">
        <v>30</v>
      </c>
      <c r="S24" s="544">
        <v>10</v>
      </c>
      <c r="T24" s="544">
        <v>10</v>
      </c>
      <c r="U24" s="544">
        <v>15</v>
      </c>
      <c r="V24" s="544">
        <v>5</v>
      </c>
      <c r="W24" s="544">
        <v>10</v>
      </c>
      <c r="X24" s="544">
        <v>5</v>
      </c>
      <c r="Y24" s="544" t="s">
        <v>934</v>
      </c>
    </row>
    <row r="25" spans="3:25" x14ac:dyDescent="0.25">
      <c r="C25" s="88" t="str">
        <f>'G-1 All Habitats'!B23</f>
        <v>Grassland - Upland acid grassland</v>
      </c>
      <c r="D25" s="544" t="s">
        <v>934</v>
      </c>
      <c r="E25" s="544" t="s">
        <v>934</v>
      </c>
      <c r="F25" s="544">
        <v>1</v>
      </c>
      <c r="G25" s="544">
        <v>5</v>
      </c>
      <c r="H25" s="544">
        <v>10</v>
      </c>
      <c r="I25" s="544">
        <v>12</v>
      </c>
      <c r="J25" s="544">
        <v>15</v>
      </c>
      <c r="K25" s="544" t="s">
        <v>934</v>
      </c>
      <c r="L25" s="544" t="s">
        <v>934</v>
      </c>
      <c r="M25" s="544" t="s">
        <v>934</v>
      </c>
      <c r="N25" s="544" t="s">
        <v>934</v>
      </c>
      <c r="O25" s="544">
        <v>5</v>
      </c>
      <c r="P25" s="544">
        <v>10</v>
      </c>
      <c r="Q25" s="544">
        <v>12</v>
      </c>
      <c r="R25" s="544">
        <v>15</v>
      </c>
      <c r="S25" s="544">
        <v>8</v>
      </c>
      <c r="T25" s="544">
        <v>10</v>
      </c>
      <c r="U25" s="544">
        <v>12</v>
      </c>
      <c r="V25" s="544">
        <v>8</v>
      </c>
      <c r="W25" s="544">
        <v>10</v>
      </c>
      <c r="X25" s="544">
        <v>8</v>
      </c>
      <c r="Y25" s="544" t="s">
        <v>934</v>
      </c>
    </row>
    <row r="26" spans="3:25" x14ac:dyDescent="0.25">
      <c r="C26" s="88" t="str">
        <f>'G-1 All Habitats'!B24</f>
        <v>Grassland - Upland calcareous grassland</v>
      </c>
      <c r="D26" s="544" t="s">
        <v>934</v>
      </c>
      <c r="E26" s="544" t="s">
        <v>934</v>
      </c>
      <c r="F26" s="544">
        <v>10</v>
      </c>
      <c r="G26" s="544">
        <v>12</v>
      </c>
      <c r="H26" s="544">
        <v>15</v>
      </c>
      <c r="I26" s="544">
        <v>20</v>
      </c>
      <c r="J26" s="544">
        <v>25</v>
      </c>
      <c r="K26" s="544" t="s">
        <v>934</v>
      </c>
      <c r="L26" s="544" t="s">
        <v>934</v>
      </c>
      <c r="M26" s="544" t="s">
        <v>934</v>
      </c>
      <c r="N26" s="544" t="s">
        <v>934</v>
      </c>
      <c r="O26" s="544">
        <v>10</v>
      </c>
      <c r="P26" s="544">
        <v>15</v>
      </c>
      <c r="Q26" s="544">
        <v>18</v>
      </c>
      <c r="R26" s="544">
        <v>20</v>
      </c>
      <c r="S26" s="544">
        <v>10</v>
      </c>
      <c r="T26" s="544">
        <v>15</v>
      </c>
      <c r="U26" s="544">
        <v>18</v>
      </c>
      <c r="V26" s="544">
        <v>10</v>
      </c>
      <c r="W26" s="544">
        <v>10</v>
      </c>
      <c r="X26" s="544">
        <v>10</v>
      </c>
      <c r="Y26" s="544" t="s">
        <v>934</v>
      </c>
    </row>
    <row r="27" spans="3:25" x14ac:dyDescent="0.25">
      <c r="C27" s="88" t="str">
        <f>'G-1 All Habitats'!B25</f>
        <v>Grassland - Upland hay meadows</v>
      </c>
      <c r="D27" s="544" t="s">
        <v>934</v>
      </c>
      <c r="E27" s="544" t="s">
        <v>934</v>
      </c>
      <c r="F27" s="544">
        <v>10</v>
      </c>
      <c r="G27" s="544">
        <v>12</v>
      </c>
      <c r="H27" s="544">
        <v>15</v>
      </c>
      <c r="I27" s="544">
        <v>18</v>
      </c>
      <c r="J27" s="544">
        <v>20</v>
      </c>
      <c r="K27" s="544" t="s">
        <v>934</v>
      </c>
      <c r="L27" s="544" t="s">
        <v>934</v>
      </c>
      <c r="M27" s="544" t="s">
        <v>934</v>
      </c>
      <c r="N27" s="544" t="s">
        <v>934</v>
      </c>
      <c r="O27" s="544">
        <v>10</v>
      </c>
      <c r="P27" s="544">
        <v>15</v>
      </c>
      <c r="Q27" s="544">
        <v>18</v>
      </c>
      <c r="R27" s="544">
        <v>20</v>
      </c>
      <c r="S27" s="544">
        <v>10</v>
      </c>
      <c r="T27" s="544">
        <v>15</v>
      </c>
      <c r="U27" s="544">
        <v>18</v>
      </c>
      <c r="V27" s="544">
        <v>10</v>
      </c>
      <c r="W27" s="544">
        <v>15</v>
      </c>
      <c r="X27" s="544">
        <v>10</v>
      </c>
      <c r="Y27" s="544" t="s">
        <v>934</v>
      </c>
    </row>
    <row r="28" spans="3:25" x14ac:dyDescent="0.25">
      <c r="C28" s="88" t="str">
        <f>'G-1 All Habitats'!B26</f>
        <v>Heathland and shrub - Blackthorn scrub</v>
      </c>
      <c r="D28" s="544" t="s">
        <v>934</v>
      </c>
      <c r="E28" s="544" t="s">
        <v>934</v>
      </c>
      <c r="F28" s="544">
        <v>1</v>
      </c>
      <c r="G28" s="544">
        <v>3</v>
      </c>
      <c r="H28" s="544">
        <v>5</v>
      </c>
      <c r="I28" s="544">
        <v>7</v>
      </c>
      <c r="J28" s="544">
        <v>10</v>
      </c>
      <c r="K28" s="544">
        <v>1</v>
      </c>
      <c r="L28" s="544">
        <v>5</v>
      </c>
      <c r="M28" s="544">
        <v>7</v>
      </c>
      <c r="N28" s="544">
        <v>10</v>
      </c>
      <c r="O28" s="544">
        <v>1</v>
      </c>
      <c r="P28" s="544">
        <v>5</v>
      </c>
      <c r="Q28" s="544">
        <v>7</v>
      </c>
      <c r="R28" s="544">
        <v>10</v>
      </c>
      <c r="S28" s="544">
        <v>3</v>
      </c>
      <c r="T28" s="544">
        <v>5</v>
      </c>
      <c r="U28" s="544">
        <v>3</v>
      </c>
      <c r="V28" s="544">
        <v>2</v>
      </c>
      <c r="W28" s="544">
        <v>3</v>
      </c>
      <c r="X28" s="544">
        <v>2</v>
      </c>
      <c r="Y28" s="544" t="s">
        <v>934</v>
      </c>
    </row>
    <row r="29" spans="3:25" x14ac:dyDescent="0.25">
      <c r="C29" s="88" t="str">
        <f>'G-1 All Habitats'!B27</f>
        <v>Heathland and shrub - Bramble scrub</v>
      </c>
      <c r="D29" s="544" t="s">
        <v>934</v>
      </c>
      <c r="E29" s="544" t="s">
        <v>934</v>
      </c>
      <c r="F29" s="544">
        <v>1</v>
      </c>
      <c r="G29" s="544" t="s">
        <v>934</v>
      </c>
      <c r="H29" s="544" t="s">
        <v>934</v>
      </c>
      <c r="I29" s="544" t="s">
        <v>934</v>
      </c>
      <c r="J29" s="544" t="s">
        <v>934</v>
      </c>
      <c r="K29" s="544" t="s">
        <v>934</v>
      </c>
      <c r="L29" s="544" t="s">
        <v>934</v>
      </c>
      <c r="M29" s="544" t="s">
        <v>934</v>
      </c>
      <c r="N29" s="544" t="s">
        <v>934</v>
      </c>
      <c r="O29" s="544" t="s">
        <v>934</v>
      </c>
      <c r="P29" s="544" t="s">
        <v>934</v>
      </c>
      <c r="Q29" s="544" t="s">
        <v>934</v>
      </c>
      <c r="R29" s="544" t="s">
        <v>934</v>
      </c>
      <c r="S29" s="544" t="s">
        <v>934</v>
      </c>
      <c r="T29" s="544" t="s">
        <v>934</v>
      </c>
      <c r="U29" s="544" t="s">
        <v>934</v>
      </c>
      <c r="V29" s="544" t="s">
        <v>934</v>
      </c>
      <c r="W29" s="544" t="s">
        <v>934</v>
      </c>
      <c r="X29" s="544" t="s">
        <v>934</v>
      </c>
      <c r="Y29" s="544" t="s">
        <v>934</v>
      </c>
    </row>
    <row r="30" spans="3:25" x14ac:dyDescent="0.25">
      <c r="C30" s="88" t="str">
        <f>'G-1 All Habitats'!B28</f>
        <v>Heathland and shrub - Gorse scrub</v>
      </c>
      <c r="D30" s="544" t="s">
        <v>934</v>
      </c>
      <c r="E30" s="544" t="s">
        <v>934</v>
      </c>
      <c r="F30" s="544">
        <v>1</v>
      </c>
      <c r="G30" s="544">
        <v>3</v>
      </c>
      <c r="H30" s="544">
        <v>5</v>
      </c>
      <c r="I30" s="544">
        <v>7</v>
      </c>
      <c r="J30" s="544">
        <v>10</v>
      </c>
      <c r="K30" s="544">
        <v>1</v>
      </c>
      <c r="L30" s="544">
        <v>5</v>
      </c>
      <c r="M30" s="544">
        <v>7</v>
      </c>
      <c r="N30" s="544">
        <v>10</v>
      </c>
      <c r="O30" s="544">
        <v>1</v>
      </c>
      <c r="P30" s="544">
        <v>5</v>
      </c>
      <c r="Q30" s="544">
        <v>7</v>
      </c>
      <c r="R30" s="544">
        <v>10</v>
      </c>
      <c r="S30" s="544">
        <v>3</v>
      </c>
      <c r="T30" s="544">
        <v>5</v>
      </c>
      <c r="U30" s="544">
        <v>7</v>
      </c>
      <c r="V30" s="544">
        <v>2</v>
      </c>
      <c r="W30" s="544">
        <v>3</v>
      </c>
      <c r="X30" s="544">
        <v>2</v>
      </c>
      <c r="Y30" s="544" t="s">
        <v>934</v>
      </c>
    </row>
    <row r="31" spans="3:25" x14ac:dyDescent="0.25">
      <c r="C31" s="88" t="str">
        <f>'G-1 All Habitats'!B29</f>
        <v>Heathland and shrub - Hawthorn scrub</v>
      </c>
      <c r="D31" s="544" t="s">
        <v>934</v>
      </c>
      <c r="E31" s="544" t="s">
        <v>934</v>
      </c>
      <c r="F31" s="544">
        <v>1</v>
      </c>
      <c r="G31" s="544">
        <v>3</v>
      </c>
      <c r="H31" s="544">
        <v>5</v>
      </c>
      <c r="I31" s="544">
        <v>7</v>
      </c>
      <c r="J31" s="544">
        <v>10</v>
      </c>
      <c r="K31" s="544">
        <v>1</v>
      </c>
      <c r="L31" s="544">
        <v>5</v>
      </c>
      <c r="M31" s="544">
        <v>7</v>
      </c>
      <c r="N31" s="544">
        <v>10</v>
      </c>
      <c r="O31" s="544">
        <v>1</v>
      </c>
      <c r="P31" s="544">
        <v>5</v>
      </c>
      <c r="Q31" s="544">
        <v>7</v>
      </c>
      <c r="R31" s="544">
        <v>10</v>
      </c>
      <c r="S31" s="544">
        <v>3</v>
      </c>
      <c r="T31" s="544">
        <v>5</v>
      </c>
      <c r="U31" s="544">
        <v>7</v>
      </c>
      <c r="V31" s="544">
        <v>2</v>
      </c>
      <c r="W31" s="544">
        <v>3</v>
      </c>
      <c r="X31" s="544">
        <v>2</v>
      </c>
      <c r="Y31" s="544" t="s">
        <v>934</v>
      </c>
    </row>
    <row r="32" spans="3:25" x14ac:dyDescent="0.25">
      <c r="C32" s="88" t="str">
        <f>'G-1 All Habitats'!B30</f>
        <v>Heathland and shrub - Hazel scrub</v>
      </c>
      <c r="D32" s="544" t="s">
        <v>934</v>
      </c>
      <c r="E32" s="544" t="s">
        <v>934</v>
      </c>
      <c r="F32" s="544">
        <v>5</v>
      </c>
      <c r="G32" s="544">
        <v>7</v>
      </c>
      <c r="H32" s="544">
        <v>10</v>
      </c>
      <c r="I32" s="544">
        <v>12</v>
      </c>
      <c r="J32" s="544">
        <v>15</v>
      </c>
      <c r="K32" s="544">
        <v>5</v>
      </c>
      <c r="L32" s="544">
        <v>7</v>
      </c>
      <c r="M32" s="544">
        <v>12</v>
      </c>
      <c r="N32" s="544">
        <v>15</v>
      </c>
      <c r="O32" s="544">
        <v>5</v>
      </c>
      <c r="P32" s="544">
        <v>7</v>
      </c>
      <c r="Q32" s="544">
        <v>12</v>
      </c>
      <c r="R32" s="544">
        <v>15</v>
      </c>
      <c r="S32" s="544">
        <v>5</v>
      </c>
      <c r="T32" s="544">
        <v>8</v>
      </c>
      <c r="U32" s="544">
        <v>12</v>
      </c>
      <c r="V32" s="544">
        <v>5</v>
      </c>
      <c r="W32" s="544">
        <v>7</v>
      </c>
      <c r="X32" s="544">
        <v>5</v>
      </c>
      <c r="Y32" s="544" t="s">
        <v>934</v>
      </c>
    </row>
    <row r="33" spans="3:25" x14ac:dyDescent="0.25">
      <c r="C33" s="88" t="str">
        <f>'G-1 All Habitats'!B31</f>
        <v>Heathland and shrub - Lowland Heathland</v>
      </c>
      <c r="D33" s="544" t="s">
        <v>934</v>
      </c>
      <c r="E33" s="544" t="s">
        <v>934</v>
      </c>
      <c r="F33" s="544">
        <v>10</v>
      </c>
      <c r="G33" s="544">
        <v>15</v>
      </c>
      <c r="H33" s="544">
        <v>20</v>
      </c>
      <c r="I33" s="544">
        <v>25</v>
      </c>
      <c r="J33" s="544" t="s">
        <v>935</v>
      </c>
      <c r="K33" s="544">
        <v>5</v>
      </c>
      <c r="L33" s="544">
        <v>10</v>
      </c>
      <c r="M33" s="544">
        <v>15</v>
      </c>
      <c r="N33" s="544">
        <v>25</v>
      </c>
      <c r="O33" s="544">
        <v>5</v>
      </c>
      <c r="P33" s="544">
        <v>10</v>
      </c>
      <c r="Q33" s="544">
        <v>15</v>
      </c>
      <c r="R33" s="544">
        <v>25</v>
      </c>
      <c r="S33" s="544">
        <v>5</v>
      </c>
      <c r="T33" s="544">
        <v>10</v>
      </c>
      <c r="U33" s="544">
        <v>20</v>
      </c>
      <c r="V33" s="544">
        <v>5</v>
      </c>
      <c r="W33" s="544">
        <v>15</v>
      </c>
      <c r="X33" s="544">
        <v>10</v>
      </c>
      <c r="Y33" s="544" t="s">
        <v>934</v>
      </c>
    </row>
    <row r="34" spans="3:25" x14ac:dyDescent="0.25">
      <c r="C34" s="88" t="str">
        <f>'G-1 All Habitats'!B32</f>
        <v>Heathland and shrub - Mixed scrub</v>
      </c>
      <c r="D34" s="544" t="s">
        <v>934</v>
      </c>
      <c r="E34" s="544" t="s">
        <v>934</v>
      </c>
      <c r="F34" s="544">
        <v>1</v>
      </c>
      <c r="G34" s="544">
        <v>3</v>
      </c>
      <c r="H34" s="544">
        <v>5</v>
      </c>
      <c r="I34" s="544">
        <v>7</v>
      </c>
      <c r="J34" s="544">
        <v>10</v>
      </c>
      <c r="K34" s="544">
        <v>1</v>
      </c>
      <c r="L34" s="544">
        <v>5</v>
      </c>
      <c r="M34" s="544">
        <v>7</v>
      </c>
      <c r="N34" s="544">
        <v>10</v>
      </c>
      <c r="O34" s="544">
        <v>1</v>
      </c>
      <c r="P34" s="544">
        <v>5</v>
      </c>
      <c r="Q34" s="544">
        <v>7</v>
      </c>
      <c r="R34" s="544">
        <v>10</v>
      </c>
      <c r="S34" s="544">
        <v>3</v>
      </c>
      <c r="T34" s="544">
        <v>5</v>
      </c>
      <c r="U34" s="544">
        <v>7</v>
      </c>
      <c r="V34" s="544">
        <v>2</v>
      </c>
      <c r="W34" s="544">
        <v>3</v>
      </c>
      <c r="X34" s="544">
        <v>2</v>
      </c>
      <c r="Y34" s="544" t="s">
        <v>934</v>
      </c>
    </row>
    <row r="35" spans="3:25" x14ac:dyDescent="0.25">
      <c r="C35" s="88" t="str">
        <f>'G-1 All Habitats'!B33</f>
        <v>Heathland and shrub - Mountain heaths and willow scrub</v>
      </c>
      <c r="D35" s="544" t="s">
        <v>934</v>
      </c>
      <c r="E35" s="544" t="s">
        <v>934</v>
      </c>
      <c r="F35" s="544">
        <v>15</v>
      </c>
      <c r="G35" s="544">
        <v>23</v>
      </c>
      <c r="H35" s="544">
        <v>25</v>
      </c>
      <c r="I35" s="544" t="s">
        <v>935</v>
      </c>
      <c r="J35" s="544" t="s">
        <v>935</v>
      </c>
      <c r="K35" s="544">
        <v>20</v>
      </c>
      <c r="L35" s="544" t="s">
        <v>935</v>
      </c>
      <c r="M35" s="544" t="s">
        <v>935</v>
      </c>
      <c r="N35" s="544" t="s">
        <v>935</v>
      </c>
      <c r="O35" s="544">
        <v>20</v>
      </c>
      <c r="P35" s="544" t="s">
        <v>935</v>
      </c>
      <c r="Q35" s="544" t="s">
        <v>935</v>
      </c>
      <c r="R35" s="544" t="s">
        <v>935</v>
      </c>
      <c r="S35" s="544">
        <v>20</v>
      </c>
      <c r="T35" s="544" t="s">
        <v>935</v>
      </c>
      <c r="U35" s="544" t="s">
        <v>935</v>
      </c>
      <c r="V35" s="544">
        <v>20</v>
      </c>
      <c r="W35" s="544" t="s">
        <v>935</v>
      </c>
      <c r="X35" s="544">
        <v>20</v>
      </c>
      <c r="Y35" s="544" t="s">
        <v>934</v>
      </c>
    </row>
    <row r="36" spans="3:25" x14ac:dyDescent="0.25">
      <c r="C36" s="88" t="str">
        <f>'G-1 All Habitats'!B34</f>
        <v>Heathland and shrub - Rhododendron scrub</v>
      </c>
      <c r="D36" s="544" t="s">
        <v>934</v>
      </c>
      <c r="E36" s="544" t="s">
        <v>934</v>
      </c>
      <c r="F36" s="544">
        <v>1</v>
      </c>
      <c r="G36" s="544" t="s">
        <v>934</v>
      </c>
      <c r="H36" s="544" t="s">
        <v>934</v>
      </c>
      <c r="I36" s="544" t="s">
        <v>934</v>
      </c>
      <c r="J36" s="544" t="s">
        <v>934</v>
      </c>
      <c r="K36" s="544" t="s">
        <v>934</v>
      </c>
      <c r="L36" s="544" t="s">
        <v>934</v>
      </c>
      <c r="M36" s="544" t="s">
        <v>934</v>
      </c>
      <c r="N36" s="544" t="s">
        <v>934</v>
      </c>
      <c r="O36" s="544" t="s">
        <v>934</v>
      </c>
      <c r="P36" s="544" t="s">
        <v>934</v>
      </c>
      <c r="Q36" s="544" t="s">
        <v>934</v>
      </c>
      <c r="R36" s="544" t="s">
        <v>934</v>
      </c>
      <c r="S36" s="544" t="s">
        <v>934</v>
      </c>
      <c r="T36" s="544" t="s">
        <v>934</v>
      </c>
      <c r="U36" s="544" t="s">
        <v>934</v>
      </c>
      <c r="V36" s="544" t="s">
        <v>934</v>
      </c>
      <c r="W36" s="544" t="s">
        <v>934</v>
      </c>
      <c r="X36" s="544" t="s">
        <v>934</v>
      </c>
      <c r="Y36" s="544" t="s">
        <v>934</v>
      </c>
    </row>
    <row r="37" spans="3:25" x14ac:dyDescent="0.25">
      <c r="C37" s="88" t="str">
        <f>'G-1 All Habitats'!B35</f>
        <v>Heathland and shrub - Sea buckthorn scrub (Annex 1)</v>
      </c>
      <c r="D37" s="544" t="s">
        <v>934</v>
      </c>
      <c r="E37" s="544" t="s">
        <v>934</v>
      </c>
      <c r="F37" s="544">
        <v>5</v>
      </c>
      <c r="G37" s="544">
        <v>7</v>
      </c>
      <c r="H37" s="544">
        <v>10</v>
      </c>
      <c r="I37" s="544">
        <v>12</v>
      </c>
      <c r="J37" s="544">
        <v>15</v>
      </c>
      <c r="K37" s="544">
        <v>5</v>
      </c>
      <c r="L37" s="544">
        <v>7</v>
      </c>
      <c r="M37" s="544">
        <v>10</v>
      </c>
      <c r="N37" s="544">
        <v>12</v>
      </c>
      <c r="O37" s="544">
        <v>5</v>
      </c>
      <c r="P37" s="544">
        <v>7</v>
      </c>
      <c r="Q37" s="544">
        <v>10</v>
      </c>
      <c r="R37" s="544">
        <v>12</v>
      </c>
      <c r="S37" s="544">
        <v>5</v>
      </c>
      <c r="T37" s="544">
        <v>7</v>
      </c>
      <c r="U37" s="544">
        <v>10</v>
      </c>
      <c r="V37" s="544">
        <v>5</v>
      </c>
      <c r="W37" s="544">
        <v>7</v>
      </c>
      <c r="X37" s="544">
        <v>5</v>
      </c>
      <c r="Y37" s="544" t="s">
        <v>934</v>
      </c>
    </row>
    <row r="38" spans="3:25" x14ac:dyDescent="0.25">
      <c r="C38" s="88" t="str">
        <f>'G-1 All Habitats'!B36</f>
        <v>Heathland and shrub - Sea buckthorn scrub (other)</v>
      </c>
      <c r="D38" s="544" t="s">
        <v>934</v>
      </c>
      <c r="E38" s="544" t="s">
        <v>934</v>
      </c>
      <c r="F38" s="544" t="s">
        <v>934</v>
      </c>
      <c r="G38" s="544" t="s">
        <v>934</v>
      </c>
      <c r="H38" s="544" t="s">
        <v>934</v>
      </c>
      <c r="I38" s="544" t="s">
        <v>934</v>
      </c>
      <c r="J38" s="544" t="s">
        <v>934</v>
      </c>
      <c r="K38" s="544" t="s">
        <v>934</v>
      </c>
      <c r="L38" s="544" t="s">
        <v>934</v>
      </c>
      <c r="M38" s="544" t="s">
        <v>934</v>
      </c>
      <c r="N38" s="544" t="s">
        <v>934</v>
      </c>
      <c r="O38" s="544" t="s">
        <v>934</v>
      </c>
      <c r="P38" s="544" t="s">
        <v>934</v>
      </c>
      <c r="Q38" s="544" t="s">
        <v>934</v>
      </c>
      <c r="R38" s="544" t="s">
        <v>934</v>
      </c>
      <c r="S38" s="544" t="s">
        <v>934</v>
      </c>
      <c r="T38" s="544" t="s">
        <v>934</v>
      </c>
      <c r="U38" s="544" t="s">
        <v>934</v>
      </c>
      <c r="V38" s="544" t="s">
        <v>934</v>
      </c>
      <c r="W38" s="544" t="s">
        <v>934</v>
      </c>
      <c r="X38" s="544" t="s">
        <v>934</v>
      </c>
      <c r="Y38" s="544" t="s">
        <v>934</v>
      </c>
    </row>
    <row r="39" spans="3:25" x14ac:dyDescent="0.25">
      <c r="C39" s="88" t="str">
        <f>'G-1 All Habitats'!B37</f>
        <v>Heathland and shrub - Upland Heathland</v>
      </c>
      <c r="D39" s="544" t="s">
        <v>934</v>
      </c>
      <c r="E39" s="544" t="s">
        <v>934</v>
      </c>
      <c r="F39" s="544">
        <v>10</v>
      </c>
      <c r="G39" s="544">
        <v>15</v>
      </c>
      <c r="H39" s="544">
        <v>20</v>
      </c>
      <c r="I39" s="544">
        <v>25</v>
      </c>
      <c r="J39" s="544">
        <v>30</v>
      </c>
      <c r="K39" s="544" t="s">
        <v>934</v>
      </c>
      <c r="L39" s="544" t="s">
        <v>934</v>
      </c>
      <c r="M39" s="544" t="s">
        <v>934</v>
      </c>
      <c r="N39" s="544" t="s">
        <v>934</v>
      </c>
      <c r="O39" s="544">
        <v>10</v>
      </c>
      <c r="P39" s="544">
        <v>20</v>
      </c>
      <c r="Q39" s="544">
        <v>30</v>
      </c>
      <c r="R39" s="544" t="s">
        <v>935</v>
      </c>
      <c r="S39" s="544">
        <v>10</v>
      </c>
      <c r="T39" s="544">
        <v>20</v>
      </c>
      <c r="U39" s="544">
        <v>30</v>
      </c>
      <c r="V39" s="544">
        <v>10</v>
      </c>
      <c r="W39" s="544">
        <v>20</v>
      </c>
      <c r="X39" s="544">
        <v>10</v>
      </c>
      <c r="Y39" s="544" t="s">
        <v>934</v>
      </c>
    </row>
    <row r="40" spans="3:25" x14ac:dyDescent="0.25">
      <c r="C40" s="88" t="str">
        <f>'G-1 All Habitats'!B38</f>
        <v>Lakes - Aquifer fed naturally fluctuating water bodies</v>
      </c>
      <c r="D40" s="544" t="s">
        <v>934</v>
      </c>
      <c r="E40" s="544" t="s">
        <v>934</v>
      </c>
      <c r="F40" s="544">
        <v>1</v>
      </c>
      <c r="G40" s="544">
        <v>10</v>
      </c>
      <c r="H40" s="544">
        <v>15</v>
      </c>
      <c r="I40" s="544">
        <v>20</v>
      </c>
      <c r="J40" s="544">
        <v>30</v>
      </c>
      <c r="K40" s="544" t="s">
        <v>934</v>
      </c>
      <c r="L40" s="544" t="s">
        <v>934</v>
      </c>
      <c r="M40" s="544" t="s">
        <v>934</v>
      </c>
      <c r="N40" s="544" t="s">
        <v>934</v>
      </c>
      <c r="O40" s="544">
        <v>5</v>
      </c>
      <c r="P40" s="544">
        <v>10</v>
      </c>
      <c r="Q40" s="544">
        <v>15</v>
      </c>
      <c r="R40" s="544">
        <v>30</v>
      </c>
      <c r="S40" s="544">
        <v>5</v>
      </c>
      <c r="T40" s="544">
        <v>15</v>
      </c>
      <c r="U40" s="544">
        <v>25</v>
      </c>
      <c r="V40" s="544">
        <v>5</v>
      </c>
      <c r="W40" s="544">
        <v>20</v>
      </c>
      <c r="X40" s="544">
        <v>5</v>
      </c>
      <c r="Y40" s="544" t="s">
        <v>934</v>
      </c>
    </row>
    <row r="41" spans="3:25" x14ac:dyDescent="0.25">
      <c r="C41" s="88" t="str">
        <f>'G-1 All Habitats'!B40</f>
        <v>Lakes - High alkalinity lakes</v>
      </c>
      <c r="D41" s="544" t="s">
        <v>934</v>
      </c>
      <c r="E41" s="544" t="s">
        <v>934</v>
      </c>
      <c r="F41" s="544">
        <v>2</v>
      </c>
      <c r="G41" s="544">
        <v>3</v>
      </c>
      <c r="H41" s="544">
        <v>5</v>
      </c>
      <c r="I41" s="544">
        <v>7</v>
      </c>
      <c r="J41" s="544">
        <v>10</v>
      </c>
      <c r="K41" s="544" t="s">
        <v>934</v>
      </c>
      <c r="L41" s="544" t="s">
        <v>934</v>
      </c>
      <c r="M41" s="544" t="s">
        <v>934</v>
      </c>
      <c r="N41" s="544" t="s">
        <v>934</v>
      </c>
      <c r="O41" s="544">
        <v>5</v>
      </c>
      <c r="P41" s="544">
        <v>10</v>
      </c>
      <c r="Q41" s="544">
        <v>15</v>
      </c>
      <c r="R41" s="544">
        <v>30</v>
      </c>
      <c r="S41" s="544">
        <v>5</v>
      </c>
      <c r="T41" s="544">
        <v>15</v>
      </c>
      <c r="U41" s="544">
        <v>25</v>
      </c>
      <c r="V41" s="544">
        <v>10</v>
      </c>
      <c r="W41" s="544">
        <v>20</v>
      </c>
      <c r="X41" s="544">
        <v>10</v>
      </c>
      <c r="Y41" s="544" t="s">
        <v>934</v>
      </c>
    </row>
    <row r="42" spans="3:25" x14ac:dyDescent="0.25">
      <c r="C42" s="88" t="str">
        <f>'G-1 All Habitats'!B41</f>
        <v>Lakes - Low alkalinity lakes</v>
      </c>
      <c r="D42" s="544" t="s">
        <v>934</v>
      </c>
      <c r="E42" s="544" t="s">
        <v>934</v>
      </c>
      <c r="F42" s="544">
        <v>5</v>
      </c>
      <c r="G42" s="544">
        <v>10</v>
      </c>
      <c r="H42" s="544">
        <v>15</v>
      </c>
      <c r="I42" s="544">
        <v>20</v>
      </c>
      <c r="J42" s="544">
        <v>30</v>
      </c>
      <c r="K42" s="544" t="s">
        <v>934</v>
      </c>
      <c r="L42" s="544" t="s">
        <v>934</v>
      </c>
      <c r="M42" s="544" t="s">
        <v>934</v>
      </c>
      <c r="N42" s="544" t="s">
        <v>934</v>
      </c>
      <c r="O42" s="544">
        <v>5</v>
      </c>
      <c r="P42" s="544">
        <v>10</v>
      </c>
      <c r="Q42" s="544">
        <v>15</v>
      </c>
      <c r="R42" s="544">
        <v>20</v>
      </c>
      <c r="S42" s="544">
        <v>5</v>
      </c>
      <c r="T42" s="544">
        <v>10</v>
      </c>
      <c r="U42" s="544">
        <v>15</v>
      </c>
      <c r="V42" s="544">
        <v>5</v>
      </c>
      <c r="W42" s="544">
        <v>10</v>
      </c>
      <c r="X42" s="544">
        <v>5</v>
      </c>
      <c r="Y42" s="544" t="s">
        <v>934</v>
      </c>
    </row>
    <row r="43" spans="3:25" x14ac:dyDescent="0.25">
      <c r="C43" s="88" t="str">
        <f>'G-1 All Habitats'!B42</f>
        <v>Lakes - Marl Lakes</v>
      </c>
      <c r="D43" s="544" t="s">
        <v>934</v>
      </c>
      <c r="E43" s="544" t="s">
        <v>934</v>
      </c>
      <c r="F43" s="544">
        <v>5</v>
      </c>
      <c r="G43" s="544">
        <v>7</v>
      </c>
      <c r="H43" s="544">
        <v>10</v>
      </c>
      <c r="I43" s="544">
        <v>15</v>
      </c>
      <c r="J43" s="544">
        <v>20</v>
      </c>
      <c r="K43" s="544" t="s">
        <v>934</v>
      </c>
      <c r="L43" s="544" t="s">
        <v>934</v>
      </c>
      <c r="M43" s="544" t="s">
        <v>934</v>
      </c>
      <c r="N43" s="544" t="s">
        <v>934</v>
      </c>
      <c r="O43" s="544">
        <v>5</v>
      </c>
      <c r="P43" s="544">
        <v>10</v>
      </c>
      <c r="Q43" s="544">
        <v>15</v>
      </c>
      <c r="R43" s="544">
        <v>30</v>
      </c>
      <c r="S43" s="544">
        <v>5</v>
      </c>
      <c r="T43" s="544">
        <v>15</v>
      </c>
      <c r="U43" s="544">
        <v>25</v>
      </c>
      <c r="V43" s="544">
        <v>10</v>
      </c>
      <c r="W43" s="544">
        <v>20</v>
      </c>
      <c r="X43" s="544">
        <v>10</v>
      </c>
      <c r="Y43" s="544" t="s">
        <v>934</v>
      </c>
    </row>
    <row r="44" spans="3:25" x14ac:dyDescent="0.25">
      <c r="C44" s="88" t="str">
        <f>'G-1 All Habitats'!B43</f>
        <v>Lakes - Moderate alkalinity lakes</v>
      </c>
      <c r="D44" s="544" t="s">
        <v>934</v>
      </c>
      <c r="E44" s="544" t="s">
        <v>934</v>
      </c>
      <c r="F44" s="544">
        <v>5</v>
      </c>
      <c r="G44" s="544">
        <v>7</v>
      </c>
      <c r="H44" s="544">
        <v>10</v>
      </c>
      <c r="I44" s="544">
        <v>15</v>
      </c>
      <c r="J44" s="544">
        <v>20</v>
      </c>
      <c r="K44" s="544" t="s">
        <v>934</v>
      </c>
      <c r="L44" s="544" t="s">
        <v>934</v>
      </c>
      <c r="M44" s="544" t="s">
        <v>934</v>
      </c>
      <c r="N44" s="544" t="s">
        <v>934</v>
      </c>
      <c r="O44" s="544">
        <v>5</v>
      </c>
      <c r="P44" s="544">
        <v>10</v>
      </c>
      <c r="Q44" s="544">
        <v>15</v>
      </c>
      <c r="R44" s="544">
        <v>30</v>
      </c>
      <c r="S44" s="544">
        <v>5</v>
      </c>
      <c r="T44" s="544">
        <v>15</v>
      </c>
      <c r="U44" s="544">
        <v>25</v>
      </c>
      <c r="V44" s="544">
        <v>10</v>
      </c>
      <c r="W44" s="544">
        <v>20</v>
      </c>
      <c r="X44" s="544">
        <v>10</v>
      </c>
      <c r="Y44" s="544" t="s">
        <v>934</v>
      </c>
    </row>
    <row r="45" spans="3:25" x14ac:dyDescent="0.25">
      <c r="C45" s="88" t="str">
        <f>'G-1 All Habitats'!B44</f>
        <v>Lakes - Peat Lakes</v>
      </c>
      <c r="D45" s="544" t="s">
        <v>934</v>
      </c>
      <c r="E45" s="544" t="s">
        <v>934</v>
      </c>
      <c r="F45" s="544">
        <v>5</v>
      </c>
      <c r="G45" s="544">
        <v>10</v>
      </c>
      <c r="H45" s="544">
        <v>15</v>
      </c>
      <c r="I45" s="544">
        <v>20</v>
      </c>
      <c r="J45" s="544">
        <v>30</v>
      </c>
      <c r="K45" s="544" t="s">
        <v>934</v>
      </c>
      <c r="L45" s="544" t="s">
        <v>934</v>
      </c>
      <c r="M45" s="544" t="s">
        <v>934</v>
      </c>
      <c r="N45" s="544" t="s">
        <v>934</v>
      </c>
      <c r="O45" s="544">
        <v>5</v>
      </c>
      <c r="P45" s="544">
        <v>10</v>
      </c>
      <c r="Q45" s="544">
        <v>15</v>
      </c>
      <c r="R45" s="544">
        <v>30</v>
      </c>
      <c r="S45" s="544">
        <v>5</v>
      </c>
      <c r="T45" s="544">
        <v>15</v>
      </c>
      <c r="U45" s="544">
        <v>25</v>
      </c>
      <c r="V45" s="544">
        <v>10</v>
      </c>
      <c r="W45" s="544">
        <v>20</v>
      </c>
      <c r="X45" s="544">
        <v>10</v>
      </c>
      <c r="Y45" s="544" t="s">
        <v>934</v>
      </c>
    </row>
    <row r="46" spans="3:25" x14ac:dyDescent="0.25">
      <c r="C46" s="88" t="str">
        <f>'G-1 All Habitats'!B45</f>
        <v>Lakes - Ponds (Priority Habitat)</v>
      </c>
      <c r="D46" s="544" t="s">
        <v>934</v>
      </c>
      <c r="E46" s="544" t="s">
        <v>934</v>
      </c>
      <c r="F46" s="544">
        <v>2</v>
      </c>
      <c r="G46" s="544">
        <v>3</v>
      </c>
      <c r="H46" s="544">
        <v>5</v>
      </c>
      <c r="I46" s="544">
        <v>7</v>
      </c>
      <c r="J46" s="544">
        <v>10</v>
      </c>
      <c r="K46" s="544" t="s">
        <v>934</v>
      </c>
      <c r="L46" s="544" t="s">
        <v>934</v>
      </c>
      <c r="M46" s="544" t="s">
        <v>934</v>
      </c>
      <c r="N46" s="544" t="s">
        <v>934</v>
      </c>
      <c r="O46" s="544">
        <v>2</v>
      </c>
      <c r="P46" s="544">
        <v>4</v>
      </c>
      <c r="Q46" s="544">
        <v>6</v>
      </c>
      <c r="R46" s="544">
        <v>8</v>
      </c>
      <c r="S46" s="544">
        <v>2</v>
      </c>
      <c r="T46" s="544">
        <v>4</v>
      </c>
      <c r="U46" s="544">
        <v>6</v>
      </c>
      <c r="V46" s="544">
        <v>2</v>
      </c>
      <c r="W46" s="544">
        <v>4</v>
      </c>
      <c r="X46" s="544">
        <v>2</v>
      </c>
      <c r="Y46" s="544" t="s">
        <v>934</v>
      </c>
    </row>
    <row r="47" spans="3:25" x14ac:dyDescent="0.25">
      <c r="C47" s="88" t="str">
        <f>'G-1 All Habitats'!B46</f>
        <v>Lakes - Ponds (Non- Priority Habitat)</v>
      </c>
      <c r="D47" s="544" t="s">
        <v>934</v>
      </c>
      <c r="E47" s="544" t="s">
        <v>934</v>
      </c>
      <c r="F47" s="544">
        <v>1</v>
      </c>
      <c r="G47" s="544">
        <v>2</v>
      </c>
      <c r="H47" s="544">
        <v>3</v>
      </c>
      <c r="I47" s="544">
        <v>4</v>
      </c>
      <c r="J47" s="544">
        <v>5</v>
      </c>
      <c r="K47" s="544" t="s">
        <v>934</v>
      </c>
      <c r="L47" s="544" t="s">
        <v>934</v>
      </c>
      <c r="M47" s="544" t="s">
        <v>934</v>
      </c>
      <c r="N47" s="544" t="s">
        <v>934</v>
      </c>
      <c r="O47" s="544">
        <v>2</v>
      </c>
      <c r="P47" s="544">
        <v>4</v>
      </c>
      <c r="Q47" s="544">
        <v>6</v>
      </c>
      <c r="R47" s="544">
        <v>8</v>
      </c>
      <c r="S47" s="544">
        <v>2</v>
      </c>
      <c r="T47" s="544">
        <v>4</v>
      </c>
      <c r="U47" s="544">
        <v>6</v>
      </c>
      <c r="V47" s="544">
        <v>2</v>
      </c>
      <c r="W47" s="544">
        <v>4</v>
      </c>
      <c r="X47" s="544">
        <v>2</v>
      </c>
      <c r="Y47" s="544" t="s">
        <v>934</v>
      </c>
    </row>
    <row r="48" spans="3:25" x14ac:dyDescent="0.25">
      <c r="C48" s="88" t="str">
        <f>'G-1 All Habitats'!B47</f>
        <v>Lakes - Reservoirs</v>
      </c>
      <c r="D48" s="544" t="s">
        <v>934</v>
      </c>
      <c r="E48" s="544" t="s">
        <v>934</v>
      </c>
      <c r="F48" s="544">
        <v>1</v>
      </c>
      <c r="G48" s="544">
        <v>3</v>
      </c>
      <c r="H48" s="544">
        <v>5</v>
      </c>
      <c r="I48" s="544">
        <v>7</v>
      </c>
      <c r="J48" s="544">
        <v>10</v>
      </c>
      <c r="K48" s="544" t="s">
        <v>934</v>
      </c>
      <c r="L48" s="544" t="s">
        <v>934</v>
      </c>
      <c r="M48" s="544" t="s">
        <v>934</v>
      </c>
      <c r="N48" s="544" t="s">
        <v>934</v>
      </c>
      <c r="O48" s="544">
        <v>5</v>
      </c>
      <c r="P48" s="544">
        <v>10</v>
      </c>
      <c r="Q48" s="544">
        <v>15</v>
      </c>
      <c r="R48" s="544">
        <v>30</v>
      </c>
      <c r="S48" s="544">
        <v>5</v>
      </c>
      <c r="T48" s="544">
        <v>15</v>
      </c>
      <c r="U48" s="544">
        <v>25</v>
      </c>
      <c r="V48" s="544">
        <v>10</v>
      </c>
      <c r="W48" s="544">
        <v>20</v>
      </c>
      <c r="X48" s="544">
        <v>10</v>
      </c>
      <c r="Y48" s="544" t="s">
        <v>934</v>
      </c>
    </row>
    <row r="49" spans="3:25" x14ac:dyDescent="0.25">
      <c r="C49" s="88" t="str">
        <f>'G-1 All Habitats'!B48</f>
        <v>Lakes - Temporary lakes, ponds and pools</v>
      </c>
      <c r="D49" s="544" t="s">
        <v>934</v>
      </c>
      <c r="E49" s="544" t="s">
        <v>934</v>
      </c>
      <c r="F49" s="544">
        <v>2</v>
      </c>
      <c r="G49" s="544">
        <v>3</v>
      </c>
      <c r="H49" s="544">
        <v>5</v>
      </c>
      <c r="I49" s="544">
        <v>7</v>
      </c>
      <c r="J49" s="544">
        <v>10</v>
      </c>
      <c r="K49" s="544" t="s">
        <v>934</v>
      </c>
      <c r="L49" s="544" t="s">
        <v>934</v>
      </c>
      <c r="M49" s="544" t="s">
        <v>934</v>
      </c>
      <c r="N49" s="544" t="s">
        <v>934</v>
      </c>
      <c r="O49" s="544">
        <v>2</v>
      </c>
      <c r="P49" s="544">
        <v>4</v>
      </c>
      <c r="Q49" s="544">
        <v>6</v>
      </c>
      <c r="R49" s="544">
        <v>8</v>
      </c>
      <c r="S49" s="544">
        <v>2</v>
      </c>
      <c r="T49" s="544">
        <v>4</v>
      </c>
      <c r="U49" s="544">
        <v>6</v>
      </c>
      <c r="V49" s="544">
        <v>2</v>
      </c>
      <c r="W49" s="544">
        <v>4</v>
      </c>
      <c r="X49" s="544">
        <v>2</v>
      </c>
      <c r="Y49" s="544" t="s">
        <v>934</v>
      </c>
    </row>
    <row r="50" spans="3:25" x14ac:dyDescent="0.25">
      <c r="C50" s="88" t="str">
        <f>'G-1 All Habitats'!B49</f>
        <v>Sparsely vegetated land - Calaminarian grasslands</v>
      </c>
      <c r="D50" s="544" t="s">
        <v>934</v>
      </c>
      <c r="E50" s="544" t="s">
        <v>934</v>
      </c>
      <c r="F50" s="544">
        <v>2</v>
      </c>
      <c r="G50" s="544">
        <v>3</v>
      </c>
      <c r="H50" s="544">
        <v>5</v>
      </c>
      <c r="I50" s="544">
        <v>7</v>
      </c>
      <c r="J50" s="544">
        <v>10</v>
      </c>
      <c r="K50" s="544" t="s">
        <v>934</v>
      </c>
      <c r="L50" s="544" t="s">
        <v>934</v>
      </c>
      <c r="M50" s="544" t="s">
        <v>934</v>
      </c>
      <c r="N50" s="544" t="s">
        <v>934</v>
      </c>
      <c r="O50" s="544">
        <v>1</v>
      </c>
      <c r="P50" s="544">
        <v>3</v>
      </c>
      <c r="Q50" s="544">
        <v>5</v>
      </c>
      <c r="R50" s="544">
        <v>8</v>
      </c>
      <c r="S50" s="544">
        <v>1</v>
      </c>
      <c r="T50" s="544">
        <v>4</v>
      </c>
      <c r="U50" s="544">
        <v>7</v>
      </c>
      <c r="V50" s="544">
        <v>2</v>
      </c>
      <c r="W50" s="544">
        <v>5</v>
      </c>
      <c r="X50" s="544">
        <v>3</v>
      </c>
      <c r="Y50" s="544" t="s">
        <v>934</v>
      </c>
    </row>
    <row r="51" spans="3:25" x14ac:dyDescent="0.25">
      <c r="C51" s="88" t="str">
        <f>'G-1 All Habitats'!B50</f>
        <v>Sparsely vegetated land - Coastal sand dunes</v>
      </c>
      <c r="D51" s="544" t="s">
        <v>934</v>
      </c>
      <c r="E51" s="544" t="s">
        <v>934</v>
      </c>
      <c r="F51" s="544">
        <v>5</v>
      </c>
      <c r="G51" s="544">
        <v>7</v>
      </c>
      <c r="H51" s="544">
        <v>10</v>
      </c>
      <c r="I51" s="544">
        <v>15</v>
      </c>
      <c r="J51" s="544">
        <v>20</v>
      </c>
      <c r="K51" s="544" t="s">
        <v>934</v>
      </c>
      <c r="L51" s="544" t="s">
        <v>934</v>
      </c>
      <c r="M51" s="544" t="s">
        <v>934</v>
      </c>
      <c r="N51" s="544" t="s">
        <v>934</v>
      </c>
      <c r="O51" s="544">
        <v>5</v>
      </c>
      <c r="P51" s="544">
        <v>8</v>
      </c>
      <c r="Q51" s="544">
        <v>15</v>
      </c>
      <c r="R51" s="544">
        <v>20</v>
      </c>
      <c r="S51" s="544">
        <v>5</v>
      </c>
      <c r="T51" s="544">
        <v>10</v>
      </c>
      <c r="U51" s="544">
        <v>18</v>
      </c>
      <c r="V51" s="544">
        <v>7</v>
      </c>
      <c r="W51" s="544">
        <v>12</v>
      </c>
      <c r="X51" s="544">
        <v>8</v>
      </c>
      <c r="Y51" s="544" t="s">
        <v>934</v>
      </c>
    </row>
    <row r="52" spans="3:25" x14ac:dyDescent="0.25">
      <c r="C52" s="88" t="str">
        <f>'G-1 All Habitats'!B51</f>
        <v>Sparsely vegetated land - Coastal vegetated shingle</v>
      </c>
      <c r="D52" s="544" t="s">
        <v>934</v>
      </c>
      <c r="E52" s="544" t="s">
        <v>934</v>
      </c>
      <c r="F52" s="544">
        <v>5</v>
      </c>
      <c r="G52" s="544">
        <v>7</v>
      </c>
      <c r="H52" s="544">
        <v>10</v>
      </c>
      <c r="I52" s="544">
        <v>15</v>
      </c>
      <c r="J52" s="544">
        <v>20</v>
      </c>
      <c r="K52" s="544" t="s">
        <v>934</v>
      </c>
      <c r="L52" s="544" t="s">
        <v>934</v>
      </c>
      <c r="M52" s="544" t="s">
        <v>934</v>
      </c>
      <c r="N52" s="544" t="s">
        <v>934</v>
      </c>
      <c r="O52" s="544">
        <v>5</v>
      </c>
      <c r="P52" s="544">
        <v>8</v>
      </c>
      <c r="Q52" s="544">
        <v>15</v>
      </c>
      <c r="R52" s="544">
        <v>20</v>
      </c>
      <c r="S52" s="544">
        <v>5</v>
      </c>
      <c r="T52" s="544">
        <v>10</v>
      </c>
      <c r="U52" s="544">
        <v>18</v>
      </c>
      <c r="V52" s="544">
        <v>7</v>
      </c>
      <c r="W52" s="544">
        <v>12</v>
      </c>
      <c r="X52" s="544">
        <v>8</v>
      </c>
      <c r="Y52" s="544" t="s">
        <v>934</v>
      </c>
    </row>
    <row r="53" spans="3:25" x14ac:dyDescent="0.25">
      <c r="C53" s="88" t="str">
        <f>'G-1 All Habitats'!B52</f>
        <v>Sparsely vegetated land - Ruderal/Ephemeral</v>
      </c>
      <c r="D53" s="544" t="s">
        <v>934</v>
      </c>
      <c r="E53" s="544" t="s">
        <v>934</v>
      </c>
      <c r="F53" s="544" t="s">
        <v>934</v>
      </c>
      <c r="G53" s="544" t="s">
        <v>934</v>
      </c>
      <c r="H53" s="544" t="s">
        <v>934</v>
      </c>
      <c r="I53" s="544" t="s">
        <v>934</v>
      </c>
      <c r="J53" s="544" t="s">
        <v>934</v>
      </c>
      <c r="K53" s="544" t="s">
        <v>934</v>
      </c>
      <c r="L53" s="544" t="s">
        <v>934</v>
      </c>
      <c r="M53" s="544" t="s">
        <v>934</v>
      </c>
      <c r="N53" s="544" t="s">
        <v>934</v>
      </c>
      <c r="O53" s="544">
        <v>1</v>
      </c>
      <c r="P53" s="544">
        <v>2</v>
      </c>
      <c r="Q53" s="544">
        <v>3</v>
      </c>
      <c r="R53" s="544">
        <v>5</v>
      </c>
      <c r="S53" s="544">
        <v>1</v>
      </c>
      <c r="T53" s="544">
        <v>2</v>
      </c>
      <c r="U53" s="544">
        <v>3</v>
      </c>
      <c r="V53" s="544">
        <v>1</v>
      </c>
      <c r="W53" s="544">
        <v>2</v>
      </c>
      <c r="X53" s="544">
        <v>1</v>
      </c>
      <c r="Y53" s="544" t="s">
        <v>934</v>
      </c>
    </row>
    <row r="54" spans="3:25" x14ac:dyDescent="0.25">
      <c r="C54" s="88" t="str">
        <f>'G-1 All Habitats'!B53</f>
        <v>Sparsely vegetated land - Inland rock outcrop and scree habitats</v>
      </c>
      <c r="D54" s="544" t="s">
        <v>934</v>
      </c>
      <c r="E54" s="544" t="s">
        <v>934</v>
      </c>
      <c r="F54" s="544">
        <v>10</v>
      </c>
      <c r="G54" s="544">
        <v>15</v>
      </c>
      <c r="H54" s="544">
        <v>20</v>
      </c>
      <c r="I54" s="544">
        <v>25</v>
      </c>
      <c r="J54" s="544" t="s">
        <v>935</v>
      </c>
      <c r="K54" s="544" t="s">
        <v>934</v>
      </c>
      <c r="L54" s="544" t="s">
        <v>934</v>
      </c>
      <c r="M54" s="544" t="s">
        <v>934</v>
      </c>
      <c r="N54" s="544" t="s">
        <v>934</v>
      </c>
      <c r="O54" s="544">
        <v>10</v>
      </c>
      <c r="P54" s="544">
        <v>15</v>
      </c>
      <c r="Q54" s="544">
        <v>25</v>
      </c>
      <c r="R54" s="544" t="s">
        <v>935</v>
      </c>
      <c r="S54" s="544">
        <v>20</v>
      </c>
      <c r="T54" s="544">
        <v>25</v>
      </c>
      <c r="U54" s="544">
        <v>27</v>
      </c>
      <c r="V54" s="544">
        <v>15</v>
      </c>
      <c r="W54" s="544">
        <v>20</v>
      </c>
      <c r="X54" s="544">
        <v>15</v>
      </c>
      <c r="Y54" s="544" t="s">
        <v>934</v>
      </c>
    </row>
    <row r="55" spans="3:25" x14ac:dyDescent="0.25">
      <c r="C55" s="88" t="str">
        <f>'G-1 All Habitats'!B54</f>
        <v>Sparsely vegetated land - Limestone pavement</v>
      </c>
      <c r="D55" s="544" t="s">
        <v>934</v>
      </c>
      <c r="E55" s="544" t="s">
        <v>934</v>
      </c>
      <c r="F55" s="544" t="s">
        <v>935</v>
      </c>
      <c r="G55" s="544" t="s">
        <v>935</v>
      </c>
      <c r="H55" s="544" t="s">
        <v>935</v>
      </c>
      <c r="I55" s="544" t="s">
        <v>935</v>
      </c>
      <c r="J55" s="544" t="s">
        <v>935</v>
      </c>
      <c r="K55" s="544" t="s">
        <v>934</v>
      </c>
      <c r="L55" s="544" t="s">
        <v>934</v>
      </c>
      <c r="M55" s="544" t="s">
        <v>934</v>
      </c>
      <c r="N55" s="544" t="s">
        <v>934</v>
      </c>
      <c r="O55" s="544">
        <v>5</v>
      </c>
      <c r="P55" s="544">
        <v>10</v>
      </c>
      <c r="Q55" s="544">
        <v>15</v>
      </c>
      <c r="R55" s="544">
        <v>20</v>
      </c>
      <c r="S55" s="544">
        <v>5</v>
      </c>
      <c r="T55" s="544">
        <v>10</v>
      </c>
      <c r="U55" s="544">
        <v>15</v>
      </c>
      <c r="V55" s="544">
        <v>5</v>
      </c>
      <c r="W55" s="544">
        <v>10</v>
      </c>
      <c r="X55" s="544">
        <v>5</v>
      </c>
      <c r="Y55" s="544" t="s">
        <v>934</v>
      </c>
    </row>
    <row r="56" spans="3:25" x14ac:dyDescent="0.25">
      <c r="C56" s="88" t="str">
        <f>'G-1 All Habitats'!B55</f>
        <v>Sparsely vegetated land - Maritime cliff and slopes</v>
      </c>
      <c r="D56" s="544" t="s">
        <v>934</v>
      </c>
      <c r="E56" s="544" t="s">
        <v>934</v>
      </c>
      <c r="F56" s="544">
        <v>10</v>
      </c>
      <c r="G56" s="544">
        <v>15</v>
      </c>
      <c r="H56" s="544">
        <v>20</v>
      </c>
      <c r="I56" s="544">
        <v>25</v>
      </c>
      <c r="J56" s="544" t="s">
        <v>935</v>
      </c>
      <c r="K56" s="544" t="s">
        <v>934</v>
      </c>
      <c r="L56" s="544" t="s">
        <v>934</v>
      </c>
      <c r="M56" s="544" t="s">
        <v>934</v>
      </c>
      <c r="N56" s="544" t="s">
        <v>934</v>
      </c>
      <c r="O56" s="544">
        <v>5</v>
      </c>
      <c r="P56" s="544">
        <v>8</v>
      </c>
      <c r="Q56" s="544">
        <v>15</v>
      </c>
      <c r="R56" s="544">
        <v>20</v>
      </c>
      <c r="S56" s="544">
        <v>5</v>
      </c>
      <c r="T56" s="544">
        <v>10</v>
      </c>
      <c r="U56" s="544">
        <v>18</v>
      </c>
      <c r="V56" s="544">
        <v>7</v>
      </c>
      <c r="W56" s="544">
        <v>12</v>
      </c>
      <c r="X56" s="544">
        <v>8</v>
      </c>
      <c r="Y56" s="544" t="s">
        <v>934</v>
      </c>
    </row>
    <row r="57" spans="3:25" x14ac:dyDescent="0.25">
      <c r="C57" s="88" t="str">
        <f>'G-1 All Habitats'!B56</f>
        <v>Sparsely vegetated land - Other inland rock and scree</v>
      </c>
      <c r="D57" s="544" t="s">
        <v>934</v>
      </c>
      <c r="E57" s="544" t="s">
        <v>934</v>
      </c>
      <c r="F57" s="544">
        <v>3</v>
      </c>
      <c r="G57" s="544">
        <v>5</v>
      </c>
      <c r="H57" s="544">
        <v>10</v>
      </c>
      <c r="I57" s="544">
        <v>15</v>
      </c>
      <c r="J57" s="544">
        <v>20</v>
      </c>
      <c r="K57" s="544" t="s">
        <v>934</v>
      </c>
      <c r="L57" s="544" t="s">
        <v>934</v>
      </c>
      <c r="M57" s="544" t="s">
        <v>934</v>
      </c>
      <c r="N57" s="544" t="s">
        <v>934</v>
      </c>
      <c r="O57" s="544">
        <v>5</v>
      </c>
      <c r="P57" s="544">
        <v>10</v>
      </c>
      <c r="Q57" s="544">
        <v>15</v>
      </c>
      <c r="R57" s="544">
        <v>20</v>
      </c>
      <c r="S57" s="544">
        <v>5</v>
      </c>
      <c r="T57" s="544">
        <v>10</v>
      </c>
      <c r="U57" s="544">
        <v>15</v>
      </c>
      <c r="V57" s="544">
        <v>5</v>
      </c>
      <c r="W57" s="544">
        <v>10</v>
      </c>
      <c r="X57" s="544">
        <v>5</v>
      </c>
      <c r="Y57" s="544" t="s">
        <v>934</v>
      </c>
    </row>
    <row r="58" spans="3:25" x14ac:dyDescent="0.25">
      <c r="C58" s="88" t="str">
        <f>'G-1 All Habitats'!B57</f>
        <v>Urban - Allotments</v>
      </c>
      <c r="D58" s="544" t="s">
        <v>934</v>
      </c>
      <c r="E58" s="544" t="s">
        <v>934</v>
      </c>
      <c r="F58" s="544">
        <v>1</v>
      </c>
      <c r="G58" s="544">
        <v>1</v>
      </c>
      <c r="H58" s="544">
        <v>1</v>
      </c>
      <c r="I58" s="544">
        <v>1</v>
      </c>
      <c r="J58" s="544">
        <v>1</v>
      </c>
      <c r="K58" s="544" t="s">
        <v>934</v>
      </c>
      <c r="L58" s="544" t="s">
        <v>934</v>
      </c>
      <c r="M58" s="544" t="s">
        <v>934</v>
      </c>
      <c r="N58" s="544" t="s">
        <v>934</v>
      </c>
      <c r="O58" s="544">
        <v>1</v>
      </c>
      <c r="P58" s="544">
        <v>1</v>
      </c>
      <c r="Q58" s="544">
        <v>1</v>
      </c>
      <c r="R58" s="544">
        <v>1</v>
      </c>
      <c r="S58" s="544">
        <v>1</v>
      </c>
      <c r="T58" s="544">
        <v>1</v>
      </c>
      <c r="U58" s="544">
        <v>1</v>
      </c>
      <c r="V58" s="544">
        <v>1</v>
      </c>
      <c r="W58" s="544">
        <v>1</v>
      </c>
      <c r="X58" s="544">
        <v>1</v>
      </c>
      <c r="Y58" s="544" t="s">
        <v>934</v>
      </c>
    </row>
    <row r="59" spans="3:25" x14ac:dyDescent="0.25">
      <c r="C59" s="88" t="str">
        <f>'G-1 All Habitats'!B39</f>
        <v>Lakes - Ornamental lake or pond</v>
      </c>
      <c r="D59" s="544" t="s">
        <v>934</v>
      </c>
      <c r="E59" s="544" t="s">
        <v>934</v>
      </c>
      <c r="F59" s="544">
        <v>1</v>
      </c>
      <c r="G59" s="544">
        <v>2</v>
      </c>
      <c r="H59" s="544">
        <v>3</v>
      </c>
      <c r="I59" s="544">
        <v>4</v>
      </c>
      <c r="J59" s="544">
        <v>5</v>
      </c>
      <c r="K59" s="544" t="s">
        <v>934</v>
      </c>
      <c r="L59" s="544" t="s">
        <v>934</v>
      </c>
      <c r="M59" s="544" t="s">
        <v>934</v>
      </c>
      <c r="N59" s="544" t="s">
        <v>934</v>
      </c>
      <c r="O59" s="544">
        <v>2</v>
      </c>
      <c r="P59" s="544">
        <v>4</v>
      </c>
      <c r="Q59" s="544">
        <v>6</v>
      </c>
      <c r="R59" s="544">
        <v>8</v>
      </c>
      <c r="S59" s="544">
        <v>2</v>
      </c>
      <c r="T59" s="544">
        <v>4</v>
      </c>
      <c r="U59" s="544">
        <v>6</v>
      </c>
      <c r="V59" s="544">
        <v>2</v>
      </c>
      <c r="W59" s="544">
        <v>4</v>
      </c>
      <c r="X59" s="544">
        <v>2</v>
      </c>
      <c r="Y59" s="544" t="s">
        <v>934</v>
      </c>
    </row>
    <row r="60" spans="3:25" x14ac:dyDescent="0.25">
      <c r="C60" s="88" t="str">
        <f>'G-1 All Habitats'!B58</f>
        <v>Urban - Artificial unvegetated, unsealed surface</v>
      </c>
      <c r="D60" s="544" t="s">
        <v>934</v>
      </c>
      <c r="E60" s="544" t="s">
        <v>934</v>
      </c>
      <c r="F60" s="544" t="s">
        <v>934</v>
      </c>
      <c r="G60" s="544" t="s">
        <v>934</v>
      </c>
      <c r="H60" s="544" t="s">
        <v>934</v>
      </c>
      <c r="I60" s="544" t="s">
        <v>934</v>
      </c>
      <c r="J60" s="544" t="s">
        <v>934</v>
      </c>
      <c r="K60" s="544" t="s">
        <v>934</v>
      </c>
      <c r="L60" s="544" t="s">
        <v>934</v>
      </c>
      <c r="M60" s="544" t="s">
        <v>934</v>
      </c>
      <c r="N60" s="544" t="s">
        <v>934</v>
      </c>
      <c r="O60" s="544" t="s">
        <v>934</v>
      </c>
      <c r="P60" s="544" t="s">
        <v>934</v>
      </c>
      <c r="Q60" s="544" t="s">
        <v>934</v>
      </c>
      <c r="R60" s="544" t="s">
        <v>934</v>
      </c>
      <c r="S60" s="544" t="s">
        <v>934</v>
      </c>
      <c r="T60" s="544" t="s">
        <v>934</v>
      </c>
      <c r="U60" s="544" t="s">
        <v>934</v>
      </c>
      <c r="V60" s="544" t="s">
        <v>934</v>
      </c>
      <c r="W60" s="544" t="s">
        <v>934</v>
      </c>
      <c r="X60" s="544" t="s">
        <v>934</v>
      </c>
      <c r="Y60" s="544" t="s">
        <v>934</v>
      </c>
    </row>
    <row r="61" spans="3:25" x14ac:dyDescent="0.25">
      <c r="C61" s="88" t="str">
        <f>'G-1 All Habitats'!B59</f>
        <v>Urban - Bioswale</v>
      </c>
      <c r="D61" s="544" t="s">
        <v>934</v>
      </c>
      <c r="E61" s="544" t="s">
        <v>934</v>
      </c>
      <c r="F61" s="544">
        <v>1</v>
      </c>
      <c r="G61" s="544">
        <v>1</v>
      </c>
      <c r="H61" s="544">
        <v>1</v>
      </c>
      <c r="I61" s="544">
        <v>2</v>
      </c>
      <c r="J61" s="544">
        <v>3</v>
      </c>
      <c r="K61" s="544" t="s">
        <v>934</v>
      </c>
      <c r="L61" s="544" t="s">
        <v>934</v>
      </c>
      <c r="M61" s="544" t="s">
        <v>934</v>
      </c>
      <c r="N61" s="544" t="s">
        <v>934</v>
      </c>
      <c r="O61" s="544">
        <v>1</v>
      </c>
      <c r="P61" s="544">
        <v>2</v>
      </c>
      <c r="Q61" s="544">
        <v>2</v>
      </c>
      <c r="R61" s="544">
        <v>3</v>
      </c>
      <c r="S61" s="544">
        <v>1</v>
      </c>
      <c r="T61" s="544">
        <v>3</v>
      </c>
      <c r="U61" s="544">
        <v>3</v>
      </c>
      <c r="V61" s="544">
        <v>2</v>
      </c>
      <c r="W61" s="544">
        <v>2</v>
      </c>
      <c r="X61" s="544">
        <v>2</v>
      </c>
      <c r="Y61" s="544" t="s">
        <v>934</v>
      </c>
    </row>
    <row r="62" spans="3:25" x14ac:dyDescent="0.25">
      <c r="C62" s="88" t="str">
        <f>'G-1 All Habitats'!B60</f>
        <v>Urban - Intensive green roof</v>
      </c>
      <c r="D62" s="544" t="s">
        <v>934</v>
      </c>
      <c r="E62" s="544" t="s">
        <v>934</v>
      </c>
      <c r="F62" s="544">
        <v>1</v>
      </c>
      <c r="G62" s="544">
        <v>2</v>
      </c>
      <c r="H62" s="544">
        <v>3</v>
      </c>
      <c r="I62" s="544">
        <v>4</v>
      </c>
      <c r="J62" s="544">
        <v>5</v>
      </c>
      <c r="K62" s="544" t="s">
        <v>934</v>
      </c>
      <c r="L62" s="544" t="s">
        <v>934</v>
      </c>
      <c r="M62" s="544" t="s">
        <v>934</v>
      </c>
      <c r="N62" s="544" t="s">
        <v>934</v>
      </c>
      <c r="O62" s="544">
        <v>1</v>
      </c>
      <c r="P62" s="544">
        <v>2</v>
      </c>
      <c r="Q62" s="544">
        <v>3</v>
      </c>
      <c r="R62" s="544">
        <v>5</v>
      </c>
      <c r="S62" s="544">
        <v>1</v>
      </c>
      <c r="T62" s="544">
        <v>2</v>
      </c>
      <c r="U62" s="544">
        <v>3</v>
      </c>
      <c r="V62" s="544">
        <v>1</v>
      </c>
      <c r="W62" s="544">
        <v>2</v>
      </c>
      <c r="X62" s="544">
        <v>1</v>
      </c>
      <c r="Y62" s="544" t="s">
        <v>934</v>
      </c>
    </row>
    <row r="63" spans="3:25" x14ac:dyDescent="0.25">
      <c r="C63" s="88" t="str">
        <f>'G-1 All Habitats'!B61</f>
        <v>Urban - Built linear features</v>
      </c>
      <c r="D63" s="544" t="s">
        <v>934</v>
      </c>
      <c r="E63" s="544" t="s">
        <v>934</v>
      </c>
      <c r="F63" s="544" t="s">
        <v>934</v>
      </c>
      <c r="G63" s="544" t="s">
        <v>934</v>
      </c>
      <c r="H63" s="544" t="s">
        <v>934</v>
      </c>
      <c r="I63" s="544" t="s">
        <v>934</v>
      </c>
      <c r="J63" s="544" t="s">
        <v>934</v>
      </c>
      <c r="K63" s="544" t="s">
        <v>934</v>
      </c>
      <c r="L63" s="544" t="s">
        <v>934</v>
      </c>
      <c r="M63" s="544" t="s">
        <v>934</v>
      </c>
      <c r="N63" s="544" t="s">
        <v>934</v>
      </c>
      <c r="O63" s="544" t="s">
        <v>934</v>
      </c>
      <c r="P63" s="544" t="s">
        <v>934</v>
      </c>
      <c r="Q63" s="544" t="s">
        <v>934</v>
      </c>
      <c r="R63" s="544" t="s">
        <v>934</v>
      </c>
      <c r="S63" s="544" t="s">
        <v>934</v>
      </c>
      <c r="T63" s="544" t="s">
        <v>934</v>
      </c>
      <c r="U63" s="544" t="s">
        <v>934</v>
      </c>
      <c r="V63" s="544" t="s">
        <v>934</v>
      </c>
      <c r="W63" s="544" t="s">
        <v>934</v>
      </c>
      <c r="X63" s="544" t="s">
        <v>934</v>
      </c>
      <c r="Y63" s="544" t="s">
        <v>934</v>
      </c>
    </row>
    <row r="64" spans="3:25" x14ac:dyDescent="0.25">
      <c r="C64" s="88" t="str">
        <f>'G-1 All Habitats'!B62</f>
        <v>Urban - Cemeteries and churchyards</v>
      </c>
      <c r="D64" s="544" t="s">
        <v>934</v>
      </c>
      <c r="E64" s="544" t="s">
        <v>934</v>
      </c>
      <c r="F64" s="544">
        <v>10</v>
      </c>
      <c r="G64" s="544">
        <v>12</v>
      </c>
      <c r="H64" s="544">
        <v>15</v>
      </c>
      <c r="I64" s="544">
        <v>17</v>
      </c>
      <c r="J64" s="544">
        <v>20</v>
      </c>
      <c r="K64" s="544" t="s">
        <v>934</v>
      </c>
      <c r="L64" s="544" t="s">
        <v>934</v>
      </c>
      <c r="M64" s="544" t="s">
        <v>934</v>
      </c>
      <c r="N64" s="544" t="s">
        <v>934</v>
      </c>
      <c r="O64" s="544">
        <v>5</v>
      </c>
      <c r="P64" s="544">
        <v>10</v>
      </c>
      <c r="Q64" s="544">
        <v>15</v>
      </c>
      <c r="R64" s="544">
        <v>20</v>
      </c>
      <c r="S64" s="544">
        <v>10</v>
      </c>
      <c r="T64" s="544">
        <v>15</v>
      </c>
      <c r="U64" s="544">
        <v>20</v>
      </c>
      <c r="V64" s="544">
        <v>10</v>
      </c>
      <c r="W64" s="544">
        <v>15</v>
      </c>
      <c r="X64" s="544">
        <v>5</v>
      </c>
      <c r="Y64" s="544" t="s">
        <v>934</v>
      </c>
    </row>
    <row r="65" spans="3:25" x14ac:dyDescent="0.25">
      <c r="C65" s="88" t="str">
        <f>'G-1 All Habitats'!B63</f>
        <v>Urban - Developed land; sealed surface</v>
      </c>
      <c r="D65" s="544" t="s">
        <v>934</v>
      </c>
      <c r="E65" s="544" t="s">
        <v>934</v>
      </c>
      <c r="F65" s="544" t="s">
        <v>934</v>
      </c>
      <c r="G65" s="544" t="s">
        <v>934</v>
      </c>
      <c r="H65" s="544" t="s">
        <v>934</v>
      </c>
      <c r="I65" s="544" t="s">
        <v>934</v>
      </c>
      <c r="J65" s="544" t="s">
        <v>934</v>
      </c>
      <c r="K65" s="544" t="s">
        <v>934</v>
      </c>
      <c r="L65" s="544" t="s">
        <v>934</v>
      </c>
      <c r="M65" s="544" t="s">
        <v>934</v>
      </c>
      <c r="N65" s="544" t="s">
        <v>934</v>
      </c>
      <c r="O65" s="544" t="s">
        <v>934</v>
      </c>
      <c r="P65" s="544" t="s">
        <v>934</v>
      </c>
      <c r="Q65" s="544" t="s">
        <v>934</v>
      </c>
      <c r="R65" s="544" t="s">
        <v>934</v>
      </c>
      <c r="S65" s="544" t="s">
        <v>934</v>
      </c>
      <c r="T65" s="544" t="s">
        <v>934</v>
      </c>
      <c r="U65" s="544" t="s">
        <v>934</v>
      </c>
      <c r="V65" s="544" t="s">
        <v>934</v>
      </c>
      <c r="W65" s="544" t="s">
        <v>934</v>
      </c>
      <c r="X65" s="544" t="s">
        <v>934</v>
      </c>
      <c r="Y65" s="544" t="s">
        <v>934</v>
      </c>
    </row>
    <row r="66" spans="3:25" x14ac:dyDescent="0.25">
      <c r="C66" s="88" t="str">
        <f>'G-1 All Habitats'!B64</f>
        <v>Urban - Other green roof</v>
      </c>
      <c r="D66" s="544" t="s">
        <v>934</v>
      </c>
      <c r="E66" s="544" t="s">
        <v>934</v>
      </c>
      <c r="F66" s="544" t="s">
        <v>934</v>
      </c>
      <c r="G66" s="544" t="s">
        <v>934</v>
      </c>
      <c r="H66" s="544" t="s">
        <v>934</v>
      </c>
      <c r="I66" s="544" t="s">
        <v>934</v>
      </c>
      <c r="J66" s="544" t="s">
        <v>934</v>
      </c>
      <c r="K66" s="544" t="s">
        <v>934</v>
      </c>
      <c r="L66" s="544" t="s">
        <v>934</v>
      </c>
      <c r="M66" s="544" t="s">
        <v>934</v>
      </c>
      <c r="N66" s="544" t="s">
        <v>934</v>
      </c>
      <c r="O66" s="544" t="s">
        <v>934</v>
      </c>
      <c r="P66" s="544" t="s">
        <v>934</v>
      </c>
      <c r="Q66" s="544" t="s">
        <v>934</v>
      </c>
      <c r="R66" s="544" t="s">
        <v>934</v>
      </c>
      <c r="S66" s="544" t="s">
        <v>934</v>
      </c>
      <c r="T66" s="544" t="s">
        <v>934</v>
      </c>
      <c r="U66" s="544" t="s">
        <v>934</v>
      </c>
      <c r="V66" s="544" t="s">
        <v>934</v>
      </c>
      <c r="W66" s="544" t="s">
        <v>934</v>
      </c>
      <c r="X66" s="544" t="s">
        <v>934</v>
      </c>
      <c r="Y66" s="544" t="s">
        <v>934</v>
      </c>
    </row>
    <row r="67" spans="3:25" x14ac:dyDescent="0.25">
      <c r="C67" s="88" t="str">
        <f>'G-1 All Habitats'!B65</f>
        <v>Urban - Facade-bound green wall</v>
      </c>
      <c r="D67" s="544" t="s">
        <v>934</v>
      </c>
      <c r="E67" s="544" t="s">
        <v>934</v>
      </c>
      <c r="F67" s="544">
        <v>1</v>
      </c>
      <c r="G67" s="544">
        <v>2</v>
      </c>
      <c r="H67" s="544">
        <v>3</v>
      </c>
      <c r="I67" s="544">
        <v>4</v>
      </c>
      <c r="J67" s="544">
        <v>5</v>
      </c>
      <c r="K67" s="544" t="s">
        <v>934</v>
      </c>
      <c r="L67" s="544" t="s">
        <v>934</v>
      </c>
      <c r="M67" s="544" t="s">
        <v>934</v>
      </c>
      <c r="N67" s="544" t="s">
        <v>934</v>
      </c>
      <c r="O67" s="544">
        <v>1</v>
      </c>
      <c r="P67" s="544">
        <v>2</v>
      </c>
      <c r="Q67" s="544">
        <v>3</v>
      </c>
      <c r="R67" s="544">
        <v>5</v>
      </c>
      <c r="S67" s="544">
        <v>1</v>
      </c>
      <c r="T67" s="544">
        <v>2</v>
      </c>
      <c r="U67" s="544">
        <v>3</v>
      </c>
      <c r="V67" s="544">
        <v>1</v>
      </c>
      <c r="W67" s="544">
        <v>2</v>
      </c>
      <c r="X67" s="544">
        <v>1</v>
      </c>
      <c r="Y67" s="544" t="s">
        <v>934</v>
      </c>
    </row>
    <row r="68" spans="3:25" x14ac:dyDescent="0.25">
      <c r="C68" s="88" t="str">
        <f>'G-1 All Habitats'!B66</f>
        <v>Urban - Ground based green wall</v>
      </c>
      <c r="D68" s="544" t="s">
        <v>934</v>
      </c>
      <c r="E68" s="544" t="s">
        <v>934</v>
      </c>
      <c r="F68" s="544">
        <v>1</v>
      </c>
      <c r="G68" s="544">
        <v>2</v>
      </c>
      <c r="H68" s="544">
        <v>3</v>
      </c>
      <c r="I68" s="544">
        <v>4</v>
      </c>
      <c r="J68" s="544">
        <v>5</v>
      </c>
      <c r="K68" s="544" t="s">
        <v>934</v>
      </c>
      <c r="L68" s="544" t="s">
        <v>934</v>
      </c>
      <c r="M68" s="544" t="s">
        <v>934</v>
      </c>
      <c r="N68" s="544" t="s">
        <v>934</v>
      </c>
      <c r="O68" s="544">
        <v>1</v>
      </c>
      <c r="P68" s="544">
        <v>2</v>
      </c>
      <c r="Q68" s="544">
        <v>3</v>
      </c>
      <c r="R68" s="544">
        <v>5</v>
      </c>
      <c r="S68" s="544">
        <v>1</v>
      </c>
      <c r="T68" s="544">
        <v>2</v>
      </c>
      <c r="U68" s="544">
        <v>3</v>
      </c>
      <c r="V68" s="544">
        <v>1</v>
      </c>
      <c r="W68" s="544">
        <v>2</v>
      </c>
      <c r="X68" s="544">
        <v>1</v>
      </c>
      <c r="Y68" s="544" t="s">
        <v>934</v>
      </c>
    </row>
    <row r="69" spans="3:25" x14ac:dyDescent="0.25">
      <c r="C69" s="88" t="str">
        <f>'G-1 All Habitats'!B67</f>
        <v>Urban - Ground level planters</v>
      </c>
      <c r="D69" s="544" t="s">
        <v>934</v>
      </c>
      <c r="E69" s="544" t="s">
        <v>934</v>
      </c>
      <c r="F69" s="544" t="s">
        <v>934</v>
      </c>
      <c r="G69" s="544" t="s">
        <v>934</v>
      </c>
      <c r="H69" s="544" t="s">
        <v>934</v>
      </c>
      <c r="I69" s="544" t="s">
        <v>934</v>
      </c>
      <c r="J69" s="544" t="s">
        <v>934</v>
      </c>
      <c r="K69" s="544" t="s">
        <v>934</v>
      </c>
      <c r="L69" s="544" t="s">
        <v>934</v>
      </c>
      <c r="M69" s="544" t="s">
        <v>934</v>
      </c>
      <c r="N69" s="544" t="s">
        <v>934</v>
      </c>
      <c r="O69" s="544" t="s">
        <v>934</v>
      </c>
      <c r="P69" s="544" t="s">
        <v>934</v>
      </c>
      <c r="Q69" s="544" t="s">
        <v>934</v>
      </c>
      <c r="R69" s="544" t="s">
        <v>934</v>
      </c>
      <c r="S69" s="544" t="s">
        <v>934</v>
      </c>
      <c r="T69" s="544" t="s">
        <v>934</v>
      </c>
      <c r="U69" s="544" t="s">
        <v>934</v>
      </c>
      <c r="V69" s="544" t="s">
        <v>934</v>
      </c>
      <c r="W69" s="544" t="s">
        <v>934</v>
      </c>
      <c r="X69" s="544" t="s">
        <v>934</v>
      </c>
      <c r="Y69" s="544" t="s">
        <v>934</v>
      </c>
    </row>
    <row r="70" spans="3:25" x14ac:dyDescent="0.25">
      <c r="C70" s="88" t="str">
        <f>'G-1 All Habitats'!B68</f>
        <v>Urban - Biodiverse green roof</v>
      </c>
      <c r="D70" s="544" t="s">
        <v>934</v>
      </c>
      <c r="E70" s="544" t="s">
        <v>934</v>
      </c>
      <c r="F70" s="544">
        <v>1</v>
      </c>
      <c r="G70" s="544">
        <v>3</v>
      </c>
      <c r="H70" s="544">
        <v>5</v>
      </c>
      <c r="I70" s="544">
        <v>8</v>
      </c>
      <c r="J70" s="544">
        <v>10</v>
      </c>
      <c r="K70" s="544" t="s">
        <v>934</v>
      </c>
      <c r="L70" s="544" t="s">
        <v>934</v>
      </c>
      <c r="M70" s="544" t="s">
        <v>934</v>
      </c>
      <c r="N70" s="544" t="s">
        <v>934</v>
      </c>
      <c r="O70" s="544">
        <v>3</v>
      </c>
      <c r="P70" s="544">
        <v>5</v>
      </c>
      <c r="Q70" s="544">
        <v>8</v>
      </c>
      <c r="R70" s="544">
        <v>10</v>
      </c>
      <c r="S70" s="544">
        <v>3</v>
      </c>
      <c r="T70" s="544">
        <v>8</v>
      </c>
      <c r="U70" s="544">
        <v>8</v>
      </c>
      <c r="V70" s="544">
        <v>3</v>
      </c>
      <c r="W70" s="544">
        <v>5</v>
      </c>
      <c r="X70" s="544">
        <v>2</v>
      </c>
      <c r="Y70" s="544" t="s">
        <v>934</v>
      </c>
    </row>
    <row r="71" spans="3:25" x14ac:dyDescent="0.25">
      <c r="C71" s="88" t="str">
        <f>'G-1 All Habitats'!B69</f>
        <v>Urban - Introduced shrub</v>
      </c>
      <c r="D71" s="544" t="s">
        <v>934</v>
      </c>
      <c r="E71" s="544" t="s">
        <v>934</v>
      </c>
      <c r="F71" s="544" t="s">
        <v>934</v>
      </c>
      <c r="G71" s="544" t="s">
        <v>934</v>
      </c>
      <c r="H71" s="544" t="s">
        <v>934</v>
      </c>
      <c r="I71" s="544" t="s">
        <v>934</v>
      </c>
      <c r="J71" s="544" t="s">
        <v>934</v>
      </c>
      <c r="K71" s="544" t="s">
        <v>934</v>
      </c>
      <c r="L71" s="544" t="s">
        <v>934</v>
      </c>
      <c r="M71" s="544" t="s">
        <v>934</v>
      </c>
      <c r="N71" s="544" t="s">
        <v>934</v>
      </c>
      <c r="O71" s="544" t="s">
        <v>934</v>
      </c>
      <c r="P71" s="544" t="s">
        <v>934</v>
      </c>
      <c r="Q71" s="544" t="s">
        <v>934</v>
      </c>
      <c r="R71" s="544" t="s">
        <v>934</v>
      </c>
      <c r="S71" s="544" t="s">
        <v>934</v>
      </c>
      <c r="T71" s="544" t="s">
        <v>934</v>
      </c>
      <c r="U71" s="544" t="s">
        <v>934</v>
      </c>
      <c r="V71" s="544" t="s">
        <v>934</v>
      </c>
      <c r="W71" s="544" t="s">
        <v>934</v>
      </c>
      <c r="X71" s="544" t="s">
        <v>934</v>
      </c>
      <c r="Y71" s="544" t="s">
        <v>934</v>
      </c>
    </row>
    <row r="72" spans="3:25" x14ac:dyDescent="0.25">
      <c r="C72" s="88" t="str">
        <f>'G-1 All Habitats'!B70</f>
        <v>Urban - Open Mosaic Habitats on Previously Developed Land</v>
      </c>
      <c r="D72" s="544" t="s">
        <v>934</v>
      </c>
      <c r="E72" s="544" t="s">
        <v>934</v>
      </c>
      <c r="F72" s="544">
        <v>0</v>
      </c>
      <c r="G72" s="544">
        <v>2</v>
      </c>
      <c r="H72" s="544">
        <v>4</v>
      </c>
      <c r="I72" s="544">
        <v>7</v>
      </c>
      <c r="J72" s="544">
        <v>10</v>
      </c>
      <c r="K72" s="544" t="s">
        <v>934</v>
      </c>
      <c r="L72" s="544" t="s">
        <v>934</v>
      </c>
      <c r="M72" s="544" t="s">
        <v>934</v>
      </c>
      <c r="N72" s="544" t="s">
        <v>934</v>
      </c>
      <c r="O72" s="544">
        <v>2</v>
      </c>
      <c r="P72" s="544">
        <v>4</v>
      </c>
      <c r="Q72" s="544">
        <v>7</v>
      </c>
      <c r="R72" s="544">
        <v>10</v>
      </c>
      <c r="S72" s="544">
        <v>2</v>
      </c>
      <c r="T72" s="544">
        <v>5</v>
      </c>
      <c r="U72" s="544">
        <v>8</v>
      </c>
      <c r="V72" s="544">
        <v>3</v>
      </c>
      <c r="W72" s="544">
        <v>4</v>
      </c>
      <c r="X72" s="544">
        <v>3</v>
      </c>
      <c r="Y72" s="544" t="s">
        <v>934</v>
      </c>
    </row>
    <row r="73" spans="3:25" x14ac:dyDescent="0.25">
      <c r="C73" s="88" t="str">
        <f>'G-1 All Habitats'!B71</f>
        <v>Urban - Rain garden</v>
      </c>
      <c r="D73" s="544" t="s">
        <v>934</v>
      </c>
      <c r="E73" s="544" t="s">
        <v>934</v>
      </c>
      <c r="F73" s="544">
        <v>1</v>
      </c>
      <c r="G73" s="544">
        <v>1</v>
      </c>
      <c r="H73" s="544">
        <v>1</v>
      </c>
      <c r="I73" s="544">
        <v>1</v>
      </c>
      <c r="J73" s="544">
        <v>1</v>
      </c>
      <c r="K73" s="544" t="s">
        <v>934</v>
      </c>
      <c r="L73" s="544" t="s">
        <v>934</v>
      </c>
      <c r="M73" s="544" t="s">
        <v>934</v>
      </c>
      <c r="N73" s="544" t="s">
        <v>934</v>
      </c>
      <c r="O73" s="544">
        <v>1</v>
      </c>
      <c r="P73" s="544">
        <v>1</v>
      </c>
      <c r="Q73" s="544">
        <v>1</v>
      </c>
      <c r="R73" s="544">
        <v>1</v>
      </c>
      <c r="S73" s="544">
        <v>1</v>
      </c>
      <c r="T73" s="544">
        <v>1</v>
      </c>
      <c r="U73" s="544">
        <v>1</v>
      </c>
      <c r="V73" s="544">
        <v>1</v>
      </c>
      <c r="W73" s="544">
        <v>1</v>
      </c>
      <c r="X73" s="544">
        <v>1</v>
      </c>
      <c r="Y73" s="544" t="s">
        <v>934</v>
      </c>
    </row>
    <row r="74" spans="3:25" x14ac:dyDescent="0.25">
      <c r="C74" s="88" t="str">
        <f>'G-1 All Habitats'!B72</f>
        <v>Urban - Actively worked sand pit quarry or open cast mine</v>
      </c>
      <c r="D74" s="544" t="s">
        <v>934</v>
      </c>
      <c r="E74" s="544" t="s">
        <v>934</v>
      </c>
      <c r="F74" s="544">
        <v>1</v>
      </c>
      <c r="G74" s="544" t="s">
        <v>934</v>
      </c>
      <c r="H74" s="544" t="s">
        <v>934</v>
      </c>
      <c r="I74" s="544" t="s">
        <v>934</v>
      </c>
      <c r="J74" s="544" t="s">
        <v>934</v>
      </c>
      <c r="K74" s="544" t="s">
        <v>934</v>
      </c>
      <c r="L74" s="544" t="s">
        <v>934</v>
      </c>
      <c r="M74" s="544" t="s">
        <v>934</v>
      </c>
      <c r="N74" s="544" t="s">
        <v>934</v>
      </c>
      <c r="O74" s="544" t="s">
        <v>934</v>
      </c>
      <c r="P74" s="544" t="s">
        <v>934</v>
      </c>
      <c r="Q74" s="544" t="s">
        <v>934</v>
      </c>
      <c r="R74" s="544" t="s">
        <v>934</v>
      </c>
      <c r="S74" s="544" t="s">
        <v>934</v>
      </c>
      <c r="T74" s="544" t="s">
        <v>934</v>
      </c>
      <c r="U74" s="544" t="s">
        <v>934</v>
      </c>
      <c r="V74" s="544" t="s">
        <v>934</v>
      </c>
      <c r="W74" s="544" t="s">
        <v>934</v>
      </c>
      <c r="X74" s="544" t="s">
        <v>934</v>
      </c>
      <c r="Y74" s="544" t="s">
        <v>934</v>
      </c>
    </row>
    <row r="75" spans="3:25" x14ac:dyDescent="0.25">
      <c r="C75" s="88" t="str">
        <f>'G-1 All Habitats'!B73</f>
        <v>Urban - Urban Tree</v>
      </c>
      <c r="D75" s="544" t="s">
        <v>934</v>
      </c>
      <c r="E75" s="544" t="s">
        <v>934</v>
      </c>
      <c r="F75" s="544" t="s">
        <v>934</v>
      </c>
      <c r="G75" s="544" t="s">
        <v>934</v>
      </c>
      <c r="H75" s="544" t="s">
        <v>934</v>
      </c>
      <c r="I75" s="544" t="s">
        <v>934</v>
      </c>
      <c r="J75" s="544" t="s">
        <v>934</v>
      </c>
      <c r="K75" s="544" t="s">
        <v>934</v>
      </c>
      <c r="L75" s="544" t="s">
        <v>934</v>
      </c>
      <c r="M75" s="544" t="s">
        <v>934</v>
      </c>
      <c r="N75" s="544" t="s">
        <v>934</v>
      </c>
      <c r="O75" s="544">
        <v>8</v>
      </c>
      <c r="P75" s="544">
        <v>16</v>
      </c>
      <c r="Q75" s="544">
        <v>24</v>
      </c>
      <c r="R75" s="544" t="s">
        <v>935</v>
      </c>
      <c r="S75" s="544">
        <v>8</v>
      </c>
      <c r="T75" s="544">
        <v>16</v>
      </c>
      <c r="U75" s="544">
        <v>24</v>
      </c>
      <c r="V75" s="544">
        <v>8</v>
      </c>
      <c r="W75" s="544">
        <v>16</v>
      </c>
      <c r="X75" s="544">
        <v>8</v>
      </c>
      <c r="Y75" s="544" t="s">
        <v>934</v>
      </c>
    </row>
    <row r="76" spans="3:25" x14ac:dyDescent="0.25">
      <c r="C76" s="88" t="str">
        <f>'G-1 All Habitats'!B74</f>
        <v>Urban - Sustainable urban drainage feature</v>
      </c>
      <c r="D76" s="544" t="s">
        <v>934</v>
      </c>
      <c r="E76" s="544" t="s">
        <v>934</v>
      </c>
      <c r="F76" s="544">
        <v>1</v>
      </c>
      <c r="G76" s="544">
        <v>2</v>
      </c>
      <c r="H76" s="544">
        <v>3</v>
      </c>
      <c r="I76" s="544">
        <v>4</v>
      </c>
      <c r="J76" s="544">
        <v>5</v>
      </c>
      <c r="K76" s="544" t="s">
        <v>934</v>
      </c>
      <c r="L76" s="544" t="s">
        <v>934</v>
      </c>
      <c r="M76" s="544" t="s">
        <v>934</v>
      </c>
      <c r="N76" s="544" t="s">
        <v>934</v>
      </c>
      <c r="O76" s="544">
        <v>1</v>
      </c>
      <c r="P76" s="544">
        <v>2</v>
      </c>
      <c r="Q76" s="544">
        <v>3</v>
      </c>
      <c r="R76" s="544">
        <v>5</v>
      </c>
      <c r="S76" s="544">
        <v>1</v>
      </c>
      <c r="T76" s="544">
        <v>2</v>
      </c>
      <c r="U76" s="544">
        <v>3</v>
      </c>
      <c r="V76" s="544">
        <v>1</v>
      </c>
      <c r="W76" s="544">
        <v>2</v>
      </c>
      <c r="X76" s="544">
        <v>1</v>
      </c>
      <c r="Y76" s="544" t="s">
        <v>934</v>
      </c>
    </row>
    <row r="77" spans="3:25" x14ac:dyDescent="0.25">
      <c r="C77" s="88" t="str">
        <f>'G-1 All Habitats'!B75</f>
        <v>Urban - Un-vegetated garden</v>
      </c>
      <c r="D77" s="544" t="s">
        <v>934</v>
      </c>
      <c r="E77" s="544" t="s">
        <v>934</v>
      </c>
      <c r="F77" s="544" t="s">
        <v>934</v>
      </c>
      <c r="G77" s="544" t="s">
        <v>934</v>
      </c>
      <c r="H77" s="544" t="s">
        <v>934</v>
      </c>
      <c r="I77" s="544" t="s">
        <v>934</v>
      </c>
      <c r="J77" s="544" t="s">
        <v>934</v>
      </c>
      <c r="K77" s="544" t="s">
        <v>934</v>
      </c>
      <c r="L77" s="544" t="s">
        <v>934</v>
      </c>
      <c r="M77" s="544" t="s">
        <v>934</v>
      </c>
      <c r="N77" s="544" t="s">
        <v>934</v>
      </c>
      <c r="O77" s="544" t="s">
        <v>934</v>
      </c>
      <c r="P77" s="544" t="s">
        <v>934</v>
      </c>
      <c r="Q77" s="544" t="s">
        <v>934</v>
      </c>
      <c r="R77" s="544" t="s">
        <v>934</v>
      </c>
      <c r="S77" s="544" t="s">
        <v>934</v>
      </c>
      <c r="T77" s="544" t="s">
        <v>934</v>
      </c>
      <c r="U77" s="544" t="s">
        <v>934</v>
      </c>
      <c r="V77" s="544" t="s">
        <v>934</v>
      </c>
      <c r="W77" s="544" t="s">
        <v>934</v>
      </c>
      <c r="X77" s="544" t="s">
        <v>934</v>
      </c>
      <c r="Y77" s="544" t="s">
        <v>934</v>
      </c>
    </row>
    <row r="78" spans="3:25" x14ac:dyDescent="0.25">
      <c r="C78" s="88" t="str">
        <f>'G-1 All Habitats'!B76</f>
        <v>Urban - Vacant/derelict land/ bareground</v>
      </c>
      <c r="D78" s="544" t="s">
        <v>934</v>
      </c>
      <c r="E78" s="544" t="s">
        <v>934</v>
      </c>
      <c r="F78" s="544">
        <v>1</v>
      </c>
      <c r="G78" s="544">
        <v>1</v>
      </c>
      <c r="H78" s="544">
        <v>1</v>
      </c>
      <c r="I78" s="544">
        <v>1</v>
      </c>
      <c r="J78" s="544">
        <v>1</v>
      </c>
      <c r="K78" s="544" t="s">
        <v>934</v>
      </c>
      <c r="L78" s="544" t="s">
        <v>934</v>
      </c>
      <c r="M78" s="544" t="s">
        <v>934</v>
      </c>
      <c r="N78" s="544" t="s">
        <v>934</v>
      </c>
      <c r="O78" s="544">
        <v>1</v>
      </c>
      <c r="P78" s="544">
        <v>1</v>
      </c>
      <c r="Q78" s="544">
        <v>1</v>
      </c>
      <c r="R78" s="544">
        <v>1</v>
      </c>
      <c r="S78" s="544">
        <v>1</v>
      </c>
      <c r="T78" s="544">
        <v>1</v>
      </c>
      <c r="U78" s="544">
        <v>1</v>
      </c>
      <c r="V78" s="544">
        <v>1</v>
      </c>
      <c r="W78" s="544">
        <v>1</v>
      </c>
      <c r="X78" s="544">
        <v>1</v>
      </c>
      <c r="Y78" s="544" t="s">
        <v>934</v>
      </c>
    </row>
    <row r="79" spans="3:25" x14ac:dyDescent="0.25">
      <c r="C79" s="88" t="str">
        <f>'G-1 All Habitats'!B77</f>
        <v>Urban - Vegetated garden</v>
      </c>
      <c r="D79" s="544" t="s">
        <v>934</v>
      </c>
      <c r="E79" s="544" t="s">
        <v>934</v>
      </c>
      <c r="F79" s="544">
        <v>1</v>
      </c>
      <c r="G79" s="544">
        <v>2</v>
      </c>
      <c r="H79" s="544">
        <v>3</v>
      </c>
      <c r="I79" s="544">
        <v>4</v>
      </c>
      <c r="J79" s="544">
        <v>5</v>
      </c>
      <c r="K79" s="544" t="s">
        <v>934</v>
      </c>
      <c r="L79" s="544" t="s">
        <v>934</v>
      </c>
      <c r="M79" s="544" t="s">
        <v>934</v>
      </c>
      <c r="N79" s="544" t="s">
        <v>934</v>
      </c>
      <c r="O79" s="544">
        <v>1</v>
      </c>
      <c r="P79" s="544">
        <v>2</v>
      </c>
      <c r="Q79" s="544">
        <v>3</v>
      </c>
      <c r="R79" s="544">
        <v>5</v>
      </c>
      <c r="S79" s="544">
        <v>1</v>
      </c>
      <c r="T79" s="544">
        <v>2</v>
      </c>
      <c r="U79" s="544">
        <v>3</v>
      </c>
      <c r="V79" s="544">
        <v>1</v>
      </c>
      <c r="W79" s="544">
        <v>2</v>
      </c>
      <c r="X79" s="544">
        <v>1</v>
      </c>
      <c r="Y79" s="544" t="s">
        <v>934</v>
      </c>
    </row>
    <row r="80" spans="3:25" x14ac:dyDescent="0.25">
      <c r="C80" s="88" t="str">
        <f>'G-1 All Habitats'!B78</f>
        <v>Wetland - Blanket bog</v>
      </c>
      <c r="D80" s="544" t="s">
        <v>934</v>
      </c>
      <c r="E80" s="544" t="s">
        <v>934</v>
      </c>
      <c r="F80" s="544">
        <v>15</v>
      </c>
      <c r="G80" s="544">
        <v>25</v>
      </c>
      <c r="H80" s="544">
        <v>30</v>
      </c>
      <c r="I80" s="544" t="s">
        <v>935</v>
      </c>
      <c r="J80" s="544" t="s">
        <v>935</v>
      </c>
      <c r="K80" s="544" t="s">
        <v>934</v>
      </c>
      <c r="L80" s="544" t="s">
        <v>934</v>
      </c>
      <c r="M80" s="544" t="s">
        <v>934</v>
      </c>
      <c r="N80" s="544" t="s">
        <v>934</v>
      </c>
      <c r="O80" s="544">
        <v>10</v>
      </c>
      <c r="P80" s="544">
        <v>20</v>
      </c>
      <c r="Q80" s="544" t="s">
        <v>935</v>
      </c>
      <c r="R80" s="544">
        <v>30</v>
      </c>
      <c r="S80" s="544">
        <v>10</v>
      </c>
      <c r="T80" s="544" t="s">
        <v>935</v>
      </c>
      <c r="U80" s="544" t="s">
        <v>935</v>
      </c>
      <c r="V80" s="544">
        <v>30</v>
      </c>
      <c r="W80" s="544" t="s">
        <v>935</v>
      </c>
      <c r="X80" s="544">
        <v>30</v>
      </c>
      <c r="Y80" s="544" t="s">
        <v>934</v>
      </c>
    </row>
    <row r="81" spans="3:25" x14ac:dyDescent="0.25">
      <c r="C81" s="88" t="str">
        <f>'G-1 All Habitats'!B79</f>
        <v>Wetland - Depressions on Peat substrates (H7150)</v>
      </c>
      <c r="D81" s="544" t="s">
        <v>934</v>
      </c>
      <c r="E81" s="544" t="s">
        <v>934</v>
      </c>
      <c r="F81" s="544">
        <v>15</v>
      </c>
      <c r="G81" s="544">
        <v>25</v>
      </c>
      <c r="H81" s="544">
        <v>30</v>
      </c>
      <c r="I81" s="544" t="s">
        <v>935</v>
      </c>
      <c r="J81" s="544" t="s">
        <v>935</v>
      </c>
      <c r="K81" s="544" t="s">
        <v>934</v>
      </c>
      <c r="L81" s="544" t="s">
        <v>934</v>
      </c>
      <c r="M81" s="544" t="s">
        <v>934</v>
      </c>
      <c r="N81" s="544" t="s">
        <v>934</v>
      </c>
      <c r="O81" s="544">
        <v>10</v>
      </c>
      <c r="P81" s="544">
        <v>20</v>
      </c>
      <c r="Q81" s="544">
        <v>25</v>
      </c>
      <c r="R81" s="544">
        <v>30</v>
      </c>
      <c r="S81" s="544">
        <v>10</v>
      </c>
      <c r="T81" s="544">
        <v>20</v>
      </c>
      <c r="U81" s="544">
        <v>25</v>
      </c>
      <c r="V81" s="544">
        <v>10</v>
      </c>
      <c r="W81" s="544">
        <v>20</v>
      </c>
      <c r="X81" s="544">
        <v>10</v>
      </c>
      <c r="Y81" s="544" t="s">
        <v>934</v>
      </c>
    </row>
    <row r="82" spans="3:25" x14ac:dyDescent="0.25">
      <c r="C82" s="88" t="str">
        <f>'G-1 All Habitats'!B80</f>
        <v>Wetland - Fens (upland and lowland)</v>
      </c>
      <c r="D82" s="544" t="s">
        <v>934</v>
      </c>
      <c r="E82" s="544" t="s">
        <v>934</v>
      </c>
      <c r="F82" s="544">
        <v>10</v>
      </c>
      <c r="G82" s="544">
        <v>12</v>
      </c>
      <c r="H82" s="544">
        <v>15</v>
      </c>
      <c r="I82" s="544">
        <v>25</v>
      </c>
      <c r="J82" s="544">
        <v>30</v>
      </c>
      <c r="K82" s="544" t="s">
        <v>934</v>
      </c>
      <c r="L82" s="544" t="s">
        <v>934</v>
      </c>
      <c r="M82" s="544" t="s">
        <v>934</v>
      </c>
      <c r="N82" s="544" t="s">
        <v>934</v>
      </c>
      <c r="O82" s="544">
        <v>10</v>
      </c>
      <c r="P82" s="544">
        <v>12</v>
      </c>
      <c r="Q82" s="544">
        <v>15</v>
      </c>
      <c r="R82" s="544">
        <v>18</v>
      </c>
      <c r="S82" s="544">
        <v>10</v>
      </c>
      <c r="T82" s="544">
        <v>12</v>
      </c>
      <c r="U82" s="544">
        <v>15</v>
      </c>
      <c r="V82" s="544">
        <v>10</v>
      </c>
      <c r="W82" s="544">
        <v>12</v>
      </c>
      <c r="X82" s="544">
        <v>10</v>
      </c>
      <c r="Y82" s="544" t="s">
        <v>934</v>
      </c>
    </row>
    <row r="83" spans="3:25" x14ac:dyDescent="0.25">
      <c r="C83" s="88" t="str">
        <f>'G-1 All Habitats'!B81</f>
        <v>Wetland - Lowland raised bog</v>
      </c>
      <c r="D83" s="544" t="s">
        <v>934</v>
      </c>
      <c r="E83" s="544" t="s">
        <v>934</v>
      </c>
      <c r="F83" s="544">
        <v>15</v>
      </c>
      <c r="G83" s="544">
        <v>20</v>
      </c>
      <c r="H83" s="544">
        <v>30</v>
      </c>
      <c r="I83" s="544" t="s">
        <v>935</v>
      </c>
      <c r="J83" s="544" t="s">
        <v>935</v>
      </c>
      <c r="K83" s="544" t="s">
        <v>934</v>
      </c>
      <c r="L83" s="544" t="s">
        <v>934</v>
      </c>
      <c r="M83" s="544" t="s">
        <v>934</v>
      </c>
      <c r="N83" s="544" t="s">
        <v>934</v>
      </c>
      <c r="O83" s="544">
        <v>10</v>
      </c>
      <c r="P83" s="544">
        <v>20</v>
      </c>
      <c r="Q83" s="544">
        <v>25</v>
      </c>
      <c r="R83" s="544">
        <v>30</v>
      </c>
      <c r="S83" s="544">
        <v>10</v>
      </c>
      <c r="T83" s="544">
        <v>20</v>
      </c>
      <c r="U83" s="544">
        <v>20</v>
      </c>
      <c r="V83" s="544">
        <v>10</v>
      </c>
      <c r="W83" s="544">
        <v>15</v>
      </c>
      <c r="X83" s="544">
        <v>10</v>
      </c>
      <c r="Y83" s="544" t="s">
        <v>934</v>
      </c>
    </row>
    <row r="84" spans="3:25" x14ac:dyDescent="0.25">
      <c r="C84" s="88" t="str">
        <f>'G-1 All Habitats'!B82</f>
        <v>Wetland - Oceanic Valley Mire[1] (D2.1)</v>
      </c>
      <c r="D84" s="544" t="s">
        <v>934</v>
      </c>
      <c r="E84" s="544" t="s">
        <v>934</v>
      </c>
      <c r="F84" s="544">
        <v>15</v>
      </c>
      <c r="G84" s="544">
        <v>20</v>
      </c>
      <c r="H84" s="544">
        <v>30</v>
      </c>
      <c r="I84" s="544" t="s">
        <v>935</v>
      </c>
      <c r="J84" s="544" t="s">
        <v>935</v>
      </c>
      <c r="K84" s="544" t="s">
        <v>934</v>
      </c>
      <c r="L84" s="544" t="s">
        <v>934</v>
      </c>
      <c r="M84" s="544" t="s">
        <v>934</v>
      </c>
      <c r="N84" s="544" t="s">
        <v>934</v>
      </c>
      <c r="O84" s="544">
        <v>10</v>
      </c>
      <c r="P84" s="544">
        <v>20</v>
      </c>
      <c r="Q84" s="544">
        <v>25</v>
      </c>
      <c r="R84" s="544">
        <v>30</v>
      </c>
      <c r="S84" s="544">
        <v>10</v>
      </c>
      <c r="T84" s="544">
        <v>20</v>
      </c>
      <c r="U84" s="544">
        <v>20</v>
      </c>
      <c r="V84" s="544">
        <v>10</v>
      </c>
      <c r="W84" s="544">
        <v>15</v>
      </c>
      <c r="X84" s="544">
        <v>10</v>
      </c>
      <c r="Y84" s="544" t="s">
        <v>934</v>
      </c>
    </row>
    <row r="85" spans="3:25" x14ac:dyDescent="0.25">
      <c r="C85" s="88" t="str">
        <f>'G-1 All Habitats'!B83</f>
        <v>Wetland - Purple moor grass and rush pastures</v>
      </c>
      <c r="D85" s="544" t="s">
        <v>934</v>
      </c>
      <c r="E85" s="544" t="s">
        <v>934</v>
      </c>
      <c r="F85" s="544">
        <v>10</v>
      </c>
      <c r="G85" s="544">
        <v>12</v>
      </c>
      <c r="H85" s="544">
        <v>15</v>
      </c>
      <c r="I85" s="544">
        <v>17</v>
      </c>
      <c r="J85" s="544">
        <v>20</v>
      </c>
      <c r="K85" s="544" t="s">
        <v>934</v>
      </c>
      <c r="L85" s="544" t="s">
        <v>934</v>
      </c>
      <c r="M85" s="544" t="s">
        <v>934</v>
      </c>
      <c r="N85" s="544" t="s">
        <v>934</v>
      </c>
      <c r="O85" s="544">
        <v>10</v>
      </c>
      <c r="P85" s="544">
        <v>10</v>
      </c>
      <c r="Q85" s="544">
        <v>15</v>
      </c>
      <c r="R85" s="544">
        <v>20</v>
      </c>
      <c r="S85" s="544">
        <v>10</v>
      </c>
      <c r="T85" s="544">
        <v>15</v>
      </c>
      <c r="U85" s="544">
        <v>20</v>
      </c>
      <c r="V85" s="544">
        <v>10</v>
      </c>
      <c r="W85" s="544">
        <v>15</v>
      </c>
      <c r="X85" s="544">
        <v>10</v>
      </c>
      <c r="Y85" s="544" t="s">
        <v>934</v>
      </c>
    </row>
    <row r="86" spans="3:25" x14ac:dyDescent="0.25">
      <c r="C86" s="88" t="str">
        <f>'G-1 All Habitats'!B84</f>
        <v>Wetland - Reedbeds</v>
      </c>
      <c r="D86" s="544" t="s">
        <v>934</v>
      </c>
      <c r="E86" s="544" t="s">
        <v>934</v>
      </c>
      <c r="F86" s="544">
        <v>5</v>
      </c>
      <c r="G86" s="544">
        <v>7</v>
      </c>
      <c r="H86" s="544">
        <v>10</v>
      </c>
      <c r="I86" s="544">
        <v>12</v>
      </c>
      <c r="J86" s="544">
        <v>15</v>
      </c>
      <c r="K86" s="544" t="s">
        <v>934</v>
      </c>
      <c r="L86" s="544" t="s">
        <v>934</v>
      </c>
      <c r="M86" s="544" t="s">
        <v>934</v>
      </c>
      <c r="N86" s="544" t="s">
        <v>934</v>
      </c>
      <c r="O86" s="544">
        <v>5</v>
      </c>
      <c r="P86" s="544">
        <v>7</v>
      </c>
      <c r="Q86" s="544">
        <v>10</v>
      </c>
      <c r="R86" s="544">
        <v>12</v>
      </c>
      <c r="S86" s="544">
        <v>5</v>
      </c>
      <c r="T86" s="544">
        <v>7</v>
      </c>
      <c r="U86" s="544">
        <v>10</v>
      </c>
      <c r="V86" s="544">
        <v>5</v>
      </c>
      <c r="W86" s="544">
        <v>7</v>
      </c>
      <c r="X86" s="544">
        <v>5</v>
      </c>
      <c r="Y86" s="544" t="s">
        <v>934</v>
      </c>
    </row>
    <row r="87" spans="3:25" x14ac:dyDescent="0.25">
      <c r="C87" s="88" t="str">
        <f>'G-1 All Habitats'!B85</f>
        <v>Wetland - Transition mires and quaking bogs (H7140)</v>
      </c>
      <c r="D87" s="544" t="s">
        <v>934</v>
      </c>
      <c r="E87" s="544" t="s">
        <v>934</v>
      </c>
      <c r="F87" s="544">
        <v>15</v>
      </c>
      <c r="G87" s="544">
        <v>25</v>
      </c>
      <c r="H87" s="544">
        <v>30</v>
      </c>
      <c r="I87" s="544" t="s">
        <v>935</v>
      </c>
      <c r="J87" s="544" t="s">
        <v>935</v>
      </c>
      <c r="K87" s="544" t="s">
        <v>934</v>
      </c>
      <c r="L87" s="544" t="s">
        <v>934</v>
      </c>
      <c r="M87" s="544" t="s">
        <v>934</v>
      </c>
      <c r="N87" s="544" t="s">
        <v>934</v>
      </c>
      <c r="O87" s="544">
        <v>10</v>
      </c>
      <c r="P87" s="544">
        <v>20</v>
      </c>
      <c r="Q87" s="544">
        <v>25</v>
      </c>
      <c r="R87" s="544">
        <v>30</v>
      </c>
      <c r="S87" s="544">
        <v>10</v>
      </c>
      <c r="T87" s="544">
        <v>20</v>
      </c>
      <c r="U87" s="544">
        <v>20</v>
      </c>
      <c r="V87" s="544">
        <v>10</v>
      </c>
      <c r="W87" s="544">
        <v>15</v>
      </c>
      <c r="X87" s="544">
        <v>10</v>
      </c>
      <c r="Y87" s="544" t="s">
        <v>934</v>
      </c>
    </row>
    <row r="88" spans="3:25" x14ac:dyDescent="0.25">
      <c r="C88" s="88" t="str">
        <f>'G-1 All Habitats'!B86</f>
        <v>Woodland and forest - Felled</v>
      </c>
      <c r="D88" s="544" t="s">
        <v>934</v>
      </c>
      <c r="E88" s="544" t="s">
        <v>934</v>
      </c>
      <c r="F88" s="544" t="s">
        <v>934</v>
      </c>
      <c r="G88" s="544" t="s">
        <v>934</v>
      </c>
      <c r="H88" s="544" t="s">
        <v>934</v>
      </c>
      <c r="I88" s="544" t="s">
        <v>934</v>
      </c>
      <c r="J88" s="544" t="s">
        <v>934</v>
      </c>
      <c r="K88" s="544" t="s">
        <v>934</v>
      </c>
      <c r="L88" s="544" t="s">
        <v>934</v>
      </c>
      <c r="M88" s="544" t="s">
        <v>934</v>
      </c>
      <c r="N88" s="544" t="s">
        <v>934</v>
      </c>
      <c r="O88" s="544" t="s">
        <v>934</v>
      </c>
      <c r="P88" s="544" t="s">
        <v>934</v>
      </c>
      <c r="Q88" s="544" t="s">
        <v>934</v>
      </c>
      <c r="R88" s="544" t="s">
        <v>934</v>
      </c>
      <c r="S88" s="544" t="s">
        <v>934</v>
      </c>
      <c r="T88" s="544" t="s">
        <v>934</v>
      </c>
      <c r="U88" s="544" t="s">
        <v>934</v>
      </c>
      <c r="V88" s="544" t="s">
        <v>934</v>
      </c>
      <c r="W88" s="544" t="s">
        <v>934</v>
      </c>
      <c r="X88" s="544" t="s">
        <v>934</v>
      </c>
      <c r="Y88" s="544" t="s">
        <v>934</v>
      </c>
    </row>
    <row r="89" spans="3:25" x14ac:dyDescent="0.25">
      <c r="C89" s="88" t="str">
        <f>'G-1 All Habitats'!B87</f>
        <v>Woodland and forest - Lowland beech and yew woodland</v>
      </c>
      <c r="D89" s="544" t="s">
        <v>934</v>
      </c>
      <c r="E89" s="544" t="s">
        <v>934</v>
      </c>
      <c r="F89" s="544">
        <v>10</v>
      </c>
      <c r="G89" s="544">
        <v>25</v>
      </c>
      <c r="H89" s="544" t="s">
        <v>935</v>
      </c>
      <c r="I89" s="544" t="s">
        <v>935</v>
      </c>
      <c r="J89" s="544" t="s">
        <v>935</v>
      </c>
      <c r="K89" s="544" t="s">
        <v>934</v>
      </c>
      <c r="L89" s="544" t="s">
        <v>934</v>
      </c>
      <c r="M89" s="544" t="s">
        <v>934</v>
      </c>
      <c r="N89" s="544" t="s">
        <v>934</v>
      </c>
      <c r="O89" s="544">
        <v>25</v>
      </c>
      <c r="P89" s="544" t="s">
        <v>935</v>
      </c>
      <c r="Q89" s="544" t="s">
        <v>935</v>
      </c>
      <c r="R89" s="544" t="s">
        <v>935</v>
      </c>
      <c r="S89" s="544" t="s">
        <v>935</v>
      </c>
      <c r="T89" s="544" t="s">
        <v>935</v>
      </c>
      <c r="U89" s="544" t="s">
        <v>935</v>
      </c>
      <c r="V89" s="544" t="s">
        <v>935</v>
      </c>
      <c r="W89" s="544" t="s">
        <v>935</v>
      </c>
      <c r="X89" s="544" t="s">
        <v>935</v>
      </c>
      <c r="Y89" s="544" t="s">
        <v>934</v>
      </c>
    </row>
    <row r="90" spans="3:25" x14ac:dyDescent="0.25">
      <c r="C90" s="88" t="str">
        <f>'G-1 All Habitats'!B88</f>
        <v>Woodland and forest - Lowland mixed deciduous woodland</v>
      </c>
      <c r="D90" s="544" t="s">
        <v>934</v>
      </c>
      <c r="E90" s="544" t="s">
        <v>934</v>
      </c>
      <c r="F90" s="544">
        <v>10</v>
      </c>
      <c r="G90" s="544">
        <v>25</v>
      </c>
      <c r="H90" s="544" t="s">
        <v>935</v>
      </c>
      <c r="I90" s="544" t="s">
        <v>935</v>
      </c>
      <c r="J90" s="544" t="s">
        <v>935</v>
      </c>
      <c r="K90" s="544" t="s">
        <v>934</v>
      </c>
      <c r="L90" s="544" t="s">
        <v>934</v>
      </c>
      <c r="M90" s="544" t="s">
        <v>934</v>
      </c>
      <c r="N90" s="544" t="s">
        <v>934</v>
      </c>
      <c r="O90" s="544">
        <v>10</v>
      </c>
      <c r="P90" s="544">
        <v>20</v>
      </c>
      <c r="Q90" s="544">
        <v>25</v>
      </c>
      <c r="R90" s="544" t="s">
        <v>935</v>
      </c>
      <c r="S90" s="544">
        <v>10</v>
      </c>
      <c r="T90" s="544">
        <v>20</v>
      </c>
      <c r="U90" s="544">
        <v>25</v>
      </c>
      <c r="V90" s="544">
        <v>10</v>
      </c>
      <c r="W90" s="544">
        <v>20</v>
      </c>
      <c r="X90" s="544">
        <v>10</v>
      </c>
      <c r="Y90" s="544" t="s">
        <v>934</v>
      </c>
    </row>
    <row r="91" spans="3:25" x14ac:dyDescent="0.25">
      <c r="C91" s="88" t="str">
        <f>'G-1 All Habitats'!B89</f>
        <v>Woodland and forest - Native pine woodlands</v>
      </c>
      <c r="D91" s="544" t="s">
        <v>934</v>
      </c>
      <c r="E91" s="544" t="s">
        <v>934</v>
      </c>
      <c r="F91" s="544">
        <v>25</v>
      </c>
      <c r="G91" s="544">
        <v>30</v>
      </c>
      <c r="H91" s="544" t="s">
        <v>935</v>
      </c>
      <c r="I91" s="544" t="s">
        <v>935</v>
      </c>
      <c r="J91" s="544" t="s">
        <v>935</v>
      </c>
      <c r="K91" s="544" t="s">
        <v>934</v>
      </c>
      <c r="L91" s="544" t="s">
        <v>934</v>
      </c>
      <c r="M91" s="544" t="s">
        <v>934</v>
      </c>
      <c r="N91" s="544" t="s">
        <v>934</v>
      </c>
      <c r="O91" s="544">
        <v>10</v>
      </c>
      <c r="P91" s="544">
        <v>15</v>
      </c>
      <c r="Q91" s="544">
        <v>20</v>
      </c>
      <c r="R91" s="544" t="s">
        <v>935</v>
      </c>
      <c r="S91" s="544">
        <v>15</v>
      </c>
      <c r="T91" s="544">
        <v>20</v>
      </c>
      <c r="U91" s="544">
        <v>25</v>
      </c>
      <c r="V91" s="544">
        <v>10</v>
      </c>
      <c r="W91" s="544">
        <v>15</v>
      </c>
      <c r="X91" s="544">
        <v>10</v>
      </c>
      <c r="Y91" s="544" t="s">
        <v>934</v>
      </c>
    </row>
    <row r="92" spans="3:25" x14ac:dyDescent="0.25">
      <c r="C92" s="88" t="str">
        <f>'G-1 All Habitats'!B90</f>
        <v>Woodland and forest - Other coniferous woodland</v>
      </c>
      <c r="D92" s="544" t="s">
        <v>934</v>
      </c>
      <c r="E92" s="544" t="s">
        <v>934</v>
      </c>
      <c r="F92" s="544" t="s">
        <v>934</v>
      </c>
      <c r="G92" s="544" t="s">
        <v>934</v>
      </c>
      <c r="H92" s="544" t="s">
        <v>934</v>
      </c>
      <c r="I92" s="544" t="s">
        <v>934</v>
      </c>
      <c r="J92" s="544" t="s">
        <v>934</v>
      </c>
      <c r="K92" s="544" t="s">
        <v>934</v>
      </c>
      <c r="L92" s="544" t="s">
        <v>934</v>
      </c>
      <c r="M92" s="544" t="s">
        <v>934</v>
      </c>
      <c r="N92" s="544" t="s">
        <v>934</v>
      </c>
      <c r="O92" s="544">
        <v>5</v>
      </c>
      <c r="P92" s="544">
        <v>25</v>
      </c>
      <c r="Q92" s="544" t="s">
        <v>935</v>
      </c>
      <c r="R92" s="544" t="s">
        <v>935</v>
      </c>
      <c r="S92" s="544">
        <v>20</v>
      </c>
      <c r="T92" s="544">
        <v>15</v>
      </c>
      <c r="U92" s="544">
        <v>25</v>
      </c>
      <c r="V92" s="544">
        <v>5</v>
      </c>
      <c r="W92" s="544">
        <v>7</v>
      </c>
      <c r="X92" s="544">
        <v>10</v>
      </c>
      <c r="Y92" s="544" t="s">
        <v>934</v>
      </c>
    </row>
    <row r="93" spans="3:25" x14ac:dyDescent="0.25">
      <c r="C93" s="88" t="str">
        <f>'G-1 All Habitats'!B91</f>
        <v>Woodland and forest - Other Scot's Pine woodland</v>
      </c>
      <c r="D93" s="544" t="s">
        <v>934</v>
      </c>
      <c r="E93" s="544" t="s">
        <v>934</v>
      </c>
      <c r="F93" s="544">
        <v>20</v>
      </c>
      <c r="G93" s="544">
        <v>25</v>
      </c>
      <c r="H93" s="544" t="s">
        <v>935</v>
      </c>
      <c r="I93" s="544" t="s">
        <v>935</v>
      </c>
      <c r="J93" s="544" t="s">
        <v>935</v>
      </c>
      <c r="K93" s="544" t="s">
        <v>934</v>
      </c>
      <c r="L93" s="544" t="s">
        <v>934</v>
      </c>
      <c r="M93" s="544" t="s">
        <v>934</v>
      </c>
      <c r="N93" s="544" t="s">
        <v>934</v>
      </c>
      <c r="O93" s="544">
        <v>10</v>
      </c>
      <c r="P93" s="544">
        <v>15</v>
      </c>
      <c r="Q93" s="544">
        <v>20</v>
      </c>
      <c r="R93" s="544" t="s">
        <v>935</v>
      </c>
      <c r="S93" s="544">
        <v>15</v>
      </c>
      <c r="T93" s="544">
        <v>20</v>
      </c>
      <c r="U93" s="544">
        <v>25</v>
      </c>
      <c r="V93" s="544">
        <v>10</v>
      </c>
      <c r="W93" s="544">
        <v>15</v>
      </c>
      <c r="X93" s="544">
        <v>10</v>
      </c>
      <c r="Y93" s="544" t="s">
        <v>934</v>
      </c>
    </row>
    <row r="94" spans="3:25" x14ac:dyDescent="0.25">
      <c r="C94" s="88" t="str">
        <f>'G-1 All Habitats'!B92</f>
        <v>Woodland and forest - Other woodland; broadleaved</v>
      </c>
      <c r="D94" s="544" t="s">
        <v>934</v>
      </c>
      <c r="E94" s="544" t="s">
        <v>934</v>
      </c>
      <c r="F94" s="544">
        <v>5</v>
      </c>
      <c r="G94" s="544">
        <v>10</v>
      </c>
      <c r="H94" s="544">
        <v>15</v>
      </c>
      <c r="I94" s="544">
        <v>20</v>
      </c>
      <c r="J94" s="544">
        <v>25</v>
      </c>
      <c r="K94" s="544" t="s">
        <v>934</v>
      </c>
      <c r="L94" s="544" t="s">
        <v>934</v>
      </c>
      <c r="M94" s="544" t="s">
        <v>934</v>
      </c>
      <c r="N94" s="544" t="s">
        <v>934</v>
      </c>
      <c r="O94" s="544">
        <v>5</v>
      </c>
      <c r="P94" s="544">
        <v>10</v>
      </c>
      <c r="Q94" s="544">
        <v>15</v>
      </c>
      <c r="R94" s="544">
        <v>20</v>
      </c>
      <c r="S94" s="544">
        <v>5</v>
      </c>
      <c r="T94" s="544">
        <v>10</v>
      </c>
      <c r="U94" s="544">
        <v>15</v>
      </c>
      <c r="V94" s="544">
        <v>5</v>
      </c>
      <c r="W94" s="544">
        <v>10</v>
      </c>
      <c r="X94" s="544">
        <v>5</v>
      </c>
      <c r="Y94" s="544" t="s">
        <v>934</v>
      </c>
    </row>
    <row r="95" spans="3:25" x14ac:dyDescent="0.25">
      <c r="C95" s="88" t="str">
        <f>'G-1 All Habitats'!B93</f>
        <v>Woodland and forest - Other woodland; mixed</v>
      </c>
      <c r="D95" s="544" t="s">
        <v>934</v>
      </c>
      <c r="E95" s="544" t="s">
        <v>934</v>
      </c>
      <c r="F95" s="544">
        <v>5</v>
      </c>
      <c r="G95" s="544">
        <v>10</v>
      </c>
      <c r="H95" s="544">
        <v>15</v>
      </c>
      <c r="I95" s="544">
        <v>20</v>
      </c>
      <c r="J95" s="544">
        <v>25</v>
      </c>
      <c r="K95" s="544" t="s">
        <v>934</v>
      </c>
      <c r="L95" s="544" t="s">
        <v>934</v>
      </c>
      <c r="M95" s="544" t="s">
        <v>934</v>
      </c>
      <c r="N95" s="544" t="s">
        <v>934</v>
      </c>
      <c r="O95" s="544">
        <v>5</v>
      </c>
      <c r="P95" s="544">
        <v>10</v>
      </c>
      <c r="Q95" s="544">
        <v>15</v>
      </c>
      <c r="R95" s="544">
        <v>20</v>
      </c>
      <c r="S95" s="544">
        <v>5</v>
      </c>
      <c r="T95" s="544">
        <v>10</v>
      </c>
      <c r="U95" s="544">
        <v>15</v>
      </c>
      <c r="V95" s="544">
        <v>5</v>
      </c>
      <c r="W95" s="544">
        <v>10</v>
      </c>
      <c r="X95" s="544">
        <v>5</v>
      </c>
      <c r="Y95" s="544" t="s">
        <v>934</v>
      </c>
    </row>
    <row r="96" spans="3:25" x14ac:dyDescent="0.25">
      <c r="C96" s="88" t="str">
        <f>'G-1 All Habitats'!B94</f>
        <v>Woodland and forest - Upland birchwoods</v>
      </c>
      <c r="D96" s="544" t="s">
        <v>934</v>
      </c>
      <c r="E96" s="544" t="s">
        <v>934</v>
      </c>
      <c r="F96" s="544">
        <v>10</v>
      </c>
      <c r="G96" s="544">
        <v>20</v>
      </c>
      <c r="H96" s="544">
        <v>25</v>
      </c>
      <c r="I96" s="544">
        <v>30</v>
      </c>
      <c r="J96" s="544" t="s">
        <v>935</v>
      </c>
      <c r="K96" s="544" t="s">
        <v>934</v>
      </c>
      <c r="L96" s="544" t="s">
        <v>934</v>
      </c>
      <c r="M96" s="544" t="s">
        <v>934</v>
      </c>
      <c r="N96" s="544" t="s">
        <v>934</v>
      </c>
      <c r="O96" s="544">
        <v>10</v>
      </c>
      <c r="P96" s="544">
        <v>15</v>
      </c>
      <c r="Q96" s="544">
        <v>20</v>
      </c>
      <c r="R96" s="544" t="s">
        <v>935</v>
      </c>
      <c r="S96" s="544">
        <v>15</v>
      </c>
      <c r="T96" s="544">
        <v>20</v>
      </c>
      <c r="U96" s="544">
        <v>25</v>
      </c>
      <c r="V96" s="544">
        <v>10</v>
      </c>
      <c r="W96" s="544">
        <v>15</v>
      </c>
      <c r="X96" s="544">
        <v>10</v>
      </c>
      <c r="Y96" s="544" t="s">
        <v>934</v>
      </c>
    </row>
    <row r="97" spans="3:25" x14ac:dyDescent="0.25">
      <c r="C97" s="88" t="str">
        <f>'G-1 All Habitats'!B95</f>
        <v>Woodland and forest - Upland mixed ashwoods</v>
      </c>
      <c r="D97" s="544" t="s">
        <v>934</v>
      </c>
      <c r="E97" s="544" t="s">
        <v>934</v>
      </c>
      <c r="F97" s="544">
        <v>10</v>
      </c>
      <c r="G97" s="544">
        <v>25</v>
      </c>
      <c r="H97" s="544" t="s">
        <v>935</v>
      </c>
      <c r="I97" s="544" t="s">
        <v>935</v>
      </c>
      <c r="J97" s="544" t="s">
        <v>935</v>
      </c>
      <c r="K97" s="544" t="s">
        <v>934</v>
      </c>
      <c r="L97" s="544" t="s">
        <v>934</v>
      </c>
      <c r="M97" s="544" t="s">
        <v>934</v>
      </c>
      <c r="N97" s="544" t="s">
        <v>934</v>
      </c>
      <c r="O97" s="544">
        <v>10</v>
      </c>
      <c r="P97" s="544">
        <v>15</v>
      </c>
      <c r="Q97" s="544">
        <v>20</v>
      </c>
      <c r="R97" s="544" t="s">
        <v>935</v>
      </c>
      <c r="S97" s="544">
        <v>15</v>
      </c>
      <c r="T97" s="544">
        <v>20</v>
      </c>
      <c r="U97" s="544">
        <v>25</v>
      </c>
      <c r="V97" s="544">
        <v>10</v>
      </c>
      <c r="W97" s="544">
        <v>15</v>
      </c>
      <c r="X97" s="544">
        <v>10</v>
      </c>
      <c r="Y97" s="544" t="s">
        <v>934</v>
      </c>
    </row>
    <row r="98" spans="3:25" x14ac:dyDescent="0.25">
      <c r="C98" s="88" t="str">
        <f>'G-1 All Habitats'!B96</f>
        <v>Woodland and forest - Upland oakwood</v>
      </c>
      <c r="D98" s="544" t="s">
        <v>934</v>
      </c>
      <c r="E98" s="544" t="s">
        <v>934</v>
      </c>
      <c r="F98" s="544">
        <v>10</v>
      </c>
      <c r="G98" s="544">
        <v>25</v>
      </c>
      <c r="H98" s="544" t="s">
        <v>935</v>
      </c>
      <c r="I98" s="544" t="s">
        <v>935</v>
      </c>
      <c r="J98" s="544" t="s">
        <v>935</v>
      </c>
      <c r="K98" s="544" t="s">
        <v>934</v>
      </c>
      <c r="L98" s="544" t="s">
        <v>934</v>
      </c>
      <c r="M98" s="544" t="s">
        <v>934</v>
      </c>
      <c r="N98" s="544" t="s">
        <v>934</v>
      </c>
      <c r="O98" s="544">
        <v>25</v>
      </c>
      <c r="P98" s="544" t="s">
        <v>935</v>
      </c>
      <c r="Q98" s="544" t="s">
        <v>935</v>
      </c>
      <c r="R98" s="544" t="s">
        <v>935</v>
      </c>
      <c r="S98" s="544" t="s">
        <v>935</v>
      </c>
      <c r="T98" s="544" t="s">
        <v>935</v>
      </c>
      <c r="U98" s="544" t="s">
        <v>935</v>
      </c>
      <c r="V98" s="544" t="s">
        <v>935</v>
      </c>
      <c r="W98" s="544" t="s">
        <v>935</v>
      </c>
      <c r="X98" s="544" t="s">
        <v>935</v>
      </c>
      <c r="Y98" s="544" t="s">
        <v>934</v>
      </c>
    </row>
    <row r="99" spans="3:25" x14ac:dyDescent="0.25">
      <c r="C99" s="88" t="str">
        <f>'G-1 All Habitats'!B97</f>
        <v>Woodland and forest - Wet woodland</v>
      </c>
      <c r="D99" s="544" t="s">
        <v>934</v>
      </c>
      <c r="E99" s="544" t="s">
        <v>934</v>
      </c>
      <c r="F99" s="544">
        <v>10</v>
      </c>
      <c r="G99" s="544">
        <v>20</v>
      </c>
      <c r="H99" s="544">
        <v>25</v>
      </c>
      <c r="I99" s="544">
        <v>30</v>
      </c>
      <c r="J99" s="544" t="s">
        <v>935</v>
      </c>
      <c r="K99" s="544" t="s">
        <v>934</v>
      </c>
      <c r="L99" s="544" t="s">
        <v>934</v>
      </c>
      <c r="M99" s="544" t="s">
        <v>934</v>
      </c>
      <c r="N99" s="544" t="s">
        <v>934</v>
      </c>
      <c r="O99" s="544">
        <v>10</v>
      </c>
      <c r="P99" s="544">
        <v>10</v>
      </c>
      <c r="Q99" s="544">
        <v>15</v>
      </c>
      <c r="R99" s="544" t="s">
        <v>935</v>
      </c>
      <c r="S99" s="544">
        <v>15</v>
      </c>
      <c r="T99" s="544">
        <v>20</v>
      </c>
      <c r="U99" s="544">
        <v>25</v>
      </c>
      <c r="V99" s="544">
        <v>10</v>
      </c>
      <c r="W99" s="544">
        <v>15</v>
      </c>
      <c r="X99" s="544">
        <v>10</v>
      </c>
      <c r="Y99" s="544" t="s">
        <v>934</v>
      </c>
    </row>
    <row r="100" spans="3:25" x14ac:dyDescent="0.25">
      <c r="C100" s="88" t="str">
        <f>'G-1 All Habitats'!B98</f>
        <v>Woodland and forest - Wood-pasture and parkland</v>
      </c>
      <c r="D100" s="544" t="s">
        <v>934</v>
      </c>
      <c r="E100" s="544" t="s">
        <v>934</v>
      </c>
      <c r="F100" s="544">
        <v>10</v>
      </c>
      <c r="G100" s="544">
        <v>25</v>
      </c>
      <c r="H100" s="544" t="s">
        <v>935</v>
      </c>
      <c r="I100" s="544" t="s">
        <v>935</v>
      </c>
      <c r="J100" s="544" t="s">
        <v>935</v>
      </c>
      <c r="K100" s="544" t="s">
        <v>934</v>
      </c>
      <c r="L100" s="544" t="s">
        <v>934</v>
      </c>
      <c r="M100" s="544" t="s">
        <v>934</v>
      </c>
      <c r="N100" s="544" t="s">
        <v>934</v>
      </c>
      <c r="O100" s="544">
        <v>25</v>
      </c>
      <c r="P100" s="544" t="s">
        <v>935</v>
      </c>
      <c r="Q100" s="544" t="s">
        <v>935</v>
      </c>
      <c r="R100" s="544" t="s">
        <v>935</v>
      </c>
      <c r="S100" s="544" t="s">
        <v>935</v>
      </c>
      <c r="T100" s="544" t="s">
        <v>935</v>
      </c>
      <c r="U100" s="544" t="s">
        <v>935</v>
      </c>
      <c r="V100" s="544" t="s">
        <v>935</v>
      </c>
      <c r="W100" s="544" t="s">
        <v>935</v>
      </c>
      <c r="X100" s="544" t="s">
        <v>935</v>
      </c>
      <c r="Y100" s="544" t="s">
        <v>934</v>
      </c>
    </row>
    <row r="101" spans="3:25" x14ac:dyDescent="0.25">
      <c r="C101" s="88" t="str">
        <f>'G-1 All Habitats'!B99</f>
        <v>Coastal lagoons - Coastal lagoons</v>
      </c>
      <c r="D101" s="544" t="s">
        <v>934</v>
      </c>
      <c r="E101" s="544" t="s">
        <v>934</v>
      </c>
      <c r="F101" s="544" t="s">
        <v>934</v>
      </c>
      <c r="G101" s="544" t="s">
        <v>934</v>
      </c>
      <c r="H101" s="544" t="s">
        <v>934</v>
      </c>
      <c r="I101" s="544" t="s">
        <v>934</v>
      </c>
      <c r="J101" s="544" t="s">
        <v>934</v>
      </c>
      <c r="K101" s="544" t="s">
        <v>934</v>
      </c>
      <c r="L101" s="544" t="s">
        <v>934</v>
      </c>
      <c r="M101" s="544" t="s">
        <v>934</v>
      </c>
      <c r="N101" s="544" t="s">
        <v>934</v>
      </c>
      <c r="O101" s="544">
        <v>1</v>
      </c>
      <c r="P101" s="544">
        <v>4</v>
      </c>
      <c r="Q101" s="544">
        <v>8</v>
      </c>
      <c r="R101" s="544">
        <v>12</v>
      </c>
      <c r="S101" s="544">
        <v>3</v>
      </c>
      <c r="T101" s="544">
        <v>7</v>
      </c>
      <c r="U101" s="544">
        <v>11</v>
      </c>
      <c r="V101" s="544">
        <v>4</v>
      </c>
      <c r="W101" s="544">
        <v>8</v>
      </c>
      <c r="X101" s="544">
        <v>4</v>
      </c>
      <c r="Y101" s="544" t="s">
        <v>934</v>
      </c>
    </row>
    <row r="102" spans="3:25" x14ac:dyDescent="0.25">
      <c r="C102" s="88" t="str">
        <f>'G-1 All Habitats'!B100</f>
        <v>Rocky shore - High energy littoral rock</v>
      </c>
      <c r="D102" s="544" t="s">
        <v>934</v>
      </c>
      <c r="E102" s="544" t="s">
        <v>934</v>
      </c>
      <c r="F102" s="544" t="s">
        <v>934</v>
      </c>
      <c r="G102" s="544" t="s">
        <v>934</v>
      </c>
      <c r="H102" s="544" t="s">
        <v>934</v>
      </c>
      <c r="I102" s="544" t="s">
        <v>934</v>
      </c>
      <c r="J102" s="544" t="s">
        <v>934</v>
      </c>
      <c r="K102" s="544" t="s">
        <v>934</v>
      </c>
      <c r="L102" s="544" t="s">
        <v>934</v>
      </c>
      <c r="M102" s="544" t="s">
        <v>934</v>
      </c>
      <c r="N102" s="544" t="s">
        <v>934</v>
      </c>
      <c r="O102" s="544">
        <v>2</v>
      </c>
      <c r="P102" s="544">
        <v>4</v>
      </c>
      <c r="Q102" s="544">
        <v>6</v>
      </c>
      <c r="R102" s="544">
        <v>10</v>
      </c>
      <c r="S102" s="544">
        <v>2</v>
      </c>
      <c r="T102" s="544">
        <v>4</v>
      </c>
      <c r="U102" s="544">
        <v>8</v>
      </c>
      <c r="V102" s="544">
        <v>2</v>
      </c>
      <c r="W102" s="544">
        <v>6</v>
      </c>
      <c r="X102" s="544">
        <v>4</v>
      </c>
      <c r="Y102" s="544" t="s">
        <v>934</v>
      </c>
    </row>
    <row r="103" spans="3:25" x14ac:dyDescent="0.25">
      <c r="C103" s="88" t="str">
        <f>'G-1 All Habitats'!B101</f>
        <v>Rocky shore - High energy littoral rock - on peat, clay or chalk</v>
      </c>
      <c r="D103" s="544" t="s">
        <v>934</v>
      </c>
      <c r="E103" s="544" t="s">
        <v>934</v>
      </c>
      <c r="F103" s="544" t="s">
        <v>934</v>
      </c>
      <c r="G103" s="544" t="s">
        <v>934</v>
      </c>
      <c r="H103" s="544" t="s">
        <v>934</v>
      </c>
      <c r="I103" s="544" t="s">
        <v>934</v>
      </c>
      <c r="J103" s="544" t="s">
        <v>934</v>
      </c>
      <c r="K103" s="544" t="s">
        <v>934</v>
      </c>
      <c r="L103" s="544" t="s">
        <v>934</v>
      </c>
      <c r="M103" s="544" t="s">
        <v>934</v>
      </c>
      <c r="N103" s="544" t="s">
        <v>934</v>
      </c>
      <c r="O103" s="544">
        <v>2</v>
      </c>
      <c r="P103" s="544">
        <v>4</v>
      </c>
      <c r="Q103" s="544">
        <v>6</v>
      </c>
      <c r="R103" s="544">
        <v>10</v>
      </c>
      <c r="S103" s="544">
        <v>2</v>
      </c>
      <c r="T103" s="544">
        <v>4</v>
      </c>
      <c r="U103" s="544">
        <v>8</v>
      </c>
      <c r="V103" s="544">
        <v>2</v>
      </c>
      <c r="W103" s="544">
        <v>6</v>
      </c>
      <c r="X103" s="544">
        <v>4</v>
      </c>
      <c r="Y103" s="544" t="s">
        <v>934</v>
      </c>
    </row>
    <row r="104" spans="3:25" x14ac:dyDescent="0.25">
      <c r="C104" s="88" t="str">
        <f>'G-1 All Habitats'!B102</f>
        <v>Rocky shore - Moderate energy littoral rock</v>
      </c>
      <c r="D104" s="544" t="s">
        <v>934</v>
      </c>
      <c r="E104" s="544" t="s">
        <v>934</v>
      </c>
      <c r="F104" s="544" t="s">
        <v>934</v>
      </c>
      <c r="G104" s="544" t="s">
        <v>934</v>
      </c>
      <c r="H104" s="544" t="s">
        <v>934</v>
      </c>
      <c r="I104" s="544" t="s">
        <v>934</v>
      </c>
      <c r="J104" s="544" t="s">
        <v>934</v>
      </c>
      <c r="K104" s="544" t="s">
        <v>934</v>
      </c>
      <c r="L104" s="544" t="s">
        <v>934</v>
      </c>
      <c r="M104" s="544" t="s">
        <v>934</v>
      </c>
      <c r="N104" s="544" t="s">
        <v>934</v>
      </c>
      <c r="O104" s="544">
        <v>2</v>
      </c>
      <c r="P104" s="544">
        <v>4</v>
      </c>
      <c r="Q104" s="544">
        <v>6</v>
      </c>
      <c r="R104" s="544">
        <v>11</v>
      </c>
      <c r="S104" s="544">
        <v>2</v>
      </c>
      <c r="T104" s="544">
        <v>4</v>
      </c>
      <c r="U104" s="544">
        <v>9</v>
      </c>
      <c r="V104" s="544">
        <v>2</v>
      </c>
      <c r="W104" s="544">
        <v>7</v>
      </c>
      <c r="X104" s="544">
        <v>5</v>
      </c>
      <c r="Y104" s="544" t="s">
        <v>934</v>
      </c>
    </row>
    <row r="105" spans="3:25" x14ac:dyDescent="0.25">
      <c r="C105" s="88" t="str">
        <f>'G-1 All Habitats'!B103</f>
        <v>Rocky shore - Moderate energy littoral rock - on peat, clay or chalk</v>
      </c>
      <c r="D105" s="544" t="s">
        <v>934</v>
      </c>
      <c r="E105" s="544" t="s">
        <v>934</v>
      </c>
      <c r="F105" s="544" t="s">
        <v>934</v>
      </c>
      <c r="G105" s="544" t="s">
        <v>934</v>
      </c>
      <c r="H105" s="544" t="s">
        <v>934</v>
      </c>
      <c r="I105" s="544" t="s">
        <v>934</v>
      </c>
      <c r="J105" s="544" t="s">
        <v>934</v>
      </c>
      <c r="K105" s="544" t="s">
        <v>934</v>
      </c>
      <c r="L105" s="544" t="s">
        <v>934</v>
      </c>
      <c r="M105" s="544" t="s">
        <v>934</v>
      </c>
      <c r="N105" s="544" t="s">
        <v>934</v>
      </c>
      <c r="O105" s="544">
        <v>2</v>
      </c>
      <c r="P105" s="544">
        <v>4</v>
      </c>
      <c r="Q105" s="544">
        <v>6</v>
      </c>
      <c r="R105" s="544">
        <v>11</v>
      </c>
      <c r="S105" s="544">
        <v>2</v>
      </c>
      <c r="T105" s="544">
        <v>4</v>
      </c>
      <c r="U105" s="544">
        <v>9</v>
      </c>
      <c r="V105" s="544">
        <v>2</v>
      </c>
      <c r="W105" s="544">
        <v>7</v>
      </c>
      <c r="X105" s="544">
        <v>5</v>
      </c>
      <c r="Y105" s="544" t="s">
        <v>934</v>
      </c>
    </row>
    <row r="106" spans="3:25" x14ac:dyDescent="0.25">
      <c r="C106" s="88" t="str">
        <f>'G-1 All Habitats'!B104</f>
        <v>Rocky shore - Low energy littoral rock</v>
      </c>
      <c r="D106" s="544" t="s">
        <v>934</v>
      </c>
      <c r="E106" s="544" t="s">
        <v>934</v>
      </c>
      <c r="F106" s="544" t="s">
        <v>934</v>
      </c>
      <c r="G106" s="544" t="s">
        <v>934</v>
      </c>
      <c r="H106" s="544" t="s">
        <v>934</v>
      </c>
      <c r="I106" s="544" t="s">
        <v>934</v>
      </c>
      <c r="J106" s="544" t="s">
        <v>934</v>
      </c>
      <c r="K106" s="544" t="s">
        <v>934</v>
      </c>
      <c r="L106" s="544" t="s">
        <v>934</v>
      </c>
      <c r="M106" s="544" t="s">
        <v>934</v>
      </c>
      <c r="N106" s="544" t="s">
        <v>934</v>
      </c>
      <c r="O106" s="544">
        <v>2</v>
      </c>
      <c r="P106" s="544">
        <v>4</v>
      </c>
      <c r="Q106" s="544">
        <v>6</v>
      </c>
      <c r="R106" s="544">
        <v>12</v>
      </c>
      <c r="S106" s="544">
        <v>2</v>
      </c>
      <c r="T106" s="544">
        <v>4</v>
      </c>
      <c r="U106" s="544">
        <v>10</v>
      </c>
      <c r="V106" s="544">
        <v>2</v>
      </c>
      <c r="W106" s="544">
        <v>8</v>
      </c>
      <c r="X106" s="544">
        <v>6</v>
      </c>
      <c r="Y106" s="544" t="s">
        <v>934</v>
      </c>
    </row>
    <row r="107" spans="3:25" x14ac:dyDescent="0.25">
      <c r="C107" s="88" t="str">
        <f>'G-1 All Habitats'!B105</f>
        <v>Rocky shore - Low energy littoral rock - on peat, clay or chalk</v>
      </c>
      <c r="D107" s="544" t="s">
        <v>934</v>
      </c>
      <c r="E107" s="544" t="s">
        <v>934</v>
      </c>
      <c r="F107" s="544" t="s">
        <v>934</v>
      </c>
      <c r="G107" s="544" t="s">
        <v>934</v>
      </c>
      <c r="H107" s="544" t="s">
        <v>934</v>
      </c>
      <c r="I107" s="544" t="s">
        <v>934</v>
      </c>
      <c r="J107" s="544" t="s">
        <v>934</v>
      </c>
      <c r="K107" s="544" t="s">
        <v>934</v>
      </c>
      <c r="L107" s="544" t="s">
        <v>934</v>
      </c>
      <c r="M107" s="544" t="s">
        <v>934</v>
      </c>
      <c r="N107" s="544" t="s">
        <v>934</v>
      </c>
      <c r="O107" s="544">
        <v>2</v>
      </c>
      <c r="P107" s="544">
        <v>4</v>
      </c>
      <c r="Q107" s="544">
        <v>6</v>
      </c>
      <c r="R107" s="544">
        <v>12</v>
      </c>
      <c r="S107" s="544">
        <v>2</v>
      </c>
      <c r="T107" s="544">
        <v>4</v>
      </c>
      <c r="U107" s="544">
        <v>10</v>
      </c>
      <c r="V107" s="544">
        <v>2</v>
      </c>
      <c r="W107" s="544">
        <v>8</v>
      </c>
      <c r="X107" s="544">
        <v>6</v>
      </c>
      <c r="Y107" s="544" t="s">
        <v>934</v>
      </c>
    </row>
    <row r="108" spans="3:25" x14ac:dyDescent="0.25">
      <c r="C108" s="88" t="str">
        <f>'G-1 All Habitats'!B106</f>
        <v>Rocky shore - Features of littoral rock</v>
      </c>
      <c r="D108" s="544" t="s">
        <v>934</v>
      </c>
      <c r="E108" s="544" t="s">
        <v>934</v>
      </c>
      <c r="F108" s="544" t="s">
        <v>934</v>
      </c>
      <c r="G108" s="544" t="s">
        <v>934</v>
      </c>
      <c r="H108" s="544" t="s">
        <v>934</v>
      </c>
      <c r="I108" s="544" t="s">
        <v>934</v>
      </c>
      <c r="J108" s="544" t="s">
        <v>934</v>
      </c>
      <c r="K108" s="544" t="s">
        <v>934</v>
      </c>
      <c r="L108" s="544" t="s">
        <v>934</v>
      </c>
      <c r="M108" s="544" t="s">
        <v>934</v>
      </c>
      <c r="N108" s="544" t="s">
        <v>934</v>
      </c>
      <c r="O108" s="544">
        <v>2</v>
      </c>
      <c r="P108" s="544">
        <v>4</v>
      </c>
      <c r="Q108" s="544">
        <v>6</v>
      </c>
      <c r="R108" s="544">
        <v>11</v>
      </c>
      <c r="S108" s="544">
        <v>2</v>
      </c>
      <c r="T108" s="544">
        <v>4</v>
      </c>
      <c r="U108" s="544">
        <v>9</v>
      </c>
      <c r="V108" s="544">
        <v>2</v>
      </c>
      <c r="W108" s="544">
        <v>7</v>
      </c>
      <c r="X108" s="544">
        <v>5</v>
      </c>
      <c r="Y108" s="544" t="s">
        <v>934</v>
      </c>
    </row>
    <row r="109" spans="3:25" x14ac:dyDescent="0.25">
      <c r="C109" s="88" t="str">
        <f>'G-1 All Habitats'!B107</f>
        <v>Rocky shore - Features of littoral rock - on peat, clay or chalk</v>
      </c>
      <c r="D109" s="544" t="s">
        <v>934</v>
      </c>
      <c r="E109" s="544" t="s">
        <v>934</v>
      </c>
      <c r="F109" s="544" t="s">
        <v>934</v>
      </c>
      <c r="G109" s="544" t="s">
        <v>934</v>
      </c>
      <c r="H109" s="544" t="s">
        <v>934</v>
      </c>
      <c r="I109" s="544" t="s">
        <v>934</v>
      </c>
      <c r="J109" s="544" t="s">
        <v>934</v>
      </c>
      <c r="K109" s="544" t="s">
        <v>934</v>
      </c>
      <c r="L109" s="544" t="s">
        <v>934</v>
      </c>
      <c r="M109" s="544" t="s">
        <v>934</v>
      </c>
      <c r="N109" s="544" t="s">
        <v>934</v>
      </c>
      <c r="O109" s="544">
        <v>2</v>
      </c>
      <c r="P109" s="544">
        <v>4</v>
      </c>
      <c r="Q109" s="544">
        <v>6</v>
      </c>
      <c r="R109" s="544">
        <v>11</v>
      </c>
      <c r="S109" s="544">
        <v>2</v>
      </c>
      <c r="T109" s="544">
        <v>4</v>
      </c>
      <c r="U109" s="544">
        <v>9</v>
      </c>
      <c r="V109" s="544">
        <v>2</v>
      </c>
      <c r="W109" s="544">
        <v>7</v>
      </c>
      <c r="X109" s="544">
        <v>5</v>
      </c>
      <c r="Y109" s="544" t="s">
        <v>934</v>
      </c>
    </row>
    <row r="110" spans="3:25" x14ac:dyDescent="0.25">
      <c r="C110" s="88" t="str">
        <f>'G-1 All Habitats'!B110</f>
        <v>Intertidal sediment - Littoral coarse sediment</v>
      </c>
      <c r="D110" s="544" t="s">
        <v>934</v>
      </c>
      <c r="E110" s="544" t="s">
        <v>934</v>
      </c>
      <c r="F110" s="544" t="s">
        <v>934</v>
      </c>
      <c r="G110" s="544" t="s">
        <v>934</v>
      </c>
      <c r="H110" s="544" t="s">
        <v>934</v>
      </c>
      <c r="I110" s="544" t="s">
        <v>934</v>
      </c>
      <c r="J110" s="544" t="s">
        <v>934</v>
      </c>
      <c r="K110" s="544" t="s">
        <v>934</v>
      </c>
      <c r="L110" s="544" t="s">
        <v>934</v>
      </c>
      <c r="M110" s="544" t="s">
        <v>934</v>
      </c>
      <c r="N110" s="544" t="s">
        <v>934</v>
      </c>
      <c r="O110" s="544">
        <v>1</v>
      </c>
      <c r="P110" s="544">
        <v>2</v>
      </c>
      <c r="Q110" s="544">
        <v>3</v>
      </c>
      <c r="R110" s="544">
        <v>4</v>
      </c>
      <c r="S110" s="544">
        <v>1</v>
      </c>
      <c r="T110" s="544">
        <v>2</v>
      </c>
      <c r="U110" s="544">
        <v>3</v>
      </c>
      <c r="V110" s="544">
        <v>1</v>
      </c>
      <c r="W110" s="544">
        <v>2</v>
      </c>
      <c r="X110" s="544">
        <v>1</v>
      </c>
      <c r="Y110" s="544" t="s">
        <v>934</v>
      </c>
    </row>
    <row r="111" spans="3:25" x14ac:dyDescent="0.25">
      <c r="C111" s="88" t="str">
        <f>'G-1 All Habitats'!B111</f>
        <v>Intertidal sediment - Littoral mud</v>
      </c>
      <c r="D111" s="544" t="s">
        <v>934</v>
      </c>
      <c r="E111" s="544" t="s">
        <v>934</v>
      </c>
      <c r="F111" s="544" t="s">
        <v>934</v>
      </c>
      <c r="G111" s="544" t="s">
        <v>934</v>
      </c>
      <c r="H111" s="544" t="s">
        <v>934</v>
      </c>
      <c r="I111" s="544" t="s">
        <v>934</v>
      </c>
      <c r="J111" s="544" t="s">
        <v>934</v>
      </c>
      <c r="K111" s="544" t="s">
        <v>934</v>
      </c>
      <c r="L111" s="544" t="s">
        <v>934</v>
      </c>
      <c r="M111" s="544" t="s">
        <v>934</v>
      </c>
      <c r="N111" s="544" t="s">
        <v>934</v>
      </c>
      <c r="O111" s="544">
        <v>2</v>
      </c>
      <c r="P111" s="544">
        <v>4</v>
      </c>
      <c r="Q111" s="544">
        <v>6</v>
      </c>
      <c r="R111" s="544">
        <v>8</v>
      </c>
      <c r="S111" s="544">
        <v>2</v>
      </c>
      <c r="T111" s="544">
        <v>4</v>
      </c>
      <c r="U111" s="544">
        <v>6</v>
      </c>
      <c r="V111" s="544">
        <v>2</v>
      </c>
      <c r="W111" s="544">
        <v>4</v>
      </c>
      <c r="X111" s="544">
        <v>2</v>
      </c>
      <c r="Y111" s="544" t="s">
        <v>934</v>
      </c>
    </row>
    <row r="112" spans="3:25" x14ac:dyDescent="0.25">
      <c r="C112" s="88" t="str">
        <f>'G-1 All Habitats'!B112</f>
        <v>Intertidal sediment - Littoral mixed sediments</v>
      </c>
      <c r="D112" s="544" t="s">
        <v>934</v>
      </c>
      <c r="E112" s="544" t="s">
        <v>934</v>
      </c>
      <c r="F112" s="544" t="s">
        <v>934</v>
      </c>
      <c r="G112" s="544" t="s">
        <v>934</v>
      </c>
      <c r="H112" s="544" t="s">
        <v>934</v>
      </c>
      <c r="I112" s="544" t="s">
        <v>934</v>
      </c>
      <c r="J112" s="544" t="s">
        <v>934</v>
      </c>
      <c r="K112" s="544" t="s">
        <v>934</v>
      </c>
      <c r="L112" s="544" t="s">
        <v>934</v>
      </c>
      <c r="M112" s="544" t="s">
        <v>934</v>
      </c>
      <c r="N112" s="544" t="s">
        <v>934</v>
      </c>
      <c r="O112" s="544">
        <v>1</v>
      </c>
      <c r="P112" s="544">
        <v>2</v>
      </c>
      <c r="Q112" s="544">
        <v>3</v>
      </c>
      <c r="R112" s="544">
        <v>4</v>
      </c>
      <c r="S112" s="544">
        <v>1</v>
      </c>
      <c r="T112" s="544">
        <v>2</v>
      </c>
      <c r="U112" s="544">
        <v>3</v>
      </c>
      <c r="V112" s="544">
        <v>1</v>
      </c>
      <c r="W112" s="544">
        <v>2</v>
      </c>
      <c r="X112" s="544">
        <v>1</v>
      </c>
      <c r="Y112" s="544" t="s">
        <v>934</v>
      </c>
    </row>
    <row r="113" spans="3:25" x14ac:dyDescent="0.25">
      <c r="C113" s="88" t="str">
        <f>'G-1 All Habitats'!B108</f>
        <v>Coastal saltmarsh - Saltmarshes and saline reedbeds</v>
      </c>
      <c r="D113" s="544" t="s">
        <v>934</v>
      </c>
      <c r="E113" s="544" t="s">
        <v>934</v>
      </c>
      <c r="F113" s="544" t="s">
        <v>934</v>
      </c>
      <c r="G113" s="544" t="s">
        <v>934</v>
      </c>
      <c r="H113" s="544" t="s">
        <v>934</v>
      </c>
      <c r="I113" s="544" t="s">
        <v>934</v>
      </c>
      <c r="J113" s="544" t="s">
        <v>934</v>
      </c>
      <c r="K113" s="544" t="s">
        <v>934</v>
      </c>
      <c r="L113" s="544" t="s">
        <v>934</v>
      </c>
      <c r="M113" s="544" t="s">
        <v>934</v>
      </c>
      <c r="N113" s="544" t="s">
        <v>934</v>
      </c>
      <c r="O113" s="544">
        <v>2</v>
      </c>
      <c r="P113" s="544">
        <v>6</v>
      </c>
      <c r="Q113" s="544">
        <v>10</v>
      </c>
      <c r="R113" s="544">
        <v>20</v>
      </c>
      <c r="S113" s="544">
        <v>4</v>
      </c>
      <c r="T113" s="544">
        <v>8</v>
      </c>
      <c r="U113" s="544">
        <v>18</v>
      </c>
      <c r="V113" s="544">
        <v>4</v>
      </c>
      <c r="W113" s="544">
        <v>14</v>
      </c>
      <c r="X113" s="544">
        <v>10</v>
      </c>
      <c r="Y113" s="544" t="s">
        <v>934</v>
      </c>
    </row>
    <row r="114" spans="3:25" x14ac:dyDescent="0.25">
      <c r="C114" s="88" t="str">
        <f>'G-1 All Habitats'!B109</f>
        <v>Coastal saltmarsh - Artificial saltmarshes and saline reedbeds</v>
      </c>
      <c r="D114" s="544" t="s">
        <v>934</v>
      </c>
      <c r="E114" s="544" t="s">
        <v>934</v>
      </c>
      <c r="F114" s="544" t="s">
        <v>934</v>
      </c>
      <c r="G114" s="544" t="s">
        <v>934</v>
      </c>
      <c r="H114" s="544" t="s">
        <v>934</v>
      </c>
      <c r="I114" s="544" t="s">
        <v>934</v>
      </c>
      <c r="J114" s="544" t="s">
        <v>934</v>
      </c>
      <c r="K114" s="544" t="s">
        <v>934</v>
      </c>
      <c r="L114" s="544" t="s">
        <v>934</v>
      </c>
      <c r="M114" s="544" t="s">
        <v>934</v>
      </c>
      <c r="N114" s="544" t="s">
        <v>934</v>
      </c>
      <c r="O114" s="544">
        <v>2</v>
      </c>
      <c r="P114" s="544">
        <v>6</v>
      </c>
      <c r="Q114" s="544">
        <v>10</v>
      </c>
      <c r="R114" s="544">
        <v>20</v>
      </c>
      <c r="S114" s="544">
        <v>4</v>
      </c>
      <c r="T114" s="544">
        <v>8</v>
      </c>
      <c r="U114" s="544">
        <v>18</v>
      </c>
      <c r="V114" s="544">
        <v>4</v>
      </c>
      <c r="W114" s="544">
        <v>14</v>
      </c>
      <c r="X114" s="544">
        <v>10</v>
      </c>
      <c r="Y114" s="544" t="s">
        <v>934</v>
      </c>
    </row>
    <row r="115" spans="3:25" x14ac:dyDescent="0.25">
      <c r="C115" s="88" t="str">
        <f>'G-1 All Habitats'!B113</f>
        <v>Intertidal sediment - Littoral seagrass</v>
      </c>
      <c r="D115" s="544" t="s">
        <v>934</v>
      </c>
      <c r="E115" s="544" t="s">
        <v>934</v>
      </c>
      <c r="F115" s="544" t="s">
        <v>934</v>
      </c>
      <c r="G115" s="544" t="s">
        <v>934</v>
      </c>
      <c r="H115" s="544" t="s">
        <v>934</v>
      </c>
      <c r="I115" s="544" t="s">
        <v>934</v>
      </c>
      <c r="J115" s="544" t="s">
        <v>934</v>
      </c>
      <c r="K115" s="544" t="s">
        <v>934</v>
      </c>
      <c r="L115" s="544" t="s">
        <v>934</v>
      </c>
      <c r="M115" s="544" t="s">
        <v>934</v>
      </c>
      <c r="N115" s="544" t="s">
        <v>934</v>
      </c>
      <c r="O115" s="544">
        <v>3</v>
      </c>
      <c r="P115" s="544">
        <v>13</v>
      </c>
      <c r="Q115" s="544">
        <v>23</v>
      </c>
      <c r="R115" s="544">
        <v>0</v>
      </c>
      <c r="S115" s="544">
        <v>10</v>
      </c>
      <c r="T115" s="544">
        <v>20</v>
      </c>
      <c r="U115" s="544">
        <v>30</v>
      </c>
      <c r="V115" s="544">
        <v>10</v>
      </c>
      <c r="W115" s="544">
        <v>20</v>
      </c>
      <c r="X115" s="544">
        <v>10</v>
      </c>
      <c r="Y115" s="544" t="s">
        <v>934</v>
      </c>
    </row>
    <row r="116" spans="3:25" x14ac:dyDescent="0.25">
      <c r="C116" s="88" t="str">
        <f>'G-1 All Habitats'!B114</f>
        <v>Intertidal sediment - Littoral seagrass on peat, clay or chalk</v>
      </c>
      <c r="D116" s="544" t="s">
        <v>934</v>
      </c>
      <c r="E116" s="544" t="s">
        <v>934</v>
      </c>
      <c r="F116" s="544" t="s">
        <v>934</v>
      </c>
      <c r="G116" s="544" t="s">
        <v>934</v>
      </c>
      <c r="H116" s="544" t="s">
        <v>934</v>
      </c>
      <c r="I116" s="544" t="s">
        <v>934</v>
      </c>
      <c r="J116" s="544" t="s">
        <v>934</v>
      </c>
      <c r="K116" s="544" t="s">
        <v>934</v>
      </c>
      <c r="L116" s="544" t="s">
        <v>934</v>
      </c>
      <c r="M116" s="544" t="s">
        <v>934</v>
      </c>
      <c r="N116" s="544" t="s">
        <v>934</v>
      </c>
      <c r="O116" s="544">
        <v>2</v>
      </c>
      <c r="P116" s="544">
        <v>4</v>
      </c>
      <c r="Q116" s="544">
        <v>7</v>
      </c>
      <c r="R116" s="544">
        <v>0</v>
      </c>
      <c r="S116" s="544">
        <v>2</v>
      </c>
      <c r="T116" s="544">
        <v>3</v>
      </c>
      <c r="U116" s="544">
        <v>8</v>
      </c>
      <c r="V116" s="544">
        <v>3</v>
      </c>
      <c r="W116" s="544">
        <v>6</v>
      </c>
      <c r="X116" s="544">
        <v>3</v>
      </c>
      <c r="Y116" s="544" t="s">
        <v>934</v>
      </c>
    </row>
    <row r="117" spans="3:25" x14ac:dyDescent="0.25">
      <c r="C117" s="88" t="str">
        <f>'G-1 All Habitats'!B115</f>
        <v>Intertidal sediment - Littoral biogenic reefs - Mussels</v>
      </c>
      <c r="D117" s="544" t="s">
        <v>934</v>
      </c>
      <c r="E117" s="544" t="s">
        <v>934</v>
      </c>
      <c r="F117" s="544" t="s">
        <v>934</v>
      </c>
      <c r="G117" s="544" t="s">
        <v>934</v>
      </c>
      <c r="H117" s="544" t="s">
        <v>934</v>
      </c>
      <c r="I117" s="544" t="s">
        <v>934</v>
      </c>
      <c r="J117" s="544" t="s">
        <v>934</v>
      </c>
      <c r="K117" s="544" t="s">
        <v>934</v>
      </c>
      <c r="L117" s="544" t="s">
        <v>934</v>
      </c>
      <c r="M117" s="544" t="s">
        <v>934</v>
      </c>
      <c r="N117" s="544" t="s">
        <v>934</v>
      </c>
      <c r="O117" s="544">
        <v>2</v>
      </c>
      <c r="P117" s="544">
        <v>4</v>
      </c>
      <c r="Q117" s="544">
        <v>7</v>
      </c>
      <c r="R117" s="544">
        <v>10</v>
      </c>
      <c r="S117" s="544">
        <v>2</v>
      </c>
      <c r="T117" s="544">
        <v>3</v>
      </c>
      <c r="U117" s="544">
        <v>8</v>
      </c>
      <c r="V117" s="544">
        <v>3</v>
      </c>
      <c r="W117" s="544">
        <v>6</v>
      </c>
      <c r="X117" s="544">
        <v>3</v>
      </c>
      <c r="Y117" s="544" t="s">
        <v>934</v>
      </c>
    </row>
    <row r="118" spans="3:25" x14ac:dyDescent="0.25">
      <c r="C118" s="88" t="str">
        <f>'G-1 All Habitats'!B116</f>
        <v>Intertidal sediment - Littoral biogenic reefs - Sabellaria</v>
      </c>
      <c r="D118" s="544" t="s">
        <v>934</v>
      </c>
      <c r="E118" s="544" t="s">
        <v>934</v>
      </c>
      <c r="F118" s="544" t="s">
        <v>934</v>
      </c>
      <c r="G118" s="544" t="s">
        <v>934</v>
      </c>
      <c r="H118" s="544" t="s">
        <v>934</v>
      </c>
      <c r="I118" s="544" t="s">
        <v>934</v>
      </c>
      <c r="J118" s="544" t="s">
        <v>934</v>
      </c>
      <c r="K118" s="544" t="s">
        <v>934</v>
      </c>
      <c r="L118" s="544" t="s">
        <v>934</v>
      </c>
      <c r="M118" s="544" t="s">
        <v>934</v>
      </c>
      <c r="N118" s="544" t="s">
        <v>934</v>
      </c>
      <c r="O118" s="544">
        <v>2</v>
      </c>
      <c r="P118" s="544">
        <v>4</v>
      </c>
      <c r="Q118" s="544">
        <v>7</v>
      </c>
      <c r="R118" s="544">
        <v>10</v>
      </c>
      <c r="S118" s="544">
        <v>2</v>
      </c>
      <c r="T118" s="544">
        <v>3</v>
      </c>
      <c r="U118" s="544">
        <v>8</v>
      </c>
      <c r="V118" s="544">
        <v>3</v>
      </c>
      <c r="W118" s="544">
        <v>6</v>
      </c>
      <c r="X118" s="544">
        <v>3</v>
      </c>
      <c r="Y118" s="544" t="s">
        <v>934</v>
      </c>
    </row>
    <row r="119" spans="3:25" x14ac:dyDescent="0.25">
      <c r="C119" s="88" t="str">
        <f>'G-1 All Habitats'!B117</f>
        <v>Intertidal sediment - Features of littoral sediment</v>
      </c>
      <c r="D119" s="544" t="s">
        <v>934</v>
      </c>
      <c r="E119" s="544" t="s">
        <v>934</v>
      </c>
      <c r="F119" s="544" t="s">
        <v>934</v>
      </c>
      <c r="G119" s="544" t="s">
        <v>934</v>
      </c>
      <c r="H119" s="544" t="s">
        <v>934</v>
      </c>
      <c r="I119" s="544" t="s">
        <v>934</v>
      </c>
      <c r="J119" s="544" t="s">
        <v>934</v>
      </c>
      <c r="K119" s="544" t="s">
        <v>934</v>
      </c>
      <c r="L119" s="544" t="s">
        <v>934</v>
      </c>
      <c r="M119" s="544" t="s">
        <v>934</v>
      </c>
      <c r="N119" s="544" t="s">
        <v>934</v>
      </c>
      <c r="O119" s="544">
        <v>1</v>
      </c>
      <c r="P119" s="544">
        <v>2</v>
      </c>
      <c r="Q119" s="544">
        <v>3</v>
      </c>
      <c r="R119" s="544">
        <v>5</v>
      </c>
      <c r="S119" s="544">
        <v>1</v>
      </c>
      <c r="T119" s="544">
        <v>2</v>
      </c>
      <c r="U119" s="544">
        <v>4</v>
      </c>
      <c r="V119" s="544">
        <v>1</v>
      </c>
      <c r="W119" s="544">
        <v>3</v>
      </c>
      <c r="X119" s="544">
        <v>2</v>
      </c>
      <c r="Y119" s="544" t="s">
        <v>934</v>
      </c>
    </row>
    <row r="120" spans="3:25" x14ac:dyDescent="0.25">
      <c r="C120" s="88" t="str">
        <f>'G-1 All Habitats'!B118</f>
        <v>Intertidal sediment - Artificial littoral coarse sediment</v>
      </c>
      <c r="D120" s="544" t="s">
        <v>934</v>
      </c>
      <c r="E120" s="544" t="s">
        <v>934</v>
      </c>
      <c r="F120" s="544" t="s">
        <v>934</v>
      </c>
      <c r="G120" s="544" t="s">
        <v>934</v>
      </c>
      <c r="H120" s="544" t="s">
        <v>934</v>
      </c>
      <c r="I120" s="544" t="s">
        <v>934</v>
      </c>
      <c r="J120" s="544" t="s">
        <v>934</v>
      </c>
      <c r="K120" s="544" t="s">
        <v>934</v>
      </c>
      <c r="L120" s="544" t="s">
        <v>934</v>
      </c>
      <c r="M120" s="544" t="s">
        <v>934</v>
      </c>
      <c r="N120" s="544" t="s">
        <v>934</v>
      </c>
      <c r="O120" s="544">
        <v>1</v>
      </c>
      <c r="P120" s="544">
        <v>2</v>
      </c>
      <c r="Q120" s="544">
        <v>3</v>
      </c>
      <c r="R120" s="544">
        <v>4</v>
      </c>
      <c r="S120" s="544">
        <v>1</v>
      </c>
      <c r="T120" s="544">
        <v>2</v>
      </c>
      <c r="U120" s="544">
        <v>3</v>
      </c>
      <c r="V120" s="544">
        <v>1</v>
      </c>
      <c r="W120" s="544">
        <v>2</v>
      </c>
      <c r="X120" s="544">
        <v>1</v>
      </c>
      <c r="Y120" s="544" t="s">
        <v>934</v>
      </c>
    </row>
    <row r="121" spans="3:25" x14ac:dyDescent="0.25">
      <c r="C121" s="88" t="str">
        <f>'G-1 All Habitats'!B119</f>
        <v>Intertidal sediment - Artificial littoral mud</v>
      </c>
      <c r="D121" s="544" t="s">
        <v>934</v>
      </c>
      <c r="E121" s="544" t="s">
        <v>934</v>
      </c>
      <c r="F121" s="544" t="s">
        <v>934</v>
      </c>
      <c r="G121" s="544" t="s">
        <v>934</v>
      </c>
      <c r="H121" s="544" t="s">
        <v>934</v>
      </c>
      <c r="I121" s="544" t="s">
        <v>934</v>
      </c>
      <c r="J121" s="544" t="s">
        <v>934</v>
      </c>
      <c r="K121" s="544" t="s">
        <v>934</v>
      </c>
      <c r="L121" s="544" t="s">
        <v>934</v>
      </c>
      <c r="M121" s="544" t="s">
        <v>934</v>
      </c>
      <c r="N121" s="544" t="s">
        <v>934</v>
      </c>
      <c r="O121" s="544">
        <v>2</v>
      </c>
      <c r="P121" s="544">
        <v>4</v>
      </c>
      <c r="Q121" s="544">
        <v>6</v>
      </c>
      <c r="R121" s="544">
        <v>8</v>
      </c>
      <c r="S121" s="544">
        <v>2</v>
      </c>
      <c r="T121" s="544">
        <v>4</v>
      </c>
      <c r="U121" s="544">
        <v>6</v>
      </c>
      <c r="V121" s="544">
        <v>2</v>
      </c>
      <c r="W121" s="544">
        <v>4</v>
      </c>
      <c r="X121" s="544">
        <v>2</v>
      </c>
      <c r="Y121" s="544" t="s">
        <v>934</v>
      </c>
    </row>
    <row r="122" spans="3:25" x14ac:dyDescent="0.25">
      <c r="C122" s="88" t="str">
        <f>'G-1 All Habitats'!B120</f>
        <v>Intertidal sediment - Artificial littoral sand</v>
      </c>
      <c r="D122" s="544" t="s">
        <v>934</v>
      </c>
      <c r="E122" s="544" t="s">
        <v>934</v>
      </c>
      <c r="F122" s="544" t="s">
        <v>934</v>
      </c>
      <c r="G122" s="544" t="s">
        <v>934</v>
      </c>
      <c r="H122" s="544" t="s">
        <v>934</v>
      </c>
      <c r="I122" s="544" t="s">
        <v>934</v>
      </c>
      <c r="J122" s="544" t="s">
        <v>934</v>
      </c>
      <c r="K122" s="544" t="s">
        <v>934</v>
      </c>
      <c r="L122" s="544" t="s">
        <v>934</v>
      </c>
      <c r="M122" s="544" t="s">
        <v>934</v>
      </c>
      <c r="N122" s="544" t="s">
        <v>934</v>
      </c>
      <c r="O122" s="544">
        <v>2</v>
      </c>
      <c r="P122" s="544">
        <v>3</v>
      </c>
      <c r="Q122" s="544">
        <v>4</v>
      </c>
      <c r="R122" s="544">
        <v>6</v>
      </c>
      <c r="S122" s="544">
        <v>1</v>
      </c>
      <c r="T122" s="544">
        <v>2</v>
      </c>
      <c r="U122" s="544">
        <v>4</v>
      </c>
      <c r="V122" s="544">
        <v>1</v>
      </c>
      <c r="W122" s="544">
        <v>3</v>
      </c>
      <c r="X122" s="544">
        <v>2</v>
      </c>
      <c r="Y122" s="544" t="s">
        <v>934</v>
      </c>
    </row>
    <row r="123" spans="3:25" x14ac:dyDescent="0.25">
      <c r="C123" s="88" t="str">
        <f>'G-1 All Habitats'!B121</f>
        <v>Intertidal sediment - Artificial littoral muddy sand</v>
      </c>
      <c r="D123" s="544" t="s">
        <v>934</v>
      </c>
      <c r="E123" s="544" t="s">
        <v>934</v>
      </c>
      <c r="F123" s="544" t="s">
        <v>934</v>
      </c>
      <c r="G123" s="544" t="s">
        <v>934</v>
      </c>
      <c r="H123" s="544" t="s">
        <v>934</v>
      </c>
      <c r="I123" s="544" t="s">
        <v>934</v>
      </c>
      <c r="J123" s="544" t="s">
        <v>934</v>
      </c>
      <c r="K123" s="544" t="s">
        <v>934</v>
      </c>
      <c r="L123" s="544" t="s">
        <v>934</v>
      </c>
      <c r="M123" s="544" t="s">
        <v>934</v>
      </c>
      <c r="N123" s="544" t="s">
        <v>934</v>
      </c>
      <c r="O123" s="544">
        <v>2</v>
      </c>
      <c r="P123" s="544">
        <v>4</v>
      </c>
      <c r="Q123" s="544">
        <v>6</v>
      </c>
      <c r="R123" s="544">
        <v>8</v>
      </c>
      <c r="S123" s="544">
        <v>2</v>
      </c>
      <c r="T123" s="544">
        <v>4</v>
      </c>
      <c r="U123" s="544">
        <v>6</v>
      </c>
      <c r="V123" s="544">
        <v>2</v>
      </c>
      <c r="W123" s="544">
        <v>4</v>
      </c>
      <c r="X123" s="544">
        <v>2</v>
      </c>
      <c r="Y123" s="544" t="s">
        <v>934</v>
      </c>
    </row>
    <row r="124" spans="3:25" x14ac:dyDescent="0.25">
      <c r="C124" s="88" t="str">
        <f>'G-1 All Habitats'!B122</f>
        <v>Intertidal sediment - Artificial littoral mixed sediments</v>
      </c>
      <c r="D124" s="544" t="s">
        <v>934</v>
      </c>
      <c r="E124" s="544" t="s">
        <v>934</v>
      </c>
      <c r="F124" s="544" t="s">
        <v>934</v>
      </c>
      <c r="G124" s="544" t="s">
        <v>934</v>
      </c>
      <c r="H124" s="544" t="s">
        <v>934</v>
      </c>
      <c r="I124" s="544" t="s">
        <v>934</v>
      </c>
      <c r="J124" s="544" t="s">
        <v>934</v>
      </c>
      <c r="K124" s="544" t="s">
        <v>934</v>
      </c>
      <c r="L124" s="544" t="s">
        <v>934</v>
      </c>
      <c r="M124" s="544" t="s">
        <v>934</v>
      </c>
      <c r="N124" s="544" t="s">
        <v>934</v>
      </c>
      <c r="O124" s="544">
        <v>1</v>
      </c>
      <c r="P124" s="544">
        <v>2</v>
      </c>
      <c r="Q124" s="544">
        <v>3</v>
      </c>
      <c r="R124" s="544">
        <v>4</v>
      </c>
      <c r="S124" s="544">
        <v>1</v>
      </c>
      <c r="T124" s="544">
        <v>2</v>
      </c>
      <c r="U124" s="544">
        <v>3</v>
      </c>
      <c r="V124" s="544">
        <v>1</v>
      </c>
      <c r="W124" s="544">
        <v>2</v>
      </c>
      <c r="X124" s="544">
        <v>1</v>
      </c>
      <c r="Y124" s="544" t="s">
        <v>934</v>
      </c>
    </row>
    <row r="125" spans="3:25" x14ac:dyDescent="0.25">
      <c r="C125" s="88" t="str">
        <f>'G-1 All Habitats'!B123</f>
        <v>Intertidal sediment - Artificial littoral seagrass</v>
      </c>
      <c r="D125" s="544" t="s">
        <v>934</v>
      </c>
      <c r="E125" s="544" t="s">
        <v>934</v>
      </c>
      <c r="F125" s="544" t="s">
        <v>934</v>
      </c>
      <c r="G125" s="544" t="s">
        <v>934</v>
      </c>
      <c r="H125" s="544" t="s">
        <v>934</v>
      </c>
      <c r="I125" s="544" t="s">
        <v>934</v>
      </c>
      <c r="J125" s="544" t="s">
        <v>934</v>
      </c>
      <c r="K125" s="544" t="s">
        <v>934</v>
      </c>
      <c r="L125" s="544" t="s">
        <v>934</v>
      </c>
      <c r="M125" s="544" t="s">
        <v>934</v>
      </c>
      <c r="N125" s="544" t="s">
        <v>934</v>
      </c>
      <c r="O125" s="544">
        <v>3</v>
      </c>
      <c r="P125" s="544">
        <v>13</v>
      </c>
      <c r="Q125" s="544">
        <v>23</v>
      </c>
      <c r="R125" s="544" t="s">
        <v>935</v>
      </c>
      <c r="S125" s="544">
        <v>10</v>
      </c>
      <c r="T125" s="544">
        <v>20</v>
      </c>
      <c r="U125" s="544">
        <v>30</v>
      </c>
      <c r="V125" s="544">
        <v>10</v>
      </c>
      <c r="W125" s="544">
        <v>20</v>
      </c>
      <c r="X125" s="544">
        <v>10</v>
      </c>
      <c r="Y125" s="544" t="s">
        <v>934</v>
      </c>
    </row>
    <row r="126" spans="3:25" x14ac:dyDescent="0.25">
      <c r="C126" s="88" t="str">
        <f>'G-1 All Habitats'!B124</f>
        <v>Intertidal sediment - Artificial littoral biogenic reefs</v>
      </c>
      <c r="D126" s="544" t="s">
        <v>934</v>
      </c>
      <c r="E126" s="544" t="s">
        <v>934</v>
      </c>
      <c r="F126" s="544" t="s">
        <v>934</v>
      </c>
      <c r="G126" s="544" t="s">
        <v>934</v>
      </c>
      <c r="H126" s="544" t="s">
        <v>934</v>
      </c>
      <c r="I126" s="544" t="s">
        <v>934</v>
      </c>
      <c r="J126" s="544" t="s">
        <v>934</v>
      </c>
      <c r="K126" s="544" t="s">
        <v>934</v>
      </c>
      <c r="L126" s="544" t="s">
        <v>934</v>
      </c>
      <c r="M126" s="544" t="s">
        <v>934</v>
      </c>
      <c r="N126" s="544" t="s">
        <v>934</v>
      </c>
      <c r="O126" s="544">
        <v>2</v>
      </c>
      <c r="P126" s="544">
        <v>4</v>
      </c>
      <c r="Q126" s="544">
        <v>7</v>
      </c>
      <c r="R126" s="544">
        <v>10</v>
      </c>
      <c r="S126" s="544">
        <v>2</v>
      </c>
      <c r="T126" s="544">
        <v>3</v>
      </c>
      <c r="U126" s="544">
        <v>8</v>
      </c>
      <c r="V126" s="544">
        <v>3</v>
      </c>
      <c r="W126" s="544">
        <v>6</v>
      </c>
      <c r="X126" s="544">
        <v>3</v>
      </c>
      <c r="Y126" s="544" t="s">
        <v>934</v>
      </c>
    </row>
    <row r="127" spans="3:25" x14ac:dyDescent="0.25">
      <c r="C127" s="88" t="str">
        <f>'G-1 All Habitats'!B125</f>
        <v>Intertidal sediment - Littoral sand</v>
      </c>
      <c r="D127" s="544" t="s">
        <v>934</v>
      </c>
      <c r="E127" s="544" t="s">
        <v>934</v>
      </c>
      <c r="F127" s="544" t="s">
        <v>934</v>
      </c>
      <c r="G127" s="544" t="s">
        <v>934</v>
      </c>
      <c r="H127" s="544" t="s">
        <v>934</v>
      </c>
      <c r="I127" s="544" t="s">
        <v>934</v>
      </c>
      <c r="J127" s="544" t="s">
        <v>934</v>
      </c>
      <c r="K127" s="544" t="s">
        <v>934</v>
      </c>
      <c r="L127" s="544" t="s">
        <v>934</v>
      </c>
      <c r="M127" s="544" t="s">
        <v>934</v>
      </c>
      <c r="N127" s="544" t="s">
        <v>934</v>
      </c>
      <c r="O127" s="544">
        <v>2</v>
      </c>
      <c r="P127" s="544">
        <v>3</v>
      </c>
      <c r="Q127" s="544">
        <v>4</v>
      </c>
      <c r="R127" s="544">
        <v>6</v>
      </c>
      <c r="S127" s="544">
        <v>1</v>
      </c>
      <c r="T127" s="544">
        <v>2</v>
      </c>
      <c r="U127" s="544">
        <v>4</v>
      </c>
      <c r="V127" s="544">
        <v>1</v>
      </c>
      <c r="W127" s="544">
        <v>3</v>
      </c>
      <c r="X127" s="544">
        <v>2</v>
      </c>
      <c r="Y127" s="544" t="s">
        <v>934</v>
      </c>
    </row>
    <row r="128" spans="3:25" x14ac:dyDescent="0.25">
      <c r="C128" s="88" t="str">
        <f>'G-1 All Habitats'!B126</f>
        <v>Intertidal sediment - Littoral muddy sand</v>
      </c>
      <c r="D128" s="544" t="s">
        <v>934</v>
      </c>
      <c r="E128" s="544" t="s">
        <v>934</v>
      </c>
      <c r="F128" s="544" t="s">
        <v>934</v>
      </c>
      <c r="G128" s="544" t="s">
        <v>934</v>
      </c>
      <c r="H128" s="544" t="s">
        <v>934</v>
      </c>
      <c r="I128" s="544" t="s">
        <v>934</v>
      </c>
      <c r="J128" s="544" t="s">
        <v>934</v>
      </c>
      <c r="K128" s="544" t="s">
        <v>934</v>
      </c>
      <c r="L128" s="544" t="s">
        <v>934</v>
      </c>
      <c r="M128" s="544" t="s">
        <v>934</v>
      </c>
      <c r="N128" s="544" t="s">
        <v>934</v>
      </c>
      <c r="O128" s="544">
        <v>2</v>
      </c>
      <c r="P128" s="544">
        <v>4</v>
      </c>
      <c r="Q128" s="544">
        <v>6</v>
      </c>
      <c r="R128" s="544">
        <v>8</v>
      </c>
      <c r="S128" s="544">
        <v>2</v>
      </c>
      <c r="T128" s="544">
        <v>4</v>
      </c>
      <c r="U128" s="544">
        <v>6</v>
      </c>
      <c r="V128" s="544">
        <v>2</v>
      </c>
      <c r="W128" s="544">
        <v>4</v>
      </c>
      <c r="X128" s="544">
        <v>2</v>
      </c>
      <c r="Y128" s="544" t="s">
        <v>934</v>
      </c>
    </row>
    <row r="129" spans="3:25" x14ac:dyDescent="0.25">
      <c r="C129" s="88" t="str">
        <f>'G-1 All Habitats'!B127</f>
        <v>Intertidal Hard Structures - Artificial hard structures</v>
      </c>
      <c r="D129" s="544" t="s">
        <v>934</v>
      </c>
      <c r="E129" s="544" t="s">
        <v>934</v>
      </c>
      <c r="F129" s="544" t="s">
        <v>934</v>
      </c>
      <c r="G129" s="544" t="s">
        <v>934</v>
      </c>
      <c r="H129" s="544" t="s">
        <v>934</v>
      </c>
      <c r="I129" s="544" t="s">
        <v>934</v>
      </c>
      <c r="J129" s="544" t="s">
        <v>934</v>
      </c>
      <c r="K129" s="544" t="s">
        <v>934</v>
      </c>
      <c r="L129" s="544" t="s">
        <v>934</v>
      </c>
      <c r="M129" s="544" t="s">
        <v>934</v>
      </c>
      <c r="N129" s="544" t="s">
        <v>934</v>
      </c>
      <c r="O129" s="544">
        <v>6</v>
      </c>
      <c r="P129" s="544">
        <v>4</v>
      </c>
      <c r="Q129" s="544">
        <v>10</v>
      </c>
      <c r="R129" s="544">
        <v>2</v>
      </c>
      <c r="S129" s="544">
        <v>2</v>
      </c>
      <c r="T129" s="544">
        <v>8</v>
      </c>
      <c r="U129" s="544">
        <v>6</v>
      </c>
      <c r="V129" s="544">
        <v>2</v>
      </c>
      <c r="W129" s="544">
        <v>12</v>
      </c>
      <c r="X129" s="544">
        <v>4</v>
      </c>
      <c r="Y129" s="544" t="s">
        <v>934</v>
      </c>
    </row>
    <row r="130" spans="3:25" x14ac:dyDescent="0.25">
      <c r="C130" s="88" t="str">
        <f>'G-1 All Habitats'!B128</f>
        <v>Intertidal Hard Structures - Artificial features of hard structures</v>
      </c>
      <c r="D130" s="544" t="s">
        <v>934</v>
      </c>
      <c r="E130" s="544" t="s">
        <v>934</v>
      </c>
      <c r="F130" s="544" t="s">
        <v>934</v>
      </c>
      <c r="G130" s="544" t="s">
        <v>934</v>
      </c>
      <c r="H130" s="544" t="s">
        <v>934</v>
      </c>
      <c r="I130" s="544" t="s">
        <v>934</v>
      </c>
      <c r="J130" s="544" t="s">
        <v>934</v>
      </c>
      <c r="K130" s="544" t="s">
        <v>934</v>
      </c>
      <c r="L130" s="544" t="s">
        <v>934</v>
      </c>
      <c r="M130" s="544" t="s">
        <v>934</v>
      </c>
      <c r="N130" s="544" t="s">
        <v>934</v>
      </c>
      <c r="O130" s="544">
        <v>5</v>
      </c>
      <c r="P130" s="544">
        <v>4</v>
      </c>
      <c r="Q130" s="544">
        <v>9</v>
      </c>
      <c r="R130" s="544">
        <v>2</v>
      </c>
      <c r="S130" s="544">
        <v>2</v>
      </c>
      <c r="T130" s="544">
        <v>7</v>
      </c>
      <c r="U130" s="544">
        <v>6</v>
      </c>
      <c r="V130" s="544">
        <v>2</v>
      </c>
      <c r="W130" s="544">
        <v>11</v>
      </c>
      <c r="X130" s="544">
        <v>4</v>
      </c>
      <c r="Y130" s="544" t="s">
        <v>934</v>
      </c>
    </row>
    <row r="131" spans="3:25" x14ac:dyDescent="0.25">
      <c r="C131" s="88" t="str">
        <f>'G-1 All Habitats'!B129</f>
        <v>Intertidal Hard Structures - Artificial hard structures with Integrated Greening of Grey Infrastructure (IGGI)</v>
      </c>
      <c r="D131" s="544" t="s">
        <v>934</v>
      </c>
      <c r="E131" s="544" t="s">
        <v>934</v>
      </c>
      <c r="F131" s="544" t="s">
        <v>934</v>
      </c>
      <c r="G131" s="544" t="s">
        <v>934</v>
      </c>
      <c r="H131" s="544" t="s">
        <v>934</v>
      </c>
      <c r="I131" s="544" t="s">
        <v>934</v>
      </c>
      <c r="J131" s="544" t="s">
        <v>934</v>
      </c>
      <c r="K131" s="544" t="s">
        <v>934</v>
      </c>
      <c r="L131" s="544" t="s">
        <v>934</v>
      </c>
      <c r="M131" s="544" t="s">
        <v>934</v>
      </c>
      <c r="N131" s="544" t="s">
        <v>934</v>
      </c>
      <c r="O131" s="544">
        <v>5</v>
      </c>
      <c r="P131" s="544">
        <v>4</v>
      </c>
      <c r="Q131" s="544">
        <v>9</v>
      </c>
      <c r="R131" s="544">
        <v>2</v>
      </c>
      <c r="S131" s="544">
        <v>2</v>
      </c>
      <c r="T131" s="544">
        <v>7</v>
      </c>
      <c r="U131" s="544">
        <v>6</v>
      </c>
      <c r="V131" s="544">
        <v>2</v>
      </c>
      <c r="W131" s="544">
        <v>11</v>
      </c>
      <c r="X131" s="544">
        <v>4</v>
      </c>
      <c r="Y131" s="544"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3.8" zeroHeight="1" x14ac:dyDescent="0.25"/>
  <cols>
    <col min="1" max="1" width="8.33203125" style="31" customWidth="1"/>
    <col min="2" max="2" width="66.44140625" style="31" bestFit="1" customWidth="1"/>
    <col min="3" max="3" width="17.33203125" style="31" customWidth="1"/>
    <col min="4" max="4" width="17.109375" style="31" customWidth="1"/>
    <col min="5" max="5" width="10.33203125" style="31" customWidth="1"/>
    <col min="6" max="6" width="9.5546875" style="31" hidden="1" customWidth="1"/>
    <col min="7" max="7" width="12.109375" style="31" customWidth="1"/>
    <col min="8" max="8" width="10" style="31" hidden="1" customWidth="1"/>
    <col min="9" max="9" width="10.33203125" style="31" customWidth="1"/>
    <col min="10" max="10" width="8.109375" style="31" hidden="1" customWidth="1"/>
    <col min="11" max="11" width="12.109375" style="31" customWidth="1"/>
    <col min="12" max="12" width="7.88671875" style="31" hidden="1" customWidth="1"/>
    <col min="13" max="13" width="10.6640625" style="31" customWidth="1"/>
    <col min="14" max="14" width="10.5546875" style="31" hidden="1" customWidth="1"/>
    <col min="15" max="15" width="10.6640625" style="31" hidden="1" customWidth="1"/>
    <col min="16" max="16" width="4.109375" style="31" hidden="1" customWidth="1"/>
    <col min="17" max="17" width="12.5546875" style="190" customWidth="1"/>
    <col min="18" max="18" width="4.109375" style="31" hidden="1" customWidth="1"/>
    <col min="19" max="19" width="6.88671875" style="31" bestFit="1" customWidth="1"/>
    <col min="20" max="31" width="5.33203125" style="31" bestFit="1" customWidth="1"/>
    <col min="32" max="32" width="12.6640625" style="31" customWidth="1"/>
    <col min="33" max="33" width="15.6640625" style="31" customWidth="1"/>
    <col min="34" max="34" width="32.109375" style="31" customWidth="1"/>
    <col min="35" max="35" width="8.88671875" style="31" customWidth="1"/>
    <col min="36" max="37" width="14" style="31" customWidth="1"/>
    <col min="38" max="38" width="8.88671875" style="31" customWidth="1"/>
    <col min="39" max="39" width="66.44140625" style="31" bestFit="1" customWidth="1"/>
    <col min="40" max="40" width="14.5546875" style="31" bestFit="1" customWidth="1"/>
    <col min="41" max="52" width="16.88671875" style="31" bestFit="1" customWidth="1"/>
    <col min="53" max="56" width="8.88671875" style="31" customWidth="1"/>
    <col min="57" max="61" width="8.88671875" style="31" hidden="1" customWidth="1"/>
    <col min="62" max="62" width="12.44140625" style="175" hidden="1" customWidth="1"/>
    <col min="63" max="64" width="12" style="31" hidden="1" customWidth="1"/>
    <col min="65" max="75" width="0" style="31" hidden="1" customWidth="1"/>
    <col min="76" max="16384" width="8.88671875" style="31" hidden="1"/>
  </cols>
  <sheetData>
    <row r="1" spans="1:64" ht="66.75" customHeight="1" thickBot="1" x14ac:dyDescent="0.4">
      <c r="A1" s="1053"/>
      <c r="B1" s="1061"/>
      <c r="C1" s="1058" t="s">
        <v>871</v>
      </c>
      <c r="D1" s="1059"/>
      <c r="E1" s="1062" t="s">
        <v>962</v>
      </c>
      <c r="F1" s="1063"/>
      <c r="G1" s="1063"/>
      <c r="H1" s="1063"/>
      <c r="I1" s="1064"/>
      <c r="J1" s="1062" t="s">
        <v>963</v>
      </c>
      <c r="K1" s="1063"/>
      <c r="L1" s="1063"/>
      <c r="M1" s="1063"/>
      <c r="N1" s="1063"/>
      <c r="O1" s="1063"/>
      <c r="P1" s="1063"/>
      <c r="Q1" s="1063"/>
      <c r="R1" s="1064"/>
      <c r="S1" s="1062" t="s">
        <v>964</v>
      </c>
      <c r="T1" s="1063"/>
      <c r="U1" s="1063"/>
      <c r="V1" s="1063"/>
      <c r="W1" s="1063"/>
      <c r="X1" s="1063"/>
      <c r="Y1" s="1063"/>
      <c r="Z1" s="1063"/>
      <c r="AA1" s="1063"/>
      <c r="AB1" s="1063"/>
      <c r="AC1" s="1063"/>
      <c r="AD1" s="1063"/>
      <c r="AE1" s="1064"/>
      <c r="AF1" s="1058" t="s">
        <v>291</v>
      </c>
      <c r="AG1" s="1059"/>
      <c r="AH1" s="973" t="s">
        <v>965</v>
      </c>
      <c r="AJ1" s="1058" t="s">
        <v>966</v>
      </c>
      <c r="AK1" s="1059"/>
      <c r="AM1" s="174" t="s">
        <v>967</v>
      </c>
      <c r="AN1" s="1060" t="s">
        <v>968</v>
      </c>
      <c r="AO1" s="1060"/>
      <c r="AP1" s="1060"/>
      <c r="AQ1" s="1060"/>
      <c r="AR1" s="1060"/>
      <c r="AS1" s="1060"/>
      <c r="AT1" s="1060"/>
      <c r="AU1" s="1060"/>
      <c r="AV1" s="1060"/>
      <c r="AW1" s="1060"/>
      <c r="AX1" s="1060"/>
      <c r="AY1" s="1060"/>
      <c r="AZ1" s="1060"/>
      <c r="BK1" s="1056" t="s">
        <v>969</v>
      </c>
      <c r="BL1" s="1057"/>
    </row>
    <row r="2" spans="1:64" ht="182.25" customHeight="1" thickBot="1" x14ac:dyDescent="0.3">
      <c r="B2" s="176" t="s">
        <v>820</v>
      </c>
      <c r="C2" s="173" t="s">
        <v>970</v>
      </c>
      <c r="D2" s="177" t="s">
        <v>971</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972</v>
      </c>
      <c r="V2" s="181" t="s">
        <v>973</v>
      </c>
      <c r="W2" s="181" t="s">
        <v>111</v>
      </c>
      <c r="X2" s="181" t="s">
        <v>974</v>
      </c>
      <c r="Y2" s="181" t="s">
        <v>113</v>
      </c>
      <c r="Z2" s="181" t="s">
        <v>975</v>
      </c>
      <c r="AA2" s="181" t="s">
        <v>976</v>
      </c>
      <c r="AB2" s="181" t="s">
        <v>116</v>
      </c>
      <c r="AC2" s="181" t="s">
        <v>117</v>
      </c>
      <c r="AD2" s="181" t="s">
        <v>977</v>
      </c>
      <c r="AE2" s="181" t="s">
        <v>119</v>
      </c>
      <c r="AF2" s="173" t="s">
        <v>359</v>
      </c>
      <c r="AG2" s="177" t="s">
        <v>360</v>
      </c>
      <c r="AH2" s="997"/>
      <c r="AJ2" s="173" t="s">
        <v>978</v>
      </c>
      <c r="AK2" s="177" t="s">
        <v>979</v>
      </c>
      <c r="AM2" s="182" t="s">
        <v>980</v>
      </c>
      <c r="AN2" s="165" t="s">
        <v>107</v>
      </c>
      <c r="AO2" s="165" t="s">
        <v>108</v>
      </c>
      <c r="AP2" s="165" t="s">
        <v>109</v>
      </c>
      <c r="AQ2" s="165" t="s">
        <v>973</v>
      </c>
      <c r="AR2" s="165" t="s">
        <v>111</v>
      </c>
      <c r="AS2" s="165" t="s">
        <v>974</v>
      </c>
      <c r="AT2" s="165" t="s">
        <v>113</v>
      </c>
      <c r="AU2" s="165" t="s">
        <v>975</v>
      </c>
      <c r="AV2" s="165" t="s">
        <v>976</v>
      </c>
      <c r="AW2" s="165" t="s">
        <v>116</v>
      </c>
      <c r="AX2" s="165" t="s">
        <v>117</v>
      </c>
      <c r="AY2" s="165" t="s">
        <v>118</v>
      </c>
      <c r="AZ2" s="165" t="s">
        <v>119</v>
      </c>
      <c r="BK2" s="89" t="s">
        <v>981</v>
      </c>
      <c r="BL2" s="89" t="s">
        <v>982</v>
      </c>
    </row>
    <row r="3" spans="1:64" ht="30.75" customHeight="1" thickBot="1" x14ac:dyDescent="0.3">
      <c r="A3" s="183"/>
      <c r="B3" s="638" t="s">
        <v>107</v>
      </c>
      <c r="C3" s="596" t="s">
        <v>375</v>
      </c>
      <c r="D3" s="597">
        <v>8</v>
      </c>
      <c r="E3" s="598">
        <v>1</v>
      </c>
      <c r="F3" s="599"/>
      <c r="G3" s="599">
        <v>10</v>
      </c>
      <c r="H3" s="599"/>
      <c r="I3" s="597">
        <v>20</v>
      </c>
      <c r="J3" s="598"/>
      <c r="K3" s="599">
        <v>6</v>
      </c>
      <c r="L3" s="599"/>
      <c r="M3" s="599">
        <v>10</v>
      </c>
      <c r="N3" s="599"/>
      <c r="O3" s="599"/>
      <c r="P3" s="599"/>
      <c r="Q3" s="597">
        <v>4</v>
      </c>
      <c r="R3" s="600"/>
      <c r="S3" s="601" t="s">
        <v>983</v>
      </c>
      <c r="T3" s="602" t="s">
        <v>983</v>
      </c>
      <c r="U3" s="602" t="s">
        <v>983</v>
      </c>
      <c r="V3" s="602" t="s">
        <v>983</v>
      </c>
      <c r="W3" s="602" t="s">
        <v>983</v>
      </c>
      <c r="X3" s="602" t="s">
        <v>983</v>
      </c>
      <c r="Y3" s="602" t="s">
        <v>983</v>
      </c>
      <c r="Z3" s="602" t="s">
        <v>983</v>
      </c>
      <c r="AA3" s="602" t="s">
        <v>983</v>
      </c>
      <c r="AB3" s="602" t="s">
        <v>983</v>
      </c>
      <c r="AC3" s="602" t="s">
        <v>983</v>
      </c>
      <c r="AD3" s="602" t="s">
        <v>983</v>
      </c>
      <c r="AE3" s="603" t="s">
        <v>983</v>
      </c>
      <c r="AF3" s="604" t="s">
        <v>156</v>
      </c>
      <c r="AG3" s="605" t="s">
        <v>156</v>
      </c>
      <c r="AH3" s="606" t="s">
        <v>984</v>
      </c>
      <c r="AJ3" s="185" t="s">
        <v>21</v>
      </c>
      <c r="AK3" s="614">
        <v>3</v>
      </c>
      <c r="AM3" s="184" t="s">
        <v>107</v>
      </c>
      <c r="AN3" s="602" t="s">
        <v>985</v>
      </c>
      <c r="AO3" s="617" t="s">
        <v>986</v>
      </c>
      <c r="AP3" s="602" t="s">
        <v>986</v>
      </c>
      <c r="AQ3" s="602" t="s">
        <v>986</v>
      </c>
      <c r="AR3" s="602" t="s">
        <v>986</v>
      </c>
      <c r="AS3" s="602" t="s">
        <v>986</v>
      </c>
      <c r="AT3" s="602" t="s">
        <v>986</v>
      </c>
      <c r="AU3" s="602" t="s">
        <v>986</v>
      </c>
      <c r="AV3" s="602" t="s">
        <v>986</v>
      </c>
      <c r="AW3" s="602" t="s">
        <v>986</v>
      </c>
      <c r="AX3" s="602" t="s">
        <v>986</v>
      </c>
      <c r="AY3" s="602" t="s">
        <v>986</v>
      </c>
      <c r="AZ3" s="602" t="s">
        <v>986</v>
      </c>
      <c r="BJ3" s="175" t="s">
        <v>981</v>
      </c>
      <c r="BK3" s="186" t="s">
        <v>21</v>
      </c>
      <c r="BL3" s="186" t="s">
        <v>242</v>
      </c>
    </row>
    <row r="4" spans="1:64" ht="30.75" customHeight="1" thickBot="1" x14ac:dyDescent="0.3">
      <c r="A4" s="183"/>
      <c r="B4" s="639" t="s">
        <v>108</v>
      </c>
      <c r="C4" s="537" t="s">
        <v>153</v>
      </c>
      <c r="D4" s="605">
        <v>6</v>
      </c>
      <c r="E4" s="604">
        <v>1</v>
      </c>
      <c r="F4" s="544"/>
      <c r="G4" s="544">
        <v>10</v>
      </c>
      <c r="H4" s="544"/>
      <c r="I4" s="605">
        <v>20</v>
      </c>
      <c r="J4" s="604"/>
      <c r="K4" s="544">
        <v>6</v>
      </c>
      <c r="L4" s="544"/>
      <c r="M4" s="544">
        <v>10</v>
      </c>
      <c r="N4" s="544"/>
      <c r="O4" s="544"/>
      <c r="P4" s="544"/>
      <c r="Q4" s="605">
        <v>4</v>
      </c>
      <c r="R4" s="607"/>
      <c r="S4" s="604">
        <v>5</v>
      </c>
      <c r="T4" s="602" t="s">
        <v>983</v>
      </c>
      <c r="U4" s="602" t="s">
        <v>983</v>
      </c>
      <c r="V4" s="602" t="s">
        <v>983</v>
      </c>
      <c r="W4" s="602" t="s">
        <v>983</v>
      </c>
      <c r="X4" s="602" t="s">
        <v>983</v>
      </c>
      <c r="Y4" s="602" t="s">
        <v>983</v>
      </c>
      <c r="Z4" s="602" t="s">
        <v>983</v>
      </c>
      <c r="AA4" s="602" t="s">
        <v>983</v>
      </c>
      <c r="AB4" s="602" t="s">
        <v>983</v>
      </c>
      <c r="AC4" s="602" t="s">
        <v>983</v>
      </c>
      <c r="AD4" s="602" t="s">
        <v>983</v>
      </c>
      <c r="AE4" s="603" t="s">
        <v>983</v>
      </c>
      <c r="AF4" s="604" t="s">
        <v>156</v>
      </c>
      <c r="AG4" s="605" t="s">
        <v>156</v>
      </c>
      <c r="AH4" s="608" t="s">
        <v>987</v>
      </c>
      <c r="AJ4" s="87" t="s">
        <v>20</v>
      </c>
      <c r="AK4" s="615">
        <v>2</v>
      </c>
      <c r="AM4" s="184" t="s">
        <v>108</v>
      </c>
      <c r="AN4" s="602" t="s">
        <v>988</v>
      </c>
      <c r="AO4" s="617" t="s">
        <v>989</v>
      </c>
      <c r="AP4" s="602" t="s">
        <v>989</v>
      </c>
      <c r="AQ4" s="602" t="s">
        <v>989</v>
      </c>
      <c r="AR4" s="602" t="s">
        <v>986</v>
      </c>
      <c r="AS4" s="602" t="s">
        <v>986</v>
      </c>
      <c r="AT4" s="602" t="s">
        <v>986</v>
      </c>
      <c r="AU4" s="602" t="s">
        <v>986</v>
      </c>
      <c r="AV4" s="602" t="s">
        <v>986</v>
      </c>
      <c r="AW4" s="602" t="s">
        <v>986</v>
      </c>
      <c r="AX4" s="602" t="s">
        <v>986</v>
      </c>
      <c r="AY4" s="602" t="s">
        <v>986</v>
      </c>
      <c r="AZ4" s="602" t="s">
        <v>986</v>
      </c>
      <c r="BJ4" s="175" t="s">
        <v>981</v>
      </c>
      <c r="BK4" s="186" t="s">
        <v>20</v>
      </c>
    </row>
    <row r="5" spans="1:64" ht="30.75" customHeight="1" thickBot="1" x14ac:dyDescent="0.3">
      <c r="A5" s="183"/>
      <c r="B5" s="639" t="s">
        <v>109</v>
      </c>
      <c r="C5" s="537" t="s">
        <v>153</v>
      </c>
      <c r="D5" s="605">
        <v>6</v>
      </c>
      <c r="E5" s="604">
        <v>1</v>
      </c>
      <c r="F5" s="544"/>
      <c r="G5" s="544">
        <v>5</v>
      </c>
      <c r="H5" s="544"/>
      <c r="I5" s="605">
        <v>12</v>
      </c>
      <c r="J5" s="604"/>
      <c r="K5" s="544">
        <v>3</v>
      </c>
      <c r="L5" s="544"/>
      <c r="M5" s="544">
        <v>5</v>
      </c>
      <c r="N5" s="544"/>
      <c r="O5" s="544"/>
      <c r="P5" s="544"/>
      <c r="Q5" s="605">
        <v>2</v>
      </c>
      <c r="R5" s="607"/>
      <c r="S5" s="604">
        <v>10</v>
      </c>
      <c r="T5" s="602" t="s">
        <v>983</v>
      </c>
      <c r="U5" s="602" t="s">
        <v>983</v>
      </c>
      <c r="V5" s="602" t="s">
        <v>983</v>
      </c>
      <c r="W5" s="602" t="s">
        <v>983</v>
      </c>
      <c r="X5" s="602" t="s">
        <v>983</v>
      </c>
      <c r="Y5" s="602" t="s">
        <v>983</v>
      </c>
      <c r="Z5" s="602" t="s">
        <v>983</v>
      </c>
      <c r="AA5" s="602" t="s">
        <v>983</v>
      </c>
      <c r="AB5" s="602" t="s">
        <v>983</v>
      </c>
      <c r="AC5" s="602" t="s">
        <v>983</v>
      </c>
      <c r="AD5" s="602" t="s">
        <v>983</v>
      </c>
      <c r="AE5" s="603" t="s">
        <v>983</v>
      </c>
      <c r="AF5" s="604" t="s">
        <v>156</v>
      </c>
      <c r="AG5" s="605" t="s">
        <v>156</v>
      </c>
      <c r="AH5" s="608" t="s">
        <v>987</v>
      </c>
      <c r="AJ5" s="89" t="s">
        <v>242</v>
      </c>
      <c r="AK5" s="616">
        <v>1</v>
      </c>
      <c r="AM5" s="184" t="s">
        <v>109</v>
      </c>
      <c r="AN5" s="602" t="s">
        <v>988</v>
      </c>
      <c r="AO5" s="617" t="s">
        <v>989</v>
      </c>
      <c r="AP5" s="602" t="s">
        <v>989</v>
      </c>
      <c r="AQ5" s="602" t="s">
        <v>989</v>
      </c>
      <c r="AR5" s="602" t="s">
        <v>986</v>
      </c>
      <c r="AS5" s="602" t="s">
        <v>986</v>
      </c>
      <c r="AT5" s="602" t="s">
        <v>986</v>
      </c>
      <c r="AU5" s="602" t="s">
        <v>986</v>
      </c>
      <c r="AV5" s="602" t="s">
        <v>986</v>
      </c>
      <c r="AW5" s="602" t="s">
        <v>986</v>
      </c>
      <c r="AX5" s="602" t="s">
        <v>986</v>
      </c>
      <c r="AY5" s="602" t="s">
        <v>986</v>
      </c>
      <c r="AZ5" s="602" t="s">
        <v>986</v>
      </c>
      <c r="BJ5" s="175" t="s">
        <v>981</v>
      </c>
      <c r="BK5" s="186" t="s">
        <v>242</v>
      </c>
    </row>
    <row r="6" spans="1:64" ht="30.75" customHeight="1" thickBot="1" x14ac:dyDescent="0.3">
      <c r="A6" s="183"/>
      <c r="B6" s="639" t="s">
        <v>110</v>
      </c>
      <c r="C6" s="537" t="s">
        <v>153</v>
      </c>
      <c r="D6" s="605">
        <v>6</v>
      </c>
      <c r="E6" s="604">
        <v>1</v>
      </c>
      <c r="F6" s="544"/>
      <c r="G6" s="544">
        <v>10</v>
      </c>
      <c r="H6" s="544"/>
      <c r="I6" s="605">
        <v>20</v>
      </c>
      <c r="J6" s="604"/>
      <c r="K6" s="544">
        <v>6</v>
      </c>
      <c r="L6" s="544"/>
      <c r="M6" s="544">
        <v>10</v>
      </c>
      <c r="N6" s="544"/>
      <c r="O6" s="544"/>
      <c r="P6" s="544"/>
      <c r="Q6" s="605">
        <v>4</v>
      </c>
      <c r="R6" s="607"/>
      <c r="S6" s="604">
        <v>5</v>
      </c>
      <c r="T6" s="602" t="s">
        <v>983</v>
      </c>
      <c r="U6" s="602" t="s">
        <v>983</v>
      </c>
      <c r="V6" s="602" t="s">
        <v>983</v>
      </c>
      <c r="W6" s="602" t="s">
        <v>983</v>
      </c>
      <c r="X6" s="602" t="s">
        <v>983</v>
      </c>
      <c r="Y6" s="602" t="s">
        <v>983</v>
      </c>
      <c r="Z6" s="602" t="s">
        <v>983</v>
      </c>
      <c r="AA6" s="602" t="s">
        <v>983</v>
      </c>
      <c r="AB6" s="602" t="s">
        <v>983</v>
      </c>
      <c r="AC6" s="602" t="s">
        <v>983</v>
      </c>
      <c r="AD6" s="602" t="s">
        <v>983</v>
      </c>
      <c r="AE6" s="603" t="s">
        <v>983</v>
      </c>
      <c r="AF6" s="604" t="s">
        <v>156</v>
      </c>
      <c r="AG6" s="605" t="s">
        <v>156</v>
      </c>
      <c r="AH6" s="608" t="s">
        <v>987</v>
      </c>
      <c r="AM6" s="184" t="s">
        <v>110</v>
      </c>
      <c r="AN6" s="617" t="s">
        <v>988</v>
      </c>
      <c r="AO6" s="617" t="s">
        <v>989</v>
      </c>
      <c r="AP6" s="617" t="s">
        <v>989</v>
      </c>
      <c r="AQ6" s="617" t="s">
        <v>989</v>
      </c>
      <c r="AR6" s="617" t="s">
        <v>986</v>
      </c>
      <c r="AS6" s="617" t="s">
        <v>986</v>
      </c>
      <c r="AT6" s="617" t="s">
        <v>986</v>
      </c>
      <c r="AU6" s="617" t="s">
        <v>986</v>
      </c>
      <c r="AV6" s="617" t="s">
        <v>986</v>
      </c>
      <c r="AW6" s="617" t="s">
        <v>986</v>
      </c>
      <c r="AX6" s="617" t="s">
        <v>986</v>
      </c>
      <c r="AY6" s="617" t="s">
        <v>986</v>
      </c>
      <c r="AZ6" s="617" t="s">
        <v>986</v>
      </c>
      <c r="BJ6" s="175" t="s">
        <v>981</v>
      </c>
    </row>
    <row r="7" spans="1:64" ht="42" thickBot="1" x14ac:dyDescent="0.3">
      <c r="A7" s="183"/>
      <c r="B7" s="639" t="s">
        <v>111</v>
      </c>
      <c r="C7" s="537" t="s">
        <v>23</v>
      </c>
      <c r="D7" s="605">
        <v>4</v>
      </c>
      <c r="E7" s="604">
        <v>1</v>
      </c>
      <c r="F7" s="544"/>
      <c r="G7" s="544">
        <v>5</v>
      </c>
      <c r="H7" s="544"/>
      <c r="I7" s="605">
        <v>12</v>
      </c>
      <c r="J7" s="604"/>
      <c r="K7" s="544">
        <v>3</v>
      </c>
      <c r="L7" s="544"/>
      <c r="M7" s="544">
        <v>5</v>
      </c>
      <c r="N7" s="544"/>
      <c r="O7" s="544"/>
      <c r="P7" s="544"/>
      <c r="Q7" s="605">
        <v>2</v>
      </c>
      <c r="R7" s="607"/>
      <c r="S7" s="604">
        <v>10</v>
      </c>
      <c r="T7" s="544">
        <v>10</v>
      </c>
      <c r="U7" s="544">
        <v>5</v>
      </c>
      <c r="V7" s="544">
        <v>10</v>
      </c>
      <c r="W7" s="602" t="s">
        <v>983</v>
      </c>
      <c r="X7" s="602" t="s">
        <v>983</v>
      </c>
      <c r="Y7" s="602" t="s">
        <v>983</v>
      </c>
      <c r="Z7" s="602" t="s">
        <v>983</v>
      </c>
      <c r="AA7" s="602" t="s">
        <v>983</v>
      </c>
      <c r="AB7" s="602" t="s">
        <v>983</v>
      </c>
      <c r="AC7" s="602" t="s">
        <v>983</v>
      </c>
      <c r="AD7" s="602" t="s">
        <v>983</v>
      </c>
      <c r="AE7" s="603" t="s">
        <v>983</v>
      </c>
      <c r="AF7" s="604" t="s">
        <v>156</v>
      </c>
      <c r="AG7" s="605" t="s">
        <v>156</v>
      </c>
      <c r="AH7" s="608" t="s">
        <v>987</v>
      </c>
      <c r="AM7" s="184" t="s">
        <v>111</v>
      </c>
      <c r="AN7" s="617" t="s">
        <v>990</v>
      </c>
      <c r="AO7" s="520" t="s">
        <v>991</v>
      </c>
      <c r="AP7" s="520" t="s">
        <v>991</v>
      </c>
      <c r="AQ7" s="520" t="s">
        <v>991</v>
      </c>
      <c r="AR7" s="520" t="s">
        <v>992</v>
      </c>
      <c r="AS7" s="520" t="s">
        <v>992</v>
      </c>
      <c r="AT7" s="520" t="s">
        <v>992</v>
      </c>
      <c r="AU7" s="520" t="s">
        <v>993</v>
      </c>
      <c r="AV7" s="520" t="s">
        <v>993</v>
      </c>
      <c r="AW7" s="617" t="s">
        <v>986</v>
      </c>
      <c r="AX7" s="617" t="s">
        <v>986</v>
      </c>
      <c r="AY7" s="617" t="s">
        <v>986</v>
      </c>
      <c r="AZ7" s="617" t="s">
        <v>986</v>
      </c>
      <c r="BJ7" s="175" t="s">
        <v>981</v>
      </c>
    </row>
    <row r="8" spans="1:64" ht="42" thickBot="1" x14ac:dyDescent="0.3">
      <c r="A8" s="183"/>
      <c r="B8" s="639" t="s">
        <v>112</v>
      </c>
      <c r="C8" s="537" t="s">
        <v>23</v>
      </c>
      <c r="D8" s="605">
        <v>4</v>
      </c>
      <c r="E8" s="604">
        <v>1</v>
      </c>
      <c r="F8" s="544"/>
      <c r="G8" s="544">
        <v>5</v>
      </c>
      <c r="H8" s="544"/>
      <c r="I8" s="605">
        <v>12</v>
      </c>
      <c r="J8" s="604"/>
      <c r="K8" s="544">
        <v>3</v>
      </c>
      <c r="L8" s="544"/>
      <c r="M8" s="544">
        <v>5</v>
      </c>
      <c r="N8" s="544"/>
      <c r="O8" s="544"/>
      <c r="P8" s="544"/>
      <c r="Q8" s="605">
        <v>2</v>
      </c>
      <c r="R8" s="607"/>
      <c r="S8" s="604">
        <v>10</v>
      </c>
      <c r="T8" s="544">
        <v>10</v>
      </c>
      <c r="U8" s="544">
        <v>5</v>
      </c>
      <c r="V8" s="544">
        <v>10</v>
      </c>
      <c r="W8" s="602" t="s">
        <v>983</v>
      </c>
      <c r="X8" s="602" t="s">
        <v>983</v>
      </c>
      <c r="Y8" s="602" t="s">
        <v>983</v>
      </c>
      <c r="Z8" s="602" t="s">
        <v>983</v>
      </c>
      <c r="AA8" s="602" t="s">
        <v>983</v>
      </c>
      <c r="AB8" s="602" t="s">
        <v>983</v>
      </c>
      <c r="AC8" s="602" t="s">
        <v>983</v>
      </c>
      <c r="AD8" s="602" t="s">
        <v>983</v>
      </c>
      <c r="AE8" s="603" t="s">
        <v>983</v>
      </c>
      <c r="AF8" s="604" t="s">
        <v>156</v>
      </c>
      <c r="AG8" s="605" t="s">
        <v>156</v>
      </c>
      <c r="AH8" s="608" t="s">
        <v>987</v>
      </c>
      <c r="AM8" s="184" t="s">
        <v>112</v>
      </c>
      <c r="AN8" s="617" t="s">
        <v>990</v>
      </c>
      <c r="AO8" s="520" t="s">
        <v>991</v>
      </c>
      <c r="AP8" s="520" t="s">
        <v>991</v>
      </c>
      <c r="AQ8" s="520" t="s">
        <v>991</v>
      </c>
      <c r="AR8" s="520" t="s">
        <v>992</v>
      </c>
      <c r="AS8" s="520" t="s">
        <v>992</v>
      </c>
      <c r="AT8" s="520" t="s">
        <v>992</v>
      </c>
      <c r="AU8" s="520" t="s">
        <v>993</v>
      </c>
      <c r="AV8" s="520" t="s">
        <v>993</v>
      </c>
      <c r="AW8" s="617" t="s">
        <v>986</v>
      </c>
      <c r="AX8" s="617" t="s">
        <v>986</v>
      </c>
      <c r="AY8" s="617" t="s">
        <v>986</v>
      </c>
      <c r="AZ8" s="617" t="s">
        <v>986</v>
      </c>
      <c r="BJ8" s="175" t="s">
        <v>981</v>
      </c>
    </row>
    <row r="9" spans="1:64" ht="28.2" thickBot="1" x14ac:dyDescent="0.3">
      <c r="B9" s="639" t="s">
        <v>113</v>
      </c>
      <c r="C9" s="537" t="s">
        <v>23</v>
      </c>
      <c r="D9" s="605">
        <v>4</v>
      </c>
      <c r="E9" s="604">
        <v>1</v>
      </c>
      <c r="F9" s="544"/>
      <c r="G9" s="544">
        <v>10</v>
      </c>
      <c r="H9" s="544"/>
      <c r="I9" s="605">
        <v>20</v>
      </c>
      <c r="J9" s="604"/>
      <c r="K9" s="544">
        <v>6</v>
      </c>
      <c r="L9" s="544"/>
      <c r="M9" s="544">
        <v>10</v>
      </c>
      <c r="N9" s="544"/>
      <c r="O9" s="544"/>
      <c r="P9" s="544"/>
      <c r="Q9" s="605">
        <v>4</v>
      </c>
      <c r="R9" s="607"/>
      <c r="S9" s="604">
        <v>5</v>
      </c>
      <c r="T9" s="544">
        <v>5</v>
      </c>
      <c r="U9" s="544">
        <v>5</v>
      </c>
      <c r="V9" s="544">
        <v>5</v>
      </c>
      <c r="W9" s="602" t="s">
        <v>983</v>
      </c>
      <c r="X9" s="602" t="s">
        <v>983</v>
      </c>
      <c r="Y9" s="602" t="s">
        <v>983</v>
      </c>
      <c r="Z9" s="602" t="s">
        <v>983</v>
      </c>
      <c r="AA9" s="602" t="s">
        <v>983</v>
      </c>
      <c r="AB9" s="602" t="s">
        <v>983</v>
      </c>
      <c r="AC9" s="602" t="s">
        <v>983</v>
      </c>
      <c r="AD9" s="602" t="s">
        <v>983</v>
      </c>
      <c r="AE9" s="603" t="s">
        <v>983</v>
      </c>
      <c r="AF9" s="604" t="s">
        <v>156</v>
      </c>
      <c r="AG9" s="605" t="s">
        <v>156</v>
      </c>
      <c r="AH9" s="608" t="s">
        <v>987</v>
      </c>
      <c r="AM9" s="184" t="s">
        <v>113</v>
      </c>
      <c r="AN9" s="617" t="s">
        <v>990</v>
      </c>
      <c r="AO9" s="520" t="s">
        <v>991</v>
      </c>
      <c r="AP9" s="520" t="s">
        <v>991</v>
      </c>
      <c r="AQ9" s="520" t="s">
        <v>991</v>
      </c>
      <c r="AR9" s="520" t="s">
        <v>992</v>
      </c>
      <c r="AS9" s="520" t="s">
        <v>992</v>
      </c>
      <c r="AT9" s="520" t="s">
        <v>992</v>
      </c>
      <c r="AU9" s="520" t="s">
        <v>992</v>
      </c>
      <c r="AV9" s="520" t="s">
        <v>992</v>
      </c>
      <c r="AW9" s="617" t="s">
        <v>986</v>
      </c>
      <c r="AX9" s="617" t="s">
        <v>986</v>
      </c>
      <c r="AY9" s="617" t="s">
        <v>986</v>
      </c>
      <c r="AZ9" s="617" t="s">
        <v>986</v>
      </c>
      <c r="BJ9" s="175" t="s">
        <v>981</v>
      </c>
    </row>
    <row r="10" spans="1:64" ht="42" thickBot="1" x14ac:dyDescent="0.3">
      <c r="B10" s="639" t="s">
        <v>114</v>
      </c>
      <c r="C10" s="537" t="s">
        <v>23</v>
      </c>
      <c r="D10" s="605">
        <v>4</v>
      </c>
      <c r="E10" s="604">
        <v>5</v>
      </c>
      <c r="F10" s="544"/>
      <c r="G10" s="544">
        <v>20</v>
      </c>
      <c r="H10" s="544"/>
      <c r="I10" s="605" t="s">
        <v>935</v>
      </c>
      <c r="J10" s="604"/>
      <c r="K10" s="544">
        <v>20</v>
      </c>
      <c r="L10" s="544"/>
      <c r="M10" s="544">
        <v>30</v>
      </c>
      <c r="N10" s="544"/>
      <c r="O10" s="544"/>
      <c r="P10" s="544"/>
      <c r="Q10" s="605">
        <v>10</v>
      </c>
      <c r="R10" s="607"/>
      <c r="S10" s="604">
        <v>12</v>
      </c>
      <c r="T10" s="544">
        <v>12</v>
      </c>
      <c r="U10" s="602" t="s">
        <v>983</v>
      </c>
      <c r="V10" s="544">
        <v>12</v>
      </c>
      <c r="W10" s="602" t="s">
        <v>983</v>
      </c>
      <c r="X10" s="602" t="s">
        <v>983</v>
      </c>
      <c r="Y10" s="602" t="s">
        <v>983</v>
      </c>
      <c r="Z10" s="602" t="s">
        <v>983</v>
      </c>
      <c r="AA10" s="602" t="s">
        <v>983</v>
      </c>
      <c r="AB10" s="602" t="s">
        <v>983</v>
      </c>
      <c r="AC10" s="602" t="s">
        <v>983</v>
      </c>
      <c r="AD10" s="602" t="s">
        <v>983</v>
      </c>
      <c r="AE10" s="603" t="s">
        <v>983</v>
      </c>
      <c r="AF10" s="604" t="s">
        <v>156</v>
      </c>
      <c r="AG10" s="605" t="s">
        <v>156</v>
      </c>
      <c r="AH10" s="608" t="s">
        <v>987</v>
      </c>
      <c r="AM10" s="184" t="s">
        <v>975</v>
      </c>
      <c r="AN10" s="617" t="s">
        <v>990</v>
      </c>
      <c r="AO10" s="520" t="s">
        <v>991</v>
      </c>
      <c r="AP10" s="520" t="s">
        <v>993</v>
      </c>
      <c r="AQ10" s="520" t="s">
        <v>991</v>
      </c>
      <c r="AR10" s="520" t="s">
        <v>993</v>
      </c>
      <c r="AS10" s="520" t="s">
        <v>993</v>
      </c>
      <c r="AT10" s="520" t="s">
        <v>992</v>
      </c>
      <c r="AU10" s="520" t="s">
        <v>992</v>
      </c>
      <c r="AV10" s="520" t="s">
        <v>992</v>
      </c>
      <c r="AW10" s="617" t="s">
        <v>986</v>
      </c>
      <c r="AX10" s="617" t="s">
        <v>986</v>
      </c>
      <c r="AY10" s="617" t="s">
        <v>986</v>
      </c>
      <c r="AZ10" s="617" t="s">
        <v>986</v>
      </c>
      <c r="BJ10" s="175" t="s">
        <v>981</v>
      </c>
    </row>
    <row r="11" spans="1:64" ht="42" thickBot="1" x14ac:dyDescent="0.3">
      <c r="B11" s="639" t="s">
        <v>115</v>
      </c>
      <c r="C11" s="537" t="s">
        <v>23</v>
      </c>
      <c r="D11" s="605">
        <v>4</v>
      </c>
      <c r="E11" s="604">
        <v>5</v>
      </c>
      <c r="F11" s="544"/>
      <c r="G11" s="544">
        <v>20</v>
      </c>
      <c r="H11" s="544"/>
      <c r="I11" s="605" t="s">
        <v>935</v>
      </c>
      <c r="J11" s="604"/>
      <c r="K11" s="544">
        <v>20</v>
      </c>
      <c r="L11" s="544"/>
      <c r="M11" s="544">
        <v>30</v>
      </c>
      <c r="N11" s="544"/>
      <c r="O11" s="544"/>
      <c r="P11" s="544"/>
      <c r="Q11" s="605">
        <v>10</v>
      </c>
      <c r="R11" s="607"/>
      <c r="S11" s="604">
        <v>12</v>
      </c>
      <c r="T11" s="544">
        <v>12</v>
      </c>
      <c r="U11" s="602" t="s">
        <v>983</v>
      </c>
      <c r="V11" s="544">
        <v>12</v>
      </c>
      <c r="W11" s="602" t="s">
        <v>983</v>
      </c>
      <c r="X11" s="602" t="s">
        <v>983</v>
      </c>
      <c r="Y11" s="602" t="s">
        <v>983</v>
      </c>
      <c r="Z11" s="602" t="s">
        <v>983</v>
      </c>
      <c r="AA11" s="602" t="s">
        <v>983</v>
      </c>
      <c r="AB11" s="602" t="s">
        <v>983</v>
      </c>
      <c r="AC11" s="602" t="s">
        <v>983</v>
      </c>
      <c r="AD11" s="602" t="s">
        <v>983</v>
      </c>
      <c r="AE11" s="603" t="s">
        <v>983</v>
      </c>
      <c r="AF11" s="604" t="s">
        <v>156</v>
      </c>
      <c r="AG11" s="605" t="s">
        <v>156</v>
      </c>
      <c r="AH11" s="608" t="s">
        <v>987</v>
      </c>
      <c r="AM11" s="184" t="s">
        <v>976</v>
      </c>
      <c r="AN11" s="617" t="s">
        <v>990</v>
      </c>
      <c r="AO11" s="520" t="s">
        <v>991</v>
      </c>
      <c r="AP11" s="520" t="s">
        <v>993</v>
      </c>
      <c r="AQ11" s="520" t="s">
        <v>991</v>
      </c>
      <c r="AR11" s="520" t="s">
        <v>993</v>
      </c>
      <c r="AS11" s="520" t="s">
        <v>993</v>
      </c>
      <c r="AT11" s="520" t="s">
        <v>992</v>
      </c>
      <c r="AU11" s="520" t="s">
        <v>992</v>
      </c>
      <c r="AV11" s="520" t="s">
        <v>992</v>
      </c>
      <c r="AW11" s="617" t="s">
        <v>986</v>
      </c>
      <c r="AX11" s="617" t="s">
        <v>986</v>
      </c>
      <c r="AY11" s="617" t="s">
        <v>986</v>
      </c>
      <c r="AZ11" s="617" t="s">
        <v>986</v>
      </c>
      <c r="BJ11" s="175" t="s">
        <v>981</v>
      </c>
    </row>
    <row r="12" spans="1:64" ht="42" thickBot="1" x14ac:dyDescent="0.3">
      <c r="B12" s="639" t="s">
        <v>116</v>
      </c>
      <c r="C12" s="537" t="s">
        <v>156</v>
      </c>
      <c r="D12" s="605">
        <v>2</v>
      </c>
      <c r="E12" s="604">
        <v>1</v>
      </c>
      <c r="F12" s="544"/>
      <c r="G12" s="544">
        <v>5</v>
      </c>
      <c r="H12" s="544"/>
      <c r="I12" s="605">
        <v>12</v>
      </c>
      <c r="J12" s="604"/>
      <c r="K12" s="544">
        <v>3</v>
      </c>
      <c r="L12" s="544"/>
      <c r="M12" s="544">
        <v>5</v>
      </c>
      <c r="N12" s="544"/>
      <c r="O12" s="544"/>
      <c r="P12" s="544"/>
      <c r="Q12" s="605">
        <v>2</v>
      </c>
      <c r="R12" s="607"/>
      <c r="S12" s="604">
        <v>10</v>
      </c>
      <c r="T12" s="544">
        <v>10</v>
      </c>
      <c r="U12" s="544">
        <v>5</v>
      </c>
      <c r="V12" s="544">
        <v>10</v>
      </c>
      <c r="W12" s="544">
        <v>5</v>
      </c>
      <c r="X12" s="544">
        <v>6</v>
      </c>
      <c r="Y12" s="544">
        <v>10</v>
      </c>
      <c r="Z12" s="602" t="s">
        <v>983</v>
      </c>
      <c r="AA12" s="602" t="s">
        <v>983</v>
      </c>
      <c r="AB12" s="602" t="s">
        <v>983</v>
      </c>
      <c r="AC12" s="602" t="s">
        <v>983</v>
      </c>
      <c r="AD12" s="602" t="s">
        <v>983</v>
      </c>
      <c r="AE12" s="603" t="s">
        <v>983</v>
      </c>
      <c r="AF12" s="604" t="s">
        <v>156</v>
      </c>
      <c r="AG12" s="605" t="s">
        <v>156</v>
      </c>
      <c r="AH12" s="608" t="s">
        <v>994</v>
      </c>
      <c r="AM12" s="184" t="s">
        <v>116</v>
      </c>
      <c r="AN12" s="617" t="s">
        <v>995</v>
      </c>
      <c r="AO12" s="617" t="s">
        <v>996</v>
      </c>
      <c r="AP12" s="617" t="s">
        <v>996</v>
      </c>
      <c r="AQ12" s="617" t="s">
        <v>996</v>
      </c>
      <c r="AR12" s="617" t="s">
        <v>997</v>
      </c>
      <c r="AS12" s="617" t="s">
        <v>997</v>
      </c>
      <c r="AT12" s="617" t="s">
        <v>997</v>
      </c>
      <c r="AU12" s="520" t="s">
        <v>993</v>
      </c>
      <c r="AV12" s="520" t="s">
        <v>993</v>
      </c>
      <c r="AW12" s="520" t="s">
        <v>998</v>
      </c>
      <c r="AX12" s="520" t="s">
        <v>993</v>
      </c>
      <c r="AY12" s="520" t="s">
        <v>993</v>
      </c>
      <c r="AZ12" s="617" t="s">
        <v>986</v>
      </c>
      <c r="BJ12" s="175" t="s">
        <v>981</v>
      </c>
    </row>
    <row r="13" spans="1:64" ht="42" thickBot="1" x14ac:dyDescent="0.3">
      <c r="B13" s="639" t="s">
        <v>117</v>
      </c>
      <c r="C13" s="537" t="s">
        <v>156</v>
      </c>
      <c r="D13" s="605">
        <v>2</v>
      </c>
      <c r="E13" s="604">
        <v>5</v>
      </c>
      <c r="F13" s="544"/>
      <c r="G13" s="544">
        <v>20</v>
      </c>
      <c r="H13" s="544"/>
      <c r="I13" s="605" t="s">
        <v>935</v>
      </c>
      <c r="J13" s="604"/>
      <c r="K13" s="544">
        <v>20</v>
      </c>
      <c r="L13" s="544"/>
      <c r="M13" s="544">
        <v>30</v>
      </c>
      <c r="N13" s="544"/>
      <c r="O13" s="544"/>
      <c r="P13" s="544"/>
      <c r="Q13" s="605">
        <v>10</v>
      </c>
      <c r="R13" s="607"/>
      <c r="S13" s="604">
        <v>12</v>
      </c>
      <c r="T13" s="544">
        <v>12</v>
      </c>
      <c r="U13" s="602" t="s">
        <v>983</v>
      </c>
      <c r="V13" s="544">
        <v>12</v>
      </c>
      <c r="W13" s="602" t="s">
        <v>983</v>
      </c>
      <c r="X13" s="602" t="s">
        <v>983</v>
      </c>
      <c r="Y13" s="544">
        <v>12</v>
      </c>
      <c r="Z13" s="602" t="s">
        <v>983</v>
      </c>
      <c r="AA13" s="602" t="s">
        <v>983</v>
      </c>
      <c r="AB13" s="602" t="s">
        <v>983</v>
      </c>
      <c r="AC13" s="602" t="s">
        <v>983</v>
      </c>
      <c r="AD13" s="602" t="s">
        <v>983</v>
      </c>
      <c r="AE13" s="603" t="s">
        <v>983</v>
      </c>
      <c r="AF13" s="604" t="s">
        <v>156</v>
      </c>
      <c r="AG13" s="605" t="s">
        <v>156</v>
      </c>
      <c r="AH13" s="608" t="s">
        <v>994</v>
      </c>
      <c r="AM13" s="184" t="s">
        <v>117</v>
      </c>
      <c r="AN13" s="617" t="s">
        <v>995</v>
      </c>
      <c r="AO13" s="617" t="s">
        <v>996</v>
      </c>
      <c r="AP13" s="520" t="s">
        <v>993</v>
      </c>
      <c r="AQ13" s="617" t="s">
        <v>996</v>
      </c>
      <c r="AR13" s="520" t="s">
        <v>993</v>
      </c>
      <c r="AS13" s="520" t="s">
        <v>993</v>
      </c>
      <c r="AT13" s="617" t="s">
        <v>997</v>
      </c>
      <c r="AU13" s="520" t="s">
        <v>993</v>
      </c>
      <c r="AV13" s="520" t="s">
        <v>993</v>
      </c>
      <c r="AW13" s="520" t="s">
        <v>993</v>
      </c>
      <c r="AX13" s="520" t="s">
        <v>998</v>
      </c>
      <c r="AY13" s="520" t="s">
        <v>998</v>
      </c>
      <c r="AZ13" s="617" t="s">
        <v>986</v>
      </c>
      <c r="BJ13" s="175" t="s">
        <v>981</v>
      </c>
    </row>
    <row r="14" spans="1:64" ht="42" thickBot="1" x14ac:dyDescent="0.3">
      <c r="B14" s="639" t="s">
        <v>118</v>
      </c>
      <c r="C14" s="537" t="s">
        <v>156</v>
      </c>
      <c r="D14" s="605">
        <v>2</v>
      </c>
      <c r="E14" s="604">
        <v>5</v>
      </c>
      <c r="F14" s="544"/>
      <c r="G14" s="544">
        <v>20</v>
      </c>
      <c r="H14" s="544"/>
      <c r="I14" s="605" t="s">
        <v>935</v>
      </c>
      <c r="J14" s="604"/>
      <c r="K14" s="544">
        <v>20</v>
      </c>
      <c r="L14" s="544"/>
      <c r="M14" s="544">
        <v>30</v>
      </c>
      <c r="N14" s="544"/>
      <c r="O14" s="544"/>
      <c r="P14" s="544"/>
      <c r="Q14" s="605">
        <v>10</v>
      </c>
      <c r="R14" s="607"/>
      <c r="S14" s="604">
        <v>12</v>
      </c>
      <c r="T14" s="544">
        <v>12</v>
      </c>
      <c r="U14" s="602" t="s">
        <v>983</v>
      </c>
      <c r="V14" s="544">
        <v>12</v>
      </c>
      <c r="W14" s="602" t="s">
        <v>983</v>
      </c>
      <c r="X14" s="602" t="s">
        <v>983</v>
      </c>
      <c r="Y14" s="544">
        <v>12</v>
      </c>
      <c r="Z14" s="602" t="s">
        <v>983</v>
      </c>
      <c r="AA14" s="602" t="s">
        <v>983</v>
      </c>
      <c r="AB14" s="602" t="s">
        <v>983</v>
      </c>
      <c r="AC14" s="602" t="s">
        <v>983</v>
      </c>
      <c r="AD14" s="602" t="s">
        <v>983</v>
      </c>
      <c r="AE14" s="603" t="s">
        <v>983</v>
      </c>
      <c r="AF14" s="604" t="s">
        <v>156</v>
      </c>
      <c r="AG14" s="605" t="s">
        <v>156</v>
      </c>
      <c r="AH14" s="608" t="s">
        <v>994</v>
      </c>
      <c r="AM14" s="184" t="s">
        <v>118</v>
      </c>
      <c r="AN14" s="617" t="s">
        <v>995</v>
      </c>
      <c r="AO14" s="617" t="s">
        <v>996</v>
      </c>
      <c r="AP14" s="520" t="s">
        <v>993</v>
      </c>
      <c r="AQ14" s="617" t="s">
        <v>996</v>
      </c>
      <c r="AR14" s="520" t="s">
        <v>993</v>
      </c>
      <c r="AS14" s="520" t="s">
        <v>993</v>
      </c>
      <c r="AT14" s="617" t="s">
        <v>997</v>
      </c>
      <c r="AU14" s="520" t="s">
        <v>993</v>
      </c>
      <c r="AV14" s="520" t="s">
        <v>993</v>
      </c>
      <c r="AW14" s="520" t="s">
        <v>993</v>
      </c>
      <c r="AX14" s="520" t="s">
        <v>998</v>
      </c>
      <c r="AY14" s="520" t="s">
        <v>998</v>
      </c>
      <c r="AZ14" s="617" t="s">
        <v>986</v>
      </c>
      <c r="BJ14" s="175" t="s">
        <v>981</v>
      </c>
    </row>
    <row r="15" spans="1:64" ht="42" thickBot="1" x14ac:dyDescent="0.3">
      <c r="B15" s="640" t="s">
        <v>119</v>
      </c>
      <c r="C15" s="500" t="s">
        <v>397</v>
      </c>
      <c r="D15" s="595">
        <v>1</v>
      </c>
      <c r="E15" s="609">
        <v>1</v>
      </c>
      <c r="F15" s="526"/>
      <c r="G15" s="526" t="s">
        <v>924</v>
      </c>
      <c r="H15" s="526"/>
      <c r="I15" s="595" t="s">
        <v>924</v>
      </c>
      <c r="J15" s="609"/>
      <c r="K15" s="526" t="s">
        <v>924</v>
      </c>
      <c r="L15" s="526"/>
      <c r="M15" s="526" t="s">
        <v>924</v>
      </c>
      <c r="N15" s="526"/>
      <c r="O15" s="526"/>
      <c r="P15" s="526"/>
      <c r="Q15" s="595" t="s">
        <v>924</v>
      </c>
      <c r="R15" s="610"/>
      <c r="S15" s="611" t="s">
        <v>983</v>
      </c>
      <c r="T15" s="612" t="s">
        <v>983</v>
      </c>
      <c r="U15" s="612" t="s">
        <v>983</v>
      </c>
      <c r="V15" s="612" t="s">
        <v>983</v>
      </c>
      <c r="W15" s="612" t="s">
        <v>983</v>
      </c>
      <c r="X15" s="612" t="s">
        <v>983</v>
      </c>
      <c r="Y15" s="612" t="s">
        <v>983</v>
      </c>
      <c r="Z15" s="612" t="s">
        <v>983</v>
      </c>
      <c r="AA15" s="612" t="s">
        <v>983</v>
      </c>
      <c r="AB15" s="612" t="s">
        <v>983</v>
      </c>
      <c r="AC15" s="612" t="s">
        <v>983</v>
      </c>
      <c r="AD15" s="612" t="s">
        <v>983</v>
      </c>
      <c r="AE15" s="613" t="s">
        <v>983</v>
      </c>
      <c r="AF15" s="609" t="s">
        <v>156</v>
      </c>
      <c r="AG15" s="595" t="s">
        <v>156</v>
      </c>
      <c r="AH15" s="568" t="s">
        <v>994</v>
      </c>
      <c r="AM15" s="184" t="s">
        <v>119</v>
      </c>
      <c r="AN15" s="520" t="s">
        <v>993</v>
      </c>
      <c r="AO15" s="520" t="s">
        <v>993</v>
      </c>
      <c r="AP15" s="520" t="s">
        <v>993</v>
      </c>
      <c r="AQ15" s="520" t="s">
        <v>993</v>
      </c>
      <c r="AR15" s="520" t="s">
        <v>993</v>
      </c>
      <c r="AS15" s="520" t="s">
        <v>993</v>
      </c>
      <c r="AT15" s="520" t="s">
        <v>993</v>
      </c>
      <c r="AU15" s="520" t="s">
        <v>993</v>
      </c>
      <c r="AV15" s="520" t="s">
        <v>993</v>
      </c>
      <c r="AW15" s="520" t="s">
        <v>993</v>
      </c>
      <c r="AX15" s="520" t="s">
        <v>993</v>
      </c>
      <c r="AY15" s="520" t="s">
        <v>993</v>
      </c>
      <c r="AZ15" s="520" t="s">
        <v>999</v>
      </c>
      <c r="BJ15" s="175" t="s">
        <v>982</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gnb4iphI83TBg+35+X8XHYqim3Sgt1GWU85UJsDgJYjlZih/s9xoiP2qO03Vs3Isv9PvhYjQfmE3QSEuaTMwaw==" saltValue="XEusxsX5Dlag1Cv9nc2iPg=="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workbookViewId="0">
      <selection activeCell="S28" sqref="S28"/>
    </sheetView>
  </sheetViews>
  <sheetFormatPr defaultColWidth="0" defaultRowHeight="13.8" zeroHeight="1" x14ac:dyDescent="0.25"/>
  <cols>
    <col min="1" max="1" width="9.109375" style="31" customWidth="1"/>
    <col min="2" max="2" width="37.33203125" style="31" customWidth="1"/>
    <col min="3" max="4" width="17.6640625" style="31" customWidth="1"/>
    <col min="5" max="5" width="14.5546875" style="31" customWidth="1"/>
    <col min="6" max="6" width="15.6640625" style="31" customWidth="1"/>
    <col min="7" max="7" width="13.109375" style="31" customWidth="1"/>
    <col min="8" max="9" width="11.88671875" style="31" customWidth="1"/>
    <col min="10" max="10" width="13" style="31" customWidth="1"/>
    <col min="11" max="11" width="12.109375" style="31" customWidth="1"/>
    <col min="12" max="13" width="10.6640625" style="31" customWidth="1"/>
    <col min="14" max="14" width="14.109375" style="31" customWidth="1"/>
    <col min="15" max="15" width="8.5546875" style="31" customWidth="1"/>
    <col min="16" max="16" width="10.6640625" style="31" customWidth="1"/>
    <col min="17" max="17" width="19" style="31" customWidth="1"/>
    <col min="18" max="18" width="16" style="31" customWidth="1"/>
    <col min="19" max="19" width="14.44140625" style="31" customWidth="1"/>
    <col min="20" max="20" width="15.88671875" style="31" customWidth="1"/>
    <col min="21" max="22" width="15.6640625" style="31" customWidth="1"/>
    <col min="23" max="26" width="10.6640625" style="31" customWidth="1"/>
    <col min="27" max="27" width="18.88671875" style="31" bestFit="1" customWidth="1"/>
    <col min="28" max="28" width="13.44140625" style="31" customWidth="1"/>
    <col min="29" max="29" width="9.109375" style="31" customWidth="1"/>
    <col min="30" max="30" width="18" style="31" customWidth="1"/>
    <col min="31" max="31" width="9.5546875" style="31" bestFit="1" customWidth="1"/>
    <col min="32" max="32" width="9.109375" style="31" customWidth="1"/>
    <col min="33" max="33" width="59.88671875" style="31" customWidth="1"/>
    <col min="34" max="34" width="24.6640625" style="31" customWidth="1"/>
    <col min="35" max="35" width="18.88671875" style="31" customWidth="1"/>
    <col min="36" max="36" width="9.109375" style="31" customWidth="1"/>
    <col min="37" max="37" width="46.6640625" style="31" bestFit="1" customWidth="1"/>
    <col min="38" max="38" width="24.33203125" style="31" customWidth="1"/>
    <col min="39" max="39" width="13.6640625" style="31" customWidth="1"/>
    <col min="40" max="40" width="9.109375" style="31" customWidth="1"/>
    <col min="41" max="41" width="28.33203125" style="31" customWidth="1"/>
    <col min="42" max="42" width="13" style="31" customWidth="1"/>
    <col min="43" max="44" width="9.109375" style="31" customWidth="1"/>
    <col min="45" max="45" width="25.109375" style="31" bestFit="1" customWidth="1"/>
    <col min="46" max="46" width="20.44140625" style="31" bestFit="1" customWidth="1"/>
    <col min="47" max="47" width="31.33203125" style="31" customWidth="1"/>
    <col min="48" max="48" width="9.109375" style="31" customWidth="1"/>
    <col min="49" max="49" width="13" style="31" customWidth="1"/>
    <col min="50" max="50" width="9.109375" style="31" hidden="1" customWidth="1"/>
    <col min="51" max="51" width="23.6640625" style="31" hidden="1" customWidth="1"/>
    <col min="52" max="52" width="15.6640625" style="31" hidden="1" customWidth="1"/>
    <col min="53" max="53" width="9.109375" style="31" hidden="1" customWidth="1"/>
    <col min="54" max="55" width="10.88671875" style="31" hidden="1" customWidth="1"/>
    <col min="56" max="62" width="0" style="31" hidden="1" customWidth="1"/>
    <col min="63" max="16384" width="9.109375" style="31" hidden="1"/>
  </cols>
  <sheetData>
    <row r="1" spans="1:55" ht="14.4" thickBot="1" x14ac:dyDescent="0.3">
      <c r="A1" s="1053"/>
      <c r="B1" s="1053"/>
    </row>
    <row r="2" spans="1:55" ht="31.5" customHeight="1" thickBot="1" x14ac:dyDescent="0.35">
      <c r="A2" s="1053"/>
      <c r="B2" s="1053"/>
      <c r="C2" s="1074" t="s">
        <v>871</v>
      </c>
      <c r="D2" s="1075"/>
      <c r="E2" s="1062" t="s">
        <v>291</v>
      </c>
      <c r="F2" s="1063"/>
      <c r="G2" s="1063"/>
      <c r="H2" s="1062" t="s">
        <v>966</v>
      </c>
      <c r="I2" s="1063"/>
      <c r="J2" s="1063"/>
      <c r="K2" s="1063"/>
      <c r="L2" s="1064"/>
      <c r="N2" s="1076" t="s">
        <v>1000</v>
      </c>
      <c r="O2" s="1077"/>
      <c r="Q2" s="1072" t="s">
        <v>1001</v>
      </c>
      <c r="R2" s="1073"/>
      <c r="T2" s="1003" t="s">
        <v>1002</v>
      </c>
      <c r="U2" s="1004"/>
      <c r="V2" s="1004"/>
      <c r="W2" s="1004"/>
      <c r="X2" s="1004"/>
      <c r="Y2" s="1068"/>
      <c r="AA2" s="1069" t="s">
        <v>1003</v>
      </c>
      <c r="AB2" s="1070"/>
      <c r="AC2" s="132"/>
      <c r="AD2" s="1069" t="s">
        <v>1003</v>
      </c>
      <c r="AE2" s="1070"/>
      <c r="AG2" s="1069" t="s">
        <v>1004</v>
      </c>
      <c r="AH2" s="1071"/>
      <c r="AI2" s="1070"/>
      <c r="AK2" s="1069" t="s">
        <v>1004</v>
      </c>
      <c r="AL2" s="1071"/>
      <c r="AM2" s="1070"/>
      <c r="AO2" s="803" t="s">
        <v>1004</v>
      </c>
      <c r="AP2" s="1065"/>
      <c r="AQ2" s="289"/>
      <c r="AS2" s="1034" t="s">
        <v>1005</v>
      </c>
      <c r="AT2" s="1066"/>
      <c r="AU2" s="1067"/>
      <c r="AY2" s="290"/>
      <c r="AZ2" s="291" t="s">
        <v>200</v>
      </c>
      <c r="BB2" s="290" t="s">
        <v>1006</v>
      </c>
      <c r="BC2" s="291" t="s">
        <v>1007</v>
      </c>
    </row>
    <row r="3" spans="1:55" ht="42" thickBot="1" x14ac:dyDescent="0.3">
      <c r="B3" s="292" t="s">
        <v>820</v>
      </c>
      <c r="C3" s="266" t="s">
        <v>970</v>
      </c>
      <c r="D3" s="136" t="s">
        <v>971</v>
      </c>
      <c r="E3" s="641" t="s">
        <v>359</v>
      </c>
      <c r="F3" s="136" t="s">
        <v>360</v>
      </c>
      <c r="G3" s="643" t="s">
        <v>965</v>
      </c>
      <c r="H3" s="642" t="s">
        <v>21</v>
      </c>
      <c r="I3" s="293" t="s">
        <v>382</v>
      </c>
      <c r="J3" s="293" t="s">
        <v>20</v>
      </c>
      <c r="K3" s="293" t="s">
        <v>393</v>
      </c>
      <c r="L3" s="294" t="s">
        <v>242</v>
      </c>
      <c r="N3" s="644" t="s">
        <v>21</v>
      </c>
      <c r="O3" s="504">
        <v>10</v>
      </c>
      <c r="Q3" s="344" t="s">
        <v>967</v>
      </c>
      <c r="R3" s="595">
        <v>10</v>
      </c>
      <c r="T3" s="266"/>
      <c r="U3" s="1003" t="s">
        <v>1008</v>
      </c>
      <c r="V3" s="1004"/>
      <c r="W3" s="1004"/>
      <c r="X3" s="1004"/>
      <c r="Y3" s="1068"/>
      <c r="AA3" s="266" t="s">
        <v>1009</v>
      </c>
      <c r="AB3" s="265" t="s">
        <v>1010</v>
      </c>
      <c r="AC3" s="132"/>
      <c r="AD3" s="266" t="s">
        <v>1011</v>
      </c>
      <c r="AE3" s="265" t="s">
        <v>1010</v>
      </c>
      <c r="AG3" s="265" t="s">
        <v>1012</v>
      </c>
      <c r="AH3" s="264" t="s">
        <v>66</v>
      </c>
      <c r="AI3" s="136" t="s">
        <v>1013</v>
      </c>
      <c r="AK3" s="265" t="s">
        <v>1012</v>
      </c>
      <c r="AL3" s="264" t="s">
        <v>66</v>
      </c>
      <c r="AM3" s="136" t="s">
        <v>1013</v>
      </c>
      <c r="AO3" s="295" t="s">
        <v>1012</v>
      </c>
      <c r="AP3" s="136" t="s">
        <v>1013</v>
      </c>
      <c r="AS3" s="290" t="s">
        <v>1014</v>
      </c>
      <c r="AT3" s="296" t="s">
        <v>971</v>
      </c>
      <c r="AU3" s="291" t="s">
        <v>1015</v>
      </c>
      <c r="AY3" s="297" t="s">
        <v>139</v>
      </c>
      <c r="AZ3" s="298" t="s">
        <v>1006</v>
      </c>
      <c r="BB3" s="143" t="s">
        <v>21</v>
      </c>
      <c r="BC3" s="144" t="s">
        <v>242</v>
      </c>
    </row>
    <row r="4" spans="1:55" ht="28.2" thickBot="1" x14ac:dyDescent="0.3">
      <c r="B4" s="88" t="s">
        <v>139</v>
      </c>
      <c r="C4" s="571" t="s">
        <v>375</v>
      </c>
      <c r="D4" s="520">
        <v>8</v>
      </c>
      <c r="E4" s="586" t="s">
        <v>153</v>
      </c>
      <c r="F4" s="586" t="s">
        <v>23</v>
      </c>
      <c r="G4" s="594" t="s">
        <v>1016</v>
      </c>
      <c r="H4" s="586">
        <v>3</v>
      </c>
      <c r="I4" s="586">
        <v>2.5</v>
      </c>
      <c r="J4" s="586">
        <v>2</v>
      </c>
      <c r="K4" s="586">
        <v>1.5</v>
      </c>
      <c r="L4" s="594">
        <v>1</v>
      </c>
      <c r="M4" s="22"/>
      <c r="N4" s="130" t="s">
        <v>382</v>
      </c>
      <c r="O4" s="520">
        <v>8</v>
      </c>
      <c r="T4" s="167" t="s">
        <v>1017</v>
      </c>
      <c r="U4" s="645" t="s">
        <v>242</v>
      </c>
      <c r="V4" s="299" t="s">
        <v>393</v>
      </c>
      <c r="W4" s="299" t="s">
        <v>20</v>
      </c>
      <c r="X4" s="299" t="s">
        <v>382</v>
      </c>
      <c r="Y4" s="299" t="s">
        <v>21</v>
      </c>
      <c r="AA4" s="104" t="s">
        <v>1018</v>
      </c>
      <c r="AB4" s="544">
        <v>1</v>
      </c>
      <c r="AC4" s="132"/>
      <c r="AD4" s="104" t="s">
        <v>1018</v>
      </c>
      <c r="AE4" s="544">
        <v>1</v>
      </c>
      <c r="AG4" s="104" t="s">
        <v>1019</v>
      </c>
      <c r="AH4" s="520" t="s">
        <v>922</v>
      </c>
      <c r="AI4" s="544">
        <v>1</v>
      </c>
      <c r="AK4" s="104" t="s">
        <v>1019</v>
      </c>
      <c r="AL4" s="520" t="s">
        <v>922</v>
      </c>
      <c r="AM4" s="544">
        <v>1</v>
      </c>
      <c r="AO4" s="130" t="s">
        <v>1020</v>
      </c>
      <c r="AP4" s="544">
        <v>1</v>
      </c>
      <c r="AS4" s="300" t="s">
        <v>375</v>
      </c>
      <c r="AT4" s="521">
        <v>8</v>
      </c>
      <c r="AU4" s="648" t="s">
        <v>1021</v>
      </c>
      <c r="AY4" s="87" t="s">
        <v>140</v>
      </c>
      <c r="AZ4" s="298" t="s">
        <v>1006</v>
      </c>
      <c r="BB4" s="187" t="s">
        <v>382</v>
      </c>
      <c r="BC4" s="301"/>
    </row>
    <row r="5" spans="1:55" ht="27.6" x14ac:dyDescent="0.25">
      <c r="B5" s="88" t="s">
        <v>140</v>
      </c>
      <c r="C5" s="571" t="s">
        <v>153</v>
      </c>
      <c r="D5" s="520">
        <v>6</v>
      </c>
      <c r="E5" s="586" t="s">
        <v>153</v>
      </c>
      <c r="F5" s="586" t="s">
        <v>23</v>
      </c>
      <c r="G5" s="594" t="s">
        <v>1016</v>
      </c>
      <c r="H5" s="586">
        <v>3</v>
      </c>
      <c r="I5" s="586">
        <v>2.5</v>
      </c>
      <c r="J5" s="586">
        <v>2</v>
      </c>
      <c r="K5" s="586">
        <v>1.5</v>
      </c>
      <c r="L5" s="594">
        <v>1</v>
      </c>
      <c r="M5" s="22"/>
      <c r="N5" s="130" t="s">
        <v>20</v>
      </c>
      <c r="O5" s="520">
        <v>5</v>
      </c>
      <c r="T5" s="130" t="s">
        <v>242</v>
      </c>
      <c r="U5" s="646">
        <v>1</v>
      </c>
      <c r="V5" s="585">
        <v>2</v>
      </c>
      <c r="W5" s="585">
        <v>4</v>
      </c>
      <c r="X5" s="585">
        <v>6</v>
      </c>
      <c r="Y5" s="585">
        <v>8</v>
      </c>
      <c r="AA5" s="104" t="s">
        <v>1022</v>
      </c>
      <c r="AB5" s="544">
        <v>0.8</v>
      </c>
      <c r="AC5" s="132"/>
      <c r="AD5" s="104" t="s">
        <v>1022</v>
      </c>
      <c r="AE5" s="544">
        <v>0.95</v>
      </c>
      <c r="AG5" s="104" t="s">
        <v>1023</v>
      </c>
      <c r="AH5" s="520" t="s">
        <v>914</v>
      </c>
      <c r="AI5" s="544">
        <v>1.1499999999999999</v>
      </c>
      <c r="AK5" s="104" t="s">
        <v>1024</v>
      </c>
      <c r="AL5" s="520" t="s">
        <v>914</v>
      </c>
      <c r="AM5" s="544">
        <v>1.1499999999999999</v>
      </c>
      <c r="AO5" s="130" t="s">
        <v>1025</v>
      </c>
      <c r="AP5" s="544">
        <v>0.75</v>
      </c>
      <c r="AS5" s="267" t="s">
        <v>153</v>
      </c>
      <c r="AT5" s="544">
        <v>6</v>
      </c>
      <c r="AU5" s="524" t="s">
        <v>1026</v>
      </c>
      <c r="AY5" s="87" t="s">
        <v>141</v>
      </c>
      <c r="AZ5" s="298" t="s">
        <v>1006</v>
      </c>
      <c r="BB5" s="187" t="s">
        <v>20</v>
      </c>
      <c r="BC5" s="301"/>
    </row>
    <row r="6" spans="1:55" ht="27.6" x14ac:dyDescent="0.25">
      <c r="B6" s="88" t="s">
        <v>141</v>
      </c>
      <c r="C6" s="571" t="s">
        <v>23</v>
      </c>
      <c r="D6" s="544">
        <v>4</v>
      </c>
      <c r="E6" s="586" t="s">
        <v>156</v>
      </c>
      <c r="F6" s="586" t="s">
        <v>23</v>
      </c>
      <c r="G6" s="594" t="s">
        <v>1016</v>
      </c>
      <c r="H6" s="586">
        <v>3</v>
      </c>
      <c r="I6" s="586">
        <v>2.5</v>
      </c>
      <c r="J6" s="586">
        <v>2</v>
      </c>
      <c r="K6" s="586">
        <v>1.5</v>
      </c>
      <c r="L6" s="594">
        <v>1</v>
      </c>
      <c r="M6" s="22"/>
      <c r="N6" s="130" t="s">
        <v>393</v>
      </c>
      <c r="O6" s="520">
        <v>2</v>
      </c>
      <c r="T6" s="130" t="s">
        <v>393</v>
      </c>
      <c r="U6" s="647" t="s">
        <v>924</v>
      </c>
      <c r="V6" s="586">
        <v>1</v>
      </c>
      <c r="W6" s="586">
        <v>2</v>
      </c>
      <c r="X6" s="586">
        <v>4</v>
      </c>
      <c r="Y6" s="586">
        <v>6</v>
      </c>
      <c r="AA6" s="104" t="s">
        <v>1027</v>
      </c>
      <c r="AB6" s="544">
        <v>0.5</v>
      </c>
      <c r="AC6" s="132"/>
      <c r="AD6" s="104" t="s">
        <v>20</v>
      </c>
      <c r="AE6" s="544">
        <v>0.85</v>
      </c>
      <c r="AG6" s="104" t="s">
        <v>1028</v>
      </c>
      <c r="AH6" s="520" t="s">
        <v>914</v>
      </c>
      <c r="AI6" s="544">
        <v>1.1499999999999999</v>
      </c>
      <c r="AK6" s="104" t="s">
        <v>1029</v>
      </c>
      <c r="AL6" s="520" t="s">
        <v>914</v>
      </c>
      <c r="AM6" s="544">
        <v>1.1499999999999999</v>
      </c>
      <c r="AO6" s="130" t="s">
        <v>1030</v>
      </c>
      <c r="AP6" s="544">
        <v>0.5</v>
      </c>
      <c r="AS6" s="267" t="s">
        <v>23</v>
      </c>
      <c r="AT6" s="544">
        <v>4</v>
      </c>
      <c r="AU6" s="524" t="s">
        <v>1031</v>
      </c>
      <c r="AY6" s="87" t="s">
        <v>142</v>
      </c>
      <c r="AZ6" s="298" t="s">
        <v>1006</v>
      </c>
      <c r="BB6" s="187" t="s">
        <v>393</v>
      </c>
      <c r="BC6" s="301"/>
    </row>
    <row r="7" spans="1:55" ht="28.2" thickBot="1" x14ac:dyDescent="0.3">
      <c r="B7" s="88" t="s">
        <v>142</v>
      </c>
      <c r="C7" s="571" t="s">
        <v>23</v>
      </c>
      <c r="D7" s="544">
        <v>4</v>
      </c>
      <c r="E7" s="586" t="s">
        <v>156</v>
      </c>
      <c r="F7" s="586" t="s">
        <v>23</v>
      </c>
      <c r="G7" s="594" t="s">
        <v>1016</v>
      </c>
      <c r="H7" s="586">
        <v>3</v>
      </c>
      <c r="I7" s="586">
        <v>2.5</v>
      </c>
      <c r="J7" s="586">
        <v>2</v>
      </c>
      <c r="K7" s="586">
        <v>1.5</v>
      </c>
      <c r="L7" s="594">
        <v>1</v>
      </c>
      <c r="M7" s="22"/>
      <c r="N7" s="130" t="s">
        <v>242</v>
      </c>
      <c r="O7" s="520">
        <v>1</v>
      </c>
      <c r="T7" s="130" t="s">
        <v>20</v>
      </c>
      <c r="U7" s="647" t="s">
        <v>924</v>
      </c>
      <c r="V7" s="586" t="s">
        <v>924</v>
      </c>
      <c r="W7" s="586">
        <v>1</v>
      </c>
      <c r="X7" s="586">
        <v>2</v>
      </c>
      <c r="Y7" s="586">
        <v>4</v>
      </c>
      <c r="AA7" s="104" t="s">
        <v>1032</v>
      </c>
      <c r="AB7" s="544">
        <v>1</v>
      </c>
      <c r="AC7" s="132"/>
      <c r="AD7" s="104" t="s">
        <v>1027</v>
      </c>
      <c r="AE7" s="544">
        <v>0.75</v>
      </c>
      <c r="AG7" s="104" t="s">
        <v>1033</v>
      </c>
      <c r="AH7" s="520" t="s">
        <v>914</v>
      </c>
      <c r="AI7" s="544">
        <v>1.1499999999999999</v>
      </c>
      <c r="AK7" s="104" t="s">
        <v>1034</v>
      </c>
      <c r="AL7" s="520" t="s">
        <v>914</v>
      </c>
      <c r="AM7" s="544">
        <v>1.1499999999999999</v>
      </c>
      <c r="AO7" s="302"/>
      <c r="AP7" s="302"/>
      <c r="AS7" s="262" t="s">
        <v>156</v>
      </c>
      <c r="AT7" s="526">
        <v>2</v>
      </c>
      <c r="AU7" s="595" t="s">
        <v>1035</v>
      </c>
      <c r="AY7" s="89" t="s">
        <v>143</v>
      </c>
      <c r="AZ7" s="298" t="s">
        <v>1007</v>
      </c>
      <c r="BB7" s="189" t="s">
        <v>242</v>
      </c>
      <c r="BC7" s="303"/>
    </row>
    <row r="8" spans="1:55" ht="27.6" x14ac:dyDescent="0.25">
      <c r="B8" s="110" t="s">
        <v>143</v>
      </c>
      <c r="C8" s="571" t="s">
        <v>156</v>
      </c>
      <c r="D8" s="544">
        <v>2</v>
      </c>
      <c r="E8" s="586" t="s">
        <v>156</v>
      </c>
      <c r="F8" s="586" t="s">
        <v>23</v>
      </c>
      <c r="G8" s="594" t="s">
        <v>1016</v>
      </c>
      <c r="H8" s="586" t="s">
        <v>934</v>
      </c>
      <c r="I8" s="586" t="s">
        <v>934</v>
      </c>
      <c r="J8" s="586" t="s">
        <v>934</v>
      </c>
      <c r="K8" s="586" t="s">
        <v>934</v>
      </c>
      <c r="L8" s="594">
        <v>1</v>
      </c>
      <c r="M8" s="22"/>
      <c r="T8" s="130" t="s">
        <v>382</v>
      </c>
      <c r="U8" s="647" t="s">
        <v>924</v>
      </c>
      <c r="V8" s="586" t="s">
        <v>924</v>
      </c>
      <c r="W8" s="586" t="s">
        <v>924</v>
      </c>
      <c r="X8" s="586">
        <v>1</v>
      </c>
      <c r="Y8" s="586">
        <v>2</v>
      </c>
      <c r="AC8" s="132"/>
      <c r="AG8" s="104" t="s">
        <v>1036</v>
      </c>
      <c r="AH8" s="520" t="s">
        <v>914</v>
      </c>
      <c r="AI8" s="544">
        <v>1.1499999999999999</v>
      </c>
      <c r="AK8" s="104" t="s">
        <v>1037</v>
      </c>
      <c r="AL8" s="520" t="s">
        <v>914</v>
      </c>
      <c r="AM8" s="544">
        <v>1.1499999999999999</v>
      </c>
    </row>
    <row r="9" spans="1:55" ht="27.6" x14ac:dyDescent="0.25">
      <c r="T9" s="130" t="s">
        <v>21</v>
      </c>
      <c r="U9" s="647" t="s">
        <v>924</v>
      </c>
      <c r="V9" s="586" t="s">
        <v>924</v>
      </c>
      <c r="W9" s="586" t="s">
        <v>924</v>
      </c>
      <c r="X9" s="586" t="s">
        <v>924</v>
      </c>
      <c r="Y9" s="586">
        <v>1</v>
      </c>
      <c r="AG9" s="104" t="s">
        <v>1038</v>
      </c>
      <c r="AH9" s="520" t="s">
        <v>914</v>
      </c>
      <c r="AI9" s="544">
        <v>1.1499999999999999</v>
      </c>
      <c r="AK9" s="104" t="s">
        <v>1039</v>
      </c>
      <c r="AL9" s="520" t="s">
        <v>914</v>
      </c>
      <c r="AM9" s="544">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NiMLO3g70PVOG64djAUkiK9US5VDgjEfS8U6sqljLhczHzciBkV2iw2CHH3h/YN20TyvAdDv55LsyWqm/jcUDA==" saltValue="mcCGlK0xVDseic36vqIQ7Q=="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Normal="100" workbookViewId="0">
      <pane xSplit="1" ySplit="3" topLeftCell="B97" activePane="bottomRight" state="frozen"/>
      <selection pane="topRight" activeCell="S28" sqref="S28"/>
      <selection pane="bottomLeft" activeCell="S28" sqref="S28"/>
      <selection pane="bottomRight" activeCell="A3" sqref="A3:H130"/>
    </sheetView>
  </sheetViews>
  <sheetFormatPr defaultColWidth="0" defaultRowHeight="0" customHeight="1" zeroHeight="1" x14ac:dyDescent="0.25"/>
  <cols>
    <col min="1" max="1" width="88.88671875" style="31" bestFit="1" customWidth="1"/>
    <col min="2" max="2" width="12.6640625" style="31" bestFit="1" customWidth="1"/>
    <col min="3" max="3" width="17.10937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546875" style="31" hidden="1" customWidth="1"/>
    <col min="13" max="13" width="11" style="31" hidden="1" customWidth="1"/>
    <col min="14" max="14" width="14.109375" style="31" hidden="1" customWidth="1"/>
    <col min="15" max="15" width="15.109375" style="31" customWidth="1"/>
    <col min="16" max="17" width="9.109375" style="31" customWidth="1"/>
    <col min="18" max="16384" width="9.109375" style="31" hidden="1"/>
  </cols>
  <sheetData>
    <row r="1" spans="1:14" ht="28.95" customHeight="1" x14ac:dyDescent="0.5">
      <c r="A1" s="1080"/>
      <c r="B1" s="281"/>
      <c r="C1" s="281"/>
      <c r="D1" s="281"/>
      <c r="E1" s="281"/>
      <c r="F1" s="281"/>
      <c r="G1" s="281"/>
      <c r="H1" s="306"/>
    </row>
    <row r="2" spans="1:14" ht="29.4" customHeight="1" x14ac:dyDescent="0.5">
      <c r="A2" s="1081"/>
      <c r="B2" s="1078" t="s">
        <v>966</v>
      </c>
      <c r="C2" s="1078"/>
      <c r="D2" s="1078"/>
      <c r="E2" s="1078"/>
      <c r="F2" s="1078"/>
      <c r="G2" s="1078"/>
      <c r="H2" s="1079"/>
    </row>
    <row r="3" spans="1:14" ht="27.6" x14ac:dyDescent="0.4">
      <c r="A3" s="283" t="s">
        <v>820</v>
      </c>
      <c r="B3" s="104" t="s">
        <v>21</v>
      </c>
      <c r="C3" s="104" t="s">
        <v>382</v>
      </c>
      <c r="D3" s="104" t="s">
        <v>20</v>
      </c>
      <c r="E3" s="104" t="s">
        <v>393</v>
      </c>
      <c r="F3" s="130" t="s">
        <v>242</v>
      </c>
      <c r="G3" s="130" t="s">
        <v>403</v>
      </c>
      <c r="H3" s="104" t="s">
        <v>407</v>
      </c>
      <c r="I3" s="31" t="s">
        <v>200</v>
      </c>
      <c r="J3" s="1082" t="s">
        <v>1040</v>
      </c>
      <c r="K3" s="1083"/>
      <c r="L3" s="1083"/>
      <c r="M3" s="1084"/>
    </row>
    <row r="4" spans="1:14" ht="13.8" x14ac:dyDescent="0.25">
      <c r="A4" s="88" t="str">
        <f>'G-1 All Habitats'!B3</f>
        <v>Cropland - Arable field margins cultivated annually</v>
      </c>
      <c r="B4" s="544" t="s">
        <v>934</v>
      </c>
      <c r="C4" s="544" t="s">
        <v>934</v>
      </c>
      <c r="D4" s="544" t="s">
        <v>934</v>
      </c>
      <c r="E4" s="544" t="s">
        <v>934</v>
      </c>
      <c r="F4" s="544" t="s">
        <v>934</v>
      </c>
      <c r="G4" s="544">
        <v>1</v>
      </c>
      <c r="H4" s="544" t="s">
        <v>934</v>
      </c>
      <c r="I4" s="31" t="str">
        <f>IF(G4=1,"Cond1",IF(H4=0,"Cond2",IF(AND(B4=3,C4=2.5,D4=2,E4=1.5,F4=1),"Cond4",IF(F4=1,"Cond3","Check"))))</f>
        <v>Cond1</v>
      </c>
      <c r="J4" s="305" t="s">
        <v>1041</v>
      </c>
      <c r="K4" s="305" t="s">
        <v>1042</v>
      </c>
      <c r="L4" s="305" t="s">
        <v>1043</v>
      </c>
      <c r="M4" s="305" t="s">
        <v>1044</v>
      </c>
      <c r="N4" s="31" t="s">
        <v>1045</v>
      </c>
    </row>
    <row r="5" spans="1:14" ht="13.8" x14ac:dyDescent="0.25">
      <c r="A5" s="88" t="str">
        <f>'G-1 All Habitats'!B4</f>
        <v>Cropland - Arable field margins game bird mix</v>
      </c>
      <c r="B5" s="544" t="s">
        <v>934</v>
      </c>
      <c r="C5" s="544" t="s">
        <v>934</v>
      </c>
      <c r="D5" s="544" t="s">
        <v>934</v>
      </c>
      <c r="E5" s="544" t="s">
        <v>934</v>
      </c>
      <c r="F5" s="544" t="s">
        <v>934</v>
      </c>
      <c r="G5" s="544">
        <v>1</v>
      </c>
      <c r="H5" s="544" t="s">
        <v>934</v>
      </c>
      <c r="I5" s="31" t="str">
        <f t="shared" ref="I5:I8" si="0">IF(G5=1,"Cond1",IF(H5=0,"Cond2",IF(AND(B5=3,C5=2.5,D5=2,E5=1.5,F5=1),"Cond4",IF(F5=1,"Cond3","Check"))))</f>
        <v>Cond1</v>
      </c>
      <c r="J5" s="217" t="s">
        <v>403</v>
      </c>
      <c r="K5" s="217" t="s">
        <v>407</v>
      </c>
      <c r="L5" s="278" t="s">
        <v>242</v>
      </c>
      <c r="M5" s="217" t="s">
        <v>21</v>
      </c>
      <c r="N5" s="31" t="s">
        <v>21</v>
      </c>
    </row>
    <row r="6" spans="1:14" ht="13.8" x14ac:dyDescent="0.25">
      <c r="A6" s="88" t="str">
        <f>'G-1 All Habitats'!B5</f>
        <v>Cropland - Arable field margins pollen &amp; nectar</v>
      </c>
      <c r="B6" s="544" t="s">
        <v>934</v>
      </c>
      <c r="C6" s="544" t="s">
        <v>934</v>
      </c>
      <c r="D6" s="544" t="s">
        <v>934</v>
      </c>
      <c r="E6" s="544" t="s">
        <v>934</v>
      </c>
      <c r="F6" s="544" t="s">
        <v>934</v>
      </c>
      <c r="G6" s="544">
        <v>1</v>
      </c>
      <c r="H6" s="544" t="s">
        <v>934</v>
      </c>
      <c r="I6" s="31" t="str">
        <f t="shared" si="0"/>
        <v>Cond1</v>
      </c>
      <c r="M6" s="217" t="s">
        <v>382</v>
      </c>
    </row>
    <row r="7" spans="1:14" ht="13.8" x14ac:dyDescent="0.25">
      <c r="A7" s="88" t="str">
        <f>'G-1 All Habitats'!B6</f>
        <v>Cropland - Arable field margins tussocky</v>
      </c>
      <c r="B7" s="544" t="s">
        <v>934</v>
      </c>
      <c r="C7" s="544" t="s">
        <v>934</v>
      </c>
      <c r="D7" s="544" t="s">
        <v>934</v>
      </c>
      <c r="E7" s="544" t="s">
        <v>934</v>
      </c>
      <c r="F7" s="544" t="s">
        <v>934</v>
      </c>
      <c r="G7" s="544">
        <v>1</v>
      </c>
      <c r="H7" s="544" t="s">
        <v>934</v>
      </c>
      <c r="I7" s="31" t="str">
        <f t="shared" si="0"/>
        <v>Cond1</v>
      </c>
      <c r="M7" s="217" t="s">
        <v>20</v>
      </c>
    </row>
    <row r="8" spans="1:14" ht="13.8" x14ac:dyDescent="0.25">
      <c r="A8" s="88" t="str">
        <f>'G-1 All Habitats'!B7</f>
        <v>Cropland - Cereal crops</v>
      </c>
      <c r="B8" s="544" t="s">
        <v>934</v>
      </c>
      <c r="C8" s="544" t="s">
        <v>934</v>
      </c>
      <c r="D8" s="544" t="s">
        <v>934</v>
      </c>
      <c r="E8" s="544" t="s">
        <v>934</v>
      </c>
      <c r="F8" s="544" t="s">
        <v>934</v>
      </c>
      <c r="G8" s="544">
        <v>1</v>
      </c>
      <c r="H8" s="544" t="s">
        <v>934</v>
      </c>
      <c r="I8" s="31" t="str">
        <f t="shared" si="0"/>
        <v>Cond1</v>
      </c>
      <c r="M8" s="217" t="s">
        <v>393</v>
      </c>
    </row>
    <row r="9" spans="1:14" ht="13.8" x14ac:dyDescent="0.25">
      <c r="A9" s="88" t="str">
        <f>'G-1 All Habitats'!B8</f>
        <v>Cropland - Cereal crops winter stubble</v>
      </c>
      <c r="B9" s="544" t="s">
        <v>934</v>
      </c>
      <c r="C9" s="544" t="s">
        <v>934</v>
      </c>
      <c r="D9" s="544" t="s">
        <v>934</v>
      </c>
      <c r="E9" s="544" t="s">
        <v>934</v>
      </c>
      <c r="F9" s="544" t="s">
        <v>934</v>
      </c>
      <c r="G9" s="544">
        <v>1</v>
      </c>
      <c r="H9" s="544" t="s">
        <v>934</v>
      </c>
      <c r="I9" s="31" t="str">
        <f t="shared" ref="I9:I40" si="1">IF(G9=1,"Cond1",IF(H9=0,"Cond2",IF(AND(B9=3,C9=2.5,D9=2,E9=1.5,F9=1),"Cond4",IF(F9=1,"Cond3","Check"))))</f>
        <v>Cond1</v>
      </c>
      <c r="M9" s="278" t="s">
        <v>242</v>
      </c>
    </row>
    <row r="10" spans="1:14" ht="13.8" x14ac:dyDescent="0.25">
      <c r="A10" s="88" t="str">
        <f>'G-1 All Habitats'!B9</f>
        <v>Cropland - Horticulture</v>
      </c>
      <c r="B10" s="544" t="s">
        <v>934</v>
      </c>
      <c r="C10" s="544" t="s">
        <v>934</v>
      </c>
      <c r="D10" s="544" t="s">
        <v>934</v>
      </c>
      <c r="E10" s="544" t="s">
        <v>934</v>
      </c>
      <c r="F10" s="544" t="s">
        <v>934</v>
      </c>
      <c r="G10" s="544">
        <v>1</v>
      </c>
      <c r="H10" s="544" t="s">
        <v>934</v>
      </c>
      <c r="I10" s="31" t="str">
        <f t="shared" si="1"/>
        <v>Cond1</v>
      </c>
    </row>
    <row r="11" spans="1:14" ht="13.8" x14ac:dyDescent="0.25">
      <c r="A11" s="88" t="str">
        <f>'G-1 All Habitats'!B10</f>
        <v>Cropland - Intensive orchards</v>
      </c>
      <c r="B11" s="544" t="s">
        <v>934</v>
      </c>
      <c r="C11" s="544" t="s">
        <v>934</v>
      </c>
      <c r="D11" s="544" t="s">
        <v>934</v>
      </c>
      <c r="E11" s="544" t="s">
        <v>934</v>
      </c>
      <c r="F11" s="544" t="s">
        <v>934</v>
      </c>
      <c r="G11" s="544">
        <v>1</v>
      </c>
      <c r="H11" s="544" t="s">
        <v>934</v>
      </c>
      <c r="I11" s="31" t="str">
        <f t="shared" si="1"/>
        <v>Cond1</v>
      </c>
    </row>
    <row r="12" spans="1:14" ht="13.8" x14ac:dyDescent="0.25">
      <c r="A12" s="88" t="str">
        <f>'G-1 All Habitats'!B11</f>
        <v>Cropland - Non-cereal crops</v>
      </c>
      <c r="B12" s="544" t="s">
        <v>934</v>
      </c>
      <c r="C12" s="544" t="s">
        <v>934</v>
      </c>
      <c r="D12" s="544" t="s">
        <v>934</v>
      </c>
      <c r="E12" s="544" t="s">
        <v>934</v>
      </c>
      <c r="F12" s="544" t="s">
        <v>934</v>
      </c>
      <c r="G12" s="544">
        <v>1</v>
      </c>
      <c r="H12" s="544" t="s">
        <v>934</v>
      </c>
      <c r="I12" s="31" t="str">
        <f t="shared" si="1"/>
        <v>Cond1</v>
      </c>
    </row>
    <row r="13" spans="1:14" ht="13.8" x14ac:dyDescent="0.25">
      <c r="A13" s="88" t="str">
        <f>'G-1 All Habitats'!B12</f>
        <v>Cropland - Temporary grass and clover leys</v>
      </c>
      <c r="B13" s="544" t="s">
        <v>934</v>
      </c>
      <c r="C13" s="544" t="s">
        <v>934</v>
      </c>
      <c r="D13" s="544" t="s">
        <v>934</v>
      </c>
      <c r="E13" s="544" t="s">
        <v>934</v>
      </c>
      <c r="F13" s="544" t="s">
        <v>934</v>
      </c>
      <c r="G13" s="544">
        <v>1</v>
      </c>
      <c r="H13" s="544" t="s">
        <v>934</v>
      </c>
      <c r="I13" s="31" t="str">
        <f t="shared" si="1"/>
        <v>Cond1</v>
      </c>
    </row>
    <row r="14" spans="1:14" ht="13.8" x14ac:dyDescent="0.25">
      <c r="A14" s="88" t="str">
        <f>'G-1 All Habitats'!B13</f>
        <v>Grassland - Traditional orchards</v>
      </c>
      <c r="B14" s="544">
        <v>3</v>
      </c>
      <c r="C14" s="544">
        <v>2.5</v>
      </c>
      <c r="D14" s="544">
        <v>2</v>
      </c>
      <c r="E14" s="544">
        <v>1.5</v>
      </c>
      <c r="F14" s="544">
        <v>1</v>
      </c>
      <c r="G14" s="544" t="s">
        <v>934</v>
      </c>
      <c r="H14" s="544" t="s">
        <v>934</v>
      </c>
      <c r="I14" s="31" t="str">
        <f t="shared" si="1"/>
        <v>Cond4</v>
      </c>
    </row>
    <row r="15" spans="1:14" ht="13.8" x14ac:dyDescent="0.25">
      <c r="A15" s="88" t="str">
        <f>'G-1 All Habitats'!B14</f>
        <v>Grassland - Bracken</v>
      </c>
      <c r="B15" s="544" t="s">
        <v>934</v>
      </c>
      <c r="C15" s="544" t="s">
        <v>934</v>
      </c>
      <c r="D15" s="544" t="s">
        <v>934</v>
      </c>
      <c r="E15" s="544" t="s">
        <v>934</v>
      </c>
      <c r="F15" s="544" t="s">
        <v>934</v>
      </c>
      <c r="G15" s="544">
        <v>1</v>
      </c>
      <c r="H15" s="544" t="s">
        <v>934</v>
      </c>
      <c r="I15" s="31" t="str">
        <f t="shared" si="1"/>
        <v>Cond1</v>
      </c>
    </row>
    <row r="16" spans="1:14" ht="13.8" x14ac:dyDescent="0.25">
      <c r="A16" s="88" t="str">
        <f>'G-1 All Habitats'!B15</f>
        <v>Grassland - Floodplain Wetland Mosaic (CFGM)</v>
      </c>
      <c r="B16" s="544">
        <v>3</v>
      </c>
      <c r="C16" s="544">
        <v>2.5</v>
      </c>
      <c r="D16" s="544">
        <v>2</v>
      </c>
      <c r="E16" s="544">
        <v>1.5</v>
      </c>
      <c r="F16" s="544">
        <v>1</v>
      </c>
      <c r="G16" s="544" t="s">
        <v>934</v>
      </c>
      <c r="H16" s="544" t="s">
        <v>934</v>
      </c>
      <c r="I16" s="31" t="str">
        <f t="shared" si="1"/>
        <v>Cond4</v>
      </c>
    </row>
    <row r="17" spans="1:9" ht="13.8" x14ac:dyDescent="0.25">
      <c r="A17" s="88" t="str">
        <f>'G-1 All Habitats'!B16</f>
        <v>Grassland - Lowland calcareous grassland</v>
      </c>
      <c r="B17" s="544">
        <v>3</v>
      </c>
      <c r="C17" s="544">
        <v>2.5</v>
      </c>
      <c r="D17" s="544">
        <v>2</v>
      </c>
      <c r="E17" s="544">
        <v>1.5</v>
      </c>
      <c r="F17" s="544">
        <v>1</v>
      </c>
      <c r="G17" s="544" t="s">
        <v>934</v>
      </c>
      <c r="H17" s="544" t="s">
        <v>934</v>
      </c>
      <c r="I17" s="31" t="str">
        <f t="shared" si="1"/>
        <v>Cond4</v>
      </c>
    </row>
    <row r="18" spans="1:9" ht="13.8" x14ac:dyDescent="0.25">
      <c r="A18" s="88" t="str">
        <f>'G-1 All Habitats'!B17</f>
        <v>Grassland - Lowland dry acid grassland</v>
      </c>
      <c r="B18" s="544">
        <v>3</v>
      </c>
      <c r="C18" s="544">
        <v>2.5</v>
      </c>
      <c r="D18" s="544">
        <v>2</v>
      </c>
      <c r="E18" s="544">
        <v>1.5</v>
      </c>
      <c r="F18" s="544">
        <v>1</v>
      </c>
      <c r="G18" s="544" t="s">
        <v>934</v>
      </c>
      <c r="H18" s="544" t="s">
        <v>934</v>
      </c>
      <c r="I18" s="31" t="str">
        <f t="shared" si="1"/>
        <v>Cond4</v>
      </c>
    </row>
    <row r="19" spans="1:9" ht="13.8" x14ac:dyDescent="0.25">
      <c r="A19" s="88" t="str">
        <f>'G-1 All Habitats'!B18</f>
        <v>Grassland - Lowland meadows</v>
      </c>
      <c r="B19" s="544">
        <v>3</v>
      </c>
      <c r="C19" s="544">
        <v>2.5</v>
      </c>
      <c r="D19" s="544">
        <v>2</v>
      </c>
      <c r="E19" s="544">
        <v>1.5</v>
      </c>
      <c r="F19" s="544">
        <v>1</v>
      </c>
      <c r="G19" s="544" t="s">
        <v>934</v>
      </c>
      <c r="H19" s="544" t="s">
        <v>934</v>
      </c>
      <c r="I19" s="31" t="str">
        <f t="shared" si="1"/>
        <v>Cond4</v>
      </c>
    </row>
    <row r="20" spans="1:9" ht="13.8" x14ac:dyDescent="0.25">
      <c r="A20" s="88" t="str">
        <f>'G-1 All Habitats'!B19</f>
        <v>Grassland - Modified grassland</v>
      </c>
      <c r="B20" s="544">
        <v>3</v>
      </c>
      <c r="C20" s="544">
        <v>2.5</v>
      </c>
      <c r="D20" s="544">
        <v>2</v>
      </c>
      <c r="E20" s="544">
        <v>1.5</v>
      </c>
      <c r="F20" s="544">
        <v>1</v>
      </c>
      <c r="G20" s="544" t="s">
        <v>934</v>
      </c>
      <c r="H20" s="544" t="s">
        <v>934</v>
      </c>
      <c r="I20" s="31" t="str">
        <f t="shared" si="1"/>
        <v>Cond4</v>
      </c>
    </row>
    <row r="21" spans="1:9" ht="15" customHeight="1" x14ac:dyDescent="0.25">
      <c r="A21" s="88" t="str">
        <f>'G-1 All Habitats'!B20</f>
        <v>Grassland - Other lowland acid grassland</v>
      </c>
      <c r="B21" s="544">
        <v>3</v>
      </c>
      <c r="C21" s="544">
        <v>2.5</v>
      </c>
      <c r="D21" s="544">
        <v>2</v>
      </c>
      <c r="E21" s="544">
        <v>1.5</v>
      </c>
      <c r="F21" s="544">
        <v>1</v>
      </c>
      <c r="G21" s="544" t="s">
        <v>934</v>
      </c>
      <c r="H21" s="544" t="s">
        <v>934</v>
      </c>
      <c r="I21" s="31" t="str">
        <f t="shared" si="1"/>
        <v>Cond4</v>
      </c>
    </row>
    <row r="22" spans="1:9" ht="15" customHeight="1" x14ac:dyDescent="0.25">
      <c r="A22" s="88" t="str">
        <f>'G-1 All Habitats'!B21</f>
        <v>Grassland - Other neutral grassland</v>
      </c>
      <c r="B22" s="544">
        <v>3</v>
      </c>
      <c r="C22" s="544">
        <v>2.5</v>
      </c>
      <c r="D22" s="544">
        <v>2</v>
      </c>
      <c r="E22" s="544">
        <v>1.5</v>
      </c>
      <c r="F22" s="544">
        <v>1</v>
      </c>
      <c r="G22" s="544" t="s">
        <v>934</v>
      </c>
      <c r="H22" s="544" t="s">
        <v>934</v>
      </c>
      <c r="I22" s="31" t="str">
        <f t="shared" si="1"/>
        <v>Cond4</v>
      </c>
    </row>
    <row r="23" spans="1:9" ht="15" customHeight="1" x14ac:dyDescent="0.25">
      <c r="A23" s="88" t="str">
        <f>'G-1 All Habitats'!B22</f>
        <v>Grassland - Tall herb communities (H6430)</v>
      </c>
      <c r="B23" s="544">
        <v>3</v>
      </c>
      <c r="C23" s="544">
        <v>2.5</v>
      </c>
      <c r="D23" s="544">
        <v>2</v>
      </c>
      <c r="E23" s="544">
        <v>1.5</v>
      </c>
      <c r="F23" s="544">
        <v>1</v>
      </c>
      <c r="G23" s="544" t="s">
        <v>934</v>
      </c>
      <c r="H23" s="544" t="s">
        <v>934</v>
      </c>
      <c r="I23" s="31" t="str">
        <f t="shared" si="1"/>
        <v>Cond4</v>
      </c>
    </row>
    <row r="24" spans="1:9" ht="15" customHeight="1" x14ac:dyDescent="0.25">
      <c r="A24" s="88" t="str">
        <f>'G-1 All Habitats'!B23</f>
        <v>Grassland - Upland acid grassland</v>
      </c>
      <c r="B24" s="544">
        <v>3</v>
      </c>
      <c r="C24" s="544">
        <v>2.5</v>
      </c>
      <c r="D24" s="544">
        <v>2</v>
      </c>
      <c r="E24" s="544">
        <v>1.5</v>
      </c>
      <c r="F24" s="544">
        <v>1</v>
      </c>
      <c r="G24" s="544" t="s">
        <v>934</v>
      </c>
      <c r="H24" s="544" t="s">
        <v>934</v>
      </c>
      <c r="I24" s="31" t="str">
        <f t="shared" si="1"/>
        <v>Cond4</v>
      </c>
    </row>
    <row r="25" spans="1:9" ht="15" customHeight="1" x14ac:dyDescent="0.25">
      <c r="A25" s="88" t="str">
        <f>'G-1 All Habitats'!B24</f>
        <v>Grassland - Upland calcareous grassland</v>
      </c>
      <c r="B25" s="544">
        <v>3</v>
      </c>
      <c r="C25" s="544">
        <v>2.5</v>
      </c>
      <c r="D25" s="544">
        <v>2</v>
      </c>
      <c r="E25" s="544">
        <v>1.5</v>
      </c>
      <c r="F25" s="544">
        <v>1</v>
      </c>
      <c r="G25" s="544" t="s">
        <v>934</v>
      </c>
      <c r="H25" s="544" t="s">
        <v>934</v>
      </c>
      <c r="I25" s="31" t="str">
        <f t="shared" si="1"/>
        <v>Cond4</v>
      </c>
    </row>
    <row r="26" spans="1:9" ht="15" customHeight="1" x14ac:dyDescent="0.25">
      <c r="A26" s="88" t="str">
        <f>'G-1 All Habitats'!B25</f>
        <v>Grassland - Upland hay meadows</v>
      </c>
      <c r="B26" s="544">
        <v>3</v>
      </c>
      <c r="C26" s="544">
        <v>2.5</v>
      </c>
      <c r="D26" s="544">
        <v>2</v>
      </c>
      <c r="E26" s="544">
        <v>1.5</v>
      </c>
      <c r="F26" s="544">
        <v>1</v>
      </c>
      <c r="G26" s="544" t="s">
        <v>934</v>
      </c>
      <c r="H26" s="544" t="s">
        <v>934</v>
      </c>
      <c r="I26" s="31" t="str">
        <f t="shared" si="1"/>
        <v>Cond4</v>
      </c>
    </row>
    <row r="27" spans="1:9" ht="13.8" x14ac:dyDescent="0.25">
      <c r="A27" s="88" t="str">
        <f>'G-1 All Habitats'!B26</f>
        <v>Heathland and shrub - Blackthorn scrub</v>
      </c>
      <c r="B27" s="544">
        <v>3</v>
      </c>
      <c r="C27" s="544">
        <v>2.5</v>
      </c>
      <c r="D27" s="544">
        <v>2</v>
      </c>
      <c r="E27" s="544">
        <v>1.5</v>
      </c>
      <c r="F27" s="544">
        <v>1</v>
      </c>
      <c r="G27" s="544" t="s">
        <v>934</v>
      </c>
      <c r="H27" s="544" t="s">
        <v>934</v>
      </c>
      <c r="I27" s="31" t="str">
        <f t="shared" si="1"/>
        <v>Cond4</v>
      </c>
    </row>
    <row r="28" spans="1:9" ht="13.8" x14ac:dyDescent="0.25">
      <c r="A28" s="88" t="str">
        <f>'G-1 All Habitats'!B27</f>
        <v>Heathland and shrub - Bramble scrub</v>
      </c>
      <c r="B28" s="544" t="s">
        <v>934</v>
      </c>
      <c r="C28" s="544" t="s">
        <v>934</v>
      </c>
      <c r="D28" s="544" t="s">
        <v>934</v>
      </c>
      <c r="E28" s="544" t="s">
        <v>934</v>
      </c>
      <c r="F28" s="544" t="s">
        <v>934</v>
      </c>
      <c r="G28" s="544">
        <v>1</v>
      </c>
      <c r="H28" s="544" t="s">
        <v>934</v>
      </c>
      <c r="I28" s="31" t="str">
        <f t="shared" si="1"/>
        <v>Cond1</v>
      </c>
    </row>
    <row r="29" spans="1:9" ht="13.8" x14ac:dyDescent="0.25">
      <c r="A29" s="88" t="str">
        <f>'G-1 All Habitats'!B28</f>
        <v>Heathland and shrub - Gorse scrub</v>
      </c>
      <c r="B29" s="544">
        <v>3</v>
      </c>
      <c r="C29" s="544">
        <v>2.5</v>
      </c>
      <c r="D29" s="544">
        <v>2</v>
      </c>
      <c r="E29" s="544">
        <v>1.5</v>
      </c>
      <c r="F29" s="544">
        <v>1</v>
      </c>
      <c r="G29" s="544" t="s">
        <v>934</v>
      </c>
      <c r="H29" s="544" t="s">
        <v>934</v>
      </c>
      <c r="I29" s="31" t="str">
        <f t="shared" si="1"/>
        <v>Cond4</v>
      </c>
    </row>
    <row r="30" spans="1:9" ht="13.8" x14ac:dyDescent="0.25">
      <c r="A30" s="88" t="str">
        <f>'G-1 All Habitats'!B29</f>
        <v>Heathland and shrub - Hawthorn scrub</v>
      </c>
      <c r="B30" s="544">
        <v>3</v>
      </c>
      <c r="C30" s="544">
        <v>2.5</v>
      </c>
      <c r="D30" s="544">
        <v>2</v>
      </c>
      <c r="E30" s="544">
        <v>1.5</v>
      </c>
      <c r="F30" s="544">
        <v>1</v>
      </c>
      <c r="G30" s="544" t="s">
        <v>934</v>
      </c>
      <c r="H30" s="544" t="s">
        <v>934</v>
      </c>
      <c r="I30" s="31" t="str">
        <f t="shared" si="1"/>
        <v>Cond4</v>
      </c>
    </row>
    <row r="31" spans="1:9" ht="13.8" x14ac:dyDescent="0.25">
      <c r="A31" s="88" t="str">
        <f>'G-1 All Habitats'!B30</f>
        <v>Heathland and shrub - Hazel scrub</v>
      </c>
      <c r="B31" s="544">
        <v>3</v>
      </c>
      <c r="C31" s="544">
        <v>2.5</v>
      </c>
      <c r="D31" s="544">
        <v>2</v>
      </c>
      <c r="E31" s="544">
        <v>1.5</v>
      </c>
      <c r="F31" s="544">
        <v>1</v>
      </c>
      <c r="G31" s="544" t="s">
        <v>934</v>
      </c>
      <c r="H31" s="544" t="s">
        <v>934</v>
      </c>
      <c r="I31" s="31" t="str">
        <f t="shared" si="1"/>
        <v>Cond4</v>
      </c>
    </row>
    <row r="32" spans="1:9" ht="13.8" x14ac:dyDescent="0.25">
      <c r="A32" s="88" t="str">
        <f>'G-1 All Habitats'!B31</f>
        <v>Heathland and shrub - Lowland Heathland</v>
      </c>
      <c r="B32" s="544">
        <v>3</v>
      </c>
      <c r="C32" s="544">
        <v>2.5</v>
      </c>
      <c r="D32" s="544">
        <v>2</v>
      </c>
      <c r="E32" s="544">
        <v>1.5</v>
      </c>
      <c r="F32" s="544">
        <v>1</v>
      </c>
      <c r="G32" s="544" t="s">
        <v>934</v>
      </c>
      <c r="H32" s="544" t="s">
        <v>934</v>
      </c>
      <c r="I32" s="31" t="str">
        <f t="shared" si="1"/>
        <v>Cond4</v>
      </c>
    </row>
    <row r="33" spans="1:9" ht="13.8" x14ac:dyDescent="0.25">
      <c r="A33" s="88" t="str">
        <f>'G-1 All Habitats'!B32</f>
        <v>Heathland and shrub - Mixed scrub</v>
      </c>
      <c r="B33" s="544">
        <v>3</v>
      </c>
      <c r="C33" s="544">
        <v>2.5</v>
      </c>
      <c r="D33" s="544">
        <v>2</v>
      </c>
      <c r="E33" s="544">
        <v>1.5</v>
      </c>
      <c r="F33" s="544">
        <v>1</v>
      </c>
      <c r="G33" s="544" t="s">
        <v>934</v>
      </c>
      <c r="H33" s="544" t="s">
        <v>934</v>
      </c>
      <c r="I33" s="31" t="str">
        <f t="shared" si="1"/>
        <v>Cond4</v>
      </c>
    </row>
    <row r="34" spans="1:9" ht="13.8" x14ac:dyDescent="0.25">
      <c r="A34" s="88" t="str">
        <f>'G-1 All Habitats'!B33</f>
        <v>Heathland and shrub - Mountain heaths and willow scrub</v>
      </c>
      <c r="B34" s="544">
        <v>3</v>
      </c>
      <c r="C34" s="544">
        <v>2.5</v>
      </c>
      <c r="D34" s="544">
        <v>2</v>
      </c>
      <c r="E34" s="544">
        <v>1.5</v>
      </c>
      <c r="F34" s="544">
        <v>1</v>
      </c>
      <c r="G34" s="544" t="s">
        <v>934</v>
      </c>
      <c r="H34" s="544" t="s">
        <v>934</v>
      </c>
      <c r="I34" s="31" t="str">
        <f t="shared" si="1"/>
        <v>Cond4</v>
      </c>
    </row>
    <row r="35" spans="1:9" ht="13.8" x14ac:dyDescent="0.25">
      <c r="A35" s="88" t="str">
        <f>'G-1 All Habitats'!B34</f>
        <v>Heathland and shrub - Rhododendron scrub</v>
      </c>
      <c r="B35" s="544" t="s">
        <v>934</v>
      </c>
      <c r="C35" s="544" t="s">
        <v>934</v>
      </c>
      <c r="D35" s="544" t="s">
        <v>934</v>
      </c>
      <c r="E35" s="544" t="s">
        <v>934</v>
      </c>
      <c r="F35" s="544" t="s">
        <v>934</v>
      </c>
      <c r="G35" s="544">
        <v>1</v>
      </c>
      <c r="H35" s="544" t="s">
        <v>934</v>
      </c>
      <c r="I35" s="31" t="str">
        <f t="shared" si="1"/>
        <v>Cond1</v>
      </c>
    </row>
    <row r="36" spans="1:9" ht="13.8" x14ac:dyDescent="0.25">
      <c r="A36" s="88" t="str">
        <f>'G-1 All Habitats'!B35</f>
        <v>Heathland and shrub - Sea buckthorn scrub (Annex 1)</v>
      </c>
      <c r="B36" s="544">
        <v>3</v>
      </c>
      <c r="C36" s="544">
        <v>2.5</v>
      </c>
      <c r="D36" s="544">
        <v>2</v>
      </c>
      <c r="E36" s="544">
        <v>1.5</v>
      </c>
      <c r="F36" s="544">
        <v>1</v>
      </c>
      <c r="G36" s="544" t="s">
        <v>934</v>
      </c>
      <c r="H36" s="544" t="s">
        <v>934</v>
      </c>
      <c r="I36" s="31" t="str">
        <f t="shared" si="1"/>
        <v>Cond4</v>
      </c>
    </row>
    <row r="37" spans="1:9" ht="13.8" x14ac:dyDescent="0.25">
      <c r="A37" s="88" t="str">
        <f>'G-1 All Habitats'!B36</f>
        <v>Heathland and shrub - Sea buckthorn scrub (other)</v>
      </c>
      <c r="B37" s="544" t="s">
        <v>934</v>
      </c>
      <c r="C37" s="544" t="s">
        <v>934</v>
      </c>
      <c r="D37" s="544" t="s">
        <v>934</v>
      </c>
      <c r="E37" s="544" t="s">
        <v>934</v>
      </c>
      <c r="F37" s="544" t="s">
        <v>934</v>
      </c>
      <c r="G37" s="544">
        <v>1</v>
      </c>
      <c r="H37" s="544" t="s">
        <v>934</v>
      </c>
      <c r="I37" s="31" t="str">
        <f t="shared" si="1"/>
        <v>Cond1</v>
      </c>
    </row>
    <row r="38" spans="1:9" ht="13.8" x14ac:dyDescent="0.25">
      <c r="A38" s="88" t="str">
        <f>'G-1 All Habitats'!B37</f>
        <v>Heathland and shrub - Upland Heathland</v>
      </c>
      <c r="B38" s="544">
        <v>3</v>
      </c>
      <c r="C38" s="544">
        <v>2.5</v>
      </c>
      <c r="D38" s="544">
        <v>2</v>
      </c>
      <c r="E38" s="544">
        <v>1.5</v>
      </c>
      <c r="F38" s="544">
        <v>1</v>
      </c>
      <c r="G38" s="544" t="s">
        <v>934</v>
      </c>
      <c r="H38" s="544" t="s">
        <v>934</v>
      </c>
      <c r="I38" s="31" t="str">
        <f t="shared" si="1"/>
        <v>Cond4</v>
      </c>
    </row>
    <row r="39" spans="1:9" ht="13.8" x14ac:dyDescent="0.25">
      <c r="A39" s="88" t="str">
        <f>'G-1 All Habitats'!B38</f>
        <v>Lakes - Aquifer fed naturally fluctuating water bodies</v>
      </c>
      <c r="B39" s="544">
        <v>3</v>
      </c>
      <c r="C39" s="544">
        <v>2.5</v>
      </c>
      <c r="D39" s="544">
        <v>2</v>
      </c>
      <c r="E39" s="544">
        <v>1.5</v>
      </c>
      <c r="F39" s="544">
        <v>1</v>
      </c>
      <c r="G39" s="544" t="s">
        <v>934</v>
      </c>
      <c r="H39" s="544" t="s">
        <v>934</v>
      </c>
      <c r="I39" s="31" t="str">
        <f t="shared" si="1"/>
        <v>Cond4</v>
      </c>
    </row>
    <row r="40" spans="1:9" ht="13.8" x14ac:dyDescent="0.25">
      <c r="A40" s="88" t="str">
        <f>'G-1 All Habitats'!B40</f>
        <v>Lakes - High alkalinity lakes</v>
      </c>
      <c r="B40" s="544">
        <v>3</v>
      </c>
      <c r="C40" s="544">
        <v>2.5</v>
      </c>
      <c r="D40" s="544">
        <v>2</v>
      </c>
      <c r="E40" s="544">
        <v>1.5</v>
      </c>
      <c r="F40" s="544">
        <v>1</v>
      </c>
      <c r="G40" s="544" t="s">
        <v>934</v>
      </c>
      <c r="H40" s="544" t="s">
        <v>934</v>
      </c>
      <c r="I40" s="31" t="str">
        <f t="shared" si="1"/>
        <v>Cond4</v>
      </c>
    </row>
    <row r="41" spans="1:9" ht="13.8" x14ac:dyDescent="0.25">
      <c r="A41" s="88" t="str">
        <f>'G-1 All Habitats'!B41</f>
        <v>Lakes - Low alkalinity lakes</v>
      </c>
      <c r="B41" s="544">
        <v>3</v>
      </c>
      <c r="C41" s="544">
        <v>2.5</v>
      </c>
      <c r="D41" s="544">
        <v>2</v>
      </c>
      <c r="E41" s="544">
        <v>1.5</v>
      </c>
      <c r="F41" s="544">
        <v>1</v>
      </c>
      <c r="G41" s="544" t="s">
        <v>934</v>
      </c>
      <c r="H41" s="544" t="s">
        <v>934</v>
      </c>
      <c r="I41" s="31" t="str">
        <f t="shared" ref="I41:I72" si="2">IF(G41=1,"Cond1",IF(H41=0,"Cond2",IF(AND(B41=3,C41=2.5,D41=2,E41=1.5,F41=1),"Cond4",IF(F41=1,"Cond3","Check"))))</f>
        <v>Cond4</v>
      </c>
    </row>
    <row r="42" spans="1:9" ht="13.8" x14ac:dyDescent="0.25">
      <c r="A42" s="88" t="str">
        <f>'G-1 All Habitats'!B42</f>
        <v>Lakes - Marl Lakes</v>
      </c>
      <c r="B42" s="544">
        <v>3</v>
      </c>
      <c r="C42" s="544">
        <v>2.5</v>
      </c>
      <c r="D42" s="544">
        <v>2</v>
      </c>
      <c r="E42" s="544">
        <v>1.5</v>
      </c>
      <c r="F42" s="544">
        <v>1</v>
      </c>
      <c r="G42" s="544" t="s">
        <v>934</v>
      </c>
      <c r="H42" s="544" t="s">
        <v>934</v>
      </c>
      <c r="I42" s="31" t="str">
        <f t="shared" si="2"/>
        <v>Cond4</v>
      </c>
    </row>
    <row r="43" spans="1:9" ht="13.8" x14ac:dyDescent="0.25">
      <c r="A43" s="88" t="str">
        <f>'G-1 All Habitats'!B43</f>
        <v>Lakes - Moderate alkalinity lakes</v>
      </c>
      <c r="B43" s="544">
        <v>3</v>
      </c>
      <c r="C43" s="544">
        <v>2.5</v>
      </c>
      <c r="D43" s="544">
        <v>2</v>
      </c>
      <c r="E43" s="544">
        <v>1.5</v>
      </c>
      <c r="F43" s="544">
        <v>1</v>
      </c>
      <c r="G43" s="544" t="s">
        <v>934</v>
      </c>
      <c r="H43" s="544" t="s">
        <v>934</v>
      </c>
      <c r="I43" s="31" t="str">
        <f t="shared" si="2"/>
        <v>Cond4</v>
      </c>
    </row>
    <row r="44" spans="1:9" ht="13.8" x14ac:dyDescent="0.25">
      <c r="A44" s="88" t="str">
        <f>'G-1 All Habitats'!B44</f>
        <v>Lakes - Peat Lakes</v>
      </c>
      <c r="B44" s="544">
        <v>3</v>
      </c>
      <c r="C44" s="544">
        <v>2.5</v>
      </c>
      <c r="D44" s="544">
        <v>2</v>
      </c>
      <c r="E44" s="544">
        <v>1.5</v>
      </c>
      <c r="F44" s="544">
        <v>1</v>
      </c>
      <c r="G44" s="544" t="s">
        <v>934</v>
      </c>
      <c r="H44" s="544" t="s">
        <v>934</v>
      </c>
      <c r="I44" s="31" t="str">
        <f t="shared" si="2"/>
        <v>Cond4</v>
      </c>
    </row>
    <row r="45" spans="1:9" ht="13.8" x14ac:dyDescent="0.25">
      <c r="A45" s="88" t="str">
        <f>'G-1 All Habitats'!B45</f>
        <v>Lakes - Ponds (Priority Habitat)</v>
      </c>
      <c r="B45" s="544">
        <v>3</v>
      </c>
      <c r="C45" s="544">
        <v>2.5</v>
      </c>
      <c r="D45" s="544">
        <v>2</v>
      </c>
      <c r="E45" s="544">
        <v>1.5</v>
      </c>
      <c r="F45" s="544">
        <v>1</v>
      </c>
      <c r="G45" s="544" t="s">
        <v>934</v>
      </c>
      <c r="H45" s="544" t="s">
        <v>934</v>
      </c>
      <c r="I45" s="31" t="str">
        <f t="shared" si="2"/>
        <v>Cond4</v>
      </c>
    </row>
    <row r="46" spans="1:9" ht="13.8" x14ac:dyDescent="0.25">
      <c r="A46" s="88" t="str">
        <f>'G-1 All Habitats'!B46</f>
        <v>Lakes - Ponds (Non- Priority Habitat)</v>
      </c>
      <c r="B46" s="544">
        <v>3</v>
      </c>
      <c r="C46" s="544">
        <v>2.5</v>
      </c>
      <c r="D46" s="544">
        <v>2</v>
      </c>
      <c r="E46" s="544">
        <v>1.5</v>
      </c>
      <c r="F46" s="544">
        <v>1</v>
      </c>
      <c r="G46" s="544" t="s">
        <v>934</v>
      </c>
      <c r="H46" s="544" t="s">
        <v>934</v>
      </c>
      <c r="I46" s="31" t="str">
        <f t="shared" si="2"/>
        <v>Cond4</v>
      </c>
    </row>
    <row r="47" spans="1:9" ht="13.8" x14ac:dyDescent="0.25">
      <c r="A47" s="88" t="str">
        <f>'G-1 All Habitats'!B47</f>
        <v>Lakes - Reservoirs</v>
      </c>
      <c r="B47" s="544">
        <v>3</v>
      </c>
      <c r="C47" s="544">
        <v>2.5</v>
      </c>
      <c r="D47" s="544">
        <v>2</v>
      </c>
      <c r="E47" s="544">
        <v>1.5</v>
      </c>
      <c r="F47" s="544">
        <v>1</v>
      </c>
      <c r="G47" s="544" t="s">
        <v>934</v>
      </c>
      <c r="H47" s="544" t="s">
        <v>934</v>
      </c>
      <c r="I47" s="31" t="str">
        <f t="shared" si="2"/>
        <v>Cond4</v>
      </c>
    </row>
    <row r="48" spans="1:9" ht="13.8" x14ac:dyDescent="0.25">
      <c r="A48" s="88" t="str">
        <f>'G-1 All Habitats'!B48</f>
        <v>Lakes - Temporary lakes, ponds and pools</v>
      </c>
      <c r="B48" s="544">
        <v>3</v>
      </c>
      <c r="C48" s="544">
        <v>2.5</v>
      </c>
      <c r="D48" s="544">
        <v>2</v>
      </c>
      <c r="E48" s="544">
        <v>1.5</v>
      </c>
      <c r="F48" s="544">
        <v>1</v>
      </c>
      <c r="G48" s="544" t="s">
        <v>934</v>
      </c>
      <c r="H48" s="544" t="s">
        <v>934</v>
      </c>
      <c r="I48" s="31" t="str">
        <f t="shared" si="2"/>
        <v>Cond4</v>
      </c>
    </row>
    <row r="49" spans="1:9" ht="13.8" x14ac:dyDescent="0.25">
      <c r="A49" s="88" t="str">
        <f>'G-1 All Habitats'!B49</f>
        <v>Sparsely vegetated land - Calaminarian grasslands</v>
      </c>
      <c r="B49" s="544">
        <v>3</v>
      </c>
      <c r="C49" s="544">
        <v>2.5</v>
      </c>
      <c r="D49" s="544">
        <v>2</v>
      </c>
      <c r="E49" s="544">
        <v>1.5</v>
      </c>
      <c r="F49" s="544">
        <v>1</v>
      </c>
      <c r="G49" s="544" t="s">
        <v>934</v>
      </c>
      <c r="H49" s="544" t="s">
        <v>934</v>
      </c>
      <c r="I49" s="31" t="str">
        <f t="shared" si="2"/>
        <v>Cond4</v>
      </c>
    </row>
    <row r="50" spans="1:9" ht="13.8" x14ac:dyDescent="0.25">
      <c r="A50" s="88" t="str">
        <f>'G-1 All Habitats'!B50</f>
        <v>Sparsely vegetated land - Coastal sand dunes</v>
      </c>
      <c r="B50" s="544">
        <v>3</v>
      </c>
      <c r="C50" s="544">
        <v>2.5</v>
      </c>
      <c r="D50" s="544">
        <v>2</v>
      </c>
      <c r="E50" s="544">
        <v>1.5</v>
      </c>
      <c r="F50" s="544">
        <v>1</v>
      </c>
      <c r="G50" s="544" t="s">
        <v>934</v>
      </c>
      <c r="H50" s="544" t="s">
        <v>934</v>
      </c>
      <c r="I50" s="31" t="str">
        <f t="shared" si="2"/>
        <v>Cond4</v>
      </c>
    </row>
    <row r="51" spans="1:9" ht="13.8" x14ac:dyDescent="0.25">
      <c r="A51" s="88" t="str">
        <f>'G-1 All Habitats'!B51</f>
        <v>Sparsely vegetated land - Coastal vegetated shingle</v>
      </c>
      <c r="B51" s="544">
        <v>3</v>
      </c>
      <c r="C51" s="544">
        <v>2.5</v>
      </c>
      <c r="D51" s="544">
        <v>2</v>
      </c>
      <c r="E51" s="544">
        <v>1.5</v>
      </c>
      <c r="F51" s="544">
        <v>1</v>
      </c>
      <c r="G51" s="544" t="s">
        <v>934</v>
      </c>
      <c r="H51" s="544" t="s">
        <v>934</v>
      </c>
      <c r="I51" s="31" t="str">
        <f t="shared" si="2"/>
        <v>Cond4</v>
      </c>
    </row>
    <row r="52" spans="1:9" ht="13.8" x14ac:dyDescent="0.25">
      <c r="A52" s="88" t="str">
        <f>'G-1 All Habitats'!B52</f>
        <v>Sparsely vegetated land - Ruderal/Ephemeral</v>
      </c>
      <c r="B52" s="544">
        <v>3</v>
      </c>
      <c r="C52" s="544">
        <v>2.5</v>
      </c>
      <c r="D52" s="544">
        <v>2</v>
      </c>
      <c r="E52" s="544">
        <v>1.5</v>
      </c>
      <c r="F52" s="544">
        <v>1</v>
      </c>
      <c r="G52" s="544" t="s">
        <v>934</v>
      </c>
      <c r="H52" s="544" t="s">
        <v>934</v>
      </c>
      <c r="I52" s="31" t="str">
        <f t="shared" si="2"/>
        <v>Cond4</v>
      </c>
    </row>
    <row r="53" spans="1:9" ht="13.8" x14ac:dyDescent="0.25">
      <c r="A53" s="88" t="str">
        <f>'G-1 All Habitats'!B53</f>
        <v>Sparsely vegetated land - Inland rock outcrop and scree habitats</v>
      </c>
      <c r="B53" s="544">
        <v>3</v>
      </c>
      <c r="C53" s="544">
        <v>2.5</v>
      </c>
      <c r="D53" s="544">
        <v>2</v>
      </c>
      <c r="E53" s="544">
        <v>1.5</v>
      </c>
      <c r="F53" s="544">
        <v>1</v>
      </c>
      <c r="G53" s="544" t="s">
        <v>934</v>
      </c>
      <c r="H53" s="544" t="s">
        <v>934</v>
      </c>
      <c r="I53" s="31" t="str">
        <f t="shared" si="2"/>
        <v>Cond4</v>
      </c>
    </row>
    <row r="54" spans="1:9" ht="13.8" x14ac:dyDescent="0.25">
      <c r="A54" s="88" t="str">
        <f>'G-1 All Habitats'!B54</f>
        <v>Sparsely vegetated land - Limestone pavement</v>
      </c>
      <c r="B54" s="544">
        <v>3</v>
      </c>
      <c r="C54" s="544">
        <v>2.5</v>
      </c>
      <c r="D54" s="544">
        <v>2</v>
      </c>
      <c r="E54" s="544">
        <v>1.5</v>
      </c>
      <c r="F54" s="544">
        <v>1</v>
      </c>
      <c r="G54" s="544" t="s">
        <v>934</v>
      </c>
      <c r="H54" s="544" t="s">
        <v>934</v>
      </c>
      <c r="I54" s="31" t="str">
        <f t="shared" si="2"/>
        <v>Cond4</v>
      </c>
    </row>
    <row r="55" spans="1:9" ht="13.8" x14ac:dyDescent="0.25">
      <c r="A55" s="88" t="str">
        <f>'G-1 All Habitats'!B55</f>
        <v>Sparsely vegetated land - Maritime cliff and slopes</v>
      </c>
      <c r="B55" s="544">
        <v>3</v>
      </c>
      <c r="C55" s="544">
        <v>2.5</v>
      </c>
      <c r="D55" s="544">
        <v>2</v>
      </c>
      <c r="E55" s="544">
        <v>1.5</v>
      </c>
      <c r="F55" s="544">
        <v>1</v>
      </c>
      <c r="G55" s="544" t="s">
        <v>934</v>
      </c>
      <c r="H55" s="544" t="s">
        <v>934</v>
      </c>
      <c r="I55" s="31" t="str">
        <f t="shared" si="2"/>
        <v>Cond4</v>
      </c>
    </row>
    <row r="56" spans="1:9" ht="13.8" x14ac:dyDescent="0.25">
      <c r="A56" s="88" t="str">
        <f>'G-1 All Habitats'!B56</f>
        <v>Sparsely vegetated land - Other inland rock and scree</v>
      </c>
      <c r="B56" s="544">
        <v>3</v>
      </c>
      <c r="C56" s="544">
        <v>2.5</v>
      </c>
      <c r="D56" s="544">
        <v>2</v>
      </c>
      <c r="E56" s="544">
        <v>1.5</v>
      </c>
      <c r="F56" s="544">
        <v>1</v>
      </c>
      <c r="G56" s="544" t="s">
        <v>934</v>
      </c>
      <c r="H56" s="544" t="s">
        <v>934</v>
      </c>
      <c r="I56" s="31" t="str">
        <f t="shared" si="2"/>
        <v>Cond4</v>
      </c>
    </row>
    <row r="57" spans="1:9" ht="13.8" x14ac:dyDescent="0.25">
      <c r="A57" s="88" t="str">
        <f>'G-1 All Habitats'!B57</f>
        <v>Urban - Allotments</v>
      </c>
      <c r="B57" s="544">
        <v>3</v>
      </c>
      <c r="C57" s="544">
        <v>2.5</v>
      </c>
      <c r="D57" s="544">
        <v>2</v>
      </c>
      <c r="E57" s="544">
        <v>1.5</v>
      </c>
      <c r="F57" s="544">
        <v>1</v>
      </c>
      <c r="G57" s="544" t="s">
        <v>934</v>
      </c>
      <c r="H57" s="544" t="s">
        <v>934</v>
      </c>
      <c r="I57" s="31" t="str">
        <f t="shared" si="2"/>
        <v>Cond4</v>
      </c>
    </row>
    <row r="58" spans="1:9" ht="13.8" x14ac:dyDescent="0.25">
      <c r="A58" s="88" t="str">
        <f>'G-1 All Habitats'!B39</f>
        <v>Lakes - Ornamental lake or pond</v>
      </c>
      <c r="B58" s="544">
        <v>3</v>
      </c>
      <c r="C58" s="544">
        <v>2.5</v>
      </c>
      <c r="D58" s="544">
        <v>2</v>
      </c>
      <c r="E58" s="544">
        <v>1.5</v>
      </c>
      <c r="F58" s="544">
        <v>1</v>
      </c>
      <c r="G58" s="544" t="s">
        <v>934</v>
      </c>
      <c r="H58" s="544" t="s">
        <v>934</v>
      </c>
      <c r="I58" s="31" t="str">
        <f t="shared" si="2"/>
        <v>Cond4</v>
      </c>
    </row>
    <row r="59" spans="1:9" ht="13.8" x14ac:dyDescent="0.25">
      <c r="A59" s="88" t="str">
        <f>'G-1 All Habitats'!B58</f>
        <v>Urban - Artificial unvegetated, unsealed surface</v>
      </c>
      <c r="B59" s="544" t="s">
        <v>934</v>
      </c>
      <c r="C59" s="544" t="s">
        <v>934</v>
      </c>
      <c r="D59" s="544" t="s">
        <v>934</v>
      </c>
      <c r="E59" s="544" t="s">
        <v>934</v>
      </c>
      <c r="F59" s="544" t="s">
        <v>934</v>
      </c>
      <c r="G59" s="544" t="s">
        <v>934</v>
      </c>
      <c r="H59" s="593">
        <v>0</v>
      </c>
      <c r="I59" s="31" t="str">
        <f t="shared" si="2"/>
        <v>Cond2</v>
      </c>
    </row>
    <row r="60" spans="1:9" ht="13.8" x14ac:dyDescent="0.25">
      <c r="A60" s="88" t="str">
        <f>'G-1 All Habitats'!B59</f>
        <v>Urban - Bioswale</v>
      </c>
      <c r="B60" s="544">
        <v>3</v>
      </c>
      <c r="C60" s="544">
        <v>2.5</v>
      </c>
      <c r="D60" s="544">
        <v>2</v>
      </c>
      <c r="E60" s="544">
        <v>1.5</v>
      </c>
      <c r="F60" s="544">
        <v>1</v>
      </c>
      <c r="G60" s="544" t="s">
        <v>934</v>
      </c>
      <c r="H60" s="544" t="s">
        <v>934</v>
      </c>
      <c r="I60" s="31" t="str">
        <f t="shared" si="2"/>
        <v>Cond4</v>
      </c>
    </row>
    <row r="61" spans="1:9" ht="13.8" x14ac:dyDescent="0.25">
      <c r="A61" s="88" t="str">
        <f>'G-1 All Habitats'!B60</f>
        <v>Urban - Intensive green roof</v>
      </c>
      <c r="B61" s="544">
        <v>3</v>
      </c>
      <c r="C61" s="544">
        <v>2.5</v>
      </c>
      <c r="D61" s="544">
        <v>2</v>
      </c>
      <c r="E61" s="544">
        <v>1.5</v>
      </c>
      <c r="F61" s="544">
        <v>1</v>
      </c>
      <c r="G61" s="544" t="s">
        <v>934</v>
      </c>
      <c r="H61" s="544" t="s">
        <v>934</v>
      </c>
      <c r="I61" s="31" t="str">
        <f t="shared" si="2"/>
        <v>Cond4</v>
      </c>
    </row>
    <row r="62" spans="1:9" ht="13.8" x14ac:dyDescent="0.25">
      <c r="A62" s="88" t="str">
        <f>'G-1 All Habitats'!B61</f>
        <v>Urban - Built linear features</v>
      </c>
      <c r="B62" s="544" t="s">
        <v>934</v>
      </c>
      <c r="C62" s="544" t="s">
        <v>934</v>
      </c>
      <c r="D62" s="544" t="s">
        <v>934</v>
      </c>
      <c r="E62" s="544" t="s">
        <v>934</v>
      </c>
      <c r="F62" s="544" t="s">
        <v>934</v>
      </c>
      <c r="G62" s="544" t="s">
        <v>934</v>
      </c>
      <c r="H62" s="593">
        <v>0</v>
      </c>
      <c r="I62" s="31" t="str">
        <f t="shared" si="2"/>
        <v>Cond2</v>
      </c>
    </row>
    <row r="63" spans="1:9" ht="13.8" x14ac:dyDescent="0.25">
      <c r="A63" s="88" t="str">
        <f>'G-1 All Habitats'!B62</f>
        <v>Urban - Cemeteries and churchyards</v>
      </c>
      <c r="B63" s="544">
        <v>3</v>
      </c>
      <c r="C63" s="544">
        <v>2.5</v>
      </c>
      <c r="D63" s="544">
        <v>2</v>
      </c>
      <c r="E63" s="544">
        <v>1.5</v>
      </c>
      <c r="F63" s="544">
        <v>1</v>
      </c>
      <c r="G63" s="544" t="s">
        <v>934</v>
      </c>
      <c r="H63" s="544" t="s">
        <v>934</v>
      </c>
      <c r="I63" s="31" t="str">
        <f t="shared" si="2"/>
        <v>Cond4</v>
      </c>
    </row>
    <row r="64" spans="1:9" ht="13.8" x14ac:dyDescent="0.25">
      <c r="A64" s="88" t="str">
        <f>'G-1 All Habitats'!B63</f>
        <v>Urban - Developed land; sealed surface</v>
      </c>
      <c r="B64" s="544" t="s">
        <v>934</v>
      </c>
      <c r="C64" s="544" t="s">
        <v>934</v>
      </c>
      <c r="D64" s="544" t="s">
        <v>934</v>
      </c>
      <c r="E64" s="544" t="s">
        <v>934</v>
      </c>
      <c r="F64" s="544" t="s">
        <v>934</v>
      </c>
      <c r="G64" s="544" t="s">
        <v>934</v>
      </c>
      <c r="H64" s="593">
        <v>0</v>
      </c>
      <c r="I64" s="31" t="str">
        <f t="shared" si="2"/>
        <v>Cond2</v>
      </c>
    </row>
    <row r="65" spans="1:9" ht="13.8" x14ac:dyDescent="0.25">
      <c r="A65" s="88" t="str">
        <f>'G-1 All Habitats'!B64</f>
        <v>Urban - Other green roof</v>
      </c>
      <c r="B65" s="544" t="s">
        <v>934</v>
      </c>
      <c r="C65" s="544" t="s">
        <v>934</v>
      </c>
      <c r="D65" s="544" t="s">
        <v>934</v>
      </c>
      <c r="E65" s="544" t="s">
        <v>934</v>
      </c>
      <c r="F65" s="544" t="s">
        <v>934</v>
      </c>
      <c r="G65" s="544">
        <v>1</v>
      </c>
      <c r="H65" s="544" t="s">
        <v>934</v>
      </c>
      <c r="I65" s="31" t="str">
        <f t="shared" si="2"/>
        <v>Cond1</v>
      </c>
    </row>
    <row r="66" spans="1:9" ht="13.8" x14ac:dyDescent="0.25">
      <c r="A66" s="88" t="str">
        <f>'G-1 All Habitats'!B65</f>
        <v>Urban - Facade-bound green wall</v>
      </c>
      <c r="B66" s="544">
        <v>3</v>
      </c>
      <c r="C66" s="544">
        <v>2.5</v>
      </c>
      <c r="D66" s="544">
        <v>2</v>
      </c>
      <c r="E66" s="544">
        <v>1.5</v>
      </c>
      <c r="F66" s="544">
        <v>1</v>
      </c>
      <c r="G66" s="544" t="s">
        <v>934</v>
      </c>
      <c r="H66" s="544" t="s">
        <v>934</v>
      </c>
      <c r="I66" s="31" t="str">
        <f t="shared" si="2"/>
        <v>Cond4</v>
      </c>
    </row>
    <row r="67" spans="1:9" ht="13.8" x14ac:dyDescent="0.25">
      <c r="A67" s="88" t="str">
        <f>'G-1 All Habitats'!B66</f>
        <v>Urban - Ground based green wall</v>
      </c>
      <c r="B67" s="544">
        <v>3</v>
      </c>
      <c r="C67" s="544">
        <v>2.5</v>
      </c>
      <c r="D67" s="544">
        <v>2</v>
      </c>
      <c r="E67" s="544">
        <v>1.5</v>
      </c>
      <c r="F67" s="544">
        <v>1</v>
      </c>
      <c r="G67" s="544" t="s">
        <v>934</v>
      </c>
      <c r="H67" s="544" t="s">
        <v>934</v>
      </c>
      <c r="I67" s="31" t="str">
        <f t="shared" si="2"/>
        <v>Cond4</v>
      </c>
    </row>
    <row r="68" spans="1:9" ht="13.8" x14ac:dyDescent="0.25">
      <c r="A68" s="88" t="str">
        <f>'G-1 All Habitats'!B67</f>
        <v>Urban - Ground level planters</v>
      </c>
      <c r="B68" s="544" t="s">
        <v>934</v>
      </c>
      <c r="C68" s="544" t="s">
        <v>934</v>
      </c>
      <c r="D68" s="544" t="s">
        <v>934</v>
      </c>
      <c r="E68" s="544" t="s">
        <v>934</v>
      </c>
      <c r="F68" s="544" t="s">
        <v>934</v>
      </c>
      <c r="G68" s="544">
        <v>1</v>
      </c>
      <c r="H68" s="544" t="s">
        <v>934</v>
      </c>
      <c r="I68" s="31" t="str">
        <f t="shared" si="2"/>
        <v>Cond1</v>
      </c>
    </row>
    <row r="69" spans="1:9" ht="13.8" x14ac:dyDescent="0.25">
      <c r="A69" s="88" t="str">
        <f>'G-1 All Habitats'!B68</f>
        <v>Urban - Biodiverse green roof</v>
      </c>
      <c r="B69" s="544">
        <v>3</v>
      </c>
      <c r="C69" s="544">
        <v>2.5</v>
      </c>
      <c r="D69" s="544">
        <v>2</v>
      </c>
      <c r="E69" s="544">
        <v>1.5</v>
      </c>
      <c r="F69" s="544">
        <v>1</v>
      </c>
      <c r="G69" s="544" t="s">
        <v>934</v>
      </c>
      <c r="H69" s="544" t="s">
        <v>934</v>
      </c>
      <c r="I69" s="31" t="str">
        <f t="shared" si="2"/>
        <v>Cond4</v>
      </c>
    </row>
    <row r="70" spans="1:9" ht="13.8" x14ac:dyDescent="0.25">
      <c r="A70" s="88" t="str">
        <f>'G-1 All Habitats'!B69</f>
        <v>Urban - Introduced shrub</v>
      </c>
      <c r="B70" s="544" t="s">
        <v>934</v>
      </c>
      <c r="C70" s="544" t="s">
        <v>934</v>
      </c>
      <c r="D70" s="544" t="s">
        <v>934</v>
      </c>
      <c r="E70" s="544" t="s">
        <v>934</v>
      </c>
      <c r="F70" s="544" t="s">
        <v>934</v>
      </c>
      <c r="G70" s="544">
        <v>1</v>
      </c>
      <c r="H70" s="544" t="s">
        <v>934</v>
      </c>
      <c r="I70" s="31" t="str">
        <f t="shared" si="2"/>
        <v>Cond1</v>
      </c>
    </row>
    <row r="71" spans="1:9" ht="13.8" x14ac:dyDescent="0.25">
      <c r="A71" s="88" t="str">
        <f>'G-1 All Habitats'!B70</f>
        <v>Urban - Open Mosaic Habitats on Previously Developed Land</v>
      </c>
      <c r="B71" s="544">
        <v>3</v>
      </c>
      <c r="C71" s="544">
        <v>2.5</v>
      </c>
      <c r="D71" s="544">
        <v>2</v>
      </c>
      <c r="E71" s="544">
        <v>1.5</v>
      </c>
      <c r="F71" s="544">
        <v>1</v>
      </c>
      <c r="G71" s="544" t="s">
        <v>934</v>
      </c>
      <c r="H71" s="544" t="s">
        <v>934</v>
      </c>
      <c r="I71" s="31" t="str">
        <f t="shared" si="2"/>
        <v>Cond4</v>
      </c>
    </row>
    <row r="72" spans="1:9" ht="13.8" x14ac:dyDescent="0.25">
      <c r="A72" s="88" t="str">
        <f>'G-1 All Habitats'!B71</f>
        <v>Urban - Rain garden</v>
      </c>
      <c r="B72" s="544">
        <v>3</v>
      </c>
      <c r="C72" s="544">
        <v>2.5</v>
      </c>
      <c r="D72" s="544">
        <v>2</v>
      </c>
      <c r="E72" s="544">
        <v>1.5</v>
      </c>
      <c r="F72" s="544">
        <v>1</v>
      </c>
      <c r="G72" s="544" t="s">
        <v>934</v>
      </c>
      <c r="H72" s="544" t="s">
        <v>934</v>
      </c>
      <c r="I72" s="31" t="str">
        <f t="shared" si="2"/>
        <v>Cond4</v>
      </c>
    </row>
    <row r="73" spans="1:9" ht="13.8" x14ac:dyDescent="0.25">
      <c r="A73" s="88" t="str">
        <f>'G-1 All Habitats'!B72</f>
        <v>Urban - Actively worked sand pit quarry or open cast mine</v>
      </c>
      <c r="B73" s="544" t="s">
        <v>934</v>
      </c>
      <c r="C73" s="544" t="s">
        <v>934</v>
      </c>
      <c r="D73" s="544" t="s">
        <v>934</v>
      </c>
      <c r="E73" s="544" t="s">
        <v>934</v>
      </c>
      <c r="F73" s="544" t="s">
        <v>934</v>
      </c>
      <c r="G73" s="544">
        <v>1</v>
      </c>
      <c r="H73" s="544" t="s">
        <v>934</v>
      </c>
      <c r="I73" s="31" t="str">
        <f t="shared" ref="I73:I86" si="3">IF(G73=1,"Cond1",IF(H73=0,"Cond2",IF(AND(B73=3,C73=2.5,D73=2,E73=1.5,F73=1),"Cond4",IF(F73=1,"Cond3","Check"))))</f>
        <v>Cond1</v>
      </c>
    </row>
    <row r="74" spans="1:9" ht="13.8" x14ac:dyDescent="0.25">
      <c r="A74" s="88" t="str">
        <f>'G-1 All Habitats'!B73</f>
        <v>Urban - Urban Tree</v>
      </c>
      <c r="B74" s="544">
        <v>3</v>
      </c>
      <c r="C74" s="544">
        <v>2.5</v>
      </c>
      <c r="D74" s="544">
        <v>2</v>
      </c>
      <c r="E74" s="544">
        <v>1.5</v>
      </c>
      <c r="F74" s="544">
        <v>1</v>
      </c>
      <c r="G74" s="544" t="s">
        <v>934</v>
      </c>
      <c r="H74" s="544" t="s">
        <v>934</v>
      </c>
      <c r="I74" s="31" t="str">
        <f t="shared" si="3"/>
        <v>Cond4</v>
      </c>
    </row>
    <row r="75" spans="1:9" ht="13.8" x14ac:dyDescent="0.25">
      <c r="A75" s="88" t="str">
        <f>'G-1 All Habitats'!B74</f>
        <v>Urban - Sustainable urban drainage feature</v>
      </c>
      <c r="B75" s="544">
        <v>3</v>
      </c>
      <c r="C75" s="544">
        <v>2.5</v>
      </c>
      <c r="D75" s="544">
        <v>2</v>
      </c>
      <c r="E75" s="544">
        <v>1.5</v>
      </c>
      <c r="F75" s="544">
        <v>1</v>
      </c>
      <c r="G75" s="544" t="s">
        <v>934</v>
      </c>
      <c r="H75" s="544" t="s">
        <v>934</v>
      </c>
      <c r="I75" s="31" t="str">
        <f t="shared" si="3"/>
        <v>Cond4</v>
      </c>
    </row>
    <row r="76" spans="1:9" ht="13.8" x14ac:dyDescent="0.25">
      <c r="A76" s="88" t="str">
        <f>'G-1 All Habitats'!B75</f>
        <v>Urban - Un-vegetated garden</v>
      </c>
      <c r="B76" s="544" t="s">
        <v>934</v>
      </c>
      <c r="C76" s="544" t="s">
        <v>934</v>
      </c>
      <c r="D76" s="544" t="s">
        <v>934</v>
      </c>
      <c r="E76" s="544" t="s">
        <v>934</v>
      </c>
      <c r="F76" s="544" t="s">
        <v>934</v>
      </c>
      <c r="G76" s="544" t="s">
        <v>934</v>
      </c>
      <c r="H76" s="593">
        <v>0</v>
      </c>
      <c r="I76" s="31" t="str">
        <f t="shared" si="3"/>
        <v>Cond2</v>
      </c>
    </row>
    <row r="77" spans="1:9" ht="13.8" x14ac:dyDescent="0.25">
      <c r="A77" s="88" t="str">
        <f>'G-1 All Habitats'!B76</f>
        <v>Urban - Vacant/derelict land/ bareground</v>
      </c>
      <c r="B77" s="544">
        <v>3</v>
      </c>
      <c r="C77" s="544">
        <v>2.5</v>
      </c>
      <c r="D77" s="544">
        <v>2</v>
      </c>
      <c r="E77" s="544">
        <v>1.5</v>
      </c>
      <c r="F77" s="544">
        <v>1</v>
      </c>
      <c r="G77" s="544" t="s">
        <v>934</v>
      </c>
      <c r="H77" s="544" t="s">
        <v>934</v>
      </c>
      <c r="I77" s="31" t="str">
        <f t="shared" si="3"/>
        <v>Cond4</v>
      </c>
    </row>
    <row r="78" spans="1:9" ht="13.8" x14ac:dyDescent="0.25">
      <c r="A78" s="88" t="str">
        <f>'G-1 All Habitats'!B77</f>
        <v>Urban - Vegetated garden</v>
      </c>
      <c r="B78" s="544" t="s">
        <v>934</v>
      </c>
      <c r="C78" s="544" t="s">
        <v>934</v>
      </c>
      <c r="D78" s="544" t="s">
        <v>934</v>
      </c>
      <c r="E78" s="544" t="s">
        <v>934</v>
      </c>
      <c r="F78" s="544" t="s">
        <v>934</v>
      </c>
      <c r="G78" s="544">
        <v>1</v>
      </c>
      <c r="H78" s="544" t="s">
        <v>934</v>
      </c>
      <c r="I78" s="31" t="str">
        <f t="shared" si="3"/>
        <v>Cond1</v>
      </c>
    </row>
    <row r="79" spans="1:9" ht="13.8" x14ac:dyDescent="0.25">
      <c r="A79" s="88" t="str">
        <f>'G-1 All Habitats'!B78</f>
        <v>Wetland - Blanket bog</v>
      </c>
      <c r="B79" s="544">
        <v>3</v>
      </c>
      <c r="C79" s="544">
        <v>2.5</v>
      </c>
      <c r="D79" s="544">
        <v>2</v>
      </c>
      <c r="E79" s="544">
        <v>1.5</v>
      </c>
      <c r="F79" s="544">
        <v>1</v>
      </c>
      <c r="G79" s="544" t="s">
        <v>934</v>
      </c>
      <c r="H79" s="544" t="s">
        <v>934</v>
      </c>
      <c r="I79" s="31" t="str">
        <f t="shared" si="3"/>
        <v>Cond4</v>
      </c>
    </row>
    <row r="80" spans="1:9" ht="13.8" x14ac:dyDescent="0.25">
      <c r="A80" s="88" t="str">
        <f>'G-1 All Habitats'!B79</f>
        <v>Wetland - Depressions on Peat substrates (H7150)</v>
      </c>
      <c r="B80" s="544">
        <v>3</v>
      </c>
      <c r="C80" s="544">
        <v>2.5</v>
      </c>
      <c r="D80" s="544">
        <v>2</v>
      </c>
      <c r="E80" s="544">
        <v>1.5</v>
      </c>
      <c r="F80" s="544">
        <v>1</v>
      </c>
      <c r="G80" s="544" t="s">
        <v>934</v>
      </c>
      <c r="H80" s="544" t="s">
        <v>934</v>
      </c>
      <c r="I80" s="31" t="str">
        <f t="shared" si="3"/>
        <v>Cond4</v>
      </c>
    </row>
    <row r="81" spans="1:9" ht="13.8" x14ac:dyDescent="0.25">
      <c r="A81" s="88" t="str">
        <f>'G-1 All Habitats'!B80</f>
        <v>Wetland - Fens (upland and lowland)</v>
      </c>
      <c r="B81" s="544">
        <v>3</v>
      </c>
      <c r="C81" s="544">
        <v>2.5</v>
      </c>
      <c r="D81" s="544">
        <v>2</v>
      </c>
      <c r="E81" s="544">
        <v>1.5</v>
      </c>
      <c r="F81" s="544">
        <v>1</v>
      </c>
      <c r="G81" s="544" t="s">
        <v>934</v>
      </c>
      <c r="H81" s="544" t="s">
        <v>934</v>
      </c>
      <c r="I81" s="31" t="str">
        <f t="shared" si="3"/>
        <v>Cond4</v>
      </c>
    </row>
    <row r="82" spans="1:9" ht="13.8" x14ac:dyDescent="0.25">
      <c r="A82" s="88" t="str">
        <f>'G-1 All Habitats'!B81</f>
        <v>Wetland - Lowland raised bog</v>
      </c>
      <c r="B82" s="544">
        <v>3</v>
      </c>
      <c r="C82" s="544">
        <v>2.5</v>
      </c>
      <c r="D82" s="544">
        <v>2</v>
      </c>
      <c r="E82" s="544">
        <v>1.5</v>
      </c>
      <c r="F82" s="544">
        <v>1</v>
      </c>
      <c r="G82" s="544" t="s">
        <v>934</v>
      </c>
      <c r="H82" s="544" t="s">
        <v>934</v>
      </c>
      <c r="I82" s="31" t="str">
        <f t="shared" si="3"/>
        <v>Cond4</v>
      </c>
    </row>
    <row r="83" spans="1:9" ht="13.8" x14ac:dyDescent="0.25">
      <c r="A83" s="88" t="str">
        <f>'G-1 All Habitats'!B82</f>
        <v>Wetland - Oceanic Valley Mire[1] (D2.1)</v>
      </c>
      <c r="B83" s="544">
        <v>3</v>
      </c>
      <c r="C83" s="544">
        <v>2.5</v>
      </c>
      <c r="D83" s="544">
        <v>2</v>
      </c>
      <c r="E83" s="544">
        <v>1.5</v>
      </c>
      <c r="F83" s="544">
        <v>1</v>
      </c>
      <c r="G83" s="544" t="s">
        <v>934</v>
      </c>
      <c r="H83" s="544" t="s">
        <v>934</v>
      </c>
      <c r="I83" s="31" t="str">
        <f t="shared" si="3"/>
        <v>Cond4</v>
      </c>
    </row>
    <row r="84" spans="1:9" ht="13.8" x14ac:dyDescent="0.25">
      <c r="A84" s="88" t="str">
        <f>'G-1 All Habitats'!B83</f>
        <v>Wetland - Purple moor grass and rush pastures</v>
      </c>
      <c r="B84" s="544">
        <v>3</v>
      </c>
      <c r="C84" s="544">
        <v>2.5</v>
      </c>
      <c r="D84" s="544">
        <v>2</v>
      </c>
      <c r="E84" s="544">
        <v>1.5</v>
      </c>
      <c r="F84" s="544">
        <v>1</v>
      </c>
      <c r="G84" s="544" t="s">
        <v>934</v>
      </c>
      <c r="H84" s="544" t="s">
        <v>934</v>
      </c>
      <c r="I84" s="31" t="str">
        <f t="shared" si="3"/>
        <v>Cond4</v>
      </c>
    </row>
    <row r="85" spans="1:9" ht="13.8" x14ac:dyDescent="0.25">
      <c r="A85" s="88" t="str">
        <f>'G-1 All Habitats'!B84</f>
        <v>Wetland - Reedbeds</v>
      </c>
      <c r="B85" s="544">
        <v>3</v>
      </c>
      <c r="C85" s="544">
        <v>2.5</v>
      </c>
      <c r="D85" s="544">
        <v>2</v>
      </c>
      <c r="E85" s="544">
        <v>1.5</v>
      </c>
      <c r="F85" s="544">
        <v>1</v>
      </c>
      <c r="G85" s="544" t="s">
        <v>934</v>
      </c>
      <c r="H85" s="544" t="s">
        <v>934</v>
      </c>
      <c r="I85" s="31" t="str">
        <f t="shared" si="3"/>
        <v>Cond4</v>
      </c>
    </row>
    <row r="86" spans="1:9" ht="13.8" x14ac:dyDescent="0.25">
      <c r="A86" s="88" t="str">
        <f>'G-1 All Habitats'!B85</f>
        <v>Wetland - Transition mires and quaking bogs (H7140)</v>
      </c>
      <c r="B86" s="544">
        <v>3</v>
      </c>
      <c r="C86" s="544">
        <v>2.5</v>
      </c>
      <c r="D86" s="544">
        <v>2</v>
      </c>
      <c r="E86" s="544">
        <v>1.5</v>
      </c>
      <c r="F86" s="544">
        <v>1</v>
      </c>
      <c r="G86" s="544" t="s">
        <v>934</v>
      </c>
      <c r="H86" s="544" t="s">
        <v>934</v>
      </c>
      <c r="I86" s="31" t="str">
        <f t="shared" si="3"/>
        <v>Cond4</v>
      </c>
    </row>
    <row r="87" spans="1:9" ht="13.8" x14ac:dyDescent="0.25">
      <c r="A87" s="88" t="str">
        <f>'G-1 All Habitats'!B86</f>
        <v>Woodland and forest - Felled</v>
      </c>
      <c r="B87" s="544">
        <v>3</v>
      </c>
      <c r="C87" s="544" t="s">
        <v>934</v>
      </c>
      <c r="D87" s="544" t="s">
        <v>934</v>
      </c>
      <c r="E87" s="544" t="s">
        <v>934</v>
      </c>
      <c r="F87" s="544" t="s">
        <v>934</v>
      </c>
      <c r="G87" s="544" t="s">
        <v>934</v>
      </c>
      <c r="H87" s="544" t="s">
        <v>934</v>
      </c>
      <c r="I87" s="31" t="s">
        <v>1045</v>
      </c>
    </row>
    <row r="88" spans="1:9" ht="13.8" x14ac:dyDescent="0.25">
      <c r="A88" s="88" t="str">
        <f>'G-1 All Habitats'!B87</f>
        <v>Woodland and forest - Lowland beech and yew woodland</v>
      </c>
      <c r="B88" s="544">
        <v>3</v>
      </c>
      <c r="C88" s="544">
        <v>2.5</v>
      </c>
      <c r="D88" s="544">
        <v>2</v>
      </c>
      <c r="E88" s="544">
        <v>1.5</v>
      </c>
      <c r="F88" s="544">
        <v>1</v>
      </c>
      <c r="G88" s="544" t="s">
        <v>934</v>
      </c>
      <c r="H88" s="544" t="s">
        <v>934</v>
      </c>
      <c r="I88" s="31" t="str">
        <f t="shared" ref="I88:I130" si="4">IF(G88=1,"Cond1",IF(H88=0,"Cond2",IF(AND(B88=3,C88=2.5,D88=2,E88=1.5,F88=1),"Cond4",IF(F88=1,"Cond3","Check"))))</f>
        <v>Cond4</v>
      </c>
    </row>
    <row r="89" spans="1:9" ht="13.8" x14ac:dyDescent="0.25">
      <c r="A89" s="88" t="str">
        <f>'G-1 All Habitats'!B88</f>
        <v>Woodland and forest - Lowland mixed deciduous woodland</v>
      </c>
      <c r="B89" s="544">
        <v>3</v>
      </c>
      <c r="C89" s="544">
        <v>2.5</v>
      </c>
      <c r="D89" s="544">
        <v>2</v>
      </c>
      <c r="E89" s="544">
        <v>1.5</v>
      </c>
      <c r="F89" s="544">
        <v>1</v>
      </c>
      <c r="G89" s="544" t="s">
        <v>934</v>
      </c>
      <c r="H89" s="544" t="s">
        <v>934</v>
      </c>
      <c r="I89" s="31" t="str">
        <f t="shared" si="4"/>
        <v>Cond4</v>
      </c>
    </row>
    <row r="90" spans="1:9" ht="13.8" x14ac:dyDescent="0.25">
      <c r="A90" s="88" t="str">
        <f>'G-1 All Habitats'!B89</f>
        <v>Woodland and forest - Native pine woodlands</v>
      </c>
      <c r="B90" s="544">
        <v>3</v>
      </c>
      <c r="C90" s="544">
        <v>2.5</v>
      </c>
      <c r="D90" s="544">
        <v>2</v>
      </c>
      <c r="E90" s="544">
        <v>1.5</v>
      </c>
      <c r="F90" s="544">
        <v>1</v>
      </c>
      <c r="G90" s="544" t="s">
        <v>934</v>
      </c>
      <c r="H90" s="544" t="s">
        <v>934</v>
      </c>
      <c r="I90" s="31" t="str">
        <f t="shared" si="4"/>
        <v>Cond4</v>
      </c>
    </row>
    <row r="91" spans="1:9" ht="13.8" x14ac:dyDescent="0.25">
      <c r="A91" s="88" t="str">
        <f>'G-1 All Habitats'!B90</f>
        <v>Woodland and forest - Other coniferous woodland</v>
      </c>
      <c r="B91" s="544">
        <v>3</v>
      </c>
      <c r="C91" s="544">
        <v>2.5</v>
      </c>
      <c r="D91" s="544">
        <v>2</v>
      </c>
      <c r="E91" s="544">
        <v>1.5</v>
      </c>
      <c r="F91" s="544">
        <v>1</v>
      </c>
      <c r="G91" s="544" t="s">
        <v>934</v>
      </c>
      <c r="H91" s="544" t="s">
        <v>934</v>
      </c>
      <c r="I91" s="31" t="str">
        <f t="shared" si="4"/>
        <v>Cond4</v>
      </c>
    </row>
    <row r="92" spans="1:9" ht="13.8" x14ac:dyDescent="0.25">
      <c r="A92" s="88" t="str">
        <f>'G-1 All Habitats'!B91</f>
        <v>Woodland and forest - Other Scot's Pine woodland</v>
      </c>
      <c r="B92" s="544">
        <v>3</v>
      </c>
      <c r="C92" s="544">
        <v>2.5</v>
      </c>
      <c r="D92" s="544">
        <v>2</v>
      </c>
      <c r="E92" s="544">
        <v>1.5</v>
      </c>
      <c r="F92" s="544">
        <v>1</v>
      </c>
      <c r="G92" s="544" t="s">
        <v>934</v>
      </c>
      <c r="H92" s="544" t="s">
        <v>934</v>
      </c>
      <c r="I92" s="31" t="str">
        <f t="shared" si="4"/>
        <v>Cond4</v>
      </c>
    </row>
    <row r="93" spans="1:9" ht="13.8" x14ac:dyDescent="0.25">
      <c r="A93" s="88" t="str">
        <f>'G-1 All Habitats'!B92</f>
        <v>Woodland and forest - Other woodland; broadleaved</v>
      </c>
      <c r="B93" s="544">
        <v>3</v>
      </c>
      <c r="C93" s="544">
        <v>2.5</v>
      </c>
      <c r="D93" s="544">
        <v>2</v>
      </c>
      <c r="E93" s="544">
        <v>1.5</v>
      </c>
      <c r="F93" s="544">
        <v>1</v>
      </c>
      <c r="G93" s="544" t="s">
        <v>934</v>
      </c>
      <c r="H93" s="544" t="s">
        <v>934</v>
      </c>
      <c r="I93" s="31" t="str">
        <f t="shared" si="4"/>
        <v>Cond4</v>
      </c>
    </row>
    <row r="94" spans="1:9" ht="13.8" x14ac:dyDescent="0.25">
      <c r="A94" s="88" t="str">
        <f>'G-1 All Habitats'!B93</f>
        <v>Woodland and forest - Other woodland; mixed</v>
      </c>
      <c r="B94" s="544">
        <v>3</v>
      </c>
      <c r="C94" s="544">
        <v>2.5</v>
      </c>
      <c r="D94" s="544">
        <v>2</v>
      </c>
      <c r="E94" s="544">
        <v>1.5</v>
      </c>
      <c r="F94" s="544">
        <v>1</v>
      </c>
      <c r="G94" s="544" t="s">
        <v>934</v>
      </c>
      <c r="H94" s="544" t="s">
        <v>934</v>
      </c>
      <c r="I94" s="31" t="str">
        <f t="shared" si="4"/>
        <v>Cond4</v>
      </c>
    </row>
    <row r="95" spans="1:9" ht="13.8" x14ac:dyDescent="0.25">
      <c r="A95" s="88" t="str">
        <f>'G-1 All Habitats'!B94</f>
        <v>Woodland and forest - Upland birchwoods</v>
      </c>
      <c r="B95" s="544">
        <v>3</v>
      </c>
      <c r="C95" s="544">
        <v>2.5</v>
      </c>
      <c r="D95" s="544">
        <v>2</v>
      </c>
      <c r="E95" s="544">
        <v>1.5</v>
      </c>
      <c r="F95" s="544">
        <v>1</v>
      </c>
      <c r="G95" s="544" t="s">
        <v>934</v>
      </c>
      <c r="H95" s="544" t="s">
        <v>934</v>
      </c>
      <c r="I95" s="31" t="str">
        <f t="shared" si="4"/>
        <v>Cond4</v>
      </c>
    </row>
    <row r="96" spans="1:9" ht="13.8" x14ac:dyDescent="0.25">
      <c r="A96" s="88" t="str">
        <f>'G-1 All Habitats'!B95</f>
        <v>Woodland and forest - Upland mixed ashwoods</v>
      </c>
      <c r="B96" s="544">
        <v>3</v>
      </c>
      <c r="C96" s="544">
        <v>2.5</v>
      </c>
      <c r="D96" s="544">
        <v>2</v>
      </c>
      <c r="E96" s="544">
        <v>1.5</v>
      </c>
      <c r="F96" s="544">
        <v>1</v>
      </c>
      <c r="G96" s="544" t="s">
        <v>934</v>
      </c>
      <c r="H96" s="544" t="s">
        <v>934</v>
      </c>
      <c r="I96" s="31" t="str">
        <f t="shared" si="4"/>
        <v>Cond4</v>
      </c>
    </row>
    <row r="97" spans="1:9" ht="13.8" x14ac:dyDescent="0.25">
      <c r="A97" s="88" t="str">
        <f>'G-1 All Habitats'!B96</f>
        <v>Woodland and forest - Upland oakwood</v>
      </c>
      <c r="B97" s="544">
        <v>3</v>
      </c>
      <c r="C97" s="544">
        <v>2.5</v>
      </c>
      <c r="D97" s="544">
        <v>2</v>
      </c>
      <c r="E97" s="544">
        <v>1.5</v>
      </c>
      <c r="F97" s="544">
        <v>1</v>
      </c>
      <c r="G97" s="544" t="s">
        <v>934</v>
      </c>
      <c r="H97" s="544" t="s">
        <v>934</v>
      </c>
      <c r="I97" s="31" t="str">
        <f t="shared" si="4"/>
        <v>Cond4</v>
      </c>
    </row>
    <row r="98" spans="1:9" ht="13.8" x14ac:dyDescent="0.25">
      <c r="A98" s="88" t="str">
        <f>'G-1 All Habitats'!B97</f>
        <v>Woodland and forest - Wet woodland</v>
      </c>
      <c r="B98" s="544">
        <v>3</v>
      </c>
      <c r="C98" s="544">
        <v>2.5</v>
      </c>
      <c r="D98" s="544">
        <v>2</v>
      </c>
      <c r="E98" s="544">
        <v>1.5</v>
      </c>
      <c r="F98" s="544">
        <v>1</v>
      </c>
      <c r="G98" s="544" t="s">
        <v>934</v>
      </c>
      <c r="H98" s="544" t="s">
        <v>934</v>
      </c>
      <c r="I98" s="31" t="str">
        <f t="shared" si="4"/>
        <v>Cond4</v>
      </c>
    </row>
    <row r="99" spans="1:9" ht="13.8" x14ac:dyDescent="0.25">
      <c r="A99" s="88" t="str">
        <f>'G-1 All Habitats'!B98</f>
        <v>Woodland and forest - Wood-pasture and parkland</v>
      </c>
      <c r="B99" s="544">
        <v>3</v>
      </c>
      <c r="C99" s="544">
        <v>2.5</v>
      </c>
      <c r="D99" s="544">
        <v>2</v>
      </c>
      <c r="E99" s="544">
        <v>1.5</v>
      </c>
      <c r="F99" s="544">
        <v>1</v>
      </c>
      <c r="G99" s="544" t="s">
        <v>934</v>
      </c>
      <c r="H99" s="544" t="s">
        <v>934</v>
      </c>
      <c r="I99" s="31" t="str">
        <f t="shared" si="4"/>
        <v>Cond4</v>
      </c>
    </row>
    <row r="100" spans="1:9" ht="13.8" x14ac:dyDescent="0.25">
      <c r="A100" s="88" t="str">
        <f>'G-1 All Habitats'!B99</f>
        <v>Coastal lagoons - Coastal lagoons</v>
      </c>
      <c r="B100" s="544">
        <v>3</v>
      </c>
      <c r="C100" s="544">
        <v>2.5</v>
      </c>
      <c r="D100" s="544">
        <v>2</v>
      </c>
      <c r="E100" s="544">
        <v>1.5</v>
      </c>
      <c r="F100" s="544">
        <v>1</v>
      </c>
      <c r="G100" s="544" t="s">
        <v>934</v>
      </c>
      <c r="H100" s="544" t="s">
        <v>934</v>
      </c>
      <c r="I100" s="31" t="str">
        <f t="shared" si="4"/>
        <v>Cond4</v>
      </c>
    </row>
    <row r="101" spans="1:9" ht="13.8" x14ac:dyDescent="0.25">
      <c r="A101" s="88" t="str">
        <f>'G-1 All Habitats'!B100</f>
        <v>Rocky shore - High energy littoral rock</v>
      </c>
      <c r="B101" s="544">
        <v>3</v>
      </c>
      <c r="C101" s="544">
        <v>2.5</v>
      </c>
      <c r="D101" s="544">
        <v>2</v>
      </c>
      <c r="E101" s="544">
        <v>1.5</v>
      </c>
      <c r="F101" s="544">
        <v>1</v>
      </c>
      <c r="G101" s="544" t="s">
        <v>934</v>
      </c>
      <c r="H101" s="544" t="s">
        <v>934</v>
      </c>
      <c r="I101" s="31" t="str">
        <f t="shared" si="4"/>
        <v>Cond4</v>
      </c>
    </row>
    <row r="102" spans="1:9" ht="13.8" x14ac:dyDescent="0.25">
      <c r="A102" s="88" t="str">
        <f>'G-1 All Habitats'!B101</f>
        <v>Rocky shore - High energy littoral rock - on peat, clay or chalk</v>
      </c>
      <c r="B102" s="544">
        <v>3</v>
      </c>
      <c r="C102" s="544">
        <v>2.5</v>
      </c>
      <c r="D102" s="544">
        <v>2</v>
      </c>
      <c r="E102" s="544">
        <v>1.5</v>
      </c>
      <c r="F102" s="544">
        <v>1</v>
      </c>
      <c r="G102" s="544" t="s">
        <v>934</v>
      </c>
      <c r="H102" s="544" t="s">
        <v>934</v>
      </c>
      <c r="I102" s="31" t="str">
        <f t="shared" si="4"/>
        <v>Cond4</v>
      </c>
    </row>
    <row r="103" spans="1:9" ht="13.8" x14ac:dyDescent="0.25">
      <c r="A103" s="88" t="str">
        <f>'G-1 All Habitats'!B102</f>
        <v>Rocky shore - Moderate energy littoral rock</v>
      </c>
      <c r="B103" s="544">
        <v>3</v>
      </c>
      <c r="C103" s="544">
        <v>2.5</v>
      </c>
      <c r="D103" s="544">
        <v>2</v>
      </c>
      <c r="E103" s="544">
        <v>1.5</v>
      </c>
      <c r="F103" s="544">
        <v>1</v>
      </c>
      <c r="G103" s="544" t="s">
        <v>934</v>
      </c>
      <c r="H103" s="544" t="s">
        <v>934</v>
      </c>
      <c r="I103" s="31" t="str">
        <f t="shared" si="4"/>
        <v>Cond4</v>
      </c>
    </row>
    <row r="104" spans="1:9" ht="13.8" x14ac:dyDescent="0.25">
      <c r="A104" s="88" t="str">
        <f>'G-1 All Habitats'!B103</f>
        <v>Rocky shore - Moderate energy littoral rock - on peat, clay or chalk</v>
      </c>
      <c r="B104" s="544">
        <v>3</v>
      </c>
      <c r="C104" s="544">
        <v>2.5</v>
      </c>
      <c r="D104" s="544">
        <v>2</v>
      </c>
      <c r="E104" s="544">
        <v>1.5</v>
      </c>
      <c r="F104" s="544">
        <v>1</v>
      </c>
      <c r="G104" s="544" t="s">
        <v>934</v>
      </c>
      <c r="H104" s="544" t="s">
        <v>934</v>
      </c>
      <c r="I104" s="31" t="str">
        <f t="shared" si="4"/>
        <v>Cond4</v>
      </c>
    </row>
    <row r="105" spans="1:9" ht="13.8" x14ac:dyDescent="0.25">
      <c r="A105" s="88" t="str">
        <f>'G-1 All Habitats'!B104</f>
        <v>Rocky shore - Low energy littoral rock</v>
      </c>
      <c r="B105" s="544">
        <v>3</v>
      </c>
      <c r="C105" s="544">
        <v>2.5</v>
      </c>
      <c r="D105" s="544">
        <v>2</v>
      </c>
      <c r="E105" s="544">
        <v>1.5</v>
      </c>
      <c r="F105" s="544">
        <v>1</v>
      </c>
      <c r="G105" s="544" t="s">
        <v>934</v>
      </c>
      <c r="H105" s="544" t="s">
        <v>934</v>
      </c>
      <c r="I105" s="31" t="str">
        <f t="shared" si="4"/>
        <v>Cond4</v>
      </c>
    </row>
    <row r="106" spans="1:9" ht="13.8" x14ac:dyDescent="0.25">
      <c r="A106" s="88" t="str">
        <f>'G-1 All Habitats'!B105</f>
        <v>Rocky shore - Low energy littoral rock - on peat, clay or chalk</v>
      </c>
      <c r="B106" s="544">
        <v>3</v>
      </c>
      <c r="C106" s="544">
        <v>2.5</v>
      </c>
      <c r="D106" s="544">
        <v>2</v>
      </c>
      <c r="E106" s="544">
        <v>1.5</v>
      </c>
      <c r="F106" s="544">
        <v>1</v>
      </c>
      <c r="G106" s="544" t="s">
        <v>934</v>
      </c>
      <c r="H106" s="544" t="s">
        <v>934</v>
      </c>
      <c r="I106" s="31" t="str">
        <f t="shared" si="4"/>
        <v>Cond4</v>
      </c>
    </row>
    <row r="107" spans="1:9" ht="13.8" x14ac:dyDescent="0.25">
      <c r="A107" s="88" t="str">
        <f>'G-1 All Habitats'!B106</f>
        <v>Rocky shore - Features of littoral rock</v>
      </c>
      <c r="B107" s="544">
        <v>3</v>
      </c>
      <c r="C107" s="544">
        <v>2.5</v>
      </c>
      <c r="D107" s="544">
        <v>2</v>
      </c>
      <c r="E107" s="544">
        <v>1.5</v>
      </c>
      <c r="F107" s="544">
        <v>1</v>
      </c>
      <c r="G107" s="544" t="s">
        <v>934</v>
      </c>
      <c r="H107" s="544" t="s">
        <v>934</v>
      </c>
      <c r="I107" s="31" t="str">
        <f t="shared" si="4"/>
        <v>Cond4</v>
      </c>
    </row>
    <row r="108" spans="1:9" ht="13.8" x14ac:dyDescent="0.25">
      <c r="A108" s="88" t="str">
        <f>'G-1 All Habitats'!B107</f>
        <v>Rocky shore - Features of littoral rock - on peat, clay or chalk</v>
      </c>
      <c r="B108" s="544">
        <v>3</v>
      </c>
      <c r="C108" s="544">
        <v>2.5</v>
      </c>
      <c r="D108" s="544">
        <v>2</v>
      </c>
      <c r="E108" s="544">
        <v>1.5</v>
      </c>
      <c r="F108" s="544">
        <v>1</v>
      </c>
      <c r="G108" s="544" t="s">
        <v>934</v>
      </c>
      <c r="H108" s="544" t="s">
        <v>934</v>
      </c>
      <c r="I108" s="31" t="str">
        <f t="shared" si="4"/>
        <v>Cond4</v>
      </c>
    </row>
    <row r="109" spans="1:9" ht="13.8" x14ac:dyDescent="0.25">
      <c r="A109" s="88" t="str">
        <f>'G-1 All Habitats'!B110</f>
        <v>Intertidal sediment - Littoral coarse sediment</v>
      </c>
      <c r="B109" s="544">
        <v>3</v>
      </c>
      <c r="C109" s="544">
        <v>2.5</v>
      </c>
      <c r="D109" s="544">
        <v>2</v>
      </c>
      <c r="E109" s="544">
        <v>1.5</v>
      </c>
      <c r="F109" s="544">
        <v>1</v>
      </c>
      <c r="G109" s="544" t="s">
        <v>934</v>
      </c>
      <c r="H109" s="544" t="s">
        <v>934</v>
      </c>
      <c r="I109" s="31" t="str">
        <f t="shared" si="4"/>
        <v>Cond4</v>
      </c>
    </row>
    <row r="110" spans="1:9" ht="13.8" x14ac:dyDescent="0.25">
      <c r="A110" s="88" t="str">
        <f>'G-1 All Habitats'!B111</f>
        <v>Intertidal sediment - Littoral mud</v>
      </c>
      <c r="B110" s="544">
        <v>3</v>
      </c>
      <c r="C110" s="544">
        <v>2.5</v>
      </c>
      <c r="D110" s="544">
        <v>2</v>
      </c>
      <c r="E110" s="544">
        <v>1.5</v>
      </c>
      <c r="F110" s="544">
        <v>1</v>
      </c>
      <c r="G110" s="544" t="s">
        <v>934</v>
      </c>
      <c r="H110" s="544" t="s">
        <v>934</v>
      </c>
      <c r="I110" s="31" t="str">
        <f t="shared" si="4"/>
        <v>Cond4</v>
      </c>
    </row>
    <row r="111" spans="1:9" ht="13.8" x14ac:dyDescent="0.25">
      <c r="A111" s="88" t="str">
        <f>'G-1 All Habitats'!B112</f>
        <v>Intertidal sediment - Littoral mixed sediments</v>
      </c>
      <c r="B111" s="544">
        <v>3</v>
      </c>
      <c r="C111" s="544">
        <v>2.5</v>
      </c>
      <c r="D111" s="544">
        <v>2</v>
      </c>
      <c r="E111" s="544">
        <v>1.5</v>
      </c>
      <c r="F111" s="544">
        <v>1</v>
      </c>
      <c r="G111" s="544" t="s">
        <v>934</v>
      </c>
      <c r="H111" s="544" t="s">
        <v>934</v>
      </c>
      <c r="I111" s="31" t="str">
        <f t="shared" si="4"/>
        <v>Cond4</v>
      </c>
    </row>
    <row r="112" spans="1:9" ht="13.8" x14ac:dyDescent="0.25">
      <c r="A112" s="88" t="str">
        <f>'G-1 All Habitats'!B108</f>
        <v>Coastal saltmarsh - Saltmarshes and saline reedbeds</v>
      </c>
      <c r="B112" s="544">
        <v>3</v>
      </c>
      <c r="C112" s="544">
        <v>2.5</v>
      </c>
      <c r="D112" s="544">
        <v>2</v>
      </c>
      <c r="E112" s="544">
        <v>1.5</v>
      </c>
      <c r="F112" s="544">
        <v>1</v>
      </c>
      <c r="G112" s="544" t="s">
        <v>934</v>
      </c>
      <c r="H112" s="544" t="s">
        <v>934</v>
      </c>
      <c r="I112" s="31" t="str">
        <f t="shared" si="4"/>
        <v>Cond4</v>
      </c>
    </row>
    <row r="113" spans="1:9" ht="13.8" x14ac:dyDescent="0.25">
      <c r="A113" s="88" t="str">
        <f>'G-1 All Habitats'!B109</f>
        <v>Coastal saltmarsh - Artificial saltmarshes and saline reedbeds</v>
      </c>
      <c r="B113" s="544">
        <v>3</v>
      </c>
      <c r="C113" s="544">
        <v>2.5</v>
      </c>
      <c r="D113" s="544">
        <v>2</v>
      </c>
      <c r="E113" s="544">
        <v>1.5</v>
      </c>
      <c r="F113" s="544">
        <v>1</v>
      </c>
      <c r="G113" s="544" t="s">
        <v>934</v>
      </c>
      <c r="H113" s="544" t="s">
        <v>934</v>
      </c>
      <c r="I113" s="31" t="str">
        <f t="shared" si="4"/>
        <v>Cond4</v>
      </c>
    </row>
    <row r="114" spans="1:9" ht="13.8" x14ac:dyDescent="0.25">
      <c r="A114" s="88" t="str">
        <f>'G-1 All Habitats'!B113</f>
        <v>Intertidal sediment - Littoral seagrass</v>
      </c>
      <c r="B114" s="544">
        <v>3</v>
      </c>
      <c r="C114" s="544">
        <v>2.5</v>
      </c>
      <c r="D114" s="544">
        <v>2</v>
      </c>
      <c r="E114" s="544">
        <v>1.5</v>
      </c>
      <c r="F114" s="544">
        <v>1</v>
      </c>
      <c r="G114" s="544" t="s">
        <v>934</v>
      </c>
      <c r="H114" s="544" t="s">
        <v>934</v>
      </c>
      <c r="I114" s="31" t="str">
        <f t="shared" si="4"/>
        <v>Cond4</v>
      </c>
    </row>
    <row r="115" spans="1:9" ht="13.8" x14ac:dyDescent="0.25">
      <c r="A115" s="88" t="str">
        <f>'G-1 All Habitats'!B114</f>
        <v>Intertidal sediment - Littoral seagrass on peat, clay or chalk</v>
      </c>
      <c r="B115" s="544">
        <v>3</v>
      </c>
      <c r="C115" s="544">
        <v>2.5</v>
      </c>
      <c r="D115" s="544">
        <v>2</v>
      </c>
      <c r="E115" s="544">
        <v>1.5</v>
      </c>
      <c r="F115" s="544">
        <v>1</v>
      </c>
      <c r="G115" s="544" t="s">
        <v>934</v>
      </c>
      <c r="H115" s="544" t="s">
        <v>934</v>
      </c>
      <c r="I115" s="31" t="str">
        <f t="shared" si="4"/>
        <v>Cond4</v>
      </c>
    </row>
    <row r="116" spans="1:9" ht="13.8" x14ac:dyDescent="0.25">
      <c r="A116" s="88" t="str">
        <f>'G-1 All Habitats'!B115</f>
        <v>Intertidal sediment - Littoral biogenic reefs - Mussels</v>
      </c>
      <c r="B116" s="544">
        <v>3</v>
      </c>
      <c r="C116" s="544">
        <v>2.5</v>
      </c>
      <c r="D116" s="544">
        <v>2</v>
      </c>
      <c r="E116" s="544">
        <v>1.5</v>
      </c>
      <c r="F116" s="544">
        <v>1</v>
      </c>
      <c r="G116" s="544" t="s">
        <v>934</v>
      </c>
      <c r="H116" s="544" t="s">
        <v>934</v>
      </c>
      <c r="I116" s="31" t="str">
        <f t="shared" si="4"/>
        <v>Cond4</v>
      </c>
    </row>
    <row r="117" spans="1:9" ht="13.8" x14ac:dyDescent="0.25">
      <c r="A117" s="88" t="str">
        <f>'G-1 All Habitats'!B116</f>
        <v>Intertidal sediment - Littoral biogenic reefs - Sabellaria</v>
      </c>
      <c r="B117" s="544">
        <v>3</v>
      </c>
      <c r="C117" s="544">
        <v>2.5</v>
      </c>
      <c r="D117" s="544">
        <v>2</v>
      </c>
      <c r="E117" s="544">
        <v>1.5</v>
      </c>
      <c r="F117" s="544">
        <v>1</v>
      </c>
      <c r="G117" s="544" t="s">
        <v>934</v>
      </c>
      <c r="H117" s="544" t="s">
        <v>934</v>
      </c>
      <c r="I117" s="31" t="str">
        <f t="shared" si="4"/>
        <v>Cond4</v>
      </c>
    </row>
    <row r="118" spans="1:9" ht="13.8" x14ac:dyDescent="0.25">
      <c r="A118" s="88" t="str">
        <f>'G-1 All Habitats'!B117</f>
        <v>Intertidal sediment - Features of littoral sediment</v>
      </c>
      <c r="B118" s="544">
        <v>3</v>
      </c>
      <c r="C118" s="544">
        <v>2.5</v>
      </c>
      <c r="D118" s="544">
        <v>2</v>
      </c>
      <c r="E118" s="544">
        <v>1.5</v>
      </c>
      <c r="F118" s="544">
        <v>1</v>
      </c>
      <c r="G118" s="544" t="s">
        <v>934</v>
      </c>
      <c r="H118" s="544" t="s">
        <v>934</v>
      </c>
      <c r="I118" s="31" t="str">
        <f t="shared" si="4"/>
        <v>Cond4</v>
      </c>
    </row>
    <row r="119" spans="1:9" ht="13.8" x14ac:dyDescent="0.25">
      <c r="A119" s="88" t="str">
        <f>'G-1 All Habitats'!B118</f>
        <v>Intertidal sediment - Artificial littoral coarse sediment</v>
      </c>
      <c r="B119" s="544">
        <v>3</v>
      </c>
      <c r="C119" s="544">
        <v>2.5</v>
      </c>
      <c r="D119" s="544">
        <v>2</v>
      </c>
      <c r="E119" s="544">
        <v>1.5</v>
      </c>
      <c r="F119" s="544">
        <v>1</v>
      </c>
      <c r="G119" s="544" t="s">
        <v>934</v>
      </c>
      <c r="H119" s="544" t="s">
        <v>934</v>
      </c>
      <c r="I119" s="31" t="str">
        <f t="shared" si="4"/>
        <v>Cond4</v>
      </c>
    </row>
    <row r="120" spans="1:9" ht="13.8" x14ac:dyDescent="0.25">
      <c r="A120" s="88" t="str">
        <f>'G-1 All Habitats'!B119</f>
        <v>Intertidal sediment - Artificial littoral mud</v>
      </c>
      <c r="B120" s="544">
        <v>3</v>
      </c>
      <c r="C120" s="544">
        <v>2.5</v>
      </c>
      <c r="D120" s="544">
        <v>2</v>
      </c>
      <c r="E120" s="544">
        <v>1.5</v>
      </c>
      <c r="F120" s="544">
        <v>1</v>
      </c>
      <c r="G120" s="544" t="s">
        <v>934</v>
      </c>
      <c r="H120" s="544" t="s">
        <v>934</v>
      </c>
      <c r="I120" s="31" t="str">
        <f t="shared" si="4"/>
        <v>Cond4</v>
      </c>
    </row>
    <row r="121" spans="1:9" ht="13.8" x14ac:dyDescent="0.25">
      <c r="A121" s="88" t="str">
        <f>'G-1 All Habitats'!B120</f>
        <v>Intertidal sediment - Artificial littoral sand</v>
      </c>
      <c r="B121" s="544">
        <v>3</v>
      </c>
      <c r="C121" s="544">
        <v>2.5</v>
      </c>
      <c r="D121" s="544">
        <v>2</v>
      </c>
      <c r="E121" s="544">
        <v>1.5</v>
      </c>
      <c r="F121" s="544">
        <v>1</v>
      </c>
      <c r="G121" s="544" t="s">
        <v>934</v>
      </c>
      <c r="H121" s="544" t="s">
        <v>934</v>
      </c>
      <c r="I121" s="31" t="str">
        <f t="shared" si="4"/>
        <v>Cond4</v>
      </c>
    </row>
    <row r="122" spans="1:9" ht="13.8" x14ac:dyDescent="0.25">
      <c r="A122" s="88" t="str">
        <f>'G-1 All Habitats'!B121</f>
        <v>Intertidal sediment - Artificial littoral muddy sand</v>
      </c>
      <c r="B122" s="544">
        <v>3</v>
      </c>
      <c r="C122" s="544">
        <v>2.5</v>
      </c>
      <c r="D122" s="544">
        <v>2</v>
      </c>
      <c r="E122" s="544">
        <v>1.5</v>
      </c>
      <c r="F122" s="544">
        <v>1</v>
      </c>
      <c r="G122" s="544" t="s">
        <v>934</v>
      </c>
      <c r="H122" s="544" t="s">
        <v>934</v>
      </c>
      <c r="I122" s="31" t="str">
        <f t="shared" si="4"/>
        <v>Cond4</v>
      </c>
    </row>
    <row r="123" spans="1:9" ht="13.8" x14ac:dyDescent="0.25">
      <c r="A123" s="88" t="str">
        <f>'G-1 All Habitats'!B122</f>
        <v>Intertidal sediment - Artificial littoral mixed sediments</v>
      </c>
      <c r="B123" s="544">
        <v>3</v>
      </c>
      <c r="C123" s="544">
        <v>2.5</v>
      </c>
      <c r="D123" s="544">
        <v>2</v>
      </c>
      <c r="E123" s="544">
        <v>1.5</v>
      </c>
      <c r="F123" s="544">
        <v>1</v>
      </c>
      <c r="G123" s="544" t="s">
        <v>934</v>
      </c>
      <c r="H123" s="544" t="s">
        <v>934</v>
      </c>
      <c r="I123" s="31" t="str">
        <f t="shared" si="4"/>
        <v>Cond4</v>
      </c>
    </row>
    <row r="124" spans="1:9" ht="13.8" x14ac:dyDescent="0.25">
      <c r="A124" s="88" t="str">
        <f>'G-1 All Habitats'!B123</f>
        <v>Intertidal sediment - Artificial littoral seagrass</v>
      </c>
      <c r="B124" s="544">
        <v>3</v>
      </c>
      <c r="C124" s="544">
        <v>2.5</v>
      </c>
      <c r="D124" s="544">
        <v>2</v>
      </c>
      <c r="E124" s="544">
        <v>1.5</v>
      </c>
      <c r="F124" s="544">
        <v>1</v>
      </c>
      <c r="G124" s="544" t="s">
        <v>934</v>
      </c>
      <c r="H124" s="544" t="s">
        <v>934</v>
      </c>
      <c r="I124" s="31" t="str">
        <f t="shared" si="4"/>
        <v>Cond4</v>
      </c>
    </row>
    <row r="125" spans="1:9" ht="13.8" x14ac:dyDescent="0.25">
      <c r="A125" s="88" t="str">
        <f>'G-1 All Habitats'!B124</f>
        <v>Intertidal sediment - Artificial littoral biogenic reefs</v>
      </c>
      <c r="B125" s="544">
        <v>3</v>
      </c>
      <c r="C125" s="544">
        <v>2.5</v>
      </c>
      <c r="D125" s="544">
        <v>2</v>
      </c>
      <c r="E125" s="544">
        <v>1.5</v>
      </c>
      <c r="F125" s="544">
        <v>1</v>
      </c>
      <c r="G125" s="544" t="s">
        <v>934</v>
      </c>
      <c r="H125" s="544" t="s">
        <v>934</v>
      </c>
      <c r="I125" s="31" t="str">
        <f t="shared" si="4"/>
        <v>Cond4</v>
      </c>
    </row>
    <row r="126" spans="1:9" ht="13.8" x14ac:dyDescent="0.25">
      <c r="A126" s="88" t="str">
        <f>'G-1 All Habitats'!B125</f>
        <v>Intertidal sediment - Littoral sand</v>
      </c>
      <c r="B126" s="544">
        <v>3</v>
      </c>
      <c r="C126" s="544">
        <v>2.5</v>
      </c>
      <c r="D126" s="544">
        <v>2</v>
      </c>
      <c r="E126" s="544">
        <v>1.5</v>
      </c>
      <c r="F126" s="544">
        <v>1</v>
      </c>
      <c r="G126" s="544" t="s">
        <v>934</v>
      </c>
      <c r="H126" s="544" t="s">
        <v>934</v>
      </c>
      <c r="I126" s="31" t="str">
        <f t="shared" si="4"/>
        <v>Cond4</v>
      </c>
    </row>
    <row r="127" spans="1:9" ht="13.8" x14ac:dyDescent="0.25">
      <c r="A127" s="88" t="str">
        <f>'G-1 All Habitats'!B126</f>
        <v>Intertidal sediment - Littoral muddy sand</v>
      </c>
      <c r="B127" s="544">
        <v>3</v>
      </c>
      <c r="C127" s="544">
        <v>2.5</v>
      </c>
      <c r="D127" s="544">
        <v>2</v>
      </c>
      <c r="E127" s="544">
        <v>1.5</v>
      </c>
      <c r="F127" s="544">
        <v>1</v>
      </c>
      <c r="G127" s="544" t="s">
        <v>934</v>
      </c>
      <c r="H127" s="544" t="s">
        <v>934</v>
      </c>
      <c r="I127" s="31" t="str">
        <f t="shared" si="4"/>
        <v>Cond4</v>
      </c>
    </row>
    <row r="128" spans="1:9" ht="13.8" x14ac:dyDescent="0.25">
      <c r="A128" s="88" t="str">
        <f>'G-1 All Habitats'!B127</f>
        <v>Intertidal Hard Structures - Artificial hard structures</v>
      </c>
      <c r="B128" s="544">
        <v>3</v>
      </c>
      <c r="C128" s="544">
        <v>2.5</v>
      </c>
      <c r="D128" s="544">
        <v>2</v>
      </c>
      <c r="E128" s="544">
        <v>1.5</v>
      </c>
      <c r="F128" s="544">
        <v>1</v>
      </c>
      <c r="G128" s="544" t="s">
        <v>934</v>
      </c>
      <c r="H128" s="544" t="s">
        <v>934</v>
      </c>
      <c r="I128" s="31" t="str">
        <f t="shared" si="4"/>
        <v>Cond4</v>
      </c>
    </row>
    <row r="129" spans="1:9" ht="13.8" x14ac:dyDescent="0.25">
      <c r="A129" s="88" t="str">
        <f>'G-1 All Habitats'!B128</f>
        <v>Intertidal Hard Structures - Artificial features of hard structures</v>
      </c>
      <c r="B129" s="544">
        <v>3</v>
      </c>
      <c r="C129" s="544">
        <v>2.5</v>
      </c>
      <c r="D129" s="544">
        <v>2</v>
      </c>
      <c r="E129" s="544">
        <v>1.5</v>
      </c>
      <c r="F129" s="544">
        <v>1</v>
      </c>
      <c r="G129" s="544" t="s">
        <v>934</v>
      </c>
      <c r="H129" s="544" t="s">
        <v>934</v>
      </c>
      <c r="I129" s="31" t="str">
        <f t="shared" si="4"/>
        <v>Cond4</v>
      </c>
    </row>
    <row r="130" spans="1:9" ht="13.8" x14ac:dyDescent="0.25">
      <c r="A130" s="88" t="str">
        <f>'G-1 All Habitats'!B129</f>
        <v>Intertidal Hard Structures - Artificial hard structures with Integrated Greening of Grey Infrastructure (IGGI)</v>
      </c>
      <c r="B130" s="544">
        <v>3</v>
      </c>
      <c r="C130" s="544">
        <v>2.5</v>
      </c>
      <c r="D130" s="544">
        <v>2</v>
      </c>
      <c r="E130" s="544">
        <v>1.5</v>
      </c>
      <c r="F130" s="544">
        <v>1</v>
      </c>
      <c r="G130" s="544" t="s">
        <v>934</v>
      </c>
      <c r="H130" s="544" t="s">
        <v>934</v>
      </c>
      <c r="I130" s="31" t="str">
        <f t="shared" si="4"/>
        <v>Cond4</v>
      </c>
    </row>
    <row r="131" spans="1:9" ht="13.8" x14ac:dyDescent="0.25"/>
    <row r="132" spans="1:9" ht="13.8" x14ac:dyDescent="0.25"/>
    <row r="133" spans="1:9" ht="14.4" customHeight="1" x14ac:dyDescent="0.25"/>
    <row r="134" spans="1:9" ht="14.4" customHeight="1" x14ac:dyDescent="0.25"/>
    <row r="135" spans="1:9" ht="14.4" customHeight="1" x14ac:dyDescent="0.25"/>
    <row r="136" spans="1:9" ht="14.4" customHeight="1"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30" zoomScaleNormal="130" workbookViewId="0">
      <selection activeCell="S28" sqref="S28"/>
    </sheetView>
  </sheetViews>
  <sheetFormatPr defaultColWidth="0" defaultRowHeight="14.4" zeroHeight="1" x14ac:dyDescent="0.3"/>
  <cols>
    <col min="1" max="1" width="9.109375" style="274" customWidth="1"/>
    <col min="2" max="2" width="44.33203125" style="274" customWidth="1"/>
    <col min="3" max="3" width="60.5546875" style="274" customWidth="1"/>
    <col min="4" max="4" width="22.44140625" style="274" customWidth="1"/>
    <col min="5" max="19" width="9.109375" style="274" customWidth="1"/>
    <col min="20" max="16384" width="9.109375" style="274" hidden="1"/>
  </cols>
  <sheetData>
    <row r="1" spans="2:4" ht="61.2" customHeight="1" x14ac:dyDescent="0.3"/>
    <row r="2" spans="2:4" ht="15.6" x14ac:dyDescent="0.3">
      <c r="B2" s="123" t="s">
        <v>1046</v>
      </c>
      <c r="C2" s="123" t="s">
        <v>1047</v>
      </c>
      <c r="D2" s="123" t="s">
        <v>1048</v>
      </c>
    </row>
    <row r="3" spans="2:4" x14ac:dyDescent="0.3">
      <c r="B3" s="649" t="s">
        <v>1049</v>
      </c>
      <c r="C3" s="544" t="s">
        <v>695</v>
      </c>
      <c r="D3" s="544" t="s">
        <v>23</v>
      </c>
    </row>
    <row r="4" spans="2:4" x14ac:dyDescent="0.3">
      <c r="B4" s="649" t="s">
        <v>1050</v>
      </c>
      <c r="C4" s="544" t="s">
        <v>692</v>
      </c>
      <c r="D4" s="544" t="s">
        <v>23</v>
      </c>
    </row>
    <row r="5" spans="2:4" x14ac:dyDescent="0.3">
      <c r="B5" s="649" t="s">
        <v>1051</v>
      </c>
      <c r="C5" s="544" t="s">
        <v>678</v>
      </c>
      <c r="D5" s="544" t="s">
        <v>153</v>
      </c>
    </row>
    <row r="6" spans="2:4" x14ac:dyDescent="0.3">
      <c r="B6" s="649" t="s">
        <v>1052</v>
      </c>
      <c r="C6" s="544" t="s">
        <v>692</v>
      </c>
      <c r="D6" s="544" t="s">
        <v>23</v>
      </c>
    </row>
    <row r="7" spans="2:4" x14ac:dyDescent="0.3">
      <c r="B7" s="649" t="s">
        <v>684</v>
      </c>
      <c r="C7" s="544" t="s">
        <v>686</v>
      </c>
      <c r="D7" s="544" t="s">
        <v>156</v>
      </c>
    </row>
    <row r="8" spans="2:4" x14ac:dyDescent="0.3">
      <c r="B8" s="649" t="s">
        <v>1053</v>
      </c>
      <c r="C8" s="544" t="s">
        <v>681</v>
      </c>
      <c r="D8" s="544" t="s">
        <v>153</v>
      </c>
    </row>
    <row r="9" spans="2:4" x14ac:dyDescent="0.3">
      <c r="B9" s="649" t="s">
        <v>1054</v>
      </c>
      <c r="C9" s="544" t="s">
        <v>686</v>
      </c>
      <c r="D9" s="544" t="s">
        <v>156</v>
      </c>
    </row>
    <row r="10" spans="2:4" x14ac:dyDescent="0.3">
      <c r="B10" s="649" t="s">
        <v>1055</v>
      </c>
      <c r="C10" s="544" t="s">
        <v>695</v>
      </c>
      <c r="D10" s="544" t="s">
        <v>23</v>
      </c>
    </row>
    <row r="11" spans="2:4" x14ac:dyDescent="0.3">
      <c r="B11" s="649" t="s">
        <v>1056</v>
      </c>
      <c r="C11" s="544" t="s">
        <v>678</v>
      </c>
      <c r="D11" s="544" t="s">
        <v>153</v>
      </c>
    </row>
    <row r="12" spans="2:4" x14ac:dyDescent="0.3">
      <c r="B12" s="649" t="s">
        <v>1057</v>
      </c>
      <c r="C12" s="544" t="s">
        <v>695</v>
      </c>
      <c r="D12" s="544" t="s">
        <v>23</v>
      </c>
    </row>
    <row r="13" spans="2:4" x14ac:dyDescent="0.3">
      <c r="B13" s="649" t="s">
        <v>1058</v>
      </c>
      <c r="C13" s="544" t="s">
        <v>496</v>
      </c>
      <c r="D13" s="544" t="s">
        <v>23</v>
      </c>
    </row>
    <row r="14" spans="2:4" x14ac:dyDescent="0.3">
      <c r="B14" s="649" t="s">
        <v>1059</v>
      </c>
      <c r="C14" s="544" t="s">
        <v>496</v>
      </c>
      <c r="D14" s="544" t="s">
        <v>23</v>
      </c>
    </row>
    <row r="15" spans="2:4" x14ac:dyDescent="0.3">
      <c r="B15" s="649" t="s">
        <v>1060</v>
      </c>
      <c r="C15" s="544" t="s">
        <v>496</v>
      </c>
      <c r="D15" s="544" t="s">
        <v>23</v>
      </c>
    </row>
    <row r="16" spans="2:4" x14ac:dyDescent="0.3">
      <c r="B16" s="649" t="s">
        <v>1061</v>
      </c>
      <c r="C16" s="544" t="s">
        <v>712</v>
      </c>
      <c r="D16" s="544" t="s">
        <v>153</v>
      </c>
    </row>
    <row r="17" spans="2:4" x14ac:dyDescent="0.3">
      <c r="B17" s="649" t="s">
        <v>1062</v>
      </c>
      <c r="C17" s="544" t="s">
        <v>712</v>
      </c>
      <c r="D17" s="544" t="s">
        <v>153</v>
      </c>
    </row>
    <row r="18" spans="2:4" x14ac:dyDescent="0.3">
      <c r="B18" s="649" t="s">
        <v>1063</v>
      </c>
      <c r="C18" s="544" t="s">
        <v>686</v>
      </c>
      <c r="D18" s="544" t="s">
        <v>23</v>
      </c>
    </row>
    <row r="19" spans="2:4" x14ac:dyDescent="0.3">
      <c r="B19" s="649" t="s">
        <v>1064</v>
      </c>
      <c r="C19" s="544" t="s">
        <v>712</v>
      </c>
      <c r="D19" s="544" t="s">
        <v>153</v>
      </c>
    </row>
    <row r="20" spans="2:4" x14ac:dyDescent="0.3">
      <c r="B20" s="649" t="s">
        <v>1065</v>
      </c>
      <c r="C20" s="544" t="s">
        <v>671</v>
      </c>
      <c r="D20" s="544" t="s">
        <v>153</v>
      </c>
    </row>
    <row r="21" spans="2:4" x14ac:dyDescent="0.3">
      <c r="B21" s="649" t="s">
        <v>1066</v>
      </c>
      <c r="C21" s="544" t="s">
        <v>671</v>
      </c>
      <c r="D21" s="544" t="s">
        <v>153</v>
      </c>
    </row>
    <row r="22" spans="2:4" x14ac:dyDescent="0.3">
      <c r="B22" s="649" t="s">
        <v>1067</v>
      </c>
      <c r="C22" s="544" t="s">
        <v>671</v>
      </c>
      <c r="D22" s="544" t="s">
        <v>153</v>
      </c>
    </row>
    <row r="23" spans="2:4" x14ac:dyDescent="0.3">
      <c r="B23" s="649" t="s">
        <v>1068</v>
      </c>
      <c r="C23" s="544" t="s">
        <v>671</v>
      </c>
      <c r="D23" s="544" t="s">
        <v>153</v>
      </c>
    </row>
    <row r="24" spans="2:4" x14ac:dyDescent="0.3">
      <c r="B24" s="649" t="s">
        <v>426</v>
      </c>
      <c r="C24" s="544" t="s">
        <v>453</v>
      </c>
      <c r="D24" s="544" t="s">
        <v>23</v>
      </c>
    </row>
    <row r="25" spans="2:4" x14ac:dyDescent="0.3">
      <c r="B25" s="649" t="s">
        <v>426</v>
      </c>
      <c r="C25" s="544" t="s">
        <v>464</v>
      </c>
      <c r="D25" s="544" t="s">
        <v>23</v>
      </c>
    </row>
    <row r="26" spans="2:4" x14ac:dyDescent="0.3">
      <c r="B26" s="649" t="s">
        <v>1069</v>
      </c>
      <c r="C26" s="544" t="s">
        <v>439</v>
      </c>
      <c r="D26" s="544" t="s">
        <v>375</v>
      </c>
    </row>
    <row r="27" spans="2:4" x14ac:dyDescent="0.3">
      <c r="B27" s="649" t="s">
        <v>1069</v>
      </c>
      <c r="C27" s="544" t="s">
        <v>470</v>
      </c>
      <c r="D27" s="544" t="s">
        <v>375</v>
      </c>
    </row>
    <row r="28" spans="2:4" x14ac:dyDescent="0.3">
      <c r="B28" s="649" t="s">
        <v>1070</v>
      </c>
      <c r="C28" s="544" t="s">
        <v>464</v>
      </c>
      <c r="D28" s="544" t="s">
        <v>23</v>
      </c>
    </row>
    <row r="29" spans="2:4" x14ac:dyDescent="0.3">
      <c r="B29" s="649" t="s">
        <v>1070</v>
      </c>
      <c r="C29" s="544" t="s">
        <v>453</v>
      </c>
      <c r="D29" s="544" t="s">
        <v>23</v>
      </c>
    </row>
    <row r="30" spans="2:4" x14ac:dyDescent="0.3">
      <c r="B30" s="649" t="s">
        <v>1071</v>
      </c>
      <c r="C30" s="544" t="s">
        <v>449</v>
      </c>
      <c r="D30" s="544" t="s">
        <v>156</v>
      </c>
    </row>
    <row r="31" spans="2:4" x14ac:dyDescent="0.3">
      <c r="B31" s="649" t="s">
        <v>447</v>
      </c>
      <c r="C31" s="544" t="s">
        <v>456</v>
      </c>
      <c r="D31" s="544" t="s">
        <v>23</v>
      </c>
    </row>
    <row r="32" spans="2:4" x14ac:dyDescent="0.3">
      <c r="B32" s="649" t="s">
        <v>1072</v>
      </c>
      <c r="C32" s="544" t="s">
        <v>444</v>
      </c>
      <c r="D32" s="544" t="s">
        <v>375</v>
      </c>
    </row>
    <row r="33" spans="2:4" x14ac:dyDescent="0.3">
      <c r="B33" s="650" t="s">
        <v>1073</v>
      </c>
      <c r="C33" s="571" t="s">
        <v>456</v>
      </c>
      <c r="D33" s="571" t="s">
        <v>23</v>
      </c>
    </row>
    <row r="34" spans="2:4" x14ac:dyDescent="0.3">
      <c r="B34" s="649" t="s">
        <v>1074</v>
      </c>
      <c r="C34" s="544" t="s">
        <v>449</v>
      </c>
      <c r="D34" s="544" t="s">
        <v>156</v>
      </c>
    </row>
    <row r="35" spans="2:4" x14ac:dyDescent="0.3">
      <c r="B35" s="649" t="s">
        <v>437</v>
      </c>
      <c r="C35" s="544" t="s">
        <v>467</v>
      </c>
      <c r="D35" s="544" t="s">
        <v>153</v>
      </c>
    </row>
    <row r="36" spans="2:4" x14ac:dyDescent="0.3">
      <c r="B36" s="649" t="s">
        <v>437</v>
      </c>
      <c r="C36" s="544" t="s">
        <v>434</v>
      </c>
      <c r="D36" s="544" t="s">
        <v>153</v>
      </c>
    </row>
    <row r="37" spans="2:4" x14ac:dyDescent="0.3">
      <c r="B37" s="649" t="s">
        <v>1075</v>
      </c>
      <c r="C37" s="544" t="s">
        <v>434</v>
      </c>
      <c r="D37" s="544" t="s">
        <v>153</v>
      </c>
    </row>
    <row r="38" spans="2:4" x14ac:dyDescent="0.3">
      <c r="B38" s="649" t="s">
        <v>1075</v>
      </c>
      <c r="C38" s="544" t="s">
        <v>467</v>
      </c>
      <c r="D38" s="544" t="s">
        <v>153</v>
      </c>
    </row>
    <row r="39" spans="2:4" ht="26.4" x14ac:dyDescent="0.3">
      <c r="B39" s="649" t="s">
        <v>1076</v>
      </c>
      <c r="C39" s="544" t="s">
        <v>467</v>
      </c>
      <c r="D39" s="544" t="s">
        <v>153</v>
      </c>
    </row>
    <row r="40" spans="2:4" ht="26.4" x14ac:dyDescent="0.3">
      <c r="B40" s="649" t="s">
        <v>1076</v>
      </c>
      <c r="C40" s="544" t="s">
        <v>434</v>
      </c>
      <c r="D40" s="544" t="s">
        <v>153</v>
      </c>
    </row>
    <row r="41" spans="2:4" x14ac:dyDescent="0.3">
      <c r="B41" s="649" t="s">
        <v>1077</v>
      </c>
      <c r="C41" s="544" t="s">
        <v>449</v>
      </c>
      <c r="D41" s="544" t="s">
        <v>156</v>
      </c>
    </row>
    <row r="42" spans="2:4" x14ac:dyDescent="0.3">
      <c r="B42" s="649" t="s">
        <v>1078</v>
      </c>
      <c r="C42" s="544" t="s">
        <v>449</v>
      </c>
      <c r="D42" s="544" t="s">
        <v>156</v>
      </c>
    </row>
    <row r="43" spans="2:4" x14ac:dyDescent="0.3">
      <c r="B43" s="649" t="s">
        <v>1079</v>
      </c>
      <c r="C43" s="544" t="s">
        <v>662</v>
      </c>
      <c r="D43" s="544" t="s">
        <v>375</v>
      </c>
    </row>
    <row r="44" spans="2:4" x14ac:dyDescent="0.3">
      <c r="B44" s="649" t="s">
        <v>1079</v>
      </c>
      <c r="C44" s="544" t="s">
        <v>456</v>
      </c>
      <c r="D44" s="544" t="s">
        <v>23</v>
      </c>
    </row>
    <row r="45" spans="2:4" x14ac:dyDescent="0.3">
      <c r="B45" s="649" t="s">
        <v>1079</v>
      </c>
      <c r="C45" s="544" t="s">
        <v>449</v>
      </c>
      <c r="D45" s="544" t="s">
        <v>156</v>
      </c>
    </row>
    <row r="46" spans="2:4" x14ac:dyDescent="0.3">
      <c r="B46" s="649" t="s">
        <v>1080</v>
      </c>
      <c r="C46" s="544" t="s">
        <v>449</v>
      </c>
      <c r="D46" s="544" t="s">
        <v>156</v>
      </c>
    </row>
    <row r="47" spans="2:4" x14ac:dyDescent="0.3">
      <c r="B47" s="649" t="s">
        <v>1081</v>
      </c>
      <c r="C47" s="544" t="s">
        <v>562</v>
      </c>
      <c r="D47" s="544" t="s">
        <v>153</v>
      </c>
    </row>
    <row r="48" spans="2:4" x14ac:dyDescent="0.3">
      <c r="B48" s="649" t="s">
        <v>1082</v>
      </c>
      <c r="C48" s="544" t="s">
        <v>558</v>
      </c>
      <c r="D48" s="544" t="s">
        <v>153</v>
      </c>
    </row>
    <row r="49" spans="2:4" x14ac:dyDescent="0.3">
      <c r="B49" s="649" t="s">
        <v>1083</v>
      </c>
      <c r="C49" s="544" t="s">
        <v>558</v>
      </c>
      <c r="D49" s="544" t="s">
        <v>153</v>
      </c>
    </row>
    <row r="50" spans="2:4" x14ac:dyDescent="0.3">
      <c r="B50" s="649" t="s">
        <v>1084</v>
      </c>
      <c r="C50" s="544" t="s">
        <v>558</v>
      </c>
      <c r="D50" s="544" t="s">
        <v>153</v>
      </c>
    </row>
    <row r="51" spans="2:4" x14ac:dyDescent="0.3">
      <c r="B51" s="649" t="s">
        <v>1085</v>
      </c>
      <c r="C51" s="544" t="s">
        <v>558</v>
      </c>
      <c r="D51" s="544" t="s">
        <v>153</v>
      </c>
    </row>
    <row r="52" spans="2:4" x14ac:dyDescent="0.3">
      <c r="B52" s="649" t="s">
        <v>1086</v>
      </c>
      <c r="C52" s="544" t="s">
        <v>558</v>
      </c>
      <c r="D52" s="544" t="s">
        <v>153</v>
      </c>
    </row>
    <row r="53" spans="2:4" x14ac:dyDescent="0.3">
      <c r="B53" s="649" t="s">
        <v>1087</v>
      </c>
      <c r="C53" s="544" t="s">
        <v>558</v>
      </c>
      <c r="D53" s="544" t="s">
        <v>153</v>
      </c>
    </row>
    <row r="54" spans="2:4" x14ac:dyDescent="0.3">
      <c r="B54" s="649" t="s">
        <v>1088</v>
      </c>
      <c r="C54" s="544" t="s">
        <v>577</v>
      </c>
      <c r="D54" s="544" t="s">
        <v>153</v>
      </c>
    </row>
    <row r="55" spans="2:4" x14ac:dyDescent="0.3">
      <c r="B55" s="649" t="s">
        <v>1089</v>
      </c>
      <c r="C55" s="544" t="s">
        <v>577</v>
      </c>
      <c r="D55" s="544" t="s">
        <v>153</v>
      </c>
    </row>
    <row r="56" spans="2:4" x14ac:dyDescent="0.3">
      <c r="B56" s="649" t="s">
        <v>1090</v>
      </c>
      <c r="C56" s="544" t="s">
        <v>577</v>
      </c>
      <c r="D56" s="544" t="s">
        <v>153</v>
      </c>
    </row>
    <row r="57" spans="2:4" x14ac:dyDescent="0.3">
      <c r="B57" s="649" t="s">
        <v>1091</v>
      </c>
      <c r="C57" s="544" t="s">
        <v>577</v>
      </c>
      <c r="D57" s="544" t="s">
        <v>153</v>
      </c>
    </row>
    <row r="58" spans="2:4" x14ac:dyDescent="0.3">
      <c r="B58" s="649" t="s">
        <v>1091</v>
      </c>
      <c r="C58" s="544" t="s">
        <v>1092</v>
      </c>
      <c r="D58" s="544" t="s">
        <v>153</v>
      </c>
    </row>
    <row r="59" spans="2:4" x14ac:dyDescent="0.3">
      <c r="B59" s="649" t="s">
        <v>1093</v>
      </c>
      <c r="C59" s="544" t="s">
        <v>577</v>
      </c>
      <c r="D59" s="544" t="s">
        <v>153</v>
      </c>
    </row>
    <row r="60" spans="2:4" x14ac:dyDescent="0.3">
      <c r="B60" s="649" t="s">
        <v>1093</v>
      </c>
      <c r="C60" s="544" t="s">
        <v>444</v>
      </c>
      <c r="D60" s="544" t="s">
        <v>375</v>
      </c>
    </row>
    <row r="61" spans="2:4" x14ac:dyDescent="0.3">
      <c r="B61" s="649" t="s">
        <v>1093</v>
      </c>
      <c r="C61" s="544" t="s">
        <v>439</v>
      </c>
      <c r="D61" s="544" t="s">
        <v>375</v>
      </c>
    </row>
    <row r="62" spans="2:4" x14ac:dyDescent="0.3">
      <c r="B62" s="649" t="s">
        <v>1093</v>
      </c>
      <c r="C62" s="544" t="s">
        <v>453</v>
      </c>
      <c r="D62" s="544" t="s">
        <v>23</v>
      </c>
    </row>
    <row r="63" spans="2:4" x14ac:dyDescent="0.3">
      <c r="B63" s="649" t="s">
        <v>1094</v>
      </c>
      <c r="C63" s="544" t="s">
        <v>577</v>
      </c>
      <c r="D63" s="544" t="s">
        <v>153</v>
      </c>
    </row>
    <row r="64" spans="2:4" x14ac:dyDescent="0.3">
      <c r="B64" s="649" t="s">
        <v>1094</v>
      </c>
      <c r="C64" s="574" t="s">
        <v>490</v>
      </c>
      <c r="D64" s="544" t="s">
        <v>153</v>
      </c>
    </row>
    <row r="65" spans="2:4" x14ac:dyDescent="0.3">
      <c r="B65" s="649" t="s">
        <v>1095</v>
      </c>
      <c r="C65" s="544" t="s">
        <v>1096</v>
      </c>
      <c r="D65" s="544" t="s">
        <v>375</v>
      </c>
    </row>
    <row r="66" spans="2:4" x14ac:dyDescent="0.3">
      <c r="B66" s="649" t="s">
        <v>1095</v>
      </c>
      <c r="C66" s="544" t="s">
        <v>1097</v>
      </c>
      <c r="D66" s="544" t="s">
        <v>23</v>
      </c>
    </row>
    <row r="67" spans="2:4" x14ac:dyDescent="0.3">
      <c r="B67" s="649" t="s">
        <v>1095</v>
      </c>
      <c r="C67" s="544" t="s">
        <v>526</v>
      </c>
      <c r="D67" s="544" t="s">
        <v>153</v>
      </c>
    </row>
    <row r="68" spans="2:4" x14ac:dyDescent="0.3">
      <c r="B68" s="649" t="s">
        <v>1095</v>
      </c>
      <c r="C68" s="544" t="s">
        <v>529</v>
      </c>
      <c r="D68" s="544" t="s">
        <v>153</v>
      </c>
    </row>
    <row r="69" spans="2:4" x14ac:dyDescent="0.3">
      <c r="B69" s="649" t="s">
        <v>1095</v>
      </c>
      <c r="C69" s="544" t="s">
        <v>532</v>
      </c>
      <c r="D69" s="544" t="s">
        <v>153</v>
      </c>
    </row>
    <row r="70" spans="2:4" x14ac:dyDescent="0.3">
      <c r="B70" s="649" t="s">
        <v>1095</v>
      </c>
      <c r="C70" s="544" t="s">
        <v>535</v>
      </c>
      <c r="D70" s="544" t="s">
        <v>153</v>
      </c>
    </row>
    <row r="71" spans="2:4" x14ac:dyDescent="0.3">
      <c r="B71" s="649" t="s">
        <v>1095</v>
      </c>
      <c r="C71" s="544" t="s">
        <v>538</v>
      </c>
      <c r="D71" s="544" t="s">
        <v>153</v>
      </c>
    </row>
    <row r="72" spans="2:4" x14ac:dyDescent="0.3">
      <c r="B72" s="649" t="s">
        <v>1095</v>
      </c>
      <c r="C72" s="544" t="s">
        <v>1098</v>
      </c>
      <c r="D72" s="544" t="s">
        <v>153</v>
      </c>
    </row>
    <row r="73" spans="2:4" x14ac:dyDescent="0.3">
      <c r="B73" s="649" t="s">
        <v>1095</v>
      </c>
      <c r="C73" s="544" t="s">
        <v>1099</v>
      </c>
      <c r="D73" s="544" t="s">
        <v>23</v>
      </c>
    </row>
    <row r="74" spans="2:4" x14ac:dyDescent="0.3">
      <c r="B74" s="649" t="s">
        <v>1095</v>
      </c>
      <c r="C74" s="544" t="s">
        <v>1100</v>
      </c>
      <c r="D74" s="544" t="s">
        <v>23</v>
      </c>
    </row>
    <row r="75" spans="2:4" x14ac:dyDescent="0.3">
      <c r="B75" s="649" t="s">
        <v>1095</v>
      </c>
      <c r="C75" s="544" t="s">
        <v>550</v>
      </c>
      <c r="D75" s="544" t="s">
        <v>153</v>
      </c>
    </row>
    <row r="76" spans="2:4" x14ac:dyDescent="0.3">
      <c r="B76" s="649" t="s">
        <v>1101</v>
      </c>
      <c r="C76" s="544" t="s">
        <v>490</v>
      </c>
      <c r="D76" s="544" t="s">
        <v>153</v>
      </c>
    </row>
    <row r="77" spans="2:4" x14ac:dyDescent="0.3">
      <c r="B77" s="649" t="s">
        <v>1101</v>
      </c>
      <c r="C77" s="544" t="s">
        <v>515</v>
      </c>
      <c r="D77" s="544" t="s">
        <v>153</v>
      </c>
    </row>
    <row r="78" spans="2:4" x14ac:dyDescent="0.3">
      <c r="B78" s="649" t="s">
        <v>1102</v>
      </c>
      <c r="C78" s="544" t="s">
        <v>490</v>
      </c>
      <c r="D78" s="544" t="s">
        <v>153</v>
      </c>
    </row>
    <row r="79" spans="2:4" x14ac:dyDescent="0.3">
      <c r="B79" s="649" t="s">
        <v>1102</v>
      </c>
      <c r="C79" s="544" t="s">
        <v>515</v>
      </c>
      <c r="D79" s="544" t="s">
        <v>153</v>
      </c>
    </row>
    <row r="80" spans="2:4" x14ac:dyDescent="0.3">
      <c r="B80" s="649" t="s">
        <v>1103</v>
      </c>
      <c r="C80" s="544" t="s">
        <v>490</v>
      </c>
      <c r="D80" s="544" t="s">
        <v>153</v>
      </c>
    </row>
    <row r="81" spans="2:4" x14ac:dyDescent="0.3">
      <c r="B81" s="649" t="s">
        <v>1103</v>
      </c>
      <c r="C81" s="544" t="s">
        <v>515</v>
      </c>
      <c r="D81" s="544" t="s">
        <v>153</v>
      </c>
    </row>
    <row r="82" spans="2:4" x14ac:dyDescent="0.3">
      <c r="B82" s="649" t="s">
        <v>1104</v>
      </c>
      <c r="C82" s="544" t="s">
        <v>490</v>
      </c>
      <c r="D82" s="544" t="s">
        <v>153</v>
      </c>
    </row>
    <row r="83" spans="2:4" x14ac:dyDescent="0.3">
      <c r="B83" s="649" t="s">
        <v>1104</v>
      </c>
      <c r="C83" s="544" t="s">
        <v>515</v>
      </c>
      <c r="D83" s="544" t="s">
        <v>153</v>
      </c>
    </row>
    <row r="84" spans="2:4" x14ac:dyDescent="0.3">
      <c r="B84" s="649" t="s">
        <v>1105</v>
      </c>
      <c r="C84" s="544" t="s">
        <v>490</v>
      </c>
      <c r="D84" s="544" t="s">
        <v>153</v>
      </c>
    </row>
    <row r="85" spans="2:4" x14ac:dyDescent="0.3">
      <c r="B85" s="649" t="s">
        <v>1105</v>
      </c>
      <c r="C85" s="544" t="s">
        <v>515</v>
      </c>
      <c r="D85" s="544" t="s">
        <v>153</v>
      </c>
    </row>
    <row r="86" spans="2:4" x14ac:dyDescent="0.3">
      <c r="B86" s="649" t="s">
        <v>1106</v>
      </c>
      <c r="C86" s="544" t="s">
        <v>500</v>
      </c>
      <c r="D86" s="544" t="s">
        <v>375</v>
      </c>
    </row>
    <row r="87" spans="2:4" x14ac:dyDescent="0.3">
      <c r="B87" s="649" t="s">
        <v>1107</v>
      </c>
      <c r="C87" s="544" t="s">
        <v>490</v>
      </c>
      <c r="D87" s="544" t="s">
        <v>153</v>
      </c>
    </row>
    <row r="88" spans="2:4" x14ac:dyDescent="0.3">
      <c r="B88" s="649" t="s">
        <v>1108</v>
      </c>
      <c r="C88" s="544" t="s">
        <v>490</v>
      </c>
      <c r="D88" s="544" t="s">
        <v>153</v>
      </c>
    </row>
    <row r="89" spans="2:4" x14ac:dyDescent="0.3">
      <c r="B89" s="649" t="s">
        <v>1107</v>
      </c>
      <c r="C89" s="544" t="s">
        <v>515</v>
      </c>
      <c r="D89" s="544" t="s">
        <v>153</v>
      </c>
    </row>
    <row r="90" spans="2:4" x14ac:dyDescent="0.3">
      <c r="B90" s="649" t="s">
        <v>1108</v>
      </c>
      <c r="C90" s="544" t="s">
        <v>515</v>
      </c>
      <c r="D90" s="544" t="s">
        <v>153</v>
      </c>
    </row>
    <row r="91" spans="2:4" x14ac:dyDescent="0.3">
      <c r="B91" s="649" t="s">
        <v>423</v>
      </c>
      <c r="C91" s="544" t="s">
        <v>424</v>
      </c>
      <c r="D91" s="544" t="s">
        <v>156</v>
      </c>
    </row>
    <row r="92" spans="2:4" x14ac:dyDescent="0.3">
      <c r="B92" s="649" t="s">
        <v>1109</v>
      </c>
      <c r="C92" s="544" t="s">
        <v>424</v>
      </c>
      <c r="D92" s="544" t="s">
        <v>156</v>
      </c>
    </row>
    <row r="93" spans="2:4" x14ac:dyDescent="0.3">
      <c r="B93" s="649" t="s">
        <v>1110</v>
      </c>
      <c r="C93" s="544" t="s">
        <v>424</v>
      </c>
      <c r="D93" s="544" t="s">
        <v>156</v>
      </c>
    </row>
    <row r="94" spans="2:4" x14ac:dyDescent="0.3">
      <c r="B94" s="649" t="s">
        <v>1111</v>
      </c>
      <c r="C94" s="574" t="s">
        <v>569</v>
      </c>
      <c r="D94" s="544" t="s">
        <v>153</v>
      </c>
    </row>
    <row r="95" spans="2:4" x14ac:dyDescent="0.3">
      <c r="B95" s="649" t="s">
        <v>1112</v>
      </c>
      <c r="C95" s="544" t="s">
        <v>424</v>
      </c>
      <c r="D95" s="544" t="s">
        <v>23</v>
      </c>
    </row>
    <row r="96" spans="2:4" x14ac:dyDescent="0.3">
      <c r="B96" s="649" t="s">
        <v>1113</v>
      </c>
      <c r="C96" s="574" t="s">
        <v>565</v>
      </c>
      <c r="D96" s="544" t="s">
        <v>156</v>
      </c>
    </row>
    <row r="97" spans="2:4" x14ac:dyDescent="0.3">
      <c r="B97" s="649" t="s">
        <v>1114</v>
      </c>
      <c r="C97" s="574" t="s">
        <v>565</v>
      </c>
      <c r="D97" s="544" t="s">
        <v>156</v>
      </c>
    </row>
    <row r="98" spans="2:4" x14ac:dyDescent="0.3">
      <c r="B98" s="649" t="s">
        <v>643</v>
      </c>
      <c r="C98" s="544" t="s">
        <v>655</v>
      </c>
      <c r="D98" s="544" t="s">
        <v>375</v>
      </c>
    </row>
    <row r="99" spans="2:4" x14ac:dyDescent="0.3">
      <c r="B99" s="649" t="s">
        <v>1115</v>
      </c>
      <c r="C99" s="544" t="s">
        <v>655</v>
      </c>
      <c r="D99" s="544" t="s">
        <v>375</v>
      </c>
    </row>
    <row r="100" spans="2:4" x14ac:dyDescent="0.3">
      <c r="B100" s="649" t="s">
        <v>640</v>
      </c>
      <c r="C100" s="544" t="s">
        <v>641</v>
      </c>
      <c r="D100" s="544" t="s">
        <v>375</v>
      </c>
    </row>
    <row r="101" spans="2:4" x14ac:dyDescent="0.3">
      <c r="B101" s="649" t="s">
        <v>1116</v>
      </c>
      <c r="C101" s="544" t="s">
        <v>655</v>
      </c>
      <c r="D101" s="544" t="s">
        <v>375</v>
      </c>
    </row>
    <row r="102" spans="2:4" x14ac:dyDescent="0.3">
      <c r="B102" s="649" t="s">
        <v>1117</v>
      </c>
      <c r="C102" s="651" t="s">
        <v>668</v>
      </c>
      <c r="D102" s="544" t="s">
        <v>375</v>
      </c>
    </row>
    <row r="103" spans="2:4" x14ac:dyDescent="0.3">
      <c r="B103" s="649" t="s">
        <v>1118</v>
      </c>
      <c r="C103" s="544" t="s">
        <v>641</v>
      </c>
      <c r="D103" s="544" t="s">
        <v>375</v>
      </c>
    </row>
    <row r="104" spans="2:4" x14ac:dyDescent="0.3">
      <c r="B104" s="649" t="s">
        <v>1118</v>
      </c>
      <c r="C104" s="544" t="s">
        <v>655</v>
      </c>
      <c r="D104" s="544" t="s">
        <v>375</v>
      </c>
    </row>
    <row r="105" spans="2:4" x14ac:dyDescent="0.3">
      <c r="B105" s="649" t="s">
        <v>1119</v>
      </c>
      <c r="C105" s="544" t="s">
        <v>649</v>
      </c>
      <c r="D105" s="544" t="s">
        <v>375</v>
      </c>
    </row>
    <row r="106" spans="2:4" x14ac:dyDescent="0.3">
      <c r="B106" s="649" t="s">
        <v>1120</v>
      </c>
      <c r="C106" s="544" t="s">
        <v>649</v>
      </c>
      <c r="D106" s="544" t="s">
        <v>375</v>
      </c>
    </row>
    <row r="107" spans="2:4" x14ac:dyDescent="0.3">
      <c r="B107" s="649" t="s">
        <v>1121</v>
      </c>
      <c r="C107" s="544" t="s">
        <v>649</v>
      </c>
      <c r="D107" s="544" t="s">
        <v>375</v>
      </c>
    </row>
    <row r="108" spans="2:4" x14ac:dyDescent="0.3">
      <c r="B108" s="649" t="s">
        <v>1122</v>
      </c>
      <c r="C108" s="544" t="s">
        <v>649</v>
      </c>
      <c r="D108" s="544" t="s">
        <v>375</v>
      </c>
    </row>
    <row r="109" spans="2:4" x14ac:dyDescent="0.3">
      <c r="B109" s="649" t="s">
        <v>1123</v>
      </c>
      <c r="C109" s="544" t="s">
        <v>649</v>
      </c>
      <c r="D109" s="544" t="s">
        <v>375</v>
      </c>
    </row>
    <row r="110" spans="2:4" x14ac:dyDescent="0.3">
      <c r="B110" s="649" t="s">
        <v>1124</v>
      </c>
      <c r="C110" s="544" t="s">
        <v>1125</v>
      </c>
      <c r="D110" s="544" t="s">
        <v>375</v>
      </c>
    </row>
    <row r="111" spans="2:4" x14ac:dyDescent="0.3">
      <c r="B111" s="649" t="s">
        <v>1126</v>
      </c>
      <c r="C111" s="544" t="s">
        <v>1125</v>
      </c>
      <c r="D111" s="544" t="s">
        <v>375</v>
      </c>
    </row>
    <row r="112" spans="2:4" x14ac:dyDescent="0.3">
      <c r="B112" s="649" t="s">
        <v>1127</v>
      </c>
      <c r="C112" s="544" t="s">
        <v>1125</v>
      </c>
      <c r="D112" s="544" t="s">
        <v>375</v>
      </c>
    </row>
    <row r="113" spans="2:4" x14ac:dyDescent="0.3">
      <c r="B113" s="649" t="s">
        <v>1128</v>
      </c>
      <c r="C113" s="544" t="s">
        <v>645</v>
      </c>
      <c r="D113" s="544" t="s">
        <v>375</v>
      </c>
    </row>
    <row r="114" spans="2:4" x14ac:dyDescent="0.3">
      <c r="B114" s="649" t="s">
        <v>1129</v>
      </c>
      <c r="C114" s="544" t="s">
        <v>649</v>
      </c>
      <c r="D114" s="544" t="s">
        <v>375</v>
      </c>
    </row>
    <row r="115" spans="2:4" x14ac:dyDescent="0.3">
      <c r="B115" s="649" t="s">
        <v>1130</v>
      </c>
      <c r="C115" s="544" t="s">
        <v>649</v>
      </c>
      <c r="D115" s="544" t="s">
        <v>375</v>
      </c>
    </row>
    <row r="116" spans="2:4" x14ac:dyDescent="0.3">
      <c r="B116" s="649" t="s">
        <v>1130</v>
      </c>
      <c r="C116" s="574" t="s">
        <v>665</v>
      </c>
      <c r="D116" s="571" t="s">
        <v>153</v>
      </c>
    </row>
    <row r="117" spans="2:4" x14ac:dyDescent="0.3">
      <c r="B117" s="649" t="s">
        <v>1131</v>
      </c>
      <c r="C117" s="544" t="s">
        <v>1132</v>
      </c>
      <c r="D117" s="586"/>
    </row>
    <row r="118" spans="2:4" x14ac:dyDescent="0.3">
      <c r="B118" s="649" t="s">
        <v>1133</v>
      </c>
      <c r="C118" s="574" t="s">
        <v>665</v>
      </c>
      <c r="D118" s="571" t="s">
        <v>153</v>
      </c>
    </row>
    <row r="119" spans="2:4" x14ac:dyDescent="0.3">
      <c r="B119" s="649" t="s">
        <v>1134</v>
      </c>
      <c r="C119" s="544" t="s">
        <v>569</v>
      </c>
      <c r="D119" s="544" t="s">
        <v>153</v>
      </c>
    </row>
    <row r="120" spans="2:4" x14ac:dyDescent="0.3">
      <c r="B120" s="649" t="s">
        <v>1135</v>
      </c>
      <c r="C120" s="574" t="s">
        <v>582</v>
      </c>
      <c r="D120" s="544" t="s">
        <v>23</v>
      </c>
    </row>
    <row r="121" spans="2:4" x14ac:dyDescent="0.3">
      <c r="B121" s="649" t="s">
        <v>1136</v>
      </c>
      <c r="C121" s="544" t="s">
        <v>569</v>
      </c>
      <c r="D121" s="544" t="s">
        <v>153</v>
      </c>
    </row>
    <row r="122" spans="2:4" x14ac:dyDescent="0.3">
      <c r="B122" s="649" t="s">
        <v>1137</v>
      </c>
      <c r="C122" s="574" t="s">
        <v>582</v>
      </c>
      <c r="D122" s="544" t="s">
        <v>23</v>
      </c>
    </row>
    <row r="123" spans="2:4" x14ac:dyDescent="0.3">
      <c r="B123" s="649" t="s">
        <v>1138</v>
      </c>
      <c r="C123" s="544" t="s">
        <v>569</v>
      </c>
      <c r="D123" s="544" t="s">
        <v>153</v>
      </c>
    </row>
    <row r="124" spans="2:4" x14ac:dyDescent="0.3">
      <c r="B124" s="649" t="s">
        <v>1139</v>
      </c>
      <c r="C124" s="544" t="s">
        <v>569</v>
      </c>
      <c r="D124" s="544" t="s">
        <v>153</v>
      </c>
    </row>
    <row r="125" spans="2:4" x14ac:dyDescent="0.3">
      <c r="B125" s="649" t="s">
        <v>1140</v>
      </c>
      <c r="C125" s="544" t="s">
        <v>569</v>
      </c>
      <c r="D125" s="544" t="s">
        <v>153</v>
      </c>
    </row>
    <row r="126" spans="2:4" x14ac:dyDescent="0.3">
      <c r="B126" s="649" t="s">
        <v>1141</v>
      </c>
      <c r="C126" s="544" t="s">
        <v>569</v>
      </c>
      <c r="D126" s="544" t="s">
        <v>153</v>
      </c>
    </row>
    <row r="127" spans="2:4" x14ac:dyDescent="0.3">
      <c r="B127" s="649" t="s">
        <v>1142</v>
      </c>
      <c r="C127" s="544" t="s">
        <v>569</v>
      </c>
      <c r="D127" s="544" t="s">
        <v>153</v>
      </c>
    </row>
    <row r="128" spans="2:4" x14ac:dyDescent="0.3">
      <c r="B128" s="649" t="s">
        <v>573</v>
      </c>
      <c r="C128" s="544" t="s">
        <v>574</v>
      </c>
      <c r="D128" s="544" t="s">
        <v>375</v>
      </c>
    </row>
    <row r="129" spans="2:4" x14ac:dyDescent="0.3">
      <c r="B129" s="649" t="s">
        <v>1143</v>
      </c>
      <c r="C129" s="544" t="s">
        <v>582</v>
      </c>
      <c r="D129" s="544" t="s">
        <v>23</v>
      </c>
    </row>
    <row r="130" spans="2:4" x14ac:dyDescent="0.3">
      <c r="B130" s="649" t="s">
        <v>1144</v>
      </c>
      <c r="C130" s="544" t="s">
        <v>582</v>
      </c>
      <c r="D130" s="544" t="s">
        <v>23</v>
      </c>
    </row>
    <row r="131" spans="2:4" x14ac:dyDescent="0.3">
      <c r="B131" s="649" t="s">
        <v>1145</v>
      </c>
      <c r="C131" s="544" t="s">
        <v>582</v>
      </c>
      <c r="D131" s="544" t="s">
        <v>23</v>
      </c>
    </row>
    <row r="132" spans="2:4" x14ac:dyDescent="0.3">
      <c r="B132" s="649" t="s">
        <v>1146</v>
      </c>
      <c r="C132" s="544" t="s">
        <v>582</v>
      </c>
      <c r="D132" s="544" t="s">
        <v>23</v>
      </c>
    </row>
    <row r="133" spans="2:4" x14ac:dyDescent="0.3">
      <c r="B133" s="649" t="s">
        <v>1146</v>
      </c>
      <c r="C133" s="544" t="s">
        <v>582</v>
      </c>
      <c r="D133" s="544" t="s">
        <v>23</v>
      </c>
    </row>
    <row r="134" spans="2:4" x14ac:dyDescent="0.3">
      <c r="B134" s="649" t="s">
        <v>1146</v>
      </c>
      <c r="C134" s="544" t="s">
        <v>582</v>
      </c>
      <c r="D134" s="544" t="s">
        <v>23</v>
      </c>
    </row>
    <row r="135" spans="2:4" x14ac:dyDescent="0.3">
      <c r="B135" s="649" t="s">
        <v>1146</v>
      </c>
      <c r="C135" s="544" t="s">
        <v>582</v>
      </c>
      <c r="D135" s="544" t="s">
        <v>23</v>
      </c>
    </row>
    <row r="136" spans="2:4" x14ac:dyDescent="0.3">
      <c r="B136" s="649" t="s">
        <v>1146</v>
      </c>
      <c r="C136" s="544" t="s">
        <v>582</v>
      </c>
      <c r="D136" s="544" t="s">
        <v>23</v>
      </c>
    </row>
    <row r="137" spans="2:4" x14ac:dyDescent="0.3">
      <c r="B137" s="649" t="s">
        <v>1146</v>
      </c>
      <c r="C137" s="544" t="s">
        <v>582</v>
      </c>
      <c r="D137" s="544" t="s">
        <v>23</v>
      </c>
    </row>
    <row r="138" spans="2:4" x14ac:dyDescent="0.3">
      <c r="B138" s="649" t="s">
        <v>1147</v>
      </c>
      <c r="C138" s="544" t="s">
        <v>1148</v>
      </c>
      <c r="D138" s="544" t="s">
        <v>156</v>
      </c>
    </row>
    <row r="139" spans="2:4" x14ac:dyDescent="0.3">
      <c r="B139" s="649" t="s">
        <v>1149</v>
      </c>
      <c r="C139" s="544" t="s">
        <v>1148</v>
      </c>
      <c r="D139" s="544" t="s">
        <v>156</v>
      </c>
    </row>
    <row r="140" spans="2:4" x14ac:dyDescent="0.3">
      <c r="B140" s="649" t="s">
        <v>1150</v>
      </c>
      <c r="C140" s="544" t="s">
        <v>1148</v>
      </c>
      <c r="D140" s="544" t="s">
        <v>156</v>
      </c>
    </row>
    <row r="141" spans="2:4" x14ac:dyDescent="0.3">
      <c r="B141" s="649" t="s">
        <v>1151</v>
      </c>
      <c r="C141" s="544" t="s">
        <v>587</v>
      </c>
      <c r="D141" s="544" t="s">
        <v>397</v>
      </c>
    </row>
    <row r="142" spans="2:4" x14ac:dyDescent="0.3">
      <c r="B142" s="649" t="s">
        <v>1152</v>
      </c>
      <c r="C142" s="544" t="s">
        <v>395</v>
      </c>
      <c r="D142" s="544" t="s">
        <v>156</v>
      </c>
    </row>
    <row r="143" spans="2:4" x14ac:dyDescent="0.3">
      <c r="B143" s="649" t="s">
        <v>1153</v>
      </c>
      <c r="C143" s="544" t="s">
        <v>395</v>
      </c>
      <c r="D143" s="544" t="s">
        <v>156</v>
      </c>
    </row>
    <row r="144" spans="2:4" x14ac:dyDescent="0.3">
      <c r="B144" s="649" t="s">
        <v>1154</v>
      </c>
      <c r="C144" s="544" t="s">
        <v>449</v>
      </c>
      <c r="D144" s="544" t="s">
        <v>156</v>
      </c>
    </row>
    <row r="145" spans="2:4" x14ac:dyDescent="0.3">
      <c r="B145" s="649" t="s">
        <v>1155</v>
      </c>
      <c r="C145" s="574" t="s">
        <v>565</v>
      </c>
      <c r="D145" s="544" t="s">
        <v>156</v>
      </c>
    </row>
    <row r="146" spans="2:4" x14ac:dyDescent="0.3">
      <c r="B146" s="649" t="s">
        <v>615</v>
      </c>
      <c r="C146" s="544" t="s">
        <v>616</v>
      </c>
      <c r="D146" s="544" t="s">
        <v>156</v>
      </c>
    </row>
    <row r="147" spans="2:4" x14ac:dyDescent="0.3">
      <c r="B147" s="649" t="s">
        <v>1156</v>
      </c>
      <c r="C147" s="544" t="s">
        <v>595</v>
      </c>
      <c r="D147" s="544" t="s">
        <v>397</v>
      </c>
    </row>
    <row r="148" spans="2:4" x14ac:dyDescent="0.3">
      <c r="B148" s="649" t="s">
        <v>1157</v>
      </c>
      <c r="C148" s="544" t="s">
        <v>595</v>
      </c>
      <c r="D148" s="544" t="s">
        <v>397</v>
      </c>
    </row>
    <row r="149" spans="2:4" x14ac:dyDescent="0.3">
      <c r="B149" s="649" t="s">
        <v>1158</v>
      </c>
      <c r="C149" s="544" t="s">
        <v>600</v>
      </c>
      <c r="D149" s="544" t="s">
        <v>397</v>
      </c>
    </row>
    <row r="150" spans="2:4" x14ac:dyDescent="0.3">
      <c r="B150" s="649" t="s">
        <v>1159</v>
      </c>
      <c r="C150" s="544" t="s">
        <v>600</v>
      </c>
      <c r="D150" s="544" t="s">
        <v>397</v>
      </c>
    </row>
    <row r="151" spans="2:4" x14ac:dyDescent="0.3">
      <c r="B151" s="649" t="s">
        <v>1160</v>
      </c>
      <c r="C151" s="544" t="s">
        <v>600</v>
      </c>
      <c r="D151" s="544" t="s">
        <v>397</v>
      </c>
    </row>
    <row r="152" spans="2:4" x14ac:dyDescent="0.3">
      <c r="B152" s="649" t="s">
        <v>1161</v>
      </c>
      <c r="C152" s="544" t="s">
        <v>600</v>
      </c>
      <c r="D152" s="544" t="s">
        <v>397</v>
      </c>
    </row>
    <row r="153" spans="2:4" x14ac:dyDescent="0.3">
      <c r="B153" s="649" t="s">
        <v>1162</v>
      </c>
      <c r="C153" s="544" t="s">
        <v>636</v>
      </c>
      <c r="D153" s="544" t="s">
        <v>156</v>
      </c>
    </row>
    <row r="154" spans="2:4" x14ac:dyDescent="0.3"/>
    <row r="155" spans="2:4" x14ac:dyDescent="0.3"/>
    <row r="156" spans="2:4" x14ac:dyDescent="0.3"/>
    <row r="157" spans="2:4" x14ac:dyDescent="0.3"/>
    <row r="158" spans="2:4" x14ac:dyDescent="0.3">
      <c r="B158" s="307"/>
    </row>
    <row r="159" spans="2:4" x14ac:dyDescent="0.3">
      <c r="B159" s="307"/>
    </row>
    <row r="160" spans="2:4" x14ac:dyDescent="0.3">
      <c r="B160" s="307"/>
    </row>
    <row r="161" spans="2:2" x14ac:dyDescent="0.3">
      <c r="B161" s="307"/>
    </row>
    <row r="162" spans="2:2" x14ac:dyDescent="0.3">
      <c r="B162" s="307"/>
    </row>
    <row r="163" spans="2:2" x14ac:dyDescent="0.3">
      <c r="B163" s="307"/>
    </row>
    <row r="164" spans="2:2" hidden="1" x14ac:dyDescent="0.3">
      <c r="B164" s="307"/>
    </row>
    <row r="165" spans="2:2" hidden="1" x14ac:dyDescent="0.3">
      <c r="B165" s="307"/>
    </row>
    <row r="166" spans="2:2" hidden="1" x14ac:dyDescent="0.3">
      <c r="B166" s="307"/>
    </row>
    <row r="167" spans="2:2" hidden="1" x14ac:dyDescent="0.3">
      <c r="B167" s="307"/>
    </row>
    <row r="168" spans="2:2" hidden="1" x14ac:dyDescent="0.3">
      <c r="B168" s="307"/>
    </row>
    <row r="169" spans="2:2" hidden="1" x14ac:dyDescent="0.3">
      <c r="B169" s="307"/>
    </row>
    <row r="170" spans="2:2" hidden="1" x14ac:dyDescent="0.3">
      <c r="B170" s="307"/>
    </row>
    <row r="171" spans="2:2" hidden="1" x14ac:dyDescent="0.3">
      <c r="B171" s="307"/>
    </row>
    <row r="172" spans="2:2" hidden="1" x14ac:dyDescent="0.3">
      <c r="B172" s="307"/>
    </row>
    <row r="173" spans="2:2" hidden="1" x14ac:dyDescent="0.3">
      <c r="B173" s="307"/>
    </row>
    <row r="174" spans="2:2" hidden="1" x14ac:dyDescent="0.3">
      <c r="B174" s="307"/>
    </row>
    <row r="175" spans="2:2" hidden="1" x14ac:dyDescent="0.3">
      <c r="B175" s="307"/>
    </row>
    <row r="176" spans="2:2" hidden="1" x14ac:dyDescent="0.3">
      <c r="B176" s="307"/>
    </row>
    <row r="177" spans="2:2" hidden="1" x14ac:dyDescent="0.3">
      <c r="B177" s="307"/>
    </row>
    <row r="178" spans="2:2" hidden="1" x14ac:dyDescent="0.3">
      <c r="B178" s="307"/>
    </row>
    <row r="179" spans="2:2" hidden="1" x14ac:dyDescent="0.3">
      <c r="B179" s="307"/>
    </row>
    <row r="180" spans="2:2" hidden="1" x14ac:dyDescent="0.3">
      <c r="B180" s="307"/>
    </row>
    <row r="181" spans="2:2" hidden="1" x14ac:dyDescent="0.3">
      <c r="B181" s="307"/>
    </row>
    <row r="182" spans="2:2" hidden="1" x14ac:dyDescent="0.3">
      <c r="B182" s="307"/>
    </row>
    <row r="183" spans="2:2" hidden="1" x14ac:dyDescent="0.3">
      <c r="B183" s="307"/>
    </row>
    <row r="184" spans="2:2" hidden="1" x14ac:dyDescent="0.3">
      <c r="B184" s="307"/>
    </row>
    <row r="185" spans="2:2" hidden="1" x14ac:dyDescent="0.3">
      <c r="B185" s="307"/>
    </row>
    <row r="186" spans="2:2" hidden="1" x14ac:dyDescent="0.3">
      <c r="B186" s="307"/>
    </row>
    <row r="187" spans="2:2" hidden="1" x14ac:dyDescent="0.3">
      <c r="B187" s="307"/>
    </row>
    <row r="188" spans="2:2" hidden="1" x14ac:dyDescent="0.3">
      <c r="B188" s="307"/>
    </row>
    <row r="189" spans="2:2" hidden="1" x14ac:dyDescent="0.3">
      <c r="B189" s="307"/>
    </row>
    <row r="190" spans="2:2" hidden="1" x14ac:dyDescent="0.3">
      <c r="B190" s="307"/>
    </row>
    <row r="191" spans="2:2" hidden="1" x14ac:dyDescent="0.3">
      <c r="B191" s="307"/>
    </row>
    <row r="192" spans="2:2" hidden="1" x14ac:dyDescent="0.3">
      <c r="B192" s="307"/>
    </row>
    <row r="193" spans="2:2" hidden="1" x14ac:dyDescent="0.3">
      <c r="B193" s="307"/>
    </row>
    <row r="194" spans="2:2" hidden="1" x14ac:dyDescent="0.3">
      <c r="B194" s="307"/>
    </row>
    <row r="195" spans="2:2" hidden="1" x14ac:dyDescent="0.3">
      <c r="B195" s="307"/>
    </row>
    <row r="196" spans="2:2" hidden="1" x14ac:dyDescent="0.3">
      <c r="B196" s="307"/>
    </row>
    <row r="197" spans="2:2" hidden="1" x14ac:dyDescent="0.3">
      <c r="B197" s="307"/>
    </row>
    <row r="198" spans="2:2" hidden="1" x14ac:dyDescent="0.3">
      <c r="B198" s="307"/>
    </row>
    <row r="199" spans="2:2" hidden="1" x14ac:dyDescent="0.3">
      <c r="B199" s="307"/>
    </row>
    <row r="200" spans="2:2" hidden="1" x14ac:dyDescent="0.3">
      <c r="B200" s="307"/>
    </row>
    <row r="201" spans="2:2" hidden="1" x14ac:dyDescent="0.3">
      <c r="B201" s="307"/>
    </row>
    <row r="202" spans="2:2" hidden="1" x14ac:dyDescent="0.3">
      <c r="B202" s="307"/>
    </row>
    <row r="203" spans="2:2" hidden="1" x14ac:dyDescent="0.3">
      <c r="B203" s="307"/>
    </row>
    <row r="204" spans="2:2" hidden="1" x14ac:dyDescent="0.3">
      <c r="B204" s="307"/>
    </row>
    <row r="205" spans="2:2" hidden="1" x14ac:dyDescent="0.3">
      <c r="B205" s="307"/>
    </row>
    <row r="206" spans="2:2" hidden="1" x14ac:dyDescent="0.3">
      <c r="B206" s="307"/>
    </row>
    <row r="207" spans="2:2" hidden="1" x14ac:dyDescent="0.3">
      <c r="B207" s="307"/>
    </row>
    <row r="208" spans="2:2" hidden="1" x14ac:dyDescent="0.3">
      <c r="B208" s="307"/>
    </row>
    <row r="209" spans="2:2" hidden="1" x14ac:dyDescent="0.3">
      <c r="B209" s="307"/>
    </row>
    <row r="210" spans="2:2" hidden="1" x14ac:dyDescent="0.3">
      <c r="B210" s="307"/>
    </row>
    <row r="211" spans="2:2" hidden="1" x14ac:dyDescent="0.3">
      <c r="B211" s="308"/>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Normal="100" workbookViewId="0"/>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713"/>
      <c r="G1" s="713"/>
      <c r="H1" s="713"/>
      <c r="I1" s="713"/>
      <c r="J1" s="713"/>
      <c r="K1" s="714"/>
      <c r="L1" s="714"/>
      <c r="M1" s="714"/>
      <c r="N1" s="714"/>
      <c r="O1" s="714"/>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085"/>
      <c r="E10" s="1085"/>
      <c r="F10" s="1085"/>
      <c r="G10" s="1085"/>
      <c r="H10" s="1085"/>
      <c r="I10" s="1085"/>
      <c r="J10" s="1085"/>
      <c r="K10" s="1085"/>
      <c r="L10" s="1085"/>
      <c r="M10" s="1085"/>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aRrauwGLgfCUvc+lseJgfA0WfHeXXO66CzKgTlCxnjq5v/ebRG2PMqStJmcfMkKrPABUOhbpzA3IX0SOEUEC+w==" saltValue="xf7Gcg2dAxSf/nkshwMiP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09375" defaultRowHeight="14.4" x14ac:dyDescent="0.3"/>
  <cols>
    <col min="1" max="1" width="41.33203125" style="274" customWidth="1"/>
    <col min="2" max="2" width="56.44140625" style="274" bestFit="1" customWidth="1"/>
    <col min="3" max="3" width="9.109375" style="274"/>
    <col min="4" max="4" width="48.88671875" style="274" customWidth="1"/>
    <col min="5" max="16384" width="9.109375" style="274"/>
  </cols>
  <sheetData>
    <row r="1" spans="1:4" s="275" customFormat="1" x14ac:dyDescent="0.3">
      <c r="A1" s="309" t="s">
        <v>1163</v>
      </c>
      <c r="B1" s="310" t="s">
        <v>1164</v>
      </c>
      <c r="D1" s="279" t="s">
        <v>1165</v>
      </c>
    </row>
    <row r="2" spans="1:4" x14ac:dyDescent="0.3">
      <c r="A2" s="659" t="s">
        <v>1166</v>
      </c>
      <c r="B2" s="660" t="s">
        <v>1167</v>
      </c>
      <c r="D2" s="659" t="str">
        <f>'G-1 All Habitats'!B3</f>
        <v>Cropland - Arable field margins cultivated annually</v>
      </c>
    </row>
    <row r="3" spans="1:4" x14ac:dyDescent="0.3">
      <c r="A3" s="659" t="s">
        <v>1168</v>
      </c>
      <c r="B3" s="660" t="s">
        <v>1169</v>
      </c>
      <c r="D3" s="659" t="str">
        <f>'G-1 All Habitats'!B4</f>
        <v>Cropland - Arable field margins game bird mix</v>
      </c>
    </row>
    <row r="4" spans="1:4" x14ac:dyDescent="0.3">
      <c r="A4" s="659" t="s">
        <v>1170</v>
      </c>
      <c r="B4" s="660" t="s">
        <v>1171</v>
      </c>
      <c r="D4" s="659" t="str">
        <f>'G-1 All Habitats'!B5</f>
        <v>Cropland - Arable field margins pollen &amp; nectar</v>
      </c>
    </row>
    <row r="5" spans="1:4" x14ac:dyDescent="0.3">
      <c r="A5" s="659" t="s">
        <v>1172</v>
      </c>
      <c r="B5" s="660" t="s">
        <v>1173</v>
      </c>
      <c r="D5" s="659" t="str">
        <f>'G-1 All Habitats'!B6</f>
        <v>Cropland - Arable field margins tussocky</v>
      </c>
    </row>
    <row r="6" spans="1:4" x14ac:dyDescent="0.3">
      <c r="A6" s="659" t="s">
        <v>1174</v>
      </c>
      <c r="B6" s="660" t="s">
        <v>1175</v>
      </c>
      <c r="D6" s="659" t="str">
        <f>'G-1 All Habitats'!B7</f>
        <v>Cropland - Cereal crops</v>
      </c>
    </row>
    <row r="7" spans="1:4" x14ac:dyDescent="0.3">
      <c r="A7" s="659" t="s">
        <v>1176</v>
      </c>
      <c r="B7" s="660" t="s">
        <v>1177</v>
      </c>
      <c r="D7" s="659" t="e">
        <f>'G-1 All Habitats'!#REF!</f>
        <v>#REF!</v>
      </c>
    </row>
    <row r="8" spans="1:4" x14ac:dyDescent="0.3">
      <c r="A8" s="659" t="s">
        <v>1178</v>
      </c>
      <c r="B8" s="660" t="s">
        <v>1179</v>
      </c>
      <c r="D8" s="659" t="str">
        <f>'G-1 All Habitats'!B8</f>
        <v>Cropland - Cereal crops winter stubble</v>
      </c>
    </row>
    <row r="9" spans="1:4" x14ac:dyDescent="0.3">
      <c r="A9" s="659" t="s">
        <v>1180</v>
      </c>
      <c r="B9" s="660" t="s">
        <v>1181</v>
      </c>
      <c r="D9" s="659" t="str">
        <f>'G-1 All Habitats'!B9</f>
        <v>Cropland - Horticulture</v>
      </c>
    </row>
    <row r="10" spans="1:4" x14ac:dyDescent="0.3">
      <c r="A10" s="659" t="s">
        <v>1182</v>
      </c>
      <c r="B10" s="660" t="s">
        <v>1183</v>
      </c>
      <c r="D10" s="659" t="str">
        <f>'G-1 All Habitats'!B10</f>
        <v>Cropland - Intensive orchards</v>
      </c>
    </row>
    <row r="11" spans="1:4" x14ac:dyDescent="0.3">
      <c r="A11" s="659" t="s">
        <v>1184</v>
      </c>
      <c r="B11" s="660" t="s">
        <v>1185</v>
      </c>
      <c r="D11" s="659" t="str">
        <f>'G-1 All Habitats'!B11</f>
        <v>Cropland - Non-cereal crops</v>
      </c>
    </row>
    <row r="12" spans="1:4" x14ac:dyDescent="0.3">
      <c r="A12" s="659" t="s">
        <v>1186</v>
      </c>
      <c r="B12" s="660" t="s">
        <v>1187</v>
      </c>
      <c r="D12" s="659" t="str">
        <f>'G-1 All Habitats'!B12</f>
        <v>Cropland - Temporary grass and clover leys</v>
      </c>
    </row>
    <row r="13" spans="1:4" x14ac:dyDescent="0.3">
      <c r="A13" s="659" t="s">
        <v>1188</v>
      </c>
      <c r="B13" s="660" t="s">
        <v>1189</v>
      </c>
      <c r="D13" s="659" t="str">
        <f>'G-1 All Habitats'!B13</f>
        <v>Grassland - Traditional orchards</v>
      </c>
    </row>
    <row r="14" spans="1:4" x14ac:dyDescent="0.3">
      <c r="A14" s="659" t="s">
        <v>1190</v>
      </c>
      <c r="B14" s="660" t="s">
        <v>1191</v>
      </c>
      <c r="D14" s="659" t="str">
        <f>'G-1 All Habitats'!B14</f>
        <v>Grassland - Bracken</v>
      </c>
    </row>
    <row r="15" spans="1:4" x14ac:dyDescent="0.3">
      <c r="A15" s="659" t="s">
        <v>1192</v>
      </c>
      <c r="B15" s="660" t="s">
        <v>1193</v>
      </c>
      <c r="D15" s="659" t="str">
        <f>'G-1 All Habitats'!B15</f>
        <v>Grassland - Floodplain Wetland Mosaic (CFGM)</v>
      </c>
    </row>
    <row r="16" spans="1:4" x14ac:dyDescent="0.3">
      <c r="A16" s="659" t="s">
        <v>1194</v>
      </c>
      <c r="B16" s="660" t="s">
        <v>1195</v>
      </c>
      <c r="D16" s="659" t="str">
        <f>'G-1 All Habitats'!B16</f>
        <v>Grassland - Lowland calcareous grassland</v>
      </c>
    </row>
    <row r="17" spans="1:4" x14ac:dyDescent="0.3">
      <c r="A17" s="659" t="s">
        <v>1196</v>
      </c>
      <c r="D17" s="659" t="str">
        <f>'G-1 All Habitats'!B17</f>
        <v>Grassland - Lowland dry acid grassland</v>
      </c>
    </row>
    <row r="18" spans="1:4" x14ac:dyDescent="0.3">
      <c r="A18" s="659" t="s">
        <v>1197</v>
      </c>
      <c r="D18" s="659" t="str">
        <f>'G-1 All Habitats'!B18</f>
        <v>Grassland - Lowland meadows</v>
      </c>
    </row>
    <row r="19" spans="1:4" x14ac:dyDescent="0.3">
      <c r="A19" s="659" t="s">
        <v>1198</v>
      </c>
      <c r="D19" s="659" t="str">
        <f>'G-1 All Habitats'!B19</f>
        <v>Grassland - Modified grassland</v>
      </c>
    </row>
    <row r="20" spans="1:4" x14ac:dyDescent="0.3">
      <c r="A20" s="659" t="s">
        <v>1199</v>
      </c>
      <c r="D20" s="659" t="str">
        <f>'G-1 All Habitats'!B20</f>
        <v>Grassland - Other lowland acid grassland</v>
      </c>
    </row>
    <row r="21" spans="1:4" x14ac:dyDescent="0.3">
      <c r="A21" s="659" t="s">
        <v>1200</v>
      </c>
      <c r="D21" s="659" t="str">
        <f>'G-1 All Habitats'!B21</f>
        <v>Grassland - Other neutral grassland</v>
      </c>
    </row>
    <row r="22" spans="1:4" x14ac:dyDescent="0.3">
      <c r="A22" s="659" t="s">
        <v>1201</v>
      </c>
      <c r="D22" s="659" t="str">
        <f>'G-1 All Habitats'!B22</f>
        <v>Grassland - Tall herb communities (H6430)</v>
      </c>
    </row>
    <row r="23" spans="1:4" x14ac:dyDescent="0.3">
      <c r="A23" s="659" t="s">
        <v>1202</v>
      </c>
      <c r="D23" s="659" t="str">
        <f>'G-1 All Habitats'!B23</f>
        <v>Grassland - Upland acid grassland</v>
      </c>
    </row>
    <row r="24" spans="1:4" x14ac:dyDescent="0.3">
      <c r="A24" s="659" t="s">
        <v>1203</v>
      </c>
      <c r="D24" s="659" t="str">
        <f>'G-1 All Habitats'!B24</f>
        <v>Grassland - Upland calcareous grassland</v>
      </c>
    </row>
    <row r="25" spans="1:4" x14ac:dyDescent="0.3">
      <c r="A25" s="659" t="s">
        <v>1204</v>
      </c>
      <c r="D25" s="659" t="str">
        <f>'G-1 All Habitats'!B25</f>
        <v>Grassland - Upland hay meadows</v>
      </c>
    </row>
    <row r="26" spans="1:4" x14ac:dyDescent="0.3">
      <c r="A26" s="659" t="s">
        <v>1205</v>
      </c>
      <c r="D26" s="659" t="str">
        <f>'G-1 All Habitats'!B26</f>
        <v>Heathland and shrub - Blackthorn scrub</v>
      </c>
    </row>
    <row r="27" spans="1:4" x14ac:dyDescent="0.3">
      <c r="A27" s="659" t="s">
        <v>1206</v>
      </c>
      <c r="D27" s="659" t="str">
        <f>'G-1 All Habitats'!B27</f>
        <v>Heathland and shrub - Bramble scrub</v>
      </c>
    </row>
    <row r="28" spans="1:4" x14ac:dyDescent="0.3">
      <c r="A28" s="659" t="s">
        <v>1207</v>
      </c>
      <c r="D28" s="659" t="str">
        <f>'G-1 All Habitats'!B28</f>
        <v>Heathland and shrub - Gorse scrub</v>
      </c>
    </row>
    <row r="29" spans="1:4" x14ac:dyDescent="0.3">
      <c r="A29" s="659" t="s">
        <v>1208</v>
      </c>
      <c r="D29" s="659" t="str">
        <f>'G-1 All Habitats'!B29</f>
        <v>Heathland and shrub - Hawthorn scrub</v>
      </c>
    </row>
    <row r="30" spans="1:4" x14ac:dyDescent="0.3">
      <c r="A30" s="659" t="s">
        <v>1209</v>
      </c>
      <c r="D30" s="659" t="str">
        <f>'G-1 All Habitats'!B30</f>
        <v>Heathland and shrub - Hazel scrub</v>
      </c>
    </row>
    <row r="31" spans="1:4" x14ac:dyDescent="0.3">
      <c r="A31" s="659" t="s">
        <v>1210</v>
      </c>
      <c r="D31" s="659" t="str">
        <f>'G-1 All Habitats'!B31</f>
        <v>Heathland and shrub - Lowland Heathland</v>
      </c>
    </row>
    <row r="32" spans="1:4" x14ac:dyDescent="0.3">
      <c r="A32" s="659" t="s">
        <v>1211</v>
      </c>
      <c r="D32" s="659" t="str">
        <f>'G-1 All Habitats'!B32</f>
        <v>Heathland and shrub - Mixed scrub</v>
      </c>
    </row>
    <row r="33" spans="1:4" x14ac:dyDescent="0.3">
      <c r="A33" s="659" t="s">
        <v>1212</v>
      </c>
      <c r="D33" s="659" t="str">
        <f>'G-1 All Habitats'!B33</f>
        <v>Heathland and shrub - Mountain heaths and willow scrub</v>
      </c>
    </row>
    <row r="34" spans="1:4" x14ac:dyDescent="0.3">
      <c r="A34" s="659" t="s">
        <v>1213</v>
      </c>
      <c r="D34" s="659" t="str">
        <f>'G-1 All Habitats'!B34</f>
        <v>Heathland and shrub - Rhododendron scrub</v>
      </c>
    </row>
    <row r="35" spans="1:4" x14ac:dyDescent="0.3">
      <c r="A35" s="659" t="s">
        <v>1214</v>
      </c>
      <c r="D35" s="659" t="str">
        <f>'G-1 All Habitats'!B35</f>
        <v>Heathland and shrub - Sea buckthorn scrub (Annex 1)</v>
      </c>
    </row>
    <row r="36" spans="1:4" x14ac:dyDescent="0.3">
      <c r="A36" s="659" t="s">
        <v>1215</v>
      </c>
      <c r="D36" s="659" t="str">
        <f>'G-1 All Habitats'!B36</f>
        <v>Heathland and shrub - Sea buckthorn scrub (other)</v>
      </c>
    </row>
    <row r="37" spans="1:4" x14ac:dyDescent="0.3">
      <c r="A37" s="659" t="s">
        <v>1216</v>
      </c>
      <c r="D37" s="659" t="str">
        <f>'G-1 All Habitats'!B37</f>
        <v>Heathland and shrub - Upland Heathland</v>
      </c>
    </row>
    <row r="38" spans="1:4" x14ac:dyDescent="0.3">
      <c r="A38" s="659" t="s">
        <v>1217</v>
      </c>
      <c r="D38" s="659" t="str">
        <f>'G-1 All Habitats'!B38</f>
        <v>Lakes - Aquifer fed naturally fluctuating water bodies</v>
      </c>
    </row>
    <row r="39" spans="1:4" x14ac:dyDescent="0.3">
      <c r="A39" s="659" t="s">
        <v>1218</v>
      </c>
      <c r="D39" s="659" t="e">
        <f>'G-1 All Habitats'!#REF!</f>
        <v>#REF!</v>
      </c>
    </row>
    <row r="40" spans="1:4" x14ac:dyDescent="0.3">
      <c r="A40" s="659" t="s">
        <v>1219</v>
      </c>
      <c r="D40" s="659" t="str">
        <f>'G-1 All Habitats'!B40</f>
        <v>Lakes - High alkalinity lakes</v>
      </c>
    </row>
    <row r="41" spans="1:4" x14ac:dyDescent="0.3">
      <c r="A41" s="659" t="s">
        <v>1220</v>
      </c>
      <c r="D41" s="659" t="str">
        <f>'G-1 All Habitats'!B41</f>
        <v>Lakes - Low alkalinity lakes</v>
      </c>
    </row>
    <row r="42" spans="1:4" x14ac:dyDescent="0.3">
      <c r="A42" s="659" t="s">
        <v>1221</v>
      </c>
      <c r="D42" s="659" t="str">
        <f>'G-1 All Habitats'!B42</f>
        <v>Lakes - Marl Lakes</v>
      </c>
    </row>
    <row r="43" spans="1:4" x14ac:dyDescent="0.3">
      <c r="A43" s="659" t="s">
        <v>1222</v>
      </c>
      <c r="D43" s="659" t="str">
        <f>'G-1 All Habitats'!B43</f>
        <v>Lakes - Moderate alkalinity lakes</v>
      </c>
    </row>
    <row r="44" spans="1:4" x14ac:dyDescent="0.3">
      <c r="A44" s="659" t="s">
        <v>1223</v>
      </c>
      <c r="D44" s="659" t="str">
        <f>'G-1 All Habitats'!B44</f>
        <v>Lakes - Peat Lakes</v>
      </c>
    </row>
    <row r="45" spans="1:4" x14ac:dyDescent="0.3">
      <c r="A45" s="659" t="s">
        <v>1224</v>
      </c>
      <c r="D45" s="659" t="str">
        <f>'G-1 All Habitats'!B45</f>
        <v>Lakes - Ponds (Priority Habitat)</v>
      </c>
    </row>
    <row r="46" spans="1:4" x14ac:dyDescent="0.3">
      <c r="A46" s="659" t="s">
        <v>1225</v>
      </c>
      <c r="D46" s="659" t="str">
        <f>'G-1 All Habitats'!B46</f>
        <v>Lakes - Ponds (Non- Priority Habitat)</v>
      </c>
    </row>
    <row r="47" spans="1:4" x14ac:dyDescent="0.3">
      <c r="A47" s="659" t="s">
        <v>1226</v>
      </c>
      <c r="D47" s="659" t="str">
        <f>'G-1 All Habitats'!B47</f>
        <v>Lakes - Reservoirs</v>
      </c>
    </row>
    <row r="48" spans="1:4" x14ac:dyDescent="0.3">
      <c r="A48" s="659" t="s">
        <v>1227</v>
      </c>
      <c r="D48" s="659" t="str">
        <f>'G-1 All Habitats'!B48</f>
        <v>Lakes - Temporary lakes, ponds and pools</v>
      </c>
    </row>
    <row r="49" spans="1:4" x14ac:dyDescent="0.3">
      <c r="A49" s="659" t="s">
        <v>1228</v>
      </c>
      <c r="D49" s="659" t="str">
        <f>'G-1 All Habitats'!B49</f>
        <v>Sparsely vegetated land - Calaminarian grasslands</v>
      </c>
    </row>
    <row r="50" spans="1:4" x14ac:dyDescent="0.3">
      <c r="A50" s="659" t="s">
        <v>1229</v>
      </c>
      <c r="D50" s="659" t="str">
        <f>'G-1 All Habitats'!B50</f>
        <v>Sparsely vegetated land - Coastal sand dunes</v>
      </c>
    </row>
    <row r="51" spans="1:4" x14ac:dyDescent="0.3">
      <c r="A51" s="659" t="s">
        <v>1230</v>
      </c>
      <c r="D51" s="659" t="str">
        <f>'G-1 All Habitats'!B51</f>
        <v>Sparsely vegetated land - Coastal vegetated shingle</v>
      </c>
    </row>
    <row r="52" spans="1:4" x14ac:dyDescent="0.3">
      <c r="A52" s="659" t="s">
        <v>1231</v>
      </c>
      <c r="D52" s="659" t="str">
        <f>'G-1 All Habitats'!B52</f>
        <v>Sparsely vegetated land - Ruderal/Ephemeral</v>
      </c>
    </row>
    <row r="53" spans="1:4" x14ac:dyDescent="0.3">
      <c r="A53" s="659" t="s">
        <v>1232</v>
      </c>
      <c r="D53" s="659" t="str">
        <f>'G-1 All Habitats'!B53</f>
        <v>Sparsely vegetated land - Inland rock outcrop and scree habitats</v>
      </c>
    </row>
    <row r="54" spans="1:4" x14ac:dyDescent="0.3">
      <c r="A54" s="659" t="s">
        <v>1233</v>
      </c>
      <c r="D54" s="659" t="str">
        <f>'G-1 All Habitats'!B54</f>
        <v>Sparsely vegetated land - Limestone pavement</v>
      </c>
    </row>
    <row r="55" spans="1:4" x14ac:dyDescent="0.3">
      <c r="A55" s="659" t="s">
        <v>1234</v>
      </c>
      <c r="D55" s="659" t="str">
        <f>'G-1 All Habitats'!B55</f>
        <v>Sparsely vegetated land - Maritime cliff and slopes</v>
      </c>
    </row>
    <row r="56" spans="1:4" x14ac:dyDescent="0.3">
      <c r="A56" s="659" t="s">
        <v>1235</v>
      </c>
      <c r="D56" s="659" t="str">
        <f>'G-1 All Habitats'!B56</f>
        <v>Sparsely vegetated land - Other inland rock and scree</v>
      </c>
    </row>
    <row r="57" spans="1:4" x14ac:dyDescent="0.3">
      <c r="A57" s="659" t="s">
        <v>1236</v>
      </c>
      <c r="D57" s="659" t="str">
        <f>'G-1 All Habitats'!B57</f>
        <v>Urban - Allotments</v>
      </c>
    </row>
    <row r="58" spans="1:4" x14ac:dyDescent="0.3">
      <c r="A58" s="659" t="s">
        <v>1237</v>
      </c>
      <c r="D58" s="659" t="str">
        <f>'G-1 All Habitats'!B39</f>
        <v>Lakes - Ornamental lake or pond</v>
      </c>
    </row>
    <row r="59" spans="1:4" x14ac:dyDescent="0.3">
      <c r="A59" s="659" t="s">
        <v>1238</v>
      </c>
      <c r="D59" s="659" t="str">
        <f>'G-1 All Habitats'!B58</f>
        <v>Urban - Artificial unvegetated, unsealed surface</v>
      </c>
    </row>
    <row r="60" spans="1:4" x14ac:dyDescent="0.3">
      <c r="A60" s="659" t="s">
        <v>1239</v>
      </c>
      <c r="D60" s="659" t="str">
        <f>'G-1 All Habitats'!B59</f>
        <v>Urban - Bioswale</v>
      </c>
    </row>
    <row r="61" spans="1:4" x14ac:dyDescent="0.3">
      <c r="A61" s="659" t="s">
        <v>1240</v>
      </c>
      <c r="D61" s="659" t="str">
        <f>'G-1 All Habitats'!B60</f>
        <v>Urban - Intensive green roof</v>
      </c>
    </row>
    <row r="62" spans="1:4" x14ac:dyDescent="0.3">
      <c r="A62" s="659" t="s">
        <v>1241</v>
      </c>
      <c r="D62" s="659" t="str">
        <f>'G-1 All Habitats'!B61</f>
        <v>Urban - Built linear features</v>
      </c>
    </row>
    <row r="63" spans="1:4" x14ac:dyDescent="0.3">
      <c r="A63" s="659" t="s">
        <v>1242</v>
      </c>
      <c r="D63" s="659" t="str">
        <f>'G-1 All Habitats'!B62</f>
        <v>Urban - Cemeteries and churchyards</v>
      </c>
    </row>
    <row r="64" spans="1:4" x14ac:dyDescent="0.3">
      <c r="A64" s="659" t="s">
        <v>1243</v>
      </c>
      <c r="D64" s="659" t="str">
        <f>'G-1 All Habitats'!B63</f>
        <v>Urban - Developed land; sealed surface</v>
      </c>
    </row>
    <row r="65" spans="1:4" x14ac:dyDescent="0.3">
      <c r="A65" s="659" t="s">
        <v>1244</v>
      </c>
      <c r="D65" s="659" t="str">
        <f>'G-1 All Habitats'!B64</f>
        <v>Urban - Other green roof</v>
      </c>
    </row>
    <row r="66" spans="1:4" x14ac:dyDescent="0.3">
      <c r="A66" s="659" t="s">
        <v>1245</v>
      </c>
      <c r="D66" s="659" t="str">
        <f>'G-1 All Habitats'!B65</f>
        <v>Urban - Facade-bound green wall</v>
      </c>
    </row>
    <row r="67" spans="1:4" x14ac:dyDescent="0.3">
      <c r="A67" s="659" t="s">
        <v>1246</v>
      </c>
      <c r="D67" s="659" t="str">
        <f>'G-1 All Habitats'!B66</f>
        <v>Urban - Ground based green wall</v>
      </c>
    </row>
    <row r="68" spans="1:4" x14ac:dyDescent="0.3">
      <c r="A68" s="659" t="s">
        <v>1247</v>
      </c>
      <c r="D68" s="659" t="str">
        <f>'G-1 All Habitats'!B67</f>
        <v>Urban - Ground level planters</v>
      </c>
    </row>
    <row r="69" spans="1:4" x14ac:dyDescent="0.3">
      <c r="A69" s="659" t="s">
        <v>1248</v>
      </c>
      <c r="D69" s="659" t="str">
        <f>'G-1 All Habitats'!B68</f>
        <v>Urban - Biodiverse green roof</v>
      </c>
    </row>
    <row r="70" spans="1:4" x14ac:dyDescent="0.3">
      <c r="A70" s="659" t="s">
        <v>1249</v>
      </c>
      <c r="D70" s="659" t="str">
        <f>'G-1 All Habitats'!B69</f>
        <v>Urban - Introduced shrub</v>
      </c>
    </row>
    <row r="71" spans="1:4" x14ac:dyDescent="0.3">
      <c r="A71" s="659" t="s">
        <v>1250</v>
      </c>
      <c r="D71" s="659" t="e">
        <f>'G-1 All Habitats'!#REF!</f>
        <v>#REF!</v>
      </c>
    </row>
    <row r="72" spans="1:4" x14ac:dyDescent="0.3">
      <c r="A72" s="659" t="s">
        <v>1251</v>
      </c>
      <c r="D72" s="659" t="str">
        <f>'G-1 All Habitats'!B70</f>
        <v>Urban - Open Mosaic Habitats on Previously Developed Land</v>
      </c>
    </row>
    <row r="73" spans="1:4" x14ac:dyDescent="0.3">
      <c r="A73" s="659" t="s">
        <v>1252</v>
      </c>
      <c r="D73" s="659" t="e">
        <f>'G-1 All Habitats'!#REF!</f>
        <v>#REF!</v>
      </c>
    </row>
    <row r="74" spans="1:4" x14ac:dyDescent="0.3">
      <c r="A74" s="659" t="s">
        <v>1253</v>
      </c>
      <c r="D74" s="659" t="str">
        <f>'G-1 All Habitats'!B71</f>
        <v>Urban - Rain garden</v>
      </c>
    </row>
    <row r="75" spans="1:4" x14ac:dyDescent="0.3">
      <c r="A75" s="659" t="s">
        <v>1254</v>
      </c>
      <c r="D75" s="659" t="str">
        <f>'G-1 All Habitats'!B72</f>
        <v>Urban - Actively worked sand pit quarry or open cast mine</v>
      </c>
    </row>
    <row r="76" spans="1:4" x14ac:dyDescent="0.3">
      <c r="A76" s="659" t="s">
        <v>1255</v>
      </c>
      <c r="D76" s="659" t="str">
        <f>'G-1 All Habitats'!B73</f>
        <v>Urban - Urban Tree</v>
      </c>
    </row>
    <row r="77" spans="1:4" x14ac:dyDescent="0.3">
      <c r="A77" s="659" t="s">
        <v>1256</v>
      </c>
      <c r="D77" s="659" t="e">
        <f>'G-1 All Habitats'!#REF!</f>
        <v>#REF!</v>
      </c>
    </row>
    <row r="78" spans="1:4" x14ac:dyDescent="0.3">
      <c r="A78" s="659" t="s">
        <v>1257</v>
      </c>
      <c r="D78" s="659" t="str">
        <f>'G-1 All Habitats'!B74</f>
        <v>Urban - Sustainable urban drainage feature</v>
      </c>
    </row>
    <row r="79" spans="1:4" x14ac:dyDescent="0.3">
      <c r="A79" s="659" t="s">
        <v>1258</v>
      </c>
      <c r="D79" s="659" t="str">
        <f>'G-1 All Habitats'!B75</f>
        <v>Urban - Un-vegetated garden</v>
      </c>
    </row>
    <row r="80" spans="1:4" x14ac:dyDescent="0.3">
      <c r="A80" s="659" t="s">
        <v>1259</v>
      </c>
      <c r="D80" s="659" t="str">
        <f>'G-1 All Habitats'!B76</f>
        <v>Urban - Vacant/derelict land/ bareground</v>
      </c>
    </row>
    <row r="81" spans="1:4" x14ac:dyDescent="0.3">
      <c r="A81" s="659" t="s">
        <v>1260</v>
      </c>
      <c r="D81" s="659" t="str">
        <f>'G-1 All Habitats'!B77</f>
        <v>Urban - Vegetated garden</v>
      </c>
    </row>
    <row r="82" spans="1:4" x14ac:dyDescent="0.3">
      <c r="A82" s="659" t="s">
        <v>1261</v>
      </c>
      <c r="D82" s="659" t="e">
        <f>'G-1 All Habitats'!#REF!</f>
        <v>#REF!</v>
      </c>
    </row>
    <row r="83" spans="1:4" x14ac:dyDescent="0.3">
      <c r="A83" s="659" t="s">
        <v>1262</v>
      </c>
      <c r="D83" s="659" t="str">
        <f>'G-1 All Habitats'!B78</f>
        <v>Wetland - Blanket bog</v>
      </c>
    </row>
    <row r="84" spans="1:4" x14ac:dyDescent="0.3">
      <c r="A84" s="659" t="s">
        <v>1263</v>
      </c>
      <c r="D84" s="659" t="str">
        <f>'G-1 All Habitats'!B79</f>
        <v>Wetland - Depressions on Peat substrates (H7150)</v>
      </c>
    </row>
    <row r="85" spans="1:4" x14ac:dyDescent="0.3">
      <c r="A85" s="659" t="s">
        <v>1264</v>
      </c>
      <c r="D85" s="659" t="str">
        <f>'G-1 All Habitats'!B80</f>
        <v>Wetland - Fens (upland and lowland)</v>
      </c>
    </row>
    <row r="86" spans="1:4" x14ac:dyDescent="0.3">
      <c r="A86" s="659" t="s">
        <v>1265</v>
      </c>
      <c r="D86" s="659" t="str">
        <f>'G-1 All Habitats'!B81</f>
        <v>Wetland - Lowland raised bog</v>
      </c>
    </row>
    <row r="87" spans="1:4" x14ac:dyDescent="0.3">
      <c r="A87" s="659" t="s">
        <v>1266</v>
      </c>
      <c r="D87" s="659" t="str">
        <f>'G-1 All Habitats'!B82</f>
        <v>Wetland - Oceanic Valley Mire[1] (D2.1)</v>
      </c>
    </row>
    <row r="88" spans="1:4" x14ac:dyDescent="0.3">
      <c r="A88" s="659" t="s">
        <v>1267</v>
      </c>
      <c r="D88" s="659" t="str">
        <f>'G-1 All Habitats'!B83</f>
        <v>Wetland - Purple moor grass and rush pastures</v>
      </c>
    </row>
    <row r="89" spans="1:4" x14ac:dyDescent="0.3">
      <c r="A89" s="659" t="s">
        <v>1268</v>
      </c>
      <c r="D89" s="659" t="str">
        <f>'G-1 All Habitats'!B84</f>
        <v>Wetland - Reedbeds</v>
      </c>
    </row>
    <row r="90" spans="1:4" x14ac:dyDescent="0.3">
      <c r="A90" s="659" t="s">
        <v>1269</v>
      </c>
      <c r="D90" s="659" t="str">
        <f>'G-1 All Habitats'!B85</f>
        <v>Wetland - Transition mires and quaking bogs (H7140)</v>
      </c>
    </row>
    <row r="91" spans="1:4" x14ac:dyDescent="0.3">
      <c r="A91" s="659" t="s">
        <v>1270</v>
      </c>
      <c r="D91" s="659" t="str">
        <f>'G-1 All Habitats'!B86</f>
        <v>Woodland and forest - Felled</v>
      </c>
    </row>
    <row r="92" spans="1:4" x14ac:dyDescent="0.3">
      <c r="A92" s="659" t="s">
        <v>1271</v>
      </c>
      <c r="D92" s="659" t="str">
        <f>'G-1 All Habitats'!B87</f>
        <v>Woodland and forest - Lowland beech and yew woodland</v>
      </c>
    </row>
    <row r="93" spans="1:4" x14ac:dyDescent="0.3">
      <c r="A93" s="659" t="s">
        <v>1272</v>
      </c>
      <c r="D93" s="659" t="str">
        <f>'G-1 All Habitats'!B88</f>
        <v>Woodland and forest - Lowland mixed deciduous woodland</v>
      </c>
    </row>
    <row r="94" spans="1:4" x14ac:dyDescent="0.3">
      <c r="A94" s="659" t="s">
        <v>1273</v>
      </c>
      <c r="D94" s="659" t="str">
        <f>'G-1 All Habitats'!B89</f>
        <v>Woodland and forest - Native pine woodlands</v>
      </c>
    </row>
    <row r="95" spans="1:4" x14ac:dyDescent="0.3">
      <c r="A95" s="659" t="s">
        <v>1274</v>
      </c>
      <c r="D95" s="659" t="str">
        <f>'G-1 All Habitats'!B90</f>
        <v>Woodland and forest - Other coniferous woodland</v>
      </c>
    </row>
    <row r="96" spans="1:4" x14ac:dyDescent="0.3">
      <c r="A96" s="659" t="s">
        <v>1275</v>
      </c>
      <c r="D96" s="659" t="str">
        <f>'G-1 All Habitats'!B91</f>
        <v>Woodland and forest - Other Scot's Pine woodland</v>
      </c>
    </row>
    <row r="97" spans="1:4" x14ac:dyDescent="0.3">
      <c r="A97" s="659" t="s">
        <v>1276</v>
      </c>
      <c r="D97" s="659" t="str">
        <f>'G-1 All Habitats'!B92</f>
        <v>Woodland and forest - Other woodland; broadleaved</v>
      </c>
    </row>
    <row r="98" spans="1:4" x14ac:dyDescent="0.3">
      <c r="A98" s="659" t="s">
        <v>1277</v>
      </c>
      <c r="D98" s="659" t="str">
        <f>'G-1 All Habitats'!B93</f>
        <v>Woodland and forest - Other woodland; mixed</v>
      </c>
    </row>
    <row r="99" spans="1:4" x14ac:dyDescent="0.3">
      <c r="A99" s="659" t="s">
        <v>1278</v>
      </c>
      <c r="D99" s="659" t="e">
        <f>'G-1 All Habitats'!#REF!</f>
        <v>#REF!</v>
      </c>
    </row>
    <row r="100" spans="1:4" x14ac:dyDescent="0.3">
      <c r="A100" s="659" t="s">
        <v>1279</v>
      </c>
      <c r="D100" s="659" t="str">
        <f>'G-1 All Habitats'!B94</f>
        <v>Woodland and forest - Upland birchwoods</v>
      </c>
    </row>
    <row r="101" spans="1:4" x14ac:dyDescent="0.3">
      <c r="A101" s="659" t="s">
        <v>1280</v>
      </c>
      <c r="D101" s="659" t="str">
        <f>'G-1 All Habitats'!B95</f>
        <v>Woodland and forest - Upland mixed ashwoods</v>
      </c>
    </row>
    <row r="102" spans="1:4" x14ac:dyDescent="0.3">
      <c r="A102" s="659" t="s">
        <v>1281</v>
      </c>
      <c r="D102" s="659" t="str">
        <f>'G-1 All Habitats'!B96</f>
        <v>Woodland and forest - Upland oakwood</v>
      </c>
    </row>
    <row r="103" spans="1:4" x14ac:dyDescent="0.3">
      <c r="A103" s="659" t="s">
        <v>1282</v>
      </c>
      <c r="D103" s="659" t="str">
        <f>'G-1 All Habitats'!B97</f>
        <v>Woodland and forest - Wet woodland</v>
      </c>
    </row>
    <row r="104" spans="1:4" x14ac:dyDescent="0.3">
      <c r="A104" s="659" t="s">
        <v>1283</v>
      </c>
      <c r="D104" s="659" t="str">
        <f>'G-1 All Habitats'!B98</f>
        <v>Woodland and forest - Wood-pasture and parkland</v>
      </c>
    </row>
    <row r="105" spans="1:4" x14ac:dyDescent="0.3">
      <c r="A105" s="659" t="s">
        <v>1284</v>
      </c>
      <c r="D105" s="659" t="str">
        <f>'G-1 All Habitats'!B99</f>
        <v>Coastal lagoons - Coastal lagoons</v>
      </c>
    </row>
    <row r="106" spans="1:4" x14ac:dyDescent="0.3">
      <c r="A106" s="659" t="s">
        <v>1285</v>
      </c>
      <c r="D106" s="659" t="str">
        <f>'G-1 All Habitats'!B100</f>
        <v>Rocky shore - High energy littoral rock</v>
      </c>
    </row>
    <row r="107" spans="1:4" x14ac:dyDescent="0.3">
      <c r="A107" s="659" t="s">
        <v>1286</v>
      </c>
      <c r="D107" s="659" t="str">
        <f>'G-1 All Habitats'!B101</f>
        <v>Rocky shore - High energy littoral rock - on peat, clay or chalk</v>
      </c>
    </row>
    <row r="108" spans="1:4" x14ac:dyDescent="0.3">
      <c r="A108" s="659" t="s">
        <v>1287</v>
      </c>
      <c r="D108" s="659" t="str">
        <f>'G-1 All Habitats'!B102</f>
        <v>Rocky shore - Moderate energy littoral rock</v>
      </c>
    </row>
    <row r="109" spans="1:4" x14ac:dyDescent="0.3">
      <c r="A109" s="659" t="s">
        <v>1288</v>
      </c>
      <c r="D109" s="659" t="str">
        <f>'G-1 All Habitats'!B103</f>
        <v>Rocky shore - Moderate energy littoral rock - on peat, clay or chalk</v>
      </c>
    </row>
    <row r="110" spans="1:4" x14ac:dyDescent="0.3">
      <c r="A110" s="659" t="s">
        <v>1289</v>
      </c>
      <c r="D110" s="659" t="str">
        <f>'G-1 All Habitats'!B104</f>
        <v>Rocky shore - Low energy littoral rock</v>
      </c>
    </row>
    <row r="111" spans="1:4" x14ac:dyDescent="0.3">
      <c r="A111" s="659" t="s">
        <v>1290</v>
      </c>
      <c r="D111" s="659" t="str">
        <f>'G-1 All Habitats'!B105</f>
        <v>Rocky shore - Low energy littoral rock - on peat, clay or chalk</v>
      </c>
    </row>
    <row r="112" spans="1:4" x14ac:dyDescent="0.3">
      <c r="A112" s="659" t="s">
        <v>1291</v>
      </c>
      <c r="D112" s="659" t="str">
        <f>'G-1 All Habitats'!B106</f>
        <v>Rocky shore - Features of littoral rock</v>
      </c>
    </row>
    <row r="113" spans="1:4" x14ac:dyDescent="0.3">
      <c r="A113" s="659" t="s">
        <v>1292</v>
      </c>
      <c r="D113" s="659" t="str">
        <f>'G-1 All Habitats'!B107</f>
        <v>Rocky shore - Features of littoral rock - on peat, clay or chalk</v>
      </c>
    </row>
    <row r="114" spans="1:4" x14ac:dyDescent="0.3">
      <c r="A114" s="659" t="s">
        <v>1293</v>
      </c>
      <c r="D114" s="659" t="e">
        <f>'G-1 All Habitats'!#REF!</f>
        <v>#REF!</v>
      </c>
    </row>
    <row r="115" spans="1:4" x14ac:dyDescent="0.3">
      <c r="A115" s="659" t="s">
        <v>1294</v>
      </c>
      <c r="D115" s="659" t="e">
        <f>'G-1 All Habitats'!#REF!</f>
        <v>#REF!</v>
      </c>
    </row>
    <row r="116" spans="1:4" x14ac:dyDescent="0.3">
      <c r="A116" s="659" t="s">
        <v>1295</v>
      </c>
      <c r="D116" s="659" t="e">
        <f>'G-1 All Habitats'!#REF!</f>
        <v>#REF!</v>
      </c>
    </row>
    <row r="117" spans="1:4" x14ac:dyDescent="0.3">
      <c r="A117" s="659" t="s">
        <v>1296</v>
      </c>
      <c r="D117" s="659" t="e">
        <f>'G-1 All Habitats'!#REF!</f>
        <v>#REF!</v>
      </c>
    </row>
    <row r="118" spans="1:4" x14ac:dyDescent="0.3">
      <c r="A118" s="659" t="s">
        <v>1297</v>
      </c>
      <c r="D118" s="659" t="str">
        <f>'G-1 All Habitats'!B110</f>
        <v>Intertidal sediment - Littoral coarse sediment</v>
      </c>
    </row>
    <row r="119" spans="1:4" x14ac:dyDescent="0.3">
      <c r="A119" s="659" t="s">
        <v>1298</v>
      </c>
      <c r="D119" s="659" t="e">
        <f>'G-1 All Habitats'!#REF!</f>
        <v>#REF!</v>
      </c>
    </row>
    <row r="120" spans="1:4" x14ac:dyDescent="0.3">
      <c r="A120" s="659" t="s">
        <v>1299</v>
      </c>
      <c r="D120" s="659" t="str">
        <f>'G-1 All Habitats'!B111</f>
        <v>Intertidal sediment - Littoral mud</v>
      </c>
    </row>
    <row r="121" spans="1:4" x14ac:dyDescent="0.3">
      <c r="A121" s="659" t="s">
        <v>1300</v>
      </c>
      <c r="D121" s="659" t="str">
        <f>'G-1 All Habitats'!B112</f>
        <v>Intertidal sediment - Littoral mixed sediments</v>
      </c>
    </row>
    <row r="122" spans="1:4" x14ac:dyDescent="0.3">
      <c r="A122" s="659" t="s">
        <v>1301</v>
      </c>
      <c r="D122" s="659" t="str">
        <f>'G-1 All Habitats'!B108</f>
        <v>Coastal saltmarsh - Saltmarshes and saline reedbeds</v>
      </c>
    </row>
    <row r="123" spans="1:4" x14ac:dyDescent="0.3">
      <c r="A123" s="659" t="s">
        <v>1302</v>
      </c>
      <c r="D123" s="659" t="str">
        <f>'G-1 All Habitats'!B113</f>
        <v>Intertidal sediment - Littoral seagrass</v>
      </c>
    </row>
    <row r="124" spans="1:4" x14ac:dyDescent="0.3">
      <c r="A124" s="659" t="s">
        <v>1303</v>
      </c>
      <c r="D124" s="659" t="str">
        <f>'G-1 All Habitats'!B114</f>
        <v>Intertidal sediment - Littoral seagrass on peat, clay or chalk</v>
      </c>
    </row>
    <row r="125" spans="1:4" x14ac:dyDescent="0.3">
      <c r="A125" s="659" t="s">
        <v>1304</v>
      </c>
      <c r="D125" s="659" t="str">
        <f>'G-1 All Habitats'!B116</f>
        <v>Intertidal sediment - Littoral biogenic reefs - Sabellaria</v>
      </c>
    </row>
    <row r="126" spans="1:4" x14ac:dyDescent="0.3">
      <c r="A126" s="659" t="s">
        <v>1305</v>
      </c>
      <c r="D126" s="659" t="e">
        <f>'G-1 All Habitats'!#REF!</f>
        <v>#REF!</v>
      </c>
    </row>
    <row r="127" spans="1:4" x14ac:dyDescent="0.3">
      <c r="A127" s="659" t="s">
        <v>1306</v>
      </c>
      <c r="D127" s="659" t="str">
        <f>'G-1 All Habitats'!B117</f>
        <v>Intertidal sediment - Features of littoral sediment</v>
      </c>
    </row>
    <row r="128" spans="1:4" x14ac:dyDescent="0.3">
      <c r="A128" s="659" t="s">
        <v>1307</v>
      </c>
      <c r="D128" s="659" t="str">
        <f>'G-1 All Habitats'!B118</f>
        <v>Intertidal sediment - Artificial littoral coarse sediment</v>
      </c>
    </row>
    <row r="129" spans="1:4" x14ac:dyDescent="0.3">
      <c r="A129" s="659" t="s">
        <v>1308</v>
      </c>
      <c r="D129" s="659" t="e">
        <f>'G-1 All Habitats'!#REF!</f>
        <v>#REF!</v>
      </c>
    </row>
    <row r="130" spans="1:4" x14ac:dyDescent="0.3">
      <c r="A130" s="659" t="s">
        <v>1309</v>
      </c>
      <c r="D130" s="659" t="str">
        <f>'G-1 All Habitats'!B121</f>
        <v>Intertidal sediment - Artificial littoral muddy sand</v>
      </c>
    </row>
    <row r="131" spans="1:4" x14ac:dyDescent="0.3">
      <c r="A131" s="659" t="s">
        <v>1310</v>
      </c>
      <c r="D131" s="659" t="str">
        <f>'G-1 All Habitats'!B122</f>
        <v>Intertidal sediment - Artificial littoral mixed sediments</v>
      </c>
    </row>
    <row r="132" spans="1:4" x14ac:dyDescent="0.3">
      <c r="A132" s="659" t="s">
        <v>1311</v>
      </c>
      <c r="D132" s="659" t="str">
        <f>'G-1 All Habitats'!B123</f>
        <v>Intertidal sediment - Artificial littoral seagrass</v>
      </c>
    </row>
    <row r="133" spans="1:4" x14ac:dyDescent="0.3">
      <c r="A133" s="659" t="s">
        <v>1312</v>
      </c>
      <c r="D133" s="659" t="str">
        <f>'G-1 All Habitats'!B124</f>
        <v>Intertidal sediment - Artificial littoral biogenic reefs</v>
      </c>
    </row>
    <row r="134" spans="1:4" x14ac:dyDescent="0.3">
      <c r="A134" s="659" t="s">
        <v>1313</v>
      </c>
      <c r="D134" s="659" t="e">
        <f>'G-1 All Habitats'!#REF!</f>
        <v>#REF!</v>
      </c>
    </row>
    <row r="135" spans="1:4" x14ac:dyDescent="0.3">
      <c r="A135" s="659" t="s">
        <v>1314</v>
      </c>
      <c r="D135" s="659" t="e">
        <f>'G-1 All Habitats'!#REF!</f>
        <v>#REF!</v>
      </c>
    </row>
    <row r="136" spans="1:4" x14ac:dyDescent="0.3">
      <c r="A136" s="659" t="s">
        <v>1315</v>
      </c>
      <c r="D136" s="659">
        <f>'G-1 All Habitats'!B130</f>
        <v>0</v>
      </c>
    </row>
    <row r="137" spans="1:4" x14ac:dyDescent="0.3">
      <c r="A137" s="659" t="s">
        <v>1316</v>
      </c>
      <c r="D137" s="659">
        <f>'G-1 All Habitats'!B131</f>
        <v>0</v>
      </c>
    </row>
    <row r="138" spans="1:4" x14ac:dyDescent="0.3">
      <c r="A138" s="659" t="s">
        <v>1317</v>
      </c>
      <c r="D138" s="659">
        <f>'G-1 All Habitats'!B132</f>
        <v>0</v>
      </c>
    </row>
    <row r="139" spans="1:4" x14ac:dyDescent="0.3">
      <c r="A139" s="659" t="s">
        <v>1318</v>
      </c>
      <c r="D139" s="659">
        <f>'G-1 All Habitats'!B133</f>
        <v>0</v>
      </c>
    </row>
    <row r="140" spans="1:4" x14ac:dyDescent="0.3">
      <c r="A140" s="659" t="s">
        <v>1319</v>
      </c>
      <c r="D140" s="659">
        <f>'G-1 All Habitats'!B134</f>
        <v>0</v>
      </c>
    </row>
    <row r="141" spans="1:4" x14ac:dyDescent="0.3">
      <c r="A141" s="659" t="s">
        <v>1320</v>
      </c>
      <c r="D141" s="659">
        <f>'G-1 All Habitats'!B135</f>
        <v>0</v>
      </c>
    </row>
    <row r="142" spans="1:4" x14ac:dyDescent="0.3">
      <c r="A142" s="659" t="s">
        <v>1321</v>
      </c>
      <c r="D142" s="659">
        <f>'G-1 All Habitats'!B136</f>
        <v>0</v>
      </c>
    </row>
    <row r="143" spans="1:4" x14ac:dyDescent="0.3">
      <c r="A143" s="659" t="s">
        <v>1322</v>
      </c>
      <c r="D143" s="659">
        <f>'G-1 All Habitats'!B137</f>
        <v>0</v>
      </c>
    </row>
    <row r="144" spans="1:4" x14ac:dyDescent="0.3">
      <c r="A144" s="659" t="s">
        <v>1323</v>
      </c>
      <c r="D144" s="659">
        <f>'G-1 All Habitats'!B138</f>
        <v>0</v>
      </c>
    </row>
    <row r="145" spans="1:4" x14ac:dyDescent="0.3">
      <c r="A145" s="659" t="s">
        <v>1324</v>
      </c>
      <c r="D145" s="659">
        <f>'G-1 All Habitats'!B139</f>
        <v>0</v>
      </c>
    </row>
    <row r="146" spans="1:4" x14ac:dyDescent="0.3">
      <c r="A146" s="659" t="s">
        <v>1325</v>
      </c>
      <c r="D146" s="659">
        <f>'G-1 All Habitats'!B140</f>
        <v>0</v>
      </c>
    </row>
    <row r="147" spans="1:4" x14ac:dyDescent="0.3">
      <c r="A147" s="659" t="s">
        <v>1326</v>
      </c>
      <c r="D147" s="659">
        <f>'G-1 All Habitats'!B141</f>
        <v>0</v>
      </c>
    </row>
    <row r="148" spans="1:4" x14ac:dyDescent="0.3">
      <c r="A148" s="659" t="s">
        <v>1327</v>
      </c>
      <c r="D148" s="659">
        <f>'G-1 All Habitats'!B142</f>
        <v>0</v>
      </c>
    </row>
    <row r="149" spans="1:4" x14ac:dyDescent="0.3">
      <c r="A149" s="659" t="s">
        <v>1328</v>
      </c>
      <c r="D149" s="659">
        <f>'G-1 All Habitats'!B143</f>
        <v>0</v>
      </c>
    </row>
    <row r="150" spans="1:4" x14ac:dyDescent="0.3">
      <c r="A150" s="659" t="s">
        <v>1329</v>
      </c>
      <c r="D150" s="659">
        <f>'G-1 All Habitats'!B144</f>
        <v>0</v>
      </c>
    </row>
    <row r="151" spans="1:4" x14ac:dyDescent="0.3">
      <c r="A151" s="659" t="s">
        <v>1330</v>
      </c>
      <c r="D151" s="659">
        <f>'G-1 All Habitats'!B145</f>
        <v>0</v>
      </c>
    </row>
    <row r="152" spans="1:4" x14ac:dyDescent="0.3">
      <c r="A152" s="659" t="s">
        <v>1331</v>
      </c>
      <c r="D152" s="659">
        <f>'G-1 All Habitats'!B146</f>
        <v>0</v>
      </c>
    </row>
    <row r="153" spans="1:4" x14ac:dyDescent="0.3">
      <c r="A153" s="659" t="s">
        <v>1332</v>
      </c>
      <c r="D153" s="659">
        <f>'G-1 All Habitats'!B147</f>
        <v>0</v>
      </c>
    </row>
    <row r="154" spans="1:4" x14ac:dyDescent="0.3">
      <c r="A154" s="659" t="s">
        <v>1333</v>
      </c>
      <c r="D154" s="659">
        <f>'G-1 All Habitats'!B148</f>
        <v>0</v>
      </c>
    </row>
    <row r="155" spans="1:4" x14ac:dyDescent="0.3">
      <c r="A155" s="659" t="s">
        <v>1334</v>
      </c>
      <c r="D155" s="659">
        <f>'G-1 All Habitats'!B149</f>
        <v>0</v>
      </c>
    </row>
    <row r="156" spans="1:4" x14ac:dyDescent="0.3">
      <c r="A156" s="659" t="s">
        <v>1335</v>
      </c>
      <c r="D156" s="659">
        <f>'G-1 All Habitats'!B150</f>
        <v>0</v>
      </c>
    </row>
    <row r="157" spans="1:4" x14ac:dyDescent="0.3">
      <c r="A157" s="659" t="s">
        <v>1336</v>
      </c>
    </row>
    <row r="158" spans="1:4" x14ac:dyDescent="0.3">
      <c r="A158" s="659" t="s">
        <v>1337</v>
      </c>
    </row>
    <row r="159" spans="1:4" x14ac:dyDescent="0.3">
      <c r="A159" s="659" t="s">
        <v>1338</v>
      </c>
    </row>
    <row r="160" spans="1:4" x14ac:dyDescent="0.3">
      <c r="A160" s="659" t="s">
        <v>1339</v>
      </c>
    </row>
    <row r="161" spans="1:1" x14ac:dyDescent="0.3">
      <c r="A161" s="659" t="s">
        <v>1340</v>
      </c>
    </row>
    <row r="162" spans="1:1" x14ac:dyDescent="0.3">
      <c r="A162" s="659" t="s">
        <v>1341</v>
      </c>
    </row>
    <row r="163" spans="1:1" x14ac:dyDescent="0.3">
      <c r="A163" s="659" t="s">
        <v>1342</v>
      </c>
    </row>
    <row r="164" spans="1:1" x14ac:dyDescent="0.3">
      <c r="A164" s="659" t="s">
        <v>1343</v>
      </c>
    </row>
    <row r="165" spans="1:1" x14ac:dyDescent="0.3">
      <c r="A165" s="659" t="s">
        <v>1344</v>
      </c>
    </row>
    <row r="166" spans="1:1" x14ac:dyDescent="0.3">
      <c r="A166" s="659" t="s">
        <v>1345</v>
      </c>
    </row>
    <row r="167" spans="1:1" x14ac:dyDescent="0.3">
      <c r="A167" s="659" t="s">
        <v>1346</v>
      </c>
    </row>
    <row r="168" spans="1:1" x14ac:dyDescent="0.3">
      <c r="A168" s="659" t="s">
        <v>1347</v>
      </c>
    </row>
    <row r="169" spans="1:1" x14ac:dyDescent="0.3">
      <c r="A169" s="659" t="s">
        <v>1348</v>
      </c>
    </row>
    <row r="170" spans="1:1" x14ac:dyDescent="0.3">
      <c r="A170" s="659" t="s">
        <v>1349</v>
      </c>
    </row>
    <row r="171" spans="1:1" x14ac:dyDescent="0.3">
      <c r="A171" s="659" t="s">
        <v>1350</v>
      </c>
    </row>
    <row r="172" spans="1:1" x14ac:dyDescent="0.3">
      <c r="A172" s="659" t="s">
        <v>1351</v>
      </c>
    </row>
    <row r="173" spans="1:1" x14ac:dyDescent="0.3">
      <c r="A173" s="659" t="s">
        <v>1352</v>
      </c>
    </row>
    <row r="174" spans="1:1" x14ac:dyDescent="0.3">
      <c r="A174" s="659" t="s">
        <v>1353</v>
      </c>
    </row>
    <row r="175" spans="1:1" x14ac:dyDescent="0.3">
      <c r="A175" s="659" t="s">
        <v>1354</v>
      </c>
    </row>
    <row r="176" spans="1:1" x14ac:dyDescent="0.3">
      <c r="A176" s="659" t="s">
        <v>1355</v>
      </c>
    </row>
    <row r="177" spans="1:1" x14ac:dyDescent="0.3">
      <c r="A177" s="659" t="s">
        <v>1356</v>
      </c>
    </row>
    <row r="178" spans="1:1" x14ac:dyDescent="0.3">
      <c r="A178" s="659" t="s">
        <v>1357</v>
      </c>
    </row>
    <row r="179" spans="1:1" x14ac:dyDescent="0.3">
      <c r="A179" s="659" t="s">
        <v>1358</v>
      </c>
    </row>
    <row r="180" spans="1:1" x14ac:dyDescent="0.3">
      <c r="A180" s="659" t="s">
        <v>1359</v>
      </c>
    </row>
    <row r="181" spans="1:1" x14ac:dyDescent="0.3">
      <c r="A181" s="659" t="s">
        <v>1360</v>
      </c>
    </row>
    <row r="182" spans="1:1" x14ac:dyDescent="0.3">
      <c r="A182" s="659" t="s">
        <v>1361</v>
      </c>
    </row>
    <row r="183" spans="1:1" x14ac:dyDescent="0.3">
      <c r="A183" s="659" t="s">
        <v>1362</v>
      </c>
    </row>
    <row r="184" spans="1:1" x14ac:dyDescent="0.3">
      <c r="A184" s="659" t="s">
        <v>1363</v>
      </c>
    </row>
    <row r="185" spans="1:1" x14ac:dyDescent="0.3">
      <c r="A185" s="659" t="s">
        <v>1364</v>
      </c>
    </row>
    <row r="186" spans="1:1" x14ac:dyDescent="0.3">
      <c r="A186" s="659" t="s">
        <v>1365</v>
      </c>
    </row>
    <row r="187" spans="1:1" x14ac:dyDescent="0.3">
      <c r="A187" s="659" t="s">
        <v>1366</v>
      </c>
    </row>
    <row r="188" spans="1:1" x14ac:dyDescent="0.3">
      <c r="A188" s="659" t="s">
        <v>1367</v>
      </c>
    </row>
    <row r="189" spans="1:1" x14ac:dyDescent="0.3">
      <c r="A189" s="659" t="s">
        <v>1368</v>
      </c>
    </row>
    <row r="190" spans="1:1" x14ac:dyDescent="0.3">
      <c r="A190" s="659" t="s">
        <v>1369</v>
      </c>
    </row>
    <row r="191" spans="1:1" x14ac:dyDescent="0.3">
      <c r="A191" s="659" t="s">
        <v>1370</v>
      </c>
    </row>
    <row r="192" spans="1:1" x14ac:dyDescent="0.3">
      <c r="A192" s="659" t="s">
        <v>1371</v>
      </c>
    </row>
    <row r="193" spans="1:1" x14ac:dyDescent="0.3">
      <c r="A193" s="659" t="s">
        <v>1372</v>
      </c>
    </row>
    <row r="194" spans="1:1" x14ac:dyDescent="0.3">
      <c r="A194" s="659" t="s">
        <v>1373</v>
      </c>
    </row>
    <row r="195" spans="1:1" x14ac:dyDescent="0.3">
      <c r="A195" s="659" t="s">
        <v>1374</v>
      </c>
    </row>
    <row r="196" spans="1:1" x14ac:dyDescent="0.3">
      <c r="A196" s="659" t="s">
        <v>1375</v>
      </c>
    </row>
    <row r="197" spans="1:1" x14ac:dyDescent="0.3">
      <c r="A197" s="659" t="s">
        <v>1376</v>
      </c>
    </row>
    <row r="198" spans="1:1" x14ac:dyDescent="0.3">
      <c r="A198" s="659" t="s">
        <v>1377</v>
      </c>
    </row>
    <row r="199" spans="1:1" x14ac:dyDescent="0.3">
      <c r="A199" s="659" t="s">
        <v>1378</v>
      </c>
    </row>
    <row r="200" spans="1:1" x14ac:dyDescent="0.3">
      <c r="A200" s="659" t="s">
        <v>1379</v>
      </c>
    </row>
    <row r="201" spans="1:1" x14ac:dyDescent="0.3">
      <c r="A201" s="659" t="s">
        <v>1380</v>
      </c>
    </row>
    <row r="202" spans="1:1" x14ac:dyDescent="0.3">
      <c r="A202" s="659" t="s">
        <v>1381</v>
      </c>
    </row>
    <row r="203" spans="1:1" x14ac:dyDescent="0.3">
      <c r="A203" s="659" t="s">
        <v>1382</v>
      </c>
    </row>
    <row r="204" spans="1:1" x14ac:dyDescent="0.3">
      <c r="A204" s="659" t="s">
        <v>1383</v>
      </c>
    </row>
    <row r="205" spans="1:1" x14ac:dyDescent="0.3">
      <c r="A205" s="659" t="s">
        <v>1384</v>
      </c>
    </row>
    <row r="206" spans="1:1" x14ac:dyDescent="0.3">
      <c r="A206" s="659" t="s">
        <v>1385</v>
      </c>
    </row>
    <row r="207" spans="1:1" x14ac:dyDescent="0.3">
      <c r="A207" s="659" t="s">
        <v>1386</v>
      </c>
    </row>
    <row r="208" spans="1:1" x14ac:dyDescent="0.3">
      <c r="A208" s="659" t="s">
        <v>1387</v>
      </c>
    </row>
    <row r="209" spans="1:1" x14ac:dyDescent="0.3">
      <c r="A209" s="659" t="s">
        <v>1388</v>
      </c>
    </row>
    <row r="210" spans="1:1" x14ac:dyDescent="0.3">
      <c r="A210" s="659" t="s">
        <v>1389</v>
      </c>
    </row>
    <row r="211" spans="1:1" x14ac:dyDescent="0.3">
      <c r="A211" s="659" t="s">
        <v>1390</v>
      </c>
    </row>
    <row r="212" spans="1:1" x14ac:dyDescent="0.3">
      <c r="A212" s="659" t="s">
        <v>1391</v>
      </c>
    </row>
    <row r="213" spans="1:1" x14ac:dyDescent="0.3">
      <c r="A213" s="659" t="s">
        <v>1392</v>
      </c>
    </row>
    <row r="214" spans="1:1" x14ac:dyDescent="0.3">
      <c r="A214" s="659" t="s">
        <v>1393</v>
      </c>
    </row>
    <row r="215" spans="1:1" x14ac:dyDescent="0.3">
      <c r="A215" s="659" t="s">
        <v>1394</v>
      </c>
    </row>
    <row r="216" spans="1:1" x14ac:dyDescent="0.3">
      <c r="A216" s="659" t="s">
        <v>1395</v>
      </c>
    </row>
    <row r="217" spans="1:1" x14ac:dyDescent="0.3">
      <c r="A217" s="659" t="s">
        <v>1396</v>
      </c>
    </row>
    <row r="218" spans="1:1" x14ac:dyDescent="0.3">
      <c r="A218" s="659" t="s">
        <v>1397</v>
      </c>
    </row>
    <row r="219" spans="1:1" x14ac:dyDescent="0.3">
      <c r="A219" s="659" t="s">
        <v>1398</v>
      </c>
    </row>
    <row r="220" spans="1:1" x14ac:dyDescent="0.3">
      <c r="A220" s="659" t="s">
        <v>1399</v>
      </c>
    </row>
    <row r="221" spans="1:1" x14ac:dyDescent="0.3">
      <c r="A221" s="659" t="s">
        <v>1400</v>
      </c>
    </row>
    <row r="222" spans="1:1" x14ac:dyDescent="0.3">
      <c r="A222" s="659" t="s">
        <v>1401</v>
      </c>
    </row>
    <row r="223" spans="1:1" x14ac:dyDescent="0.3">
      <c r="A223" s="659" t="s">
        <v>1402</v>
      </c>
    </row>
    <row r="224" spans="1:1" x14ac:dyDescent="0.3">
      <c r="A224" s="659" t="s">
        <v>1403</v>
      </c>
    </row>
    <row r="225" spans="1:1" x14ac:dyDescent="0.3">
      <c r="A225" s="659" t="s">
        <v>1404</v>
      </c>
    </row>
    <row r="226" spans="1:1" x14ac:dyDescent="0.3">
      <c r="A226" s="659" t="s">
        <v>1405</v>
      </c>
    </row>
    <row r="227" spans="1:1" x14ac:dyDescent="0.3">
      <c r="A227" s="659" t="s">
        <v>1406</v>
      </c>
    </row>
    <row r="228" spans="1:1" x14ac:dyDescent="0.3">
      <c r="A228" s="659" t="s">
        <v>1407</v>
      </c>
    </row>
    <row r="229" spans="1:1" x14ac:dyDescent="0.3">
      <c r="A229" s="659" t="s">
        <v>1408</v>
      </c>
    </row>
    <row r="230" spans="1:1" x14ac:dyDescent="0.3">
      <c r="A230" s="659" t="s">
        <v>1409</v>
      </c>
    </row>
    <row r="231" spans="1:1" x14ac:dyDescent="0.3">
      <c r="A231" s="659" t="s">
        <v>1410</v>
      </c>
    </row>
    <row r="232" spans="1:1" x14ac:dyDescent="0.3">
      <c r="A232" s="659" t="s">
        <v>1411</v>
      </c>
    </row>
    <row r="233" spans="1:1" x14ac:dyDescent="0.3">
      <c r="A233" s="659" t="s">
        <v>1412</v>
      </c>
    </row>
    <row r="234" spans="1:1" x14ac:dyDescent="0.3">
      <c r="A234" s="659" t="s">
        <v>1413</v>
      </c>
    </row>
    <row r="235" spans="1:1" x14ac:dyDescent="0.3">
      <c r="A235" s="659" t="s">
        <v>1414</v>
      </c>
    </row>
    <row r="236" spans="1:1" x14ac:dyDescent="0.3">
      <c r="A236" s="659" t="s">
        <v>1415</v>
      </c>
    </row>
    <row r="237" spans="1:1" x14ac:dyDescent="0.3">
      <c r="A237" s="659" t="s">
        <v>1416</v>
      </c>
    </row>
    <row r="238" spans="1:1" x14ac:dyDescent="0.3">
      <c r="A238" s="659" t="s">
        <v>1417</v>
      </c>
    </row>
    <row r="239" spans="1:1" x14ac:dyDescent="0.3">
      <c r="A239" s="659" t="s">
        <v>1418</v>
      </c>
    </row>
    <row r="240" spans="1:1" x14ac:dyDescent="0.3">
      <c r="A240" s="659" t="s">
        <v>1419</v>
      </c>
    </row>
    <row r="241" spans="1:1" x14ac:dyDescent="0.3">
      <c r="A241" s="659" t="s">
        <v>1420</v>
      </c>
    </row>
    <row r="242" spans="1:1" x14ac:dyDescent="0.3">
      <c r="A242" s="659" t="s">
        <v>1421</v>
      </c>
    </row>
    <row r="243" spans="1:1" x14ac:dyDescent="0.3">
      <c r="A243" s="659" t="s">
        <v>1422</v>
      </c>
    </row>
    <row r="244" spans="1:1" x14ac:dyDescent="0.3">
      <c r="A244" s="659" t="s">
        <v>1423</v>
      </c>
    </row>
    <row r="245" spans="1:1" x14ac:dyDescent="0.3">
      <c r="A245" s="659" t="s">
        <v>1424</v>
      </c>
    </row>
    <row r="246" spans="1:1" x14ac:dyDescent="0.3">
      <c r="A246" s="659" t="s">
        <v>1425</v>
      </c>
    </row>
    <row r="247" spans="1:1" x14ac:dyDescent="0.3">
      <c r="A247" s="659" t="s">
        <v>1426</v>
      </c>
    </row>
    <row r="248" spans="1:1" x14ac:dyDescent="0.3">
      <c r="A248" s="659" t="s">
        <v>1427</v>
      </c>
    </row>
    <row r="249" spans="1:1" x14ac:dyDescent="0.3">
      <c r="A249" s="659" t="s">
        <v>1428</v>
      </c>
    </row>
    <row r="250" spans="1:1" x14ac:dyDescent="0.3">
      <c r="A250" s="659" t="s">
        <v>1429</v>
      </c>
    </row>
    <row r="251" spans="1:1" x14ac:dyDescent="0.3">
      <c r="A251" s="659" t="s">
        <v>1430</v>
      </c>
    </row>
    <row r="252" spans="1:1" x14ac:dyDescent="0.3">
      <c r="A252" s="659" t="s">
        <v>1431</v>
      </c>
    </row>
    <row r="253" spans="1:1" x14ac:dyDescent="0.3">
      <c r="A253" s="659" t="s">
        <v>1432</v>
      </c>
    </row>
    <row r="254" spans="1:1" x14ac:dyDescent="0.3">
      <c r="A254" s="659" t="s">
        <v>1433</v>
      </c>
    </row>
    <row r="255" spans="1:1" x14ac:dyDescent="0.3">
      <c r="A255" s="659" t="s">
        <v>1434</v>
      </c>
    </row>
    <row r="256" spans="1:1" x14ac:dyDescent="0.3">
      <c r="A256" s="659" t="s">
        <v>1435</v>
      </c>
    </row>
    <row r="257" spans="1:1" x14ac:dyDescent="0.3">
      <c r="A257" s="659" t="s">
        <v>1436</v>
      </c>
    </row>
    <row r="258" spans="1:1" x14ac:dyDescent="0.3">
      <c r="A258" s="659" t="s">
        <v>1437</v>
      </c>
    </row>
    <row r="259" spans="1:1" x14ac:dyDescent="0.3">
      <c r="A259" s="659" t="s">
        <v>1438</v>
      </c>
    </row>
    <row r="260" spans="1:1" x14ac:dyDescent="0.3">
      <c r="A260" s="659" t="s">
        <v>1439</v>
      </c>
    </row>
    <row r="261" spans="1:1" x14ac:dyDescent="0.3">
      <c r="A261" s="659" t="s">
        <v>1440</v>
      </c>
    </row>
    <row r="262" spans="1:1" x14ac:dyDescent="0.3">
      <c r="A262" s="659" t="s">
        <v>1441</v>
      </c>
    </row>
    <row r="263" spans="1:1" x14ac:dyDescent="0.3">
      <c r="A263" s="659" t="s">
        <v>1442</v>
      </c>
    </row>
    <row r="264" spans="1:1" x14ac:dyDescent="0.3">
      <c r="A264" s="659" t="s">
        <v>1443</v>
      </c>
    </row>
    <row r="265" spans="1:1" x14ac:dyDescent="0.3">
      <c r="A265" s="659" t="s">
        <v>1444</v>
      </c>
    </row>
    <row r="266" spans="1:1" x14ac:dyDescent="0.3">
      <c r="A266" s="659" t="s">
        <v>1445</v>
      </c>
    </row>
    <row r="267" spans="1:1" x14ac:dyDescent="0.3">
      <c r="A267" s="659" t="s">
        <v>1446</v>
      </c>
    </row>
    <row r="268" spans="1:1" x14ac:dyDescent="0.3">
      <c r="A268" s="659" t="s">
        <v>1447</v>
      </c>
    </row>
    <row r="269" spans="1:1" x14ac:dyDescent="0.3">
      <c r="A269" s="659" t="s">
        <v>1448</v>
      </c>
    </row>
    <row r="270" spans="1:1" x14ac:dyDescent="0.3">
      <c r="A270" s="659" t="s">
        <v>1449</v>
      </c>
    </row>
    <row r="271" spans="1:1" x14ac:dyDescent="0.3">
      <c r="A271" s="659" t="s">
        <v>1450</v>
      </c>
    </row>
    <row r="272" spans="1:1" x14ac:dyDescent="0.3">
      <c r="A272" s="659" t="s">
        <v>1451</v>
      </c>
    </row>
    <row r="273" spans="1:1" x14ac:dyDescent="0.3">
      <c r="A273" s="659" t="s">
        <v>1452</v>
      </c>
    </row>
    <row r="274" spans="1:1" x14ac:dyDescent="0.3">
      <c r="A274" s="659" t="s">
        <v>1453</v>
      </c>
    </row>
    <row r="275" spans="1:1" x14ac:dyDescent="0.3">
      <c r="A275" s="659" t="s">
        <v>1454</v>
      </c>
    </row>
    <row r="276" spans="1:1" x14ac:dyDescent="0.3">
      <c r="A276" s="659" t="s">
        <v>1455</v>
      </c>
    </row>
    <row r="277" spans="1:1" x14ac:dyDescent="0.3">
      <c r="A277" s="659" t="s">
        <v>1456</v>
      </c>
    </row>
    <row r="278" spans="1:1" x14ac:dyDescent="0.3">
      <c r="A278" s="659" t="s">
        <v>1457</v>
      </c>
    </row>
    <row r="279" spans="1:1" x14ac:dyDescent="0.3">
      <c r="A279" s="659" t="s">
        <v>1458</v>
      </c>
    </row>
    <row r="280" spans="1:1" x14ac:dyDescent="0.3">
      <c r="A280" s="659" t="s">
        <v>1459</v>
      </c>
    </row>
    <row r="281" spans="1:1" x14ac:dyDescent="0.3">
      <c r="A281" s="659" t="s">
        <v>1460</v>
      </c>
    </row>
    <row r="282" spans="1:1" x14ac:dyDescent="0.3">
      <c r="A282" s="659" t="s">
        <v>1461</v>
      </c>
    </row>
    <row r="283" spans="1:1" x14ac:dyDescent="0.3">
      <c r="A283" s="659" t="s">
        <v>1462</v>
      </c>
    </row>
    <row r="284" spans="1:1" x14ac:dyDescent="0.3">
      <c r="A284" s="659" t="s">
        <v>1463</v>
      </c>
    </row>
    <row r="285" spans="1:1" x14ac:dyDescent="0.3">
      <c r="A285" s="659" t="s">
        <v>1464</v>
      </c>
    </row>
    <row r="286" spans="1:1" x14ac:dyDescent="0.3">
      <c r="A286" s="659" t="s">
        <v>1465</v>
      </c>
    </row>
    <row r="287" spans="1:1" x14ac:dyDescent="0.3">
      <c r="A287" s="659" t="s">
        <v>1466</v>
      </c>
    </row>
    <row r="288" spans="1:1" x14ac:dyDescent="0.3">
      <c r="A288" s="659" t="s">
        <v>1467</v>
      </c>
    </row>
    <row r="289" spans="1:1" x14ac:dyDescent="0.3">
      <c r="A289" s="659" t="s">
        <v>1468</v>
      </c>
    </row>
    <row r="290" spans="1:1" x14ac:dyDescent="0.3">
      <c r="A290" s="659" t="s">
        <v>1469</v>
      </c>
    </row>
    <row r="291" spans="1:1" x14ac:dyDescent="0.3">
      <c r="A291" s="659" t="s">
        <v>1470</v>
      </c>
    </row>
    <row r="292" spans="1:1" x14ac:dyDescent="0.3">
      <c r="A292" s="659" t="s">
        <v>1471</v>
      </c>
    </row>
    <row r="293" spans="1:1" x14ac:dyDescent="0.3">
      <c r="A293" s="659" t="s">
        <v>1472</v>
      </c>
    </row>
    <row r="294" spans="1:1" x14ac:dyDescent="0.3">
      <c r="A294" s="659" t="s">
        <v>1473</v>
      </c>
    </row>
    <row r="295" spans="1:1" x14ac:dyDescent="0.3">
      <c r="A295" s="659" t="s">
        <v>1474</v>
      </c>
    </row>
    <row r="296" spans="1:1" x14ac:dyDescent="0.3">
      <c r="A296" s="659" t="s">
        <v>1475</v>
      </c>
    </row>
    <row r="297" spans="1:1" x14ac:dyDescent="0.3">
      <c r="A297" s="659" t="s">
        <v>1476</v>
      </c>
    </row>
    <row r="298" spans="1:1" x14ac:dyDescent="0.3">
      <c r="A298" s="659" t="s">
        <v>1477</v>
      </c>
    </row>
    <row r="299" spans="1:1" x14ac:dyDescent="0.3">
      <c r="A299" s="659" t="s">
        <v>1478</v>
      </c>
    </row>
    <row r="300" spans="1:1" x14ac:dyDescent="0.3">
      <c r="A300" s="659" t="s">
        <v>1479</v>
      </c>
    </row>
    <row r="301" spans="1:1" x14ac:dyDescent="0.3">
      <c r="A301" s="659" t="s">
        <v>1480</v>
      </c>
    </row>
    <row r="302" spans="1:1" x14ac:dyDescent="0.3">
      <c r="A302" s="659" t="s">
        <v>1481</v>
      </c>
    </row>
    <row r="303" spans="1:1" x14ac:dyDescent="0.3">
      <c r="A303" s="659" t="s">
        <v>1482</v>
      </c>
    </row>
    <row r="304" spans="1:1" x14ac:dyDescent="0.3">
      <c r="A304" s="659" t="s">
        <v>1483</v>
      </c>
    </row>
    <row r="305" spans="1:1" x14ac:dyDescent="0.3">
      <c r="A305" s="659" t="s">
        <v>1484</v>
      </c>
    </row>
    <row r="306" spans="1:1" x14ac:dyDescent="0.3">
      <c r="A306" s="659" t="s">
        <v>1485</v>
      </c>
    </row>
    <row r="307" spans="1:1" x14ac:dyDescent="0.3">
      <c r="A307" s="659" t="s">
        <v>1486</v>
      </c>
    </row>
    <row r="308" spans="1:1" x14ac:dyDescent="0.3">
      <c r="A308" s="659" t="s">
        <v>1487</v>
      </c>
    </row>
    <row r="309" spans="1:1" x14ac:dyDescent="0.3">
      <c r="A309" s="659" t="s">
        <v>1488</v>
      </c>
    </row>
    <row r="310" spans="1:1" x14ac:dyDescent="0.3">
      <c r="A310" s="659" t="s">
        <v>1489</v>
      </c>
    </row>
    <row r="311" spans="1:1" x14ac:dyDescent="0.3">
      <c r="A311" s="659" t="s">
        <v>1490</v>
      </c>
    </row>
    <row r="312" spans="1:1" x14ac:dyDescent="0.3">
      <c r="A312" s="659" t="s">
        <v>1491</v>
      </c>
    </row>
    <row r="313" spans="1:1" x14ac:dyDescent="0.3">
      <c r="A313" s="659" t="s">
        <v>1492</v>
      </c>
    </row>
    <row r="314" spans="1:1" x14ac:dyDescent="0.3">
      <c r="A314" s="659" t="s">
        <v>1493</v>
      </c>
    </row>
    <row r="315" spans="1:1" x14ac:dyDescent="0.3">
      <c r="A315" s="659" t="s">
        <v>1494</v>
      </c>
    </row>
    <row r="316" spans="1:1" x14ac:dyDescent="0.3">
      <c r="A316" s="659" t="s">
        <v>1495</v>
      </c>
    </row>
    <row r="317" spans="1:1" x14ac:dyDescent="0.3">
      <c r="A317" s="659" t="s">
        <v>1496</v>
      </c>
    </row>
    <row r="318" spans="1:1" x14ac:dyDescent="0.3">
      <c r="A318" s="659" t="s">
        <v>1497</v>
      </c>
    </row>
    <row r="319" spans="1:1" x14ac:dyDescent="0.3">
      <c r="A319" s="659" t="s">
        <v>1498</v>
      </c>
    </row>
    <row r="320" spans="1:1" x14ac:dyDescent="0.3">
      <c r="A320" s="659" t="s">
        <v>1499</v>
      </c>
    </row>
    <row r="321" spans="1:1" x14ac:dyDescent="0.3">
      <c r="A321" s="659" t="s">
        <v>1500</v>
      </c>
    </row>
    <row r="322" spans="1:1" x14ac:dyDescent="0.3">
      <c r="A322" s="659" t="s">
        <v>1501</v>
      </c>
    </row>
    <row r="323" spans="1:1" x14ac:dyDescent="0.3">
      <c r="A323" s="659" t="s">
        <v>1502</v>
      </c>
    </row>
    <row r="324" spans="1:1" x14ac:dyDescent="0.3">
      <c r="A324" s="659" t="s">
        <v>1503</v>
      </c>
    </row>
    <row r="325" spans="1:1" x14ac:dyDescent="0.3">
      <c r="A325" s="659" t="s">
        <v>1504</v>
      </c>
    </row>
    <row r="326" spans="1:1" x14ac:dyDescent="0.3">
      <c r="A326" s="659" t="s">
        <v>1505</v>
      </c>
    </row>
    <row r="327" spans="1:1" x14ac:dyDescent="0.3">
      <c r="A327" s="659" t="s">
        <v>1506</v>
      </c>
    </row>
    <row r="328" spans="1:1" x14ac:dyDescent="0.3">
      <c r="A328" s="659" t="s">
        <v>1507</v>
      </c>
    </row>
    <row r="329" spans="1:1" x14ac:dyDescent="0.3">
      <c r="A329" s="659" t="s">
        <v>1508</v>
      </c>
    </row>
    <row r="330" spans="1:1" x14ac:dyDescent="0.3">
      <c r="A330" s="659" t="s">
        <v>1509</v>
      </c>
    </row>
    <row r="331" spans="1:1" x14ac:dyDescent="0.3">
      <c r="A331" s="659" t="s">
        <v>1510</v>
      </c>
    </row>
    <row r="332" spans="1:1" x14ac:dyDescent="0.3">
      <c r="A332" s="659" t="s">
        <v>1511</v>
      </c>
    </row>
    <row r="333" spans="1:1" x14ac:dyDescent="0.3">
      <c r="A333" s="659" t="s">
        <v>1512</v>
      </c>
    </row>
    <row r="334" spans="1:1" x14ac:dyDescent="0.3">
      <c r="A334" s="659" t="s">
        <v>1513</v>
      </c>
    </row>
    <row r="335" spans="1:1" x14ac:dyDescent="0.3">
      <c r="A335" s="659" t="s">
        <v>1514</v>
      </c>
    </row>
    <row r="336" spans="1:1" x14ac:dyDescent="0.3">
      <c r="A336" s="659" t="s">
        <v>1515</v>
      </c>
    </row>
    <row r="337" spans="1:1" x14ac:dyDescent="0.3">
      <c r="A337" s="659" t="s">
        <v>1516</v>
      </c>
    </row>
    <row r="338" spans="1:1" x14ac:dyDescent="0.3">
      <c r="A338" s="659" t="s">
        <v>1517</v>
      </c>
    </row>
    <row r="339" spans="1:1" x14ac:dyDescent="0.3">
      <c r="A339" s="659" t="s">
        <v>1518</v>
      </c>
    </row>
    <row r="340" spans="1:1" x14ac:dyDescent="0.3">
      <c r="A340" s="659" t="s">
        <v>1519</v>
      </c>
    </row>
    <row r="341" spans="1:1" x14ac:dyDescent="0.3">
      <c r="A341" s="659" t="s">
        <v>1520</v>
      </c>
    </row>
    <row r="342" spans="1:1" x14ac:dyDescent="0.3">
      <c r="A342" s="659" t="s">
        <v>1521</v>
      </c>
    </row>
    <row r="343" spans="1:1" x14ac:dyDescent="0.3">
      <c r="A343" s="659" t="s">
        <v>1522</v>
      </c>
    </row>
    <row r="344" spans="1:1" x14ac:dyDescent="0.3">
      <c r="A344" s="659" t="s">
        <v>1523</v>
      </c>
    </row>
    <row r="345" spans="1:1" x14ac:dyDescent="0.3">
      <c r="A345" s="659" t="s">
        <v>1524</v>
      </c>
    </row>
    <row r="346" spans="1:1" x14ac:dyDescent="0.3">
      <c r="A346" s="659" t="s">
        <v>1525</v>
      </c>
    </row>
    <row r="347" spans="1:1" x14ac:dyDescent="0.3">
      <c r="A347" s="659" t="s">
        <v>1526</v>
      </c>
    </row>
    <row r="348" spans="1:1" x14ac:dyDescent="0.3">
      <c r="A348" s="659" t="s">
        <v>1527</v>
      </c>
    </row>
    <row r="349" spans="1:1" x14ac:dyDescent="0.3">
      <c r="A349" s="659" t="s">
        <v>1528</v>
      </c>
    </row>
    <row r="350" spans="1:1" x14ac:dyDescent="0.3">
      <c r="A350" s="659" t="s">
        <v>1529</v>
      </c>
    </row>
    <row r="351" spans="1:1" x14ac:dyDescent="0.3">
      <c r="A351" s="659" t="s">
        <v>1530</v>
      </c>
    </row>
    <row r="352" spans="1:1" x14ac:dyDescent="0.3">
      <c r="A352" s="659" t="s">
        <v>1531</v>
      </c>
    </row>
    <row r="353" spans="1:1" x14ac:dyDescent="0.3">
      <c r="A353" s="659" t="s">
        <v>1532</v>
      </c>
    </row>
    <row r="354" spans="1:1" x14ac:dyDescent="0.3">
      <c r="A354" s="659" t="s">
        <v>1533</v>
      </c>
    </row>
    <row r="355" spans="1:1" x14ac:dyDescent="0.3">
      <c r="A355" s="659" t="s">
        <v>1534</v>
      </c>
    </row>
    <row r="356" spans="1:1" x14ac:dyDescent="0.3">
      <c r="A356" s="659" t="s">
        <v>1535</v>
      </c>
    </row>
    <row r="357" spans="1:1" x14ac:dyDescent="0.3">
      <c r="A357" s="659" t="s">
        <v>1536</v>
      </c>
    </row>
    <row r="358" spans="1:1" x14ac:dyDescent="0.3">
      <c r="A358" s="659" t="s">
        <v>1537</v>
      </c>
    </row>
    <row r="359" spans="1:1" x14ac:dyDescent="0.3">
      <c r="A359" s="659" t="s">
        <v>1538</v>
      </c>
    </row>
    <row r="360" spans="1:1" x14ac:dyDescent="0.3">
      <c r="A360" s="659" t="s">
        <v>1539</v>
      </c>
    </row>
    <row r="361" spans="1:1" x14ac:dyDescent="0.3">
      <c r="A361" s="659" t="s">
        <v>1540</v>
      </c>
    </row>
    <row r="362" spans="1:1" x14ac:dyDescent="0.3">
      <c r="A362" s="659" t="s">
        <v>1541</v>
      </c>
    </row>
    <row r="363" spans="1:1" x14ac:dyDescent="0.3">
      <c r="A363" s="659" t="s">
        <v>1542</v>
      </c>
    </row>
    <row r="364" spans="1:1" x14ac:dyDescent="0.3">
      <c r="A364" s="659" t="s">
        <v>1543</v>
      </c>
    </row>
    <row r="365" spans="1:1" x14ac:dyDescent="0.3">
      <c r="A365" s="659" t="s">
        <v>1544</v>
      </c>
    </row>
    <row r="366" spans="1:1" x14ac:dyDescent="0.3">
      <c r="A366" s="659" t="s">
        <v>1545</v>
      </c>
    </row>
    <row r="367" spans="1:1" x14ac:dyDescent="0.3">
      <c r="A367" s="659" t="s">
        <v>1546</v>
      </c>
    </row>
    <row r="368" spans="1:1" x14ac:dyDescent="0.3">
      <c r="A368" s="659" t="s">
        <v>1547</v>
      </c>
    </row>
    <row r="369" spans="1:1" x14ac:dyDescent="0.3">
      <c r="A369" s="659" t="s">
        <v>1548</v>
      </c>
    </row>
    <row r="370" spans="1:1" x14ac:dyDescent="0.3">
      <c r="A370" s="659" t="s">
        <v>1549</v>
      </c>
    </row>
    <row r="371" spans="1:1" x14ac:dyDescent="0.3">
      <c r="A371" s="659" t="s">
        <v>1550</v>
      </c>
    </row>
    <row r="372" spans="1:1" x14ac:dyDescent="0.3">
      <c r="A372" s="659" t="s">
        <v>1551</v>
      </c>
    </row>
    <row r="373" spans="1:1" x14ac:dyDescent="0.3">
      <c r="A373" s="659" t="s">
        <v>1552</v>
      </c>
    </row>
    <row r="374" spans="1:1" x14ac:dyDescent="0.3">
      <c r="A374" s="659" t="s">
        <v>1553</v>
      </c>
    </row>
    <row r="375" spans="1:1" x14ac:dyDescent="0.3">
      <c r="A375" s="659" t="s">
        <v>1554</v>
      </c>
    </row>
    <row r="376" spans="1:1" x14ac:dyDescent="0.3">
      <c r="A376" s="659" t="s">
        <v>1555</v>
      </c>
    </row>
    <row r="377" spans="1:1" x14ac:dyDescent="0.3">
      <c r="A377" s="659" t="s">
        <v>1556</v>
      </c>
    </row>
    <row r="378" spans="1:1" x14ac:dyDescent="0.3">
      <c r="A378" s="659"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4edfb27-fdcf-4944-9520-fd54d4f1d725">
      <Value>6</Value>
      <Value>10</Value>
      <Value>9</Value>
      <Value>8</Value>
      <Value>7</Value>
    </TaxCatchAll>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268AFCAB-49ED-4D9D-A772-950954169F72}">
  <ds:schemaRefs>
    <ds:schemaRef ds:uri="Microsoft.SharePoint.Taxonomy.ContentTypeSync"/>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2D186361-6BD8-4ED2-AA76-DCA0DA293EAD}"/>
</file>

<file path=customXml/itemProps4.xml><?xml version="1.0" encoding="utf-8"?>
<ds:datastoreItem xmlns:ds="http://schemas.openxmlformats.org/officeDocument/2006/customXml" ds:itemID="{D5D8E80E-3650-4921-9D0F-F779F71661B1}">
  <ds:schemaRefs>
    <ds:schemaRef ds:uri="http://purl.org/dc/dcmitype/"/>
    <ds:schemaRef ds:uri="98e27532-bbeb-4da6-8880-e7fe4b0abe63"/>
    <ds:schemaRef ds:uri="http://purl.org/dc/elements/1.1/"/>
    <ds:schemaRef ds:uri="http://purl.org/dc/terms/"/>
    <ds:schemaRef ds:uri="http://schemas.microsoft.com/office/2006/documentManagement/types"/>
    <ds:schemaRef ds:uri="http://schemas.openxmlformats.org/package/2006/metadata/core-properties"/>
    <ds:schemaRef ds:uri="662745e8-e224-48e8-a2e3-254862b8c2f5"/>
    <ds:schemaRef ds:uri="http://www.w3.org/XML/1998/namespace"/>
    <ds:schemaRef ds:uri="http://schemas.microsoft.com/office/2006/metadata/properties"/>
    <ds:schemaRef ds:uri="http://schemas.microsoft.com/office/infopath/2007/PartnerControls"/>
    <ds:schemaRef ds:uri="08894ec1-7550-4066-aff3-9f6acf21a8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Stuart Macpherson - Pennine Ecological</cp:lastModifiedBy>
  <cp:revision/>
  <dcterms:created xsi:type="dcterms:W3CDTF">2018-04-09T09:41:18Z</dcterms:created>
  <dcterms:modified xsi:type="dcterms:W3CDTF">2022-06-28T08:52:40Z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0x01010084F35F844C555749A4A584284E5541DC</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